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mc:AlternateContent xmlns:mc="http://schemas.openxmlformats.org/markup-compatibility/2006">
    <mc:Choice Requires="x15">
      <x15ac:absPath xmlns:x15ac="http://schemas.microsoft.com/office/spreadsheetml/2010/11/ac" url="/Users/plasticfantastic/Downloads/"/>
    </mc:Choice>
  </mc:AlternateContent>
  <xr:revisionPtr revIDLastSave="0" documentId="13_ncr:1_{747342ED-9786-5E40-B86C-16F2C23AC7B3}" xr6:coauthVersionLast="47" xr6:coauthVersionMax="47" xr10:uidLastSave="{00000000-0000-0000-0000-000000000000}"/>
  <bookViews>
    <workbookView xWindow="4340" yWindow="500" windowWidth="24460" windowHeight="16400" activeTab="2" xr2:uid="{00000000-000D-0000-FFFF-FFFF00000000}"/>
  </bookViews>
  <sheets>
    <sheet name="Cover Page" sheetId="1" r:id="rId1"/>
    <sheet name="Summary" sheetId="2" r:id="rId2"/>
    <sheet name="Kilter Holds" sheetId="3" r:id="rId3"/>
    <sheet name="Urban Plastix Holds" sheetId="4" r:id="rId4"/>
    <sheet name="Basic Recommendations" sheetId="5" state="hidden" r:id="rId5"/>
    <sheet name="Bolts" sheetId="6" state="hidden" r:id="rId6"/>
    <sheet name="Aragon" sheetId="7" state="hidden" r:id="rId7"/>
    <sheet name="Walltopia" sheetId="8" state="hidden" r:id="rId8"/>
    <sheet name="OrderProcessing" sheetId="9" state="hidden" r:id="rId9"/>
    <sheet name="Comp X - Kilter" sheetId="10" state="hidden" r:id="rId10"/>
    <sheet name="Macro" sheetId="11" state="hidden" r:id="rId11"/>
    <sheet name="Comp X - UP" sheetId="12" state="hidden" r:id="rId12"/>
  </sheets>
  <externalReferences>
    <externalReference r:id="rId13"/>
    <externalReference r:id="rId14"/>
  </externalReferences>
  <definedNames>
    <definedName name="_xlnm._FilterDatabase" localSheetId="6" hidden="1">Aragon!$E$1:$N$1</definedName>
    <definedName name="_xlnm._FilterDatabase" localSheetId="9" hidden="1">'Comp X - Kilter'!$B$1:$K$1</definedName>
    <definedName name="CharacterLimit_Address1" localSheetId="8">[1]Directions!$AB$5</definedName>
    <definedName name="CharacterLimit_Address1">[2]Directions!$AB$5</definedName>
    <definedName name="CharacterLimit_Address2" localSheetId="8">[1]Directions!$AB$6</definedName>
    <definedName name="CharacterLimit_Address2">[2]Directions!$AB$6</definedName>
    <definedName name="CharacterLimit_City" localSheetId="8">[1]Directions!$AB$8</definedName>
    <definedName name="CharacterLimit_City">[2]Directions!$AB$8</definedName>
    <definedName name="CharacterLimit_Country" localSheetId="8">[1]Directions!$AB$11</definedName>
    <definedName name="CharacterLimit_Country">[2]Directions!$AB$11</definedName>
    <definedName name="CharacterLimit_CustomerPONumber" localSheetId="8">[1]Directions!$AB$1</definedName>
    <definedName name="CharacterLimit_CustomerPONumber">[2]Directions!$AB$1</definedName>
    <definedName name="CharacterLimit_InternalNumber" localSheetId="8">[1]Directions!$AB$3</definedName>
    <definedName name="CharacterLimit_InternalNumber">[2]Directions!$AB$3</definedName>
    <definedName name="CharacterLimit_State" localSheetId="8">[1]Directions!$AB$9</definedName>
    <definedName name="CharacterLimit_State">[2]Directions!$AB$9</definedName>
    <definedName name="CharacterLimit_Zipcode" localSheetId="8">[1]Directions!$AB$10</definedName>
    <definedName name="CharacterLimit_Zipcode">[2]Directions!$AB$10</definedName>
    <definedName name="CompanyShortNameList" localSheetId="8">[1]Lists!$A$3:$A$3</definedName>
    <definedName name="CompanyShortNameList">[2]Lists!$A$3:$A$3</definedName>
    <definedName name="k" localSheetId="10">#REF!</definedName>
    <definedName name="k">#REF!</definedName>
    <definedName name="n" localSheetId="9">#REF!</definedName>
    <definedName name="n" localSheetId="11">#REF!</definedName>
    <definedName name="n" localSheetId="10">#REF!</definedName>
    <definedName name="n">#REF!</definedName>
    <definedName name="QBeBatchNumber" localSheetId="9">#REF!</definedName>
    <definedName name="QBeBatchNumber" localSheetId="11">#REF!</definedName>
    <definedName name="QBeBatchNumber" localSheetId="10">#REF!</definedName>
    <definedName name="QBeBatchNumber">#REF!</definedName>
    <definedName name="Range_SalesOrderValue" localSheetId="9">#REF!</definedName>
    <definedName name="Range_SalesOrderValue" localSheetId="11">#REF!</definedName>
    <definedName name="Range_SalesOrderValue" localSheetId="10">#REF!</definedName>
    <definedName name="Range_SalesOrderValue">#REF!</definedName>
    <definedName name="SheetSalesOrder_AddHardwareYN" localSheetId="9">#REF!</definedName>
    <definedName name="SheetSalesOrder_AddHardwareYN" localSheetId="11">#REF!</definedName>
    <definedName name="SheetSalesOrder_AddHardwareYN" localSheetId="10">#REF!</definedName>
    <definedName name="SheetSalesOrder_AddHardwareYN">#REF!</definedName>
    <definedName name="SheetSalesOrder_LocationHardwareTextReplaceYN" localSheetId="9">#REF!</definedName>
    <definedName name="SheetSalesOrder_LocationHardwareTextReplaceYN" localSheetId="11">#REF!</definedName>
    <definedName name="SheetSalesOrder_LocationHardwareTextReplaceYN" localSheetId="10">#REF!</definedName>
    <definedName name="SheetSalesOrder_LocationHardwareTextReplaceYN">#REF!</definedName>
    <definedName name="SheetSalesOrder_LocationUltravioletYN" localSheetId="9">#REF!</definedName>
    <definedName name="SheetSalesOrder_LocationUltravioletYN" localSheetId="11">#REF!</definedName>
    <definedName name="SheetSalesOrder_LocationUltravioletYN" localSheetId="10">#REF!</definedName>
    <definedName name="SheetSalesOrder_LocationUltravioletYN">#REF!</definedName>
    <definedName name="SheetSalesOrder_UpdateDate_ColorTable" localSheetId="9">#REF!</definedName>
    <definedName name="SheetSalesOrder_UpdateDate_ColorTable" localSheetId="11">#REF!</definedName>
    <definedName name="SheetSalesOrder_UpdateDate_ColorTable" localSheetId="10">#REF!</definedName>
    <definedName name="SheetSalesOrder_UpdateDate_ColorTable">#REF!</definedName>
    <definedName name="SheetSalesOrder_UpdateDate_HardwareTable" localSheetId="9">#REF!</definedName>
    <definedName name="SheetSalesOrder_UpdateDate_HardwareTable" localSheetId="11">#REF!</definedName>
    <definedName name="SheetSalesOrder_UpdateDate_HardwareTable" localSheetId="10">#REF!</definedName>
    <definedName name="SheetSalesOrder_UpdateDate_HardwareTable">#REF!</definedName>
    <definedName name="SheetSalesOrder_UpdateDate_KitTable" localSheetId="9">#REF!</definedName>
    <definedName name="SheetSalesOrder_UpdateDate_KitTable" localSheetId="11">#REF!</definedName>
    <definedName name="SheetSalesOrder_UpdateDate_KitTable" localSheetId="10">#REF!</definedName>
    <definedName name="SheetSalesOrder_UpdateDate_KitTable">#REF!</definedName>
    <definedName name="SheetSalesOrder_UpdateDate_QBeItemTable" localSheetId="9">#REF!</definedName>
    <definedName name="SheetSalesOrder_UpdateDate_QBeItemTable" localSheetId="11">#REF!</definedName>
    <definedName name="SheetSalesOrder_UpdateDate_QBeItemTable" localSheetId="10">#REF!</definedName>
    <definedName name="SheetSalesOrder_UpdateDate_QBeItemTable">#REF!</definedName>
    <definedName name="TableQbeItem" localSheetId="9">'[2]QBe Item'!#REF!</definedName>
    <definedName name="TableQbeItem" localSheetId="11">'[2]QBe Item'!#REF!</definedName>
    <definedName name="TableQbeItem" localSheetId="10">'[2]QBe Item'!#REF!</definedName>
    <definedName name="TableQbeItem" localSheetId="8">'[1]QBe Item'!#REF!</definedName>
    <definedName name="TableQbeItem">'[2]QBe Item'!#REF!</definedName>
    <definedName name="TotalHoldsInOrder">Summary!$K$18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8" roundtripDataChecksum="teyyVPGzJH4/6Xl0xNNk7LYY1j+vjxlFLxrzsAUSGq4="/>
    </ext>
  </extLst>
</workbook>
</file>

<file path=xl/calcChain.xml><?xml version="1.0" encoding="utf-8"?>
<calcChain xmlns="http://schemas.openxmlformats.org/spreadsheetml/2006/main">
  <c r="H892" i="12" l="1"/>
  <c r="E892" i="12"/>
  <c r="G892" i="12" s="1"/>
  <c r="H891" i="12"/>
  <c r="E891" i="12"/>
  <c r="G891" i="12" s="1"/>
  <c r="H890" i="12"/>
  <c r="E890" i="12"/>
  <c r="G890" i="12" s="1"/>
  <c r="H889" i="12"/>
  <c r="E889" i="12"/>
  <c r="G889" i="12" s="1"/>
  <c r="H888" i="12"/>
  <c r="E888" i="12"/>
  <c r="G888" i="12" s="1"/>
  <c r="H887" i="12"/>
  <c r="E887" i="12"/>
  <c r="G887" i="12" s="1"/>
  <c r="H886" i="12"/>
  <c r="E886" i="12"/>
  <c r="G886" i="12" s="1"/>
  <c r="H885" i="12"/>
  <c r="E885" i="12"/>
  <c r="G885" i="12" s="1"/>
  <c r="H884" i="12"/>
  <c r="E884" i="12"/>
  <c r="G884" i="12" s="1"/>
  <c r="H883" i="12"/>
  <c r="E883" i="12"/>
  <c r="G883" i="12" s="1"/>
  <c r="H882" i="12"/>
  <c r="E882" i="12"/>
  <c r="G882" i="12" s="1"/>
  <c r="H881" i="12"/>
  <c r="E881" i="12"/>
  <c r="G881" i="12" s="1"/>
  <c r="H880" i="12"/>
  <c r="E880" i="12"/>
  <c r="G880" i="12" s="1"/>
  <c r="H879" i="12"/>
  <c r="E879" i="12"/>
  <c r="G879" i="12" s="1"/>
  <c r="H878" i="12"/>
  <c r="E878" i="12"/>
  <c r="G878" i="12" s="1"/>
  <c r="H877" i="12"/>
  <c r="E877" i="12"/>
  <c r="G877" i="12" s="1"/>
  <c r="H876" i="12"/>
  <c r="E876" i="12"/>
  <c r="G876" i="12" s="1"/>
  <c r="H875" i="12"/>
  <c r="E875" i="12"/>
  <c r="G875" i="12" s="1"/>
  <c r="H874" i="12"/>
  <c r="E874" i="12"/>
  <c r="G874" i="12" s="1"/>
  <c r="H873" i="12"/>
  <c r="E873" i="12"/>
  <c r="G873" i="12" s="1"/>
  <c r="H872" i="12"/>
  <c r="E872" i="12"/>
  <c r="G872" i="12" s="1"/>
  <c r="H871" i="12"/>
  <c r="E871" i="12"/>
  <c r="G871" i="12" s="1"/>
  <c r="H870" i="12"/>
  <c r="E870" i="12"/>
  <c r="G870" i="12" s="1"/>
  <c r="H869" i="12"/>
  <c r="E869" i="12"/>
  <c r="G869" i="12" s="1"/>
  <c r="H868" i="12"/>
  <c r="E868" i="12"/>
  <c r="G868" i="12" s="1"/>
  <c r="H867" i="12"/>
  <c r="E867" i="12"/>
  <c r="G867" i="12" s="1"/>
  <c r="H866" i="12"/>
  <c r="E866" i="12"/>
  <c r="G866" i="12" s="1"/>
  <c r="H865" i="12"/>
  <c r="E865" i="12"/>
  <c r="G865" i="12" s="1"/>
  <c r="H864" i="12"/>
  <c r="E864" i="12"/>
  <c r="G864" i="12" s="1"/>
  <c r="H863" i="12"/>
  <c r="E863" i="12"/>
  <c r="G863" i="12" s="1"/>
  <c r="H862" i="12"/>
  <c r="E862" i="12"/>
  <c r="G862" i="12" s="1"/>
  <c r="H861" i="12"/>
  <c r="E861" i="12"/>
  <c r="G861" i="12" s="1"/>
  <c r="H860" i="12"/>
  <c r="E860" i="12"/>
  <c r="G860" i="12" s="1"/>
  <c r="H859" i="12"/>
  <c r="E859" i="12"/>
  <c r="G859" i="12" s="1"/>
  <c r="H858" i="12"/>
  <c r="E858" i="12"/>
  <c r="G858" i="12" s="1"/>
  <c r="H857" i="12"/>
  <c r="E857" i="12"/>
  <c r="G857" i="12" s="1"/>
  <c r="H856" i="12"/>
  <c r="E856" i="12"/>
  <c r="G856" i="12" s="1"/>
  <c r="H855" i="12"/>
  <c r="E855" i="12"/>
  <c r="G855" i="12" s="1"/>
  <c r="H854" i="12"/>
  <c r="E854" i="12"/>
  <c r="G854" i="12" s="1"/>
  <c r="H853" i="12"/>
  <c r="E853" i="12"/>
  <c r="G853" i="12" s="1"/>
  <c r="H852" i="12"/>
  <c r="E852" i="12"/>
  <c r="G852" i="12" s="1"/>
  <c r="H851" i="12"/>
  <c r="E851" i="12"/>
  <c r="G851" i="12" s="1"/>
  <c r="H850" i="12"/>
  <c r="E850" i="12"/>
  <c r="G850" i="12" s="1"/>
  <c r="H849" i="12"/>
  <c r="E849" i="12"/>
  <c r="G849" i="12" s="1"/>
  <c r="H848" i="12"/>
  <c r="E848" i="12"/>
  <c r="G848" i="12" s="1"/>
  <c r="H847" i="12"/>
  <c r="E847" i="12"/>
  <c r="G847" i="12" s="1"/>
  <c r="H846" i="12"/>
  <c r="E846" i="12"/>
  <c r="G846" i="12" s="1"/>
  <c r="H845" i="12"/>
  <c r="E845" i="12"/>
  <c r="G845" i="12" s="1"/>
  <c r="H844" i="12"/>
  <c r="E844" i="12"/>
  <c r="G844" i="12" s="1"/>
  <c r="H843" i="12"/>
  <c r="E843" i="12"/>
  <c r="G843" i="12" s="1"/>
  <c r="H842" i="12"/>
  <c r="E842" i="12"/>
  <c r="G842" i="12" s="1"/>
  <c r="H841" i="12"/>
  <c r="E841" i="12"/>
  <c r="G841" i="12" s="1"/>
  <c r="H840" i="12"/>
  <c r="E840" i="12"/>
  <c r="G840" i="12" s="1"/>
  <c r="H839" i="12"/>
  <c r="E839" i="12"/>
  <c r="G839" i="12" s="1"/>
  <c r="H838" i="12"/>
  <c r="E838" i="12"/>
  <c r="G838" i="12" s="1"/>
  <c r="H837" i="12"/>
  <c r="E837" i="12"/>
  <c r="G837" i="12" s="1"/>
  <c r="H836" i="12"/>
  <c r="E836" i="12"/>
  <c r="G836" i="12" s="1"/>
  <c r="H835" i="12"/>
  <c r="E835" i="12"/>
  <c r="G835" i="12" s="1"/>
  <c r="H834" i="12"/>
  <c r="E834" i="12"/>
  <c r="G834" i="12" s="1"/>
  <c r="H833" i="12"/>
  <c r="E833" i="12"/>
  <c r="G833" i="12" s="1"/>
  <c r="H832" i="12"/>
  <c r="E832" i="12"/>
  <c r="G832" i="12" s="1"/>
  <c r="H831" i="12"/>
  <c r="E831" i="12"/>
  <c r="G831" i="12" s="1"/>
  <c r="H830" i="12"/>
  <c r="E830" i="12"/>
  <c r="G830" i="12" s="1"/>
  <c r="H829" i="12"/>
  <c r="E829" i="12"/>
  <c r="G829" i="12" s="1"/>
  <c r="H828" i="12"/>
  <c r="E828" i="12"/>
  <c r="G828" i="12" s="1"/>
  <c r="H827" i="12"/>
  <c r="E827" i="12"/>
  <c r="G827" i="12" s="1"/>
  <c r="H826" i="12"/>
  <c r="E826" i="12"/>
  <c r="G826" i="12" s="1"/>
  <c r="H825" i="12"/>
  <c r="E825" i="12"/>
  <c r="G825" i="12" s="1"/>
  <c r="H824" i="12"/>
  <c r="E824" i="12"/>
  <c r="G824" i="12" s="1"/>
  <c r="H823" i="12"/>
  <c r="E823" i="12"/>
  <c r="G823" i="12" s="1"/>
  <c r="H822" i="12"/>
  <c r="E822" i="12"/>
  <c r="G822" i="12" s="1"/>
  <c r="H821" i="12"/>
  <c r="E821" i="12"/>
  <c r="G821" i="12" s="1"/>
  <c r="H820" i="12"/>
  <c r="E820" i="12"/>
  <c r="G820" i="12" s="1"/>
  <c r="H819" i="12"/>
  <c r="E819" i="12"/>
  <c r="G819" i="12" s="1"/>
  <c r="H818" i="12"/>
  <c r="E818" i="12"/>
  <c r="G818" i="12" s="1"/>
  <c r="H817" i="12"/>
  <c r="E817" i="12"/>
  <c r="G817" i="12" s="1"/>
  <c r="H816" i="12"/>
  <c r="E816" i="12"/>
  <c r="G816" i="12" s="1"/>
  <c r="H815" i="12"/>
  <c r="E815" i="12"/>
  <c r="G815" i="12" s="1"/>
  <c r="H814" i="12"/>
  <c r="E814" i="12"/>
  <c r="G814" i="12" s="1"/>
  <c r="H813" i="12"/>
  <c r="E813" i="12"/>
  <c r="G813" i="12" s="1"/>
  <c r="H812" i="12"/>
  <c r="E812" i="12"/>
  <c r="G812" i="12" s="1"/>
  <c r="H811" i="12"/>
  <c r="E811" i="12"/>
  <c r="G811" i="12" s="1"/>
  <c r="H810" i="12"/>
  <c r="E810" i="12"/>
  <c r="G810" i="12" s="1"/>
  <c r="H809" i="12"/>
  <c r="E809" i="12"/>
  <c r="G809" i="12" s="1"/>
  <c r="H808" i="12"/>
  <c r="E808" i="12"/>
  <c r="G808" i="12" s="1"/>
  <c r="H807" i="12"/>
  <c r="E807" i="12"/>
  <c r="G807" i="12" s="1"/>
  <c r="H806" i="12"/>
  <c r="E806" i="12"/>
  <c r="G806" i="12" s="1"/>
  <c r="H805" i="12"/>
  <c r="E805" i="12"/>
  <c r="G805" i="12" s="1"/>
  <c r="H804" i="12"/>
  <c r="E804" i="12"/>
  <c r="G804" i="12" s="1"/>
  <c r="H803" i="12"/>
  <c r="E803" i="12"/>
  <c r="G803" i="12" s="1"/>
  <c r="H802" i="12"/>
  <c r="E802" i="12"/>
  <c r="G802" i="12" s="1"/>
  <c r="H801" i="12"/>
  <c r="E801" i="12"/>
  <c r="G801" i="12" s="1"/>
  <c r="H800" i="12"/>
  <c r="E800" i="12"/>
  <c r="G800" i="12" s="1"/>
  <c r="H799" i="12"/>
  <c r="E799" i="12"/>
  <c r="G799" i="12" s="1"/>
  <c r="H798" i="12"/>
  <c r="E798" i="12"/>
  <c r="G798" i="12" s="1"/>
  <c r="H797" i="12"/>
  <c r="E797" i="12"/>
  <c r="G797" i="12" s="1"/>
  <c r="H796" i="12"/>
  <c r="E796" i="12"/>
  <c r="G796" i="12" s="1"/>
  <c r="H795" i="12"/>
  <c r="E795" i="12"/>
  <c r="G795" i="12" s="1"/>
  <c r="H794" i="12"/>
  <c r="E794" i="12"/>
  <c r="G794" i="12" s="1"/>
  <c r="H793" i="12"/>
  <c r="E793" i="12"/>
  <c r="G793" i="12" s="1"/>
  <c r="H792" i="12"/>
  <c r="E792" i="12"/>
  <c r="G792" i="12" s="1"/>
  <c r="H791" i="12"/>
  <c r="E791" i="12"/>
  <c r="G791" i="12" s="1"/>
  <c r="H790" i="12"/>
  <c r="E790" i="12"/>
  <c r="G790" i="12" s="1"/>
  <c r="H789" i="12"/>
  <c r="E789" i="12"/>
  <c r="G789" i="12" s="1"/>
  <c r="H788" i="12"/>
  <c r="E788" i="12"/>
  <c r="G788" i="12" s="1"/>
  <c r="H787" i="12"/>
  <c r="E787" i="12"/>
  <c r="G787" i="12" s="1"/>
  <c r="H786" i="12"/>
  <c r="E786" i="12"/>
  <c r="G786" i="12" s="1"/>
  <c r="H785" i="12"/>
  <c r="E785" i="12"/>
  <c r="G785" i="12" s="1"/>
  <c r="H784" i="12"/>
  <c r="E784" i="12"/>
  <c r="G784" i="12" s="1"/>
  <c r="H783" i="12"/>
  <c r="E783" i="12"/>
  <c r="G783" i="12" s="1"/>
  <c r="H782" i="12"/>
  <c r="E782" i="12"/>
  <c r="G782" i="12" s="1"/>
  <c r="H781" i="12"/>
  <c r="E781" i="12"/>
  <c r="G781" i="12" s="1"/>
  <c r="H780" i="12"/>
  <c r="E780" i="12"/>
  <c r="G780" i="12" s="1"/>
  <c r="H779" i="12"/>
  <c r="E779" i="12"/>
  <c r="G779" i="12" s="1"/>
  <c r="H778" i="12"/>
  <c r="E778" i="12"/>
  <c r="G778" i="12" s="1"/>
  <c r="H777" i="12"/>
  <c r="E777" i="12"/>
  <c r="G777" i="12" s="1"/>
  <c r="H776" i="12"/>
  <c r="E776" i="12"/>
  <c r="G776" i="12" s="1"/>
  <c r="H775" i="12"/>
  <c r="E775" i="12"/>
  <c r="G775" i="12" s="1"/>
  <c r="H774" i="12"/>
  <c r="E774" i="12"/>
  <c r="G774" i="12" s="1"/>
  <c r="H773" i="12"/>
  <c r="E773" i="12"/>
  <c r="G773" i="12" s="1"/>
  <c r="H772" i="12"/>
  <c r="E772" i="12"/>
  <c r="G772" i="12" s="1"/>
  <c r="H771" i="12"/>
  <c r="E771" i="12"/>
  <c r="G771" i="12" s="1"/>
  <c r="H770" i="12"/>
  <c r="E770" i="12"/>
  <c r="G770" i="12" s="1"/>
  <c r="H769" i="12"/>
  <c r="E769" i="12"/>
  <c r="G769" i="12" s="1"/>
  <c r="H768" i="12"/>
  <c r="E768" i="12"/>
  <c r="G768" i="12" s="1"/>
  <c r="H767" i="12"/>
  <c r="E767" i="12"/>
  <c r="G767" i="12" s="1"/>
  <c r="H766" i="12"/>
  <c r="E766" i="12"/>
  <c r="G766" i="12" s="1"/>
  <c r="H765" i="12"/>
  <c r="E765" i="12"/>
  <c r="G765" i="12" s="1"/>
  <c r="H764" i="12"/>
  <c r="E764" i="12"/>
  <c r="G764" i="12" s="1"/>
  <c r="H763" i="12"/>
  <c r="E763" i="12"/>
  <c r="G763" i="12" s="1"/>
  <c r="H762" i="12"/>
  <c r="E762" i="12"/>
  <c r="G762" i="12" s="1"/>
  <c r="H761" i="12"/>
  <c r="E761" i="12"/>
  <c r="G761" i="12" s="1"/>
  <c r="H760" i="12"/>
  <c r="E760" i="12"/>
  <c r="G760" i="12" s="1"/>
  <c r="H759" i="12"/>
  <c r="E759" i="12"/>
  <c r="G759" i="12" s="1"/>
  <c r="H758" i="12"/>
  <c r="E758" i="12"/>
  <c r="G758" i="12" s="1"/>
  <c r="H757" i="12"/>
  <c r="E757" i="12"/>
  <c r="G757" i="12" s="1"/>
  <c r="H756" i="12"/>
  <c r="E756" i="12"/>
  <c r="G756" i="12" s="1"/>
  <c r="H755" i="12"/>
  <c r="E755" i="12"/>
  <c r="G755" i="12" s="1"/>
  <c r="H754" i="12"/>
  <c r="E754" i="12"/>
  <c r="G754" i="12" s="1"/>
  <c r="H753" i="12"/>
  <c r="E753" i="12"/>
  <c r="G753" i="12" s="1"/>
  <c r="H752" i="12"/>
  <c r="E752" i="12"/>
  <c r="G752" i="12" s="1"/>
  <c r="H751" i="12"/>
  <c r="E751" i="12"/>
  <c r="G751" i="12" s="1"/>
  <c r="H750" i="12"/>
  <c r="E750" i="12"/>
  <c r="G750" i="12" s="1"/>
  <c r="H749" i="12"/>
  <c r="E749" i="12"/>
  <c r="G749" i="12" s="1"/>
  <c r="H748" i="12"/>
  <c r="E748" i="12"/>
  <c r="G748" i="12" s="1"/>
  <c r="H747" i="12"/>
  <c r="E747" i="12"/>
  <c r="G747" i="12" s="1"/>
  <c r="H746" i="12"/>
  <c r="E746" i="12"/>
  <c r="G746" i="12" s="1"/>
  <c r="H745" i="12"/>
  <c r="E745" i="12"/>
  <c r="G745" i="12" s="1"/>
  <c r="H744" i="12"/>
  <c r="E744" i="12"/>
  <c r="G744" i="12" s="1"/>
  <c r="H743" i="12"/>
  <c r="E743" i="12"/>
  <c r="G743" i="12" s="1"/>
  <c r="H742" i="12"/>
  <c r="E742" i="12"/>
  <c r="G742" i="12" s="1"/>
  <c r="H741" i="12"/>
  <c r="E741" i="12"/>
  <c r="G741" i="12" s="1"/>
  <c r="H740" i="12"/>
  <c r="E740" i="12"/>
  <c r="G740" i="12" s="1"/>
  <c r="H739" i="12"/>
  <c r="E739" i="12"/>
  <c r="G739" i="12" s="1"/>
  <c r="H738" i="12"/>
  <c r="E738" i="12"/>
  <c r="G738" i="12" s="1"/>
  <c r="H737" i="12"/>
  <c r="E737" i="12"/>
  <c r="G737" i="12" s="1"/>
  <c r="H736" i="12"/>
  <c r="E736" i="12"/>
  <c r="G736" i="12" s="1"/>
  <c r="H735" i="12"/>
  <c r="E735" i="12"/>
  <c r="G735" i="12" s="1"/>
  <c r="H734" i="12"/>
  <c r="E734" i="12"/>
  <c r="G734" i="12" s="1"/>
  <c r="H733" i="12"/>
  <c r="E733" i="12"/>
  <c r="G733" i="12" s="1"/>
  <c r="H732" i="12"/>
  <c r="E732" i="12"/>
  <c r="G732" i="12" s="1"/>
  <c r="H731" i="12"/>
  <c r="E731" i="12"/>
  <c r="G731" i="12" s="1"/>
  <c r="H730" i="12"/>
  <c r="E730" i="12"/>
  <c r="G730" i="12" s="1"/>
  <c r="H729" i="12"/>
  <c r="E729" i="12"/>
  <c r="G729" i="12" s="1"/>
  <c r="H728" i="12"/>
  <c r="E728" i="12"/>
  <c r="G728" i="12" s="1"/>
  <c r="H727" i="12"/>
  <c r="E727" i="12"/>
  <c r="G727" i="12" s="1"/>
  <c r="H726" i="12"/>
  <c r="E726" i="12"/>
  <c r="G726" i="12" s="1"/>
  <c r="H725" i="12"/>
  <c r="E725" i="12"/>
  <c r="G725" i="12" s="1"/>
  <c r="H724" i="12"/>
  <c r="E724" i="12"/>
  <c r="G724" i="12" s="1"/>
  <c r="H723" i="12"/>
  <c r="E723" i="12"/>
  <c r="G723" i="12" s="1"/>
  <c r="H722" i="12"/>
  <c r="E722" i="12"/>
  <c r="G722" i="12" s="1"/>
  <c r="H721" i="12"/>
  <c r="E721" i="12"/>
  <c r="G721" i="12" s="1"/>
  <c r="H720" i="12"/>
  <c r="E720" i="12"/>
  <c r="G720" i="12" s="1"/>
  <c r="H719" i="12"/>
  <c r="E719" i="12"/>
  <c r="G719" i="12" s="1"/>
  <c r="H718" i="12"/>
  <c r="E718" i="12"/>
  <c r="G718" i="12" s="1"/>
  <c r="H717" i="12"/>
  <c r="E717" i="12"/>
  <c r="G717" i="12" s="1"/>
  <c r="H716" i="12"/>
  <c r="E716" i="12"/>
  <c r="G716" i="12" s="1"/>
  <c r="H715" i="12"/>
  <c r="E715" i="12"/>
  <c r="G715" i="12" s="1"/>
  <c r="H714" i="12"/>
  <c r="E714" i="12"/>
  <c r="G714" i="12" s="1"/>
  <c r="H713" i="12"/>
  <c r="E713" i="12"/>
  <c r="G713" i="12" s="1"/>
  <c r="H712" i="12"/>
  <c r="E712" i="12"/>
  <c r="G712" i="12" s="1"/>
  <c r="H711" i="12"/>
  <c r="E711" i="12"/>
  <c r="G711" i="12" s="1"/>
  <c r="H710" i="12"/>
  <c r="E710" i="12"/>
  <c r="G710" i="12" s="1"/>
  <c r="H709" i="12"/>
  <c r="E709" i="12"/>
  <c r="G709" i="12" s="1"/>
  <c r="H708" i="12"/>
  <c r="E708" i="12"/>
  <c r="G708" i="12" s="1"/>
  <c r="H707" i="12"/>
  <c r="E707" i="12"/>
  <c r="G707" i="12" s="1"/>
  <c r="H706" i="12"/>
  <c r="E706" i="12"/>
  <c r="G706" i="12" s="1"/>
  <c r="H705" i="12"/>
  <c r="E705" i="12"/>
  <c r="G705" i="12" s="1"/>
  <c r="H704" i="12"/>
  <c r="E704" i="12"/>
  <c r="G704" i="12" s="1"/>
  <c r="H703" i="12"/>
  <c r="E703" i="12"/>
  <c r="G703" i="12" s="1"/>
  <c r="H702" i="12"/>
  <c r="E702" i="12"/>
  <c r="G702" i="12" s="1"/>
  <c r="H701" i="12"/>
  <c r="E701" i="12"/>
  <c r="G701" i="12" s="1"/>
  <c r="H700" i="12"/>
  <c r="E700" i="12"/>
  <c r="G700" i="12" s="1"/>
  <c r="H699" i="12"/>
  <c r="E699" i="12"/>
  <c r="G699" i="12" s="1"/>
  <c r="H698" i="12"/>
  <c r="E698" i="12"/>
  <c r="G698" i="12" s="1"/>
  <c r="H697" i="12"/>
  <c r="E697" i="12"/>
  <c r="G697" i="12" s="1"/>
  <c r="H696" i="12"/>
  <c r="E696" i="12"/>
  <c r="G696" i="12" s="1"/>
  <c r="H695" i="12"/>
  <c r="E695" i="12"/>
  <c r="G695" i="12" s="1"/>
  <c r="H694" i="12"/>
  <c r="E694" i="12"/>
  <c r="G694" i="12" s="1"/>
  <c r="H693" i="12"/>
  <c r="E693" i="12"/>
  <c r="G693" i="12" s="1"/>
  <c r="H692" i="12"/>
  <c r="E692" i="12"/>
  <c r="G692" i="12" s="1"/>
  <c r="H691" i="12"/>
  <c r="E691" i="12"/>
  <c r="G691" i="12" s="1"/>
  <c r="H690" i="12"/>
  <c r="E690" i="12"/>
  <c r="G690" i="12" s="1"/>
  <c r="H689" i="12"/>
  <c r="E689" i="12"/>
  <c r="G689" i="12" s="1"/>
  <c r="H688" i="12"/>
  <c r="E688" i="12"/>
  <c r="G688" i="12" s="1"/>
  <c r="H687" i="12"/>
  <c r="E687" i="12"/>
  <c r="G687" i="12" s="1"/>
  <c r="H686" i="12"/>
  <c r="E686" i="12"/>
  <c r="G686" i="12" s="1"/>
  <c r="H685" i="12"/>
  <c r="E685" i="12"/>
  <c r="G685" i="12" s="1"/>
  <c r="H684" i="12"/>
  <c r="E684" i="12"/>
  <c r="G684" i="12" s="1"/>
  <c r="H683" i="12"/>
  <c r="E683" i="12"/>
  <c r="G683" i="12" s="1"/>
  <c r="H682" i="12"/>
  <c r="E682" i="12"/>
  <c r="G682" i="12" s="1"/>
  <c r="H681" i="12"/>
  <c r="E681" i="12"/>
  <c r="G681" i="12" s="1"/>
  <c r="H680" i="12"/>
  <c r="E680" i="12"/>
  <c r="G680" i="12" s="1"/>
  <c r="H679" i="12"/>
  <c r="E679" i="12"/>
  <c r="G679" i="12" s="1"/>
  <c r="H678" i="12"/>
  <c r="E678" i="12"/>
  <c r="G678" i="12" s="1"/>
  <c r="H677" i="12"/>
  <c r="E677" i="12"/>
  <c r="G677" i="12" s="1"/>
  <c r="H676" i="12"/>
  <c r="E676" i="12"/>
  <c r="G676" i="12" s="1"/>
  <c r="H675" i="12"/>
  <c r="E675" i="12"/>
  <c r="G675" i="12" s="1"/>
  <c r="H674" i="12"/>
  <c r="E674" i="12"/>
  <c r="G674" i="12" s="1"/>
  <c r="H673" i="12"/>
  <c r="E673" i="12"/>
  <c r="G673" i="12" s="1"/>
  <c r="H672" i="12"/>
  <c r="E672" i="12"/>
  <c r="G672" i="12" s="1"/>
  <c r="H671" i="12"/>
  <c r="E671" i="12"/>
  <c r="G671" i="12" s="1"/>
  <c r="H670" i="12"/>
  <c r="E670" i="12"/>
  <c r="G670" i="12" s="1"/>
  <c r="H669" i="12"/>
  <c r="E669" i="12"/>
  <c r="G669" i="12" s="1"/>
  <c r="H668" i="12"/>
  <c r="E668" i="12"/>
  <c r="G668" i="12" s="1"/>
  <c r="H667" i="12"/>
  <c r="E667" i="12"/>
  <c r="G667" i="12" s="1"/>
  <c r="H666" i="12"/>
  <c r="E666" i="12"/>
  <c r="G666" i="12" s="1"/>
  <c r="H665" i="12"/>
  <c r="E665" i="12"/>
  <c r="G665" i="12" s="1"/>
  <c r="H664" i="12"/>
  <c r="E664" i="12"/>
  <c r="G664" i="12" s="1"/>
  <c r="H663" i="12"/>
  <c r="E663" i="12"/>
  <c r="G663" i="12" s="1"/>
  <c r="H662" i="12"/>
  <c r="E662" i="12"/>
  <c r="G662" i="12" s="1"/>
  <c r="H661" i="12"/>
  <c r="E661" i="12"/>
  <c r="G661" i="12" s="1"/>
  <c r="H660" i="12"/>
  <c r="E660" i="12"/>
  <c r="G660" i="12" s="1"/>
  <c r="H659" i="12"/>
  <c r="E659" i="12"/>
  <c r="G659" i="12" s="1"/>
  <c r="H658" i="12"/>
  <c r="E658" i="12"/>
  <c r="G658" i="12" s="1"/>
  <c r="H657" i="12"/>
  <c r="E657" i="12"/>
  <c r="G657" i="12" s="1"/>
  <c r="H656" i="12"/>
  <c r="E656" i="12"/>
  <c r="G656" i="12" s="1"/>
  <c r="H655" i="12"/>
  <c r="E655" i="12"/>
  <c r="G655" i="12" s="1"/>
  <c r="H654" i="12"/>
  <c r="E654" i="12"/>
  <c r="G654" i="12" s="1"/>
  <c r="H653" i="12"/>
  <c r="E653" i="12"/>
  <c r="G653" i="12" s="1"/>
  <c r="H652" i="12"/>
  <c r="E652" i="12"/>
  <c r="G652" i="12" s="1"/>
  <c r="H651" i="12"/>
  <c r="E651" i="12"/>
  <c r="G651" i="12" s="1"/>
  <c r="H650" i="12"/>
  <c r="E650" i="12"/>
  <c r="G650" i="12" s="1"/>
  <c r="H649" i="12"/>
  <c r="E649" i="12"/>
  <c r="G649" i="12" s="1"/>
  <c r="H648" i="12"/>
  <c r="E648" i="12"/>
  <c r="G648" i="12" s="1"/>
  <c r="H647" i="12"/>
  <c r="E647" i="12"/>
  <c r="G647" i="12" s="1"/>
  <c r="H646" i="12"/>
  <c r="E646" i="12"/>
  <c r="G646" i="12" s="1"/>
  <c r="H645" i="12"/>
  <c r="E645" i="12"/>
  <c r="G645" i="12" s="1"/>
  <c r="H644" i="12"/>
  <c r="E644" i="12"/>
  <c r="G644" i="12" s="1"/>
  <c r="H643" i="12"/>
  <c r="E643" i="12"/>
  <c r="G643" i="12" s="1"/>
  <c r="H642" i="12"/>
  <c r="E642" i="12"/>
  <c r="G642" i="12" s="1"/>
  <c r="H641" i="12"/>
  <c r="E641" i="12"/>
  <c r="G641" i="12" s="1"/>
  <c r="H640" i="12"/>
  <c r="E640" i="12"/>
  <c r="G640" i="12" s="1"/>
  <c r="H639" i="12"/>
  <c r="E639" i="12"/>
  <c r="G639" i="12" s="1"/>
  <c r="H638" i="12"/>
  <c r="E638" i="12"/>
  <c r="G638" i="12" s="1"/>
  <c r="H637" i="12"/>
  <c r="E637" i="12"/>
  <c r="G637" i="12" s="1"/>
  <c r="H636" i="12"/>
  <c r="E636" i="12"/>
  <c r="G636" i="12" s="1"/>
  <c r="H635" i="12"/>
  <c r="E635" i="12"/>
  <c r="G635" i="12" s="1"/>
  <c r="H634" i="12"/>
  <c r="E634" i="12"/>
  <c r="G634" i="12" s="1"/>
  <c r="H633" i="12"/>
  <c r="E633" i="12"/>
  <c r="G633" i="12" s="1"/>
  <c r="H632" i="12"/>
  <c r="E632" i="12"/>
  <c r="G632" i="12" s="1"/>
  <c r="H631" i="12"/>
  <c r="E631" i="12"/>
  <c r="G631" i="12" s="1"/>
  <c r="H630" i="12"/>
  <c r="E630" i="12"/>
  <c r="G630" i="12" s="1"/>
  <c r="H629" i="12"/>
  <c r="E629" i="12"/>
  <c r="G629" i="12" s="1"/>
  <c r="H628" i="12"/>
  <c r="E628" i="12"/>
  <c r="G628" i="12" s="1"/>
  <c r="H627" i="12"/>
  <c r="E627" i="12"/>
  <c r="G627" i="12" s="1"/>
  <c r="H626" i="12"/>
  <c r="E626" i="12"/>
  <c r="G626" i="12" s="1"/>
  <c r="H625" i="12"/>
  <c r="E625" i="12"/>
  <c r="G625" i="12" s="1"/>
  <c r="H624" i="12"/>
  <c r="E624" i="12"/>
  <c r="G624" i="12" s="1"/>
  <c r="H623" i="12"/>
  <c r="E623" i="12"/>
  <c r="G623" i="12" s="1"/>
  <c r="H622" i="12"/>
  <c r="E622" i="12"/>
  <c r="G622" i="12" s="1"/>
  <c r="H621" i="12"/>
  <c r="E621" i="12"/>
  <c r="G621" i="12" s="1"/>
  <c r="H620" i="12"/>
  <c r="E620" i="12"/>
  <c r="G620" i="12" s="1"/>
  <c r="H619" i="12"/>
  <c r="E619" i="12"/>
  <c r="G619" i="12" s="1"/>
  <c r="H618" i="12"/>
  <c r="E618" i="12"/>
  <c r="G618" i="12" s="1"/>
  <c r="H617" i="12"/>
  <c r="E617" i="12"/>
  <c r="G617" i="12" s="1"/>
  <c r="H616" i="12"/>
  <c r="E616" i="12"/>
  <c r="G616" i="12" s="1"/>
  <c r="H615" i="12"/>
  <c r="E615" i="12"/>
  <c r="G615" i="12" s="1"/>
  <c r="H614" i="12"/>
  <c r="E614" i="12"/>
  <c r="G614" i="12" s="1"/>
  <c r="H613" i="12"/>
  <c r="E613" i="12"/>
  <c r="G613" i="12" s="1"/>
  <c r="H612" i="12"/>
  <c r="E612" i="12"/>
  <c r="G612" i="12" s="1"/>
  <c r="H611" i="12"/>
  <c r="E611" i="12"/>
  <c r="G611" i="12" s="1"/>
  <c r="H610" i="12"/>
  <c r="E610" i="12"/>
  <c r="G610" i="12" s="1"/>
  <c r="H609" i="12"/>
  <c r="E609" i="12"/>
  <c r="G609" i="12" s="1"/>
  <c r="H608" i="12"/>
  <c r="E608" i="12"/>
  <c r="G608" i="12" s="1"/>
  <c r="H607" i="12"/>
  <c r="E607" i="12"/>
  <c r="G607" i="12" s="1"/>
  <c r="H606" i="12"/>
  <c r="E606" i="12"/>
  <c r="G606" i="12" s="1"/>
  <c r="H605" i="12"/>
  <c r="E605" i="12"/>
  <c r="G605" i="12" s="1"/>
  <c r="H604" i="12"/>
  <c r="E604" i="12"/>
  <c r="G604" i="12" s="1"/>
  <c r="H603" i="12"/>
  <c r="E603" i="12"/>
  <c r="G603" i="12" s="1"/>
  <c r="H602" i="12"/>
  <c r="E602" i="12"/>
  <c r="G602" i="12" s="1"/>
  <c r="H601" i="12"/>
  <c r="E601" i="12"/>
  <c r="G601" i="12" s="1"/>
  <c r="H600" i="12"/>
  <c r="E600" i="12"/>
  <c r="G600" i="12" s="1"/>
  <c r="H599" i="12"/>
  <c r="E599" i="12"/>
  <c r="G599" i="12" s="1"/>
  <c r="H598" i="12"/>
  <c r="E598" i="12"/>
  <c r="G598" i="12" s="1"/>
  <c r="H597" i="12"/>
  <c r="E597" i="12"/>
  <c r="G597" i="12" s="1"/>
  <c r="H596" i="12"/>
  <c r="E596" i="12"/>
  <c r="G596" i="12" s="1"/>
  <c r="H595" i="12"/>
  <c r="E595" i="12"/>
  <c r="G595" i="12" s="1"/>
  <c r="H594" i="12"/>
  <c r="E594" i="12"/>
  <c r="G594" i="12" s="1"/>
  <c r="H593" i="12"/>
  <c r="E593" i="12"/>
  <c r="G593" i="12" s="1"/>
  <c r="H592" i="12"/>
  <c r="E592" i="12"/>
  <c r="G592" i="12" s="1"/>
  <c r="H591" i="12"/>
  <c r="E591" i="12"/>
  <c r="G591" i="12" s="1"/>
  <c r="H590" i="12"/>
  <c r="E590" i="12"/>
  <c r="G590" i="12" s="1"/>
  <c r="H589" i="12"/>
  <c r="E589" i="12"/>
  <c r="G589" i="12" s="1"/>
  <c r="H588" i="12"/>
  <c r="E588" i="12"/>
  <c r="G588" i="12" s="1"/>
  <c r="H587" i="12"/>
  <c r="E587" i="12"/>
  <c r="G587" i="12" s="1"/>
  <c r="H586" i="12"/>
  <c r="E586" i="12"/>
  <c r="G586" i="12" s="1"/>
  <c r="H585" i="12"/>
  <c r="E585" i="12"/>
  <c r="G585" i="12" s="1"/>
  <c r="H584" i="12"/>
  <c r="E584" i="12"/>
  <c r="G584" i="12" s="1"/>
  <c r="H583" i="12"/>
  <c r="E583" i="12"/>
  <c r="G583" i="12" s="1"/>
  <c r="H582" i="12"/>
  <c r="E582" i="12"/>
  <c r="G582" i="12" s="1"/>
  <c r="H581" i="12"/>
  <c r="E581" i="12"/>
  <c r="G581" i="12" s="1"/>
  <c r="H580" i="12"/>
  <c r="E580" i="12"/>
  <c r="G580" i="12" s="1"/>
  <c r="H579" i="12"/>
  <c r="E579" i="12"/>
  <c r="G579" i="12" s="1"/>
  <c r="H578" i="12"/>
  <c r="E578" i="12"/>
  <c r="G578" i="12" s="1"/>
  <c r="H577" i="12"/>
  <c r="E577" i="12"/>
  <c r="G577" i="12" s="1"/>
  <c r="H576" i="12"/>
  <c r="E576" i="12"/>
  <c r="G576" i="12" s="1"/>
  <c r="H575" i="12"/>
  <c r="E575" i="12"/>
  <c r="G575" i="12" s="1"/>
  <c r="H574" i="12"/>
  <c r="E574" i="12"/>
  <c r="G574" i="12" s="1"/>
  <c r="H573" i="12"/>
  <c r="E573" i="12"/>
  <c r="G573" i="12" s="1"/>
  <c r="H572" i="12"/>
  <c r="E572" i="12"/>
  <c r="G572" i="12" s="1"/>
  <c r="H571" i="12"/>
  <c r="E571" i="12"/>
  <c r="G571" i="12" s="1"/>
  <c r="H570" i="12"/>
  <c r="E570" i="12"/>
  <c r="G570" i="12" s="1"/>
  <c r="H569" i="12"/>
  <c r="E569" i="12"/>
  <c r="G569" i="12" s="1"/>
  <c r="H568" i="12"/>
  <c r="E568" i="12"/>
  <c r="G568" i="12" s="1"/>
  <c r="H567" i="12"/>
  <c r="E567" i="12"/>
  <c r="G567" i="12" s="1"/>
  <c r="H566" i="12"/>
  <c r="E566" i="12"/>
  <c r="G566" i="12" s="1"/>
  <c r="H565" i="12"/>
  <c r="E565" i="12"/>
  <c r="G565" i="12" s="1"/>
  <c r="H564" i="12"/>
  <c r="E564" i="12"/>
  <c r="G564" i="12" s="1"/>
  <c r="H563" i="12"/>
  <c r="E563" i="12"/>
  <c r="G563" i="12" s="1"/>
  <c r="H562" i="12"/>
  <c r="E562" i="12"/>
  <c r="G562" i="12" s="1"/>
  <c r="H561" i="12"/>
  <c r="E561" i="12"/>
  <c r="G561" i="12" s="1"/>
  <c r="H560" i="12"/>
  <c r="E560" i="12"/>
  <c r="G560" i="12" s="1"/>
  <c r="H559" i="12"/>
  <c r="E559" i="12"/>
  <c r="G559" i="12" s="1"/>
  <c r="H558" i="12"/>
  <c r="E558" i="12"/>
  <c r="G558" i="12" s="1"/>
  <c r="H557" i="12"/>
  <c r="E557" i="12"/>
  <c r="G557" i="12" s="1"/>
  <c r="H556" i="12"/>
  <c r="E556" i="12"/>
  <c r="G556" i="12" s="1"/>
  <c r="H555" i="12"/>
  <c r="E555" i="12"/>
  <c r="G555" i="12" s="1"/>
  <c r="H554" i="12"/>
  <c r="E554" i="12"/>
  <c r="G554" i="12" s="1"/>
  <c r="H553" i="12"/>
  <c r="E553" i="12"/>
  <c r="G553" i="12" s="1"/>
  <c r="H552" i="12"/>
  <c r="E552" i="12"/>
  <c r="G552" i="12" s="1"/>
  <c r="H551" i="12"/>
  <c r="E551" i="12"/>
  <c r="G551" i="12" s="1"/>
  <c r="H550" i="12"/>
  <c r="E550" i="12"/>
  <c r="G550" i="12" s="1"/>
  <c r="H549" i="12"/>
  <c r="E549" i="12"/>
  <c r="G549" i="12" s="1"/>
  <c r="H548" i="12"/>
  <c r="E548" i="12"/>
  <c r="G548" i="12" s="1"/>
  <c r="H547" i="12"/>
  <c r="E547" i="12"/>
  <c r="G547" i="12" s="1"/>
  <c r="H546" i="12"/>
  <c r="E546" i="12"/>
  <c r="G546" i="12" s="1"/>
  <c r="H545" i="12"/>
  <c r="E545" i="12"/>
  <c r="G545" i="12" s="1"/>
  <c r="H544" i="12"/>
  <c r="E544" i="12"/>
  <c r="G544" i="12" s="1"/>
  <c r="H543" i="12"/>
  <c r="E543" i="12"/>
  <c r="G543" i="12" s="1"/>
  <c r="H542" i="12"/>
  <c r="E542" i="12"/>
  <c r="G542" i="12" s="1"/>
  <c r="H541" i="12"/>
  <c r="E541" i="12"/>
  <c r="G541" i="12" s="1"/>
  <c r="H540" i="12"/>
  <c r="E540" i="12"/>
  <c r="G540" i="12" s="1"/>
  <c r="H539" i="12"/>
  <c r="E539" i="12"/>
  <c r="G539" i="12" s="1"/>
  <c r="H538" i="12"/>
  <c r="E538" i="12"/>
  <c r="G538" i="12" s="1"/>
  <c r="H537" i="12"/>
  <c r="E537" i="12"/>
  <c r="G537" i="12" s="1"/>
  <c r="H536" i="12"/>
  <c r="E536" i="12"/>
  <c r="G536" i="12" s="1"/>
  <c r="H535" i="12"/>
  <c r="E535" i="12"/>
  <c r="G535" i="12" s="1"/>
  <c r="H534" i="12"/>
  <c r="E534" i="12"/>
  <c r="G534" i="12" s="1"/>
  <c r="H533" i="12"/>
  <c r="E533" i="12"/>
  <c r="G533" i="12" s="1"/>
  <c r="H532" i="12"/>
  <c r="E532" i="12"/>
  <c r="G532" i="12" s="1"/>
  <c r="H531" i="12"/>
  <c r="E531" i="12"/>
  <c r="G531" i="12" s="1"/>
  <c r="H530" i="12"/>
  <c r="E530" i="12"/>
  <c r="G530" i="12" s="1"/>
  <c r="H529" i="12"/>
  <c r="E529" i="12"/>
  <c r="G529" i="12" s="1"/>
  <c r="H528" i="12"/>
  <c r="E528" i="12"/>
  <c r="G528" i="12" s="1"/>
  <c r="H527" i="12"/>
  <c r="E527" i="12"/>
  <c r="G527" i="12" s="1"/>
  <c r="H526" i="12"/>
  <c r="E526" i="12"/>
  <c r="G526" i="12" s="1"/>
  <c r="H525" i="12"/>
  <c r="E525" i="12"/>
  <c r="G525" i="12" s="1"/>
  <c r="H524" i="12"/>
  <c r="E524" i="12"/>
  <c r="G524" i="12" s="1"/>
  <c r="H523" i="12"/>
  <c r="E523" i="12"/>
  <c r="G523" i="12" s="1"/>
  <c r="H522" i="12"/>
  <c r="E522" i="12"/>
  <c r="G522" i="12" s="1"/>
  <c r="H521" i="12"/>
  <c r="E521" i="12"/>
  <c r="G521" i="12" s="1"/>
  <c r="H520" i="12"/>
  <c r="E520" i="12"/>
  <c r="G520" i="12" s="1"/>
  <c r="H519" i="12"/>
  <c r="E519" i="12"/>
  <c r="G519" i="12" s="1"/>
  <c r="H518" i="12"/>
  <c r="E518" i="12"/>
  <c r="G518" i="12" s="1"/>
  <c r="H517" i="12"/>
  <c r="E517" i="12"/>
  <c r="G517" i="12" s="1"/>
  <c r="H516" i="12"/>
  <c r="E516" i="12"/>
  <c r="G516" i="12" s="1"/>
  <c r="H515" i="12"/>
  <c r="E515" i="12"/>
  <c r="G515" i="12" s="1"/>
  <c r="H514" i="12"/>
  <c r="E514" i="12"/>
  <c r="G514" i="12" s="1"/>
  <c r="H513" i="12"/>
  <c r="E513" i="12"/>
  <c r="G513" i="12" s="1"/>
  <c r="H512" i="12"/>
  <c r="E512" i="12"/>
  <c r="G512" i="12" s="1"/>
  <c r="H511" i="12"/>
  <c r="E511" i="12"/>
  <c r="G511" i="12" s="1"/>
  <c r="H510" i="12"/>
  <c r="E510" i="12"/>
  <c r="G510" i="12" s="1"/>
  <c r="H509" i="12"/>
  <c r="E509" i="12"/>
  <c r="G509" i="12" s="1"/>
  <c r="H508" i="12"/>
  <c r="E508" i="12"/>
  <c r="G508" i="12" s="1"/>
  <c r="H507" i="12"/>
  <c r="E507" i="12"/>
  <c r="G507" i="12" s="1"/>
  <c r="H506" i="12"/>
  <c r="E506" i="12"/>
  <c r="G506" i="12" s="1"/>
  <c r="H505" i="12"/>
  <c r="E505" i="12"/>
  <c r="G505" i="12" s="1"/>
  <c r="H504" i="12"/>
  <c r="E504" i="12"/>
  <c r="G504" i="12" s="1"/>
  <c r="H503" i="12"/>
  <c r="E503" i="12"/>
  <c r="G503" i="12" s="1"/>
  <c r="H502" i="12"/>
  <c r="E502" i="12"/>
  <c r="G502" i="12" s="1"/>
  <c r="H501" i="12"/>
  <c r="E501" i="12"/>
  <c r="G501" i="12" s="1"/>
  <c r="H500" i="12"/>
  <c r="E500" i="12"/>
  <c r="G500" i="12" s="1"/>
  <c r="H499" i="12"/>
  <c r="E499" i="12"/>
  <c r="G499" i="12" s="1"/>
  <c r="H498" i="12"/>
  <c r="E498" i="12"/>
  <c r="G498" i="12" s="1"/>
  <c r="H497" i="12"/>
  <c r="E497" i="12"/>
  <c r="G497" i="12" s="1"/>
  <c r="H496" i="12"/>
  <c r="E496" i="12"/>
  <c r="G496" i="12" s="1"/>
  <c r="H495" i="12"/>
  <c r="E495" i="12"/>
  <c r="G495" i="12" s="1"/>
  <c r="H494" i="12"/>
  <c r="E494" i="12"/>
  <c r="G494" i="12" s="1"/>
  <c r="H493" i="12"/>
  <c r="E493" i="12"/>
  <c r="G493" i="12" s="1"/>
  <c r="H492" i="12"/>
  <c r="E492" i="12"/>
  <c r="G492" i="12" s="1"/>
  <c r="H491" i="12"/>
  <c r="E491" i="12"/>
  <c r="G491" i="12" s="1"/>
  <c r="H490" i="12"/>
  <c r="E490" i="12"/>
  <c r="G490" i="12" s="1"/>
  <c r="H489" i="12"/>
  <c r="E489" i="12"/>
  <c r="G489" i="12" s="1"/>
  <c r="H488" i="12"/>
  <c r="E488" i="12"/>
  <c r="G488" i="12" s="1"/>
  <c r="H487" i="12"/>
  <c r="E487" i="12"/>
  <c r="G487" i="12" s="1"/>
  <c r="H486" i="12"/>
  <c r="E486" i="12"/>
  <c r="G486" i="12" s="1"/>
  <c r="H485" i="12"/>
  <c r="E485" i="12"/>
  <c r="G485" i="12" s="1"/>
  <c r="H484" i="12"/>
  <c r="E484" i="12"/>
  <c r="G484" i="12" s="1"/>
  <c r="H483" i="12"/>
  <c r="E483" i="12"/>
  <c r="G483" i="12" s="1"/>
  <c r="H482" i="12"/>
  <c r="E482" i="12"/>
  <c r="G482" i="12" s="1"/>
  <c r="H481" i="12"/>
  <c r="E481" i="12"/>
  <c r="G481" i="12" s="1"/>
  <c r="H480" i="12"/>
  <c r="E480" i="12"/>
  <c r="G480" i="12" s="1"/>
  <c r="H479" i="12"/>
  <c r="E479" i="12"/>
  <c r="G479" i="12" s="1"/>
  <c r="H478" i="12"/>
  <c r="E478" i="12"/>
  <c r="G478" i="12" s="1"/>
  <c r="H477" i="12"/>
  <c r="E477" i="12"/>
  <c r="G477" i="12" s="1"/>
  <c r="H476" i="12"/>
  <c r="E476" i="12"/>
  <c r="G476" i="12" s="1"/>
  <c r="H475" i="12"/>
  <c r="E475" i="12"/>
  <c r="G475" i="12" s="1"/>
  <c r="H474" i="12"/>
  <c r="E474" i="12"/>
  <c r="G474" i="12" s="1"/>
  <c r="H473" i="12"/>
  <c r="E473" i="12"/>
  <c r="G473" i="12" s="1"/>
  <c r="H472" i="12"/>
  <c r="E472" i="12"/>
  <c r="G472" i="12" s="1"/>
  <c r="H471" i="12"/>
  <c r="E471" i="12"/>
  <c r="G471" i="12" s="1"/>
  <c r="H470" i="12"/>
  <c r="E470" i="12"/>
  <c r="G470" i="12" s="1"/>
  <c r="H469" i="12"/>
  <c r="E469" i="12"/>
  <c r="G469" i="12" s="1"/>
  <c r="H468" i="12"/>
  <c r="E468" i="12"/>
  <c r="G468" i="12" s="1"/>
  <c r="H467" i="12"/>
  <c r="E467" i="12"/>
  <c r="G467" i="12" s="1"/>
  <c r="H466" i="12"/>
  <c r="E466" i="12"/>
  <c r="G466" i="12" s="1"/>
  <c r="H465" i="12"/>
  <c r="E465" i="12"/>
  <c r="G465" i="12" s="1"/>
  <c r="H464" i="12"/>
  <c r="E464" i="12"/>
  <c r="G464" i="12" s="1"/>
  <c r="H463" i="12"/>
  <c r="E463" i="12"/>
  <c r="G463" i="12" s="1"/>
  <c r="H462" i="12"/>
  <c r="E462" i="12"/>
  <c r="G462" i="12" s="1"/>
  <c r="H461" i="12"/>
  <c r="E461" i="12"/>
  <c r="G461" i="12" s="1"/>
  <c r="H460" i="12"/>
  <c r="E460" i="12"/>
  <c r="G460" i="12" s="1"/>
  <c r="H459" i="12"/>
  <c r="E459" i="12"/>
  <c r="G459" i="12" s="1"/>
  <c r="H458" i="12"/>
  <c r="E458" i="12"/>
  <c r="G458" i="12" s="1"/>
  <c r="H457" i="12"/>
  <c r="E457" i="12"/>
  <c r="G457" i="12" s="1"/>
  <c r="H456" i="12"/>
  <c r="E456" i="12"/>
  <c r="G456" i="12" s="1"/>
  <c r="H455" i="12"/>
  <c r="E455" i="12"/>
  <c r="G455" i="12" s="1"/>
  <c r="H454" i="12"/>
  <c r="E454" i="12"/>
  <c r="G454" i="12" s="1"/>
  <c r="H453" i="12"/>
  <c r="E453" i="12"/>
  <c r="G453" i="12" s="1"/>
  <c r="H452" i="12"/>
  <c r="E452" i="12"/>
  <c r="G452" i="12" s="1"/>
  <c r="H451" i="12"/>
  <c r="E451" i="12"/>
  <c r="G451" i="12" s="1"/>
  <c r="H450" i="12"/>
  <c r="E450" i="12"/>
  <c r="G450" i="12" s="1"/>
  <c r="H449" i="12"/>
  <c r="E449" i="12"/>
  <c r="G449" i="12" s="1"/>
  <c r="H448" i="12"/>
  <c r="E448" i="12"/>
  <c r="G448" i="12" s="1"/>
  <c r="H447" i="12"/>
  <c r="E447" i="12"/>
  <c r="G447" i="12" s="1"/>
  <c r="H446" i="12"/>
  <c r="E446" i="12"/>
  <c r="G446" i="12" s="1"/>
  <c r="H445" i="12"/>
  <c r="E445" i="12"/>
  <c r="G445" i="12" s="1"/>
  <c r="H444" i="12"/>
  <c r="E444" i="12"/>
  <c r="G444" i="12" s="1"/>
  <c r="H443" i="12"/>
  <c r="E443" i="12"/>
  <c r="G443" i="12" s="1"/>
  <c r="H442" i="12"/>
  <c r="E442" i="12"/>
  <c r="G442" i="12" s="1"/>
  <c r="H441" i="12"/>
  <c r="E441" i="12"/>
  <c r="G441" i="12" s="1"/>
  <c r="H440" i="12"/>
  <c r="E440" i="12"/>
  <c r="G440" i="12" s="1"/>
  <c r="H439" i="12"/>
  <c r="E439" i="12"/>
  <c r="G439" i="12" s="1"/>
  <c r="H438" i="12"/>
  <c r="E438" i="12"/>
  <c r="G438" i="12" s="1"/>
  <c r="H437" i="12"/>
  <c r="E437" i="12"/>
  <c r="G437" i="12" s="1"/>
  <c r="H436" i="12"/>
  <c r="E436" i="12"/>
  <c r="G436" i="12" s="1"/>
  <c r="H435" i="12"/>
  <c r="E435" i="12"/>
  <c r="G435" i="12" s="1"/>
  <c r="H434" i="12"/>
  <c r="E434" i="12"/>
  <c r="G434" i="12" s="1"/>
  <c r="H433" i="12"/>
  <c r="E433" i="12"/>
  <c r="G433" i="12" s="1"/>
  <c r="H432" i="12"/>
  <c r="E432" i="12"/>
  <c r="G432" i="12" s="1"/>
  <c r="H431" i="12"/>
  <c r="E431" i="12"/>
  <c r="G431" i="12" s="1"/>
  <c r="H430" i="12"/>
  <c r="E430" i="12"/>
  <c r="G430" i="12" s="1"/>
  <c r="H429" i="12"/>
  <c r="E429" i="12"/>
  <c r="G429" i="12" s="1"/>
  <c r="H428" i="12"/>
  <c r="E428" i="12"/>
  <c r="G428" i="12" s="1"/>
  <c r="H427" i="12"/>
  <c r="E427" i="12"/>
  <c r="G427" i="12" s="1"/>
  <c r="H426" i="12"/>
  <c r="E426" i="12"/>
  <c r="G426" i="12" s="1"/>
  <c r="H425" i="12"/>
  <c r="E425" i="12"/>
  <c r="G425" i="12" s="1"/>
  <c r="H424" i="12"/>
  <c r="E424" i="12"/>
  <c r="G424" i="12" s="1"/>
  <c r="H423" i="12"/>
  <c r="E423" i="12"/>
  <c r="G423" i="12" s="1"/>
  <c r="H422" i="12"/>
  <c r="E422" i="12"/>
  <c r="G422" i="12" s="1"/>
  <c r="H421" i="12"/>
  <c r="E421" i="12"/>
  <c r="G421" i="12" s="1"/>
  <c r="H420" i="12"/>
  <c r="E420" i="12"/>
  <c r="G420" i="12" s="1"/>
  <c r="H419" i="12"/>
  <c r="E419" i="12"/>
  <c r="G419" i="12" s="1"/>
  <c r="H418" i="12"/>
  <c r="E418" i="12"/>
  <c r="G418" i="12" s="1"/>
  <c r="H417" i="12"/>
  <c r="E417" i="12"/>
  <c r="G417" i="12" s="1"/>
  <c r="H416" i="12"/>
  <c r="E416" i="12"/>
  <c r="G416" i="12" s="1"/>
  <c r="H415" i="12"/>
  <c r="E415" i="12"/>
  <c r="G415" i="12" s="1"/>
  <c r="H414" i="12"/>
  <c r="E414" i="12"/>
  <c r="G414" i="12" s="1"/>
  <c r="H413" i="12"/>
  <c r="E413" i="12"/>
  <c r="G413" i="12" s="1"/>
  <c r="H412" i="12"/>
  <c r="E412" i="12"/>
  <c r="G412" i="12" s="1"/>
  <c r="H411" i="12"/>
  <c r="E411" i="12"/>
  <c r="G411" i="12" s="1"/>
  <c r="H410" i="12"/>
  <c r="E410" i="12"/>
  <c r="G410" i="12" s="1"/>
  <c r="H409" i="12"/>
  <c r="E409" i="12"/>
  <c r="G409" i="12" s="1"/>
  <c r="H408" i="12"/>
  <c r="E408" i="12"/>
  <c r="G408" i="12" s="1"/>
  <c r="H407" i="12"/>
  <c r="E407" i="12"/>
  <c r="G407" i="12" s="1"/>
  <c r="H406" i="12"/>
  <c r="E406" i="12"/>
  <c r="G406" i="12" s="1"/>
  <c r="H405" i="12"/>
  <c r="E405" i="12"/>
  <c r="G405" i="12" s="1"/>
  <c r="H404" i="12"/>
  <c r="E404" i="12"/>
  <c r="G404" i="12" s="1"/>
  <c r="H403" i="12"/>
  <c r="E403" i="12"/>
  <c r="G403" i="12" s="1"/>
  <c r="H402" i="12"/>
  <c r="E402" i="12"/>
  <c r="G402" i="12" s="1"/>
  <c r="H401" i="12"/>
  <c r="E401" i="12"/>
  <c r="G401" i="12" s="1"/>
  <c r="H400" i="12"/>
  <c r="E400" i="12"/>
  <c r="G400" i="12" s="1"/>
  <c r="H399" i="12"/>
  <c r="E399" i="12"/>
  <c r="G399" i="12" s="1"/>
  <c r="H398" i="12"/>
  <c r="E398" i="12"/>
  <c r="G398" i="12" s="1"/>
  <c r="H397" i="12"/>
  <c r="E397" i="12"/>
  <c r="G397" i="12" s="1"/>
  <c r="H396" i="12"/>
  <c r="E396" i="12"/>
  <c r="G396" i="12" s="1"/>
  <c r="H395" i="12"/>
  <c r="E395" i="12"/>
  <c r="G395" i="12" s="1"/>
  <c r="H394" i="12"/>
  <c r="E394" i="12"/>
  <c r="G394" i="12" s="1"/>
  <c r="H393" i="12"/>
  <c r="E393" i="12"/>
  <c r="G393" i="12" s="1"/>
  <c r="H392" i="12"/>
  <c r="E392" i="12"/>
  <c r="G392" i="12" s="1"/>
  <c r="H391" i="12"/>
  <c r="E391" i="12"/>
  <c r="G391" i="12" s="1"/>
  <c r="H390" i="12"/>
  <c r="E390" i="12"/>
  <c r="G390" i="12" s="1"/>
  <c r="H389" i="12"/>
  <c r="E389" i="12"/>
  <c r="G389" i="12" s="1"/>
  <c r="H388" i="12"/>
  <c r="E388" i="12"/>
  <c r="G388" i="12" s="1"/>
  <c r="H387" i="12"/>
  <c r="E387" i="12"/>
  <c r="G387" i="12" s="1"/>
  <c r="H386" i="12"/>
  <c r="E386" i="12"/>
  <c r="G386" i="12" s="1"/>
  <c r="H385" i="12"/>
  <c r="E385" i="12"/>
  <c r="G385" i="12" s="1"/>
  <c r="H384" i="12"/>
  <c r="E384" i="12"/>
  <c r="G384" i="12" s="1"/>
  <c r="H383" i="12"/>
  <c r="E383" i="12"/>
  <c r="G383" i="12" s="1"/>
  <c r="H382" i="12"/>
  <c r="E382" i="12"/>
  <c r="G382" i="12" s="1"/>
  <c r="H381" i="12"/>
  <c r="E381" i="12"/>
  <c r="G381" i="12" s="1"/>
  <c r="H380" i="12"/>
  <c r="E380" i="12"/>
  <c r="G380" i="12" s="1"/>
  <c r="H379" i="12"/>
  <c r="E379" i="12"/>
  <c r="G379" i="12" s="1"/>
  <c r="H378" i="12"/>
  <c r="E378" i="12"/>
  <c r="G378" i="12" s="1"/>
  <c r="H377" i="12"/>
  <c r="E377" i="12"/>
  <c r="G377" i="12" s="1"/>
  <c r="H376" i="12"/>
  <c r="E376" i="12"/>
  <c r="G376" i="12" s="1"/>
  <c r="H375" i="12"/>
  <c r="E375" i="12"/>
  <c r="G375" i="12" s="1"/>
  <c r="H374" i="12"/>
  <c r="E374" i="12"/>
  <c r="G374" i="12" s="1"/>
  <c r="H373" i="12"/>
  <c r="E373" i="12"/>
  <c r="G373" i="12" s="1"/>
  <c r="H372" i="12"/>
  <c r="E372" i="12"/>
  <c r="G372" i="12" s="1"/>
  <c r="H371" i="12"/>
  <c r="E371" i="12"/>
  <c r="G371" i="12" s="1"/>
  <c r="H370" i="12"/>
  <c r="E370" i="12"/>
  <c r="G370" i="12" s="1"/>
  <c r="H369" i="12"/>
  <c r="E369" i="12"/>
  <c r="G369" i="12" s="1"/>
  <c r="H368" i="12"/>
  <c r="E368" i="12"/>
  <c r="G368" i="12" s="1"/>
  <c r="H367" i="12"/>
  <c r="E367" i="12"/>
  <c r="G367" i="12" s="1"/>
  <c r="H366" i="12"/>
  <c r="E366" i="12"/>
  <c r="G366" i="12" s="1"/>
  <c r="H365" i="12"/>
  <c r="E365" i="12"/>
  <c r="G365" i="12" s="1"/>
  <c r="H364" i="12"/>
  <c r="E364" i="12"/>
  <c r="G364" i="12" s="1"/>
  <c r="H363" i="12"/>
  <c r="E363" i="12"/>
  <c r="G363" i="12" s="1"/>
  <c r="H362" i="12"/>
  <c r="E362" i="12"/>
  <c r="G362" i="12" s="1"/>
  <c r="H361" i="12"/>
  <c r="E361" i="12"/>
  <c r="G361" i="12" s="1"/>
  <c r="H360" i="12"/>
  <c r="E360" i="12"/>
  <c r="G360" i="12" s="1"/>
  <c r="H359" i="12"/>
  <c r="E359" i="12"/>
  <c r="G359" i="12" s="1"/>
  <c r="H358" i="12"/>
  <c r="E358" i="12"/>
  <c r="G358" i="12" s="1"/>
  <c r="H357" i="12"/>
  <c r="E357" i="12"/>
  <c r="G357" i="12" s="1"/>
  <c r="H356" i="12"/>
  <c r="E356" i="12"/>
  <c r="G356" i="12" s="1"/>
  <c r="H355" i="12"/>
  <c r="E355" i="12"/>
  <c r="G355" i="12" s="1"/>
  <c r="H354" i="12"/>
  <c r="E354" i="12"/>
  <c r="G354" i="12" s="1"/>
  <c r="H353" i="12"/>
  <c r="E353" i="12"/>
  <c r="G353" i="12" s="1"/>
  <c r="H352" i="12"/>
  <c r="E352" i="12"/>
  <c r="G352" i="12" s="1"/>
  <c r="H351" i="12"/>
  <c r="E351" i="12"/>
  <c r="G351" i="12" s="1"/>
  <c r="H350" i="12"/>
  <c r="E350" i="12"/>
  <c r="G350" i="12" s="1"/>
  <c r="H349" i="12"/>
  <c r="E349" i="12"/>
  <c r="G349" i="12" s="1"/>
  <c r="H348" i="12"/>
  <c r="E348" i="12"/>
  <c r="G348" i="12" s="1"/>
  <c r="H347" i="12"/>
  <c r="E347" i="12"/>
  <c r="G347" i="12" s="1"/>
  <c r="H346" i="12"/>
  <c r="E346" i="12"/>
  <c r="G346" i="12" s="1"/>
  <c r="H345" i="12"/>
  <c r="E345" i="12"/>
  <c r="G345" i="12" s="1"/>
  <c r="H344" i="12"/>
  <c r="E344" i="12"/>
  <c r="G344" i="12" s="1"/>
  <c r="H343" i="12"/>
  <c r="E343" i="12"/>
  <c r="G343" i="12" s="1"/>
  <c r="H342" i="12"/>
  <c r="E342" i="12"/>
  <c r="G342" i="12" s="1"/>
  <c r="H341" i="12"/>
  <c r="E341" i="12"/>
  <c r="G341" i="12" s="1"/>
  <c r="H340" i="12"/>
  <c r="E340" i="12"/>
  <c r="G340" i="12" s="1"/>
  <c r="H339" i="12"/>
  <c r="E339" i="12"/>
  <c r="G339" i="12" s="1"/>
  <c r="H338" i="12"/>
  <c r="E338" i="12"/>
  <c r="G338" i="12" s="1"/>
  <c r="H337" i="12"/>
  <c r="E337" i="12"/>
  <c r="G337" i="12" s="1"/>
  <c r="H336" i="12"/>
  <c r="E336" i="12"/>
  <c r="G336" i="12" s="1"/>
  <c r="H335" i="12"/>
  <c r="E335" i="12"/>
  <c r="G335" i="12" s="1"/>
  <c r="H334" i="12"/>
  <c r="E334" i="12"/>
  <c r="G334" i="12" s="1"/>
  <c r="H333" i="12"/>
  <c r="E333" i="12"/>
  <c r="G333" i="12" s="1"/>
  <c r="H332" i="12"/>
  <c r="E332" i="12"/>
  <c r="G332" i="12" s="1"/>
  <c r="H331" i="12"/>
  <c r="E331" i="12"/>
  <c r="G331" i="12" s="1"/>
  <c r="H330" i="12"/>
  <c r="E330" i="12"/>
  <c r="G330" i="12" s="1"/>
  <c r="H329" i="12"/>
  <c r="E329" i="12"/>
  <c r="G329" i="12" s="1"/>
  <c r="H328" i="12"/>
  <c r="E328" i="12"/>
  <c r="G328" i="12" s="1"/>
  <c r="H327" i="12"/>
  <c r="E327" i="12"/>
  <c r="G327" i="12" s="1"/>
  <c r="H326" i="12"/>
  <c r="E326" i="12"/>
  <c r="G326" i="12" s="1"/>
  <c r="H325" i="12"/>
  <c r="E325" i="12"/>
  <c r="G325" i="12" s="1"/>
  <c r="H324" i="12"/>
  <c r="E324" i="12"/>
  <c r="G324" i="12" s="1"/>
  <c r="H323" i="12"/>
  <c r="E323" i="12"/>
  <c r="G323" i="12" s="1"/>
  <c r="H322" i="12"/>
  <c r="E322" i="12"/>
  <c r="G322" i="12" s="1"/>
  <c r="H321" i="12"/>
  <c r="E321" i="12"/>
  <c r="G321" i="12" s="1"/>
  <c r="H320" i="12"/>
  <c r="E320" i="12"/>
  <c r="G320" i="12" s="1"/>
  <c r="H319" i="12"/>
  <c r="E319" i="12"/>
  <c r="G319" i="12" s="1"/>
  <c r="H318" i="12"/>
  <c r="E318" i="12"/>
  <c r="G318" i="12" s="1"/>
  <c r="H317" i="12"/>
  <c r="E317" i="12"/>
  <c r="G317" i="12" s="1"/>
  <c r="H316" i="12"/>
  <c r="E316" i="12"/>
  <c r="G316" i="12" s="1"/>
  <c r="H315" i="12"/>
  <c r="E315" i="12"/>
  <c r="G315" i="12" s="1"/>
  <c r="H314" i="12"/>
  <c r="E314" i="12"/>
  <c r="G314" i="12" s="1"/>
  <c r="H313" i="12"/>
  <c r="E313" i="12"/>
  <c r="G313" i="12" s="1"/>
  <c r="H312" i="12"/>
  <c r="E312" i="12"/>
  <c r="G312" i="12" s="1"/>
  <c r="H311" i="12"/>
  <c r="E311" i="12"/>
  <c r="G311" i="12" s="1"/>
  <c r="H310" i="12"/>
  <c r="E310" i="12"/>
  <c r="G310" i="12" s="1"/>
  <c r="H309" i="12"/>
  <c r="E309" i="12"/>
  <c r="G309" i="12" s="1"/>
  <c r="H308" i="12"/>
  <c r="E308" i="12"/>
  <c r="G308" i="12" s="1"/>
  <c r="H307" i="12"/>
  <c r="E307" i="12"/>
  <c r="G307" i="12" s="1"/>
  <c r="H306" i="12"/>
  <c r="E306" i="12"/>
  <c r="G306" i="12" s="1"/>
  <c r="H305" i="12"/>
  <c r="E305" i="12"/>
  <c r="G305" i="12" s="1"/>
  <c r="H304" i="12"/>
  <c r="E304" i="12"/>
  <c r="G304" i="12" s="1"/>
  <c r="H303" i="12"/>
  <c r="E303" i="12"/>
  <c r="G303" i="12" s="1"/>
  <c r="H302" i="12"/>
  <c r="E302" i="12"/>
  <c r="G302" i="12" s="1"/>
  <c r="H301" i="12"/>
  <c r="E301" i="12"/>
  <c r="G301" i="12" s="1"/>
  <c r="H300" i="12"/>
  <c r="E300" i="12"/>
  <c r="G300" i="12" s="1"/>
  <c r="H299" i="12"/>
  <c r="E299" i="12"/>
  <c r="G299" i="12" s="1"/>
  <c r="H298" i="12"/>
  <c r="E298" i="12"/>
  <c r="G298" i="12" s="1"/>
  <c r="H297" i="12"/>
  <c r="E297" i="12"/>
  <c r="G297" i="12" s="1"/>
  <c r="H296" i="12"/>
  <c r="E296" i="12"/>
  <c r="G296" i="12" s="1"/>
  <c r="H295" i="12"/>
  <c r="E295" i="12"/>
  <c r="G295" i="12" s="1"/>
  <c r="H294" i="12"/>
  <c r="E294" i="12"/>
  <c r="G294" i="12" s="1"/>
  <c r="H293" i="12"/>
  <c r="E293" i="12"/>
  <c r="G293" i="12" s="1"/>
  <c r="H292" i="12"/>
  <c r="E292" i="12"/>
  <c r="G292" i="12" s="1"/>
  <c r="H291" i="12"/>
  <c r="E291" i="12"/>
  <c r="G291" i="12" s="1"/>
  <c r="H290" i="12"/>
  <c r="E290" i="12"/>
  <c r="G290" i="12" s="1"/>
  <c r="H289" i="12"/>
  <c r="E289" i="12"/>
  <c r="G289" i="12" s="1"/>
  <c r="H288" i="12"/>
  <c r="E288" i="12"/>
  <c r="G288" i="12" s="1"/>
  <c r="H287" i="12"/>
  <c r="E287" i="12"/>
  <c r="G287" i="12" s="1"/>
  <c r="H286" i="12"/>
  <c r="E286" i="12"/>
  <c r="G286" i="12" s="1"/>
  <c r="H285" i="12"/>
  <c r="E285" i="12"/>
  <c r="G285" i="12" s="1"/>
  <c r="H284" i="12"/>
  <c r="E284" i="12"/>
  <c r="G284" i="12" s="1"/>
  <c r="H283" i="12"/>
  <c r="E283" i="12"/>
  <c r="G283" i="12" s="1"/>
  <c r="H282" i="12"/>
  <c r="E282" i="12"/>
  <c r="G282" i="12" s="1"/>
  <c r="H281" i="12"/>
  <c r="E281" i="12"/>
  <c r="G281" i="12" s="1"/>
  <c r="H280" i="12"/>
  <c r="E280" i="12"/>
  <c r="G280" i="12" s="1"/>
  <c r="H279" i="12"/>
  <c r="E279" i="12"/>
  <c r="G279" i="12" s="1"/>
  <c r="H278" i="12"/>
  <c r="E278" i="12"/>
  <c r="G278" i="12" s="1"/>
  <c r="H277" i="12"/>
  <c r="E277" i="12"/>
  <c r="G277" i="12" s="1"/>
  <c r="H276" i="12"/>
  <c r="E276" i="12"/>
  <c r="G276" i="12" s="1"/>
  <c r="H275" i="12"/>
  <c r="E275" i="12"/>
  <c r="G275" i="12" s="1"/>
  <c r="H274" i="12"/>
  <c r="E274" i="12"/>
  <c r="G274" i="12" s="1"/>
  <c r="H273" i="12"/>
  <c r="E273" i="12"/>
  <c r="G273" i="12" s="1"/>
  <c r="H272" i="12"/>
  <c r="E272" i="12"/>
  <c r="G272" i="12" s="1"/>
  <c r="H271" i="12"/>
  <c r="E271" i="12"/>
  <c r="G271" i="12" s="1"/>
  <c r="H270" i="12"/>
  <c r="E270" i="12"/>
  <c r="G270" i="12" s="1"/>
  <c r="H269" i="12"/>
  <c r="E269" i="12"/>
  <c r="G269" i="12" s="1"/>
  <c r="H268" i="12"/>
  <c r="E268" i="12"/>
  <c r="G268" i="12" s="1"/>
  <c r="H267" i="12"/>
  <c r="E267" i="12"/>
  <c r="G267" i="12" s="1"/>
  <c r="H266" i="12"/>
  <c r="E266" i="12"/>
  <c r="G266" i="12" s="1"/>
  <c r="H265" i="12"/>
  <c r="E265" i="12"/>
  <c r="G265" i="12" s="1"/>
  <c r="H264" i="12"/>
  <c r="E264" i="12"/>
  <c r="G264" i="12" s="1"/>
  <c r="H263" i="12"/>
  <c r="E263" i="12"/>
  <c r="G263" i="12" s="1"/>
  <c r="H262" i="12"/>
  <c r="E262" i="12"/>
  <c r="G262" i="12" s="1"/>
  <c r="H261" i="12"/>
  <c r="E261" i="12"/>
  <c r="G261" i="12" s="1"/>
  <c r="H260" i="12"/>
  <c r="E260" i="12"/>
  <c r="G260" i="12" s="1"/>
  <c r="H259" i="12"/>
  <c r="E259" i="12"/>
  <c r="G259" i="12" s="1"/>
  <c r="H258" i="12"/>
  <c r="E258" i="12"/>
  <c r="G258" i="12" s="1"/>
  <c r="H257" i="12"/>
  <c r="E257" i="12"/>
  <c r="G257" i="12" s="1"/>
  <c r="H256" i="12"/>
  <c r="E256" i="12"/>
  <c r="G256" i="12" s="1"/>
  <c r="H255" i="12"/>
  <c r="E255" i="12"/>
  <c r="G255" i="12" s="1"/>
  <c r="H254" i="12"/>
  <c r="E254" i="12"/>
  <c r="G254" i="12" s="1"/>
  <c r="H253" i="12"/>
  <c r="E253" i="12"/>
  <c r="G253" i="12" s="1"/>
  <c r="H252" i="12"/>
  <c r="E252" i="12"/>
  <c r="G252" i="12" s="1"/>
  <c r="H251" i="12"/>
  <c r="E251" i="12"/>
  <c r="G251" i="12" s="1"/>
  <c r="H250" i="12"/>
  <c r="E250" i="12"/>
  <c r="G250" i="12" s="1"/>
  <c r="H249" i="12"/>
  <c r="E249" i="12"/>
  <c r="G249" i="12" s="1"/>
  <c r="H248" i="12"/>
  <c r="E248" i="12"/>
  <c r="G248" i="12" s="1"/>
  <c r="H247" i="12"/>
  <c r="E247" i="12"/>
  <c r="G247" i="12" s="1"/>
  <c r="H246" i="12"/>
  <c r="E246" i="12"/>
  <c r="G246" i="12" s="1"/>
  <c r="H245" i="12"/>
  <c r="E245" i="12"/>
  <c r="G245" i="12" s="1"/>
  <c r="H244" i="12"/>
  <c r="E244" i="12"/>
  <c r="G244" i="12" s="1"/>
  <c r="H243" i="12"/>
  <c r="E243" i="12"/>
  <c r="G243" i="12" s="1"/>
  <c r="H242" i="12"/>
  <c r="E242" i="12"/>
  <c r="G242" i="12" s="1"/>
  <c r="H241" i="12"/>
  <c r="E241" i="12"/>
  <c r="G241" i="12" s="1"/>
  <c r="H240" i="12"/>
  <c r="E240" i="12"/>
  <c r="G240" i="12" s="1"/>
  <c r="H239" i="12"/>
  <c r="E239" i="12"/>
  <c r="G239" i="12" s="1"/>
  <c r="H238" i="12"/>
  <c r="E238" i="12"/>
  <c r="G238" i="12" s="1"/>
  <c r="H237" i="12"/>
  <c r="E237" i="12"/>
  <c r="G237" i="12" s="1"/>
  <c r="H236" i="12"/>
  <c r="E236" i="12"/>
  <c r="G236" i="12" s="1"/>
  <c r="H235" i="12"/>
  <c r="E235" i="12"/>
  <c r="G235" i="12" s="1"/>
  <c r="H234" i="12"/>
  <c r="E234" i="12"/>
  <c r="G234" i="12" s="1"/>
  <c r="H233" i="12"/>
  <c r="E233" i="12"/>
  <c r="G233" i="12" s="1"/>
  <c r="H232" i="12"/>
  <c r="E232" i="12"/>
  <c r="G232" i="12" s="1"/>
  <c r="H231" i="12"/>
  <c r="E231" i="12"/>
  <c r="G231" i="12" s="1"/>
  <c r="H230" i="12"/>
  <c r="E230" i="12"/>
  <c r="G230" i="12" s="1"/>
  <c r="H229" i="12"/>
  <c r="E229" i="12"/>
  <c r="G229" i="12" s="1"/>
  <c r="H228" i="12"/>
  <c r="E228" i="12"/>
  <c r="G228" i="12" s="1"/>
  <c r="H227" i="12"/>
  <c r="E227" i="12"/>
  <c r="G227" i="12" s="1"/>
  <c r="H226" i="12"/>
  <c r="E226" i="12"/>
  <c r="G226" i="12" s="1"/>
  <c r="H225" i="12"/>
  <c r="E225" i="12"/>
  <c r="G225" i="12" s="1"/>
  <c r="H224" i="12"/>
  <c r="E224" i="12"/>
  <c r="G224" i="12" s="1"/>
  <c r="H223" i="12"/>
  <c r="E223" i="12"/>
  <c r="G223" i="12" s="1"/>
  <c r="H222" i="12"/>
  <c r="E222" i="12"/>
  <c r="G222" i="12" s="1"/>
  <c r="H221" i="12"/>
  <c r="E221" i="12"/>
  <c r="G221" i="12" s="1"/>
  <c r="H220" i="12"/>
  <c r="E220" i="12"/>
  <c r="G220" i="12" s="1"/>
  <c r="H219" i="12"/>
  <c r="E219" i="12"/>
  <c r="G219" i="12" s="1"/>
  <c r="H218" i="12"/>
  <c r="E218" i="12"/>
  <c r="G218" i="12" s="1"/>
  <c r="H217" i="12"/>
  <c r="E217" i="12"/>
  <c r="G217" i="12" s="1"/>
  <c r="H216" i="12"/>
  <c r="E216" i="12"/>
  <c r="G216" i="12" s="1"/>
  <c r="H215" i="12"/>
  <c r="E215" i="12"/>
  <c r="G215" i="12" s="1"/>
  <c r="H214" i="12"/>
  <c r="E214" i="12"/>
  <c r="G214" i="12" s="1"/>
  <c r="H213" i="12"/>
  <c r="E213" i="12"/>
  <c r="G213" i="12" s="1"/>
  <c r="H212" i="12"/>
  <c r="E212" i="12"/>
  <c r="G212" i="12" s="1"/>
  <c r="H211" i="12"/>
  <c r="E211" i="12"/>
  <c r="G211" i="12" s="1"/>
  <c r="H210" i="12"/>
  <c r="E210" i="12"/>
  <c r="G210" i="12" s="1"/>
  <c r="H209" i="12"/>
  <c r="E209" i="12"/>
  <c r="G209" i="12" s="1"/>
  <c r="H208" i="12"/>
  <c r="E208" i="12"/>
  <c r="G208" i="12" s="1"/>
  <c r="H207" i="12"/>
  <c r="E207" i="12"/>
  <c r="G207" i="12" s="1"/>
  <c r="H206" i="12"/>
  <c r="E206" i="12"/>
  <c r="G206" i="12" s="1"/>
  <c r="H205" i="12"/>
  <c r="E205" i="12"/>
  <c r="G205" i="12" s="1"/>
  <c r="H204" i="12"/>
  <c r="E204" i="12"/>
  <c r="G204" i="12" s="1"/>
  <c r="H203" i="12"/>
  <c r="E203" i="12"/>
  <c r="G203" i="12" s="1"/>
  <c r="H202" i="12"/>
  <c r="E202" i="12"/>
  <c r="G202" i="12" s="1"/>
  <c r="H201" i="12"/>
  <c r="E201" i="12"/>
  <c r="G201" i="12" s="1"/>
  <c r="H200" i="12"/>
  <c r="E200" i="12"/>
  <c r="G200" i="12" s="1"/>
  <c r="H199" i="12"/>
  <c r="E199" i="12"/>
  <c r="G199" i="12" s="1"/>
  <c r="H198" i="12"/>
  <c r="E198" i="12"/>
  <c r="G198" i="12" s="1"/>
  <c r="H197" i="12"/>
  <c r="E197" i="12"/>
  <c r="G197" i="12" s="1"/>
  <c r="H196" i="12"/>
  <c r="E196" i="12"/>
  <c r="G196" i="12" s="1"/>
  <c r="H195" i="12"/>
  <c r="E195" i="12"/>
  <c r="G195" i="12" s="1"/>
  <c r="H194" i="12"/>
  <c r="E194" i="12"/>
  <c r="G194" i="12" s="1"/>
  <c r="H193" i="12"/>
  <c r="E193" i="12"/>
  <c r="G193" i="12" s="1"/>
  <c r="H192" i="12"/>
  <c r="E192" i="12"/>
  <c r="G192" i="12" s="1"/>
  <c r="H191" i="12"/>
  <c r="E191" i="12"/>
  <c r="G191" i="12" s="1"/>
  <c r="H190" i="12"/>
  <c r="E190" i="12"/>
  <c r="G190" i="12" s="1"/>
  <c r="H189" i="12"/>
  <c r="E189" i="12"/>
  <c r="G189" i="12" s="1"/>
  <c r="H188" i="12"/>
  <c r="E188" i="12"/>
  <c r="G188" i="12" s="1"/>
  <c r="H187" i="12"/>
  <c r="E187" i="12"/>
  <c r="G187" i="12" s="1"/>
  <c r="H186" i="12"/>
  <c r="E186" i="12"/>
  <c r="G186" i="12" s="1"/>
  <c r="H185" i="12"/>
  <c r="E185" i="12"/>
  <c r="G185" i="12" s="1"/>
  <c r="H184" i="12"/>
  <c r="E184" i="12"/>
  <c r="G184" i="12" s="1"/>
  <c r="H183" i="12"/>
  <c r="E183" i="12"/>
  <c r="G183" i="12" s="1"/>
  <c r="H182" i="12"/>
  <c r="E182" i="12"/>
  <c r="G182" i="12" s="1"/>
  <c r="H181" i="12"/>
  <c r="E181" i="12"/>
  <c r="G181" i="12" s="1"/>
  <c r="H180" i="12"/>
  <c r="E180" i="12"/>
  <c r="G180" i="12" s="1"/>
  <c r="H179" i="12"/>
  <c r="E179" i="12"/>
  <c r="G179" i="12" s="1"/>
  <c r="H178" i="12"/>
  <c r="E178" i="12"/>
  <c r="G178" i="12" s="1"/>
  <c r="H177" i="12"/>
  <c r="E177" i="12"/>
  <c r="G177" i="12" s="1"/>
  <c r="H176" i="12"/>
  <c r="E176" i="12"/>
  <c r="G176" i="12" s="1"/>
  <c r="H175" i="12"/>
  <c r="E175" i="12"/>
  <c r="G175" i="12" s="1"/>
  <c r="H174" i="12"/>
  <c r="E174" i="12"/>
  <c r="G174" i="12" s="1"/>
  <c r="H173" i="12"/>
  <c r="E173" i="12"/>
  <c r="G173" i="12" s="1"/>
  <c r="H172" i="12"/>
  <c r="E172" i="12"/>
  <c r="G172" i="12" s="1"/>
  <c r="H171" i="12"/>
  <c r="E171" i="12"/>
  <c r="G171" i="12" s="1"/>
  <c r="H170" i="12"/>
  <c r="E170" i="12"/>
  <c r="G170" i="12" s="1"/>
  <c r="H169" i="12"/>
  <c r="E169" i="12"/>
  <c r="G169" i="12" s="1"/>
  <c r="H168" i="12"/>
  <c r="E168" i="12"/>
  <c r="G168" i="12" s="1"/>
  <c r="H167" i="12"/>
  <c r="E167" i="12"/>
  <c r="G167" i="12" s="1"/>
  <c r="H166" i="12"/>
  <c r="E166" i="12"/>
  <c r="G166" i="12" s="1"/>
  <c r="H165" i="12"/>
  <c r="E165" i="12"/>
  <c r="G165" i="12" s="1"/>
  <c r="H164" i="12"/>
  <c r="E164" i="12"/>
  <c r="G164" i="12" s="1"/>
  <c r="H163" i="12"/>
  <c r="E163" i="12"/>
  <c r="G163" i="12" s="1"/>
  <c r="H162" i="12"/>
  <c r="E162" i="12"/>
  <c r="G162" i="12" s="1"/>
  <c r="H161" i="12"/>
  <c r="E161" i="12"/>
  <c r="G161" i="12" s="1"/>
  <c r="H160" i="12"/>
  <c r="E160" i="12"/>
  <c r="G160" i="12" s="1"/>
  <c r="H159" i="12"/>
  <c r="E159" i="12"/>
  <c r="G159" i="12" s="1"/>
  <c r="H158" i="12"/>
  <c r="E158" i="12"/>
  <c r="G158" i="12" s="1"/>
  <c r="H157" i="12"/>
  <c r="E157" i="12"/>
  <c r="G157" i="12" s="1"/>
  <c r="H156" i="12"/>
  <c r="E156" i="12"/>
  <c r="G156" i="12" s="1"/>
  <c r="H155" i="12"/>
  <c r="E155" i="12"/>
  <c r="G155" i="12" s="1"/>
  <c r="H154" i="12"/>
  <c r="E154" i="12"/>
  <c r="G154" i="12" s="1"/>
  <c r="H153" i="12"/>
  <c r="E153" i="12"/>
  <c r="G153" i="12" s="1"/>
  <c r="H152" i="12"/>
  <c r="E152" i="12"/>
  <c r="G152" i="12" s="1"/>
  <c r="H151" i="12"/>
  <c r="E151" i="12"/>
  <c r="G151" i="12" s="1"/>
  <c r="H150" i="12"/>
  <c r="G150" i="12"/>
  <c r="E150" i="12"/>
  <c r="H149" i="12"/>
  <c r="E149" i="12"/>
  <c r="G149" i="12" s="1"/>
  <c r="H148" i="12"/>
  <c r="E148" i="12"/>
  <c r="G148" i="12" s="1"/>
  <c r="H147" i="12"/>
  <c r="E147" i="12"/>
  <c r="G147" i="12" s="1"/>
  <c r="H146" i="12"/>
  <c r="E146" i="12"/>
  <c r="G146" i="12" s="1"/>
  <c r="H145" i="12"/>
  <c r="E145" i="12"/>
  <c r="G145" i="12" s="1"/>
  <c r="H144" i="12"/>
  <c r="E144" i="12"/>
  <c r="G144" i="12" s="1"/>
  <c r="H143" i="12"/>
  <c r="E143" i="12"/>
  <c r="G143" i="12" s="1"/>
  <c r="H142" i="12"/>
  <c r="E142" i="12"/>
  <c r="G142" i="12" s="1"/>
  <c r="H141" i="12"/>
  <c r="E141" i="12"/>
  <c r="G141" i="12" s="1"/>
  <c r="H140" i="12"/>
  <c r="E140" i="12"/>
  <c r="G140" i="12" s="1"/>
  <c r="H139" i="12"/>
  <c r="E139" i="12"/>
  <c r="G139" i="12" s="1"/>
  <c r="H138" i="12"/>
  <c r="E138" i="12"/>
  <c r="G138" i="12" s="1"/>
  <c r="H137" i="12"/>
  <c r="E137" i="12"/>
  <c r="G137" i="12" s="1"/>
  <c r="H136" i="12"/>
  <c r="E136" i="12"/>
  <c r="G136" i="12" s="1"/>
  <c r="H135" i="12"/>
  <c r="E135" i="12"/>
  <c r="G135" i="12" s="1"/>
  <c r="H134" i="12"/>
  <c r="E134" i="12"/>
  <c r="G134" i="12" s="1"/>
  <c r="H133" i="12"/>
  <c r="E133" i="12"/>
  <c r="G133" i="12" s="1"/>
  <c r="H132" i="12"/>
  <c r="E132" i="12"/>
  <c r="G132" i="12" s="1"/>
  <c r="H131" i="12"/>
  <c r="E131" i="12"/>
  <c r="G131" i="12" s="1"/>
  <c r="H130" i="12"/>
  <c r="E130" i="12"/>
  <c r="G130" i="12" s="1"/>
  <c r="H129" i="12"/>
  <c r="E129" i="12"/>
  <c r="G129" i="12" s="1"/>
  <c r="H128" i="12"/>
  <c r="E128" i="12"/>
  <c r="G128" i="12" s="1"/>
  <c r="H127" i="12"/>
  <c r="E127" i="12"/>
  <c r="G127" i="12" s="1"/>
  <c r="H126" i="12"/>
  <c r="E126" i="12"/>
  <c r="G126" i="12" s="1"/>
  <c r="H125" i="12"/>
  <c r="E125" i="12"/>
  <c r="G125" i="12" s="1"/>
  <c r="H124" i="12"/>
  <c r="E124" i="12"/>
  <c r="G124" i="12" s="1"/>
  <c r="H123" i="12"/>
  <c r="E123" i="12"/>
  <c r="G123" i="12" s="1"/>
  <c r="H122" i="12"/>
  <c r="E122" i="12"/>
  <c r="G122" i="12" s="1"/>
  <c r="H121" i="12"/>
  <c r="E121" i="12"/>
  <c r="G121" i="12" s="1"/>
  <c r="H120" i="12"/>
  <c r="E120" i="12"/>
  <c r="G120" i="12" s="1"/>
  <c r="H119" i="12"/>
  <c r="E119" i="12"/>
  <c r="G119" i="12" s="1"/>
  <c r="H118" i="12"/>
  <c r="E118" i="12"/>
  <c r="G118" i="12" s="1"/>
  <c r="H117" i="12"/>
  <c r="E117" i="12"/>
  <c r="G117" i="12" s="1"/>
  <c r="H116" i="12"/>
  <c r="E116" i="12"/>
  <c r="G116" i="12" s="1"/>
  <c r="H115" i="12"/>
  <c r="E115" i="12"/>
  <c r="G115" i="12" s="1"/>
  <c r="H114" i="12"/>
  <c r="E114" i="12"/>
  <c r="G114" i="12" s="1"/>
  <c r="H113" i="12"/>
  <c r="E113" i="12"/>
  <c r="G113" i="12" s="1"/>
  <c r="H112" i="12"/>
  <c r="E112" i="12"/>
  <c r="G112" i="12" s="1"/>
  <c r="H111" i="12"/>
  <c r="E111" i="12"/>
  <c r="G111" i="12" s="1"/>
  <c r="H110" i="12"/>
  <c r="E110" i="12"/>
  <c r="G110" i="12" s="1"/>
  <c r="H109" i="12"/>
  <c r="E109" i="12"/>
  <c r="G109" i="12" s="1"/>
  <c r="H108" i="12"/>
  <c r="E108" i="12"/>
  <c r="G108" i="12" s="1"/>
  <c r="H107" i="12"/>
  <c r="E107" i="12"/>
  <c r="G107" i="12" s="1"/>
  <c r="H106" i="12"/>
  <c r="E106" i="12"/>
  <c r="G106" i="12" s="1"/>
  <c r="H105" i="12"/>
  <c r="E105" i="12"/>
  <c r="G105" i="12" s="1"/>
  <c r="H104" i="12"/>
  <c r="E104" i="12"/>
  <c r="G104" i="12" s="1"/>
  <c r="H103" i="12"/>
  <c r="E103" i="12"/>
  <c r="G103" i="12" s="1"/>
  <c r="H102" i="12"/>
  <c r="E102" i="12"/>
  <c r="G102" i="12" s="1"/>
  <c r="H101" i="12"/>
  <c r="E101" i="12"/>
  <c r="G101" i="12" s="1"/>
  <c r="H100" i="12"/>
  <c r="E100" i="12"/>
  <c r="G100" i="12" s="1"/>
  <c r="H99" i="12"/>
  <c r="E99" i="12"/>
  <c r="G99" i="12" s="1"/>
  <c r="H98" i="12"/>
  <c r="E98" i="12"/>
  <c r="G98" i="12" s="1"/>
  <c r="H97" i="12"/>
  <c r="E97" i="12"/>
  <c r="G97" i="12" s="1"/>
  <c r="H96" i="12"/>
  <c r="E96" i="12"/>
  <c r="G96" i="12" s="1"/>
  <c r="H95" i="12"/>
  <c r="E95" i="12"/>
  <c r="G95" i="12" s="1"/>
  <c r="H94" i="12"/>
  <c r="E94" i="12"/>
  <c r="G94" i="12" s="1"/>
  <c r="H93" i="12"/>
  <c r="E93" i="12"/>
  <c r="G93" i="12" s="1"/>
  <c r="H92" i="12"/>
  <c r="E92" i="12"/>
  <c r="G92" i="12" s="1"/>
  <c r="H91" i="12"/>
  <c r="E91" i="12"/>
  <c r="G91" i="12" s="1"/>
  <c r="H90" i="12"/>
  <c r="E90" i="12"/>
  <c r="G90" i="12" s="1"/>
  <c r="H89" i="12"/>
  <c r="E89" i="12"/>
  <c r="G89" i="12" s="1"/>
  <c r="H88" i="12"/>
  <c r="E88" i="12"/>
  <c r="G88" i="12" s="1"/>
  <c r="H87" i="12"/>
  <c r="E87" i="12"/>
  <c r="G87" i="12" s="1"/>
  <c r="H86" i="12"/>
  <c r="E86" i="12"/>
  <c r="G86" i="12" s="1"/>
  <c r="H85" i="12"/>
  <c r="E85" i="12"/>
  <c r="G85" i="12" s="1"/>
  <c r="H84" i="12"/>
  <c r="E84" i="12"/>
  <c r="G84" i="12" s="1"/>
  <c r="H83" i="12"/>
  <c r="E83" i="12"/>
  <c r="G83" i="12" s="1"/>
  <c r="H82" i="12"/>
  <c r="E82" i="12"/>
  <c r="G82" i="12" s="1"/>
  <c r="H81" i="12"/>
  <c r="E81" i="12"/>
  <c r="G81" i="12" s="1"/>
  <c r="H80" i="12"/>
  <c r="E80" i="12"/>
  <c r="G80" i="12" s="1"/>
  <c r="H79" i="12"/>
  <c r="E79" i="12"/>
  <c r="G79" i="12" s="1"/>
  <c r="H78" i="12"/>
  <c r="E78" i="12"/>
  <c r="G78" i="12" s="1"/>
  <c r="H77" i="12"/>
  <c r="E77" i="12"/>
  <c r="G77" i="12" s="1"/>
  <c r="H76" i="12"/>
  <c r="E76" i="12"/>
  <c r="G76" i="12" s="1"/>
  <c r="H75" i="12"/>
  <c r="E75" i="12"/>
  <c r="G75" i="12" s="1"/>
  <c r="H74" i="12"/>
  <c r="E74" i="12"/>
  <c r="G74" i="12" s="1"/>
  <c r="H73" i="12"/>
  <c r="E73" i="12"/>
  <c r="G73" i="12" s="1"/>
  <c r="H72" i="12"/>
  <c r="E72" i="12"/>
  <c r="G72" i="12" s="1"/>
  <c r="H71" i="12"/>
  <c r="E71" i="12"/>
  <c r="G71" i="12" s="1"/>
  <c r="H70" i="12"/>
  <c r="E70" i="12"/>
  <c r="G70" i="12" s="1"/>
  <c r="H69" i="12"/>
  <c r="E69" i="12"/>
  <c r="G69" i="12" s="1"/>
  <c r="H68" i="12"/>
  <c r="E68" i="12"/>
  <c r="G68" i="12" s="1"/>
  <c r="H67" i="12"/>
  <c r="E67" i="12"/>
  <c r="G67" i="12" s="1"/>
  <c r="H66" i="12"/>
  <c r="E66" i="12"/>
  <c r="G66" i="12" s="1"/>
  <c r="H65" i="12"/>
  <c r="E65" i="12"/>
  <c r="G65" i="12" s="1"/>
  <c r="H64" i="12"/>
  <c r="E64" i="12"/>
  <c r="G64" i="12" s="1"/>
  <c r="H63" i="12"/>
  <c r="E63" i="12"/>
  <c r="G63" i="12" s="1"/>
  <c r="H62" i="12"/>
  <c r="E62" i="12"/>
  <c r="G62" i="12" s="1"/>
  <c r="H61" i="12"/>
  <c r="E61" i="12"/>
  <c r="G61" i="12" s="1"/>
  <c r="H60" i="12"/>
  <c r="E60" i="12"/>
  <c r="G60" i="12" s="1"/>
  <c r="H59" i="12"/>
  <c r="E59" i="12"/>
  <c r="G59" i="12" s="1"/>
  <c r="H58" i="12"/>
  <c r="E58" i="12"/>
  <c r="G58" i="12" s="1"/>
  <c r="H57" i="12"/>
  <c r="E57" i="12"/>
  <c r="G57" i="12" s="1"/>
  <c r="H56" i="12"/>
  <c r="E56" i="12"/>
  <c r="G56" i="12" s="1"/>
  <c r="H55" i="12"/>
  <c r="E55" i="12"/>
  <c r="G55" i="12" s="1"/>
  <c r="H54" i="12"/>
  <c r="E54" i="12"/>
  <c r="G54" i="12" s="1"/>
  <c r="D54" i="12"/>
  <c r="D63" i="12" s="1"/>
  <c r="D72" i="12" s="1"/>
  <c r="D81" i="12" s="1"/>
  <c r="D90" i="12" s="1"/>
  <c r="D99" i="12" s="1"/>
  <c r="D108" i="12" s="1"/>
  <c r="D117" i="12" s="1"/>
  <c r="D126" i="12" s="1"/>
  <c r="D135" i="12" s="1"/>
  <c r="D144" i="12" s="1"/>
  <c r="D153" i="12" s="1"/>
  <c r="D162" i="12" s="1"/>
  <c r="D171" i="12" s="1"/>
  <c r="D180" i="12" s="1"/>
  <c r="D189" i="12" s="1"/>
  <c r="D198" i="12" s="1"/>
  <c r="D207" i="12" s="1"/>
  <c r="D216" i="12" s="1"/>
  <c r="D225" i="12" s="1"/>
  <c r="D234" i="12" s="1"/>
  <c r="D243" i="12" s="1"/>
  <c r="D252" i="12" s="1"/>
  <c r="D261" i="12" s="1"/>
  <c r="D270" i="12" s="1"/>
  <c r="D279" i="12" s="1"/>
  <c r="D288" i="12" s="1"/>
  <c r="D297" i="12" s="1"/>
  <c r="D306" i="12" s="1"/>
  <c r="D315" i="12" s="1"/>
  <c r="D324" i="12" s="1"/>
  <c r="D333" i="12" s="1"/>
  <c r="D342" i="12" s="1"/>
  <c r="D351" i="12" s="1"/>
  <c r="D360" i="12" s="1"/>
  <c r="D369" i="12" s="1"/>
  <c r="D378" i="12" s="1"/>
  <c r="D387" i="12" s="1"/>
  <c r="D396" i="12" s="1"/>
  <c r="D405" i="12" s="1"/>
  <c r="D414" i="12" s="1"/>
  <c r="D423" i="12" s="1"/>
  <c r="D432" i="12" s="1"/>
  <c r="D441" i="12" s="1"/>
  <c r="D450" i="12" s="1"/>
  <c r="D459" i="12" s="1"/>
  <c r="D468" i="12" s="1"/>
  <c r="D477" i="12" s="1"/>
  <c r="D486" i="12" s="1"/>
  <c r="D495" i="12" s="1"/>
  <c r="D504" i="12" s="1"/>
  <c r="D513" i="12" s="1"/>
  <c r="D522" i="12" s="1"/>
  <c r="D531" i="12" s="1"/>
  <c r="D540" i="12" s="1"/>
  <c r="D549" i="12" s="1"/>
  <c r="H53" i="12"/>
  <c r="E53" i="12"/>
  <c r="G53" i="12" s="1"/>
  <c r="H52" i="12"/>
  <c r="E52" i="12"/>
  <c r="G52" i="12" s="1"/>
  <c r="H51" i="12"/>
  <c r="E51" i="12"/>
  <c r="G51" i="12" s="1"/>
  <c r="H50" i="12"/>
  <c r="E50" i="12"/>
  <c r="G50" i="12" s="1"/>
  <c r="H49" i="12"/>
  <c r="E49" i="12"/>
  <c r="G49" i="12" s="1"/>
  <c r="H48" i="12"/>
  <c r="E48" i="12"/>
  <c r="G48" i="12" s="1"/>
  <c r="H47" i="12"/>
  <c r="E47" i="12"/>
  <c r="G47" i="12" s="1"/>
  <c r="H46" i="12"/>
  <c r="E46" i="12"/>
  <c r="G46" i="12" s="1"/>
  <c r="H45" i="12"/>
  <c r="E45" i="12"/>
  <c r="G45" i="12" s="1"/>
  <c r="H44" i="12"/>
  <c r="E44" i="12"/>
  <c r="G44" i="12" s="1"/>
  <c r="H43" i="12"/>
  <c r="E43" i="12"/>
  <c r="G43" i="12" s="1"/>
  <c r="H42" i="12"/>
  <c r="E42" i="12"/>
  <c r="G42" i="12" s="1"/>
  <c r="H41" i="12"/>
  <c r="E41" i="12"/>
  <c r="G41" i="12" s="1"/>
  <c r="H40" i="12"/>
  <c r="E40" i="12"/>
  <c r="G40" i="12" s="1"/>
  <c r="D40" i="12"/>
  <c r="D49" i="12" s="1"/>
  <c r="D58" i="12" s="1"/>
  <c r="D67" i="12" s="1"/>
  <c r="D76" i="12" s="1"/>
  <c r="D85" i="12" s="1"/>
  <c r="D94" i="12" s="1"/>
  <c r="D103" i="12" s="1"/>
  <c r="D112" i="12" s="1"/>
  <c r="D121" i="12" s="1"/>
  <c r="D130" i="12" s="1"/>
  <c r="D139" i="12" s="1"/>
  <c r="D148" i="12" s="1"/>
  <c r="D157" i="12" s="1"/>
  <c r="D166" i="12" s="1"/>
  <c r="D175" i="12" s="1"/>
  <c r="D184" i="12" s="1"/>
  <c r="D193" i="12" s="1"/>
  <c r="D202" i="12" s="1"/>
  <c r="D211" i="12" s="1"/>
  <c r="D220" i="12" s="1"/>
  <c r="D229" i="12" s="1"/>
  <c r="D238" i="12" s="1"/>
  <c r="D247" i="12" s="1"/>
  <c r="D256" i="12" s="1"/>
  <c r="D265" i="12" s="1"/>
  <c r="D274" i="12" s="1"/>
  <c r="D283" i="12" s="1"/>
  <c r="D292" i="12" s="1"/>
  <c r="D301" i="12" s="1"/>
  <c r="D310" i="12" s="1"/>
  <c r="D319" i="12" s="1"/>
  <c r="D328" i="12" s="1"/>
  <c r="D337" i="12" s="1"/>
  <c r="D346" i="12" s="1"/>
  <c r="D355" i="12" s="1"/>
  <c r="D364" i="12" s="1"/>
  <c r="D373" i="12" s="1"/>
  <c r="D382" i="12" s="1"/>
  <c r="D391" i="12" s="1"/>
  <c r="D400" i="12" s="1"/>
  <c r="D409" i="12" s="1"/>
  <c r="D418" i="12" s="1"/>
  <c r="D427" i="12" s="1"/>
  <c r="D436" i="12" s="1"/>
  <c r="D445" i="12" s="1"/>
  <c r="D454" i="12" s="1"/>
  <c r="D463" i="12" s="1"/>
  <c r="D472" i="12" s="1"/>
  <c r="D481" i="12" s="1"/>
  <c r="D490" i="12" s="1"/>
  <c r="D499" i="12" s="1"/>
  <c r="D508" i="12" s="1"/>
  <c r="D517" i="12" s="1"/>
  <c r="D526" i="12" s="1"/>
  <c r="D535" i="12" s="1"/>
  <c r="D544" i="12" s="1"/>
  <c r="H39" i="12"/>
  <c r="E39" i="12"/>
  <c r="G39" i="12" s="1"/>
  <c r="H38" i="12"/>
  <c r="E38" i="12"/>
  <c r="G38" i="12" s="1"/>
  <c r="H37" i="12"/>
  <c r="E37" i="12"/>
  <c r="G37" i="12" s="1"/>
  <c r="H36" i="12"/>
  <c r="E36" i="12"/>
  <c r="G36" i="12" s="1"/>
  <c r="D36" i="12"/>
  <c r="D45" i="12" s="1"/>
  <c r="H35" i="12"/>
  <c r="E35" i="12"/>
  <c r="G35" i="12" s="1"/>
  <c r="H34" i="12"/>
  <c r="E34" i="12"/>
  <c r="G34" i="12" s="1"/>
  <c r="H33" i="12"/>
  <c r="E33" i="12"/>
  <c r="G33" i="12" s="1"/>
  <c r="H32" i="12"/>
  <c r="E32" i="12"/>
  <c r="G32" i="12" s="1"/>
  <c r="H31" i="12"/>
  <c r="E31" i="12"/>
  <c r="G31" i="12" s="1"/>
  <c r="H30" i="12"/>
  <c r="E30" i="12"/>
  <c r="G30" i="12" s="1"/>
  <c r="H29" i="12"/>
  <c r="E29" i="12"/>
  <c r="G29" i="12" s="1"/>
  <c r="D29" i="12"/>
  <c r="D38" i="12" s="1"/>
  <c r="D47" i="12" s="1"/>
  <c r="D56" i="12" s="1"/>
  <c r="D65" i="12" s="1"/>
  <c r="D74" i="12" s="1"/>
  <c r="D83" i="12" s="1"/>
  <c r="D92" i="12" s="1"/>
  <c r="D101" i="12" s="1"/>
  <c r="D110" i="12" s="1"/>
  <c r="D119" i="12" s="1"/>
  <c r="D128" i="12" s="1"/>
  <c r="D137" i="12" s="1"/>
  <c r="D146" i="12" s="1"/>
  <c r="D155" i="12" s="1"/>
  <c r="D164" i="12" s="1"/>
  <c r="D173" i="12" s="1"/>
  <c r="D182" i="12" s="1"/>
  <c r="D191" i="12" s="1"/>
  <c r="D200" i="12" s="1"/>
  <c r="D209" i="12" s="1"/>
  <c r="D218" i="12" s="1"/>
  <c r="D227" i="12" s="1"/>
  <c r="D236" i="12" s="1"/>
  <c r="D245" i="12" s="1"/>
  <c r="D254" i="12" s="1"/>
  <c r="D263" i="12" s="1"/>
  <c r="D272" i="12" s="1"/>
  <c r="D281" i="12" s="1"/>
  <c r="D290" i="12" s="1"/>
  <c r="D299" i="12" s="1"/>
  <c r="D308" i="12" s="1"/>
  <c r="D317" i="12" s="1"/>
  <c r="D326" i="12" s="1"/>
  <c r="D335" i="12" s="1"/>
  <c r="D344" i="12" s="1"/>
  <c r="D353" i="12" s="1"/>
  <c r="D362" i="12" s="1"/>
  <c r="D371" i="12" s="1"/>
  <c r="D380" i="12" s="1"/>
  <c r="D389" i="12" s="1"/>
  <c r="D398" i="12" s="1"/>
  <c r="D407" i="12" s="1"/>
  <c r="D416" i="12" s="1"/>
  <c r="D425" i="12" s="1"/>
  <c r="D434" i="12" s="1"/>
  <c r="D443" i="12" s="1"/>
  <c r="D452" i="12" s="1"/>
  <c r="D461" i="12" s="1"/>
  <c r="D470" i="12" s="1"/>
  <c r="D479" i="12" s="1"/>
  <c r="D488" i="12" s="1"/>
  <c r="D497" i="12" s="1"/>
  <c r="D506" i="12" s="1"/>
  <c r="D515" i="12" s="1"/>
  <c r="D524" i="12" s="1"/>
  <c r="D533" i="12" s="1"/>
  <c r="D542" i="12" s="1"/>
  <c r="H28" i="12"/>
  <c r="E28" i="12"/>
  <c r="G28" i="12" s="1"/>
  <c r="H27" i="12"/>
  <c r="E27" i="12"/>
  <c r="G27" i="12" s="1"/>
  <c r="D27" i="12"/>
  <c r="H26" i="12"/>
  <c r="E26" i="12"/>
  <c r="G26" i="12" s="1"/>
  <c r="H25" i="12"/>
  <c r="E25" i="12"/>
  <c r="G25" i="12" s="1"/>
  <c r="H24" i="12"/>
  <c r="E24" i="12"/>
  <c r="G24" i="12" s="1"/>
  <c r="H23" i="12"/>
  <c r="E23" i="12"/>
  <c r="G23" i="12" s="1"/>
  <c r="D23" i="12"/>
  <c r="D32" i="12" s="1"/>
  <c r="D41" i="12" s="1"/>
  <c r="D50" i="12" s="1"/>
  <c r="D59" i="12" s="1"/>
  <c r="D68" i="12" s="1"/>
  <c r="D77" i="12" s="1"/>
  <c r="D86" i="12" s="1"/>
  <c r="D95" i="12" s="1"/>
  <c r="D104" i="12" s="1"/>
  <c r="D113" i="12" s="1"/>
  <c r="D122" i="12" s="1"/>
  <c r="D131" i="12" s="1"/>
  <c r="D140" i="12" s="1"/>
  <c r="D149" i="12" s="1"/>
  <c r="D158" i="12" s="1"/>
  <c r="D167" i="12" s="1"/>
  <c r="D176" i="12" s="1"/>
  <c r="D185" i="12" s="1"/>
  <c r="D194" i="12" s="1"/>
  <c r="D203" i="12" s="1"/>
  <c r="D212" i="12" s="1"/>
  <c r="D221" i="12" s="1"/>
  <c r="D230" i="12" s="1"/>
  <c r="D239" i="12" s="1"/>
  <c r="D248" i="12" s="1"/>
  <c r="D257" i="12" s="1"/>
  <c r="D266" i="12" s="1"/>
  <c r="D275" i="12" s="1"/>
  <c r="D284" i="12" s="1"/>
  <c r="D293" i="12" s="1"/>
  <c r="D302" i="12" s="1"/>
  <c r="D311" i="12" s="1"/>
  <c r="D320" i="12" s="1"/>
  <c r="D329" i="12" s="1"/>
  <c r="D338" i="12" s="1"/>
  <c r="D347" i="12" s="1"/>
  <c r="D356" i="12" s="1"/>
  <c r="D365" i="12" s="1"/>
  <c r="D374" i="12" s="1"/>
  <c r="D383" i="12" s="1"/>
  <c r="D392" i="12" s="1"/>
  <c r="D401" i="12" s="1"/>
  <c r="D410" i="12" s="1"/>
  <c r="D419" i="12" s="1"/>
  <c r="D428" i="12" s="1"/>
  <c r="D437" i="12" s="1"/>
  <c r="D446" i="12" s="1"/>
  <c r="D455" i="12" s="1"/>
  <c r="D464" i="12" s="1"/>
  <c r="D473" i="12" s="1"/>
  <c r="D482" i="12" s="1"/>
  <c r="D491" i="12" s="1"/>
  <c r="D500" i="12" s="1"/>
  <c r="D509" i="12" s="1"/>
  <c r="D518" i="12" s="1"/>
  <c r="D527" i="12" s="1"/>
  <c r="D536" i="12" s="1"/>
  <c r="D545" i="12" s="1"/>
  <c r="H22" i="12"/>
  <c r="E22" i="12"/>
  <c r="G22" i="12" s="1"/>
  <c r="H21" i="12"/>
  <c r="E21" i="12"/>
  <c r="G21" i="12" s="1"/>
  <c r="D21" i="12"/>
  <c r="D30" i="12" s="1"/>
  <c r="D39" i="12" s="1"/>
  <c r="D48" i="12" s="1"/>
  <c r="D57" i="12" s="1"/>
  <c r="D66" i="12" s="1"/>
  <c r="D75" i="12" s="1"/>
  <c r="D84" i="12" s="1"/>
  <c r="D93" i="12" s="1"/>
  <c r="D102" i="12" s="1"/>
  <c r="D111" i="12" s="1"/>
  <c r="D120" i="12" s="1"/>
  <c r="D129" i="12" s="1"/>
  <c r="D138" i="12" s="1"/>
  <c r="D147" i="12" s="1"/>
  <c r="D156" i="12" s="1"/>
  <c r="D165" i="12" s="1"/>
  <c r="D174" i="12" s="1"/>
  <c r="D183" i="12" s="1"/>
  <c r="D192" i="12" s="1"/>
  <c r="D201" i="12" s="1"/>
  <c r="D210" i="12" s="1"/>
  <c r="D219" i="12" s="1"/>
  <c r="D228" i="12" s="1"/>
  <c r="D237" i="12" s="1"/>
  <c r="D246" i="12" s="1"/>
  <c r="D255" i="12" s="1"/>
  <c r="D264" i="12" s="1"/>
  <c r="D273" i="12" s="1"/>
  <c r="D282" i="12" s="1"/>
  <c r="D291" i="12" s="1"/>
  <c r="D300" i="12" s="1"/>
  <c r="D309" i="12" s="1"/>
  <c r="D318" i="12" s="1"/>
  <c r="D327" i="12" s="1"/>
  <c r="D336" i="12" s="1"/>
  <c r="D345" i="12" s="1"/>
  <c r="D354" i="12" s="1"/>
  <c r="D363" i="12" s="1"/>
  <c r="D372" i="12" s="1"/>
  <c r="D381" i="12" s="1"/>
  <c r="D390" i="12" s="1"/>
  <c r="D399" i="12" s="1"/>
  <c r="D408" i="12" s="1"/>
  <c r="D417" i="12" s="1"/>
  <c r="D426" i="12" s="1"/>
  <c r="D435" i="12" s="1"/>
  <c r="D444" i="12" s="1"/>
  <c r="D453" i="12" s="1"/>
  <c r="D462" i="12" s="1"/>
  <c r="D471" i="12" s="1"/>
  <c r="D480" i="12" s="1"/>
  <c r="D489" i="12" s="1"/>
  <c r="D498" i="12" s="1"/>
  <c r="D507" i="12" s="1"/>
  <c r="D516" i="12" s="1"/>
  <c r="D525" i="12" s="1"/>
  <c r="D534" i="12" s="1"/>
  <c r="D543" i="12" s="1"/>
  <c r="H20" i="12"/>
  <c r="E20" i="12"/>
  <c r="G20" i="12" s="1"/>
  <c r="H19" i="12"/>
  <c r="E19" i="12"/>
  <c r="G19" i="12" s="1"/>
  <c r="D19" i="12"/>
  <c r="D28" i="12" s="1"/>
  <c r="D37" i="12" s="1"/>
  <c r="D46" i="12" s="1"/>
  <c r="D55" i="12" s="1"/>
  <c r="D64" i="12" s="1"/>
  <c r="D73" i="12" s="1"/>
  <c r="D82" i="12" s="1"/>
  <c r="D91" i="12" s="1"/>
  <c r="D100" i="12" s="1"/>
  <c r="D109" i="12" s="1"/>
  <c r="D118" i="12" s="1"/>
  <c r="D127" i="12" s="1"/>
  <c r="D136" i="12" s="1"/>
  <c r="D145" i="12" s="1"/>
  <c r="D154" i="12" s="1"/>
  <c r="D163" i="12" s="1"/>
  <c r="D172" i="12" s="1"/>
  <c r="D181" i="12" s="1"/>
  <c r="D190" i="12" s="1"/>
  <c r="D199" i="12" s="1"/>
  <c r="D208" i="12" s="1"/>
  <c r="D217" i="12" s="1"/>
  <c r="D226" i="12" s="1"/>
  <c r="D235" i="12" s="1"/>
  <c r="D244" i="12" s="1"/>
  <c r="D253" i="12" s="1"/>
  <c r="D262" i="12" s="1"/>
  <c r="D271" i="12" s="1"/>
  <c r="D280" i="12" s="1"/>
  <c r="D289" i="12" s="1"/>
  <c r="D298" i="12" s="1"/>
  <c r="D307" i="12" s="1"/>
  <c r="D316" i="12" s="1"/>
  <c r="D325" i="12" s="1"/>
  <c r="D334" i="12" s="1"/>
  <c r="D343" i="12" s="1"/>
  <c r="D352" i="12" s="1"/>
  <c r="D361" i="12" s="1"/>
  <c r="D370" i="12" s="1"/>
  <c r="D379" i="12" s="1"/>
  <c r="D388" i="12" s="1"/>
  <c r="D397" i="12" s="1"/>
  <c r="D406" i="12" s="1"/>
  <c r="D415" i="12" s="1"/>
  <c r="D424" i="12" s="1"/>
  <c r="D433" i="12" s="1"/>
  <c r="D442" i="12" s="1"/>
  <c r="D451" i="12" s="1"/>
  <c r="D460" i="12" s="1"/>
  <c r="D469" i="12" s="1"/>
  <c r="D478" i="12" s="1"/>
  <c r="D487" i="12" s="1"/>
  <c r="D496" i="12" s="1"/>
  <c r="D505" i="12" s="1"/>
  <c r="D514" i="12" s="1"/>
  <c r="D523" i="12" s="1"/>
  <c r="D532" i="12" s="1"/>
  <c r="D541" i="12" s="1"/>
  <c r="D550" i="12" s="1"/>
  <c r="H18" i="12"/>
  <c r="E18" i="12"/>
  <c r="G18" i="12" s="1"/>
  <c r="D18" i="12"/>
  <c r="H17" i="12"/>
  <c r="E17" i="12"/>
  <c r="G17" i="12" s="1"/>
  <c r="D17" i="12"/>
  <c r="D26" i="12" s="1"/>
  <c r="D35" i="12" s="1"/>
  <c r="D44" i="12" s="1"/>
  <c r="D53" i="12" s="1"/>
  <c r="D62" i="12" s="1"/>
  <c r="D71" i="12" s="1"/>
  <c r="D80" i="12" s="1"/>
  <c r="D89" i="12" s="1"/>
  <c r="D98" i="12" s="1"/>
  <c r="D107" i="12" s="1"/>
  <c r="D116" i="12" s="1"/>
  <c r="D125" i="12" s="1"/>
  <c r="D134" i="12" s="1"/>
  <c r="D143" i="12" s="1"/>
  <c r="D152" i="12" s="1"/>
  <c r="D161" i="12" s="1"/>
  <c r="D170" i="12" s="1"/>
  <c r="D179" i="12" s="1"/>
  <c r="D188" i="12" s="1"/>
  <c r="D197" i="12" s="1"/>
  <c r="D206" i="12" s="1"/>
  <c r="D215" i="12" s="1"/>
  <c r="D224" i="12" s="1"/>
  <c r="D233" i="12" s="1"/>
  <c r="D242" i="12" s="1"/>
  <c r="D251" i="12" s="1"/>
  <c r="D260" i="12" s="1"/>
  <c r="D269" i="12" s="1"/>
  <c r="D278" i="12" s="1"/>
  <c r="D287" i="12" s="1"/>
  <c r="D296" i="12" s="1"/>
  <c r="D305" i="12" s="1"/>
  <c r="D314" i="12" s="1"/>
  <c r="D323" i="12" s="1"/>
  <c r="D332" i="12" s="1"/>
  <c r="D341" i="12" s="1"/>
  <c r="D350" i="12" s="1"/>
  <c r="D359" i="12" s="1"/>
  <c r="D368" i="12" s="1"/>
  <c r="D377" i="12" s="1"/>
  <c r="D386" i="12" s="1"/>
  <c r="D395" i="12" s="1"/>
  <c r="D404" i="12" s="1"/>
  <c r="D413" i="12" s="1"/>
  <c r="D422" i="12" s="1"/>
  <c r="D431" i="12" s="1"/>
  <c r="D440" i="12" s="1"/>
  <c r="D449" i="12" s="1"/>
  <c r="D458" i="12" s="1"/>
  <c r="D467" i="12" s="1"/>
  <c r="D476" i="12" s="1"/>
  <c r="D485" i="12" s="1"/>
  <c r="D494" i="12" s="1"/>
  <c r="D503" i="12" s="1"/>
  <c r="D512" i="12" s="1"/>
  <c r="D521" i="12" s="1"/>
  <c r="D530" i="12" s="1"/>
  <c r="D539" i="12" s="1"/>
  <c r="D548" i="12" s="1"/>
  <c r="H16" i="12"/>
  <c r="E16" i="12"/>
  <c r="G16" i="12" s="1"/>
  <c r="H15" i="12"/>
  <c r="E15" i="12"/>
  <c r="G15" i="12" s="1"/>
  <c r="H14" i="12"/>
  <c r="E14" i="12"/>
  <c r="G14" i="12" s="1"/>
  <c r="D14" i="12"/>
  <c r="H13" i="12"/>
  <c r="E13" i="12"/>
  <c r="G13" i="12" s="1"/>
  <c r="D13" i="12"/>
  <c r="D22" i="12" s="1"/>
  <c r="D31" i="12" s="1"/>
  <c r="H12" i="12"/>
  <c r="E12" i="12"/>
  <c r="G12" i="12" s="1"/>
  <c r="H11" i="12"/>
  <c r="E11" i="12"/>
  <c r="G11" i="12" s="1"/>
  <c r="D11" i="12"/>
  <c r="D20" i="12" s="1"/>
  <c r="R10" i="12"/>
  <c r="H10" i="12"/>
  <c r="E10" i="12"/>
  <c r="G10" i="12" s="1"/>
  <c r="D10" i="12"/>
  <c r="R9" i="12"/>
  <c r="H9" i="12"/>
  <c r="E9" i="12"/>
  <c r="G9" i="12" s="1"/>
  <c r="D9" i="12"/>
  <c r="R8" i="12"/>
  <c r="H8" i="12"/>
  <c r="E8" i="12"/>
  <c r="G8" i="12" s="1"/>
  <c r="D8" i="12"/>
  <c r="R7" i="12"/>
  <c r="H7" i="12"/>
  <c r="E7" i="12"/>
  <c r="G7" i="12" s="1"/>
  <c r="D7" i="12"/>
  <c r="D16" i="12" s="1"/>
  <c r="D25" i="12" s="1"/>
  <c r="D34" i="12" s="1"/>
  <c r="D43" i="12" s="1"/>
  <c r="D52" i="12" s="1"/>
  <c r="D61" i="12" s="1"/>
  <c r="D70" i="12" s="1"/>
  <c r="D79" i="12" s="1"/>
  <c r="D88" i="12" s="1"/>
  <c r="D97" i="12" s="1"/>
  <c r="D106" i="12" s="1"/>
  <c r="D115" i="12" s="1"/>
  <c r="D124" i="12" s="1"/>
  <c r="D133" i="12" s="1"/>
  <c r="D142" i="12" s="1"/>
  <c r="D151" i="12" s="1"/>
  <c r="D160" i="12" s="1"/>
  <c r="D169" i="12" s="1"/>
  <c r="D178" i="12" s="1"/>
  <c r="D187" i="12" s="1"/>
  <c r="D196" i="12" s="1"/>
  <c r="D205" i="12" s="1"/>
  <c r="D214" i="12" s="1"/>
  <c r="D223" i="12" s="1"/>
  <c r="D232" i="12" s="1"/>
  <c r="D241" i="12" s="1"/>
  <c r="D250" i="12" s="1"/>
  <c r="D259" i="12" s="1"/>
  <c r="D268" i="12" s="1"/>
  <c r="D277" i="12" s="1"/>
  <c r="D286" i="12" s="1"/>
  <c r="D295" i="12" s="1"/>
  <c r="D304" i="12" s="1"/>
  <c r="D313" i="12" s="1"/>
  <c r="D322" i="12" s="1"/>
  <c r="D331" i="12" s="1"/>
  <c r="D340" i="12" s="1"/>
  <c r="D349" i="12" s="1"/>
  <c r="D358" i="12" s="1"/>
  <c r="D367" i="12" s="1"/>
  <c r="D376" i="12" s="1"/>
  <c r="D385" i="12" s="1"/>
  <c r="D394" i="12" s="1"/>
  <c r="D403" i="12" s="1"/>
  <c r="D412" i="12" s="1"/>
  <c r="D421" i="12" s="1"/>
  <c r="D430" i="12" s="1"/>
  <c r="D439" i="12" s="1"/>
  <c r="D448" i="12" s="1"/>
  <c r="D457" i="12" s="1"/>
  <c r="D466" i="12" s="1"/>
  <c r="D475" i="12" s="1"/>
  <c r="D484" i="12" s="1"/>
  <c r="D493" i="12" s="1"/>
  <c r="D502" i="12" s="1"/>
  <c r="D511" i="12" s="1"/>
  <c r="D520" i="12" s="1"/>
  <c r="D529" i="12" s="1"/>
  <c r="D538" i="12" s="1"/>
  <c r="D547" i="12" s="1"/>
  <c r="R6" i="12"/>
  <c r="H6" i="12"/>
  <c r="E6" i="12"/>
  <c r="G6" i="12" s="1"/>
  <c r="D6" i="12"/>
  <c r="D15" i="12" s="1"/>
  <c r="D24" i="12" s="1"/>
  <c r="D33" i="12" s="1"/>
  <c r="D42" i="12" s="1"/>
  <c r="D51" i="12" s="1"/>
  <c r="D60" i="12" s="1"/>
  <c r="D69" i="12" s="1"/>
  <c r="D78" i="12" s="1"/>
  <c r="D87" i="12" s="1"/>
  <c r="D96" i="12" s="1"/>
  <c r="D105" i="12" s="1"/>
  <c r="D114" i="12" s="1"/>
  <c r="D123" i="12" s="1"/>
  <c r="D132" i="12" s="1"/>
  <c r="D141" i="12" s="1"/>
  <c r="D150" i="12" s="1"/>
  <c r="D159" i="12" s="1"/>
  <c r="D168" i="12" s="1"/>
  <c r="D177" i="12" s="1"/>
  <c r="D186" i="12" s="1"/>
  <c r="D195" i="12" s="1"/>
  <c r="D204" i="12" s="1"/>
  <c r="D213" i="12" s="1"/>
  <c r="D222" i="12" s="1"/>
  <c r="D231" i="12" s="1"/>
  <c r="D240" i="12" s="1"/>
  <c r="D249" i="12" s="1"/>
  <c r="D258" i="12" s="1"/>
  <c r="D267" i="12" s="1"/>
  <c r="D276" i="12" s="1"/>
  <c r="D285" i="12" s="1"/>
  <c r="D294" i="12" s="1"/>
  <c r="D303" i="12" s="1"/>
  <c r="D312" i="12" s="1"/>
  <c r="D321" i="12" s="1"/>
  <c r="D330" i="12" s="1"/>
  <c r="D339" i="12" s="1"/>
  <c r="D348" i="12" s="1"/>
  <c r="D357" i="12" s="1"/>
  <c r="D366" i="12" s="1"/>
  <c r="D375" i="12" s="1"/>
  <c r="D384" i="12" s="1"/>
  <c r="D393" i="12" s="1"/>
  <c r="D402" i="12" s="1"/>
  <c r="D411" i="12" s="1"/>
  <c r="D420" i="12" s="1"/>
  <c r="D429" i="12" s="1"/>
  <c r="D438" i="12" s="1"/>
  <c r="D447" i="12" s="1"/>
  <c r="D456" i="12" s="1"/>
  <c r="D465" i="12" s="1"/>
  <c r="D474" i="12" s="1"/>
  <c r="D483" i="12" s="1"/>
  <c r="D492" i="12" s="1"/>
  <c r="D501" i="12" s="1"/>
  <c r="D510" i="12" s="1"/>
  <c r="D519" i="12" s="1"/>
  <c r="D528" i="12" s="1"/>
  <c r="D537" i="12" s="1"/>
  <c r="D546" i="12" s="1"/>
  <c r="R5" i="12"/>
  <c r="H5" i="12"/>
  <c r="E5" i="12"/>
  <c r="G5" i="12" s="1"/>
  <c r="D5" i="12"/>
  <c r="R4" i="12"/>
  <c r="H4" i="12"/>
  <c r="E4" i="12"/>
  <c r="G4" i="12" s="1"/>
  <c r="D4" i="12"/>
  <c r="R3" i="12"/>
  <c r="H3" i="12"/>
  <c r="E3" i="12"/>
  <c r="G3" i="12" s="1"/>
  <c r="D3" i="12"/>
  <c r="D12" i="12" s="1"/>
  <c r="R2" i="12"/>
  <c r="H2" i="12"/>
  <c r="E2" i="12"/>
  <c r="G2" i="12" s="1"/>
  <c r="N1" i="12" s="1"/>
  <c r="N7" i="12" s="1"/>
  <c r="D2" i="12"/>
  <c r="G4384" i="11"/>
  <c r="G4383" i="11"/>
  <c r="G4382" i="11"/>
  <c r="G4381" i="11"/>
  <c r="G4380" i="11"/>
  <c r="G4379" i="11"/>
  <c r="G4378" i="11"/>
  <c r="G4377" i="11"/>
  <c r="G4376" i="11"/>
  <c r="G4375" i="11"/>
  <c r="G4374" i="11"/>
  <c r="G4373" i="11"/>
  <c r="G4372" i="11"/>
  <c r="G4371" i="11"/>
  <c r="G4370" i="11"/>
  <c r="G4369" i="11"/>
  <c r="G4368" i="11"/>
  <c r="G4367" i="11"/>
  <c r="G4366" i="11"/>
  <c r="G4365" i="11"/>
  <c r="G4364" i="11"/>
  <c r="G4363" i="11"/>
  <c r="G4362" i="11"/>
  <c r="G4361" i="11"/>
  <c r="G4360" i="11"/>
  <c r="G4359" i="11"/>
  <c r="G4358" i="11"/>
  <c r="G4357" i="11"/>
  <c r="G4356" i="11"/>
  <c r="G4355" i="11"/>
  <c r="G4354" i="11"/>
  <c r="G4353" i="11"/>
  <c r="G4352" i="11"/>
  <c r="G4351" i="11"/>
  <c r="G4350" i="11"/>
  <c r="G4349" i="11"/>
  <c r="G4348" i="11"/>
  <c r="G4347" i="11"/>
  <c r="G4346" i="11"/>
  <c r="G4345" i="11"/>
  <c r="G4344" i="11"/>
  <c r="G4343" i="11"/>
  <c r="G4342" i="11"/>
  <c r="G4341" i="11"/>
  <c r="G4340" i="11"/>
  <c r="G4339" i="11"/>
  <c r="G4338" i="11"/>
  <c r="G4337" i="11"/>
  <c r="G4336" i="11"/>
  <c r="G4335" i="11"/>
  <c r="G4334" i="11"/>
  <c r="G4333" i="11"/>
  <c r="G4332" i="11"/>
  <c r="G4331" i="11"/>
  <c r="G4330" i="11"/>
  <c r="G4329" i="11"/>
  <c r="G4328" i="11"/>
  <c r="G4327" i="11"/>
  <c r="G4326" i="11"/>
  <c r="G4325" i="11"/>
  <c r="G4324" i="11"/>
  <c r="G4323" i="11"/>
  <c r="G4322" i="11"/>
  <c r="G4321" i="11"/>
  <c r="G4320" i="11"/>
  <c r="G4319" i="11"/>
  <c r="G4318" i="11"/>
  <c r="G4317" i="11"/>
  <c r="G4316" i="11"/>
  <c r="G4315" i="11"/>
  <c r="G4314" i="11"/>
  <c r="G4313" i="11"/>
  <c r="G4312" i="11"/>
  <c r="G4311" i="11"/>
  <c r="G4310" i="11"/>
  <c r="G4309" i="11"/>
  <c r="G4308" i="11"/>
  <c r="G4307" i="11"/>
  <c r="G4306" i="11"/>
  <c r="G4305" i="11"/>
  <c r="G4304" i="11"/>
  <c r="G4303" i="11"/>
  <c r="G4302" i="11"/>
  <c r="G4301" i="11"/>
  <c r="G4300" i="11"/>
  <c r="G4299" i="11"/>
  <c r="G4298" i="11"/>
  <c r="G4297" i="11"/>
  <c r="G4296" i="11"/>
  <c r="G4295" i="11"/>
  <c r="G4294" i="11"/>
  <c r="G4293" i="11"/>
  <c r="G4292" i="11"/>
  <c r="G4291" i="11"/>
  <c r="G4290" i="11"/>
  <c r="G4289" i="11"/>
  <c r="G4288" i="11"/>
  <c r="G4287" i="11"/>
  <c r="G4286" i="11"/>
  <c r="G4285" i="11"/>
  <c r="G4284" i="11"/>
  <c r="G4283" i="11"/>
  <c r="G4282" i="11"/>
  <c r="G4281" i="11"/>
  <c r="G4280" i="11"/>
  <c r="G4279" i="11"/>
  <c r="G4278" i="11"/>
  <c r="G4277" i="11"/>
  <c r="G4276" i="11"/>
  <c r="G4275" i="11"/>
  <c r="G4274" i="11"/>
  <c r="G4273" i="11"/>
  <c r="G4272" i="11"/>
  <c r="G4271" i="11"/>
  <c r="G4270" i="11"/>
  <c r="G4269" i="11"/>
  <c r="G4268" i="11"/>
  <c r="G4267" i="11"/>
  <c r="G4266" i="11"/>
  <c r="G4265" i="11"/>
  <c r="G4264" i="11"/>
  <c r="G4263" i="11"/>
  <c r="G4262" i="11"/>
  <c r="G4261" i="11"/>
  <c r="G4260" i="11"/>
  <c r="G4259" i="11"/>
  <c r="G4258" i="11"/>
  <c r="G4257" i="11"/>
  <c r="G4256" i="11"/>
  <c r="G4255" i="11"/>
  <c r="G4254" i="11"/>
  <c r="G4253" i="11"/>
  <c r="G4252" i="11"/>
  <c r="G4251" i="11"/>
  <c r="G4250" i="11"/>
  <c r="G4249" i="11"/>
  <c r="G4248" i="11"/>
  <c r="G4247" i="11"/>
  <c r="G4246" i="11"/>
  <c r="G4245" i="11"/>
  <c r="G4244" i="11"/>
  <c r="G4243" i="11"/>
  <c r="G4242" i="11"/>
  <c r="G4241" i="11"/>
  <c r="G4240" i="11"/>
  <c r="G4239" i="11"/>
  <c r="G4238" i="11"/>
  <c r="G4237" i="11"/>
  <c r="G4236" i="11"/>
  <c r="G4235" i="11"/>
  <c r="G4234" i="11"/>
  <c r="G4233" i="11"/>
  <c r="G4232" i="11"/>
  <c r="G4231" i="11"/>
  <c r="G4230" i="11"/>
  <c r="G4229" i="11"/>
  <c r="G4228" i="11"/>
  <c r="G4227" i="11"/>
  <c r="G4226" i="11"/>
  <c r="G4225" i="11"/>
  <c r="G4224" i="11"/>
  <c r="G4223" i="11"/>
  <c r="G4222" i="11"/>
  <c r="G4221" i="11"/>
  <c r="G4220" i="11"/>
  <c r="G4219" i="11"/>
  <c r="G4218" i="11"/>
  <c r="G4217" i="11"/>
  <c r="G4216" i="11"/>
  <c r="G4215" i="11"/>
  <c r="G4214" i="11"/>
  <c r="G4213" i="11"/>
  <c r="G4212" i="11"/>
  <c r="G4211" i="11"/>
  <c r="G4210" i="11"/>
  <c r="G4209" i="11"/>
  <c r="G4208" i="11"/>
  <c r="G4207" i="11"/>
  <c r="G4206" i="11"/>
  <c r="G4205" i="11"/>
  <c r="G4204" i="11"/>
  <c r="G4203" i="11"/>
  <c r="G4202" i="11"/>
  <c r="G4201" i="11"/>
  <c r="G4200" i="11"/>
  <c r="G4199" i="11"/>
  <c r="G4198" i="11"/>
  <c r="G4197" i="11"/>
  <c r="G4196" i="11"/>
  <c r="G4195" i="11"/>
  <c r="G4194" i="11"/>
  <c r="G4193" i="11"/>
  <c r="G4192" i="11"/>
  <c r="G4191" i="11"/>
  <c r="G4190" i="11"/>
  <c r="G4189" i="11"/>
  <c r="G4188" i="11"/>
  <c r="G4187" i="11"/>
  <c r="G4186" i="11"/>
  <c r="G4185" i="11"/>
  <c r="G4184" i="11"/>
  <c r="G4183" i="11"/>
  <c r="G4182" i="11"/>
  <c r="G4181" i="11"/>
  <c r="G4180" i="11"/>
  <c r="G4179" i="11"/>
  <c r="G4178" i="11"/>
  <c r="G4177" i="11"/>
  <c r="G4176" i="11"/>
  <c r="G4175" i="11"/>
  <c r="G4174" i="11"/>
  <c r="G4173" i="11"/>
  <c r="G4172" i="11"/>
  <c r="G4171" i="11"/>
  <c r="G4170" i="11"/>
  <c r="G4169" i="11"/>
  <c r="G4168" i="11"/>
  <c r="G4167" i="11"/>
  <c r="G4166" i="11"/>
  <c r="G4165" i="11"/>
  <c r="G4164" i="11"/>
  <c r="G4163" i="11"/>
  <c r="G4162" i="11"/>
  <c r="G4161" i="11"/>
  <c r="G4160" i="11"/>
  <c r="G4159" i="11"/>
  <c r="G4158" i="11"/>
  <c r="G4157" i="11"/>
  <c r="G4156" i="11"/>
  <c r="G4155" i="11"/>
  <c r="G4154" i="11"/>
  <c r="G4153" i="11"/>
  <c r="G4152" i="11"/>
  <c r="G4151" i="11"/>
  <c r="G4150" i="11"/>
  <c r="G4149" i="11"/>
  <c r="G4148" i="11"/>
  <c r="G4147" i="11"/>
  <c r="G4146" i="11"/>
  <c r="G4145" i="11"/>
  <c r="G4144" i="11"/>
  <c r="G4143" i="11"/>
  <c r="G4142" i="11"/>
  <c r="G4141" i="11"/>
  <c r="G4140" i="11"/>
  <c r="G4139" i="11"/>
  <c r="G4138" i="11"/>
  <c r="G4137" i="11"/>
  <c r="G4136" i="11"/>
  <c r="G4135" i="11"/>
  <c r="G4134" i="11"/>
  <c r="G4133" i="11"/>
  <c r="G4132" i="11"/>
  <c r="G4131" i="11"/>
  <c r="G4130" i="11"/>
  <c r="G4129" i="11"/>
  <c r="G4128" i="11"/>
  <c r="G4127" i="11"/>
  <c r="G4126" i="11"/>
  <c r="G4125" i="11"/>
  <c r="G4124" i="11"/>
  <c r="G4123" i="11"/>
  <c r="G4122" i="11"/>
  <c r="G4121" i="11"/>
  <c r="G4120" i="11"/>
  <c r="G4119" i="11"/>
  <c r="G4118" i="11"/>
  <c r="G4117" i="11"/>
  <c r="G4116" i="11"/>
  <c r="G4115" i="11"/>
  <c r="G4114" i="11"/>
  <c r="G4113" i="11"/>
  <c r="G4112" i="11"/>
  <c r="G4111" i="11"/>
  <c r="G4110" i="11"/>
  <c r="G4109" i="11"/>
  <c r="G4108" i="11"/>
  <c r="G4107" i="11"/>
  <c r="G4106" i="11"/>
  <c r="G4105" i="11"/>
  <c r="G4104" i="11"/>
  <c r="G4103" i="11"/>
  <c r="G4102" i="11"/>
  <c r="G4101" i="11"/>
  <c r="G4100" i="11"/>
  <c r="G4099" i="11"/>
  <c r="G4098" i="11"/>
  <c r="G4097" i="11"/>
  <c r="G4096" i="11"/>
  <c r="G4095" i="11"/>
  <c r="G4094" i="11"/>
  <c r="G4093" i="11"/>
  <c r="G4092" i="11"/>
  <c r="G4091" i="11"/>
  <c r="G4090" i="11"/>
  <c r="G4089" i="11"/>
  <c r="G4088" i="11"/>
  <c r="G4087" i="11"/>
  <c r="G4086" i="11"/>
  <c r="G4085" i="11"/>
  <c r="G4084" i="11"/>
  <c r="G4083" i="11"/>
  <c r="G4082" i="11"/>
  <c r="G4081" i="11"/>
  <c r="G4080" i="11"/>
  <c r="G4079" i="11"/>
  <c r="G4078" i="11"/>
  <c r="G4077" i="11"/>
  <c r="G4076" i="11"/>
  <c r="G4075" i="11"/>
  <c r="G4074" i="11"/>
  <c r="G4073" i="11"/>
  <c r="G4072" i="11"/>
  <c r="G4071" i="11"/>
  <c r="G4070" i="11"/>
  <c r="G4069" i="11"/>
  <c r="G4068" i="11"/>
  <c r="G4067" i="11"/>
  <c r="G4066" i="11"/>
  <c r="G4065" i="11"/>
  <c r="G4064" i="11"/>
  <c r="G4063" i="11"/>
  <c r="G4062" i="11"/>
  <c r="G4061" i="11"/>
  <c r="G4060" i="11"/>
  <c r="G4059" i="11"/>
  <c r="G4058" i="11"/>
  <c r="G4057" i="11"/>
  <c r="G4056" i="11"/>
  <c r="G4055" i="11"/>
  <c r="G4054" i="11"/>
  <c r="G4053" i="11"/>
  <c r="G4052" i="11"/>
  <c r="G4051" i="11"/>
  <c r="G4050" i="11"/>
  <c r="G4049" i="11"/>
  <c r="G4048" i="11"/>
  <c r="G4047" i="11"/>
  <c r="G4046" i="11"/>
  <c r="G4045" i="11"/>
  <c r="G4044" i="11"/>
  <c r="G4043" i="11"/>
  <c r="G4042" i="11"/>
  <c r="G4041" i="11"/>
  <c r="G4040" i="11"/>
  <c r="G4039" i="11"/>
  <c r="G4038" i="11"/>
  <c r="G4037" i="11"/>
  <c r="G4036" i="11"/>
  <c r="G4035" i="11"/>
  <c r="G4034" i="11"/>
  <c r="G4033" i="11"/>
  <c r="G4032" i="11"/>
  <c r="G4031" i="11"/>
  <c r="G4030" i="11"/>
  <c r="G4029" i="11"/>
  <c r="G4028" i="11"/>
  <c r="G4027" i="11"/>
  <c r="G4026" i="11"/>
  <c r="G4025" i="11"/>
  <c r="G4024" i="11"/>
  <c r="G4023" i="11"/>
  <c r="G4022" i="11"/>
  <c r="G4021" i="11"/>
  <c r="G4020" i="11"/>
  <c r="G4019" i="11"/>
  <c r="G4018" i="11"/>
  <c r="G4017" i="11"/>
  <c r="G4016" i="11"/>
  <c r="G4015" i="11"/>
  <c r="G4014" i="11"/>
  <c r="G4013" i="11"/>
  <c r="G4012" i="11"/>
  <c r="G4011" i="11"/>
  <c r="G4010" i="11"/>
  <c r="G4009" i="11"/>
  <c r="G4008" i="11"/>
  <c r="G4007" i="11"/>
  <c r="G4006" i="11"/>
  <c r="G4005" i="11"/>
  <c r="G4004" i="11"/>
  <c r="G4003" i="11"/>
  <c r="G4002" i="11"/>
  <c r="G4001" i="11"/>
  <c r="G4000" i="11"/>
  <c r="G3999" i="11"/>
  <c r="G3998" i="11"/>
  <c r="G3997" i="11"/>
  <c r="G3996" i="11"/>
  <c r="G3995" i="11"/>
  <c r="G3994" i="11"/>
  <c r="G3993" i="11"/>
  <c r="G3992" i="11"/>
  <c r="G3991" i="11"/>
  <c r="G3990" i="11"/>
  <c r="G3989" i="11"/>
  <c r="G3988" i="11"/>
  <c r="G3987" i="11"/>
  <c r="G3986" i="11"/>
  <c r="G3985" i="11"/>
  <c r="G3984" i="11"/>
  <c r="G3983" i="11"/>
  <c r="G3982" i="11"/>
  <c r="G3981" i="11"/>
  <c r="G3980" i="11"/>
  <c r="G3979" i="11"/>
  <c r="G3978" i="11"/>
  <c r="G3977" i="11"/>
  <c r="G3976" i="11"/>
  <c r="G3975" i="11"/>
  <c r="G3974" i="11"/>
  <c r="G3973" i="11"/>
  <c r="G3972" i="11"/>
  <c r="G3971" i="11"/>
  <c r="G3970" i="11"/>
  <c r="G3969" i="11"/>
  <c r="G3968" i="11"/>
  <c r="G3967" i="11"/>
  <c r="G3966" i="11"/>
  <c r="G3965" i="11"/>
  <c r="G3964" i="11"/>
  <c r="G3963" i="11"/>
  <c r="G3962" i="11"/>
  <c r="G3961" i="11"/>
  <c r="G3960" i="11"/>
  <c r="G3959" i="11"/>
  <c r="G3958" i="11"/>
  <c r="G3957" i="11"/>
  <c r="G3956" i="11"/>
  <c r="G3955" i="11"/>
  <c r="G3954" i="11"/>
  <c r="G3953" i="11"/>
  <c r="G3952" i="11"/>
  <c r="G3951" i="11"/>
  <c r="G3950" i="11"/>
  <c r="G3949" i="11"/>
  <c r="G3948" i="11"/>
  <c r="G3947" i="11"/>
  <c r="G3946" i="11"/>
  <c r="G3945" i="11"/>
  <c r="G3944" i="11"/>
  <c r="G3943" i="11"/>
  <c r="G3942" i="11"/>
  <c r="G3941" i="11"/>
  <c r="G3940" i="11"/>
  <c r="G3939" i="11"/>
  <c r="G3938" i="11"/>
  <c r="G3937" i="11"/>
  <c r="G3936" i="11"/>
  <c r="G3935" i="11"/>
  <c r="G3934" i="11"/>
  <c r="G3933" i="11"/>
  <c r="G3932" i="11"/>
  <c r="G3931" i="11"/>
  <c r="G3930" i="11"/>
  <c r="G3929" i="11"/>
  <c r="G3928" i="11"/>
  <c r="G3927" i="11"/>
  <c r="G3926" i="11"/>
  <c r="G3925" i="11"/>
  <c r="G3924" i="11"/>
  <c r="G3923" i="11"/>
  <c r="G3922" i="11"/>
  <c r="G3921" i="11"/>
  <c r="G3920" i="11"/>
  <c r="G3919" i="11"/>
  <c r="G3918" i="11"/>
  <c r="G3917" i="11"/>
  <c r="G3916" i="11"/>
  <c r="G3915" i="11"/>
  <c r="G3914" i="11"/>
  <c r="G3913" i="11"/>
  <c r="G3912" i="11"/>
  <c r="G3911" i="11"/>
  <c r="G3910" i="11"/>
  <c r="G3909" i="11"/>
  <c r="G3908" i="11"/>
  <c r="G3907" i="11"/>
  <c r="G3906" i="11"/>
  <c r="G3905" i="11"/>
  <c r="G3904" i="11"/>
  <c r="G3903" i="11"/>
  <c r="G3902" i="11"/>
  <c r="G3901" i="11"/>
  <c r="G3900" i="11"/>
  <c r="G3899" i="11"/>
  <c r="G3898" i="11"/>
  <c r="G3897" i="11"/>
  <c r="G3896" i="11"/>
  <c r="G3895" i="11"/>
  <c r="G3894" i="11"/>
  <c r="G3893" i="11"/>
  <c r="G3892" i="11"/>
  <c r="G3891" i="11"/>
  <c r="G3890" i="11"/>
  <c r="G3889" i="11"/>
  <c r="G3888" i="11"/>
  <c r="G3887" i="11"/>
  <c r="G3886" i="11"/>
  <c r="G3885" i="11"/>
  <c r="G3884" i="11"/>
  <c r="G3883" i="11"/>
  <c r="G3882" i="11"/>
  <c r="G3881" i="11"/>
  <c r="G3880" i="11"/>
  <c r="G3879" i="11"/>
  <c r="G3878" i="11"/>
  <c r="G3877" i="11"/>
  <c r="G3876" i="11"/>
  <c r="G3875" i="11"/>
  <c r="G3874" i="11"/>
  <c r="G3873" i="11"/>
  <c r="G3872" i="11"/>
  <c r="G3871" i="11"/>
  <c r="G3870" i="11"/>
  <c r="G3869" i="11"/>
  <c r="G3868" i="11"/>
  <c r="G3867" i="11"/>
  <c r="G3866" i="11"/>
  <c r="G3865" i="11"/>
  <c r="G3864" i="11"/>
  <c r="G3863" i="11"/>
  <c r="G3862" i="11"/>
  <c r="G3861" i="11"/>
  <c r="G3860" i="11"/>
  <c r="G3859" i="11"/>
  <c r="G3858" i="11"/>
  <c r="G3857" i="11"/>
  <c r="G3856" i="11"/>
  <c r="G3855" i="11"/>
  <c r="G3854" i="11"/>
  <c r="G3853" i="11"/>
  <c r="G3852" i="11"/>
  <c r="G3851" i="11"/>
  <c r="G3850" i="11"/>
  <c r="G3849" i="11"/>
  <c r="G3848" i="11"/>
  <c r="G3847" i="11"/>
  <c r="G3846" i="11"/>
  <c r="G3845" i="11"/>
  <c r="G3844" i="11"/>
  <c r="G3843" i="11"/>
  <c r="G3842" i="11"/>
  <c r="G3841" i="11"/>
  <c r="G3840" i="11"/>
  <c r="G3839" i="11"/>
  <c r="G3838" i="11"/>
  <c r="G3837" i="11"/>
  <c r="G3836" i="11"/>
  <c r="G3835" i="11"/>
  <c r="G3834" i="11"/>
  <c r="G3833" i="11"/>
  <c r="G3832" i="11"/>
  <c r="G3831" i="11"/>
  <c r="G3830" i="11"/>
  <c r="G3829" i="11"/>
  <c r="G3828" i="11"/>
  <c r="G3827" i="11"/>
  <c r="G3826" i="11"/>
  <c r="G3825" i="11"/>
  <c r="G3824" i="11"/>
  <c r="G3823" i="11"/>
  <c r="G3822" i="11"/>
  <c r="G3821" i="11"/>
  <c r="G3820" i="11"/>
  <c r="G3819" i="11"/>
  <c r="G3818" i="11"/>
  <c r="G3817" i="11"/>
  <c r="G3816" i="11"/>
  <c r="G3815" i="11"/>
  <c r="G3814" i="11"/>
  <c r="G3813" i="11"/>
  <c r="G3812" i="11"/>
  <c r="G3811" i="11"/>
  <c r="G3810" i="11"/>
  <c r="G3809" i="11"/>
  <c r="G3808" i="11"/>
  <c r="G3807" i="11"/>
  <c r="G3806" i="11"/>
  <c r="G3805" i="11"/>
  <c r="G3804" i="11"/>
  <c r="G3803" i="11"/>
  <c r="G3802" i="11"/>
  <c r="G3801" i="11"/>
  <c r="G3800" i="11"/>
  <c r="G3799" i="11"/>
  <c r="G3798" i="11"/>
  <c r="G3797" i="11"/>
  <c r="G3796" i="11"/>
  <c r="G3795" i="11"/>
  <c r="G3794" i="11"/>
  <c r="G3793" i="11"/>
  <c r="G3792" i="11"/>
  <c r="G3791" i="11"/>
  <c r="G3790" i="11"/>
  <c r="G3789" i="11"/>
  <c r="G3788" i="11"/>
  <c r="G3787" i="11"/>
  <c r="G3786" i="11"/>
  <c r="G3785" i="11"/>
  <c r="G3784" i="11"/>
  <c r="G3783" i="11"/>
  <c r="G3782" i="11"/>
  <c r="G3781" i="11"/>
  <c r="G3780" i="11"/>
  <c r="G3779" i="11"/>
  <c r="G3778" i="11"/>
  <c r="G3777" i="11"/>
  <c r="G3776" i="11"/>
  <c r="G3775" i="11"/>
  <c r="G3774" i="11"/>
  <c r="G3773" i="11"/>
  <c r="G3772" i="11"/>
  <c r="G3771" i="11"/>
  <c r="G3770" i="11"/>
  <c r="G3769" i="11"/>
  <c r="G3768" i="11"/>
  <c r="G3767" i="11"/>
  <c r="G3766" i="11"/>
  <c r="G3765" i="11"/>
  <c r="G3764" i="11"/>
  <c r="G3763" i="11"/>
  <c r="G3762" i="11"/>
  <c r="G3761" i="11"/>
  <c r="G3760" i="11"/>
  <c r="G3759" i="11"/>
  <c r="G3758" i="11"/>
  <c r="G3757" i="11"/>
  <c r="G3756" i="11"/>
  <c r="G3755" i="11"/>
  <c r="G3754" i="11"/>
  <c r="G3753" i="11"/>
  <c r="G3752" i="11"/>
  <c r="G3751" i="11"/>
  <c r="G3750" i="11"/>
  <c r="G3749" i="11"/>
  <c r="G3748" i="11"/>
  <c r="G3747" i="11"/>
  <c r="G3746" i="11"/>
  <c r="G3745" i="11"/>
  <c r="G3744" i="11"/>
  <c r="G3743" i="11"/>
  <c r="G3742" i="11"/>
  <c r="G3741" i="11"/>
  <c r="G3740" i="11"/>
  <c r="G3739" i="11"/>
  <c r="G3738" i="11"/>
  <c r="G3737" i="11"/>
  <c r="G3736" i="11"/>
  <c r="G3735" i="11"/>
  <c r="G3734" i="11"/>
  <c r="G3733" i="11"/>
  <c r="G3732" i="11"/>
  <c r="G3731" i="11"/>
  <c r="G3730" i="11"/>
  <c r="G3729" i="11"/>
  <c r="G3728" i="11"/>
  <c r="G3727" i="11"/>
  <c r="G3726" i="11"/>
  <c r="G3725" i="11"/>
  <c r="G3724" i="11"/>
  <c r="G3723" i="11"/>
  <c r="G3722" i="11"/>
  <c r="G3721" i="11"/>
  <c r="G3720" i="11"/>
  <c r="G3719" i="11"/>
  <c r="G3718" i="11"/>
  <c r="G3717" i="11"/>
  <c r="G3716" i="11"/>
  <c r="G3715" i="11"/>
  <c r="G3714" i="11"/>
  <c r="G3713" i="11"/>
  <c r="G3712" i="11"/>
  <c r="G3711" i="11"/>
  <c r="G3710" i="11"/>
  <c r="G3709" i="11"/>
  <c r="G3708" i="11"/>
  <c r="G3707" i="11"/>
  <c r="G3706" i="11"/>
  <c r="G3705" i="11"/>
  <c r="G3704" i="11"/>
  <c r="G3703" i="11"/>
  <c r="G3702" i="11"/>
  <c r="G3701" i="11"/>
  <c r="G3700" i="11"/>
  <c r="G3699" i="11"/>
  <c r="G3698" i="11"/>
  <c r="G3697" i="11"/>
  <c r="G3696" i="11"/>
  <c r="G3695" i="11"/>
  <c r="G3694" i="11"/>
  <c r="G3693" i="11"/>
  <c r="G3692" i="11"/>
  <c r="G3691" i="11"/>
  <c r="G3690" i="11"/>
  <c r="G3689" i="11"/>
  <c r="G3688" i="11"/>
  <c r="G3687" i="11"/>
  <c r="G3686" i="11"/>
  <c r="G3685" i="11"/>
  <c r="G3684" i="11"/>
  <c r="G3683" i="11"/>
  <c r="G3682" i="11"/>
  <c r="G3681" i="11"/>
  <c r="G3680" i="11"/>
  <c r="G3679" i="11"/>
  <c r="G3678" i="11"/>
  <c r="G3677" i="11"/>
  <c r="G3676" i="11"/>
  <c r="G3675" i="11"/>
  <c r="G3674" i="11"/>
  <c r="G3673" i="11"/>
  <c r="G3672" i="11"/>
  <c r="G3671" i="11"/>
  <c r="G3670" i="11"/>
  <c r="G3669" i="11"/>
  <c r="G3668" i="11"/>
  <c r="G3667" i="11"/>
  <c r="G3666" i="11"/>
  <c r="G3665" i="11"/>
  <c r="G3664" i="11"/>
  <c r="G3663" i="11"/>
  <c r="G3662" i="11"/>
  <c r="G3661" i="11"/>
  <c r="G3660" i="11"/>
  <c r="G3659" i="11"/>
  <c r="G3658" i="11"/>
  <c r="G3657" i="11"/>
  <c r="G3656" i="11"/>
  <c r="G3655" i="11"/>
  <c r="G3654" i="11"/>
  <c r="G3653" i="11"/>
  <c r="G3652" i="11"/>
  <c r="G3651" i="11"/>
  <c r="G3650" i="11"/>
  <c r="G3649" i="11"/>
  <c r="G3648" i="11"/>
  <c r="G3647" i="11"/>
  <c r="G3646" i="11"/>
  <c r="G3645" i="11"/>
  <c r="G3644" i="11"/>
  <c r="G3643" i="11"/>
  <c r="G3642" i="11"/>
  <c r="G3641" i="11"/>
  <c r="G3640" i="11"/>
  <c r="G3639" i="11"/>
  <c r="G3638" i="11"/>
  <c r="G3637" i="11"/>
  <c r="G3636" i="11"/>
  <c r="G3635" i="11"/>
  <c r="G3634" i="11"/>
  <c r="G3633" i="11"/>
  <c r="G3632" i="11"/>
  <c r="G3631" i="11"/>
  <c r="G3630" i="11"/>
  <c r="G3629" i="11"/>
  <c r="G3628" i="11"/>
  <c r="G3627" i="11"/>
  <c r="G3626" i="11"/>
  <c r="G3625" i="11"/>
  <c r="G3624" i="11"/>
  <c r="G3623" i="11"/>
  <c r="G3622" i="11"/>
  <c r="G3621" i="11"/>
  <c r="G3620" i="11"/>
  <c r="G3619" i="11"/>
  <c r="G3618" i="11"/>
  <c r="G3617" i="11"/>
  <c r="G3616" i="11"/>
  <c r="G3615" i="11"/>
  <c r="G3614" i="11"/>
  <c r="G3613" i="11"/>
  <c r="G3612" i="11"/>
  <c r="G3611" i="11"/>
  <c r="G3610" i="11"/>
  <c r="G3609" i="11"/>
  <c r="G3608" i="11"/>
  <c r="G3607" i="11"/>
  <c r="G3606" i="11"/>
  <c r="G3605" i="11"/>
  <c r="G3604" i="11"/>
  <c r="G3603" i="11"/>
  <c r="G3602" i="11"/>
  <c r="G3601" i="11"/>
  <c r="G3600" i="11"/>
  <c r="G3599" i="11"/>
  <c r="G3598" i="11"/>
  <c r="G3597" i="11"/>
  <c r="G3596" i="11"/>
  <c r="G3595" i="11"/>
  <c r="G3594" i="11"/>
  <c r="G3593" i="11"/>
  <c r="G3592" i="11"/>
  <c r="G3591" i="11"/>
  <c r="G3590" i="11"/>
  <c r="G3589" i="11"/>
  <c r="G3588" i="11"/>
  <c r="G3587" i="11"/>
  <c r="G3586" i="11"/>
  <c r="G3585" i="11"/>
  <c r="G3584" i="11"/>
  <c r="G3583" i="11"/>
  <c r="G3582" i="11"/>
  <c r="G3581" i="11"/>
  <c r="G3580" i="11"/>
  <c r="G3579" i="11"/>
  <c r="G3578" i="11"/>
  <c r="G3577" i="11"/>
  <c r="G3576" i="11"/>
  <c r="G3575" i="11"/>
  <c r="G3574" i="11"/>
  <c r="G3573" i="11"/>
  <c r="G3572" i="11"/>
  <c r="G3571" i="11"/>
  <c r="G3570" i="11"/>
  <c r="G3569" i="11"/>
  <c r="G3568" i="11"/>
  <c r="G3567" i="11"/>
  <c r="G3566" i="11"/>
  <c r="G3565" i="11"/>
  <c r="G3564" i="11"/>
  <c r="G3563" i="11"/>
  <c r="G3562" i="11"/>
  <c r="G3561" i="11"/>
  <c r="G3560" i="11"/>
  <c r="G3559" i="11"/>
  <c r="G3558" i="11"/>
  <c r="G3557" i="11"/>
  <c r="G3556" i="11"/>
  <c r="G3555" i="11"/>
  <c r="G3554" i="11"/>
  <c r="G3553" i="11"/>
  <c r="G3552" i="11"/>
  <c r="G3551" i="11"/>
  <c r="G3550" i="11"/>
  <c r="G3549" i="11"/>
  <c r="G3548" i="11"/>
  <c r="G3547" i="11"/>
  <c r="G3546" i="11"/>
  <c r="G3545" i="11"/>
  <c r="G3544" i="11"/>
  <c r="G3543" i="11"/>
  <c r="G3542" i="11"/>
  <c r="G3541" i="11"/>
  <c r="G3540" i="11"/>
  <c r="G3539" i="11"/>
  <c r="G3538" i="11"/>
  <c r="G3537" i="11"/>
  <c r="G3536" i="11"/>
  <c r="G3535" i="11"/>
  <c r="G3534" i="11"/>
  <c r="G3533" i="11"/>
  <c r="G3532" i="11"/>
  <c r="G3531" i="11"/>
  <c r="G3530" i="11"/>
  <c r="G3529" i="11"/>
  <c r="G3528" i="11"/>
  <c r="G3527" i="11"/>
  <c r="G3526" i="11"/>
  <c r="G3525" i="11"/>
  <c r="G3524" i="11"/>
  <c r="G3523" i="11"/>
  <c r="G3522" i="11"/>
  <c r="G3521" i="11"/>
  <c r="G3520" i="11"/>
  <c r="G3519" i="11"/>
  <c r="G3518" i="11"/>
  <c r="G3517" i="11"/>
  <c r="G3516" i="11"/>
  <c r="G3515" i="11"/>
  <c r="G3514" i="11"/>
  <c r="G3513" i="11"/>
  <c r="G3512" i="11"/>
  <c r="G3511" i="11"/>
  <c r="G3510" i="11"/>
  <c r="G3509" i="11"/>
  <c r="G3508" i="11"/>
  <c r="G3507" i="11"/>
  <c r="G3506" i="11"/>
  <c r="G3505" i="11"/>
  <c r="G3504" i="11"/>
  <c r="G3503" i="11"/>
  <c r="G3502" i="11"/>
  <c r="G3501" i="11"/>
  <c r="G3500" i="11"/>
  <c r="G3499" i="11"/>
  <c r="G3498" i="11"/>
  <c r="G3497" i="11"/>
  <c r="G3496" i="11"/>
  <c r="G3495" i="11"/>
  <c r="G3494" i="11"/>
  <c r="G3493" i="11"/>
  <c r="G3492" i="11"/>
  <c r="G3491" i="11"/>
  <c r="G3490" i="11"/>
  <c r="G3489" i="11"/>
  <c r="G3488" i="11"/>
  <c r="G3487" i="11"/>
  <c r="G3486" i="11"/>
  <c r="G3485" i="11"/>
  <c r="G3484" i="11"/>
  <c r="G3483" i="11"/>
  <c r="G3482" i="11"/>
  <c r="G3481" i="11"/>
  <c r="G3480" i="11"/>
  <c r="G3479" i="11"/>
  <c r="G3478" i="11"/>
  <c r="G3477" i="11"/>
  <c r="G3476" i="11"/>
  <c r="G3475" i="11"/>
  <c r="G3474" i="11"/>
  <c r="G3473" i="11"/>
  <c r="G3472" i="11"/>
  <c r="G3471" i="11"/>
  <c r="G3470" i="11"/>
  <c r="G3469" i="11"/>
  <c r="G3468" i="11"/>
  <c r="G3467" i="11"/>
  <c r="G3466" i="11"/>
  <c r="G3465" i="11"/>
  <c r="G3464" i="11"/>
  <c r="G3463" i="11"/>
  <c r="G3462" i="11"/>
  <c r="G3461" i="11"/>
  <c r="G3460" i="11"/>
  <c r="G3459" i="11"/>
  <c r="G3458" i="11"/>
  <c r="G3457" i="11"/>
  <c r="G3456" i="11"/>
  <c r="G3455" i="11"/>
  <c r="G3454" i="11"/>
  <c r="G3453" i="11"/>
  <c r="G3452" i="11"/>
  <c r="G3451" i="11"/>
  <c r="G3450" i="11"/>
  <c r="G3449" i="11"/>
  <c r="G3448" i="11"/>
  <c r="G3447" i="11"/>
  <c r="G3446" i="11"/>
  <c r="G3445" i="11"/>
  <c r="G3444" i="11"/>
  <c r="G3443" i="11"/>
  <c r="G3442" i="11"/>
  <c r="G3441" i="11"/>
  <c r="G3440" i="11"/>
  <c r="G3439" i="11"/>
  <c r="G3438" i="11"/>
  <c r="G3437" i="11"/>
  <c r="G3436" i="11"/>
  <c r="G3435" i="11"/>
  <c r="G3434" i="11"/>
  <c r="G3433" i="11"/>
  <c r="G3432" i="11"/>
  <c r="G3431" i="11"/>
  <c r="G3430" i="11"/>
  <c r="G3429" i="11"/>
  <c r="G3428" i="11"/>
  <c r="G3427" i="11"/>
  <c r="G3426" i="11"/>
  <c r="G3425" i="11"/>
  <c r="G3424" i="11"/>
  <c r="G3423" i="11"/>
  <c r="G3422" i="11"/>
  <c r="G3421" i="11"/>
  <c r="G3420" i="11"/>
  <c r="G3419" i="11"/>
  <c r="G3418" i="11"/>
  <c r="G3417" i="11"/>
  <c r="G3416" i="11"/>
  <c r="G3415" i="11"/>
  <c r="G3414" i="11"/>
  <c r="G3413" i="11"/>
  <c r="G3412" i="11"/>
  <c r="G3411" i="11"/>
  <c r="G3410" i="11"/>
  <c r="G3409" i="11"/>
  <c r="G3408" i="11"/>
  <c r="G3407" i="11"/>
  <c r="G3406" i="11"/>
  <c r="G3405" i="11"/>
  <c r="G3404" i="11"/>
  <c r="G3403" i="11"/>
  <c r="G3402" i="11"/>
  <c r="G3401" i="11"/>
  <c r="G3400" i="11"/>
  <c r="G3399" i="11"/>
  <c r="G3398" i="11"/>
  <c r="G3397" i="11"/>
  <c r="G3396" i="11"/>
  <c r="G3395" i="11"/>
  <c r="G3394" i="11"/>
  <c r="G3393" i="11"/>
  <c r="G3392" i="11"/>
  <c r="G3391" i="11"/>
  <c r="G3390" i="11"/>
  <c r="G3389" i="11"/>
  <c r="G3388" i="11"/>
  <c r="G3387" i="11"/>
  <c r="G3386" i="11"/>
  <c r="G3385" i="11"/>
  <c r="G3384" i="11"/>
  <c r="G3383" i="11"/>
  <c r="G3382" i="11"/>
  <c r="G3381" i="11"/>
  <c r="G3380" i="11"/>
  <c r="G3379" i="11"/>
  <c r="G3378" i="11"/>
  <c r="G3377" i="11"/>
  <c r="G3376" i="11"/>
  <c r="G3375" i="11"/>
  <c r="G3374" i="11"/>
  <c r="G3373" i="11"/>
  <c r="G3372" i="11"/>
  <c r="G3371" i="11"/>
  <c r="G3370" i="11"/>
  <c r="G3369" i="11"/>
  <c r="G3368" i="11"/>
  <c r="G3367" i="11"/>
  <c r="G3366" i="11"/>
  <c r="G3365" i="11"/>
  <c r="G3364" i="11"/>
  <c r="G3363" i="11"/>
  <c r="G3362" i="11"/>
  <c r="G3361" i="11"/>
  <c r="G3360" i="11"/>
  <c r="G3359" i="11"/>
  <c r="G3358" i="11"/>
  <c r="G3357" i="11"/>
  <c r="G3356" i="11"/>
  <c r="G3355" i="11"/>
  <c r="G3354" i="11"/>
  <c r="G3353" i="11"/>
  <c r="G3352" i="11"/>
  <c r="G3351" i="11"/>
  <c r="G3350" i="11"/>
  <c r="G3349" i="11"/>
  <c r="G3348" i="11"/>
  <c r="G3347" i="11"/>
  <c r="G3346" i="11"/>
  <c r="G3345" i="11"/>
  <c r="G3344" i="11"/>
  <c r="G3343" i="11"/>
  <c r="G3342" i="11"/>
  <c r="G3341" i="11"/>
  <c r="G3340" i="11"/>
  <c r="G3339" i="11"/>
  <c r="G3338" i="11"/>
  <c r="G3337" i="11"/>
  <c r="G3336" i="11"/>
  <c r="G3335" i="11"/>
  <c r="G3334" i="11"/>
  <c r="G3333" i="11"/>
  <c r="G3332" i="11"/>
  <c r="G3331" i="11"/>
  <c r="G3330" i="11"/>
  <c r="G3329" i="11"/>
  <c r="G3328" i="11"/>
  <c r="G3327" i="11"/>
  <c r="G3326" i="11"/>
  <c r="G3325" i="11"/>
  <c r="G3324" i="11"/>
  <c r="G3323" i="11"/>
  <c r="G3322" i="11"/>
  <c r="G3321" i="11"/>
  <c r="G3320" i="11"/>
  <c r="G3319" i="11"/>
  <c r="G3318" i="11"/>
  <c r="G3317" i="11"/>
  <c r="G3316" i="11"/>
  <c r="G3315" i="11"/>
  <c r="G3314" i="11"/>
  <c r="G3313" i="11"/>
  <c r="G3312" i="11"/>
  <c r="G3311" i="11"/>
  <c r="G3310" i="11"/>
  <c r="G3309" i="11"/>
  <c r="G3308" i="11"/>
  <c r="G3307" i="11"/>
  <c r="G3306" i="11"/>
  <c r="G3305" i="11"/>
  <c r="G3304" i="11"/>
  <c r="G3303" i="11"/>
  <c r="G3302" i="11"/>
  <c r="G3301" i="11"/>
  <c r="G3300" i="11"/>
  <c r="G3299" i="11"/>
  <c r="G3298" i="11"/>
  <c r="G3297" i="11"/>
  <c r="G3296" i="11"/>
  <c r="G3295" i="11"/>
  <c r="G3294" i="11"/>
  <c r="G3293" i="11"/>
  <c r="G3292" i="11"/>
  <c r="G3291" i="11"/>
  <c r="G3290" i="11"/>
  <c r="G3289" i="11"/>
  <c r="G3288" i="11"/>
  <c r="G3287" i="11"/>
  <c r="G3286" i="11"/>
  <c r="G3285" i="11"/>
  <c r="G3284" i="11"/>
  <c r="G3283" i="11"/>
  <c r="G3282" i="11"/>
  <c r="G3281" i="11"/>
  <c r="G3280" i="11"/>
  <c r="G3279" i="11"/>
  <c r="G3278" i="11"/>
  <c r="G3277" i="11"/>
  <c r="G3276" i="11"/>
  <c r="G3275" i="11"/>
  <c r="G3274" i="11"/>
  <c r="G3273" i="11"/>
  <c r="G3272" i="11"/>
  <c r="G3271" i="11"/>
  <c r="G3270" i="11"/>
  <c r="G3269" i="11"/>
  <c r="G3268" i="11"/>
  <c r="G3267" i="11"/>
  <c r="G3266" i="11"/>
  <c r="G3265" i="11"/>
  <c r="G3264" i="11"/>
  <c r="G3263" i="11"/>
  <c r="G3262" i="11"/>
  <c r="G3261" i="11"/>
  <c r="G3260" i="11"/>
  <c r="G3259" i="11"/>
  <c r="G3258" i="11"/>
  <c r="G3257" i="11"/>
  <c r="G3256" i="11"/>
  <c r="G3255" i="11"/>
  <c r="G3254" i="11"/>
  <c r="G3253" i="11"/>
  <c r="G3252" i="11"/>
  <c r="G3251" i="11"/>
  <c r="G3250" i="11"/>
  <c r="G3249" i="11"/>
  <c r="G3248" i="11"/>
  <c r="G3247" i="11"/>
  <c r="G3246" i="11"/>
  <c r="G3245" i="11"/>
  <c r="G3244" i="11"/>
  <c r="G3243" i="11"/>
  <c r="G3242" i="11"/>
  <c r="G3241" i="11"/>
  <c r="G3240" i="11"/>
  <c r="G3239" i="11"/>
  <c r="G3238" i="11"/>
  <c r="G3237" i="11"/>
  <c r="G3236" i="11"/>
  <c r="G3235" i="11"/>
  <c r="G3234" i="11"/>
  <c r="G3233" i="11"/>
  <c r="G3232" i="11"/>
  <c r="G3231" i="11"/>
  <c r="G3230" i="11"/>
  <c r="G3229" i="11"/>
  <c r="G3228" i="11"/>
  <c r="G3227" i="11"/>
  <c r="G3226" i="11"/>
  <c r="G3225" i="11"/>
  <c r="G3224" i="11"/>
  <c r="G3223" i="11"/>
  <c r="G3222" i="11"/>
  <c r="G3221" i="11"/>
  <c r="G3220" i="11"/>
  <c r="G3219" i="11"/>
  <c r="G3218" i="11"/>
  <c r="G3217" i="11"/>
  <c r="G3216" i="11"/>
  <c r="G3215" i="11"/>
  <c r="G3214" i="11"/>
  <c r="G3213" i="11"/>
  <c r="G3212" i="11"/>
  <c r="G3211" i="11"/>
  <c r="G3210" i="11"/>
  <c r="G3209" i="11"/>
  <c r="G3208" i="11"/>
  <c r="G3207" i="11"/>
  <c r="G3206" i="11"/>
  <c r="G3205" i="11"/>
  <c r="G3204" i="11"/>
  <c r="G3203" i="11"/>
  <c r="G3202" i="11"/>
  <c r="G3201" i="11"/>
  <c r="G3200" i="11"/>
  <c r="G3199" i="11"/>
  <c r="G3198" i="11"/>
  <c r="G3197" i="11"/>
  <c r="G3196" i="11"/>
  <c r="G3195" i="11"/>
  <c r="G3194" i="11"/>
  <c r="G3193" i="11"/>
  <c r="G3192" i="11"/>
  <c r="G3191" i="11"/>
  <c r="G3190" i="11"/>
  <c r="G3189" i="11"/>
  <c r="G3188" i="11"/>
  <c r="G3187" i="11"/>
  <c r="G3186" i="11"/>
  <c r="G3185" i="11"/>
  <c r="G3184" i="11"/>
  <c r="G3183" i="11"/>
  <c r="G3182" i="11"/>
  <c r="G3181" i="11"/>
  <c r="G3180" i="11"/>
  <c r="G3179" i="11"/>
  <c r="G3178" i="11"/>
  <c r="G3177" i="11"/>
  <c r="G3176" i="11"/>
  <c r="G3175" i="11"/>
  <c r="G3174" i="11"/>
  <c r="G3173" i="11"/>
  <c r="G3172" i="11"/>
  <c r="G3171" i="11"/>
  <c r="G3170" i="11"/>
  <c r="G3169" i="11"/>
  <c r="G3168" i="11"/>
  <c r="G3167" i="11"/>
  <c r="G3166" i="11"/>
  <c r="G3165" i="11"/>
  <c r="G3164" i="11"/>
  <c r="G3163" i="11"/>
  <c r="G3162" i="11"/>
  <c r="G3161" i="11"/>
  <c r="G3160" i="11"/>
  <c r="G3159" i="11"/>
  <c r="G3158" i="11"/>
  <c r="G3157" i="11"/>
  <c r="G3156" i="11"/>
  <c r="G3155" i="11"/>
  <c r="G3154" i="11"/>
  <c r="G3153" i="11"/>
  <c r="G3152" i="11"/>
  <c r="G3151" i="11"/>
  <c r="G3150" i="11"/>
  <c r="G3149" i="11"/>
  <c r="G3148" i="11"/>
  <c r="G3147" i="11"/>
  <c r="G3146" i="11"/>
  <c r="G3145" i="11"/>
  <c r="G3144" i="11"/>
  <c r="G3143" i="11"/>
  <c r="G3142" i="11"/>
  <c r="G3141" i="11"/>
  <c r="G3140" i="11"/>
  <c r="G3139" i="11"/>
  <c r="G3138" i="11"/>
  <c r="G3137" i="11"/>
  <c r="G3136" i="11"/>
  <c r="G3135" i="11"/>
  <c r="G3134" i="11"/>
  <c r="G3133" i="11"/>
  <c r="G3132" i="11"/>
  <c r="G3131" i="11"/>
  <c r="G3130" i="11"/>
  <c r="G3129" i="11"/>
  <c r="G3128" i="11"/>
  <c r="G3127" i="11"/>
  <c r="G3126" i="11"/>
  <c r="G3125" i="11"/>
  <c r="G3124" i="11"/>
  <c r="G3123" i="11"/>
  <c r="G3122" i="11"/>
  <c r="G3121" i="11"/>
  <c r="G3120" i="11"/>
  <c r="G3119" i="11"/>
  <c r="G3118" i="11"/>
  <c r="G3117" i="11"/>
  <c r="G3116" i="11"/>
  <c r="G3115" i="11"/>
  <c r="G3114" i="11"/>
  <c r="G3113" i="11"/>
  <c r="G3112" i="11"/>
  <c r="G3111" i="11"/>
  <c r="G3110" i="11"/>
  <c r="G3109" i="11"/>
  <c r="G3108" i="11"/>
  <c r="G3107" i="11"/>
  <c r="G3106" i="11"/>
  <c r="G3105" i="11"/>
  <c r="G3104" i="11"/>
  <c r="G3103" i="11"/>
  <c r="G3102" i="11"/>
  <c r="G3101" i="11"/>
  <c r="G3100" i="11"/>
  <c r="G3099" i="11"/>
  <c r="G3098" i="11"/>
  <c r="G3097" i="11"/>
  <c r="G3096" i="11"/>
  <c r="G3095" i="11"/>
  <c r="G3094" i="11"/>
  <c r="G3093" i="11"/>
  <c r="G3092" i="11"/>
  <c r="G3091" i="11"/>
  <c r="G3090" i="11"/>
  <c r="G3089" i="11"/>
  <c r="G3088" i="11"/>
  <c r="G3087" i="11"/>
  <c r="G3086" i="11"/>
  <c r="G3085" i="11"/>
  <c r="G3084" i="11"/>
  <c r="G3083" i="11"/>
  <c r="G3082" i="11"/>
  <c r="G3081" i="11"/>
  <c r="G3080" i="11"/>
  <c r="G3079" i="11"/>
  <c r="G3078" i="11"/>
  <c r="G3077" i="11"/>
  <c r="G3076" i="11"/>
  <c r="G3075" i="11"/>
  <c r="G3074" i="11"/>
  <c r="G3073" i="11"/>
  <c r="G3072" i="11"/>
  <c r="G3071" i="11"/>
  <c r="G3070" i="11"/>
  <c r="G3069" i="11"/>
  <c r="G3068" i="11"/>
  <c r="G3067" i="11"/>
  <c r="G3066" i="11"/>
  <c r="G3065" i="11"/>
  <c r="G3064" i="11"/>
  <c r="G3063" i="11"/>
  <c r="G3062" i="11"/>
  <c r="G3061" i="11"/>
  <c r="G3060" i="11"/>
  <c r="G3059" i="11"/>
  <c r="G3058" i="11"/>
  <c r="G3057" i="11"/>
  <c r="G3056" i="11"/>
  <c r="G3055" i="11"/>
  <c r="G3054" i="11"/>
  <c r="G3053" i="11"/>
  <c r="G3052" i="11"/>
  <c r="G3051" i="11"/>
  <c r="G3050" i="11"/>
  <c r="G3049" i="11"/>
  <c r="G3048" i="11"/>
  <c r="G3047" i="11"/>
  <c r="G3046" i="11"/>
  <c r="G3045" i="11"/>
  <c r="G3044" i="11"/>
  <c r="G3043" i="11"/>
  <c r="G3042" i="11"/>
  <c r="G3041" i="11"/>
  <c r="G3040" i="11"/>
  <c r="G3039" i="11"/>
  <c r="G3038" i="11"/>
  <c r="G3037" i="11"/>
  <c r="G3036" i="11"/>
  <c r="G3035" i="11"/>
  <c r="G3034" i="11"/>
  <c r="G3033" i="11"/>
  <c r="G3032" i="11"/>
  <c r="G3031" i="11"/>
  <c r="G3030" i="11"/>
  <c r="G3029" i="11"/>
  <c r="G3028" i="11"/>
  <c r="G3027" i="11"/>
  <c r="G3026" i="11"/>
  <c r="G3025" i="11"/>
  <c r="G3024" i="11"/>
  <c r="G3023" i="11"/>
  <c r="G3022" i="11"/>
  <c r="G3021" i="11"/>
  <c r="G3020" i="11"/>
  <c r="G3019" i="11"/>
  <c r="G3018" i="11"/>
  <c r="G3017" i="11"/>
  <c r="G3016" i="11"/>
  <c r="G3015" i="11"/>
  <c r="G3014" i="11"/>
  <c r="G3013" i="11"/>
  <c r="G3012" i="11"/>
  <c r="G3011" i="11"/>
  <c r="G3010" i="11"/>
  <c r="G3009" i="11"/>
  <c r="G3008" i="11"/>
  <c r="G3007" i="11"/>
  <c r="G3006" i="11"/>
  <c r="G3005" i="11"/>
  <c r="G3004" i="11"/>
  <c r="G3003" i="11"/>
  <c r="G3002" i="11"/>
  <c r="G3001" i="11"/>
  <c r="G3000" i="11"/>
  <c r="G2999" i="11"/>
  <c r="G2998" i="11"/>
  <c r="G2997" i="11"/>
  <c r="G2996" i="11"/>
  <c r="G2995" i="11"/>
  <c r="G2994" i="11"/>
  <c r="G2993" i="11"/>
  <c r="G2992" i="11"/>
  <c r="G2991" i="11"/>
  <c r="G2990" i="11"/>
  <c r="G2989" i="11"/>
  <c r="G2988" i="11"/>
  <c r="G2987" i="11"/>
  <c r="G2986" i="11"/>
  <c r="G2985" i="11"/>
  <c r="G2984" i="11"/>
  <c r="G2983" i="11"/>
  <c r="G2982" i="11"/>
  <c r="G2981" i="11"/>
  <c r="G2980" i="11"/>
  <c r="G2979" i="11"/>
  <c r="G2978" i="11"/>
  <c r="G2977" i="11"/>
  <c r="G2976" i="11"/>
  <c r="G2975" i="11"/>
  <c r="G2974" i="11"/>
  <c r="G2973" i="11"/>
  <c r="G2972" i="11"/>
  <c r="G2971" i="11"/>
  <c r="G2970" i="11"/>
  <c r="G2969" i="11"/>
  <c r="G2968" i="11"/>
  <c r="G2967" i="11"/>
  <c r="G2966" i="11"/>
  <c r="G2965" i="11"/>
  <c r="G2964" i="11"/>
  <c r="G2963" i="11"/>
  <c r="G2962" i="11"/>
  <c r="G2961" i="11"/>
  <c r="G2960" i="11"/>
  <c r="G2959" i="11"/>
  <c r="G2958" i="11"/>
  <c r="G2957" i="11"/>
  <c r="G2956" i="11"/>
  <c r="G2955" i="11"/>
  <c r="G2954" i="11"/>
  <c r="G2953" i="11"/>
  <c r="G2952" i="11"/>
  <c r="G2951" i="11"/>
  <c r="G2950" i="11"/>
  <c r="G2949" i="11"/>
  <c r="G2948" i="11"/>
  <c r="G2947" i="11"/>
  <c r="G2946" i="11"/>
  <c r="G2945" i="11"/>
  <c r="G2944" i="11"/>
  <c r="G2943" i="11"/>
  <c r="G2942" i="11"/>
  <c r="G2941" i="11"/>
  <c r="G2940" i="11"/>
  <c r="G2939" i="11"/>
  <c r="G2938" i="11"/>
  <c r="G2937" i="11"/>
  <c r="G2936" i="11"/>
  <c r="G2935" i="11"/>
  <c r="G2934" i="11"/>
  <c r="G2933" i="11"/>
  <c r="G2932" i="11"/>
  <c r="G2931" i="11"/>
  <c r="G2930" i="11"/>
  <c r="G2929" i="11"/>
  <c r="G2928" i="11"/>
  <c r="G2927" i="11"/>
  <c r="G2926" i="11"/>
  <c r="G2925" i="11"/>
  <c r="G2924" i="11"/>
  <c r="G2923" i="11"/>
  <c r="G2922" i="11"/>
  <c r="G2921" i="11"/>
  <c r="G2920" i="11"/>
  <c r="G2919" i="11"/>
  <c r="G2918" i="11"/>
  <c r="G2917" i="11"/>
  <c r="G2916" i="11"/>
  <c r="G2915" i="11"/>
  <c r="G2914" i="11"/>
  <c r="G2913" i="11"/>
  <c r="G2912" i="11"/>
  <c r="G2911" i="11"/>
  <c r="G2910" i="11"/>
  <c r="G2909" i="11"/>
  <c r="G2908" i="11"/>
  <c r="G2907" i="11"/>
  <c r="G2906" i="11"/>
  <c r="G2905" i="11"/>
  <c r="G2904" i="11"/>
  <c r="G2903" i="11"/>
  <c r="G2902" i="11"/>
  <c r="G2901" i="11"/>
  <c r="G2900" i="11"/>
  <c r="G2899" i="11"/>
  <c r="G2898" i="11"/>
  <c r="G2897" i="11"/>
  <c r="G2896" i="11"/>
  <c r="G2895" i="11"/>
  <c r="G2894" i="11"/>
  <c r="G2893" i="11"/>
  <c r="G2892" i="11"/>
  <c r="G2891" i="11"/>
  <c r="G2890" i="11"/>
  <c r="G2889" i="11"/>
  <c r="G2888" i="11"/>
  <c r="G2887" i="11"/>
  <c r="G2886" i="11"/>
  <c r="G2885" i="11"/>
  <c r="G2884" i="11"/>
  <c r="G2883" i="11"/>
  <c r="G2882" i="11"/>
  <c r="G2881" i="11"/>
  <c r="G2880" i="11"/>
  <c r="G2879" i="11"/>
  <c r="G2878" i="11"/>
  <c r="G2877" i="11"/>
  <c r="G2876" i="11"/>
  <c r="G2875" i="11"/>
  <c r="G2874" i="11"/>
  <c r="G2873" i="11"/>
  <c r="G2872" i="11"/>
  <c r="G2871" i="11"/>
  <c r="G2870" i="11"/>
  <c r="G2869" i="11"/>
  <c r="G2868" i="11"/>
  <c r="G2867" i="11"/>
  <c r="G2866" i="11"/>
  <c r="G2865" i="11"/>
  <c r="G2864" i="11"/>
  <c r="G2863" i="11"/>
  <c r="G2862" i="11"/>
  <c r="G2861" i="11"/>
  <c r="G2860" i="11"/>
  <c r="G2859" i="11"/>
  <c r="G2858" i="11"/>
  <c r="G2857" i="11"/>
  <c r="G2856" i="11"/>
  <c r="G2855" i="11"/>
  <c r="G2854" i="11"/>
  <c r="G2853" i="11"/>
  <c r="G2852" i="11"/>
  <c r="G2851" i="11"/>
  <c r="G2850" i="11"/>
  <c r="G2849" i="11"/>
  <c r="G2848" i="11"/>
  <c r="G2847" i="11"/>
  <c r="G2846" i="11"/>
  <c r="G2845" i="11"/>
  <c r="G2844" i="11"/>
  <c r="G2843" i="11"/>
  <c r="G2842" i="11"/>
  <c r="G2841" i="11"/>
  <c r="G2840" i="11"/>
  <c r="G2839" i="11"/>
  <c r="G2838" i="11"/>
  <c r="G2837" i="11"/>
  <c r="G2836" i="11"/>
  <c r="G2835" i="11"/>
  <c r="G2834" i="11"/>
  <c r="G2833" i="11"/>
  <c r="G2832" i="11"/>
  <c r="G2831" i="11"/>
  <c r="G2830" i="11"/>
  <c r="G2829" i="11"/>
  <c r="G2828" i="11"/>
  <c r="G2827" i="11"/>
  <c r="G2826" i="11"/>
  <c r="G2825" i="11"/>
  <c r="G2824" i="11"/>
  <c r="G2823" i="11"/>
  <c r="G2822" i="11"/>
  <c r="G2821" i="11"/>
  <c r="G2820" i="11"/>
  <c r="G2819" i="11"/>
  <c r="G2818" i="11"/>
  <c r="G2817" i="11"/>
  <c r="G2816" i="11"/>
  <c r="G2815" i="11"/>
  <c r="G2814" i="11"/>
  <c r="G2813" i="11"/>
  <c r="G2812" i="11"/>
  <c r="G2811" i="11"/>
  <c r="G2810" i="11"/>
  <c r="G2809" i="11"/>
  <c r="G2808" i="11"/>
  <c r="G2807" i="11"/>
  <c r="G2806" i="11"/>
  <c r="G2805" i="11"/>
  <c r="G2804" i="11"/>
  <c r="G2803" i="11"/>
  <c r="G2802" i="11"/>
  <c r="G2801" i="11"/>
  <c r="G2800" i="11"/>
  <c r="G2799" i="11"/>
  <c r="G2798" i="11"/>
  <c r="G2797" i="11"/>
  <c r="G2796" i="11"/>
  <c r="G2795" i="11"/>
  <c r="G2794" i="11"/>
  <c r="G2793" i="11"/>
  <c r="G2792" i="11"/>
  <c r="G2791" i="11"/>
  <c r="G2790" i="11"/>
  <c r="G2789" i="11"/>
  <c r="G2788" i="11"/>
  <c r="G2787" i="11"/>
  <c r="G2786" i="11"/>
  <c r="G2785" i="11"/>
  <c r="G2784" i="11"/>
  <c r="G2783" i="11"/>
  <c r="G2782" i="11"/>
  <c r="G2781" i="11"/>
  <c r="G2780" i="11"/>
  <c r="G2779" i="11"/>
  <c r="G2778" i="11"/>
  <c r="G2777" i="11"/>
  <c r="G2776" i="11"/>
  <c r="G2775" i="11"/>
  <c r="G2774" i="11"/>
  <c r="G2773" i="11"/>
  <c r="G2772" i="11"/>
  <c r="G2771" i="11"/>
  <c r="G2770" i="11"/>
  <c r="G2769" i="11"/>
  <c r="G2768" i="11"/>
  <c r="G2767" i="11"/>
  <c r="G2766" i="11"/>
  <c r="G2765" i="11"/>
  <c r="G2764" i="11"/>
  <c r="G2763" i="11"/>
  <c r="G2762" i="11"/>
  <c r="G2761" i="11"/>
  <c r="G2760" i="11"/>
  <c r="G2759" i="11"/>
  <c r="G2758" i="11"/>
  <c r="G2757" i="11"/>
  <c r="G2756" i="11"/>
  <c r="G2755" i="11"/>
  <c r="G2754" i="11"/>
  <c r="G2753" i="11"/>
  <c r="G2752" i="11"/>
  <c r="G2751" i="11"/>
  <c r="G2750" i="11"/>
  <c r="G2749" i="11"/>
  <c r="G2748" i="11"/>
  <c r="G2747" i="11"/>
  <c r="G2746" i="11"/>
  <c r="G2745" i="11"/>
  <c r="G2744" i="11"/>
  <c r="G2743" i="11"/>
  <c r="G2742" i="11"/>
  <c r="G2741" i="11"/>
  <c r="G2740" i="11"/>
  <c r="G2739" i="11"/>
  <c r="G2738" i="11"/>
  <c r="G2737" i="11"/>
  <c r="G2736" i="11"/>
  <c r="G2735" i="11"/>
  <c r="G2734" i="11"/>
  <c r="G2733" i="11"/>
  <c r="G2732" i="11"/>
  <c r="G2731" i="11"/>
  <c r="G2730" i="11"/>
  <c r="G2729" i="11"/>
  <c r="G2728" i="11"/>
  <c r="G2727" i="11"/>
  <c r="G2726" i="11"/>
  <c r="G2725" i="11"/>
  <c r="G2724" i="11"/>
  <c r="G2723" i="11"/>
  <c r="G2722" i="11"/>
  <c r="G2721" i="11"/>
  <c r="G2720" i="11"/>
  <c r="G2719" i="11"/>
  <c r="G2718" i="11"/>
  <c r="G2717" i="11"/>
  <c r="G2716" i="11"/>
  <c r="G2715" i="11"/>
  <c r="G2714" i="11"/>
  <c r="G2713" i="11"/>
  <c r="G2712" i="11"/>
  <c r="G2711" i="11"/>
  <c r="G2710" i="11"/>
  <c r="G2709" i="11"/>
  <c r="G2708" i="11"/>
  <c r="G2707" i="11"/>
  <c r="G2706" i="11"/>
  <c r="G2705" i="11"/>
  <c r="G2704" i="11"/>
  <c r="G2703" i="11"/>
  <c r="G2702" i="11"/>
  <c r="G2701" i="11"/>
  <c r="G2700" i="11"/>
  <c r="G2699" i="11"/>
  <c r="G2698" i="11"/>
  <c r="G2697" i="11"/>
  <c r="G2696" i="11"/>
  <c r="G2695" i="11"/>
  <c r="G2694" i="11"/>
  <c r="G2693" i="11"/>
  <c r="G2692" i="11"/>
  <c r="G2691" i="11"/>
  <c r="G2690" i="11"/>
  <c r="G2689" i="11"/>
  <c r="G2688" i="11"/>
  <c r="G2687" i="11"/>
  <c r="G2686" i="11"/>
  <c r="G2685" i="11"/>
  <c r="G2684" i="11"/>
  <c r="G2683" i="11"/>
  <c r="G2682" i="11"/>
  <c r="G2681" i="11"/>
  <c r="G2680" i="11"/>
  <c r="G2679" i="11"/>
  <c r="G2678" i="11"/>
  <c r="G2677" i="11"/>
  <c r="G2676" i="11"/>
  <c r="G2675" i="11"/>
  <c r="G2674" i="11"/>
  <c r="G2673" i="11"/>
  <c r="G2672" i="11"/>
  <c r="G2671" i="11"/>
  <c r="G2670" i="11"/>
  <c r="G2669" i="11"/>
  <c r="G2668" i="11"/>
  <c r="G2667" i="11"/>
  <c r="G2666" i="11"/>
  <c r="G2665" i="11"/>
  <c r="G2664" i="11"/>
  <c r="G2663" i="11"/>
  <c r="G2662" i="11"/>
  <c r="G2661" i="11"/>
  <c r="G2660" i="11"/>
  <c r="G2659" i="11"/>
  <c r="G2658" i="11"/>
  <c r="G2657" i="11"/>
  <c r="G2656" i="11"/>
  <c r="G2655" i="11"/>
  <c r="G2654" i="11"/>
  <c r="G2653" i="11"/>
  <c r="G2652" i="11"/>
  <c r="G2651" i="11"/>
  <c r="G2650" i="11"/>
  <c r="G2649" i="11"/>
  <c r="G2648" i="11"/>
  <c r="G2647" i="11"/>
  <c r="G2646" i="11"/>
  <c r="G2645" i="11"/>
  <c r="G2644" i="11"/>
  <c r="G2643" i="11"/>
  <c r="G2642" i="11"/>
  <c r="G2641" i="11"/>
  <c r="G2640" i="11"/>
  <c r="G2639" i="11"/>
  <c r="G2638" i="11"/>
  <c r="G2637" i="11"/>
  <c r="G2636" i="11"/>
  <c r="G2635" i="11"/>
  <c r="G2634" i="11"/>
  <c r="G2633" i="11"/>
  <c r="G2632" i="11"/>
  <c r="G2631" i="11"/>
  <c r="G2630" i="11"/>
  <c r="G2629" i="11"/>
  <c r="G2628" i="11"/>
  <c r="G2627" i="11"/>
  <c r="G2626" i="11"/>
  <c r="G2625" i="11"/>
  <c r="G2624" i="11"/>
  <c r="G2623" i="11"/>
  <c r="G2622" i="11"/>
  <c r="G2621" i="11"/>
  <c r="G2620" i="11"/>
  <c r="G2619" i="11"/>
  <c r="G2618" i="11"/>
  <c r="G2617" i="11"/>
  <c r="G2616" i="11"/>
  <c r="G2615" i="11"/>
  <c r="G2614" i="11"/>
  <c r="G2613" i="11"/>
  <c r="G2612" i="11"/>
  <c r="G2611" i="11"/>
  <c r="G2610" i="11"/>
  <c r="G2609" i="11"/>
  <c r="G2608" i="11"/>
  <c r="G2607" i="11"/>
  <c r="G2606" i="11"/>
  <c r="G2605" i="11"/>
  <c r="G2604" i="11"/>
  <c r="G2603" i="11"/>
  <c r="G2602" i="11"/>
  <c r="G2601" i="11"/>
  <c r="G2600" i="11"/>
  <c r="G2599" i="11"/>
  <c r="G2598" i="11"/>
  <c r="G2597" i="11"/>
  <c r="G2596" i="11"/>
  <c r="G2595" i="11"/>
  <c r="G2594" i="11"/>
  <c r="G2593" i="11"/>
  <c r="G2592" i="11"/>
  <c r="G2591" i="11"/>
  <c r="G2590" i="11"/>
  <c r="G2589" i="11"/>
  <c r="G2588" i="11"/>
  <c r="G2587" i="11"/>
  <c r="G2586" i="11"/>
  <c r="G2585" i="11"/>
  <c r="G2584" i="11"/>
  <c r="G2583" i="11"/>
  <c r="G2582" i="11"/>
  <c r="G2581" i="11"/>
  <c r="G2580" i="11"/>
  <c r="G2579" i="11"/>
  <c r="G2578" i="11"/>
  <c r="G2577" i="11"/>
  <c r="G2576" i="11"/>
  <c r="G2575" i="11"/>
  <c r="G2574" i="11"/>
  <c r="G2573" i="11"/>
  <c r="G2572" i="11"/>
  <c r="G2571" i="11"/>
  <c r="G2570" i="11"/>
  <c r="G2569" i="11"/>
  <c r="G2568" i="11"/>
  <c r="G2567" i="11"/>
  <c r="G2566" i="11"/>
  <c r="G2565" i="11"/>
  <c r="G2564" i="11"/>
  <c r="G2563" i="11"/>
  <c r="G2562" i="11"/>
  <c r="G2561" i="11"/>
  <c r="G2560" i="11"/>
  <c r="G2559" i="11"/>
  <c r="G2558" i="11"/>
  <c r="G2557" i="11"/>
  <c r="G2556" i="11"/>
  <c r="G2555" i="11"/>
  <c r="G2554" i="11"/>
  <c r="G2553" i="11"/>
  <c r="G2552" i="11"/>
  <c r="G2551" i="11"/>
  <c r="G2550" i="11"/>
  <c r="G2549" i="11"/>
  <c r="G2548" i="11"/>
  <c r="G2547" i="11"/>
  <c r="G2546" i="11"/>
  <c r="G2545" i="11"/>
  <c r="G2544" i="11"/>
  <c r="G2543" i="11"/>
  <c r="G2542" i="11"/>
  <c r="G2541" i="11"/>
  <c r="G2540" i="11"/>
  <c r="G2539" i="11"/>
  <c r="G2538" i="11"/>
  <c r="G2537" i="11"/>
  <c r="G2536" i="11"/>
  <c r="G2535" i="11"/>
  <c r="G2534" i="11"/>
  <c r="G2533" i="11"/>
  <c r="G2532" i="11"/>
  <c r="G2531" i="11"/>
  <c r="G2530" i="11"/>
  <c r="G2529" i="11"/>
  <c r="G2528" i="11"/>
  <c r="G2527" i="11"/>
  <c r="G2526" i="11"/>
  <c r="G2525" i="11"/>
  <c r="G2524" i="11"/>
  <c r="G2523" i="11"/>
  <c r="G2522" i="11"/>
  <c r="G2521" i="11"/>
  <c r="G2520" i="11"/>
  <c r="G2519" i="11"/>
  <c r="G2518" i="11"/>
  <c r="G2517" i="11"/>
  <c r="G2516" i="11"/>
  <c r="G2515" i="11"/>
  <c r="G2514" i="11"/>
  <c r="G2513" i="11"/>
  <c r="G2512" i="11"/>
  <c r="G2511" i="11"/>
  <c r="G2510" i="11"/>
  <c r="G2509" i="11"/>
  <c r="G2508" i="11"/>
  <c r="G2507" i="11"/>
  <c r="G2506" i="11"/>
  <c r="G2505" i="11"/>
  <c r="G2504" i="11"/>
  <c r="G2503" i="11"/>
  <c r="G2502" i="11"/>
  <c r="G2501" i="11"/>
  <c r="G2500" i="11"/>
  <c r="G2499" i="11"/>
  <c r="G2498" i="11"/>
  <c r="G2497" i="11"/>
  <c r="G2496" i="11"/>
  <c r="G2495" i="11"/>
  <c r="G2494" i="11"/>
  <c r="G2493" i="11"/>
  <c r="G2492" i="11"/>
  <c r="G2491" i="11"/>
  <c r="G2490" i="11"/>
  <c r="G2489" i="11"/>
  <c r="G2488" i="11"/>
  <c r="G2487" i="11"/>
  <c r="G2486" i="11"/>
  <c r="G2485" i="11"/>
  <c r="G2484" i="11"/>
  <c r="G2483" i="11"/>
  <c r="G2482" i="11"/>
  <c r="G2481" i="11"/>
  <c r="G2480" i="11"/>
  <c r="G2479" i="11"/>
  <c r="G2478" i="11"/>
  <c r="G2477" i="11"/>
  <c r="G2476" i="11"/>
  <c r="G2475" i="11"/>
  <c r="G2474" i="11"/>
  <c r="G2473" i="11"/>
  <c r="G2472" i="11"/>
  <c r="G2471" i="11"/>
  <c r="G2470" i="11"/>
  <c r="G2469" i="11"/>
  <c r="G2468" i="11"/>
  <c r="G2467" i="11"/>
  <c r="G2466" i="11"/>
  <c r="G2465" i="11"/>
  <c r="G2464" i="11"/>
  <c r="G2463" i="11"/>
  <c r="G2462" i="11"/>
  <c r="G2461" i="11"/>
  <c r="G2460" i="11"/>
  <c r="G2459" i="11"/>
  <c r="G2458" i="11"/>
  <c r="G2457" i="11"/>
  <c r="G2456" i="11"/>
  <c r="G2455" i="11"/>
  <c r="G2454" i="11"/>
  <c r="G2453" i="11"/>
  <c r="G2452" i="11"/>
  <c r="G2451" i="11"/>
  <c r="G2450" i="11"/>
  <c r="G2449" i="11"/>
  <c r="G2448" i="11"/>
  <c r="G2447" i="11"/>
  <c r="G2446" i="11"/>
  <c r="G2445" i="11"/>
  <c r="G2444" i="11"/>
  <c r="G2443" i="11"/>
  <c r="G2442" i="11"/>
  <c r="G2441" i="11"/>
  <c r="G2440" i="11"/>
  <c r="G2439" i="11"/>
  <c r="G2438" i="11"/>
  <c r="G2437" i="11"/>
  <c r="G2436" i="11"/>
  <c r="G2435" i="11"/>
  <c r="G2434" i="11"/>
  <c r="G2433" i="11"/>
  <c r="G2432" i="11"/>
  <c r="G2431" i="11"/>
  <c r="G2430" i="11"/>
  <c r="G2429" i="11"/>
  <c r="G2428" i="11"/>
  <c r="G2427" i="11"/>
  <c r="G2426" i="11"/>
  <c r="G2425" i="11"/>
  <c r="G2424" i="11"/>
  <c r="G2423" i="11"/>
  <c r="G2422" i="11"/>
  <c r="G2421" i="11"/>
  <c r="G2420" i="11"/>
  <c r="G2419" i="11"/>
  <c r="G2418" i="11"/>
  <c r="G2417" i="11"/>
  <c r="G2416" i="11"/>
  <c r="G2415" i="11"/>
  <c r="G2414" i="11"/>
  <c r="G2413" i="11"/>
  <c r="G2412" i="11"/>
  <c r="G2411" i="11"/>
  <c r="G2410" i="11"/>
  <c r="G2409" i="11"/>
  <c r="G2408" i="11"/>
  <c r="G2407" i="11"/>
  <c r="G2406" i="11"/>
  <c r="G2405" i="11"/>
  <c r="G2404" i="11"/>
  <c r="G2403" i="11"/>
  <c r="G2402" i="11"/>
  <c r="G2401" i="11"/>
  <c r="G2400" i="11"/>
  <c r="G2399" i="11"/>
  <c r="G2398" i="11"/>
  <c r="G2397" i="11"/>
  <c r="G2396" i="11"/>
  <c r="G2395" i="11"/>
  <c r="G2394" i="11"/>
  <c r="G2393" i="11"/>
  <c r="G2392" i="11"/>
  <c r="G2391" i="11"/>
  <c r="G2390" i="11"/>
  <c r="G2389" i="11"/>
  <c r="G2388" i="11"/>
  <c r="G2387" i="11"/>
  <c r="G2386" i="11"/>
  <c r="G2385" i="11"/>
  <c r="G2384" i="11"/>
  <c r="G2383" i="11"/>
  <c r="G2382" i="11"/>
  <c r="G2381" i="11"/>
  <c r="G2380" i="11"/>
  <c r="G2379" i="11"/>
  <c r="G2378" i="11"/>
  <c r="G2377" i="11"/>
  <c r="G2376" i="11"/>
  <c r="G2375" i="11"/>
  <c r="G2374" i="11"/>
  <c r="G2373" i="11"/>
  <c r="G2372" i="11"/>
  <c r="G2371" i="11"/>
  <c r="G2370" i="11"/>
  <c r="G2369" i="11"/>
  <c r="G2368" i="11"/>
  <c r="G2367" i="11"/>
  <c r="G2366" i="11"/>
  <c r="G2365" i="11"/>
  <c r="G2364" i="11"/>
  <c r="G2363" i="11"/>
  <c r="G2362" i="11"/>
  <c r="G2361" i="11"/>
  <c r="G2360" i="11"/>
  <c r="G2359" i="11"/>
  <c r="G2358" i="11"/>
  <c r="G2357" i="11"/>
  <c r="G2356" i="11"/>
  <c r="G2355" i="11"/>
  <c r="G2354" i="11"/>
  <c r="G2353" i="11"/>
  <c r="G2352" i="11"/>
  <c r="G2351" i="11"/>
  <c r="G2350" i="11"/>
  <c r="G2349" i="11"/>
  <c r="G2348" i="11"/>
  <c r="G2347" i="11"/>
  <c r="G2346" i="11"/>
  <c r="G2345" i="11"/>
  <c r="G2344" i="11"/>
  <c r="G2343" i="11"/>
  <c r="G2342" i="11"/>
  <c r="G2341" i="11"/>
  <c r="G2340" i="11"/>
  <c r="G2339" i="11"/>
  <c r="G2338" i="11"/>
  <c r="G2337" i="11"/>
  <c r="G2336" i="11"/>
  <c r="G2335" i="11"/>
  <c r="G2334" i="11"/>
  <c r="G2333" i="11"/>
  <c r="G2332" i="11"/>
  <c r="G2331" i="11"/>
  <c r="G2330" i="11"/>
  <c r="G2329" i="11"/>
  <c r="G2328" i="11"/>
  <c r="G2327" i="11"/>
  <c r="G2326" i="11"/>
  <c r="G2325" i="11"/>
  <c r="G2324" i="11"/>
  <c r="G2323" i="11"/>
  <c r="G2322" i="11"/>
  <c r="G2321" i="11"/>
  <c r="G2320" i="11"/>
  <c r="G2319" i="11"/>
  <c r="G2318" i="11"/>
  <c r="G2317" i="11"/>
  <c r="G2316" i="11"/>
  <c r="G2315" i="11"/>
  <c r="G2314" i="11"/>
  <c r="G2313" i="11"/>
  <c r="G2312" i="11"/>
  <c r="G2311" i="11"/>
  <c r="G2310" i="11"/>
  <c r="G2309" i="11"/>
  <c r="G2308" i="11"/>
  <c r="G2307" i="11"/>
  <c r="G2306" i="11"/>
  <c r="G2305" i="11"/>
  <c r="G2304" i="11"/>
  <c r="G2303" i="11"/>
  <c r="G2302" i="11"/>
  <c r="G2301" i="11"/>
  <c r="G2300" i="11"/>
  <c r="G2299" i="11"/>
  <c r="G2298" i="11"/>
  <c r="G2297" i="11"/>
  <c r="G2296" i="11"/>
  <c r="G2295" i="11"/>
  <c r="G2294" i="11"/>
  <c r="G2293" i="11"/>
  <c r="G2292" i="11"/>
  <c r="G2291" i="11"/>
  <c r="G2290" i="11"/>
  <c r="G2289" i="11"/>
  <c r="G2288" i="11"/>
  <c r="G2287" i="11"/>
  <c r="G2286" i="11"/>
  <c r="G2285" i="11"/>
  <c r="G2284" i="11"/>
  <c r="G2283" i="11"/>
  <c r="G2282" i="11"/>
  <c r="G2281" i="11"/>
  <c r="G2280" i="11"/>
  <c r="G2279" i="11"/>
  <c r="G2278" i="11"/>
  <c r="G2277" i="11"/>
  <c r="G2276" i="11"/>
  <c r="G2275" i="11"/>
  <c r="G2274" i="11"/>
  <c r="G2273" i="11"/>
  <c r="G2272" i="11"/>
  <c r="G2271" i="11"/>
  <c r="G2270" i="11"/>
  <c r="G2269" i="11"/>
  <c r="G2268" i="11"/>
  <c r="G2267" i="11"/>
  <c r="G2266" i="11"/>
  <c r="G2265" i="11"/>
  <c r="G2264" i="11"/>
  <c r="G2263" i="11"/>
  <c r="G2262" i="11"/>
  <c r="G2261" i="11"/>
  <c r="G2260" i="11"/>
  <c r="G2259" i="11"/>
  <c r="G2258" i="11"/>
  <c r="G2257" i="11"/>
  <c r="G2256" i="11"/>
  <c r="G2255" i="11"/>
  <c r="G2254" i="11"/>
  <c r="G2253" i="11"/>
  <c r="G2252" i="11"/>
  <c r="G2251" i="11"/>
  <c r="G2250" i="11"/>
  <c r="G2249" i="11"/>
  <c r="G2248" i="11"/>
  <c r="G2247" i="11"/>
  <c r="G2246" i="11"/>
  <c r="G2245" i="11"/>
  <c r="G2244" i="11"/>
  <c r="G2243" i="11"/>
  <c r="G2242" i="11"/>
  <c r="G2241" i="11"/>
  <c r="G2240" i="11"/>
  <c r="G2239" i="11"/>
  <c r="G2238" i="11"/>
  <c r="G2237" i="11"/>
  <c r="G2236" i="11"/>
  <c r="G2235" i="11"/>
  <c r="G2234" i="11"/>
  <c r="G2233" i="11"/>
  <c r="G2232" i="11"/>
  <c r="G2231" i="11"/>
  <c r="G2230" i="11"/>
  <c r="G2229" i="11"/>
  <c r="G2228" i="11"/>
  <c r="G2227" i="11"/>
  <c r="G2226" i="11"/>
  <c r="G2225" i="11"/>
  <c r="G2224" i="11"/>
  <c r="G2223" i="11"/>
  <c r="G2222" i="11"/>
  <c r="G2221" i="11"/>
  <c r="G2220" i="11"/>
  <c r="G2219" i="11"/>
  <c r="G2218" i="11"/>
  <c r="G2217" i="11"/>
  <c r="G2216" i="11"/>
  <c r="G2215" i="11"/>
  <c r="G2214" i="11"/>
  <c r="G2213" i="11"/>
  <c r="G2212" i="11"/>
  <c r="G2211" i="11"/>
  <c r="G2210" i="11"/>
  <c r="G2209" i="11"/>
  <c r="G2208" i="11"/>
  <c r="G2207" i="11"/>
  <c r="G2206" i="11"/>
  <c r="G2205" i="11"/>
  <c r="G2204" i="11"/>
  <c r="G2203" i="11"/>
  <c r="G2202" i="11"/>
  <c r="G2201" i="11"/>
  <c r="G2200" i="11"/>
  <c r="G2199" i="11"/>
  <c r="G2198" i="11"/>
  <c r="G2197" i="11"/>
  <c r="G2196" i="11"/>
  <c r="G2195" i="11"/>
  <c r="G2194" i="11"/>
  <c r="G2193" i="11"/>
  <c r="G2192" i="11"/>
  <c r="G2191" i="11"/>
  <c r="G2190" i="11"/>
  <c r="G2189" i="11"/>
  <c r="G2188" i="11"/>
  <c r="G2187" i="11"/>
  <c r="G2186" i="11"/>
  <c r="G2185" i="11"/>
  <c r="G2184" i="11"/>
  <c r="G2183" i="11"/>
  <c r="G2182" i="11"/>
  <c r="G2181" i="11"/>
  <c r="G2180" i="11"/>
  <c r="G2179" i="11"/>
  <c r="G2178" i="11"/>
  <c r="G2177" i="11"/>
  <c r="G2176" i="11"/>
  <c r="G2175" i="11"/>
  <c r="G2174" i="11"/>
  <c r="G2173" i="11"/>
  <c r="G2172" i="11"/>
  <c r="G2171" i="11"/>
  <c r="G2170" i="11"/>
  <c r="G2169" i="11"/>
  <c r="G2168" i="11"/>
  <c r="G2167" i="11"/>
  <c r="G2166" i="11"/>
  <c r="G2165" i="11"/>
  <c r="G2164" i="11"/>
  <c r="G2163" i="11"/>
  <c r="G2162" i="11"/>
  <c r="G2161" i="11"/>
  <c r="G2160" i="11"/>
  <c r="G2159" i="11"/>
  <c r="G2158" i="11"/>
  <c r="G2157" i="11"/>
  <c r="G2156" i="11"/>
  <c r="G2155" i="11"/>
  <c r="G2154" i="11"/>
  <c r="G2153" i="11"/>
  <c r="G2152" i="11"/>
  <c r="G2151" i="11"/>
  <c r="G2150" i="11"/>
  <c r="G2149" i="11"/>
  <c r="G2148" i="11"/>
  <c r="G2147" i="11"/>
  <c r="G2146" i="11"/>
  <c r="G2145" i="11"/>
  <c r="G2144" i="11"/>
  <c r="G2143" i="11"/>
  <c r="G2142" i="11"/>
  <c r="G2141" i="11"/>
  <c r="G2140" i="11"/>
  <c r="G2139" i="11"/>
  <c r="G2138" i="11"/>
  <c r="G2137" i="11"/>
  <c r="G2136" i="11"/>
  <c r="G2135" i="11"/>
  <c r="G2134" i="11"/>
  <c r="G2133" i="11"/>
  <c r="G2132" i="11"/>
  <c r="G2131" i="11"/>
  <c r="G2130" i="11"/>
  <c r="G2129" i="11"/>
  <c r="G2128" i="11"/>
  <c r="G2127" i="11"/>
  <c r="G2126" i="11"/>
  <c r="G2125" i="11"/>
  <c r="G2124" i="11"/>
  <c r="G2123" i="11"/>
  <c r="G2122" i="11"/>
  <c r="G2121" i="11"/>
  <c r="G2120" i="11"/>
  <c r="G2119" i="11"/>
  <c r="G2118" i="11"/>
  <c r="G2117" i="11"/>
  <c r="G2116" i="11"/>
  <c r="G2115" i="11"/>
  <c r="G2114" i="11"/>
  <c r="G2113" i="11"/>
  <c r="G2112" i="11"/>
  <c r="G2111" i="11"/>
  <c r="G2110" i="11"/>
  <c r="G2109" i="11"/>
  <c r="G2108" i="11"/>
  <c r="G2107" i="11"/>
  <c r="G2106" i="11"/>
  <c r="G2105" i="11"/>
  <c r="G2104" i="11"/>
  <c r="G2103" i="11"/>
  <c r="G2102" i="11"/>
  <c r="G2101" i="11"/>
  <c r="G2100" i="11"/>
  <c r="G2099" i="11"/>
  <c r="G2098" i="11"/>
  <c r="G2097" i="11"/>
  <c r="G2096" i="11"/>
  <c r="G2095" i="11"/>
  <c r="G2094" i="11"/>
  <c r="G2093" i="11"/>
  <c r="G2092" i="11"/>
  <c r="G2091" i="11"/>
  <c r="G2090" i="11"/>
  <c r="G2089" i="11"/>
  <c r="G2088" i="11"/>
  <c r="G2087" i="11"/>
  <c r="G2086" i="11"/>
  <c r="G2085" i="11"/>
  <c r="G2084" i="11"/>
  <c r="G2083" i="11"/>
  <c r="G2082" i="11"/>
  <c r="G2081" i="11"/>
  <c r="G2080" i="11"/>
  <c r="G2079" i="11"/>
  <c r="G2078" i="11"/>
  <c r="G2077" i="11"/>
  <c r="G2076" i="11"/>
  <c r="G2075" i="11"/>
  <c r="G2074" i="11"/>
  <c r="G2073" i="11"/>
  <c r="G2072" i="11"/>
  <c r="G2071" i="11"/>
  <c r="G2070" i="11"/>
  <c r="G2069" i="11"/>
  <c r="G2068" i="11"/>
  <c r="G2067" i="11"/>
  <c r="G2066" i="11"/>
  <c r="G2065" i="11"/>
  <c r="G2064" i="11"/>
  <c r="G2063" i="11"/>
  <c r="G2062" i="11"/>
  <c r="G2061" i="11"/>
  <c r="G2060" i="11"/>
  <c r="G2059" i="11"/>
  <c r="G2058" i="11"/>
  <c r="G2057" i="11"/>
  <c r="G2056" i="11"/>
  <c r="G2055" i="11"/>
  <c r="G2054" i="11"/>
  <c r="G2053" i="11"/>
  <c r="G2052" i="11"/>
  <c r="G2051" i="11"/>
  <c r="G2050" i="11"/>
  <c r="G2049" i="11"/>
  <c r="G2048" i="11"/>
  <c r="G2047" i="11"/>
  <c r="G2046" i="11"/>
  <c r="G2045" i="11"/>
  <c r="G2044" i="11"/>
  <c r="G2043" i="11"/>
  <c r="G2042" i="11"/>
  <c r="G2041" i="11"/>
  <c r="G2040" i="11"/>
  <c r="G2039" i="11"/>
  <c r="G2038" i="11"/>
  <c r="G2037" i="11"/>
  <c r="G2036" i="11"/>
  <c r="G2035" i="11"/>
  <c r="G2034" i="11"/>
  <c r="G2033" i="11"/>
  <c r="G2032" i="11"/>
  <c r="G2031" i="11"/>
  <c r="G2030" i="11"/>
  <c r="G2029" i="11"/>
  <c r="G2028" i="11"/>
  <c r="G2027" i="11"/>
  <c r="G2026" i="11"/>
  <c r="G2025" i="11"/>
  <c r="G2024" i="11"/>
  <c r="G2023" i="11"/>
  <c r="G2022" i="11"/>
  <c r="G2021" i="11"/>
  <c r="G2020" i="11"/>
  <c r="G2019" i="11"/>
  <c r="G2018" i="11"/>
  <c r="G2017" i="11"/>
  <c r="G2016" i="11"/>
  <c r="G2015" i="11"/>
  <c r="G2014" i="11"/>
  <c r="G2013" i="11"/>
  <c r="G2012" i="11"/>
  <c r="G2011" i="11"/>
  <c r="G2010" i="11"/>
  <c r="G2009" i="11"/>
  <c r="G2008" i="11"/>
  <c r="G2007" i="11"/>
  <c r="G2006" i="11"/>
  <c r="G2005" i="11"/>
  <c r="G2004" i="11"/>
  <c r="G2003" i="11"/>
  <c r="G2002" i="11"/>
  <c r="G2001" i="11"/>
  <c r="G2000" i="11"/>
  <c r="G1999" i="11"/>
  <c r="G1998" i="11"/>
  <c r="G1997" i="11"/>
  <c r="G1996" i="11"/>
  <c r="G1995" i="11"/>
  <c r="G1994" i="11"/>
  <c r="G1993" i="11"/>
  <c r="G1992" i="11"/>
  <c r="G1991" i="11"/>
  <c r="G1990" i="11"/>
  <c r="G1989" i="11"/>
  <c r="G1988" i="11"/>
  <c r="G1987" i="11"/>
  <c r="G1986" i="11"/>
  <c r="G1985" i="11"/>
  <c r="G1984" i="11"/>
  <c r="G1983" i="11"/>
  <c r="G1982" i="11"/>
  <c r="G1981" i="11"/>
  <c r="G1980" i="11"/>
  <c r="G1979" i="11"/>
  <c r="G1978" i="11"/>
  <c r="G1977" i="11"/>
  <c r="G1976" i="11"/>
  <c r="G1975" i="11"/>
  <c r="G1974" i="11"/>
  <c r="G1973" i="11"/>
  <c r="G1972" i="11"/>
  <c r="G1971" i="11"/>
  <c r="G1970" i="11"/>
  <c r="G1969" i="11"/>
  <c r="G1968" i="11"/>
  <c r="G1967" i="11"/>
  <c r="G1966" i="11"/>
  <c r="G1965" i="11"/>
  <c r="G1964" i="11"/>
  <c r="G1963" i="11"/>
  <c r="G1962" i="11"/>
  <c r="G1961" i="11"/>
  <c r="G1960" i="11"/>
  <c r="G1959" i="11"/>
  <c r="G1958" i="11"/>
  <c r="G1957" i="11"/>
  <c r="G1956" i="11"/>
  <c r="G1955" i="11"/>
  <c r="G1954" i="11"/>
  <c r="G1953" i="11"/>
  <c r="G1952" i="11"/>
  <c r="G1951" i="11"/>
  <c r="G1950" i="11"/>
  <c r="G1949" i="11"/>
  <c r="G1948" i="11"/>
  <c r="G1947" i="11"/>
  <c r="G1946" i="11"/>
  <c r="G1945" i="11"/>
  <c r="G1944" i="11"/>
  <c r="G1943" i="11"/>
  <c r="G1942" i="11"/>
  <c r="G1941" i="11"/>
  <c r="G1940" i="11"/>
  <c r="G1939" i="11"/>
  <c r="G1938" i="11"/>
  <c r="G1937" i="11"/>
  <c r="G1936" i="11"/>
  <c r="G1935" i="11"/>
  <c r="G1934" i="11"/>
  <c r="G1933" i="11"/>
  <c r="G1932" i="11"/>
  <c r="G1931" i="11"/>
  <c r="G1930" i="11"/>
  <c r="G1929" i="11"/>
  <c r="G1928" i="11"/>
  <c r="G1927" i="11"/>
  <c r="G1926" i="11"/>
  <c r="G1925" i="11"/>
  <c r="G1924" i="11"/>
  <c r="G1923" i="11"/>
  <c r="G1922" i="11"/>
  <c r="G1921" i="11"/>
  <c r="G1920" i="11"/>
  <c r="G1919" i="11"/>
  <c r="G1918" i="11"/>
  <c r="G1917" i="11"/>
  <c r="G1916" i="11"/>
  <c r="G1915" i="11"/>
  <c r="G1914" i="11"/>
  <c r="G1913" i="11"/>
  <c r="G1912" i="11"/>
  <c r="G1911" i="11"/>
  <c r="G1910" i="11"/>
  <c r="G1909" i="11"/>
  <c r="G1908" i="11"/>
  <c r="G1907" i="11"/>
  <c r="G1906" i="11"/>
  <c r="G1905" i="11"/>
  <c r="G1904" i="11"/>
  <c r="G1903" i="11"/>
  <c r="G1902" i="11"/>
  <c r="G1901" i="11"/>
  <c r="G1900" i="11"/>
  <c r="G1899" i="11"/>
  <c r="G1898" i="11"/>
  <c r="G1897" i="11"/>
  <c r="G1896" i="11"/>
  <c r="G1895" i="11"/>
  <c r="G1894" i="11"/>
  <c r="G1893" i="11"/>
  <c r="G1892" i="11"/>
  <c r="G1891" i="11"/>
  <c r="G1890" i="11"/>
  <c r="G1889" i="11"/>
  <c r="G1888" i="11"/>
  <c r="G1887" i="11"/>
  <c r="G1886" i="11"/>
  <c r="G1885" i="11"/>
  <c r="G1884" i="11"/>
  <c r="G1883" i="11"/>
  <c r="G1882" i="11"/>
  <c r="G1881" i="11"/>
  <c r="G1880" i="11"/>
  <c r="G1879" i="11"/>
  <c r="G1878" i="11"/>
  <c r="G1877" i="11"/>
  <c r="G1876" i="11"/>
  <c r="G1875" i="11"/>
  <c r="G1874" i="11"/>
  <c r="G1873" i="11"/>
  <c r="G1872" i="11"/>
  <c r="G1871" i="11"/>
  <c r="G1870" i="11"/>
  <c r="G1869" i="11"/>
  <c r="G1868" i="11"/>
  <c r="G1867" i="11"/>
  <c r="G1866" i="11"/>
  <c r="G1865" i="11"/>
  <c r="G1864" i="11"/>
  <c r="G1863" i="11"/>
  <c r="G1862" i="11"/>
  <c r="G1861" i="11"/>
  <c r="G1860" i="11"/>
  <c r="G1859" i="11"/>
  <c r="G1858" i="11"/>
  <c r="G1857" i="11"/>
  <c r="G1856" i="11"/>
  <c r="G1855" i="11"/>
  <c r="G1854" i="11"/>
  <c r="G1853" i="11"/>
  <c r="G1852" i="11"/>
  <c r="G1851" i="11"/>
  <c r="G1850" i="11"/>
  <c r="G1849" i="11"/>
  <c r="G1848" i="11"/>
  <c r="G1847" i="11"/>
  <c r="G1846" i="11"/>
  <c r="G1845" i="11"/>
  <c r="G1844" i="11"/>
  <c r="G1843" i="11"/>
  <c r="G1842" i="11"/>
  <c r="G1841" i="11"/>
  <c r="G1840" i="11"/>
  <c r="G1839" i="11"/>
  <c r="G1838" i="11"/>
  <c r="G1837" i="11"/>
  <c r="G1836" i="11"/>
  <c r="G1835" i="11"/>
  <c r="G1834" i="11"/>
  <c r="G1833" i="11"/>
  <c r="G1832" i="11"/>
  <c r="G1831" i="11"/>
  <c r="G1830" i="11"/>
  <c r="G1829" i="11"/>
  <c r="G1828" i="11"/>
  <c r="G1827" i="11"/>
  <c r="G1826" i="11"/>
  <c r="G1825" i="11"/>
  <c r="G1824" i="11"/>
  <c r="G1823" i="11"/>
  <c r="G1822" i="11"/>
  <c r="G1821" i="11"/>
  <c r="G1820" i="11"/>
  <c r="G1819" i="11"/>
  <c r="G1818" i="11"/>
  <c r="G1817" i="11"/>
  <c r="G1816" i="11"/>
  <c r="G1815" i="11"/>
  <c r="G1814" i="11"/>
  <c r="G1813" i="11"/>
  <c r="G1812" i="11"/>
  <c r="G1811" i="11"/>
  <c r="G1810" i="11"/>
  <c r="G1809" i="11"/>
  <c r="G1808" i="11"/>
  <c r="G1807" i="11"/>
  <c r="G1806" i="11"/>
  <c r="G1805" i="11"/>
  <c r="G1804" i="11"/>
  <c r="G1803" i="11"/>
  <c r="G1802" i="11"/>
  <c r="G1801" i="11"/>
  <c r="G1800" i="11"/>
  <c r="G1799" i="11"/>
  <c r="G1798" i="11"/>
  <c r="G1797" i="11"/>
  <c r="G1796" i="11"/>
  <c r="G1795" i="11"/>
  <c r="G1794" i="11"/>
  <c r="G1793" i="11"/>
  <c r="G1792" i="11"/>
  <c r="G1791" i="11"/>
  <c r="G1790" i="11"/>
  <c r="G1789" i="11"/>
  <c r="G1788" i="11"/>
  <c r="G1787" i="11"/>
  <c r="G1786" i="11"/>
  <c r="G1785" i="11"/>
  <c r="G1784" i="11"/>
  <c r="G1783" i="11"/>
  <c r="G1782" i="11"/>
  <c r="G1781" i="11"/>
  <c r="G1780" i="11"/>
  <c r="G1779" i="11"/>
  <c r="G1778" i="11"/>
  <c r="G1777" i="11"/>
  <c r="G1776" i="11"/>
  <c r="G1775" i="11"/>
  <c r="G1774" i="11"/>
  <c r="G1773" i="11"/>
  <c r="G1772" i="11"/>
  <c r="G1771" i="11"/>
  <c r="G1770" i="11"/>
  <c r="G1769" i="11"/>
  <c r="G1768" i="11"/>
  <c r="G1767" i="11"/>
  <c r="G1766" i="11"/>
  <c r="G1765" i="11"/>
  <c r="G1764" i="11"/>
  <c r="G1763" i="11"/>
  <c r="G1762" i="11"/>
  <c r="G1761" i="11"/>
  <c r="G1760" i="11"/>
  <c r="G1759" i="11"/>
  <c r="G1758" i="11"/>
  <c r="G1757" i="11"/>
  <c r="G1756" i="11"/>
  <c r="G1755" i="11"/>
  <c r="G1754" i="11"/>
  <c r="G1753" i="11"/>
  <c r="G1752" i="11"/>
  <c r="G1751" i="11"/>
  <c r="G1750" i="11"/>
  <c r="G1749" i="11"/>
  <c r="G1748" i="11"/>
  <c r="G1747" i="11"/>
  <c r="G1746" i="11"/>
  <c r="G1745" i="11"/>
  <c r="G1744" i="11"/>
  <c r="G1743" i="11"/>
  <c r="G1742" i="11"/>
  <c r="G1741" i="11"/>
  <c r="G1740" i="11"/>
  <c r="G1739" i="11"/>
  <c r="G1738" i="11"/>
  <c r="G1737" i="11"/>
  <c r="G1736" i="11"/>
  <c r="G1735" i="11"/>
  <c r="G1734" i="11"/>
  <c r="G1733" i="11"/>
  <c r="G1732" i="11"/>
  <c r="G1731" i="11"/>
  <c r="G1730" i="11"/>
  <c r="G1729" i="11"/>
  <c r="G1728" i="11"/>
  <c r="G1727" i="11"/>
  <c r="G1726" i="11"/>
  <c r="G1725" i="11"/>
  <c r="G1724" i="11"/>
  <c r="G1723" i="11"/>
  <c r="G1722" i="11"/>
  <c r="G1721" i="11"/>
  <c r="G1720" i="11"/>
  <c r="G1719" i="11"/>
  <c r="G1718" i="11"/>
  <c r="G1717" i="11"/>
  <c r="G1716" i="11"/>
  <c r="G1715" i="11"/>
  <c r="G1714" i="11"/>
  <c r="G1713" i="11"/>
  <c r="G1712" i="11"/>
  <c r="G1711" i="11"/>
  <c r="G1710" i="11"/>
  <c r="G1709" i="11"/>
  <c r="G1708" i="11"/>
  <c r="G1707" i="11"/>
  <c r="G1706" i="11"/>
  <c r="G1705" i="11"/>
  <c r="G1704" i="11"/>
  <c r="G1703" i="11"/>
  <c r="G1702" i="11"/>
  <c r="G1701" i="11"/>
  <c r="G1700" i="11"/>
  <c r="G1699" i="11"/>
  <c r="G1698" i="11"/>
  <c r="G1697" i="11"/>
  <c r="G1696" i="11"/>
  <c r="G1695" i="11"/>
  <c r="G1694" i="11"/>
  <c r="G1693" i="11"/>
  <c r="G1692" i="11"/>
  <c r="G1691" i="11"/>
  <c r="G1690" i="11"/>
  <c r="G1689" i="11"/>
  <c r="G1688" i="11"/>
  <c r="G1687" i="11"/>
  <c r="G1686" i="11"/>
  <c r="G1685" i="11"/>
  <c r="G1684" i="11"/>
  <c r="G1683" i="11"/>
  <c r="G1682" i="11"/>
  <c r="G1681" i="11"/>
  <c r="G1680" i="11"/>
  <c r="G1679" i="11"/>
  <c r="G1678" i="11"/>
  <c r="G1677" i="11"/>
  <c r="G1676" i="11"/>
  <c r="G1675" i="11"/>
  <c r="G1674" i="11"/>
  <c r="G1673" i="11"/>
  <c r="G1672" i="11"/>
  <c r="G1671" i="11"/>
  <c r="G1670" i="11"/>
  <c r="G1669" i="11"/>
  <c r="G1668" i="11"/>
  <c r="G1667" i="11"/>
  <c r="G1666" i="11"/>
  <c r="G1665" i="11"/>
  <c r="G1664" i="11"/>
  <c r="G1663" i="11"/>
  <c r="G1662" i="11"/>
  <c r="G1661" i="11"/>
  <c r="G1660" i="11"/>
  <c r="G1659" i="11"/>
  <c r="G1658" i="11"/>
  <c r="G1657" i="11"/>
  <c r="G1656" i="11"/>
  <c r="G1655" i="11"/>
  <c r="G1654" i="11"/>
  <c r="G1653" i="11"/>
  <c r="G1652" i="11"/>
  <c r="G1651" i="11"/>
  <c r="G1650" i="11"/>
  <c r="G1649" i="11"/>
  <c r="G1648" i="11"/>
  <c r="G1647" i="11"/>
  <c r="G1646" i="11"/>
  <c r="G1645" i="11"/>
  <c r="G1644" i="11"/>
  <c r="G1643" i="11"/>
  <c r="G1642" i="11"/>
  <c r="G1641" i="11"/>
  <c r="G1640" i="11"/>
  <c r="G1639" i="11"/>
  <c r="G1638" i="11"/>
  <c r="G1637" i="11"/>
  <c r="G1636" i="11"/>
  <c r="G1635" i="11"/>
  <c r="G1634" i="11"/>
  <c r="G1633" i="11"/>
  <c r="G1632" i="11"/>
  <c r="G1631" i="11"/>
  <c r="G1630" i="11"/>
  <c r="G1629" i="11"/>
  <c r="G1628" i="11"/>
  <c r="G1627" i="11"/>
  <c r="G1626" i="11"/>
  <c r="G1625" i="11"/>
  <c r="G1624" i="11"/>
  <c r="G1623" i="11"/>
  <c r="G1622" i="11"/>
  <c r="G1621" i="11"/>
  <c r="G1620" i="11"/>
  <c r="G1619" i="11"/>
  <c r="G1618" i="11"/>
  <c r="G1617" i="11"/>
  <c r="G1616" i="11"/>
  <c r="G1615" i="11"/>
  <c r="G1614" i="11"/>
  <c r="G1613" i="11"/>
  <c r="G1612" i="11"/>
  <c r="G1611" i="11"/>
  <c r="G1610" i="11"/>
  <c r="G1609" i="11"/>
  <c r="G1608" i="11"/>
  <c r="G1607" i="11"/>
  <c r="G1606" i="11"/>
  <c r="G1605" i="11"/>
  <c r="G1604" i="11"/>
  <c r="G1603" i="11"/>
  <c r="G1602" i="11"/>
  <c r="G1601" i="11"/>
  <c r="G1600" i="11"/>
  <c r="G1599" i="11"/>
  <c r="G1598" i="11"/>
  <c r="G1597" i="11"/>
  <c r="G1596" i="11"/>
  <c r="G1595" i="11"/>
  <c r="G1594" i="11"/>
  <c r="G1593" i="11"/>
  <c r="G1592" i="11"/>
  <c r="G1591" i="11"/>
  <c r="G1590" i="11"/>
  <c r="G1589" i="11"/>
  <c r="G1588" i="11"/>
  <c r="G1587" i="11"/>
  <c r="G1586" i="11"/>
  <c r="G1585" i="11"/>
  <c r="G1584" i="11"/>
  <c r="G1583" i="11"/>
  <c r="G1582" i="11"/>
  <c r="G1581" i="11"/>
  <c r="G1580" i="11"/>
  <c r="G1579" i="11"/>
  <c r="G1578" i="11"/>
  <c r="G1577" i="11"/>
  <c r="G1576" i="11"/>
  <c r="G1575" i="11"/>
  <c r="G1574" i="11"/>
  <c r="G1573" i="11"/>
  <c r="G1572" i="11"/>
  <c r="G1571" i="11"/>
  <c r="G1570" i="11"/>
  <c r="G1569" i="11"/>
  <c r="G1568" i="11"/>
  <c r="G1567" i="11"/>
  <c r="G1566" i="11"/>
  <c r="G1565" i="11"/>
  <c r="G1564" i="11"/>
  <c r="G1563" i="11"/>
  <c r="G1562" i="11"/>
  <c r="G1561" i="11"/>
  <c r="G1560" i="11"/>
  <c r="G1559" i="11"/>
  <c r="G1558" i="11"/>
  <c r="G1557" i="11"/>
  <c r="G1556" i="11"/>
  <c r="G1555" i="11"/>
  <c r="G1554" i="11"/>
  <c r="G1553" i="11"/>
  <c r="G1552" i="11"/>
  <c r="G1551" i="11"/>
  <c r="G1550" i="11"/>
  <c r="G1549" i="11"/>
  <c r="G1548" i="11"/>
  <c r="G1547" i="11"/>
  <c r="G1546" i="11"/>
  <c r="G1545" i="11"/>
  <c r="G1544" i="11"/>
  <c r="G1543" i="11"/>
  <c r="G1542" i="11"/>
  <c r="G1541" i="11"/>
  <c r="G1540" i="11"/>
  <c r="G1539" i="11"/>
  <c r="G1538" i="11"/>
  <c r="G1537" i="11"/>
  <c r="G1536" i="11"/>
  <c r="G1535" i="11"/>
  <c r="G1534" i="11"/>
  <c r="G1533" i="11"/>
  <c r="G1532" i="11"/>
  <c r="G1531" i="11"/>
  <c r="G1530" i="11"/>
  <c r="G1529" i="11"/>
  <c r="G1528" i="11"/>
  <c r="G1527" i="11"/>
  <c r="G1526" i="11"/>
  <c r="G1525" i="11"/>
  <c r="G1524" i="11"/>
  <c r="G1523" i="11"/>
  <c r="G1522" i="11"/>
  <c r="G1521" i="11"/>
  <c r="G1520" i="11"/>
  <c r="G1519" i="11"/>
  <c r="G1518" i="11"/>
  <c r="G1517" i="11"/>
  <c r="G1516" i="11"/>
  <c r="G1515" i="11"/>
  <c r="G1514" i="11"/>
  <c r="G1513" i="11"/>
  <c r="G1512" i="11"/>
  <c r="G1511" i="11"/>
  <c r="G1510" i="11"/>
  <c r="G1509" i="11"/>
  <c r="G1508" i="11"/>
  <c r="G1507" i="11"/>
  <c r="G1506" i="11"/>
  <c r="G1505" i="11"/>
  <c r="G1504" i="11"/>
  <c r="G1503" i="11"/>
  <c r="G1502" i="11"/>
  <c r="G1501" i="11"/>
  <c r="G1500" i="11"/>
  <c r="G1499" i="11"/>
  <c r="G1498" i="11"/>
  <c r="G1497" i="11"/>
  <c r="G1496" i="11"/>
  <c r="G1495" i="11"/>
  <c r="G1494" i="11"/>
  <c r="G1493" i="11"/>
  <c r="G1492" i="11"/>
  <c r="G1491" i="11"/>
  <c r="G1490" i="11"/>
  <c r="G1489" i="11"/>
  <c r="G1488" i="11"/>
  <c r="G1487" i="11"/>
  <c r="G1486" i="11"/>
  <c r="G1485" i="11"/>
  <c r="G1484" i="11"/>
  <c r="G1483" i="11"/>
  <c r="G1482" i="11"/>
  <c r="G1481" i="11"/>
  <c r="G1480" i="11"/>
  <c r="G1479" i="11"/>
  <c r="G1478" i="11"/>
  <c r="G1477" i="11"/>
  <c r="G1476" i="11"/>
  <c r="G1475" i="11"/>
  <c r="G1474" i="11"/>
  <c r="G1473" i="11"/>
  <c r="G1472" i="11"/>
  <c r="G1471" i="11"/>
  <c r="G1470" i="11"/>
  <c r="G1469" i="11"/>
  <c r="G1468" i="11"/>
  <c r="G1467" i="11"/>
  <c r="G1466" i="11"/>
  <c r="G1465" i="11"/>
  <c r="G1464" i="11"/>
  <c r="G1463" i="11"/>
  <c r="G1462" i="11"/>
  <c r="G1461" i="11"/>
  <c r="G1460" i="11"/>
  <c r="G1459" i="11"/>
  <c r="G1458" i="11"/>
  <c r="G1457" i="11"/>
  <c r="G1456" i="11"/>
  <c r="G1455" i="11"/>
  <c r="G1454" i="11"/>
  <c r="G1453" i="11"/>
  <c r="G1452" i="11"/>
  <c r="G1451" i="11"/>
  <c r="G1450" i="11"/>
  <c r="G1449" i="11"/>
  <c r="G1448" i="11"/>
  <c r="G1447" i="11"/>
  <c r="G1446" i="11"/>
  <c r="G1445" i="11"/>
  <c r="G1444" i="11"/>
  <c r="G1443" i="11"/>
  <c r="G1442" i="11"/>
  <c r="G1441" i="11"/>
  <c r="G1440" i="11"/>
  <c r="G1439" i="11"/>
  <c r="G1438" i="11"/>
  <c r="G1437" i="11"/>
  <c r="G1436" i="11"/>
  <c r="G1435" i="11"/>
  <c r="G1434" i="11"/>
  <c r="G1433" i="11"/>
  <c r="G1432" i="11"/>
  <c r="G1431" i="11"/>
  <c r="G1430" i="11"/>
  <c r="G1429" i="11"/>
  <c r="G1428" i="11"/>
  <c r="G1427" i="11"/>
  <c r="G1426" i="11"/>
  <c r="G1425" i="11"/>
  <c r="G1424" i="11"/>
  <c r="G1423" i="11"/>
  <c r="G1422" i="11"/>
  <c r="G1421" i="11"/>
  <c r="G1420" i="11"/>
  <c r="G1419" i="11"/>
  <c r="G1418" i="11"/>
  <c r="G1417" i="11"/>
  <c r="G1416" i="11"/>
  <c r="G1415" i="11"/>
  <c r="G1414" i="11"/>
  <c r="G1413" i="11"/>
  <c r="G1412" i="11"/>
  <c r="G1411" i="11"/>
  <c r="G1410" i="11"/>
  <c r="G1409" i="11"/>
  <c r="G1408" i="11"/>
  <c r="G1407" i="11"/>
  <c r="G1406" i="11"/>
  <c r="G1405" i="11"/>
  <c r="G1404" i="11"/>
  <c r="G1403" i="11"/>
  <c r="G1402" i="11"/>
  <c r="G1401" i="11"/>
  <c r="G1400" i="11"/>
  <c r="G1399" i="11"/>
  <c r="G1398" i="11"/>
  <c r="G1397" i="11"/>
  <c r="G1396" i="11"/>
  <c r="G1395" i="11"/>
  <c r="G1394" i="11"/>
  <c r="G1393" i="11"/>
  <c r="G1392" i="11"/>
  <c r="G1391" i="11"/>
  <c r="G1390" i="11"/>
  <c r="G1389" i="11"/>
  <c r="G1388" i="11"/>
  <c r="G1387" i="11"/>
  <c r="G1386" i="11"/>
  <c r="G1385" i="11"/>
  <c r="G1384" i="11"/>
  <c r="G1383" i="11"/>
  <c r="G1382" i="11"/>
  <c r="G1381" i="11"/>
  <c r="G1380" i="11"/>
  <c r="G1379" i="11"/>
  <c r="G1378" i="11"/>
  <c r="G1377" i="11"/>
  <c r="G1376" i="11"/>
  <c r="G1375" i="11"/>
  <c r="G1374" i="11"/>
  <c r="G1373" i="11"/>
  <c r="G1372" i="11"/>
  <c r="G1371" i="11"/>
  <c r="G1370" i="11"/>
  <c r="G1369" i="11"/>
  <c r="G1368" i="11"/>
  <c r="G1367" i="11"/>
  <c r="G1366" i="11"/>
  <c r="G1365" i="11"/>
  <c r="G1364" i="11"/>
  <c r="G1363" i="11"/>
  <c r="G1362" i="11"/>
  <c r="G1361" i="11"/>
  <c r="G1360" i="11"/>
  <c r="G1359" i="11"/>
  <c r="G1358" i="11"/>
  <c r="G1357" i="11"/>
  <c r="G1356" i="11"/>
  <c r="G1355" i="11"/>
  <c r="G1354" i="11"/>
  <c r="G1353" i="11"/>
  <c r="G1352" i="11"/>
  <c r="G1351" i="11"/>
  <c r="G1350" i="11"/>
  <c r="G1349" i="11"/>
  <c r="G1348" i="11"/>
  <c r="G1347" i="11"/>
  <c r="G1346" i="11"/>
  <c r="G1345" i="11"/>
  <c r="G1344" i="11"/>
  <c r="G1343" i="11"/>
  <c r="G1342" i="11"/>
  <c r="G1341" i="11"/>
  <c r="G1340" i="11"/>
  <c r="G1339" i="11"/>
  <c r="G1338" i="11"/>
  <c r="G1337" i="11"/>
  <c r="G1336" i="11"/>
  <c r="G1335" i="11"/>
  <c r="G1334" i="11"/>
  <c r="G1333" i="11"/>
  <c r="G1332" i="11"/>
  <c r="G1331" i="11"/>
  <c r="G1330" i="11"/>
  <c r="G1329" i="11"/>
  <c r="G1328" i="11"/>
  <c r="G1327" i="11"/>
  <c r="G1326" i="11"/>
  <c r="G1325" i="11"/>
  <c r="G1324" i="11"/>
  <c r="G1323" i="11"/>
  <c r="G1322" i="11"/>
  <c r="G1321" i="11"/>
  <c r="G1320" i="11"/>
  <c r="G1319" i="11"/>
  <c r="G1318" i="11"/>
  <c r="G1317" i="11"/>
  <c r="G1316" i="11"/>
  <c r="G1315" i="11"/>
  <c r="G1314" i="11"/>
  <c r="G1313" i="11"/>
  <c r="G1312" i="11"/>
  <c r="G1311" i="11"/>
  <c r="G1310" i="11"/>
  <c r="G1309" i="11"/>
  <c r="G1308" i="11"/>
  <c r="G1307" i="11"/>
  <c r="G1306" i="11"/>
  <c r="G1305" i="11"/>
  <c r="G1304" i="11"/>
  <c r="G1303" i="11"/>
  <c r="G1302" i="11"/>
  <c r="G1301" i="11"/>
  <c r="G1300" i="11"/>
  <c r="G1299" i="11"/>
  <c r="G1298" i="11"/>
  <c r="G1297" i="11"/>
  <c r="G1296" i="11"/>
  <c r="G1295" i="11"/>
  <c r="G1294" i="11"/>
  <c r="G1293" i="11"/>
  <c r="G1292" i="11"/>
  <c r="G1291" i="11"/>
  <c r="G1290" i="11"/>
  <c r="G1289" i="11"/>
  <c r="G1288" i="11"/>
  <c r="G1287" i="11"/>
  <c r="G1286" i="11"/>
  <c r="G1285" i="11"/>
  <c r="G1284" i="11"/>
  <c r="G1283" i="11"/>
  <c r="G1282" i="11"/>
  <c r="G1281" i="11"/>
  <c r="G1280" i="11"/>
  <c r="G1279" i="11"/>
  <c r="G1278" i="11"/>
  <c r="G1277" i="11"/>
  <c r="G1276" i="11"/>
  <c r="G1275" i="11"/>
  <c r="G1274" i="11"/>
  <c r="G1273" i="11"/>
  <c r="G1272" i="11"/>
  <c r="G1271" i="11"/>
  <c r="G1270" i="11"/>
  <c r="G1269" i="11"/>
  <c r="G1268" i="11"/>
  <c r="G1267" i="11"/>
  <c r="G1266" i="11"/>
  <c r="G1265" i="11"/>
  <c r="G1264" i="11"/>
  <c r="G1263" i="11"/>
  <c r="G1262" i="11"/>
  <c r="G1261" i="11"/>
  <c r="G1260" i="11"/>
  <c r="G1259" i="11"/>
  <c r="G1258" i="11"/>
  <c r="G1257" i="11"/>
  <c r="G1256" i="11"/>
  <c r="G1255" i="11"/>
  <c r="G1254" i="11"/>
  <c r="G1253" i="11"/>
  <c r="G1252" i="11"/>
  <c r="G1251" i="11"/>
  <c r="G1250" i="11"/>
  <c r="G1249" i="11"/>
  <c r="G1248" i="11"/>
  <c r="G1247" i="11"/>
  <c r="G1246" i="11"/>
  <c r="G1245" i="11"/>
  <c r="G1244" i="11"/>
  <c r="G1243" i="11"/>
  <c r="G1242" i="11"/>
  <c r="G1241" i="11"/>
  <c r="G1240" i="11"/>
  <c r="G1239" i="11"/>
  <c r="G1238" i="11"/>
  <c r="G1237" i="11"/>
  <c r="G1236" i="11"/>
  <c r="G1235" i="11"/>
  <c r="G1234" i="11"/>
  <c r="G1233" i="11"/>
  <c r="G1232" i="11"/>
  <c r="G1231" i="11"/>
  <c r="G1230" i="11"/>
  <c r="G1229" i="11"/>
  <c r="G1228" i="11"/>
  <c r="G1227" i="11"/>
  <c r="G1226" i="11"/>
  <c r="G1225" i="11"/>
  <c r="G1224" i="11"/>
  <c r="G1223" i="11"/>
  <c r="G1222" i="11"/>
  <c r="G1221" i="11"/>
  <c r="G1220" i="11"/>
  <c r="G1219" i="11"/>
  <c r="G1218" i="11"/>
  <c r="G1217" i="11"/>
  <c r="G1216" i="11"/>
  <c r="G1215" i="11"/>
  <c r="G1214" i="11"/>
  <c r="G1213" i="11"/>
  <c r="G1212" i="11"/>
  <c r="G1211" i="11"/>
  <c r="G1210" i="11"/>
  <c r="G1209" i="11"/>
  <c r="G1208" i="11"/>
  <c r="G1207" i="11"/>
  <c r="G1206" i="11"/>
  <c r="G1205" i="11"/>
  <c r="G1204" i="11"/>
  <c r="G1203" i="11"/>
  <c r="G1202" i="11"/>
  <c r="G1201" i="11"/>
  <c r="G1200" i="11"/>
  <c r="G1199" i="11"/>
  <c r="G1198" i="11"/>
  <c r="G1197" i="11"/>
  <c r="G1196" i="11"/>
  <c r="G1195" i="11"/>
  <c r="G1194" i="11"/>
  <c r="G1193" i="11"/>
  <c r="G1192" i="11"/>
  <c r="G1191" i="11"/>
  <c r="G1190" i="11"/>
  <c r="G1189" i="11"/>
  <c r="G1188" i="11"/>
  <c r="G1187" i="11"/>
  <c r="G1186" i="11"/>
  <c r="G1185" i="11"/>
  <c r="G1184" i="11"/>
  <c r="G1183" i="11"/>
  <c r="G1182" i="11"/>
  <c r="G1181" i="11"/>
  <c r="G1180" i="11"/>
  <c r="G1179" i="11"/>
  <c r="G1178" i="11"/>
  <c r="G1177" i="11"/>
  <c r="G1176" i="11"/>
  <c r="G1175" i="11"/>
  <c r="G1174" i="11"/>
  <c r="G1173" i="11"/>
  <c r="G1172" i="11"/>
  <c r="G1171" i="11"/>
  <c r="G1170" i="11"/>
  <c r="G1169" i="11"/>
  <c r="G1168" i="11"/>
  <c r="G1167" i="11"/>
  <c r="G1166" i="11"/>
  <c r="G1165" i="11"/>
  <c r="G1164" i="11"/>
  <c r="G1163" i="11"/>
  <c r="G1162" i="11"/>
  <c r="G1161" i="11"/>
  <c r="G1160" i="11"/>
  <c r="G1159" i="11"/>
  <c r="G1158" i="11"/>
  <c r="G1157" i="11"/>
  <c r="G1156" i="11"/>
  <c r="G1155" i="11"/>
  <c r="G1154" i="11"/>
  <c r="G1153" i="11"/>
  <c r="G1152" i="11"/>
  <c r="G1151" i="11"/>
  <c r="G1150" i="11"/>
  <c r="G1149" i="11"/>
  <c r="G1148" i="11"/>
  <c r="G1147" i="11"/>
  <c r="G1146" i="11"/>
  <c r="G1145" i="11"/>
  <c r="G1144" i="11"/>
  <c r="G1143" i="11"/>
  <c r="G1142" i="11"/>
  <c r="G1141" i="11"/>
  <c r="G1140" i="11"/>
  <c r="G1139" i="11"/>
  <c r="G1138" i="11"/>
  <c r="G1137" i="11"/>
  <c r="G1136" i="11"/>
  <c r="G1135" i="11"/>
  <c r="G1134" i="11"/>
  <c r="G1133" i="11"/>
  <c r="G1132" i="11"/>
  <c r="G1131" i="11"/>
  <c r="G1130" i="11"/>
  <c r="G1129" i="11"/>
  <c r="G1128" i="11"/>
  <c r="G1127" i="11"/>
  <c r="G1126" i="11"/>
  <c r="G1125" i="11"/>
  <c r="G1124" i="11"/>
  <c r="G1123" i="11"/>
  <c r="G1122" i="11"/>
  <c r="G1121" i="11"/>
  <c r="G1120" i="11"/>
  <c r="G1119" i="11"/>
  <c r="G1118" i="11"/>
  <c r="G1117" i="11"/>
  <c r="G1116" i="11"/>
  <c r="G1115" i="11"/>
  <c r="G1114" i="11"/>
  <c r="G1113" i="11"/>
  <c r="G1112" i="11"/>
  <c r="G1111" i="11"/>
  <c r="G1110" i="11"/>
  <c r="G1109" i="11"/>
  <c r="G1108" i="11"/>
  <c r="G1107" i="11"/>
  <c r="G1106" i="11"/>
  <c r="G1105" i="11"/>
  <c r="G1104" i="11"/>
  <c r="G1103" i="11"/>
  <c r="G1102" i="11"/>
  <c r="G1101" i="11"/>
  <c r="G1100" i="11"/>
  <c r="G1099" i="11"/>
  <c r="G1098" i="11"/>
  <c r="G1097" i="11"/>
  <c r="G1096" i="11"/>
  <c r="G1095" i="11"/>
  <c r="G1094" i="11"/>
  <c r="G1093" i="11"/>
  <c r="G1092" i="11"/>
  <c r="G1091" i="11"/>
  <c r="G1090" i="11"/>
  <c r="G1089" i="11"/>
  <c r="G1088" i="11"/>
  <c r="G1087" i="11"/>
  <c r="G1086" i="11"/>
  <c r="G1085" i="11"/>
  <c r="G1084" i="11"/>
  <c r="G1083" i="11"/>
  <c r="G1082" i="11"/>
  <c r="G1081" i="11"/>
  <c r="G1080" i="11"/>
  <c r="G1079" i="11"/>
  <c r="G1078" i="11"/>
  <c r="G1077" i="11"/>
  <c r="G1076" i="11"/>
  <c r="G1075" i="11"/>
  <c r="G1074" i="11"/>
  <c r="G1073" i="11"/>
  <c r="G1072" i="11"/>
  <c r="G1071" i="11"/>
  <c r="G1070" i="11"/>
  <c r="G1069" i="11"/>
  <c r="G1068" i="11"/>
  <c r="G1067" i="11"/>
  <c r="G1066" i="11"/>
  <c r="G1065" i="11"/>
  <c r="G1064" i="11"/>
  <c r="G1063" i="11"/>
  <c r="G1062" i="11"/>
  <c r="G1061" i="11"/>
  <c r="G1060" i="11"/>
  <c r="G1059" i="11"/>
  <c r="G1058" i="11"/>
  <c r="G1057" i="11"/>
  <c r="G1056" i="11"/>
  <c r="G1055" i="11"/>
  <c r="G1054" i="11"/>
  <c r="G1053" i="11"/>
  <c r="G1052" i="11"/>
  <c r="G1051" i="11"/>
  <c r="G1050" i="11"/>
  <c r="G1049" i="11"/>
  <c r="G1048" i="11"/>
  <c r="G1047" i="11"/>
  <c r="G1046" i="11"/>
  <c r="G1045" i="11"/>
  <c r="G1044" i="11"/>
  <c r="G1043" i="11"/>
  <c r="G1042" i="11"/>
  <c r="G1041" i="11"/>
  <c r="G1040" i="11"/>
  <c r="G1039" i="11"/>
  <c r="G1038" i="11"/>
  <c r="G1037" i="11"/>
  <c r="G1036" i="11"/>
  <c r="G1035" i="11"/>
  <c r="G1034" i="11"/>
  <c r="G1033" i="11"/>
  <c r="G1032" i="11"/>
  <c r="G1031" i="11"/>
  <c r="G1030" i="11"/>
  <c r="G1029" i="11"/>
  <c r="G1028" i="11"/>
  <c r="G1027" i="11"/>
  <c r="G1026" i="11"/>
  <c r="G1025" i="11"/>
  <c r="G1024" i="11"/>
  <c r="G1023" i="11"/>
  <c r="G1022" i="11"/>
  <c r="G1021" i="11"/>
  <c r="G1020" i="11"/>
  <c r="G1019" i="11"/>
  <c r="G1018" i="11"/>
  <c r="G1017" i="11"/>
  <c r="G1016" i="11"/>
  <c r="G1015" i="11"/>
  <c r="G1014" i="11"/>
  <c r="G1013" i="11"/>
  <c r="G1012" i="11"/>
  <c r="G1011" i="11"/>
  <c r="G1010" i="11"/>
  <c r="G1009" i="11"/>
  <c r="G1008" i="11"/>
  <c r="G1007" i="11"/>
  <c r="G1006" i="11"/>
  <c r="G1005" i="11"/>
  <c r="G1004" i="11"/>
  <c r="G1003" i="11"/>
  <c r="G1002" i="11"/>
  <c r="G1001" i="11"/>
  <c r="G1000" i="11"/>
  <c r="G999" i="11"/>
  <c r="G998" i="11"/>
  <c r="G997" i="11"/>
  <c r="G996" i="11"/>
  <c r="G995" i="11"/>
  <c r="G994" i="11"/>
  <c r="G993" i="11"/>
  <c r="G992" i="11"/>
  <c r="G991" i="11"/>
  <c r="G990" i="11"/>
  <c r="G989" i="11"/>
  <c r="G988" i="11"/>
  <c r="G987" i="11"/>
  <c r="G986" i="11"/>
  <c r="G985" i="11"/>
  <c r="G984" i="11"/>
  <c r="G983" i="11"/>
  <c r="G982" i="11"/>
  <c r="G981" i="11"/>
  <c r="G980" i="11"/>
  <c r="G979" i="11"/>
  <c r="G978" i="11"/>
  <c r="G977" i="11"/>
  <c r="G976" i="11"/>
  <c r="G975" i="11"/>
  <c r="G974" i="11"/>
  <c r="G973" i="11"/>
  <c r="G972" i="11"/>
  <c r="G971" i="11"/>
  <c r="G970" i="11"/>
  <c r="G969" i="11"/>
  <c r="G968" i="11"/>
  <c r="G967" i="11"/>
  <c r="G966" i="11"/>
  <c r="G965" i="11"/>
  <c r="G964" i="11"/>
  <c r="G963" i="11"/>
  <c r="G962" i="11"/>
  <c r="G961" i="11"/>
  <c r="G960" i="11"/>
  <c r="G959" i="11"/>
  <c r="G958" i="11"/>
  <c r="G957" i="11"/>
  <c r="G956" i="11"/>
  <c r="G955" i="11"/>
  <c r="G954" i="11"/>
  <c r="G953" i="11"/>
  <c r="G952" i="11"/>
  <c r="G951" i="11"/>
  <c r="G950" i="11"/>
  <c r="G949" i="11"/>
  <c r="G948" i="11"/>
  <c r="G947" i="11"/>
  <c r="G946" i="11"/>
  <c r="G945" i="11"/>
  <c r="G944" i="11"/>
  <c r="G943" i="11"/>
  <c r="G942" i="11"/>
  <c r="G941" i="11"/>
  <c r="G940" i="11"/>
  <c r="G939" i="11"/>
  <c r="G938" i="11"/>
  <c r="G937" i="11"/>
  <c r="G936" i="11"/>
  <c r="G935" i="11"/>
  <c r="G934" i="11"/>
  <c r="G933" i="11"/>
  <c r="G932" i="11"/>
  <c r="G931" i="11"/>
  <c r="G930" i="11"/>
  <c r="G929" i="11"/>
  <c r="G928" i="11"/>
  <c r="G927" i="11"/>
  <c r="G926" i="11"/>
  <c r="G925" i="11"/>
  <c r="G924" i="11"/>
  <c r="G923" i="11"/>
  <c r="G922" i="11"/>
  <c r="G921" i="11"/>
  <c r="G920" i="11"/>
  <c r="G919" i="11"/>
  <c r="G918" i="11"/>
  <c r="G917" i="11"/>
  <c r="G916" i="11"/>
  <c r="G915" i="11"/>
  <c r="G914" i="11"/>
  <c r="G913" i="11"/>
  <c r="G912" i="11"/>
  <c r="G911" i="11"/>
  <c r="G910" i="11"/>
  <c r="G909" i="11"/>
  <c r="G908" i="11"/>
  <c r="G907" i="11"/>
  <c r="G906" i="11"/>
  <c r="G905" i="11"/>
  <c r="G904" i="11"/>
  <c r="G903" i="11"/>
  <c r="G902" i="11"/>
  <c r="G901" i="11"/>
  <c r="G900" i="11"/>
  <c r="G899" i="11"/>
  <c r="G898" i="11"/>
  <c r="G897" i="11"/>
  <c r="G896" i="11"/>
  <c r="G895" i="11"/>
  <c r="G894" i="11"/>
  <c r="G893" i="11"/>
  <c r="G892" i="11"/>
  <c r="G891" i="11"/>
  <c r="G890" i="11"/>
  <c r="G889" i="11"/>
  <c r="G888" i="11"/>
  <c r="G887" i="11"/>
  <c r="G886" i="11"/>
  <c r="G885" i="11"/>
  <c r="G884" i="11"/>
  <c r="G883" i="11"/>
  <c r="G882" i="11"/>
  <c r="G881" i="11"/>
  <c r="G880" i="11"/>
  <c r="G879" i="11"/>
  <c r="G878" i="11"/>
  <c r="G877" i="11"/>
  <c r="G876" i="11"/>
  <c r="G875" i="11"/>
  <c r="G874" i="11"/>
  <c r="G873" i="11"/>
  <c r="G872" i="11"/>
  <c r="G871" i="11"/>
  <c r="G870" i="11"/>
  <c r="G869" i="11"/>
  <c r="G868" i="11"/>
  <c r="G867" i="11"/>
  <c r="G866" i="11"/>
  <c r="G865" i="11"/>
  <c r="G864" i="11"/>
  <c r="G863" i="11"/>
  <c r="G862" i="11"/>
  <c r="G861" i="11"/>
  <c r="G860" i="11"/>
  <c r="G859" i="11"/>
  <c r="G858" i="11"/>
  <c r="G857" i="11"/>
  <c r="G856" i="11"/>
  <c r="G855" i="11"/>
  <c r="G854" i="11"/>
  <c r="G853" i="11"/>
  <c r="G852" i="11"/>
  <c r="G851" i="11"/>
  <c r="G850" i="11"/>
  <c r="G849" i="11"/>
  <c r="G848" i="11"/>
  <c r="G847" i="11"/>
  <c r="G846" i="11"/>
  <c r="G845" i="11"/>
  <c r="G844" i="11"/>
  <c r="G843" i="11"/>
  <c r="G842" i="11"/>
  <c r="G841" i="11"/>
  <c r="G840" i="11"/>
  <c r="G839" i="11"/>
  <c r="G838" i="11"/>
  <c r="G837" i="11"/>
  <c r="G836" i="11"/>
  <c r="G835" i="11"/>
  <c r="G834" i="11"/>
  <c r="G833" i="11"/>
  <c r="G832" i="11"/>
  <c r="G831" i="11"/>
  <c r="G830" i="11"/>
  <c r="G829" i="11"/>
  <c r="G828" i="11"/>
  <c r="G827" i="11"/>
  <c r="G826" i="11"/>
  <c r="G825" i="11"/>
  <c r="G824" i="11"/>
  <c r="G823" i="11"/>
  <c r="G822" i="11"/>
  <c r="G821" i="11"/>
  <c r="G820" i="11"/>
  <c r="G819" i="11"/>
  <c r="G818" i="11"/>
  <c r="G817" i="11"/>
  <c r="G816" i="11"/>
  <c r="G815" i="11"/>
  <c r="G814" i="11"/>
  <c r="G813" i="11"/>
  <c r="G812" i="11"/>
  <c r="G811" i="11"/>
  <c r="G810" i="11"/>
  <c r="G809" i="11"/>
  <c r="G808" i="11"/>
  <c r="G807" i="11"/>
  <c r="G806" i="11"/>
  <c r="G805" i="11"/>
  <c r="G804" i="11"/>
  <c r="G803" i="11"/>
  <c r="G802" i="11"/>
  <c r="G801" i="11"/>
  <c r="G800" i="11"/>
  <c r="G799" i="11"/>
  <c r="G798" i="11"/>
  <c r="G797" i="11"/>
  <c r="G796" i="11"/>
  <c r="G795" i="11"/>
  <c r="G794" i="11"/>
  <c r="G793" i="11"/>
  <c r="G792" i="11"/>
  <c r="G791" i="11"/>
  <c r="G790" i="11"/>
  <c r="G789" i="11"/>
  <c r="G788" i="11"/>
  <c r="G787" i="11"/>
  <c r="G786" i="11"/>
  <c r="G785" i="11"/>
  <c r="G784" i="11"/>
  <c r="G783" i="11"/>
  <c r="G782" i="11"/>
  <c r="G781" i="11"/>
  <c r="G780" i="11"/>
  <c r="G779" i="11"/>
  <c r="G778" i="11"/>
  <c r="G777" i="11"/>
  <c r="G776" i="11"/>
  <c r="G775" i="11"/>
  <c r="G774" i="11"/>
  <c r="G773" i="11"/>
  <c r="G772" i="11"/>
  <c r="G771" i="11"/>
  <c r="G770" i="11"/>
  <c r="G769" i="11"/>
  <c r="G768" i="11"/>
  <c r="G767" i="11"/>
  <c r="G766" i="11"/>
  <c r="G765" i="11"/>
  <c r="G764" i="11"/>
  <c r="G763" i="11"/>
  <c r="G762" i="11"/>
  <c r="G761" i="11"/>
  <c r="G760" i="11"/>
  <c r="G759" i="11"/>
  <c r="G758" i="11"/>
  <c r="G757" i="11"/>
  <c r="G756" i="11"/>
  <c r="G755" i="11"/>
  <c r="G754" i="11"/>
  <c r="G753" i="11"/>
  <c r="G752" i="11"/>
  <c r="G751" i="11"/>
  <c r="G750" i="11"/>
  <c r="G749" i="11"/>
  <c r="G748" i="11"/>
  <c r="G747" i="11"/>
  <c r="G746" i="11"/>
  <c r="G745" i="11"/>
  <c r="G744" i="11"/>
  <c r="G743" i="11"/>
  <c r="G742" i="11"/>
  <c r="G741" i="11"/>
  <c r="G740" i="11"/>
  <c r="G739" i="11"/>
  <c r="G738" i="11"/>
  <c r="G737" i="11"/>
  <c r="G736" i="11"/>
  <c r="G735" i="11"/>
  <c r="G734" i="11"/>
  <c r="G733" i="11"/>
  <c r="G732" i="11"/>
  <c r="G731" i="11"/>
  <c r="G730" i="11"/>
  <c r="G729" i="11"/>
  <c r="G728" i="11"/>
  <c r="G727" i="11"/>
  <c r="G726" i="11"/>
  <c r="G725" i="11"/>
  <c r="G724" i="11"/>
  <c r="G723" i="11"/>
  <c r="G722" i="11"/>
  <c r="G721" i="11"/>
  <c r="G720" i="11"/>
  <c r="G719" i="11"/>
  <c r="G718" i="11"/>
  <c r="G717" i="11"/>
  <c r="G716" i="11"/>
  <c r="G715" i="11"/>
  <c r="G714" i="11"/>
  <c r="G713" i="11"/>
  <c r="G712" i="11"/>
  <c r="G711" i="11"/>
  <c r="G710" i="11"/>
  <c r="G709" i="11"/>
  <c r="G708" i="11"/>
  <c r="G707" i="11"/>
  <c r="G706" i="11"/>
  <c r="G705" i="11"/>
  <c r="G704" i="11"/>
  <c r="G703" i="11"/>
  <c r="G702" i="11"/>
  <c r="G701" i="11"/>
  <c r="G700" i="11"/>
  <c r="G699" i="11"/>
  <c r="G698" i="11"/>
  <c r="G697" i="11"/>
  <c r="G696" i="11"/>
  <c r="G695" i="11"/>
  <c r="G694" i="11"/>
  <c r="G693" i="11"/>
  <c r="G692" i="11"/>
  <c r="G691" i="11"/>
  <c r="G690" i="11"/>
  <c r="G689" i="11"/>
  <c r="G688" i="11"/>
  <c r="G687" i="11"/>
  <c r="G686" i="11"/>
  <c r="G685" i="11"/>
  <c r="G684" i="11"/>
  <c r="G683" i="11"/>
  <c r="G682" i="11"/>
  <c r="G681" i="11"/>
  <c r="G680" i="11"/>
  <c r="G679" i="11"/>
  <c r="G678" i="11"/>
  <c r="G677" i="11"/>
  <c r="G676" i="11"/>
  <c r="G675" i="11"/>
  <c r="G674" i="11"/>
  <c r="G673" i="11"/>
  <c r="G672" i="11"/>
  <c r="G671" i="11"/>
  <c r="G670" i="11"/>
  <c r="G669" i="11"/>
  <c r="G668" i="11"/>
  <c r="G667" i="11"/>
  <c r="G666" i="11"/>
  <c r="G665" i="11"/>
  <c r="G664" i="11"/>
  <c r="G663" i="11"/>
  <c r="G662" i="11"/>
  <c r="G661" i="11"/>
  <c r="G660" i="11"/>
  <c r="G659" i="11"/>
  <c r="G658" i="11"/>
  <c r="G657" i="11"/>
  <c r="G656" i="11"/>
  <c r="G655" i="11"/>
  <c r="G654" i="11"/>
  <c r="G653" i="11"/>
  <c r="G652" i="11"/>
  <c r="G651" i="11"/>
  <c r="G650" i="11"/>
  <c r="G649" i="11"/>
  <c r="G648" i="11"/>
  <c r="G647" i="11"/>
  <c r="G646" i="11"/>
  <c r="G645" i="11"/>
  <c r="G644" i="11"/>
  <c r="G643" i="11"/>
  <c r="G642" i="11"/>
  <c r="G641" i="11"/>
  <c r="G640" i="11"/>
  <c r="G639" i="11"/>
  <c r="G638" i="11"/>
  <c r="G637" i="11"/>
  <c r="G636" i="11"/>
  <c r="G635" i="11"/>
  <c r="G634" i="11"/>
  <c r="G633" i="11"/>
  <c r="G632" i="11"/>
  <c r="G631" i="11"/>
  <c r="G630" i="11"/>
  <c r="G629" i="11"/>
  <c r="G628" i="11"/>
  <c r="G627" i="11"/>
  <c r="G626" i="11"/>
  <c r="G625" i="11"/>
  <c r="G624" i="11"/>
  <c r="G623" i="11"/>
  <c r="G622" i="11"/>
  <c r="G621" i="11"/>
  <c r="G620" i="11"/>
  <c r="G619" i="11"/>
  <c r="G618" i="11"/>
  <c r="G617" i="11"/>
  <c r="G616" i="11"/>
  <c r="G615" i="11"/>
  <c r="G614" i="11"/>
  <c r="G613" i="11"/>
  <c r="G612" i="11"/>
  <c r="G611" i="11"/>
  <c r="G610" i="11"/>
  <c r="G609" i="11"/>
  <c r="G608" i="11"/>
  <c r="G607" i="11"/>
  <c r="G606" i="11"/>
  <c r="G605" i="11"/>
  <c r="G604" i="11"/>
  <c r="G603" i="11"/>
  <c r="G602" i="11"/>
  <c r="G601" i="11"/>
  <c r="G600" i="11"/>
  <c r="G599" i="11"/>
  <c r="G598" i="11"/>
  <c r="G597" i="11"/>
  <c r="G596" i="11"/>
  <c r="G595" i="11"/>
  <c r="G594" i="11"/>
  <c r="G593" i="11"/>
  <c r="G592" i="11"/>
  <c r="G591" i="11"/>
  <c r="G590" i="11"/>
  <c r="G589" i="11"/>
  <c r="G588" i="11"/>
  <c r="G587" i="11"/>
  <c r="G586" i="11"/>
  <c r="G585" i="11"/>
  <c r="G584" i="11"/>
  <c r="G583" i="11"/>
  <c r="G582" i="11"/>
  <c r="G581" i="11"/>
  <c r="G580" i="11"/>
  <c r="G579" i="11"/>
  <c r="G578" i="11"/>
  <c r="G577" i="11"/>
  <c r="G576" i="11"/>
  <c r="G575" i="11"/>
  <c r="G574" i="11"/>
  <c r="G573" i="11"/>
  <c r="G572" i="11"/>
  <c r="G571" i="11"/>
  <c r="G570" i="11"/>
  <c r="G569" i="11"/>
  <c r="G568" i="11"/>
  <c r="G567" i="11"/>
  <c r="G566" i="11"/>
  <c r="G565" i="11"/>
  <c r="G564" i="11"/>
  <c r="G563" i="11"/>
  <c r="G562" i="11"/>
  <c r="G561" i="11"/>
  <c r="G560" i="11"/>
  <c r="G559" i="11"/>
  <c r="G558" i="11"/>
  <c r="G557" i="11"/>
  <c r="G556" i="11"/>
  <c r="G555" i="11"/>
  <c r="G554" i="11"/>
  <c r="G553" i="11"/>
  <c r="G552" i="11"/>
  <c r="G551" i="11"/>
  <c r="G550" i="11"/>
  <c r="G549" i="11"/>
  <c r="G548" i="11"/>
  <c r="G547" i="11"/>
  <c r="G546" i="11"/>
  <c r="G545" i="11"/>
  <c r="G544" i="11"/>
  <c r="G543" i="11"/>
  <c r="G542" i="11"/>
  <c r="G541" i="11"/>
  <c r="G540" i="11"/>
  <c r="G539" i="11"/>
  <c r="G538" i="11"/>
  <c r="G537" i="11"/>
  <c r="G536" i="11"/>
  <c r="G535" i="11"/>
  <c r="G534" i="11"/>
  <c r="G533" i="11"/>
  <c r="G532" i="11"/>
  <c r="G531" i="11"/>
  <c r="G530" i="11"/>
  <c r="G529" i="11"/>
  <c r="G528" i="11"/>
  <c r="G527" i="11"/>
  <c r="G526" i="11"/>
  <c r="G525" i="11"/>
  <c r="G524" i="11"/>
  <c r="G523" i="11"/>
  <c r="G522" i="11"/>
  <c r="G521" i="11"/>
  <c r="G520" i="11"/>
  <c r="G519" i="11"/>
  <c r="G518" i="11"/>
  <c r="G517" i="11"/>
  <c r="G516" i="11"/>
  <c r="G515" i="11"/>
  <c r="G514" i="11"/>
  <c r="G513" i="11"/>
  <c r="G512" i="11"/>
  <c r="G511" i="11"/>
  <c r="G510" i="11"/>
  <c r="G509" i="11"/>
  <c r="G508" i="11"/>
  <c r="G507" i="11"/>
  <c r="G506" i="11"/>
  <c r="G505" i="11"/>
  <c r="G504" i="11"/>
  <c r="G503" i="11"/>
  <c r="G502" i="11"/>
  <c r="G501" i="11"/>
  <c r="G500" i="11"/>
  <c r="G499" i="11"/>
  <c r="G498" i="11"/>
  <c r="G497" i="11"/>
  <c r="G496" i="11"/>
  <c r="G495" i="11"/>
  <c r="G494" i="11"/>
  <c r="G493" i="11"/>
  <c r="G492" i="11"/>
  <c r="G491" i="11"/>
  <c r="G490" i="11"/>
  <c r="G489" i="11"/>
  <c r="G488" i="11"/>
  <c r="G487" i="11"/>
  <c r="G486" i="11"/>
  <c r="G485" i="11"/>
  <c r="G484" i="11"/>
  <c r="G483" i="11"/>
  <c r="G482" i="11"/>
  <c r="G481" i="11"/>
  <c r="G480" i="11"/>
  <c r="G479" i="11"/>
  <c r="G478" i="11"/>
  <c r="G477" i="11"/>
  <c r="G476" i="11"/>
  <c r="G475" i="11"/>
  <c r="G474" i="11"/>
  <c r="G473" i="11"/>
  <c r="G472" i="11"/>
  <c r="G471" i="11"/>
  <c r="G470" i="11"/>
  <c r="G469" i="11"/>
  <c r="G468" i="11"/>
  <c r="G467" i="11"/>
  <c r="G466" i="11"/>
  <c r="G465" i="11"/>
  <c r="G464" i="11"/>
  <c r="G463" i="11"/>
  <c r="G462" i="11"/>
  <c r="G461" i="11"/>
  <c r="G460" i="11"/>
  <c r="G459" i="11"/>
  <c r="G458" i="11"/>
  <c r="G457" i="11"/>
  <c r="G456" i="11"/>
  <c r="G455" i="11"/>
  <c r="G454" i="11"/>
  <c r="G453" i="11"/>
  <c r="G452" i="11"/>
  <c r="G451" i="11"/>
  <c r="G450" i="11"/>
  <c r="G449" i="11"/>
  <c r="G448" i="11"/>
  <c r="G447" i="11"/>
  <c r="G446" i="11"/>
  <c r="G445" i="11"/>
  <c r="G444" i="11"/>
  <c r="G443" i="11"/>
  <c r="G442" i="11"/>
  <c r="G441" i="11"/>
  <c r="G440" i="11"/>
  <c r="G439" i="11"/>
  <c r="G438" i="11"/>
  <c r="G437" i="11"/>
  <c r="G436" i="11"/>
  <c r="G435" i="11"/>
  <c r="G434" i="11"/>
  <c r="G433" i="11"/>
  <c r="G432" i="11"/>
  <c r="G431" i="11"/>
  <c r="G430" i="11"/>
  <c r="G429" i="11"/>
  <c r="G428" i="11"/>
  <c r="G427" i="11"/>
  <c r="G426" i="11"/>
  <c r="G425" i="11"/>
  <c r="G424" i="11"/>
  <c r="G423" i="11"/>
  <c r="G422" i="11"/>
  <c r="G421" i="11"/>
  <c r="G420" i="11"/>
  <c r="G419" i="11"/>
  <c r="G418" i="11"/>
  <c r="G417" i="11"/>
  <c r="G416" i="11"/>
  <c r="G415" i="11"/>
  <c r="G414" i="11"/>
  <c r="G413" i="11"/>
  <c r="G412" i="11"/>
  <c r="G411" i="11"/>
  <c r="G410" i="11"/>
  <c r="G409" i="11"/>
  <c r="G408" i="11"/>
  <c r="G407" i="11"/>
  <c r="G406" i="11"/>
  <c r="G405" i="11"/>
  <c r="G404" i="11"/>
  <c r="G403" i="11"/>
  <c r="G402" i="11"/>
  <c r="G401" i="11"/>
  <c r="G400" i="11"/>
  <c r="G399" i="11"/>
  <c r="G398" i="11"/>
  <c r="G397" i="11"/>
  <c r="G396" i="11"/>
  <c r="G395" i="11"/>
  <c r="G394" i="11"/>
  <c r="G393" i="11"/>
  <c r="G392" i="11"/>
  <c r="G391" i="11"/>
  <c r="G390" i="11"/>
  <c r="G389" i="11"/>
  <c r="G388" i="11"/>
  <c r="G387" i="11"/>
  <c r="G386" i="11"/>
  <c r="G385" i="11"/>
  <c r="G384" i="11"/>
  <c r="G383" i="11"/>
  <c r="G382" i="11"/>
  <c r="G381" i="11"/>
  <c r="G380" i="11"/>
  <c r="G379" i="11"/>
  <c r="G378" i="11"/>
  <c r="G377" i="11"/>
  <c r="G376" i="11"/>
  <c r="G375" i="11"/>
  <c r="G374" i="11"/>
  <c r="G373" i="11"/>
  <c r="G372" i="11"/>
  <c r="G371" i="11"/>
  <c r="G370" i="11"/>
  <c r="G369" i="11"/>
  <c r="G368" i="11"/>
  <c r="G367" i="11"/>
  <c r="G366" i="11"/>
  <c r="G365" i="11"/>
  <c r="G364" i="11"/>
  <c r="G363" i="11"/>
  <c r="G362" i="11"/>
  <c r="G361" i="11"/>
  <c r="G360" i="11"/>
  <c r="G359" i="11"/>
  <c r="G358" i="11"/>
  <c r="G357" i="11"/>
  <c r="G356" i="11"/>
  <c r="G355" i="11"/>
  <c r="G354" i="11"/>
  <c r="G353" i="11"/>
  <c r="G352" i="11"/>
  <c r="G351" i="11"/>
  <c r="G350" i="11"/>
  <c r="G349" i="11"/>
  <c r="G348" i="11"/>
  <c r="G347" i="11"/>
  <c r="G346" i="11"/>
  <c r="G345" i="11"/>
  <c r="G344" i="11"/>
  <c r="G343" i="11"/>
  <c r="G342" i="11"/>
  <c r="G341" i="11"/>
  <c r="G340" i="11"/>
  <c r="G339" i="11"/>
  <c r="G338" i="11"/>
  <c r="G337" i="11"/>
  <c r="G336" i="11"/>
  <c r="G335" i="11"/>
  <c r="G334" i="11"/>
  <c r="G333" i="11"/>
  <c r="G332" i="11"/>
  <c r="G331" i="11"/>
  <c r="G330" i="11"/>
  <c r="G329" i="11"/>
  <c r="G328" i="11"/>
  <c r="G327" i="11"/>
  <c r="G326" i="11"/>
  <c r="G325" i="11"/>
  <c r="G324" i="11"/>
  <c r="G323" i="11"/>
  <c r="G322" i="11"/>
  <c r="G321" i="11"/>
  <c r="G320" i="11"/>
  <c r="G319" i="11"/>
  <c r="G318" i="11"/>
  <c r="G317" i="11"/>
  <c r="G316" i="11"/>
  <c r="G315" i="11"/>
  <c r="G314" i="11"/>
  <c r="G313" i="11"/>
  <c r="G312" i="11"/>
  <c r="G311" i="11"/>
  <c r="G310" i="11"/>
  <c r="G309" i="11"/>
  <c r="G308" i="11"/>
  <c r="G307" i="11"/>
  <c r="G306" i="11"/>
  <c r="G305" i="11"/>
  <c r="G304" i="11"/>
  <c r="G303" i="11"/>
  <c r="G302" i="11"/>
  <c r="G301" i="11"/>
  <c r="G300" i="11"/>
  <c r="G299" i="11"/>
  <c r="G298" i="11"/>
  <c r="G297" i="11"/>
  <c r="G296" i="11"/>
  <c r="G295" i="11"/>
  <c r="G294" i="11"/>
  <c r="G293" i="11"/>
  <c r="G292" i="11"/>
  <c r="G291" i="11"/>
  <c r="G290" i="11"/>
  <c r="G289" i="11"/>
  <c r="G288" i="11"/>
  <c r="G287" i="11"/>
  <c r="G286" i="11"/>
  <c r="G285" i="11"/>
  <c r="G284" i="11"/>
  <c r="G283" i="11"/>
  <c r="G282" i="11"/>
  <c r="G281" i="11"/>
  <c r="G280" i="11"/>
  <c r="G279" i="11"/>
  <c r="G278" i="11"/>
  <c r="G277" i="11"/>
  <c r="G276" i="11"/>
  <c r="G275" i="11"/>
  <c r="G274" i="11"/>
  <c r="G273" i="11"/>
  <c r="G272" i="11"/>
  <c r="G271" i="11"/>
  <c r="G270" i="11"/>
  <c r="G269" i="11"/>
  <c r="G268" i="11"/>
  <c r="G267" i="11"/>
  <c r="G266" i="11"/>
  <c r="G265" i="11"/>
  <c r="G264" i="11"/>
  <c r="G263" i="11"/>
  <c r="G262" i="11"/>
  <c r="G261" i="11"/>
  <c r="G260" i="11"/>
  <c r="G259" i="11"/>
  <c r="G258" i="11"/>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63" i="11"/>
  <c r="G162" i="11"/>
  <c r="G161" i="11"/>
  <c r="G160" i="11"/>
  <c r="G159"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R10" i="11"/>
  <c r="G10" i="11"/>
  <c r="R9" i="11"/>
  <c r="G9" i="11"/>
  <c r="R8" i="11"/>
  <c r="G8" i="11"/>
  <c r="R7" i="11"/>
  <c r="G7" i="11"/>
  <c r="R6" i="11"/>
  <c r="G6" i="11"/>
  <c r="R5" i="11"/>
  <c r="G5" i="11"/>
  <c r="R4" i="11"/>
  <c r="G4" i="11"/>
  <c r="R3" i="11"/>
  <c r="N3" i="11"/>
  <c r="G3" i="11"/>
  <c r="R2" i="11"/>
  <c r="G2" i="11"/>
  <c r="H2341" i="10"/>
  <c r="E2341" i="10"/>
  <c r="G2341" i="10" s="1"/>
  <c r="H2340" i="10"/>
  <c r="E2340" i="10"/>
  <c r="G2340" i="10" s="1"/>
  <c r="H2339" i="10"/>
  <c r="E2339" i="10"/>
  <c r="G2339" i="10" s="1"/>
  <c r="H2338" i="10"/>
  <c r="E2338" i="10"/>
  <c r="G2338" i="10" s="1"/>
  <c r="H2337" i="10"/>
  <c r="E2337" i="10"/>
  <c r="G2337" i="10" s="1"/>
  <c r="H2336" i="10"/>
  <c r="E2336" i="10"/>
  <c r="G2336" i="10" s="1"/>
  <c r="H2335" i="10"/>
  <c r="E2335" i="10"/>
  <c r="G2335" i="10" s="1"/>
  <c r="H2334" i="10"/>
  <c r="E2334" i="10"/>
  <c r="G2334" i="10" s="1"/>
  <c r="H2333" i="10"/>
  <c r="E2333" i="10"/>
  <c r="G2333" i="10" s="1"/>
  <c r="H2332" i="10"/>
  <c r="E2332" i="10"/>
  <c r="G2332" i="10" s="1"/>
  <c r="H2331" i="10"/>
  <c r="E2331" i="10"/>
  <c r="G2331" i="10" s="1"/>
  <c r="H2330" i="10"/>
  <c r="E2330" i="10"/>
  <c r="G2330" i="10" s="1"/>
  <c r="H2329" i="10"/>
  <c r="E2329" i="10"/>
  <c r="G2329" i="10" s="1"/>
  <c r="H2328" i="10"/>
  <c r="E2328" i="10"/>
  <c r="G2328" i="10" s="1"/>
  <c r="H2327" i="10"/>
  <c r="E2327" i="10"/>
  <c r="G2327" i="10" s="1"/>
  <c r="H2326" i="10"/>
  <c r="E2326" i="10"/>
  <c r="G2326" i="10" s="1"/>
  <c r="H2325" i="10"/>
  <c r="E2325" i="10"/>
  <c r="G2325" i="10" s="1"/>
  <c r="H2324" i="10"/>
  <c r="E2324" i="10"/>
  <c r="G2324" i="10" s="1"/>
  <c r="H2323" i="10"/>
  <c r="E2323" i="10"/>
  <c r="G2323" i="10" s="1"/>
  <c r="H2322" i="10"/>
  <c r="E2322" i="10"/>
  <c r="G2322" i="10" s="1"/>
  <c r="H2321" i="10"/>
  <c r="E2321" i="10"/>
  <c r="G2321" i="10" s="1"/>
  <c r="H2320" i="10"/>
  <c r="E2320" i="10"/>
  <c r="G2320" i="10" s="1"/>
  <c r="H2319" i="10"/>
  <c r="E2319" i="10"/>
  <c r="G2319" i="10" s="1"/>
  <c r="H2318" i="10"/>
  <c r="E2318" i="10"/>
  <c r="G2318" i="10" s="1"/>
  <c r="H2317" i="10"/>
  <c r="E2317" i="10"/>
  <c r="G2317" i="10" s="1"/>
  <c r="H2316" i="10"/>
  <c r="E2316" i="10"/>
  <c r="G2316" i="10" s="1"/>
  <c r="H2315" i="10"/>
  <c r="E2315" i="10"/>
  <c r="G2315" i="10" s="1"/>
  <c r="H2314" i="10"/>
  <c r="E2314" i="10"/>
  <c r="G2314" i="10" s="1"/>
  <c r="H2313" i="10"/>
  <c r="E2313" i="10"/>
  <c r="G2313" i="10" s="1"/>
  <c r="H2312" i="10"/>
  <c r="E2312" i="10"/>
  <c r="G2312" i="10" s="1"/>
  <c r="H2311" i="10"/>
  <c r="E2311" i="10"/>
  <c r="G2311" i="10" s="1"/>
  <c r="H2310" i="10"/>
  <c r="E2310" i="10"/>
  <c r="G2310" i="10" s="1"/>
  <c r="H2309" i="10"/>
  <c r="E2309" i="10"/>
  <c r="G2309" i="10" s="1"/>
  <c r="H2308" i="10"/>
  <c r="E2308" i="10"/>
  <c r="G2308" i="10" s="1"/>
  <c r="H2307" i="10"/>
  <c r="E2307" i="10"/>
  <c r="G2307" i="10" s="1"/>
  <c r="H2306" i="10"/>
  <c r="E2306" i="10"/>
  <c r="G2306" i="10" s="1"/>
  <c r="H2305" i="10"/>
  <c r="E2305" i="10"/>
  <c r="G2305" i="10" s="1"/>
  <c r="H2304" i="10"/>
  <c r="E2304" i="10"/>
  <c r="G2304" i="10" s="1"/>
  <c r="H2303" i="10"/>
  <c r="E2303" i="10"/>
  <c r="G2303" i="10" s="1"/>
  <c r="H2302" i="10"/>
  <c r="E2302" i="10"/>
  <c r="G2302" i="10" s="1"/>
  <c r="H2301" i="10"/>
  <c r="E2301" i="10"/>
  <c r="G2301" i="10" s="1"/>
  <c r="H2300" i="10"/>
  <c r="E2300" i="10"/>
  <c r="G2300" i="10" s="1"/>
  <c r="H2299" i="10"/>
  <c r="E2299" i="10"/>
  <c r="G2299" i="10" s="1"/>
  <c r="H2298" i="10"/>
  <c r="E2298" i="10"/>
  <c r="G2298" i="10" s="1"/>
  <c r="H2297" i="10"/>
  <c r="E2297" i="10"/>
  <c r="G2297" i="10" s="1"/>
  <c r="H2296" i="10"/>
  <c r="E2296" i="10"/>
  <c r="G2296" i="10" s="1"/>
  <c r="H2295" i="10"/>
  <c r="E2295" i="10"/>
  <c r="G2295" i="10" s="1"/>
  <c r="H2294" i="10"/>
  <c r="E2294" i="10"/>
  <c r="G2294" i="10" s="1"/>
  <c r="H2293" i="10"/>
  <c r="E2293" i="10"/>
  <c r="G2293" i="10" s="1"/>
  <c r="H2292" i="10"/>
  <c r="E2292" i="10"/>
  <c r="G2292" i="10" s="1"/>
  <c r="H2291" i="10"/>
  <c r="E2291" i="10"/>
  <c r="G2291" i="10" s="1"/>
  <c r="H2290" i="10"/>
  <c r="E2290" i="10"/>
  <c r="G2290" i="10" s="1"/>
  <c r="H2289" i="10"/>
  <c r="E2289" i="10"/>
  <c r="G2289" i="10" s="1"/>
  <c r="H2288" i="10"/>
  <c r="E2288" i="10"/>
  <c r="G2288" i="10" s="1"/>
  <c r="H2287" i="10"/>
  <c r="E2287" i="10"/>
  <c r="G2287" i="10" s="1"/>
  <c r="H2286" i="10"/>
  <c r="E2286" i="10"/>
  <c r="G2286" i="10" s="1"/>
  <c r="H2285" i="10"/>
  <c r="E2285" i="10"/>
  <c r="G2285" i="10" s="1"/>
  <c r="H2284" i="10"/>
  <c r="E2284" i="10"/>
  <c r="G2284" i="10" s="1"/>
  <c r="H2283" i="10"/>
  <c r="E2283" i="10"/>
  <c r="G2283" i="10" s="1"/>
  <c r="H2282" i="10"/>
  <c r="E2282" i="10"/>
  <c r="G2282" i="10" s="1"/>
  <c r="H2281" i="10"/>
  <c r="E2281" i="10"/>
  <c r="G2281" i="10" s="1"/>
  <c r="H2280" i="10"/>
  <c r="E2280" i="10"/>
  <c r="G2280" i="10" s="1"/>
  <c r="H2279" i="10"/>
  <c r="E2279" i="10"/>
  <c r="G2279" i="10" s="1"/>
  <c r="H2278" i="10"/>
  <c r="E2278" i="10"/>
  <c r="G2278" i="10" s="1"/>
  <c r="H2277" i="10"/>
  <c r="E2277" i="10"/>
  <c r="G2277" i="10" s="1"/>
  <c r="H2276" i="10"/>
  <c r="E2276" i="10"/>
  <c r="G2276" i="10" s="1"/>
  <c r="H2275" i="10"/>
  <c r="E2275" i="10"/>
  <c r="G2275" i="10" s="1"/>
  <c r="H2274" i="10"/>
  <c r="E2274" i="10"/>
  <c r="G2274" i="10" s="1"/>
  <c r="H2273" i="10"/>
  <c r="E2273" i="10"/>
  <c r="G2273" i="10" s="1"/>
  <c r="H2272" i="10"/>
  <c r="E2272" i="10"/>
  <c r="G2272" i="10" s="1"/>
  <c r="H2271" i="10"/>
  <c r="E2271" i="10"/>
  <c r="G2271" i="10" s="1"/>
  <c r="H2270" i="10"/>
  <c r="E2270" i="10"/>
  <c r="G2270" i="10" s="1"/>
  <c r="H2269" i="10"/>
  <c r="E2269" i="10"/>
  <c r="G2269" i="10" s="1"/>
  <c r="H2268" i="10"/>
  <c r="E2268" i="10"/>
  <c r="G2268" i="10" s="1"/>
  <c r="H2267" i="10"/>
  <c r="E2267" i="10"/>
  <c r="G2267" i="10" s="1"/>
  <c r="H2266" i="10"/>
  <c r="E2266" i="10"/>
  <c r="G2266" i="10" s="1"/>
  <c r="H2265" i="10"/>
  <c r="E2265" i="10"/>
  <c r="G2265" i="10" s="1"/>
  <c r="H2264" i="10"/>
  <c r="E2264" i="10"/>
  <c r="G2264" i="10" s="1"/>
  <c r="H2263" i="10"/>
  <c r="E2263" i="10"/>
  <c r="G2263" i="10" s="1"/>
  <c r="H2262" i="10"/>
  <c r="E2262" i="10"/>
  <c r="G2262" i="10" s="1"/>
  <c r="H2261" i="10"/>
  <c r="E2261" i="10"/>
  <c r="G2261" i="10" s="1"/>
  <c r="H2260" i="10"/>
  <c r="E2260" i="10"/>
  <c r="G2260" i="10" s="1"/>
  <c r="H2259" i="10"/>
  <c r="E2259" i="10"/>
  <c r="G2259" i="10" s="1"/>
  <c r="H2258" i="10"/>
  <c r="E2258" i="10"/>
  <c r="G2258" i="10" s="1"/>
  <c r="H2257" i="10"/>
  <c r="E2257" i="10"/>
  <c r="G2257" i="10" s="1"/>
  <c r="H2256" i="10"/>
  <c r="E2256" i="10"/>
  <c r="G2256" i="10" s="1"/>
  <c r="H2255" i="10"/>
  <c r="E2255" i="10"/>
  <c r="G2255" i="10" s="1"/>
  <c r="H2254" i="10"/>
  <c r="E2254" i="10"/>
  <c r="G2254" i="10" s="1"/>
  <c r="H2253" i="10"/>
  <c r="E2253" i="10"/>
  <c r="G2253" i="10" s="1"/>
  <c r="H2252" i="10"/>
  <c r="E2252" i="10"/>
  <c r="G2252" i="10" s="1"/>
  <c r="H2251" i="10"/>
  <c r="E2251" i="10"/>
  <c r="G2251" i="10" s="1"/>
  <c r="H2250" i="10"/>
  <c r="E2250" i="10"/>
  <c r="G2250" i="10" s="1"/>
  <c r="H2249" i="10"/>
  <c r="E2249" i="10"/>
  <c r="G2249" i="10" s="1"/>
  <c r="H2248" i="10"/>
  <c r="E2248" i="10"/>
  <c r="G2248" i="10" s="1"/>
  <c r="H2247" i="10"/>
  <c r="E2247" i="10"/>
  <c r="G2247" i="10" s="1"/>
  <c r="H2246" i="10"/>
  <c r="E2246" i="10"/>
  <c r="G2246" i="10" s="1"/>
  <c r="H2245" i="10"/>
  <c r="E2245" i="10"/>
  <c r="G2245" i="10" s="1"/>
  <c r="H2244" i="10"/>
  <c r="E2244" i="10"/>
  <c r="G2244" i="10" s="1"/>
  <c r="H2243" i="10"/>
  <c r="E2243" i="10"/>
  <c r="G2243" i="10" s="1"/>
  <c r="H2242" i="10"/>
  <c r="E2242" i="10"/>
  <c r="G2242" i="10" s="1"/>
  <c r="H2241" i="10"/>
  <c r="E2241" i="10"/>
  <c r="G2241" i="10" s="1"/>
  <c r="H2240" i="10"/>
  <c r="E2240" i="10"/>
  <c r="G2240" i="10" s="1"/>
  <c r="H2239" i="10"/>
  <c r="E2239" i="10"/>
  <c r="G2239" i="10" s="1"/>
  <c r="H2238" i="10"/>
  <c r="E2238" i="10"/>
  <c r="G2238" i="10" s="1"/>
  <c r="H2237" i="10"/>
  <c r="E2237" i="10"/>
  <c r="G2237" i="10" s="1"/>
  <c r="H2236" i="10"/>
  <c r="E2236" i="10"/>
  <c r="G2236" i="10" s="1"/>
  <c r="H2235" i="10"/>
  <c r="E2235" i="10"/>
  <c r="G2235" i="10" s="1"/>
  <c r="H2234" i="10"/>
  <c r="E2234" i="10"/>
  <c r="G2234" i="10" s="1"/>
  <c r="H2233" i="10"/>
  <c r="E2233" i="10"/>
  <c r="G2233" i="10" s="1"/>
  <c r="H2232" i="10"/>
  <c r="E2232" i="10"/>
  <c r="G2232" i="10" s="1"/>
  <c r="H2231" i="10"/>
  <c r="E2231" i="10"/>
  <c r="G2231" i="10" s="1"/>
  <c r="H2230" i="10"/>
  <c r="E2230" i="10"/>
  <c r="G2230" i="10" s="1"/>
  <c r="H2229" i="10"/>
  <c r="E2229" i="10"/>
  <c r="G2229" i="10" s="1"/>
  <c r="H2228" i="10"/>
  <c r="E2228" i="10"/>
  <c r="G2228" i="10" s="1"/>
  <c r="H2227" i="10"/>
  <c r="E2227" i="10"/>
  <c r="G2227" i="10" s="1"/>
  <c r="H2226" i="10"/>
  <c r="E2226" i="10"/>
  <c r="G2226" i="10" s="1"/>
  <c r="H2225" i="10"/>
  <c r="E2225" i="10"/>
  <c r="G2225" i="10" s="1"/>
  <c r="H2224" i="10"/>
  <c r="E2224" i="10"/>
  <c r="G2224" i="10" s="1"/>
  <c r="H2223" i="10"/>
  <c r="E2223" i="10"/>
  <c r="G2223" i="10" s="1"/>
  <c r="H2222" i="10"/>
  <c r="E2222" i="10"/>
  <c r="G2222" i="10" s="1"/>
  <c r="H2221" i="10"/>
  <c r="E2221" i="10"/>
  <c r="G2221" i="10" s="1"/>
  <c r="H2220" i="10"/>
  <c r="E2220" i="10"/>
  <c r="G2220" i="10" s="1"/>
  <c r="H2219" i="10"/>
  <c r="E2219" i="10"/>
  <c r="G2219" i="10" s="1"/>
  <c r="H2218" i="10"/>
  <c r="E2218" i="10"/>
  <c r="G2218" i="10" s="1"/>
  <c r="H2217" i="10"/>
  <c r="E2217" i="10"/>
  <c r="G2217" i="10" s="1"/>
  <c r="H2216" i="10"/>
  <c r="E2216" i="10"/>
  <c r="G2216" i="10" s="1"/>
  <c r="H2215" i="10"/>
  <c r="E2215" i="10"/>
  <c r="G2215" i="10" s="1"/>
  <c r="H2214" i="10"/>
  <c r="E2214" i="10"/>
  <c r="G2214" i="10" s="1"/>
  <c r="H2213" i="10"/>
  <c r="E2213" i="10"/>
  <c r="G2213" i="10" s="1"/>
  <c r="H2212" i="10"/>
  <c r="E2212" i="10"/>
  <c r="G2212" i="10" s="1"/>
  <c r="H2211" i="10"/>
  <c r="E2211" i="10"/>
  <c r="G2211" i="10" s="1"/>
  <c r="H2210" i="10"/>
  <c r="E2210" i="10"/>
  <c r="G2210" i="10" s="1"/>
  <c r="H2209" i="10"/>
  <c r="E2209" i="10"/>
  <c r="G2209" i="10" s="1"/>
  <c r="H2208" i="10"/>
  <c r="E2208" i="10"/>
  <c r="G2208" i="10" s="1"/>
  <c r="H2207" i="10"/>
  <c r="E2207" i="10"/>
  <c r="G2207" i="10" s="1"/>
  <c r="H2206" i="10"/>
  <c r="E2206" i="10"/>
  <c r="G2206" i="10" s="1"/>
  <c r="H2205" i="10"/>
  <c r="E2205" i="10"/>
  <c r="G2205" i="10" s="1"/>
  <c r="H2204" i="10"/>
  <c r="E2204" i="10"/>
  <c r="G2204" i="10" s="1"/>
  <c r="H2203" i="10"/>
  <c r="E2203" i="10"/>
  <c r="G2203" i="10" s="1"/>
  <c r="H2202" i="10"/>
  <c r="E2202" i="10"/>
  <c r="G2202" i="10" s="1"/>
  <c r="H2201" i="10"/>
  <c r="E2201" i="10"/>
  <c r="G2201" i="10" s="1"/>
  <c r="H2200" i="10"/>
  <c r="E2200" i="10"/>
  <c r="G2200" i="10" s="1"/>
  <c r="H2199" i="10"/>
  <c r="E2199" i="10"/>
  <c r="G2199" i="10" s="1"/>
  <c r="H2198" i="10"/>
  <c r="E2198" i="10"/>
  <c r="G2198" i="10" s="1"/>
  <c r="H2197" i="10"/>
  <c r="E2197" i="10"/>
  <c r="G2197" i="10" s="1"/>
  <c r="H2196" i="10"/>
  <c r="E2196" i="10"/>
  <c r="G2196" i="10" s="1"/>
  <c r="H2195" i="10"/>
  <c r="E2195" i="10"/>
  <c r="G2195" i="10" s="1"/>
  <c r="H2194" i="10"/>
  <c r="E2194" i="10"/>
  <c r="G2194" i="10" s="1"/>
  <c r="H2193" i="10"/>
  <c r="E2193" i="10"/>
  <c r="G2193" i="10" s="1"/>
  <c r="H2192" i="10"/>
  <c r="E2192" i="10"/>
  <c r="G2192" i="10" s="1"/>
  <c r="H2191" i="10"/>
  <c r="E2191" i="10"/>
  <c r="G2191" i="10" s="1"/>
  <c r="H2190" i="10"/>
  <c r="E2190" i="10"/>
  <c r="G2190" i="10" s="1"/>
  <c r="H2189" i="10"/>
  <c r="E2189" i="10"/>
  <c r="G2189" i="10" s="1"/>
  <c r="H2188" i="10"/>
  <c r="E2188" i="10"/>
  <c r="G2188" i="10" s="1"/>
  <c r="H2187" i="10"/>
  <c r="E2187" i="10"/>
  <c r="G2187" i="10" s="1"/>
  <c r="H2186" i="10"/>
  <c r="E2186" i="10"/>
  <c r="G2186" i="10" s="1"/>
  <c r="H2185" i="10"/>
  <c r="E2185" i="10"/>
  <c r="G2185" i="10" s="1"/>
  <c r="H2184" i="10"/>
  <c r="E2184" i="10"/>
  <c r="G2184" i="10" s="1"/>
  <c r="H2183" i="10"/>
  <c r="E2183" i="10"/>
  <c r="G2183" i="10" s="1"/>
  <c r="H2182" i="10"/>
  <c r="E2182" i="10"/>
  <c r="G2182" i="10" s="1"/>
  <c r="H2181" i="10"/>
  <c r="E2181" i="10"/>
  <c r="G2181" i="10" s="1"/>
  <c r="H2180" i="10"/>
  <c r="E2180" i="10"/>
  <c r="G2180" i="10" s="1"/>
  <c r="H2179" i="10"/>
  <c r="E2179" i="10"/>
  <c r="G2179" i="10" s="1"/>
  <c r="H2178" i="10"/>
  <c r="E2178" i="10"/>
  <c r="G2178" i="10" s="1"/>
  <c r="H2177" i="10"/>
  <c r="E2177" i="10"/>
  <c r="G2177" i="10" s="1"/>
  <c r="H2176" i="10"/>
  <c r="E2176" i="10"/>
  <c r="G2176" i="10" s="1"/>
  <c r="H2175" i="10"/>
  <c r="E2175" i="10"/>
  <c r="G2175" i="10" s="1"/>
  <c r="H2174" i="10"/>
  <c r="E2174" i="10"/>
  <c r="G2174" i="10" s="1"/>
  <c r="H2173" i="10"/>
  <c r="E2173" i="10"/>
  <c r="G2173" i="10" s="1"/>
  <c r="H2172" i="10"/>
  <c r="E2172" i="10"/>
  <c r="G2172" i="10" s="1"/>
  <c r="H2171" i="10"/>
  <c r="E2171" i="10"/>
  <c r="G2171" i="10" s="1"/>
  <c r="H2170" i="10"/>
  <c r="E2170" i="10"/>
  <c r="G2170" i="10" s="1"/>
  <c r="H2169" i="10"/>
  <c r="E2169" i="10"/>
  <c r="G2169" i="10" s="1"/>
  <c r="H2168" i="10"/>
  <c r="E2168" i="10"/>
  <c r="G2168" i="10" s="1"/>
  <c r="H2167" i="10"/>
  <c r="E2167" i="10"/>
  <c r="G2167" i="10" s="1"/>
  <c r="H2166" i="10"/>
  <c r="E2166" i="10"/>
  <c r="G2166" i="10" s="1"/>
  <c r="H2165" i="10"/>
  <c r="E2165" i="10"/>
  <c r="G2165" i="10" s="1"/>
  <c r="H2164" i="10"/>
  <c r="E2164" i="10"/>
  <c r="G2164" i="10" s="1"/>
  <c r="H2163" i="10"/>
  <c r="E2163" i="10"/>
  <c r="G2163" i="10" s="1"/>
  <c r="H2162" i="10"/>
  <c r="E2162" i="10"/>
  <c r="G2162" i="10" s="1"/>
  <c r="H2161" i="10"/>
  <c r="E2161" i="10"/>
  <c r="G2161" i="10" s="1"/>
  <c r="H2160" i="10"/>
  <c r="E2160" i="10"/>
  <c r="G2160" i="10" s="1"/>
  <c r="H2159" i="10"/>
  <c r="E2159" i="10"/>
  <c r="G2159" i="10" s="1"/>
  <c r="H2158" i="10"/>
  <c r="E2158" i="10"/>
  <c r="G2158" i="10" s="1"/>
  <c r="H2157" i="10"/>
  <c r="E2157" i="10"/>
  <c r="G2157" i="10" s="1"/>
  <c r="H2156" i="10"/>
  <c r="E2156" i="10"/>
  <c r="G2156" i="10" s="1"/>
  <c r="H2155" i="10"/>
  <c r="E2155" i="10"/>
  <c r="G2155" i="10" s="1"/>
  <c r="H2154" i="10"/>
  <c r="E2154" i="10"/>
  <c r="G2154" i="10" s="1"/>
  <c r="H2153" i="10"/>
  <c r="E2153" i="10"/>
  <c r="G2153" i="10" s="1"/>
  <c r="H2152" i="10"/>
  <c r="E2152" i="10"/>
  <c r="G2152" i="10" s="1"/>
  <c r="H2151" i="10"/>
  <c r="E2151" i="10"/>
  <c r="G2151" i="10" s="1"/>
  <c r="H2150" i="10"/>
  <c r="E2150" i="10"/>
  <c r="G2150" i="10" s="1"/>
  <c r="H2149" i="10"/>
  <c r="E2149" i="10"/>
  <c r="G2149" i="10" s="1"/>
  <c r="H2148" i="10"/>
  <c r="E2148" i="10"/>
  <c r="G2148" i="10" s="1"/>
  <c r="H2147" i="10"/>
  <c r="E2147" i="10"/>
  <c r="G2147" i="10" s="1"/>
  <c r="H2146" i="10"/>
  <c r="E2146" i="10"/>
  <c r="G2146" i="10" s="1"/>
  <c r="H2145" i="10"/>
  <c r="E2145" i="10"/>
  <c r="G2145" i="10" s="1"/>
  <c r="H2144" i="10"/>
  <c r="E2144" i="10"/>
  <c r="G2144" i="10" s="1"/>
  <c r="H2143" i="10"/>
  <c r="E2143" i="10"/>
  <c r="G2143" i="10" s="1"/>
  <c r="H2142" i="10"/>
  <c r="E2142" i="10"/>
  <c r="G2142" i="10" s="1"/>
  <c r="H2141" i="10"/>
  <c r="E2141" i="10"/>
  <c r="G2141" i="10" s="1"/>
  <c r="H2140" i="10"/>
  <c r="E2140" i="10"/>
  <c r="G2140" i="10" s="1"/>
  <c r="H2139" i="10"/>
  <c r="E2139" i="10"/>
  <c r="G2139" i="10" s="1"/>
  <c r="H2138" i="10"/>
  <c r="E2138" i="10"/>
  <c r="G2138" i="10" s="1"/>
  <c r="H2137" i="10"/>
  <c r="E2137" i="10"/>
  <c r="G2137" i="10" s="1"/>
  <c r="H2136" i="10"/>
  <c r="E2136" i="10"/>
  <c r="G2136" i="10" s="1"/>
  <c r="H2135" i="10"/>
  <c r="E2135" i="10"/>
  <c r="G2135" i="10" s="1"/>
  <c r="H2134" i="10"/>
  <c r="E2134" i="10"/>
  <c r="G2134" i="10" s="1"/>
  <c r="H2133" i="10"/>
  <c r="E2133" i="10"/>
  <c r="G2133" i="10" s="1"/>
  <c r="H2132" i="10"/>
  <c r="E2132" i="10"/>
  <c r="G2132" i="10" s="1"/>
  <c r="H2131" i="10"/>
  <c r="E2131" i="10"/>
  <c r="G2131" i="10" s="1"/>
  <c r="H2130" i="10"/>
  <c r="E2130" i="10"/>
  <c r="G2130" i="10" s="1"/>
  <c r="H2129" i="10"/>
  <c r="E2129" i="10"/>
  <c r="G2129" i="10" s="1"/>
  <c r="H2128" i="10"/>
  <c r="E2128" i="10"/>
  <c r="G2128" i="10" s="1"/>
  <c r="H2127" i="10"/>
  <c r="E2127" i="10"/>
  <c r="G2127" i="10" s="1"/>
  <c r="H2126" i="10"/>
  <c r="E2126" i="10"/>
  <c r="G2126" i="10" s="1"/>
  <c r="H2125" i="10"/>
  <c r="E2125" i="10"/>
  <c r="G2125" i="10" s="1"/>
  <c r="H2124" i="10"/>
  <c r="E2124" i="10"/>
  <c r="G2124" i="10" s="1"/>
  <c r="H2123" i="10"/>
  <c r="E2123" i="10"/>
  <c r="G2123" i="10" s="1"/>
  <c r="H2122" i="10"/>
  <c r="E2122" i="10"/>
  <c r="G2122" i="10" s="1"/>
  <c r="H2121" i="10"/>
  <c r="E2121" i="10"/>
  <c r="G2121" i="10" s="1"/>
  <c r="H2120" i="10"/>
  <c r="E2120" i="10"/>
  <c r="G2120" i="10" s="1"/>
  <c r="H2119" i="10"/>
  <c r="E2119" i="10"/>
  <c r="G2119" i="10" s="1"/>
  <c r="H2118" i="10"/>
  <c r="E2118" i="10"/>
  <c r="G2118" i="10" s="1"/>
  <c r="H2117" i="10"/>
  <c r="E2117" i="10"/>
  <c r="G2117" i="10" s="1"/>
  <c r="H2116" i="10"/>
  <c r="E2116" i="10"/>
  <c r="G2116" i="10" s="1"/>
  <c r="H2115" i="10"/>
  <c r="E2115" i="10"/>
  <c r="G2115" i="10" s="1"/>
  <c r="H2114" i="10"/>
  <c r="E2114" i="10"/>
  <c r="G2114" i="10" s="1"/>
  <c r="H2113" i="10"/>
  <c r="E2113" i="10"/>
  <c r="G2113" i="10" s="1"/>
  <c r="H2112" i="10"/>
  <c r="E2112" i="10"/>
  <c r="G2112" i="10" s="1"/>
  <c r="H2111" i="10"/>
  <c r="E2111" i="10"/>
  <c r="G2111" i="10" s="1"/>
  <c r="H2110" i="10"/>
  <c r="E2110" i="10"/>
  <c r="G2110" i="10" s="1"/>
  <c r="H2109" i="10"/>
  <c r="E2109" i="10"/>
  <c r="G2109" i="10" s="1"/>
  <c r="H2108" i="10"/>
  <c r="E2108" i="10"/>
  <c r="G2108" i="10" s="1"/>
  <c r="H2107" i="10"/>
  <c r="E2107" i="10"/>
  <c r="G2107" i="10" s="1"/>
  <c r="H2106" i="10"/>
  <c r="E2106" i="10"/>
  <c r="G2106" i="10" s="1"/>
  <c r="H2105" i="10"/>
  <c r="E2105" i="10"/>
  <c r="G2105" i="10" s="1"/>
  <c r="H2104" i="10"/>
  <c r="E2104" i="10"/>
  <c r="G2104" i="10" s="1"/>
  <c r="H2103" i="10"/>
  <c r="E2103" i="10"/>
  <c r="G2103" i="10" s="1"/>
  <c r="H2102" i="10"/>
  <c r="E2102" i="10"/>
  <c r="G2102" i="10" s="1"/>
  <c r="H2101" i="10"/>
  <c r="E2101" i="10"/>
  <c r="G2101" i="10" s="1"/>
  <c r="H2100" i="10"/>
  <c r="E2100" i="10"/>
  <c r="G2100" i="10" s="1"/>
  <c r="H2099" i="10"/>
  <c r="E2099" i="10"/>
  <c r="G2099" i="10" s="1"/>
  <c r="H2098" i="10"/>
  <c r="E2098" i="10"/>
  <c r="G2098" i="10" s="1"/>
  <c r="H2097" i="10"/>
  <c r="E2097" i="10"/>
  <c r="G2097" i="10" s="1"/>
  <c r="H2096" i="10"/>
  <c r="E2096" i="10"/>
  <c r="G2096" i="10" s="1"/>
  <c r="H2095" i="10"/>
  <c r="E2095" i="10"/>
  <c r="G2095" i="10" s="1"/>
  <c r="H2094" i="10"/>
  <c r="E2094" i="10"/>
  <c r="G2094" i="10" s="1"/>
  <c r="H2093" i="10"/>
  <c r="E2093" i="10"/>
  <c r="G2093" i="10" s="1"/>
  <c r="H2092" i="10"/>
  <c r="E2092" i="10"/>
  <c r="G2092" i="10" s="1"/>
  <c r="H2091" i="10"/>
  <c r="E2091" i="10"/>
  <c r="G2091" i="10" s="1"/>
  <c r="H2090" i="10"/>
  <c r="E2090" i="10"/>
  <c r="G2090" i="10" s="1"/>
  <c r="H2089" i="10"/>
  <c r="E2089" i="10"/>
  <c r="G2089" i="10" s="1"/>
  <c r="H2088" i="10"/>
  <c r="E2088" i="10"/>
  <c r="G2088" i="10" s="1"/>
  <c r="H2087" i="10"/>
  <c r="E2087" i="10"/>
  <c r="G2087" i="10" s="1"/>
  <c r="H2086" i="10"/>
  <c r="E2086" i="10"/>
  <c r="G2086" i="10" s="1"/>
  <c r="H2085" i="10"/>
  <c r="E2085" i="10"/>
  <c r="G2085" i="10" s="1"/>
  <c r="H2084" i="10"/>
  <c r="E2084" i="10"/>
  <c r="G2084" i="10" s="1"/>
  <c r="H2083" i="10"/>
  <c r="E2083" i="10"/>
  <c r="G2083" i="10" s="1"/>
  <c r="H2082" i="10"/>
  <c r="E2082" i="10"/>
  <c r="G2082" i="10" s="1"/>
  <c r="H2081" i="10"/>
  <c r="E2081" i="10"/>
  <c r="G2081" i="10" s="1"/>
  <c r="H2080" i="10"/>
  <c r="E2080" i="10"/>
  <c r="G2080" i="10" s="1"/>
  <c r="H2079" i="10"/>
  <c r="E2079" i="10"/>
  <c r="G2079" i="10" s="1"/>
  <c r="H2078" i="10"/>
  <c r="E2078" i="10"/>
  <c r="G2078" i="10" s="1"/>
  <c r="H2077" i="10"/>
  <c r="E2077" i="10"/>
  <c r="G2077" i="10" s="1"/>
  <c r="H2076" i="10"/>
  <c r="E2076" i="10"/>
  <c r="G2076" i="10" s="1"/>
  <c r="H2075" i="10"/>
  <c r="E2075" i="10"/>
  <c r="G2075" i="10" s="1"/>
  <c r="H2074" i="10"/>
  <c r="E2074" i="10"/>
  <c r="G2074" i="10" s="1"/>
  <c r="H2073" i="10"/>
  <c r="E2073" i="10"/>
  <c r="G2073" i="10" s="1"/>
  <c r="H2072" i="10"/>
  <c r="E2072" i="10"/>
  <c r="G2072" i="10" s="1"/>
  <c r="H2071" i="10"/>
  <c r="E2071" i="10"/>
  <c r="G2071" i="10" s="1"/>
  <c r="H2070" i="10"/>
  <c r="E2070" i="10"/>
  <c r="G2070" i="10" s="1"/>
  <c r="H2069" i="10"/>
  <c r="E2069" i="10"/>
  <c r="G2069" i="10" s="1"/>
  <c r="H2068" i="10"/>
  <c r="E2068" i="10"/>
  <c r="G2068" i="10" s="1"/>
  <c r="H2067" i="10"/>
  <c r="E2067" i="10"/>
  <c r="G2067" i="10" s="1"/>
  <c r="H2066" i="10"/>
  <c r="E2066" i="10"/>
  <c r="G2066" i="10" s="1"/>
  <c r="H2065" i="10"/>
  <c r="E2065" i="10"/>
  <c r="G2065" i="10" s="1"/>
  <c r="H2064" i="10"/>
  <c r="E2064" i="10"/>
  <c r="G2064" i="10" s="1"/>
  <c r="H2063" i="10"/>
  <c r="E2063" i="10"/>
  <c r="G2063" i="10" s="1"/>
  <c r="H2062" i="10"/>
  <c r="E2062" i="10"/>
  <c r="G2062" i="10" s="1"/>
  <c r="H2061" i="10"/>
  <c r="E2061" i="10"/>
  <c r="G2061" i="10" s="1"/>
  <c r="H2060" i="10"/>
  <c r="E2060" i="10"/>
  <c r="G2060" i="10" s="1"/>
  <c r="H2059" i="10"/>
  <c r="E2059" i="10"/>
  <c r="G2059" i="10" s="1"/>
  <c r="H2058" i="10"/>
  <c r="E2058" i="10"/>
  <c r="G2058" i="10" s="1"/>
  <c r="H2057" i="10"/>
  <c r="E2057" i="10"/>
  <c r="G2057" i="10" s="1"/>
  <c r="H2056" i="10"/>
  <c r="E2056" i="10"/>
  <c r="G2056" i="10" s="1"/>
  <c r="H2055" i="10"/>
  <c r="E2055" i="10"/>
  <c r="G2055" i="10" s="1"/>
  <c r="H2054" i="10"/>
  <c r="E2054" i="10"/>
  <c r="G2054" i="10" s="1"/>
  <c r="H2053" i="10"/>
  <c r="E2053" i="10"/>
  <c r="G2053" i="10" s="1"/>
  <c r="H2052" i="10"/>
  <c r="E2052" i="10"/>
  <c r="G2052" i="10" s="1"/>
  <c r="H2051" i="10"/>
  <c r="E2051" i="10"/>
  <c r="G2051" i="10" s="1"/>
  <c r="H2050" i="10"/>
  <c r="E2050" i="10"/>
  <c r="G2050" i="10" s="1"/>
  <c r="H2049" i="10"/>
  <c r="E2049" i="10"/>
  <c r="G2049" i="10" s="1"/>
  <c r="H2048" i="10"/>
  <c r="E2048" i="10"/>
  <c r="G2048" i="10" s="1"/>
  <c r="H2047" i="10"/>
  <c r="E2047" i="10"/>
  <c r="G2047" i="10" s="1"/>
  <c r="H2046" i="10"/>
  <c r="E2046" i="10"/>
  <c r="G2046" i="10" s="1"/>
  <c r="H2045" i="10"/>
  <c r="E2045" i="10"/>
  <c r="G2045" i="10" s="1"/>
  <c r="H2044" i="10"/>
  <c r="E2044" i="10"/>
  <c r="G2044" i="10" s="1"/>
  <c r="H2043" i="10"/>
  <c r="E2043" i="10"/>
  <c r="G2043" i="10" s="1"/>
  <c r="H2042" i="10"/>
  <c r="E2042" i="10"/>
  <c r="G2042" i="10" s="1"/>
  <c r="H2041" i="10"/>
  <c r="E2041" i="10"/>
  <c r="G2041" i="10" s="1"/>
  <c r="H2040" i="10"/>
  <c r="E2040" i="10"/>
  <c r="G2040" i="10" s="1"/>
  <c r="H2039" i="10"/>
  <c r="E2039" i="10"/>
  <c r="G2039" i="10" s="1"/>
  <c r="H2038" i="10"/>
  <c r="E2038" i="10"/>
  <c r="G2038" i="10" s="1"/>
  <c r="H2037" i="10"/>
  <c r="E2037" i="10"/>
  <c r="G2037" i="10" s="1"/>
  <c r="H2036" i="10"/>
  <c r="E2036" i="10"/>
  <c r="G2036" i="10" s="1"/>
  <c r="H2035" i="10"/>
  <c r="E2035" i="10"/>
  <c r="G2035" i="10" s="1"/>
  <c r="H2034" i="10"/>
  <c r="E2034" i="10"/>
  <c r="G2034" i="10" s="1"/>
  <c r="H2033" i="10"/>
  <c r="E2033" i="10"/>
  <c r="G2033" i="10" s="1"/>
  <c r="H2032" i="10"/>
  <c r="E2032" i="10"/>
  <c r="G2032" i="10" s="1"/>
  <c r="H2031" i="10"/>
  <c r="E2031" i="10"/>
  <c r="G2031" i="10" s="1"/>
  <c r="H2030" i="10"/>
  <c r="E2030" i="10"/>
  <c r="G2030" i="10" s="1"/>
  <c r="H2029" i="10"/>
  <c r="E2029" i="10"/>
  <c r="G2029" i="10" s="1"/>
  <c r="H2028" i="10"/>
  <c r="E2028" i="10"/>
  <c r="G2028" i="10" s="1"/>
  <c r="H2027" i="10"/>
  <c r="E2027" i="10"/>
  <c r="G2027" i="10" s="1"/>
  <c r="H2026" i="10"/>
  <c r="E2026" i="10"/>
  <c r="G2026" i="10" s="1"/>
  <c r="H2025" i="10"/>
  <c r="E2025" i="10"/>
  <c r="G2025" i="10" s="1"/>
  <c r="H2024" i="10"/>
  <c r="E2024" i="10"/>
  <c r="G2024" i="10" s="1"/>
  <c r="H2023" i="10"/>
  <c r="E2023" i="10"/>
  <c r="G2023" i="10" s="1"/>
  <c r="H2022" i="10"/>
  <c r="E2022" i="10"/>
  <c r="G2022" i="10" s="1"/>
  <c r="H2021" i="10"/>
  <c r="E2021" i="10"/>
  <c r="G2021" i="10" s="1"/>
  <c r="H2020" i="10"/>
  <c r="E2020" i="10"/>
  <c r="G2020" i="10" s="1"/>
  <c r="H2019" i="10"/>
  <c r="E2019" i="10"/>
  <c r="G2019" i="10" s="1"/>
  <c r="H2018" i="10"/>
  <c r="E2018" i="10"/>
  <c r="G2018" i="10" s="1"/>
  <c r="H2017" i="10"/>
  <c r="E2017" i="10"/>
  <c r="G2017" i="10" s="1"/>
  <c r="H2016" i="10"/>
  <c r="E2016" i="10"/>
  <c r="G2016" i="10" s="1"/>
  <c r="H2015" i="10"/>
  <c r="E2015" i="10"/>
  <c r="G2015" i="10" s="1"/>
  <c r="H2014" i="10"/>
  <c r="E2014" i="10"/>
  <c r="G2014" i="10" s="1"/>
  <c r="H2013" i="10"/>
  <c r="E2013" i="10"/>
  <c r="G2013" i="10" s="1"/>
  <c r="H2012" i="10"/>
  <c r="E2012" i="10"/>
  <c r="G2012" i="10" s="1"/>
  <c r="H2011" i="10"/>
  <c r="E2011" i="10"/>
  <c r="G2011" i="10" s="1"/>
  <c r="H2010" i="10"/>
  <c r="E2010" i="10"/>
  <c r="G2010" i="10" s="1"/>
  <c r="H2009" i="10"/>
  <c r="E2009" i="10"/>
  <c r="G2009" i="10" s="1"/>
  <c r="H2008" i="10"/>
  <c r="E2008" i="10"/>
  <c r="G2008" i="10" s="1"/>
  <c r="H2007" i="10"/>
  <c r="E2007" i="10"/>
  <c r="G2007" i="10" s="1"/>
  <c r="H2006" i="10"/>
  <c r="E2006" i="10"/>
  <c r="G2006" i="10" s="1"/>
  <c r="H2005" i="10"/>
  <c r="E2005" i="10"/>
  <c r="G2005" i="10" s="1"/>
  <c r="H2004" i="10"/>
  <c r="E2004" i="10"/>
  <c r="G2004" i="10" s="1"/>
  <c r="H2003" i="10"/>
  <c r="E2003" i="10"/>
  <c r="G2003" i="10" s="1"/>
  <c r="H2002" i="10"/>
  <c r="E2002" i="10"/>
  <c r="G2002" i="10" s="1"/>
  <c r="H2001" i="10"/>
  <c r="E2001" i="10"/>
  <c r="G2001" i="10" s="1"/>
  <c r="H2000" i="10"/>
  <c r="E2000" i="10"/>
  <c r="G2000" i="10" s="1"/>
  <c r="H1999" i="10"/>
  <c r="E1999" i="10"/>
  <c r="G1999" i="10" s="1"/>
  <c r="H1998" i="10"/>
  <c r="E1998" i="10"/>
  <c r="G1998" i="10" s="1"/>
  <c r="H1997" i="10"/>
  <c r="E1997" i="10"/>
  <c r="G1997" i="10" s="1"/>
  <c r="H1996" i="10"/>
  <c r="E1996" i="10"/>
  <c r="G1996" i="10" s="1"/>
  <c r="H1995" i="10"/>
  <c r="E1995" i="10"/>
  <c r="G1995" i="10" s="1"/>
  <c r="H1994" i="10"/>
  <c r="E1994" i="10"/>
  <c r="G1994" i="10" s="1"/>
  <c r="H1993" i="10"/>
  <c r="E1993" i="10"/>
  <c r="G1993" i="10" s="1"/>
  <c r="H1992" i="10"/>
  <c r="E1992" i="10"/>
  <c r="G1992" i="10" s="1"/>
  <c r="H1991" i="10"/>
  <c r="E1991" i="10"/>
  <c r="G1991" i="10" s="1"/>
  <c r="H1990" i="10"/>
  <c r="E1990" i="10"/>
  <c r="G1990" i="10" s="1"/>
  <c r="H1989" i="10"/>
  <c r="E1989" i="10"/>
  <c r="G1989" i="10" s="1"/>
  <c r="H1988" i="10"/>
  <c r="E1988" i="10"/>
  <c r="G1988" i="10" s="1"/>
  <c r="H1987" i="10"/>
  <c r="E1987" i="10"/>
  <c r="G1987" i="10" s="1"/>
  <c r="H1986" i="10"/>
  <c r="E1986" i="10"/>
  <c r="G1986" i="10" s="1"/>
  <c r="H1985" i="10"/>
  <c r="E1985" i="10"/>
  <c r="G1985" i="10" s="1"/>
  <c r="H1984" i="10"/>
  <c r="E1984" i="10"/>
  <c r="G1984" i="10" s="1"/>
  <c r="H1983" i="10"/>
  <c r="E1983" i="10"/>
  <c r="G1983" i="10" s="1"/>
  <c r="H1982" i="10"/>
  <c r="E1982" i="10"/>
  <c r="G1982" i="10" s="1"/>
  <c r="H1981" i="10"/>
  <c r="E1981" i="10"/>
  <c r="G1981" i="10" s="1"/>
  <c r="H1980" i="10"/>
  <c r="E1980" i="10"/>
  <c r="G1980" i="10" s="1"/>
  <c r="H1979" i="10"/>
  <c r="E1979" i="10"/>
  <c r="G1979" i="10" s="1"/>
  <c r="H1978" i="10"/>
  <c r="E1978" i="10"/>
  <c r="G1978" i="10" s="1"/>
  <c r="H1977" i="10"/>
  <c r="E1977" i="10"/>
  <c r="G1977" i="10" s="1"/>
  <c r="H1976" i="10"/>
  <c r="E1976" i="10"/>
  <c r="G1976" i="10" s="1"/>
  <c r="H1975" i="10"/>
  <c r="E1975" i="10"/>
  <c r="G1975" i="10" s="1"/>
  <c r="H1974" i="10"/>
  <c r="E1974" i="10"/>
  <c r="G1974" i="10" s="1"/>
  <c r="H1973" i="10"/>
  <c r="E1973" i="10"/>
  <c r="G1973" i="10" s="1"/>
  <c r="H1972" i="10"/>
  <c r="E1972" i="10"/>
  <c r="G1972" i="10" s="1"/>
  <c r="H1971" i="10"/>
  <c r="E1971" i="10"/>
  <c r="G1971" i="10" s="1"/>
  <c r="H1970" i="10"/>
  <c r="E1970" i="10"/>
  <c r="G1970" i="10" s="1"/>
  <c r="H1969" i="10"/>
  <c r="E1969" i="10"/>
  <c r="G1969" i="10" s="1"/>
  <c r="H1968" i="10"/>
  <c r="E1968" i="10"/>
  <c r="G1968" i="10" s="1"/>
  <c r="H1967" i="10"/>
  <c r="E1967" i="10"/>
  <c r="G1967" i="10" s="1"/>
  <c r="H1966" i="10"/>
  <c r="E1966" i="10"/>
  <c r="G1966" i="10" s="1"/>
  <c r="H1965" i="10"/>
  <c r="E1965" i="10"/>
  <c r="G1965" i="10" s="1"/>
  <c r="H1964" i="10"/>
  <c r="E1964" i="10"/>
  <c r="G1964" i="10" s="1"/>
  <c r="H1963" i="10"/>
  <c r="E1963" i="10"/>
  <c r="G1963" i="10" s="1"/>
  <c r="H1962" i="10"/>
  <c r="E1962" i="10"/>
  <c r="G1962" i="10" s="1"/>
  <c r="H1961" i="10"/>
  <c r="E1961" i="10"/>
  <c r="G1961" i="10" s="1"/>
  <c r="H1960" i="10"/>
  <c r="E1960" i="10"/>
  <c r="G1960" i="10" s="1"/>
  <c r="H1959" i="10"/>
  <c r="E1959" i="10"/>
  <c r="G1959" i="10" s="1"/>
  <c r="H1958" i="10"/>
  <c r="E1958" i="10"/>
  <c r="G1958" i="10" s="1"/>
  <c r="H1957" i="10"/>
  <c r="E1957" i="10"/>
  <c r="G1957" i="10" s="1"/>
  <c r="H1956" i="10"/>
  <c r="E1956" i="10"/>
  <c r="G1956" i="10" s="1"/>
  <c r="H1955" i="10"/>
  <c r="E1955" i="10"/>
  <c r="G1955" i="10" s="1"/>
  <c r="H1954" i="10"/>
  <c r="E1954" i="10"/>
  <c r="G1954" i="10" s="1"/>
  <c r="H1953" i="10"/>
  <c r="E1953" i="10"/>
  <c r="G1953" i="10" s="1"/>
  <c r="H1952" i="10"/>
  <c r="E1952" i="10"/>
  <c r="G1952" i="10" s="1"/>
  <c r="H1951" i="10"/>
  <c r="E1951" i="10"/>
  <c r="G1951" i="10" s="1"/>
  <c r="H1950" i="10"/>
  <c r="E1950" i="10"/>
  <c r="G1950" i="10" s="1"/>
  <c r="H1949" i="10"/>
  <c r="E1949" i="10"/>
  <c r="G1949" i="10" s="1"/>
  <c r="H1948" i="10"/>
  <c r="E1948" i="10"/>
  <c r="G1948" i="10" s="1"/>
  <c r="H1947" i="10"/>
  <c r="E1947" i="10"/>
  <c r="G1947" i="10" s="1"/>
  <c r="H1946" i="10"/>
  <c r="E1946" i="10"/>
  <c r="G1946" i="10" s="1"/>
  <c r="H1945" i="10"/>
  <c r="E1945" i="10"/>
  <c r="G1945" i="10" s="1"/>
  <c r="H1944" i="10"/>
  <c r="E1944" i="10"/>
  <c r="G1944" i="10" s="1"/>
  <c r="H1943" i="10"/>
  <c r="E1943" i="10"/>
  <c r="G1943" i="10" s="1"/>
  <c r="H1942" i="10"/>
  <c r="E1942" i="10"/>
  <c r="G1942" i="10" s="1"/>
  <c r="H1941" i="10"/>
  <c r="E1941" i="10"/>
  <c r="G1941" i="10" s="1"/>
  <c r="H1940" i="10"/>
  <c r="E1940" i="10"/>
  <c r="G1940" i="10" s="1"/>
  <c r="H1939" i="10"/>
  <c r="E1939" i="10"/>
  <c r="G1939" i="10" s="1"/>
  <c r="H1938" i="10"/>
  <c r="E1938" i="10"/>
  <c r="G1938" i="10" s="1"/>
  <c r="H1937" i="10"/>
  <c r="E1937" i="10"/>
  <c r="G1937" i="10" s="1"/>
  <c r="H1936" i="10"/>
  <c r="E1936" i="10"/>
  <c r="G1936" i="10" s="1"/>
  <c r="H1935" i="10"/>
  <c r="E1935" i="10"/>
  <c r="G1935" i="10" s="1"/>
  <c r="H1934" i="10"/>
  <c r="E1934" i="10"/>
  <c r="G1934" i="10" s="1"/>
  <c r="H1933" i="10"/>
  <c r="E1933" i="10"/>
  <c r="G1933" i="10" s="1"/>
  <c r="H1932" i="10"/>
  <c r="E1932" i="10"/>
  <c r="G1932" i="10" s="1"/>
  <c r="H1931" i="10"/>
  <c r="E1931" i="10"/>
  <c r="G1931" i="10" s="1"/>
  <c r="H1930" i="10"/>
  <c r="E1930" i="10"/>
  <c r="G1930" i="10" s="1"/>
  <c r="H1929" i="10"/>
  <c r="E1929" i="10"/>
  <c r="G1929" i="10" s="1"/>
  <c r="H1928" i="10"/>
  <c r="E1928" i="10"/>
  <c r="G1928" i="10" s="1"/>
  <c r="H1927" i="10"/>
  <c r="E1927" i="10"/>
  <c r="G1927" i="10" s="1"/>
  <c r="H1926" i="10"/>
  <c r="E1926" i="10"/>
  <c r="G1926" i="10" s="1"/>
  <c r="H1925" i="10"/>
  <c r="E1925" i="10"/>
  <c r="G1925" i="10" s="1"/>
  <c r="H1924" i="10"/>
  <c r="E1924" i="10"/>
  <c r="G1924" i="10" s="1"/>
  <c r="H1923" i="10"/>
  <c r="E1923" i="10"/>
  <c r="G1923" i="10" s="1"/>
  <c r="H1922" i="10"/>
  <c r="E1922" i="10"/>
  <c r="G1922" i="10" s="1"/>
  <c r="H1921" i="10"/>
  <c r="E1921" i="10"/>
  <c r="G1921" i="10" s="1"/>
  <c r="H1920" i="10"/>
  <c r="E1920" i="10"/>
  <c r="G1920" i="10" s="1"/>
  <c r="H1919" i="10"/>
  <c r="E1919" i="10"/>
  <c r="G1919" i="10" s="1"/>
  <c r="H1918" i="10"/>
  <c r="E1918" i="10"/>
  <c r="G1918" i="10" s="1"/>
  <c r="H1917" i="10"/>
  <c r="E1917" i="10"/>
  <c r="G1917" i="10" s="1"/>
  <c r="H1916" i="10"/>
  <c r="E1916" i="10"/>
  <c r="G1916" i="10" s="1"/>
  <c r="H1915" i="10"/>
  <c r="E1915" i="10"/>
  <c r="G1915" i="10" s="1"/>
  <c r="H1914" i="10"/>
  <c r="E1914" i="10"/>
  <c r="G1914" i="10" s="1"/>
  <c r="H1913" i="10"/>
  <c r="E1913" i="10"/>
  <c r="G1913" i="10" s="1"/>
  <c r="H1912" i="10"/>
  <c r="E1912" i="10"/>
  <c r="G1912" i="10" s="1"/>
  <c r="H1911" i="10"/>
  <c r="E1911" i="10"/>
  <c r="G1911" i="10" s="1"/>
  <c r="H1910" i="10"/>
  <c r="E1910" i="10"/>
  <c r="G1910" i="10" s="1"/>
  <c r="H1909" i="10"/>
  <c r="E1909" i="10"/>
  <c r="G1909" i="10" s="1"/>
  <c r="H1908" i="10"/>
  <c r="E1908" i="10"/>
  <c r="G1908" i="10" s="1"/>
  <c r="H1907" i="10"/>
  <c r="E1907" i="10"/>
  <c r="G1907" i="10" s="1"/>
  <c r="H1906" i="10"/>
  <c r="E1906" i="10"/>
  <c r="G1906" i="10" s="1"/>
  <c r="H1905" i="10"/>
  <c r="E1905" i="10"/>
  <c r="G1905" i="10" s="1"/>
  <c r="H1904" i="10"/>
  <c r="E1904" i="10"/>
  <c r="G1904" i="10" s="1"/>
  <c r="H1903" i="10"/>
  <c r="E1903" i="10"/>
  <c r="G1903" i="10" s="1"/>
  <c r="H1902" i="10"/>
  <c r="E1902" i="10"/>
  <c r="G1902" i="10" s="1"/>
  <c r="H1901" i="10"/>
  <c r="E1901" i="10"/>
  <c r="G1901" i="10" s="1"/>
  <c r="H1900" i="10"/>
  <c r="E1900" i="10"/>
  <c r="G1900" i="10" s="1"/>
  <c r="H1899" i="10"/>
  <c r="E1899" i="10"/>
  <c r="G1899" i="10" s="1"/>
  <c r="H1898" i="10"/>
  <c r="E1898" i="10"/>
  <c r="G1898" i="10" s="1"/>
  <c r="H1897" i="10"/>
  <c r="E1897" i="10"/>
  <c r="G1897" i="10" s="1"/>
  <c r="H1896" i="10"/>
  <c r="E1896" i="10"/>
  <c r="G1896" i="10" s="1"/>
  <c r="H1895" i="10"/>
  <c r="E1895" i="10"/>
  <c r="G1895" i="10" s="1"/>
  <c r="H1894" i="10"/>
  <c r="E1894" i="10"/>
  <c r="G1894" i="10" s="1"/>
  <c r="H1893" i="10"/>
  <c r="E1893" i="10"/>
  <c r="G1893" i="10" s="1"/>
  <c r="H1892" i="10"/>
  <c r="E1892" i="10"/>
  <c r="G1892" i="10" s="1"/>
  <c r="H1891" i="10"/>
  <c r="E1891" i="10"/>
  <c r="G1891" i="10" s="1"/>
  <c r="H1890" i="10"/>
  <c r="E1890" i="10"/>
  <c r="G1890" i="10" s="1"/>
  <c r="H1889" i="10"/>
  <c r="E1889" i="10"/>
  <c r="G1889" i="10" s="1"/>
  <c r="H1888" i="10"/>
  <c r="E1888" i="10"/>
  <c r="G1888" i="10" s="1"/>
  <c r="H1887" i="10"/>
  <c r="E1887" i="10"/>
  <c r="G1887" i="10" s="1"/>
  <c r="H1886" i="10"/>
  <c r="E1886" i="10"/>
  <c r="G1886" i="10" s="1"/>
  <c r="H1885" i="10"/>
  <c r="E1885" i="10"/>
  <c r="G1885" i="10" s="1"/>
  <c r="H1884" i="10"/>
  <c r="E1884" i="10"/>
  <c r="G1884" i="10" s="1"/>
  <c r="H1883" i="10"/>
  <c r="E1883" i="10"/>
  <c r="G1883" i="10" s="1"/>
  <c r="H1882" i="10"/>
  <c r="E1882" i="10"/>
  <c r="G1882" i="10" s="1"/>
  <c r="H1881" i="10"/>
  <c r="E1881" i="10"/>
  <c r="G1881" i="10" s="1"/>
  <c r="H1880" i="10"/>
  <c r="E1880" i="10"/>
  <c r="G1880" i="10" s="1"/>
  <c r="H1879" i="10"/>
  <c r="E1879" i="10"/>
  <c r="G1879" i="10" s="1"/>
  <c r="H1878" i="10"/>
  <c r="E1878" i="10"/>
  <c r="G1878" i="10" s="1"/>
  <c r="H1877" i="10"/>
  <c r="E1877" i="10"/>
  <c r="G1877" i="10" s="1"/>
  <c r="H1876" i="10"/>
  <c r="E1876" i="10"/>
  <c r="G1876" i="10" s="1"/>
  <c r="H1875" i="10"/>
  <c r="E1875" i="10"/>
  <c r="G1875" i="10" s="1"/>
  <c r="H1874" i="10"/>
  <c r="E1874" i="10"/>
  <c r="G1874" i="10" s="1"/>
  <c r="H1873" i="10"/>
  <c r="E1873" i="10"/>
  <c r="G1873" i="10" s="1"/>
  <c r="H1872" i="10"/>
  <c r="E1872" i="10"/>
  <c r="G1872" i="10" s="1"/>
  <c r="H1871" i="10"/>
  <c r="E1871" i="10"/>
  <c r="G1871" i="10" s="1"/>
  <c r="H1870" i="10"/>
  <c r="E1870" i="10"/>
  <c r="G1870" i="10" s="1"/>
  <c r="H1869" i="10"/>
  <c r="E1869" i="10"/>
  <c r="G1869" i="10" s="1"/>
  <c r="H1868" i="10"/>
  <c r="E1868" i="10"/>
  <c r="G1868" i="10" s="1"/>
  <c r="H1867" i="10"/>
  <c r="E1867" i="10"/>
  <c r="G1867" i="10" s="1"/>
  <c r="H1866" i="10"/>
  <c r="E1866" i="10"/>
  <c r="G1866" i="10" s="1"/>
  <c r="H1865" i="10"/>
  <c r="E1865" i="10"/>
  <c r="G1865" i="10" s="1"/>
  <c r="H1864" i="10"/>
  <c r="E1864" i="10"/>
  <c r="G1864" i="10" s="1"/>
  <c r="H1863" i="10"/>
  <c r="E1863" i="10"/>
  <c r="G1863" i="10" s="1"/>
  <c r="H1862" i="10"/>
  <c r="E1862" i="10"/>
  <c r="G1862" i="10" s="1"/>
  <c r="H1861" i="10"/>
  <c r="E1861" i="10"/>
  <c r="G1861" i="10" s="1"/>
  <c r="H1860" i="10"/>
  <c r="E1860" i="10"/>
  <c r="G1860" i="10" s="1"/>
  <c r="H1859" i="10"/>
  <c r="E1859" i="10"/>
  <c r="G1859" i="10" s="1"/>
  <c r="H1858" i="10"/>
  <c r="E1858" i="10"/>
  <c r="G1858" i="10" s="1"/>
  <c r="H1857" i="10"/>
  <c r="E1857" i="10"/>
  <c r="G1857" i="10" s="1"/>
  <c r="H1856" i="10"/>
  <c r="E1856" i="10"/>
  <c r="G1856" i="10" s="1"/>
  <c r="H1855" i="10"/>
  <c r="E1855" i="10"/>
  <c r="G1855" i="10" s="1"/>
  <c r="H1854" i="10"/>
  <c r="E1854" i="10"/>
  <c r="G1854" i="10" s="1"/>
  <c r="H1853" i="10"/>
  <c r="E1853" i="10"/>
  <c r="G1853" i="10" s="1"/>
  <c r="H1852" i="10"/>
  <c r="E1852" i="10"/>
  <c r="G1852" i="10" s="1"/>
  <c r="H1851" i="10"/>
  <c r="E1851" i="10"/>
  <c r="G1851" i="10" s="1"/>
  <c r="H1850" i="10"/>
  <c r="E1850" i="10"/>
  <c r="G1850" i="10" s="1"/>
  <c r="H1849" i="10"/>
  <c r="E1849" i="10"/>
  <c r="G1849" i="10" s="1"/>
  <c r="H1848" i="10"/>
  <c r="E1848" i="10"/>
  <c r="G1848" i="10" s="1"/>
  <c r="H1847" i="10"/>
  <c r="E1847" i="10"/>
  <c r="G1847" i="10" s="1"/>
  <c r="H1846" i="10"/>
  <c r="E1846" i="10"/>
  <c r="G1846" i="10" s="1"/>
  <c r="H1845" i="10"/>
  <c r="E1845" i="10"/>
  <c r="G1845" i="10" s="1"/>
  <c r="H1844" i="10"/>
  <c r="E1844" i="10"/>
  <c r="G1844" i="10" s="1"/>
  <c r="H1843" i="10"/>
  <c r="E1843" i="10"/>
  <c r="G1843" i="10" s="1"/>
  <c r="H1842" i="10"/>
  <c r="E1842" i="10"/>
  <c r="G1842" i="10" s="1"/>
  <c r="H1841" i="10"/>
  <c r="E1841" i="10"/>
  <c r="G1841" i="10" s="1"/>
  <c r="H1840" i="10"/>
  <c r="E1840" i="10"/>
  <c r="G1840" i="10" s="1"/>
  <c r="H1839" i="10"/>
  <c r="E1839" i="10"/>
  <c r="G1839" i="10" s="1"/>
  <c r="H1838" i="10"/>
  <c r="E1838" i="10"/>
  <c r="G1838" i="10" s="1"/>
  <c r="H1837" i="10"/>
  <c r="E1837" i="10"/>
  <c r="G1837" i="10" s="1"/>
  <c r="H1836" i="10"/>
  <c r="E1836" i="10"/>
  <c r="G1836" i="10" s="1"/>
  <c r="H1835" i="10"/>
  <c r="E1835" i="10"/>
  <c r="G1835" i="10" s="1"/>
  <c r="H1834" i="10"/>
  <c r="E1834" i="10"/>
  <c r="G1834" i="10" s="1"/>
  <c r="H1833" i="10"/>
  <c r="E1833" i="10"/>
  <c r="G1833" i="10" s="1"/>
  <c r="H1832" i="10"/>
  <c r="E1832" i="10"/>
  <c r="G1832" i="10" s="1"/>
  <c r="H1831" i="10"/>
  <c r="E1831" i="10"/>
  <c r="G1831" i="10" s="1"/>
  <c r="H1830" i="10"/>
  <c r="E1830" i="10"/>
  <c r="G1830" i="10" s="1"/>
  <c r="H1829" i="10"/>
  <c r="E1829" i="10"/>
  <c r="G1829" i="10" s="1"/>
  <c r="H1828" i="10"/>
  <c r="E1828" i="10"/>
  <c r="G1828" i="10" s="1"/>
  <c r="H1827" i="10"/>
  <c r="E1827" i="10"/>
  <c r="G1827" i="10" s="1"/>
  <c r="H1826" i="10"/>
  <c r="E1826" i="10"/>
  <c r="G1826" i="10" s="1"/>
  <c r="H1825" i="10"/>
  <c r="E1825" i="10"/>
  <c r="G1825" i="10" s="1"/>
  <c r="H1824" i="10"/>
  <c r="E1824" i="10"/>
  <c r="G1824" i="10" s="1"/>
  <c r="H1823" i="10"/>
  <c r="E1823" i="10"/>
  <c r="G1823" i="10" s="1"/>
  <c r="H1822" i="10"/>
  <c r="E1822" i="10"/>
  <c r="G1822" i="10" s="1"/>
  <c r="H1821" i="10"/>
  <c r="E1821" i="10"/>
  <c r="G1821" i="10" s="1"/>
  <c r="H1820" i="10"/>
  <c r="E1820" i="10"/>
  <c r="G1820" i="10" s="1"/>
  <c r="H1819" i="10"/>
  <c r="E1819" i="10"/>
  <c r="G1819" i="10" s="1"/>
  <c r="H1818" i="10"/>
  <c r="E1818" i="10"/>
  <c r="G1818" i="10" s="1"/>
  <c r="H1817" i="10"/>
  <c r="E1817" i="10"/>
  <c r="G1817" i="10" s="1"/>
  <c r="H1816" i="10"/>
  <c r="E1816" i="10"/>
  <c r="G1816" i="10" s="1"/>
  <c r="H1815" i="10"/>
  <c r="E1815" i="10"/>
  <c r="G1815" i="10" s="1"/>
  <c r="H1814" i="10"/>
  <c r="E1814" i="10"/>
  <c r="G1814" i="10" s="1"/>
  <c r="H1813" i="10"/>
  <c r="E1813" i="10"/>
  <c r="G1813" i="10" s="1"/>
  <c r="H1812" i="10"/>
  <c r="E1812" i="10"/>
  <c r="G1812" i="10" s="1"/>
  <c r="H1811" i="10"/>
  <c r="E1811" i="10"/>
  <c r="G1811" i="10" s="1"/>
  <c r="H1810" i="10"/>
  <c r="E1810" i="10"/>
  <c r="G1810" i="10" s="1"/>
  <c r="H1809" i="10"/>
  <c r="E1809" i="10"/>
  <c r="G1809" i="10" s="1"/>
  <c r="H1808" i="10"/>
  <c r="E1808" i="10"/>
  <c r="G1808" i="10" s="1"/>
  <c r="H1807" i="10"/>
  <c r="E1807" i="10"/>
  <c r="G1807" i="10" s="1"/>
  <c r="H1806" i="10"/>
  <c r="E1806" i="10"/>
  <c r="G1806" i="10" s="1"/>
  <c r="H1805" i="10"/>
  <c r="E1805" i="10"/>
  <c r="G1805" i="10" s="1"/>
  <c r="H1804" i="10"/>
  <c r="E1804" i="10"/>
  <c r="G1804" i="10" s="1"/>
  <c r="H1803" i="10"/>
  <c r="E1803" i="10"/>
  <c r="G1803" i="10" s="1"/>
  <c r="H1802" i="10"/>
  <c r="E1802" i="10"/>
  <c r="G1802" i="10" s="1"/>
  <c r="H1801" i="10"/>
  <c r="E1801" i="10"/>
  <c r="G1801" i="10" s="1"/>
  <c r="H1800" i="10"/>
  <c r="E1800" i="10"/>
  <c r="G1800" i="10" s="1"/>
  <c r="H1799" i="10"/>
  <c r="E1799" i="10"/>
  <c r="G1799" i="10" s="1"/>
  <c r="H1798" i="10"/>
  <c r="E1798" i="10"/>
  <c r="G1798" i="10" s="1"/>
  <c r="H1797" i="10"/>
  <c r="E1797" i="10"/>
  <c r="G1797" i="10" s="1"/>
  <c r="H1796" i="10"/>
  <c r="E1796" i="10"/>
  <c r="G1796" i="10" s="1"/>
  <c r="H1795" i="10"/>
  <c r="E1795" i="10"/>
  <c r="G1795" i="10" s="1"/>
  <c r="H1794" i="10"/>
  <c r="E1794" i="10"/>
  <c r="G1794" i="10" s="1"/>
  <c r="H1793" i="10"/>
  <c r="E1793" i="10"/>
  <c r="G1793" i="10" s="1"/>
  <c r="H1792" i="10"/>
  <c r="E1792" i="10"/>
  <c r="G1792" i="10" s="1"/>
  <c r="H1791" i="10"/>
  <c r="E1791" i="10"/>
  <c r="G1791" i="10" s="1"/>
  <c r="H1790" i="10"/>
  <c r="E1790" i="10"/>
  <c r="G1790" i="10" s="1"/>
  <c r="H1789" i="10"/>
  <c r="E1789" i="10"/>
  <c r="G1789" i="10" s="1"/>
  <c r="H1788" i="10"/>
  <c r="E1788" i="10"/>
  <c r="G1788" i="10" s="1"/>
  <c r="H1787" i="10"/>
  <c r="E1787" i="10"/>
  <c r="G1787" i="10" s="1"/>
  <c r="H1786" i="10"/>
  <c r="E1786" i="10"/>
  <c r="G1786" i="10" s="1"/>
  <c r="H1785" i="10"/>
  <c r="E1785" i="10"/>
  <c r="G1785" i="10" s="1"/>
  <c r="H1784" i="10"/>
  <c r="E1784" i="10"/>
  <c r="G1784" i="10" s="1"/>
  <c r="H1783" i="10"/>
  <c r="E1783" i="10"/>
  <c r="G1783" i="10" s="1"/>
  <c r="H1782" i="10"/>
  <c r="E1782" i="10"/>
  <c r="G1782" i="10" s="1"/>
  <c r="H1781" i="10"/>
  <c r="E1781" i="10"/>
  <c r="G1781" i="10" s="1"/>
  <c r="H1780" i="10"/>
  <c r="E1780" i="10"/>
  <c r="G1780" i="10" s="1"/>
  <c r="H1779" i="10"/>
  <c r="E1779" i="10"/>
  <c r="G1779" i="10" s="1"/>
  <c r="H1778" i="10"/>
  <c r="E1778" i="10"/>
  <c r="G1778" i="10" s="1"/>
  <c r="H1777" i="10"/>
  <c r="E1777" i="10"/>
  <c r="G1777" i="10" s="1"/>
  <c r="H1776" i="10"/>
  <c r="E1776" i="10"/>
  <c r="G1776" i="10" s="1"/>
  <c r="H1775" i="10"/>
  <c r="E1775" i="10"/>
  <c r="G1775" i="10" s="1"/>
  <c r="H1774" i="10"/>
  <c r="E1774" i="10"/>
  <c r="G1774" i="10" s="1"/>
  <c r="H1773" i="10"/>
  <c r="E1773" i="10"/>
  <c r="G1773" i="10" s="1"/>
  <c r="H1772" i="10"/>
  <c r="E1772" i="10"/>
  <c r="G1772" i="10" s="1"/>
  <c r="H1771" i="10"/>
  <c r="E1771" i="10"/>
  <c r="G1771" i="10" s="1"/>
  <c r="H1770" i="10"/>
  <c r="E1770" i="10"/>
  <c r="G1770" i="10" s="1"/>
  <c r="H1769" i="10"/>
  <c r="E1769" i="10"/>
  <c r="G1769" i="10" s="1"/>
  <c r="H1768" i="10"/>
  <c r="E1768" i="10"/>
  <c r="G1768" i="10" s="1"/>
  <c r="H1767" i="10"/>
  <c r="E1767" i="10"/>
  <c r="G1767" i="10" s="1"/>
  <c r="H1766" i="10"/>
  <c r="E1766" i="10"/>
  <c r="G1766" i="10" s="1"/>
  <c r="H1765" i="10"/>
  <c r="E1765" i="10"/>
  <c r="G1765" i="10" s="1"/>
  <c r="H1764" i="10"/>
  <c r="E1764" i="10"/>
  <c r="G1764" i="10" s="1"/>
  <c r="H1763" i="10"/>
  <c r="E1763" i="10"/>
  <c r="G1763" i="10" s="1"/>
  <c r="H1762" i="10"/>
  <c r="E1762" i="10"/>
  <c r="G1762" i="10" s="1"/>
  <c r="H1761" i="10"/>
  <c r="E1761" i="10"/>
  <c r="G1761" i="10" s="1"/>
  <c r="H1760" i="10"/>
  <c r="E1760" i="10"/>
  <c r="G1760" i="10" s="1"/>
  <c r="H1759" i="10"/>
  <c r="E1759" i="10"/>
  <c r="G1759" i="10" s="1"/>
  <c r="H1758" i="10"/>
  <c r="E1758" i="10"/>
  <c r="G1758" i="10" s="1"/>
  <c r="H1757" i="10"/>
  <c r="E1757" i="10"/>
  <c r="G1757" i="10" s="1"/>
  <c r="H1756" i="10"/>
  <c r="E1756" i="10"/>
  <c r="G1756" i="10" s="1"/>
  <c r="H1755" i="10"/>
  <c r="E1755" i="10"/>
  <c r="G1755" i="10" s="1"/>
  <c r="H1754" i="10"/>
  <c r="E1754" i="10"/>
  <c r="G1754" i="10" s="1"/>
  <c r="H1753" i="10"/>
  <c r="E1753" i="10"/>
  <c r="G1753" i="10" s="1"/>
  <c r="H1752" i="10"/>
  <c r="E1752" i="10"/>
  <c r="G1752" i="10" s="1"/>
  <c r="H1751" i="10"/>
  <c r="E1751" i="10"/>
  <c r="G1751" i="10" s="1"/>
  <c r="H1750" i="10"/>
  <c r="E1750" i="10"/>
  <c r="G1750" i="10" s="1"/>
  <c r="H1749" i="10"/>
  <c r="E1749" i="10"/>
  <c r="G1749" i="10" s="1"/>
  <c r="H1748" i="10"/>
  <c r="E1748" i="10"/>
  <c r="G1748" i="10" s="1"/>
  <c r="H1747" i="10"/>
  <c r="E1747" i="10"/>
  <c r="G1747" i="10" s="1"/>
  <c r="H1746" i="10"/>
  <c r="E1746" i="10"/>
  <c r="G1746" i="10" s="1"/>
  <c r="H1745" i="10"/>
  <c r="E1745" i="10"/>
  <c r="G1745" i="10" s="1"/>
  <c r="H1744" i="10"/>
  <c r="E1744" i="10"/>
  <c r="G1744" i="10" s="1"/>
  <c r="H1743" i="10"/>
  <c r="E1743" i="10"/>
  <c r="G1743" i="10" s="1"/>
  <c r="H1742" i="10"/>
  <c r="E1742" i="10"/>
  <c r="G1742" i="10" s="1"/>
  <c r="H1741" i="10"/>
  <c r="E1741" i="10"/>
  <c r="G1741" i="10" s="1"/>
  <c r="H1740" i="10"/>
  <c r="E1740" i="10"/>
  <c r="G1740" i="10" s="1"/>
  <c r="H1739" i="10"/>
  <c r="E1739" i="10"/>
  <c r="G1739" i="10" s="1"/>
  <c r="H1738" i="10"/>
  <c r="E1738" i="10"/>
  <c r="G1738" i="10" s="1"/>
  <c r="H1737" i="10"/>
  <c r="E1737" i="10"/>
  <c r="G1737" i="10" s="1"/>
  <c r="H1736" i="10"/>
  <c r="E1736" i="10"/>
  <c r="G1736" i="10" s="1"/>
  <c r="H1735" i="10"/>
  <c r="E1735" i="10"/>
  <c r="G1735" i="10" s="1"/>
  <c r="H1734" i="10"/>
  <c r="E1734" i="10"/>
  <c r="G1734" i="10" s="1"/>
  <c r="H1733" i="10"/>
  <c r="E1733" i="10"/>
  <c r="G1733" i="10" s="1"/>
  <c r="H1732" i="10"/>
  <c r="E1732" i="10"/>
  <c r="G1732" i="10" s="1"/>
  <c r="H1731" i="10"/>
  <c r="E1731" i="10"/>
  <c r="G1731" i="10" s="1"/>
  <c r="H1730" i="10"/>
  <c r="E1730" i="10"/>
  <c r="G1730" i="10" s="1"/>
  <c r="H1729" i="10"/>
  <c r="E1729" i="10"/>
  <c r="G1729" i="10" s="1"/>
  <c r="H1728" i="10"/>
  <c r="E1728" i="10"/>
  <c r="G1728" i="10" s="1"/>
  <c r="H1727" i="10"/>
  <c r="E1727" i="10"/>
  <c r="G1727" i="10" s="1"/>
  <c r="H1726" i="10"/>
  <c r="E1726" i="10"/>
  <c r="G1726" i="10" s="1"/>
  <c r="H1725" i="10"/>
  <c r="E1725" i="10"/>
  <c r="G1725" i="10" s="1"/>
  <c r="H1724" i="10"/>
  <c r="E1724" i="10"/>
  <c r="G1724" i="10" s="1"/>
  <c r="H1723" i="10"/>
  <c r="E1723" i="10"/>
  <c r="G1723" i="10" s="1"/>
  <c r="H1722" i="10"/>
  <c r="E1722" i="10"/>
  <c r="G1722" i="10" s="1"/>
  <c r="H1721" i="10"/>
  <c r="E1721" i="10"/>
  <c r="G1721" i="10" s="1"/>
  <c r="H1720" i="10"/>
  <c r="E1720" i="10"/>
  <c r="G1720" i="10" s="1"/>
  <c r="H1719" i="10"/>
  <c r="E1719" i="10"/>
  <c r="G1719" i="10" s="1"/>
  <c r="H1718" i="10"/>
  <c r="E1718" i="10"/>
  <c r="G1718" i="10" s="1"/>
  <c r="H1717" i="10"/>
  <c r="E1717" i="10"/>
  <c r="G1717" i="10" s="1"/>
  <c r="H1716" i="10"/>
  <c r="E1716" i="10"/>
  <c r="G1716" i="10" s="1"/>
  <c r="H1715" i="10"/>
  <c r="E1715" i="10"/>
  <c r="G1715" i="10" s="1"/>
  <c r="H1714" i="10"/>
  <c r="E1714" i="10"/>
  <c r="G1714" i="10" s="1"/>
  <c r="H1713" i="10"/>
  <c r="E1713" i="10"/>
  <c r="G1713" i="10" s="1"/>
  <c r="H1712" i="10"/>
  <c r="E1712" i="10"/>
  <c r="G1712" i="10" s="1"/>
  <c r="H1711" i="10"/>
  <c r="E1711" i="10"/>
  <c r="G1711" i="10" s="1"/>
  <c r="H1710" i="10"/>
  <c r="E1710" i="10"/>
  <c r="G1710" i="10" s="1"/>
  <c r="H1709" i="10"/>
  <c r="E1709" i="10"/>
  <c r="G1709" i="10" s="1"/>
  <c r="H1708" i="10"/>
  <c r="E1708" i="10"/>
  <c r="G1708" i="10" s="1"/>
  <c r="H1707" i="10"/>
  <c r="E1707" i="10"/>
  <c r="G1707" i="10" s="1"/>
  <c r="H1706" i="10"/>
  <c r="E1706" i="10"/>
  <c r="G1706" i="10" s="1"/>
  <c r="H1705" i="10"/>
  <c r="E1705" i="10"/>
  <c r="G1705" i="10" s="1"/>
  <c r="H1704" i="10"/>
  <c r="E1704" i="10"/>
  <c r="G1704" i="10" s="1"/>
  <c r="H1703" i="10"/>
  <c r="E1703" i="10"/>
  <c r="G1703" i="10" s="1"/>
  <c r="H1702" i="10"/>
  <c r="E1702" i="10"/>
  <c r="G1702" i="10" s="1"/>
  <c r="H1701" i="10"/>
  <c r="E1701" i="10"/>
  <c r="G1701" i="10" s="1"/>
  <c r="H1700" i="10"/>
  <c r="E1700" i="10"/>
  <c r="G1700" i="10" s="1"/>
  <c r="H1699" i="10"/>
  <c r="E1699" i="10"/>
  <c r="G1699" i="10" s="1"/>
  <c r="H1698" i="10"/>
  <c r="E1698" i="10"/>
  <c r="G1698" i="10" s="1"/>
  <c r="H1697" i="10"/>
  <c r="E1697" i="10"/>
  <c r="G1697" i="10" s="1"/>
  <c r="H1696" i="10"/>
  <c r="E1696" i="10"/>
  <c r="G1696" i="10" s="1"/>
  <c r="H1695" i="10"/>
  <c r="E1695" i="10"/>
  <c r="G1695" i="10" s="1"/>
  <c r="H1694" i="10"/>
  <c r="E1694" i="10"/>
  <c r="G1694" i="10" s="1"/>
  <c r="H1693" i="10"/>
  <c r="E1693" i="10"/>
  <c r="G1693" i="10" s="1"/>
  <c r="H1692" i="10"/>
  <c r="E1692" i="10"/>
  <c r="G1692" i="10" s="1"/>
  <c r="H1691" i="10"/>
  <c r="E1691" i="10"/>
  <c r="G1691" i="10" s="1"/>
  <c r="H1690" i="10"/>
  <c r="E1690" i="10"/>
  <c r="G1690" i="10" s="1"/>
  <c r="H1689" i="10"/>
  <c r="E1689" i="10"/>
  <c r="G1689" i="10" s="1"/>
  <c r="H1688" i="10"/>
  <c r="E1688" i="10"/>
  <c r="G1688" i="10" s="1"/>
  <c r="H1687" i="10"/>
  <c r="E1687" i="10"/>
  <c r="G1687" i="10" s="1"/>
  <c r="H1686" i="10"/>
  <c r="E1686" i="10"/>
  <c r="G1686" i="10" s="1"/>
  <c r="H1685" i="10"/>
  <c r="E1685" i="10"/>
  <c r="G1685" i="10" s="1"/>
  <c r="H1684" i="10"/>
  <c r="E1684" i="10"/>
  <c r="G1684" i="10" s="1"/>
  <c r="H1683" i="10"/>
  <c r="E1683" i="10"/>
  <c r="G1683" i="10" s="1"/>
  <c r="H1682" i="10"/>
  <c r="E1682" i="10"/>
  <c r="G1682" i="10" s="1"/>
  <c r="H1681" i="10"/>
  <c r="E1681" i="10"/>
  <c r="G1681" i="10" s="1"/>
  <c r="H1680" i="10"/>
  <c r="E1680" i="10"/>
  <c r="G1680" i="10" s="1"/>
  <c r="H1679" i="10"/>
  <c r="E1679" i="10"/>
  <c r="G1679" i="10" s="1"/>
  <c r="H1678" i="10"/>
  <c r="E1678" i="10"/>
  <c r="G1678" i="10" s="1"/>
  <c r="H1677" i="10"/>
  <c r="E1677" i="10"/>
  <c r="G1677" i="10" s="1"/>
  <c r="H1676" i="10"/>
  <c r="E1676" i="10"/>
  <c r="G1676" i="10" s="1"/>
  <c r="H1675" i="10"/>
  <c r="E1675" i="10"/>
  <c r="G1675" i="10" s="1"/>
  <c r="H1674" i="10"/>
  <c r="E1674" i="10"/>
  <c r="G1674" i="10" s="1"/>
  <c r="H1673" i="10"/>
  <c r="E1673" i="10"/>
  <c r="G1673" i="10" s="1"/>
  <c r="H1672" i="10"/>
  <c r="E1672" i="10"/>
  <c r="G1672" i="10" s="1"/>
  <c r="H1671" i="10"/>
  <c r="E1671" i="10"/>
  <c r="G1671" i="10" s="1"/>
  <c r="H1670" i="10"/>
  <c r="E1670" i="10"/>
  <c r="G1670" i="10" s="1"/>
  <c r="H1669" i="10"/>
  <c r="E1669" i="10"/>
  <c r="G1669" i="10" s="1"/>
  <c r="H1668" i="10"/>
  <c r="E1668" i="10"/>
  <c r="G1668" i="10" s="1"/>
  <c r="H1667" i="10"/>
  <c r="E1667" i="10"/>
  <c r="G1667" i="10" s="1"/>
  <c r="H1666" i="10"/>
  <c r="E1666" i="10"/>
  <c r="G1666" i="10" s="1"/>
  <c r="H1665" i="10"/>
  <c r="E1665" i="10"/>
  <c r="G1665" i="10" s="1"/>
  <c r="H1664" i="10"/>
  <c r="E1664" i="10"/>
  <c r="G1664" i="10" s="1"/>
  <c r="H1663" i="10"/>
  <c r="E1663" i="10"/>
  <c r="G1663" i="10" s="1"/>
  <c r="H1662" i="10"/>
  <c r="E1662" i="10"/>
  <c r="G1662" i="10" s="1"/>
  <c r="H1661" i="10"/>
  <c r="E1661" i="10"/>
  <c r="G1661" i="10" s="1"/>
  <c r="H1660" i="10"/>
  <c r="E1660" i="10"/>
  <c r="G1660" i="10" s="1"/>
  <c r="H1659" i="10"/>
  <c r="E1659" i="10"/>
  <c r="G1659" i="10" s="1"/>
  <c r="H1658" i="10"/>
  <c r="E1658" i="10"/>
  <c r="G1658" i="10" s="1"/>
  <c r="H1657" i="10"/>
  <c r="E1657" i="10"/>
  <c r="G1657" i="10" s="1"/>
  <c r="H1656" i="10"/>
  <c r="E1656" i="10"/>
  <c r="G1656" i="10" s="1"/>
  <c r="H1655" i="10"/>
  <c r="E1655" i="10"/>
  <c r="G1655" i="10" s="1"/>
  <c r="H1654" i="10"/>
  <c r="E1654" i="10"/>
  <c r="G1654" i="10" s="1"/>
  <c r="H1653" i="10"/>
  <c r="E1653" i="10"/>
  <c r="G1653" i="10" s="1"/>
  <c r="H1652" i="10"/>
  <c r="E1652" i="10"/>
  <c r="G1652" i="10" s="1"/>
  <c r="H1651" i="10"/>
  <c r="E1651" i="10"/>
  <c r="G1651" i="10" s="1"/>
  <c r="H1650" i="10"/>
  <c r="E1650" i="10"/>
  <c r="G1650" i="10" s="1"/>
  <c r="H1649" i="10"/>
  <c r="E1649" i="10"/>
  <c r="G1649" i="10" s="1"/>
  <c r="H1648" i="10"/>
  <c r="E1648" i="10"/>
  <c r="G1648" i="10" s="1"/>
  <c r="H1647" i="10"/>
  <c r="E1647" i="10"/>
  <c r="G1647" i="10" s="1"/>
  <c r="H1646" i="10"/>
  <c r="E1646" i="10"/>
  <c r="G1646" i="10" s="1"/>
  <c r="H1645" i="10"/>
  <c r="E1645" i="10"/>
  <c r="G1645" i="10" s="1"/>
  <c r="H1644" i="10"/>
  <c r="E1644" i="10"/>
  <c r="G1644" i="10" s="1"/>
  <c r="H1643" i="10"/>
  <c r="E1643" i="10"/>
  <c r="G1643" i="10" s="1"/>
  <c r="H1642" i="10"/>
  <c r="E1642" i="10"/>
  <c r="G1642" i="10" s="1"/>
  <c r="H1641" i="10"/>
  <c r="E1641" i="10"/>
  <c r="G1641" i="10" s="1"/>
  <c r="H1640" i="10"/>
  <c r="E1640" i="10"/>
  <c r="G1640" i="10" s="1"/>
  <c r="H1639" i="10"/>
  <c r="E1639" i="10"/>
  <c r="G1639" i="10" s="1"/>
  <c r="H1638" i="10"/>
  <c r="E1638" i="10"/>
  <c r="G1638" i="10" s="1"/>
  <c r="H1637" i="10"/>
  <c r="E1637" i="10"/>
  <c r="G1637" i="10" s="1"/>
  <c r="H1636" i="10"/>
  <c r="E1636" i="10"/>
  <c r="G1636" i="10" s="1"/>
  <c r="H1635" i="10"/>
  <c r="E1635" i="10"/>
  <c r="G1635" i="10" s="1"/>
  <c r="H1634" i="10"/>
  <c r="E1634" i="10"/>
  <c r="G1634" i="10" s="1"/>
  <c r="H1633" i="10"/>
  <c r="E1633" i="10"/>
  <c r="G1633" i="10" s="1"/>
  <c r="H1632" i="10"/>
  <c r="E1632" i="10"/>
  <c r="G1632" i="10" s="1"/>
  <c r="H1631" i="10"/>
  <c r="E1631" i="10"/>
  <c r="G1631" i="10" s="1"/>
  <c r="H1630" i="10"/>
  <c r="E1630" i="10"/>
  <c r="G1630" i="10" s="1"/>
  <c r="H1629" i="10"/>
  <c r="E1629" i="10"/>
  <c r="G1629" i="10" s="1"/>
  <c r="H1628" i="10"/>
  <c r="E1628" i="10"/>
  <c r="G1628" i="10" s="1"/>
  <c r="H1627" i="10"/>
  <c r="E1627" i="10"/>
  <c r="G1627" i="10" s="1"/>
  <c r="H1626" i="10"/>
  <c r="E1626" i="10"/>
  <c r="G1626" i="10" s="1"/>
  <c r="H1625" i="10"/>
  <c r="E1625" i="10"/>
  <c r="G1625" i="10" s="1"/>
  <c r="H1624" i="10"/>
  <c r="E1624" i="10"/>
  <c r="G1624" i="10" s="1"/>
  <c r="H1623" i="10"/>
  <c r="E1623" i="10"/>
  <c r="G1623" i="10" s="1"/>
  <c r="H1622" i="10"/>
  <c r="E1622" i="10"/>
  <c r="G1622" i="10" s="1"/>
  <c r="H1621" i="10"/>
  <c r="E1621" i="10"/>
  <c r="G1621" i="10" s="1"/>
  <c r="H1620" i="10"/>
  <c r="E1620" i="10"/>
  <c r="G1620" i="10" s="1"/>
  <c r="H1619" i="10"/>
  <c r="E1619" i="10"/>
  <c r="G1619" i="10" s="1"/>
  <c r="H1618" i="10"/>
  <c r="E1618" i="10"/>
  <c r="G1618" i="10" s="1"/>
  <c r="H1617" i="10"/>
  <c r="E1617" i="10"/>
  <c r="G1617" i="10" s="1"/>
  <c r="H1616" i="10"/>
  <c r="E1616" i="10"/>
  <c r="G1616" i="10" s="1"/>
  <c r="H1615" i="10"/>
  <c r="E1615" i="10"/>
  <c r="G1615" i="10" s="1"/>
  <c r="H1614" i="10"/>
  <c r="E1614" i="10"/>
  <c r="G1614" i="10" s="1"/>
  <c r="H1613" i="10"/>
  <c r="E1613" i="10"/>
  <c r="G1613" i="10" s="1"/>
  <c r="H1612" i="10"/>
  <c r="E1612" i="10"/>
  <c r="G1612" i="10" s="1"/>
  <c r="H1611" i="10"/>
  <c r="E1611" i="10"/>
  <c r="G1611" i="10" s="1"/>
  <c r="H1610" i="10"/>
  <c r="E1610" i="10"/>
  <c r="G1610" i="10" s="1"/>
  <c r="H1609" i="10"/>
  <c r="E1609" i="10"/>
  <c r="G1609" i="10" s="1"/>
  <c r="H1608" i="10"/>
  <c r="E1608" i="10"/>
  <c r="G1608" i="10" s="1"/>
  <c r="H1607" i="10"/>
  <c r="E1607" i="10"/>
  <c r="G1607" i="10" s="1"/>
  <c r="H1606" i="10"/>
  <c r="E1606" i="10"/>
  <c r="G1606" i="10" s="1"/>
  <c r="H1605" i="10"/>
  <c r="E1605" i="10"/>
  <c r="G1605" i="10" s="1"/>
  <c r="H1604" i="10"/>
  <c r="E1604" i="10"/>
  <c r="G1604" i="10" s="1"/>
  <c r="H1603" i="10"/>
  <c r="E1603" i="10"/>
  <c r="G1603" i="10" s="1"/>
  <c r="H1602" i="10"/>
  <c r="E1602" i="10"/>
  <c r="G1602" i="10" s="1"/>
  <c r="H1601" i="10"/>
  <c r="E1601" i="10"/>
  <c r="G1601" i="10" s="1"/>
  <c r="H1600" i="10"/>
  <c r="E1600" i="10"/>
  <c r="G1600" i="10" s="1"/>
  <c r="H1599" i="10"/>
  <c r="E1599" i="10"/>
  <c r="G1599" i="10" s="1"/>
  <c r="H1598" i="10"/>
  <c r="E1598" i="10"/>
  <c r="G1598" i="10" s="1"/>
  <c r="H1597" i="10"/>
  <c r="E1597" i="10"/>
  <c r="G1597" i="10" s="1"/>
  <c r="H1596" i="10"/>
  <c r="E1596" i="10"/>
  <c r="G1596" i="10" s="1"/>
  <c r="H1595" i="10"/>
  <c r="E1595" i="10"/>
  <c r="G1595" i="10" s="1"/>
  <c r="H1594" i="10"/>
  <c r="E1594" i="10"/>
  <c r="G1594" i="10" s="1"/>
  <c r="H1593" i="10"/>
  <c r="E1593" i="10"/>
  <c r="G1593" i="10" s="1"/>
  <c r="H1592" i="10"/>
  <c r="E1592" i="10"/>
  <c r="G1592" i="10" s="1"/>
  <c r="H1591" i="10"/>
  <c r="E1591" i="10"/>
  <c r="G1591" i="10" s="1"/>
  <c r="H1590" i="10"/>
  <c r="E1590" i="10"/>
  <c r="G1590" i="10" s="1"/>
  <c r="H1589" i="10"/>
  <c r="E1589" i="10"/>
  <c r="G1589" i="10" s="1"/>
  <c r="H1588" i="10"/>
  <c r="E1588" i="10"/>
  <c r="G1588" i="10" s="1"/>
  <c r="H1587" i="10"/>
  <c r="E1587" i="10"/>
  <c r="G1587" i="10" s="1"/>
  <c r="H1586" i="10"/>
  <c r="E1586" i="10"/>
  <c r="G1586" i="10" s="1"/>
  <c r="H1585" i="10"/>
  <c r="E1585" i="10"/>
  <c r="G1585" i="10" s="1"/>
  <c r="H1584" i="10"/>
  <c r="E1584" i="10"/>
  <c r="G1584" i="10" s="1"/>
  <c r="H1583" i="10"/>
  <c r="E1583" i="10"/>
  <c r="G1583" i="10" s="1"/>
  <c r="H1582" i="10"/>
  <c r="E1582" i="10"/>
  <c r="G1582" i="10" s="1"/>
  <c r="H1581" i="10"/>
  <c r="E1581" i="10"/>
  <c r="G1581" i="10" s="1"/>
  <c r="H1580" i="10"/>
  <c r="E1580" i="10"/>
  <c r="G1580" i="10" s="1"/>
  <c r="H1579" i="10"/>
  <c r="E1579" i="10"/>
  <c r="G1579" i="10" s="1"/>
  <c r="H1578" i="10"/>
  <c r="E1578" i="10"/>
  <c r="G1578" i="10" s="1"/>
  <c r="H1577" i="10"/>
  <c r="E1577" i="10"/>
  <c r="G1577" i="10" s="1"/>
  <c r="H1576" i="10"/>
  <c r="E1576" i="10"/>
  <c r="G1576" i="10" s="1"/>
  <c r="H1575" i="10"/>
  <c r="E1575" i="10"/>
  <c r="G1575" i="10" s="1"/>
  <c r="H1574" i="10"/>
  <c r="E1574" i="10"/>
  <c r="G1574" i="10" s="1"/>
  <c r="H1573" i="10"/>
  <c r="E1573" i="10"/>
  <c r="G1573" i="10" s="1"/>
  <c r="H1572" i="10"/>
  <c r="E1572" i="10"/>
  <c r="G1572" i="10" s="1"/>
  <c r="H1571" i="10"/>
  <c r="E1571" i="10"/>
  <c r="G1571" i="10" s="1"/>
  <c r="H1570" i="10"/>
  <c r="E1570" i="10"/>
  <c r="G1570" i="10" s="1"/>
  <c r="H1569" i="10"/>
  <c r="E1569" i="10"/>
  <c r="G1569" i="10" s="1"/>
  <c r="H1568" i="10"/>
  <c r="E1568" i="10"/>
  <c r="G1568" i="10" s="1"/>
  <c r="H1567" i="10"/>
  <c r="E1567" i="10"/>
  <c r="G1567" i="10" s="1"/>
  <c r="H1566" i="10"/>
  <c r="E1566" i="10"/>
  <c r="G1566" i="10" s="1"/>
  <c r="H1565" i="10"/>
  <c r="E1565" i="10"/>
  <c r="G1565" i="10" s="1"/>
  <c r="H1564" i="10"/>
  <c r="E1564" i="10"/>
  <c r="G1564" i="10" s="1"/>
  <c r="H1563" i="10"/>
  <c r="E1563" i="10"/>
  <c r="G1563" i="10" s="1"/>
  <c r="H1562" i="10"/>
  <c r="E1562" i="10"/>
  <c r="G1562" i="10" s="1"/>
  <c r="H1561" i="10"/>
  <c r="E1561" i="10"/>
  <c r="G1561" i="10" s="1"/>
  <c r="H1560" i="10"/>
  <c r="E1560" i="10"/>
  <c r="G1560" i="10" s="1"/>
  <c r="H1559" i="10"/>
  <c r="E1559" i="10"/>
  <c r="G1559" i="10" s="1"/>
  <c r="H1558" i="10"/>
  <c r="E1558" i="10"/>
  <c r="G1558" i="10" s="1"/>
  <c r="H1557" i="10"/>
  <c r="E1557" i="10"/>
  <c r="G1557" i="10" s="1"/>
  <c r="H1556" i="10"/>
  <c r="E1556" i="10"/>
  <c r="G1556" i="10" s="1"/>
  <c r="H1555" i="10"/>
  <c r="E1555" i="10"/>
  <c r="G1555" i="10" s="1"/>
  <c r="H1554" i="10"/>
  <c r="E1554" i="10"/>
  <c r="G1554" i="10" s="1"/>
  <c r="H1553" i="10"/>
  <c r="E1553" i="10"/>
  <c r="G1553" i="10" s="1"/>
  <c r="H1552" i="10"/>
  <c r="E1552" i="10"/>
  <c r="G1552" i="10" s="1"/>
  <c r="H1551" i="10"/>
  <c r="E1551" i="10"/>
  <c r="G1551" i="10" s="1"/>
  <c r="H1550" i="10"/>
  <c r="E1550" i="10"/>
  <c r="G1550" i="10" s="1"/>
  <c r="H1549" i="10"/>
  <c r="E1549" i="10"/>
  <c r="G1549" i="10" s="1"/>
  <c r="H1548" i="10"/>
  <c r="E1548" i="10"/>
  <c r="G1548" i="10" s="1"/>
  <c r="H1547" i="10"/>
  <c r="E1547" i="10"/>
  <c r="G1547" i="10" s="1"/>
  <c r="H1546" i="10"/>
  <c r="E1546" i="10"/>
  <c r="G1546" i="10" s="1"/>
  <c r="H1545" i="10"/>
  <c r="E1545" i="10"/>
  <c r="G1545" i="10" s="1"/>
  <c r="H1544" i="10"/>
  <c r="E1544" i="10"/>
  <c r="G1544" i="10" s="1"/>
  <c r="H1543" i="10"/>
  <c r="E1543" i="10"/>
  <c r="G1543" i="10" s="1"/>
  <c r="H1542" i="10"/>
  <c r="E1542" i="10"/>
  <c r="G1542" i="10" s="1"/>
  <c r="H1541" i="10"/>
  <c r="E1541" i="10"/>
  <c r="G1541" i="10" s="1"/>
  <c r="H1540" i="10"/>
  <c r="E1540" i="10"/>
  <c r="G1540" i="10" s="1"/>
  <c r="H1539" i="10"/>
  <c r="E1539" i="10"/>
  <c r="G1539" i="10" s="1"/>
  <c r="H1538" i="10"/>
  <c r="E1538" i="10"/>
  <c r="G1538" i="10" s="1"/>
  <c r="H1537" i="10"/>
  <c r="E1537" i="10"/>
  <c r="G1537" i="10" s="1"/>
  <c r="H1536" i="10"/>
  <c r="E1536" i="10"/>
  <c r="G1536" i="10" s="1"/>
  <c r="H1535" i="10"/>
  <c r="E1535" i="10"/>
  <c r="G1535" i="10" s="1"/>
  <c r="H1534" i="10"/>
  <c r="E1534" i="10"/>
  <c r="G1534" i="10" s="1"/>
  <c r="H1533" i="10"/>
  <c r="E1533" i="10"/>
  <c r="G1533" i="10" s="1"/>
  <c r="H1532" i="10"/>
  <c r="E1532" i="10"/>
  <c r="G1532" i="10" s="1"/>
  <c r="H1531" i="10"/>
  <c r="E1531" i="10"/>
  <c r="G1531" i="10" s="1"/>
  <c r="H1530" i="10"/>
  <c r="E1530" i="10"/>
  <c r="G1530" i="10" s="1"/>
  <c r="H1529" i="10"/>
  <c r="E1529" i="10"/>
  <c r="G1529" i="10" s="1"/>
  <c r="H1528" i="10"/>
  <c r="E1528" i="10"/>
  <c r="G1528" i="10" s="1"/>
  <c r="H1527" i="10"/>
  <c r="E1527" i="10"/>
  <c r="G1527" i="10" s="1"/>
  <c r="H1526" i="10"/>
  <c r="E1526" i="10"/>
  <c r="G1526" i="10" s="1"/>
  <c r="H1525" i="10"/>
  <c r="G1525" i="10"/>
  <c r="E1525" i="10"/>
  <c r="H1524" i="10"/>
  <c r="E1524" i="10"/>
  <c r="G1524" i="10" s="1"/>
  <c r="H1523" i="10"/>
  <c r="E1523" i="10"/>
  <c r="G1523" i="10" s="1"/>
  <c r="H1522" i="10"/>
  <c r="E1522" i="10"/>
  <c r="G1522" i="10" s="1"/>
  <c r="H1521" i="10"/>
  <c r="E1521" i="10"/>
  <c r="G1521" i="10" s="1"/>
  <c r="H1520" i="10"/>
  <c r="E1520" i="10"/>
  <c r="G1520" i="10" s="1"/>
  <c r="H1519" i="10"/>
  <c r="E1519" i="10"/>
  <c r="G1519" i="10" s="1"/>
  <c r="H1518" i="10"/>
  <c r="E1518" i="10"/>
  <c r="G1518" i="10" s="1"/>
  <c r="H1517" i="10"/>
  <c r="E1517" i="10"/>
  <c r="G1517" i="10" s="1"/>
  <c r="H1516" i="10"/>
  <c r="E1516" i="10"/>
  <c r="G1516" i="10" s="1"/>
  <c r="H1515" i="10"/>
  <c r="E1515" i="10"/>
  <c r="G1515" i="10" s="1"/>
  <c r="H1514" i="10"/>
  <c r="E1514" i="10"/>
  <c r="G1514" i="10" s="1"/>
  <c r="H1513" i="10"/>
  <c r="E1513" i="10"/>
  <c r="G1513" i="10" s="1"/>
  <c r="H1512" i="10"/>
  <c r="E1512" i="10"/>
  <c r="G1512" i="10" s="1"/>
  <c r="H1511" i="10"/>
  <c r="E1511" i="10"/>
  <c r="G1511" i="10" s="1"/>
  <c r="H1510" i="10"/>
  <c r="E1510" i="10"/>
  <c r="G1510" i="10" s="1"/>
  <c r="H1509" i="10"/>
  <c r="E1509" i="10"/>
  <c r="G1509" i="10" s="1"/>
  <c r="H1508" i="10"/>
  <c r="E1508" i="10"/>
  <c r="G1508" i="10" s="1"/>
  <c r="H1507" i="10"/>
  <c r="E1507" i="10"/>
  <c r="G1507" i="10" s="1"/>
  <c r="H1506" i="10"/>
  <c r="E1506" i="10"/>
  <c r="G1506" i="10" s="1"/>
  <c r="H1505" i="10"/>
  <c r="E1505" i="10"/>
  <c r="G1505" i="10" s="1"/>
  <c r="H1504" i="10"/>
  <c r="E1504" i="10"/>
  <c r="G1504" i="10" s="1"/>
  <c r="H1503" i="10"/>
  <c r="E1503" i="10"/>
  <c r="G1503" i="10" s="1"/>
  <c r="H1502" i="10"/>
  <c r="E1502" i="10"/>
  <c r="G1502" i="10" s="1"/>
  <c r="H1501" i="10"/>
  <c r="E1501" i="10"/>
  <c r="G1501" i="10" s="1"/>
  <c r="H1500" i="10"/>
  <c r="E1500" i="10"/>
  <c r="G1500" i="10" s="1"/>
  <c r="H1499" i="10"/>
  <c r="E1499" i="10"/>
  <c r="G1499" i="10" s="1"/>
  <c r="H1498" i="10"/>
  <c r="E1498" i="10"/>
  <c r="G1498" i="10" s="1"/>
  <c r="H1497" i="10"/>
  <c r="E1497" i="10"/>
  <c r="G1497" i="10" s="1"/>
  <c r="H1496" i="10"/>
  <c r="E1496" i="10"/>
  <c r="G1496" i="10" s="1"/>
  <c r="H1495" i="10"/>
  <c r="E1495" i="10"/>
  <c r="G1495" i="10" s="1"/>
  <c r="H1494" i="10"/>
  <c r="E1494" i="10"/>
  <c r="G1494" i="10" s="1"/>
  <c r="H1493" i="10"/>
  <c r="E1493" i="10"/>
  <c r="G1493" i="10" s="1"/>
  <c r="H1492" i="10"/>
  <c r="E1492" i="10"/>
  <c r="G1492" i="10" s="1"/>
  <c r="H1491" i="10"/>
  <c r="E1491" i="10"/>
  <c r="G1491" i="10" s="1"/>
  <c r="H1490" i="10"/>
  <c r="E1490" i="10"/>
  <c r="G1490" i="10" s="1"/>
  <c r="H1489" i="10"/>
  <c r="E1489" i="10"/>
  <c r="G1489" i="10" s="1"/>
  <c r="H1488" i="10"/>
  <c r="E1488" i="10"/>
  <c r="G1488" i="10" s="1"/>
  <c r="H1487" i="10"/>
  <c r="E1487" i="10"/>
  <c r="G1487" i="10" s="1"/>
  <c r="H1486" i="10"/>
  <c r="E1486" i="10"/>
  <c r="G1486" i="10" s="1"/>
  <c r="H1485" i="10"/>
  <c r="E1485" i="10"/>
  <c r="G1485" i="10" s="1"/>
  <c r="H1484" i="10"/>
  <c r="E1484" i="10"/>
  <c r="G1484" i="10" s="1"/>
  <c r="H1483" i="10"/>
  <c r="E1483" i="10"/>
  <c r="G1483" i="10" s="1"/>
  <c r="H1482" i="10"/>
  <c r="E1482" i="10"/>
  <c r="G1482" i="10" s="1"/>
  <c r="H1481" i="10"/>
  <c r="E1481" i="10"/>
  <c r="G1481" i="10" s="1"/>
  <c r="H1480" i="10"/>
  <c r="E1480" i="10"/>
  <c r="G1480" i="10" s="1"/>
  <c r="H1479" i="10"/>
  <c r="E1479" i="10"/>
  <c r="G1479" i="10" s="1"/>
  <c r="H1478" i="10"/>
  <c r="E1478" i="10"/>
  <c r="G1478" i="10" s="1"/>
  <c r="H1477" i="10"/>
  <c r="E1477" i="10"/>
  <c r="G1477" i="10" s="1"/>
  <c r="H1476" i="10"/>
  <c r="E1476" i="10"/>
  <c r="G1476" i="10" s="1"/>
  <c r="H1475" i="10"/>
  <c r="E1475" i="10"/>
  <c r="G1475" i="10" s="1"/>
  <c r="H1474" i="10"/>
  <c r="E1474" i="10"/>
  <c r="G1474" i="10" s="1"/>
  <c r="H1473" i="10"/>
  <c r="E1473" i="10"/>
  <c r="G1473" i="10" s="1"/>
  <c r="H1472" i="10"/>
  <c r="E1472" i="10"/>
  <c r="G1472" i="10" s="1"/>
  <c r="H1471" i="10"/>
  <c r="E1471" i="10"/>
  <c r="G1471" i="10" s="1"/>
  <c r="H1470" i="10"/>
  <c r="E1470" i="10"/>
  <c r="G1470" i="10" s="1"/>
  <c r="H1469" i="10"/>
  <c r="E1469" i="10"/>
  <c r="G1469" i="10" s="1"/>
  <c r="H1468" i="10"/>
  <c r="E1468" i="10"/>
  <c r="G1468" i="10" s="1"/>
  <c r="H1467" i="10"/>
  <c r="E1467" i="10"/>
  <c r="G1467" i="10" s="1"/>
  <c r="H1466" i="10"/>
  <c r="E1466" i="10"/>
  <c r="G1466" i="10" s="1"/>
  <c r="H1465" i="10"/>
  <c r="E1465" i="10"/>
  <c r="G1465" i="10" s="1"/>
  <c r="H1464" i="10"/>
  <c r="E1464" i="10"/>
  <c r="G1464" i="10" s="1"/>
  <c r="H1463" i="10"/>
  <c r="E1463" i="10"/>
  <c r="G1463" i="10" s="1"/>
  <c r="H1462" i="10"/>
  <c r="E1462" i="10"/>
  <c r="G1462" i="10" s="1"/>
  <c r="H1461" i="10"/>
  <c r="E1461" i="10"/>
  <c r="G1461" i="10" s="1"/>
  <c r="H1460" i="10"/>
  <c r="E1460" i="10"/>
  <c r="G1460" i="10" s="1"/>
  <c r="H1459" i="10"/>
  <c r="E1459" i="10"/>
  <c r="G1459" i="10" s="1"/>
  <c r="H1458" i="10"/>
  <c r="E1458" i="10"/>
  <c r="G1458" i="10" s="1"/>
  <c r="H1457" i="10"/>
  <c r="E1457" i="10"/>
  <c r="G1457" i="10" s="1"/>
  <c r="H1456" i="10"/>
  <c r="E1456" i="10"/>
  <c r="G1456" i="10" s="1"/>
  <c r="H1455" i="10"/>
  <c r="E1455" i="10"/>
  <c r="G1455" i="10" s="1"/>
  <c r="H1454" i="10"/>
  <c r="E1454" i="10"/>
  <c r="G1454" i="10" s="1"/>
  <c r="H1453" i="10"/>
  <c r="E1453" i="10"/>
  <c r="G1453" i="10" s="1"/>
  <c r="H1452" i="10"/>
  <c r="E1452" i="10"/>
  <c r="G1452" i="10" s="1"/>
  <c r="H1451" i="10"/>
  <c r="E1451" i="10"/>
  <c r="G1451" i="10" s="1"/>
  <c r="H1450" i="10"/>
  <c r="E1450" i="10"/>
  <c r="G1450" i="10" s="1"/>
  <c r="H1449" i="10"/>
  <c r="E1449" i="10"/>
  <c r="G1449" i="10" s="1"/>
  <c r="H1448" i="10"/>
  <c r="E1448" i="10"/>
  <c r="G1448" i="10" s="1"/>
  <c r="H1447" i="10"/>
  <c r="E1447" i="10"/>
  <c r="G1447" i="10" s="1"/>
  <c r="H1446" i="10"/>
  <c r="E1446" i="10"/>
  <c r="G1446" i="10" s="1"/>
  <c r="H1445" i="10"/>
  <c r="E1445" i="10"/>
  <c r="G1445" i="10" s="1"/>
  <c r="H1444" i="10"/>
  <c r="E1444" i="10"/>
  <c r="G1444" i="10" s="1"/>
  <c r="H1443" i="10"/>
  <c r="E1443" i="10"/>
  <c r="G1443" i="10" s="1"/>
  <c r="H1442" i="10"/>
  <c r="E1442" i="10"/>
  <c r="G1442" i="10" s="1"/>
  <c r="H1441" i="10"/>
  <c r="E1441" i="10"/>
  <c r="G1441" i="10" s="1"/>
  <c r="H1440" i="10"/>
  <c r="E1440" i="10"/>
  <c r="G1440" i="10" s="1"/>
  <c r="H1439" i="10"/>
  <c r="E1439" i="10"/>
  <c r="G1439" i="10" s="1"/>
  <c r="H1438" i="10"/>
  <c r="E1438" i="10"/>
  <c r="G1438" i="10" s="1"/>
  <c r="H1437" i="10"/>
  <c r="E1437" i="10"/>
  <c r="G1437" i="10" s="1"/>
  <c r="H1436" i="10"/>
  <c r="E1436" i="10"/>
  <c r="G1436" i="10" s="1"/>
  <c r="H1435" i="10"/>
  <c r="E1435" i="10"/>
  <c r="G1435" i="10" s="1"/>
  <c r="H1434" i="10"/>
  <c r="E1434" i="10"/>
  <c r="G1434" i="10" s="1"/>
  <c r="H1433" i="10"/>
  <c r="E1433" i="10"/>
  <c r="G1433" i="10" s="1"/>
  <c r="H1432" i="10"/>
  <c r="E1432" i="10"/>
  <c r="G1432" i="10" s="1"/>
  <c r="H1431" i="10"/>
  <c r="E1431" i="10"/>
  <c r="G1431" i="10" s="1"/>
  <c r="H1430" i="10"/>
  <c r="E1430" i="10"/>
  <c r="G1430" i="10" s="1"/>
  <c r="H1429" i="10"/>
  <c r="E1429" i="10"/>
  <c r="G1429" i="10" s="1"/>
  <c r="H1428" i="10"/>
  <c r="E1428" i="10"/>
  <c r="G1428" i="10" s="1"/>
  <c r="H1427" i="10"/>
  <c r="E1427" i="10"/>
  <c r="G1427" i="10" s="1"/>
  <c r="H1426" i="10"/>
  <c r="E1426" i="10"/>
  <c r="G1426" i="10" s="1"/>
  <c r="H1425" i="10"/>
  <c r="E1425" i="10"/>
  <c r="G1425" i="10" s="1"/>
  <c r="H1424" i="10"/>
  <c r="E1424" i="10"/>
  <c r="G1424" i="10" s="1"/>
  <c r="H1423" i="10"/>
  <c r="E1423" i="10"/>
  <c r="G1423" i="10" s="1"/>
  <c r="H1422" i="10"/>
  <c r="E1422" i="10"/>
  <c r="G1422" i="10" s="1"/>
  <c r="H1421" i="10"/>
  <c r="E1421" i="10"/>
  <c r="G1421" i="10" s="1"/>
  <c r="H1420" i="10"/>
  <c r="E1420" i="10"/>
  <c r="G1420" i="10" s="1"/>
  <c r="H1419" i="10"/>
  <c r="E1419" i="10"/>
  <c r="G1419" i="10" s="1"/>
  <c r="H1418" i="10"/>
  <c r="E1418" i="10"/>
  <c r="G1418" i="10" s="1"/>
  <c r="H1417" i="10"/>
  <c r="E1417" i="10"/>
  <c r="G1417" i="10" s="1"/>
  <c r="H1416" i="10"/>
  <c r="E1416" i="10"/>
  <c r="G1416" i="10" s="1"/>
  <c r="H1415" i="10"/>
  <c r="E1415" i="10"/>
  <c r="G1415" i="10" s="1"/>
  <c r="H1414" i="10"/>
  <c r="E1414" i="10"/>
  <c r="G1414" i="10" s="1"/>
  <c r="H1413" i="10"/>
  <c r="E1413" i="10"/>
  <c r="G1413" i="10" s="1"/>
  <c r="H1412" i="10"/>
  <c r="E1412" i="10"/>
  <c r="G1412" i="10" s="1"/>
  <c r="H1411" i="10"/>
  <c r="E1411" i="10"/>
  <c r="G1411" i="10" s="1"/>
  <c r="H1410" i="10"/>
  <c r="E1410" i="10"/>
  <c r="G1410" i="10" s="1"/>
  <c r="H1409" i="10"/>
  <c r="E1409" i="10"/>
  <c r="G1409" i="10" s="1"/>
  <c r="H1408" i="10"/>
  <c r="E1408" i="10"/>
  <c r="G1408" i="10" s="1"/>
  <c r="H1407" i="10"/>
  <c r="E1407" i="10"/>
  <c r="G1407" i="10" s="1"/>
  <c r="H1406" i="10"/>
  <c r="E1406" i="10"/>
  <c r="G1406" i="10" s="1"/>
  <c r="H1405" i="10"/>
  <c r="E1405" i="10"/>
  <c r="G1405" i="10" s="1"/>
  <c r="H1404" i="10"/>
  <c r="E1404" i="10"/>
  <c r="G1404" i="10" s="1"/>
  <c r="H1403" i="10"/>
  <c r="E1403" i="10"/>
  <c r="G1403" i="10" s="1"/>
  <c r="H1402" i="10"/>
  <c r="E1402" i="10"/>
  <c r="G1402" i="10" s="1"/>
  <c r="H1401" i="10"/>
  <c r="E1401" i="10"/>
  <c r="G1401" i="10" s="1"/>
  <c r="H1400" i="10"/>
  <c r="E1400" i="10"/>
  <c r="G1400" i="10" s="1"/>
  <c r="H1399" i="10"/>
  <c r="E1399" i="10"/>
  <c r="G1399" i="10" s="1"/>
  <c r="H1398" i="10"/>
  <c r="E1398" i="10"/>
  <c r="G1398" i="10" s="1"/>
  <c r="H1397" i="10"/>
  <c r="E1397" i="10"/>
  <c r="G1397" i="10" s="1"/>
  <c r="H1396" i="10"/>
  <c r="E1396" i="10"/>
  <c r="G1396" i="10" s="1"/>
  <c r="H1395" i="10"/>
  <c r="E1395" i="10"/>
  <c r="G1395" i="10" s="1"/>
  <c r="H1394" i="10"/>
  <c r="E1394" i="10"/>
  <c r="G1394" i="10" s="1"/>
  <c r="H1393" i="10"/>
  <c r="E1393" i="10"/>
  <c r="G1393" i="10" s="1"/>
  <c r="H1392" i="10"/>
  <c r="E1392" i="10"/>
  <c r="G1392" i="10" s="1"/>
  <c r="H1391" i="10"/>
  <c r="E1391" i="10"/>
  <c r="G1391" i="10" s="1"/>
  <c r="H1390" i="10"/>
  <c r="E1390" i="10"/>
  <c r="G1390" i="10" s="1"/>
  <c r="H1389" i="10"/>
  <c r="E1389" i="10"/>
  <c r="G1389" i="10" s="1"/>
  <c r="H1388" i="10"/>
  <c r="E1388" i="10"/>
  <c r="G1388" i="10" s="1"/>
  <c r="H1387" i="10"/>
  <c r="E1387" i="10"/>
  <c r="G1387" i="10" s="1"/>
  <c r="H1386" i="10"/>
  <c r="E1386" i="10"/>
  <c r="G1386" i="10" s="1"/>
  <c r="H1385" i="10"/>
  <c r="E1385" i="10"/>
  <c r="G1385" i="10" s="1"/>
  <c r="H1384" i="10"/>
  <c r="E1384" i="10"/>
  <c r="G1384" i="10" s="1"/>
  <c r="H1383" i="10"/>
  <c r="E1383" i="10"/>
  <c r="G1383" i="10" s="1"/>
  <c r="H1382" i="10"/>
  <c r="E1382" i="10"/>
  <c r="G1382" i="10" s="1"/>
  <c r="H1381" i="10"/>
  <c r="E1381" i="10"/>
  <c r="G1381" i="10" s="1"/>
  <c r="H1380" i="10"/>
  <c r="E1380" i="10"/>
  <c r="G1380" i="10" s="1"/>
  <c r="H1379" i="10"/>
  <c r="E1379" i="10"/>
  <c r="G1379" i="10" s="1"/>
  <c r="H1378" i="10"/>
  <c r="E1378" i="10"/>
  <c r="G1378" i="10" s="1"/>
  <c r="H1377" i="10"/>
  <c r="E1377" i="10"/>
  <c r="G1377" i="10" s="1"/>
  <c r="H1376" i="10"/>
  <c r="E1376" i="10"/>
  <c r="G1376" i="10" s="1"/>
  <c r="H1375" i="10"/>
  <c r="E1375" i="10"/>
  <c r="G1375" i="10" s="1"/>
  <c r="H1374" i="10"/>
  <c r="E1374" i="10"/>
  <c r="G1374" i="10" s="1"/>
  <c r="H1373" i="10"/>
  <c r="E1373" i="10"/>
  <c r="G1373" i="10" s="1"/>
  <c r="H1372" i="10"/>
  <c r="E1372" i="10"/>
  <c r="G1372" i="10" s="1"/>
  <c r="H1371" i="10"/>
  <c r="E1371" i="10"/>
  <c r="G1371" i="10" s="1"/>
  <c r="H1370" i="10"/>
  <c r="E1370" i="10"/>
  <c r="G1370" i="10" s="1"/>
  <c r="H1369" i="10"/>
  <c r="E1369" i="10"/>
  <c r="G1369" i="10" s="1"/>
  <c r="H1368" i="10"/>
  <c r="E1368" i="10"/>
  <c r="G1368" i="10" s="1"/>
  <c r="H1367" i="10"/>
  <c r="E1367" i="10"/>
  <c r="G1367" i="10" s="1"/>
  <c r="H1366" i="10"/>
  <c r="E1366" i="10"/>
  <c r="G1366" i="10" s="1"/>
  <c r="H1365" i="10"/>
  <c r="E1365" i="10"/>
  <c r="G1365" i="10" s="1"/>
  <c r="H1364" i="10"/>
  <c r="E1364" i="10"/>
  <c r="G1364" i="10" s="1"/>
  <c r="H1363" i="10"/>
  <c r="E1363" i="10"/>
  <c r="G1363" i="10" s="1"/>
  <c r="H1362" i="10"/>
  <c r="E1362" i="10"/>
  <c r="G1362" i="10" s="1"/>
  <c r="H1361" i="10"/>
  <c r="E1361" i="10"/>
  <c r="G1361" i="10" s="1"/>
  <c r="H1360" i="10"/>
  <c r="E1360" i="10"/>
  <c r="G1360" i="10" s="1"/>
  <c r="H1359" i="10"/>
  <c r="E1359" i="10"/>
  <c r="G1359" i="10" s="1"/>
  <c r="H1358" i="10"/>
  <c r="E1358" i="10"/>
  <c r="G1358" i="10" s="1"/>
  <c r="H1357" i="10"/>
  <c r="E1357" i="10"/>
  <c r="G1357" i="10" s="1"/>
  <c r="H1356" i="10"/>
  <c r="E1356" i="10"/>
  <c r="G1356" i="10" s="1"/>
  <c r="H1355" i="10"/>
  <c r="E1355" i="10"/>
  <c r="G1355" i="10" s="1"/>
  <c r="H1354" i="10"/>
  <c r="E1354" i="10"/>
  <c r="G1354" i="10" s="1"/>
  <c r="H1353" i="10"/>
  <c r="E1353" i="10"/>
  <c r="G1353" i="10" s="1"/>
  <c r="H1352" i="10"/>
  <c r="E1352" i="10"/>
  <c r="G1352" i="10" s="1"/>
  <c r="H1351" i="10"/>
  <c r="E1351" i="10"/>
  <c r="G1351" i="10" s="1"/>
  <c r="H1350" i="10"/>
  <c r="E1350" i="10"/>
  <c r="G1350" i="10" s="1"/>
  <c r="H1349" i="10"/>
  <c r="E1349" i="10"/>
  <c r="G1349" i="10" s="1"/>
  <c r="H1348" i="10"/>
  <c r="E1348" i="10"/>
  <c r="G1348" i="10" s="1"/>
  <c r="H1347" i="10"/>
  <c r="E1347" i="10"/>
  <c r="G1347" i="10" s="1"/>
  <c r="H1346" i="10"/>
  <c r="E1346" i="10"/>
  <c r="G1346" i="10" s="1"/>
  <c r="H1345" i="10"/>
  <c r="E1345" i="10"/>
  <c r="G1345" i="10" s="1"/>
  <c r="H1344" i="10"/>
  <c r="E1344" i="10"/>
  <c r="G1344" i="10" s="1"/>
  <c r="H1343" i="10"/>
  <c r="E1343" i="10"/>
  <c r="G1343" i="10" s="1"/>
  <c r="H1342" i="10"/>
  <c r="E1342" i="10"/>
  <c r="G1342" i="10" s="1"/>
  <c r="H1341" i="10"/>
  <c r="E1341" i="10"/>
  <c r="G1341" i="10" s="1"/>
  <c r="H1340" i="10"/>
  <c r="E1340" i="10"/>
  <c r="G1340" i="10" s="1"/>
  <c r="H1339" i="10"/>
  <c r="E1339" i="10"/>
  <c r="G1339" i="10" s="1"/>
  <c r="H1338" i="10"/>
  <c r="E1338" i="10"/>
  <c r="G1338" i="10" s="1"/>
  <c r="H1337" i="10"/>
  <c r="E1337" i="10"/>
  <c r="G1337" i="10" s="1"/>
  <c r="H1336" i="10"/>
  <c r="E1336" i="10"/>
  <c r="G1336" i="10" s="1"/>
  <c r="H1335" i="10"/>
  <c r="E1335" i="10"/>
  <c r="G1335" i="10" s="1"/>
  <c r="H1334" i="10"/>
  <c r="E1334" i="10"/>
  <c r="G1334" i="10" s="1"/>
  <c r="H1333" i="10"/>
  <c r="E1333" i="10"/>
  <c r="G1333" i="10" s="1"/>
  <c r="H1332" i="10"/>
  <c r="E1332" i="10"/>
  <c r="G1332" i="10" s="1"/>
  <c r="H1331" i="10"/>
  <c r="E1331" i="10"/>
  <c r="G1331" i="10" s="1"/>
  <c r="H1330" i="10"/>
  <c r="E1330" i="10"/>
  <c r="G1330" i="10" s="1"/>
  <c r="H1329" i="10"/>
  <c r="E1329" i="10"/>
  <c r="G1329" i="10" s="1"/>
  <c r="H1328" i="10"/>
  <c r="E1328" i="10"/>
  <c r="G1328" i="10" s="1"/>
  <c r="H1327" i="10"/>
  <c r="E1327" i="10"/>
  <c r="G1327" i="10" s="1"/>
  <c r="H1326" i="10"/>
  <c r="E1326" i="10"/>
  <c r="G1326" i="10" s="1"/>
  <c r="H1325" i="10"/>
  <c r="E1325" i="10"/>
  <c r="G1325" i="10" s="1"/>
  <c r="H1324" i="10"/>
  <c r="E1324" i="10"/>
  <c r="G1324" i="10" s="1"/>
  <c r="H1323" i="10"/>
  <c r="E1323" i="10"/>
  <c r="G1323" i="10" s="1"/>
  <c r="H1322" i="10"/>
  <c r="E1322" i="10"/>
  <c r="G1322" i="10" s="1"/>
  <c r="H1321" i="10"/>
  <c r="E1321" i="10"/>
  <c r="G1321" i="10" s="1"/>
  <c r="H1320" i="10"/>
  <c r="E1320" i="10"/>
  <c r="G1320" i="10" s="1"/>
  <c r="H1319" i="10"/>
  <c r="E1319" i="10"/>
  <c r="G1319" i="10" s="1"/>
  <c r="H1318" i="10"/>
  <c r="E1318" i="10"/>
  <c r="G1318" i="10" s="1"/>
  <c r="H1317" i="10"/>
  <c r="E1317" i="10"/>
  <c r="G1317" i="10" s="1"/>
  <c r="H1316" i="10"/>
  <c r="E1316" i="10"/>
  <c r="G1316" i="10" s="1"/>
  <c r="H1315" i="10"/>
  <c r="E1315" i="10"/>
  <c r="G1315" i="10" s="1"/>
  <c r="H1314" i="10"/>
  <c r="E1314" i="10"/>
  <c r="G1314" i="10" s="1"/>
  <c r="H1313" i="10"/>
  <c r="E1313" i="10"/>
  <c r="G1313" i="10" s="1"/>
  <c r="H1312" i="10"/>
  <c r="E1312" i="10"/>
  <c r="G1312" i="10" s="1"/>
  <c r="H1311" i="10"/>
  <c r="E1311" i="10"/>
  <c r="G1311" i="10" s="1"/>
  <c r="H1310" i="10"/>
  <c r="E1310" i="10"/>
  <c r="G1310" i="10" s="1"/>
  <c r="H1309" i="10"/>
  <c r="E1309" i="10"/>
  <c r="G1309" i="10" s="1"/>
  <c r="H1308" i="10"/>
  <c r="E1308" i="10"/>
  <c r="G1308" i="10" s="1"/>
  <c r="H1307" i="10"/>
  <c r="E1307" i="10"/>
  <c r="G1307" i="10" s="1"/>
  <c r="H1306" i="10"/>
  <c r="E1306" i="10"/>
  <c r="G1306" i="10" s="1"/>
  <c r="H1305" i="10"/>
  <c r="E1305" i="10"/>
  <c r="G1305" i="10" s="1"/>
  <c r="H1304" i="10"/>
  <c r="E1304" i="10"/>
  <c r="G1304" i="10" s="1"/>
  <c r="H1303" i="10"/>
  <c r="E1303" i="10"/>
  <c r="G1303" i="10" s="1"/>
  <c r="H1302" i="10"/>
  <c r="E1302" i="10"/>
  <c r="G1302" i="10" s="1"/>
  <c r="H1301" i="10"/>
  <c r="E1301" i="10"/>
  <c r="G1301" i="10" s="1"/>
  <c r="H1300" i="10"/>
  <c r="E1300" i="10"/>
  <c r="G1300" i="10" s="1"/>
  <c r="H1299" i="10"/>
  <c r="E1299" i="10"/>
  <c r="G1299" i="10" s="1"/>
  <c r="H1298" i="10"/>
  <c r="E1298" i="10"/>
  <c r="G1298" i="10" s="1"/>
  <c r="H1297" i="10"/>
  <c r="E1297" i="10"/>
  <c r="G1297" i="10" s="1"/>
  <c r="H1296" i="10"/>
  <c r="E1296" i="10"/>
  <c r="G1296" i="10" s="1"/>
  <c r="H1295" i="10"/>
  <c r="E1295" i="10"/>
  <c r="G1295" i="10" s="1"/>
  <c r="H1294" i="10"/>
  <c r="E1294" i="10"/>
  <c r="G1294" i="10" s="1"/>
  <c r="H1293" i="10"/>
  <c r="E1293" i="10"/>
  <c r="G1293" i="10" s="1"/>
  <c r="H1292" i="10"/>
  <c r="E1292" i="10"/>
  <c r="G1292" i="10" s="1"/>
  <c r="H1291" i="10"/>
  <c r="E1291" i="10"/>
  <c r="G1291" i="10" s="1"/>
  <c r="H1290" i="10"/>
  <c r="E1290" i="10"/>
  <c r="G1290" i="10" s="1"/>
  <c r="H1289" i="10"/>
  <c r="E1289" i="10"/>
  <c r="G1289" i="10" s="1"/>
  <c r="H1288" i="10"/>
  <c r="E1288" i="10"/>
  <c r="G1288" i="10" s="1"/>
  <c r="H1287" i="10"/>
  <c r="E1287" i="10"/>
  <c r="G1287" i="10" s="1"/>
  <c r="H1286" i="10"/>
  <c r="E1286" i="10"/>
  <c r="G1286" i="10" s="1"/>
  <c r="H1285" i="10"/>
  <c r="E1285" i="10"/>
  <c r="G1285" i="10" s="1"/>
  <c r="H1284" i="10"/>
  <c r="E1284" i="10"/>
  <c r="G1284" i="10" s="1"/>
  <c r="H1283" i="10"/>
  <c r="E1283" i="10"/>
  <c r="G1283" i="10" s="1"/>
  <c r="H1282" i="10"/>
  <c r="E1282" i="10"/>
  <c r="G1282" i="10" s="1"/>
  <c r="H1281" i="10"/>
  <c r="E1281" i="10"/>
  <c r="G1281" i="10" s="1"/>
  <c r="H1280" i="10"/>
  <c r="E1280" i="10"/>
  <c r="G1280" i="10" s="1"/>
  <c r="H1279" i="10"/>
  <c r="E1279" i="10"/>
  <c r="G1279" i="10" s="1"/>
  <c r="H1278" i="10"/>
  <c r="E1278" i="10"/>
  <c r="G1278" i="10" s="1"/>
  <c r="H1277" i="10"/>
  <c r="E1277" i="10"/>
  <c r="G1277" i="10" s="1"/>
  <c r="H1276" i="10"/>
  <c r="E1276" i="10"/>
  <c r="G1276" i="10" s="1"/>
  <c r="H1275" i="10"/>
  <c r="E1275" i="10"/>
  <c r="G1275" i="10" s="1"/>
  <c r="H1274" i="10"/>
  <c r="E1274" i="10"/>
  <c r="G1274" i="10" s="1"/>
  <c r="H1273" i="10"/>
  <c r="E1273" i="10"/>
  <c r="G1273" i="10" s="1"/>
  <c r="H1272" i="10"/>
  <c r="E1272" i="10"/>
  <c r="G1272" i="10" s="1"/>
  <c r="H1271" i="10"/>
  <c r="E1271" i="10"/>
  <c r="G1271" i="10" s="1"/>
  <c r="H1270" i="10"/>
  <c r="E1270" i="10"/>
  <c r="G1270" i="10" s="1"/>
  <c r="H1269" i="10"/>
  <c r="E1269" i="10"/>
  <c r="G1269" i="10" s="1"/>
  <c r="H1268" i="10"/>
  <c r="E1268" i="10"/>
  <c r="G1268" i="10" s="1"/>
  <c r="H1267" i="10"/>
  <c r="E1267" i="10"/>
  <c r="G1267" i="10" s="1"/>
  <c r="H1266" i="10"/>
  <c r="E1266" i="10"/>
  <c r="G1266" i="10" s="1"/>
  <c r="H1265" i="10"/>
  <c r="E1265" i="10"/>
  <c r="G1265" i="10" s="1"/>
  <c r="H1264" i="10"/>
  <c r="E1264" i="10"/>
  <c r="G1264" i="10" s="1"/>
  <c r="H1263" i="10"/>
  <c r="E1263" i="10"/>
  <c r="G1263" i="10" s="1"/>
  <c r="H1262" i="10"/>
  <c r="E1262" i="10"/>
  <c r="G1262" i="10" s="1"/>
  <c r="H1261" i="10"/>
  <c r="E1261" i="10"/>
  <c r="G1261" i="10" s="1"/>
  <c r="H1260" i="10"/>
  <c r="E1260" i="10"/>
  <c r="G1260" i="10" s="1"/>
  <c r="H1259" i="10"/>
  <c r="E1259" i="10"/>
  <c r="G1259" i="10" s="1"/>
  <c r="H1258" i="10"/>
  <c r="E1258" i="10"/>
  <c r="G1258" i="10" s="1"/>
  <c r="H1257" i="10"/>
  <c r="E1257" i="10"/>
  <c r="G1257" i="10" s="1"/>
  <c r="H1256" i="10"/>
  <c r="E1256" i="10"/>
  <c r="G1256" i="10" s="1"/>
  <c r="H1255" i="10"/>
  <c r="E1255" i="10"/>
  <c r="G1255" i="10" s="1"/>
  <c r="H1254" i="10"/>
  <c r="E1254" i="10"/>
  <c r="G1254" i="10" s="1"/>
  <c r="H1253" i="10"/>
  <c r="E1253" i="10"/>
  <c r="G1253" i="10" s="1"/>
  <c r="H1252" i="10"/>
  <c r="E1252" i="10"/>
  <c r="G1252" i="10" s="1"/>
  <c r="H1251" i="10"/>
  <c r="E1251" i="10"/>
  <c r="G1251" i="10" s="1"/>
  <c r="H1250" i="10"/>
  <c r="E1250" i="10"/>
  <c r="G1250" i="10" s="1"/>
  <c r="H1249" i="10"/>
  <c r="E1249" i="10"/>
  <c r="G1249" i="10" s="1"/>
  <c r="H1248" i="10"/>
  <c r="E1248" i="10"/>
  <c r="G1248" i="10" s="1"/>
  <c r="H1247" i="10"/>
  <c r="E1247" i="10"/>
  <c r="G1247" i="10" s="1"/>
  <c r="H1246" i="10"/>
  <c r="E1246" i="10"/>
  <c r="G1246" i="10" s="1"/>
  <c r="H1245" i="10"/>
  <c r="E1245" i="10"/>
  <c r="G1245" i="10" s="1"/>
  <c r="H1244" i="10"/>
  <c r="E1244" i="10"/>
  <c r="G1244" i="10" s="1"/>
  <c r="H1243" i="10"/>
  <c r="E1243" i="10"/>
  <c r="G1243" i="10" s="1"/>
  <c r="H1242" i="10"/>
  <c r="E1242" i="10"/>
  <c r="G1242" i="10" s="1"/>
  <c r="H1241" i="10"/>
  <c r="E1241" i="10"/>
  <c r="G1241" i="10" s="1"/>
  <c r="H1240" i="10"/>
  <c r="E1240" i="10"/>
  <c r="G1240" i="10" s="1"/>
  <c r="H1239" i="10"/>
  <c r="E1239" i="10"/>
  <c r="G1239" i="10" s="1"/>
  <c r="H1238" i="10"/>
  <c r="E1238" i="10"/>
  <c r="G1238" i="10" s="1"/>
  <c r="H1237" i="10"/>
  <c r="E1237" i="10"/>
  <c r="G1237" i="10" s="1"/>
  <c r="H1236" i="10"/>
  <c r="E1236" i="10"/>
  <c r="G1236" i="10" s="1"/>
  <c r="H1235" i="10"/>
  <c r="E1235" i="10"/>
  <c r="G1235" i="10" s="1"/>
  <c r="H1234" i="10"/>
  <c r="E1234" i="10"/>
  <c r="G1234" i="10" s="1"/>
  <c r="H1233" i="10"/>
  <c r="E1233" i="10"/>
  <c r="G1233" i="10" s="1"/>
  <c r="H1232" i="10"/>
  <c r="E1232" i="10"/>
  <c r="G1232" i="10" s="1"/>
  <c r="H1231" i="10"/>
  <c r="E1231" i="10"/>
  <c r="G1231" i="10" s="1"/>
  <c r="H1230" i="10"/>
  <c r="E1230" i="10"/>
  <c r="G1230" i="10" s="1"/>
  <c r="H1229" i="10"/>
  <c r="E1229" i="10"/>
  <c r="G1229" i="10" s="1"/>
  <c r="H1228" i="10"/>
  <c r="E1228" i="10"/>
  <c r="G1228" i="10" s="1"/>
  <c r="H1227" i="10"/>
  <c r="E1227" i="10"/>
  <c r="G1227" i="10" s="1"/>
  <c r="H1226" i="10"/>
  <c r="E1226" i="10"/>
  <c r="G1226" i="10" s="1"/>
  <c r="H1225" i="10"/>
  <c r="E1225" i="10"/>
  <c r="G1225" i="10" s="1"/>
  <c r="H1224" i="10"/>
  <c r="E1224" i="10"/>
  <c r="G1224" i="10" s="1"/>
  <c r="H1223" i="10"/>
  <c r="E1223" i="10"/>
  <c r="G1223" i="10" s="1"/>
  <c r="H1222" i="10"/>
  <c r="E1222" i="10"/>
  <c r="G1222" i="10" s="1"/>
  <c r="H1221" i="10"/>
  <c r="E1221" i="10"/>
  <c r="G1221" i="10" s="1"/>
  <c r="H1220" i="10"/>
  <c r="E1220" i="10"/>
  <c r="G1220" i="10" s="1"/>
  <c r="H1219" i="10"/>
  <c r="E1219" i="10"/>
  <c r="G1219" i="10" s="1"/>
  <c r="H1218" i="10"/>
  <c r="E1218" i="10"/>
  <c r="G1218" i="10" s="1"/>
  <c r="H1217" i="10"/>
  <c r="E1217" i="10"/>
  <c r="G1217" i="10" s="1"/>
  <c r="H1216" i="10"/>
  <c r="E1216" i="10"/>
  <c r="G1216" i="10" s="1"/>
  <c r="H1215" i="10"/>
  <c r="E1215" i="10"/>
  <c r="G1215" i="10" s="1"/>
  <c r="H1214" i="10"/>
  <c r="E1214" i="10"/>
  <c r="G1214" i="10" s="1"/>
  <c r="H1213" i="10"/>
  <c r="E1213" i="10"/>
  <c r="G1213" i="10" s="1"/>
  <c r="H1212" i="10"/>
  <c r="E1212" i="10"/>
  <c r="G1212" i="10" s="1"/>
  <c r="H1211" i="10"/>
  <c r="E1211" i="10"/>
  <c r="G1211" i="10" s="1"/>
  <c r="H1210" i="10"/>
  <c r="E1210" i="10"/>
  <c r="G1210" i="10" s="1"/>
  <c r="H1209" i="10"/>
  <c r="E1209" i="10"/>
  <c r="G1209" i="10" s="1"/>
  <c r="H1208" i="10"/>
  <c r="E1208" i="10"/>
  <c r="G1208" i="10" s="1"/>
  <c r="H1207" i="10"/>
  <c r="E1207" i="10"/>
  <c r="G1207" i="10" s="1"/>
  <c r="H1206" i="10"/>
  <c r="E1206" i="10"/>
  <c r="G1206" i="10" s="1"/>
  <c r="H1205" i="10"/>
  <c r="E1205" i="10"/>
  <c r="G1205" i="10" s="1"/>
  <c r="H1204" i="10"/>
  <c r="E1204" i="10"/>
  <c r="G1204" i="10" s="1"/>
  <c r="H1203" i="10"/>
  <c r="E1203" i="10"/>
  <c r="G1203" i="10" s="1"/>
  <c r="H1202" i="10"/>
  <c r="E1202" i="10"/>
  <c r="G1202" i="10" s="1"/>
  <c r="H1201" i="10"/>
  <c r="E1201" i="10"/>
  <c r="G1201" i="10" s="1"/>
  <c r="H1200" i="10"/>
  <c r="E1200" i="10"/>
  <c r="G1200" i="10" s="1"/>
  <c r="H1199" i="10"/>
  <c r="E1199" i="10"/>
  <c r="G1199" i="10" s="1"/>
  <c r="H1198" i="10"/>
  <c r="E1198" i="10"/>
  <c r="G1198" i="10" s="1"/>
  <c r="H1197" i="10"/>
  <c r="E1197" i="10"/>
  <c r="G1197" i="10" s="1"/>
  <c r="H1196" i="10"/>
  <c r="E1196" i="10"/>
  <c r="G1196" i="10" s="1"/>
  <c r="H1195" i="10"/>
  <c r="E1195" i="10"/>
  <c r="G1195" i="10" s="1"/>
  <c r="H1194" i="10"/>
  <c r="E1194" i="10"/>
  <c r="G1194" i="10" s="1"/>
  <c r="H1193" i="10"/>
  <c r="E1193" i="10"/>
  <c r="G1193" i="10" s="1"/>
  <c r="H1192" i="10"/>
  <c r="E1192" i="10"/>
  <c r="G1192" i="10" s="1"/>
  <c r="H1191" i="10"/>
  <c r="E1191" i="10"/>
  <c r="G1191" i="10" s="1"/>
  <c r="H1190" i="10"/>
  <c r="E1190" i="10"/>
  <c r="G1190" i="10" s="1"/>
  <c r="H1189" i="10"/>
  <c r="E1189" i="10"/>
  <c r="G1189" i="10" s="1"/>
  <c r="H1188" i="10"/>
  <c r="E1188" i="10"/>
  <c r="G1188" i="10" s="1"/>
  <c r="H1187" i="10"/>
  <c r="E1187" i="10"/>
  <c r="G1187" i="10" s="1"/>
  <c r="H1186" i="10"/>
  <c r="E1186" i="10"/>
  <c r="G1186" i="10" s="1"/>
  <c r="H1185" i="10"/>
  <c r="E1185" i="10"/>
  <c r="G1185" i="10" s="1"/>
  <c r="H1184" i="10"/>
  <c r="E1184" i="10"/>
  <c r="G1184" i="10" s="1"/>
  <c r="H1183" i="10"/>
  <c r="E1183" i="10"/>
  <c r="G1183" i="10" s="1"/>
  <c r="H1182" i="10"/>
  <c r="E1182" i="10"/>
  <c r="G1182" i="10" s="1"/>
  <c r="H1181" i="10"/>
  <c r="E1181" i="10"/>
  <c r="G1181" i="10" s="1"/>
  <c r="H1180" i="10"/>
  <c r="E1180" i="10"/>
  <c r="G1180" i="10" s="1"/>
  <c r="H1179" i="10"/>
  <c r="E1179" i="10"/>
  <c r="G1179" i="10" s="1"/>
  <c r="H1178" i="10"/>
  <c r="E1178" i="10"/>
  <c r="G1178" i="10" s="1"/>
  <c r="H1177" i="10"/>
  <c r="E1177" i="10"/>
  <c r="G1177" i="10" s="1"/>
  <c r="H1176" i="10"/>
  <c r="E1176" i="10"/>
  <c r="G1176" i="10" s="1"/>
  <c r="H1175" i="10"/>
  <c r="E1175" i="10"/>
  <c r="G1175" i="10" s="1"/>
  <c r="H1174" i="10"/>
  <c r="E1174" i="10"/>
  <c r="G1174" i="10" s="1"/>
  <c r="H1173" i="10"/>
  <c r="E1173" i="10"/>
  <c r="G1173" i="10" s="1"/>
  <c r="H1172" i="10"/>
  <c r="E1172" i="10"/>
  <c r="G1172" i="10" s="1"/>
  <c r="H1171" i="10"/>
  <c r="E1171" i="10"/>
  <c r="G1171" i="10" s="1"/>
  <c r="H1170" i="10"/>
  <c r="E1170" i="10"/>
  <c r="G1170" i="10" s="1"/>
  <c r="H1169" i="10"/>
  <c r="E1169" i="10"/>
  <c r="G1169" i="10" s="1"/>
  <c r="H1168" i="10"/>
  <c r="E1168" i="10"/>
  <c r="G1168" i="10" s="1"/>
  <c r="H1167" i="10"/>
  <c r="E1167" i="10"/>
  <c r="G1167" i="10" s="1"/>
  <c r="H1166" i="10"/>
  <c r="E1166" i="10"/>
  <c r="G1166" i="10" s="1"/>
  <c r="H1165" i="10"/>
  <c r="E1165" i="10"/>
  <c r="G1165" i="10" s="1"/>
  <c r="H1164" i="10"/>
  <c r="E1164" i="10"/>
  <c r="G1164" i="10" s="1"/>
  <c r="H1163" i="10"/>
  <c r="E1163" i="10"/>
  <c r="G1163" i="10" s="1"/>
  <c r="H1162" i="10"/>
  <c r="E1162" i="10"/>
  <c r="G1162" i="10" s="1"/>
  <c r="H1161" i="10"/>
  <c r="E1161" i="10"/>
  <c r="G1161" i="10" s="1"/>
  <c r="H1160" i="10"/>
  <c r="E1160" i="10"/>
  <c r="G1160" i="10" s="1"/>
  <c r="H1159" i="10"/>
  <c r="E1159" i="10"/>
  <c r="G1159" i="10" s="1"/>
  <c r="H1158" i="10"/>
  <c r="E1158" i="10"/>
  <c r="G1158" i="10" s="1"/>
  <c r="H1157" i="10"/>
  <c r="E1157" i="10"/>
  <c r="G1157" i="10" s="1"/>
  <c r="H1156" i="10"/>
  <c r="E1156" i="10"/>
  <c r="G1156" i="10" s="1"/>
  <c r="H1155" i="10"/>
  <c r="E1155" i="10"/>
  <c r="G1155" i="10" s="1"/>
  <c r="H1154" i="10"/>
  <c r="E1154" i="10"/>
  <c r="G1154" i="10" s="1"/>
  <c r="H1153" i="10"/>
  <c r="E1153" i="10"/>
  <c r="G1153" i="10" s="1"/>
  <c r="H1152" i="10"/>
  <c r="E1152" i="10"/>
  <c r="G1152" i="10" s="1"/>
  <c r="H1151" i="10"/>
  <c r="E1151" i="10"/>
  <c r="G1151" i="10" s="1"/>
  <c r="H1150" i="10"/>
  <c r="E1150" i="10"/>
  <c r="G1150" i="10" s="1"/>
  <c r="H1149" i="10"/>
  <c r="E1149" i="10"/>
  <c r="G1149" i="10" s="1"/>
  <c r="H1148" i="10"/>
  <c r="E1148" i="10"/>
  <c r="G1148" i="10" s="1"/>
  <c r="H1147" i="10"/>
  <c r="E1147" i="10"/>
  <c r="G1147" i="10" s="1"/>
  <c r="H1146" i="10"/>
  <c r="E1146" i="10"/>
  <c r="G1146" i="10" s="1"/>
  <c r="H1145" i="10"/>
  <c r="E1145" i="10"/>
  <c r="G1145" i="10" s="1"/>
  <c r="H1144" i="10"/>
  <c r="E1144" i="10"/>
  <c r="G1144" i="10" s="1"/>
  <c r="H1143" i="10"/>
  <c r="E1143" i="10"/>
  <c r="G1143" i="10" s="1"/>
  <c r="H1142" i="10"/>
  <c r="E1142" i="10"/>
  <c r="G1142" i="10" s="1"/>
  <c r="H1141" i="10"/>
  <c r="E1141" i="10"/>
  <c r="G1141" i="10" s="1"/>
  <c r="H1140" i="10"/>
  <c r="E1140" i="10"/>
  <c r="G1140" i="10" s="1"/>
  <c r="H1139" i="10"/>
  <c r="E1139" i="10"/>
  <c r="G1139" i="10" s="1"/>
  <c r="H1138" i="10"/>
  <c r="E1138" i="10"/>
  <c r="G1138" i="10" s="1"/>
  <c r="H1137" i="10"/>
  <c r="E1137" i="10"/>
  <c r="G1137" i="10" s="1"/>
  <c r="H1136" i="10"/>
  <c r="E1136" i="10"/>
  <c r="G1136" i="10" s="1"/>
  <c r="H1135" i="10"/>
  <c r="E1135" i="10"/>
  <c r="G1135" i="10" s="1"/>
  <c r="H1134" i="10"/>
  <c r="E1134" i="10"/>
  <c r="G1134" i="10" s="1"/>
  <c r="H1133" i="10"/>
  <c r="E1133" i="10"/>
  <c r="G1133" i="10" s="1"/>
  <c r="H1132" i="10"/>
  <c r="E1132" i="10"/>
  <c r="G1132" i="10" s="1"/>
  <c r="H1131" i="10"/>
  <c r="E1131" i="10"/>
  <c r="G1131" i="10" s="1"/>
  <c r="H1130" i="10"/>
  <c r="E1130" i="10"/>
  <c r="G1130" i="10" s="1"/>
  <c r="H1129" i="10"/>
  <c r="E1129" i="10"/>
  <c r="G1129" i="10" s="1"/>
  <c r="H1128" i="10"/>
  <c r="E1128" i="10"/>
  <c r="G1128" i="10" s="1"/>
  <c r="H1127" i="10"/>
  <c r="E1127" i="10"/>
  <c r="G1127" i="10" s="1"/>
  <c r="H1126" i="10"/>
  <c r="E1126" i="10"/>
  <c r="G1126" i="10" s="1"/>
  <c r="H1125" i="10"/>
  <c r="E1125" i="10"/>
  <c r="G1125" i="10" s="1"/>
  <c r="H1124" i="10"/>
  <c r="E1124" i="10"/>
  <c r="G1124" i="10" s="1"/>
  <c r="H1123" i="10"/>
  <c r="E1123" i="10"/>
  <c r="G1123" i="10" s="1"/>
  <c r="H1122" i="10"/>
  <c r="E1122" i="10"/>
  <c r="G1122" i="10" s="1"/>
  <c r="H1121" i="10"/>
  <c r="E1121" i="10"/>
  <c r="G1121" i="10" s="1"/>
  <c r="H1120" i="10"/>
  <c r="E1120" i="10"/>
  <c r="G1120" i="10" s="1"/>
  <c r="H1119" i="10"/>
  <c r="E1119" i="10"/>
  <c r="G1119" i="10" s="1"/>
  <c r="H1118" i="10"/>
  <c r="E1118" i="10"/>
  <c r="G1118" i="10" s="1"/>
  <c r="H1117" i="10"/>
  <c r="E1117" i="10"/>
  <c r="G1117" i="10" s="1"/>
  <c r="H1116" i="10"/>
  <c r="E1116" i="10"/>
  <c r="G1116" i="10" s="1"/>
  <c r="H1115" i="10"/>
  <c r="E1115" i="10"/>
  <c r="G1115" i="10" s="1"/>
  <c r="H1114" i="10"/>
  <c r="E1114" i="10"/>
  <c r="G1114" i="10" s="1"/>
  <c r="H1113" i="10"/>
  <c r="E1113" i="10"/>
  <c r="G1113" i="10" s="1"/>
  <c r="H1112" i="10"/>
  <c r="E1112" i="10"/>
  <c r="G1112" i="10" s="1"/>
  <c r="H1111" i="10"/>
  <c r="E1111" i="10"/>
  <c r="G1111" i="10" s="1"/>
  <c r="H1110" i="10"/>
  <c r="E1110" i="10"/>
  <c r="G1110" i="10" s="1"/>
  <c r="H1109" i="10"/>
  <c r="E1109" i="10"/>
  <c r="G1109" i="10" s="1"/>
  <c r="H1108" i="10"/>
  <c r="E1108" i="10"/>
  <c r="G1108" i="10" s="1"/>
  <c r="H1107" i="10"/>
  <c r="E1107" i="10"/>
  <c r="G1107" i="10" s="1"/>
  <c r="H1106" i="10"/>
  <c r="E1106" i="10"/>
  <c r="G1106" i="10" s="1"/>
  <c r="H1105" i="10"/>
  <c r="E1105" i="10"/>
  <c r="G1105" i="10" s="1"/>
  <c r="H1104" i="10"/>
  <c r="E1104" i="10"/>
  <c r="G1104" i="10" s="1"/>
  <c r="H1103" i="10"/>
  <c r="E1103" i="10"/>
  <c r="G1103" i="10" s="1"/>
  <c r="H1102" i="10"/>
  <c r="E1102" i="10"/>
  <c r="G1102" i="10" s="1"/>
  <c r="H1101" i="10"/>
  <c r="E1101" i="10"/>
  <c r="G1101" i="10" s="1"/>
  <c r="H1100" i="10"/>
  <c r="E1100" i="10"/>
  <c r="G1100" i="10" s="1"/>
  <c r="H1099" i="10"/>
  <c r="E1099" i="10"/>
  <c r="G1099" i="10" s="1"/>
  <c r="H1098" i="10"/>
  <c r="E1098" i="10"/>
  <c r="G1098" i="10" s="1"/>
  <c r="H1097" i="10"/>
  <c r="E1097" i="10"/>
  <c r="G1097" i="10" s="1"/>
  <c r="H1096" i="10"/>
  <c r="E1096" i="10"/>
  <c r="G1096" i="10" s="1"/>
  <c r="H1095" i="10"/>
  <c r="E1095" i="10"/>
  <c r="G1095" i="10" s="1"/>
  <c r="H1094" i="10"/>
  <c r="E1094" i="10"/>
  <c r="G1094" i="10" s="1"/>
  <c r="H1093" i="10"/>
  <c r="E1093" i="10"/>
  <c r="G1093" i="10" s="1"/>
  <c r="H1092" i="10"/>
  <c r="E1092" i="10"/>
  <c r="G1092" i="10" s="1"/>
  <c r="H1091" i="10"/>
  <c r="E1091" i="10"/>
  <c r="G1091" i="10" s="1"/>
  <c r="H1090" i="10"/>
  <c r="E1090" i="10"/>
  <c r="G1090" i="10" s="1"/>
  <c r="H1089" i="10"/>
  <c r="E1089" i="10"/>
  <c r="G1089" i="10" s="1"/>
  <c r="H1088" i="10"/>
  <c r="E1088" i="10"/>
  <c r="G1088" i="10" s="1"/>
  <c r="H1087" i="10"/>
  <c r="E1087" i="10"/>
  <c r="G1087" i="10" s="1"/>
  <c r="H1086" i="10"/>
  <c r="E1086" i="10"/>
  <c r="G1086" i="10" s="1"/>
  <c r="H1085" i="10"/>
  <c r="E1085" i="10"/>
  <c r="G1085" i="10" s="1"/>
  <c r="H1084" i="10"/>
  <c r="E1084" i="10"/>
  <c r="G1084" i="10" s="1"/>
  <c r="H1083" i="10"/>
  <c r="E1083" i="10"/>
  <c r="G1083" i="10" s="1"/>
  <c r="H1082" i="10"/>
  <c r="E1082" i="10"/>
  <c r="G1082" i="10" s="1"/>
  <c r="H1081" i="10"/>
  <c r="E1081" i="10"/>
  <c r="G1081" i="10" s="1"/>
  <c r="H1080" i="10"/>
  <c r="E1080" i="10"/>
  <c r="G1080" i="10" s="1"/>
  <c r="H1079" i="10"/>
  <c r="E1079" i="10"/>
  <c r="G1079" i="10" s="1"/>
  <c r="H1078" i="10"/>
  <c r="E1078" i="10"/>
  <c r="G1078" i="10" s="1"/>
  <c r="H1077" i="10"/>
  <c r="E1077" i="10"/>
  <c r="G1077" i="10" s="1"/>
  <c r="H1076" i="10"/>
  <c r="E1076" i="10"/>
  <c r="G1076" i="10" s="1"/>
  <c r="H1075" i="10"/>
  <c r="E1075" i="10"/>
  <c r="G1075" i="10" s="1"/>
  <c r="H1074" i="10"/>
  <c r="E1074" i="10"/>
  <c r="G1074" i="10" s="1"/>
  <c r="H1073" i="10"/>
  <c r="E1073" i="10"/>
  <c r="G1073" i="10" s="1"/>
  <c r="H1072" i="10"/>
  <c r="E1072" i="10"/>
  <c r="G1072" i="10" s="1"/>
  <c r="H1071" i="10"/>
  <c r="E1071" i="10"/>
  <c r="G1071" i="10" s="1"/>
  <c r="H1070" i="10"/>
  <c r="E1070" i="10"/>
  <c r="G1070" i="10" s="1"/>
  <c r="H1069" i="10"/>
  <c r="E1069" i="10"/>
  <c r="G1069" i="10" s="1"/>
  <c r="H1068" i="10"/>
  <c r="E1068" i="10"/>
  <c r="G1068" i="10" s="1"/>
  <c r="H1067" i="10"/>
  <c r="E1067" i="10"/>
  <c r="G1067" i="10" s="1"/>
  <c r="H1066" i="10"/>
  <c r="E1066" i="10"/>
  <c r="G1066" i="10" s="1"/>
  <c r="H1065" i="10"/>
  <c r="E1065" i="10"/>
  <c r="G1065" i="10" s="1"/>
  <c r="H1064" i="10"/>
  <c r="E1064" i="10"/>
  <c r="G1064" i="10" s="1"/>
  <c r="H1063" i="10"/>
  <c r="E1063" i="10"/>
  <c r="G1063" i="10" s="1"/>
  <c r="H1062" i="10"/>
  <c r="E1062" i="10"/>
  <c r="G1062" i="10" s="1"/>
  <c r="H1061" i="10"/>
  <c r="E1061" i="10"/>
  <c r="G1061" i="10" s="1"/>
  <c r="H1060" i="10"/>
  <c r="E1060" i="10"/>
  <c r="G1060" i="10" s="1"/>
  <c r="H1059" i="10"/>
  <c r="E1059" i="10"/>
  <c r="G1059" i="10" s="1"/>
  <c r="H1058" i="10"/>
  <c r="E1058" i="10"/>
  <c r="G1058" i="10" s="1"/>
  <c r="H1057" i="10"/>
  <c r="E1057" i="10"/>
  <c r="G1057" i="10" s="1"/>
  <c r="H1056" i="10"/>
  <c r="E1056" i="10"/>
  <c r="G1056" i="10" s="1"/>
  <c r="H1055" i="10"/>
  <c r="E1055" i="10"/>
  <c r="G1055" i="10" s="1"/>
  <c r="H1054" i="10"/>
  <c r="E1054" i="10"/>
  <c r="G1054" i="10" s="1"/>
  <c r="H1053" i="10"/>
  <c r="E1053" i="10"/>
  <c r="G1053" i="10" s="1"/>
  <c r="H1052" i="10"/>
  <c r="E1052" i="10"/>
  <c r="G1052" i="10" s="1"/>
  <c r="H1051" i="10"/>
  <c r="E1051" i="10"/>
  <c r="G1051" i="10" s="1"/>
  <c r="H1050" i="10"/>
  <c r="E1050" i="10"/>
  <c r="G1050" i="10" s="1"/>
  <c r="H1049" i="10"/>
  <c r="E1049" i="10"/>
  <c r="G1049" i="10" s="1"/>
  <c r="H1048" i="10"/>
  <c r="E1048" i="10"/>
  <c r="G1048" i="10" s="1"/>
  <c r="H1047" i="10"/>
  <c r="E1047" i="10"/>
  <c r="G1047" i="10" s="1"/>
  <c r="H1046" i="10"/>
  <c r="E1046" i="10"/>
  <c r="G1046" i="10" s="1"/>
  <c r="H1045" i="10"/>
  <c r="E1045" i="10"/>
  <c r="G1045" i="10" s="1"/>
  <c r="H1044" i="10"/>
  <c r="E1044" i="10"/>
  <c r="G1044" i="10" s="1"/>
  <c r="H1043" i="10"/>
  <c r="E1043" i="10"/>
  <c r="G1043" i="10" s="1"/>
  <c r="H1042" i="10"/>
  <c r="E1042" i="10"/>
  <c r="G1042" i="10" s="1"/>
  <c r="H1041" i="10"/>
  <c r="E1041" i="10"/>
  <c r="G1041" i="10" s="1"/>
  <c r="H1040" i="10"/>
  <c r="E1040" i="10"/>
  <c r="G1040" i="10" s="1"/>
  <c r="H1039" i="10"/>
  <c r="E1039" i="10"/>
  <c r="G1039" i="10" s="1"/>
  <c r="H1038" i="10"/>
  <c r="E1038" i="10"/>
  <c r="G1038" i="10" s="1"/>
  <c r="H1037" i="10"/>
  <c r="E1037" i="10"/>
  <c r="G1037" i="10" s="1"/>
  <c r="H1036" i="10"/>
  <c r="E1036" i="10"/>
  <c r="G1036" i="10" s="1"/>
  <c r="H1035" i="10"/>
  <c r="E1035" i="10"/>
  <c r="G1035" i="10" s="1"/>
  <c r="H1034" i="10"/>
  <c r="E1034" i="10"/>
  <c r="G1034" i="10" s="1"/>
  <c r="H1033" i="10"/>
  <c r="E1033" i="10"/>
  <c r="G1033" i="10" s="1"/>
  <c r="H1032" i="10"/>
  <c r="E1032" i="10"/>
  <c r="G1032" i="10" s="1"/>
  <c r="H1031" i="10"/>
  <c r="E1031" i="10"/>
  <c r="G1031" i="10" s="1"/>
  <c r="H1030" i="10"/>
  <c r="E1030" i="10"/>
  <c r="G1030" i="10" s="1"/>
  <c r="H1029" i="10"/>
  <c r="E1029" i="10"/>
  <c r="G1029" i="10" s="1"/>
  <c r="H1028" i="10"/>
  <c r="E1028" i="10"/>
  <c r="G1028" i="10" s="1"/>
  <c r="H1027" i="10"/>
  <c r="E1027" i="10"/>
  <c r="G1027" i="10" s="1"/>
  <c r="H1026" i="10"/>
  <c r="E1026" i="10"/>
  <c r="G1026" i="10" s="1"/>
  <c r="H1025" i="10"/>
  <c r="E1025" i="10"/>
  <c r="G1025" i="10" s="1"/>
  <c r="H1024" i="10"/>
  <c r="E1024" i="10"/>
  <c r="G1024" i="10" s="1"/>
  <c r="H1023" i="10"/>
  <c r="E1023" i="10"/>
  <c r="G1023" i="10" s="1"/>
  <c r="H1022" i="10"/>
  <c r="E1022" i="10"/>
  <c r="G1022" i="10" s="1"/>
  <c r="H1021" i="10"/>
  <c r="E1021" i="10"/>
  <c r="G1021" i="10" s="1"/>
  <c r="H1020" i="10"/>
  <c r="E1020" i="10"/>
  <c r="G1020" i="10" s="1"/>
  <c r="H1019" i="10"/>
  <c r="E1019" i="10"/>
  <c r="G1019" i="10" s="1"/>
  <c r="H1018" i="10"/>
  <c r="E1018" i="10"/>
  <c r="G1018" i="10" s="1"/>
  <c r="H1017" i="10"/>
  <c r="E1017" i="10"/>
  <c r="G1017" i="10" s="1"/>
  <c r="H1016" i="10"/>
  <c r="E1016" i="10"/>
  <c r="G1016" i="10" s="1"/>
  <c r="H1015" i="10"/>
  <c r="E1015" i="10"/>
  <c r="G1015" i="10" s="1"/>
  <c r="H1014" i="10"/>
  <c r="E1014" i="10"/>
  <c r="G1014" i="10" s="1"/>
  <c r="H1013" i="10"/>
  <c r="E1013" i="10"/>
  <c r="G1013" i="10" s="1"/>
  <c r="H1012" i="10"/>
  <c r="E1012" i="10"/>
  <c r="G1012" i="10" s="1"/>
  <c r="H1011" i="10"/>
  <c r="E1011" i="10"/>
  <c r="G1011" i="10" s="1"/>
  <c r="H1010" i="10"/>
  <c r="E1010" i="10"/>
  <c r="G1010" i="10" s="1"/>
  <c r="H1009" i="10"/>
  <c r="E1009" i="10"/>
  <c r="G1009" i="10" s="1"/>
  <c r="H1008" i="10"/>
  <c r="E1008" i="10"/>
  <c r="G1008" i="10" s="1"/>
  <c r="H1007" i="10"/>
  <c r="E1007" i="10"/>
  <c r="G1007" i="10" s="1"/>
  <c r="H1006" i="10"/>
  <c r="E1006" i="10"/>
  <c r="G1006" i="10" s="1"/>
  <c r="H1005" i="10"/>
  <c r="E1005" i="10"/>
  <c r="G1005" i="10" s="1"/>
  <c r="H1004" i="10"/>
  <c r="E1004" i="10"/>
  <c r="G1004" i="10" s="1"/>
  <c r="H1003" i="10"/>
  <c r="E1003" i="10"/>
  <c r="G1003" i="10" s="1"/>
  <c r="H1002" i="10"/>
  <c r="E1002" i="10"/>
  <c r="G1002" i="10" s="1"/>
  <c r="H1001" i="10"/>
  <c r="E1001" i="10"/>
  <c r="G1001" i="10" s="1"/>
  <c r="H1000" i="10"/>
  <c r="E1000" i="10"/>
  <c r="G1000" i="10" s="1"/>
  <c r="H999" i="10"/>
  <c r="E999" i="10"/>
  <c r="G999" i="10" s="1"/>
  <c r="H998" i="10"/>
  <c r="E998" i="10"/>
  <c r="G998" i="10" s="1"/>
  <c r="H997" i="10"/>
  <c r="E997" i="10"/>
  <c r="G997" i="10" s="1"/>
  <c r="H996" i="10"/>
  <c r="E996" i="10"/>
  <c r="G996" i="10" s="1"/>
  <c r="H995" i="10"/>
  <c r="E995" i="10"/>
  <c r="G995" i="10" s="1"/>
  <c r="H994" i="10"/>
  <c r="E994" i="10"/>
  <c r="G994" i="10" s="1"/>
  <c r="H993" i="10"/>
  <c r="E993" i="10"/>
  <c r="G993" i="10" s="1"/>
  <c r="H992" i="10"/>
  <c r="E992" i="10"/>
  <c r="G992" i="10" s="1"/>
  <c r="H991" i="10"/>
  <c r="E991" i="10"/>
  <c r="G991" i="10" s="1"/>
  <c r="H990" i="10"/>
  <c r="E990" i="10"/>
  <c r="G990" i="10" s="1"/>
  <c r="H989" i="10"/>
  <c r="E989" i="10"/>
  <c r="G989" i="10" s="1"/>
  <c r="H988" i="10"/>
  <c r="E988" i="10"/>
  <c r="G988" i="10" s="1"/>
  <c r="H987" i="10"/>
  <c r="E987" i="10"/>
  <c r="G987" i="10" s="1"/>
  <c r="H986" i="10"/>
  <c r="E986" i="10"/>
  <c r="G986" i="10" s="1"/>
  <c r="H985" i="10"/>
  <c r="E985" i="10"/>
  <c r="G985" i="10" s="1"/>
  <c r="H984" i="10"/>
  <c r="E984" i="10"/>
  <c r="G984" i="10" s="1"/>
  <c r="H983" i="10"/>
  <c r="E983" i="10"/>
  <c r="G983" i="10" s="1"/>
  <c r="H982" i="10"/>
  <c r="E982" i="10"/>
  <c r="G982" i="10" s="1"/>
  <c r="H981" i="10"/>
  <c r="E981" i="10"/>
  <c r="G981" i="10" s="1"/>
  <c r="H980" i="10"/>
  <c r="E980" i="10"/>
  <c r="G980" i="10" s="1"/>
  <c r="H979" i="10"/>
  <c r="E979" i="10"/>
  <c r="G979" i="10" s="1"/>
  <c r="H978" i="10"/>
  <c r="E978" i="10"/>
  <c r="G978" i="10" s="1"/>
  <c r="H977" i="10"/>
  <c r="E977" i="10"/>
  <c r="G977" i="10" s="1"/>
  <c r="H976" i="10"/>
  <c r="E976" i="10"/>
  <c r="G976" i="10" s="1"/>
  <c r="H975" i="10"/>
  <c r="E975" i="10"/>
  <c r="G975" i="10" s="1"/>
  <c r="H974" i="10"/>
  <c r="E974" i="10"/>
  <c r="G974" i="10" s="1"/>
  <c r="H973" i="10"/>
  <c r="E973" i="10"/>
  <c r="G973" i="10" s="1"/>
  <c r="H972" i="10"/>
  <c r="E972" i="10"/>
  <c r="G972" i="10" s="1"/>
  <c r="H971" i="10"/>
  <c r="E971" i="10"/>
  <c r="G971" i="10" s="1"/>
  <c r="H970" i="10"/>
  <c r="E970" i="10"/>
  <c r="G970" i="10" s="1"/>
  <c r="H969" i="10"/>
  <c r="E969" i="10"/>
  <c r="G969" i="10" s="1"/>
  <c r="H968" i="10"/>
  <c r="E968" i="10"/>
  <c r="G968" i="10" s="1"/>
  <c r="H967" i="10"/>
  <c r="E967" i="10"/>
  <c r="G967" i="10" s="1"/>
  <c r="H966" i="10"/>
  <c r="E966" i="10"/>
  <c r="G966" i="10" s="1"/>
  <c r="H965" i="10"/>
  <c r="E965" i="10"/>
  <c r="G965" i="10" s="1"/>
  <c r="H964" i="10"/>
  <c r="E964" i="10"/>
  <c r="G964" i="10" s="1"/>
  <c r="H963" i="10"/>
  <c r="E963" i="10"/>
  <c r="G963" i="10" s="1"/>
  <c r="H962" i="10"/>
  <c r="E962" i="10"/>
  <c r="G962" i="10" s="1"/>
  <c r="H961" i="10"/>
  <c r="E961" i="10"/>
  <c r="G961" i="10" s="1"/>
  <c r="H960" i="10"/>
  <c r="E960" i="10"/>
  <c r="G960" i="10" s="1"/>
  <c r="H959" i="10"/>
  <c r="E959" i="10"/>
  <c r="G959" i="10" s="1"/>
  <c r="H958" i="10"/>
  <c r="E958" i="10"/>
  <c r="G958" i="10" s="1"/>
  <c r="H957" i="10"/>
  <c r="E957" i="10"/>
  <c r="G957" i="10" s="1"/>
  <c r="H956" i="10"/>
  <c r="E956" i="10"/>
  <c r="G956" i="10" s="1"/>
  <c r="H955" i="10"/>
  <c r="E955" i="10"/>
  <c r="G955" i="10" s="1"/>
  <c r="H954" i="10"/>
  <c r="E954" i="10"/>
  <c r="G954" i="10" s="1"/>
  <c r="H953" i="10"/>
  <c r="E953" i="10"/>
  <c r="G953" i="10" s="1"/>
  <c r="H952" i="10"/>
  <c r="E952" i="10"/>
  <c r="G952" i="10" s="1"/>
  <c r="H951" i="10"/>
  <c r="E951" i="10"/>
  <c r="G951" i="10" s="1"/>
  <c r="H950" i="10"/>
  <c r="E950" i="10"/>
  <c r="G950" i="10" s="1"/>
  <c r="H949" i="10"/>
  <c r="E949" i="10"/>
  <c r="G949" i="10" s="1"/>
  <c r="H948" i="10"/>
  <c r="E948" i="10"/>
  <c r="G948" i="10" s="1"/>
  <c r="H947" i="10"/>
  <c r="E947" i="10"/>
  <c r="G947" i="10" s="1"/>
  <c r="H946" i="10"/>
  <c r="E946" i="10"/>
  <c r="G946" i="10" s="1"/>
  <c r="H945" i="10"/>
  <c r="E945" i="10"/>
  <c r="G945" i="10" s="1"/>
  <c r="H944" i="10"/>
  <c r="E944" i="10"/>
  <c r="G944" i="10" s="1"/>
  <c r="H943" i="10"/>
  <c r="E943" i="10"/>
  <c r="G943" i="10" s="1"/>
  <c r="H942" i="10"/>
  <c r="E942" i="10"/>
  <c r="G942" i="10" s="1"/>
  <c r="H941" i="10"/>
  <c r="E941" i="10"/>
  <c r="G941" i="10" s="1"/>
  <c r="H940" i="10"/>
  <c r="E940" i="10"/>
  <c r="G940" i="10" s="1"/>
  <c r="H939" i="10"/>
  <c r="E939" i="10"/>
  <c r="G939" i="10" s="1"/>
  <c r="H938" i="10"/>
  <c r="E938" i="10"/>
  <c r="G938" i="10" s="1"/>
  <c r="H937" i="10"/>
  <c r="E937" i="10"/>
  <c r="G937" i="10" s="1"/>
  <c r="H936" i="10"/>
  <c r="E936" i="10"/>
  <c r="G936" i="10" s="1"/>
  <c r="H935" i="10"/>
  <c r="E935" i="10"/>
  <c r="G935" i="10" s="1"/>
  <c r="H934" i="10"/>
  <c r="E934" i="10"/>
  <c r="G934" i="10" s="1"/>
  <c r="H933" i="10"/>
  <c r="E933" i="10"/>
  <c r="G933" i="10" s="1"/>
  <c r="H932" i="10"/>
  <c r="E932" i="10"/>
  <c r="G932" i="10" s="1"/>
  <c r="H931" i="10"/>
  <c r="E931" i="10"/>
  <c r="G931" i="10" s="1"/>
  <c r="H930" i="10"/>
  <c r="E930" i="10"/>
  <c r="G930" i="10" s="1"/>
  <c r="H929" i="10"/>
  <c r="E929" i="10"/>
  <c r="G929" i="10" s="1"/>
  <c r="H928" i="10"/>
  <c r="E928" i="10"/>
  <c r="G928" i="10" s="1"/>
  <c r="H927" i="10"/>
  <c r="E927" i="10"/>
  <c r="G927" i="10" s="1"/>
  <c r="H926" i="10"/>
  <c r="E926" i="10"/>
  <c r="G926" i="10" s="1"/>
  <c r="H925" i="10"/>
  <c r="E925" i="10"/>
  <c r="G925" i="10" s="1"/>
  <c r="H924" i="10"/>
  <c r="E924" i="10"/>
  <c r="G924" i="10" s="1"/>
  <c r="H923" i="10"/>
  <c r="E923" i="10"/>
  <c r="G923" i="10" s="1"/>
  <c r="H922" i="10"/>
  <c r="E922" i="10"/>
  <c r="G922" i="10" s="1"/>
  <c r="H921" i="10"/>
  <c r="E921" i="10"/>
  <c r="G921" i="10" s="1"/>
  <c r="H920" i="10"/>
  <c r="E920" i="10"/>
  <c r="G920" i="10" s="1"/>
  <c r="H919" i="10"/>
  <c r="E919" i="10"/>
  <c r="G919" i="10" s="1"/>
  <c r="H918" i="10"/>
  <c r="E918" i="10"/>
  <c r="G918" i="10" s="1"/>
  <c r="H917" i="10"/>
  <c r="E917" i="10"/>
  <c r="G917" i="10" s="1"/>
  <c r="H916" i="10"/>
  <c r="E916" i="10"/>
  <c r="G916" i="10" s="1"/>
  <c r="H915" i="10"/>
  <c r="E915" i="10"/>
  <c r="G915" i="10" s="1"/>
  <c r="H914" i="10"/>
  <c r="E914" i="10"/>
  <c r="G914" i="10" s="1"/>
  <c r="H913" i="10"/>
  <c r="E913" i="10"/>
  <c r="G913" i="10" s="1"/>
  <c r="H912" i="10"/>
  <c r="E912" i="10"/>
  <c r="G912" i="10" s="1"/>
  <c r="H911" i="10"/>
  <c r="E911" i="10"/>
  <c r="G911" i="10" s="1"/>
  <c r="H910" i="10"/>
  <c r="E910" i="10"/>
  <c r="G910" i="10" s="1"/>
  <c r="H909" i="10"/>
  <c r="E909" i="10"/>
  <c r="G909" i="10" s="1"/>
  <c r="H908" i="10"/>
  <c r="E908" i="10"/>
  <c r="G908" i="10" s="1"/>
  <c r="H907" i="10"/>
  <c r="E907" i="10"/>
  <c r="G907" i="10" s="1"/>
  <c r="H906" i="10"/>
  <c r="E906" i="10"/>
  <c r="G906" i="10" s="1"/>
  <c r="H905" i="10"/>
  <c r="E905" i="10"/>
  <c r="G905" i="10" s="1"/>
  <c r="H904" i="10"/>
  <c r="E904" i="10"/>
  <c r="G904" i="10" s="1"/>
  <c r="H903" i="10"/>
  <c r="E903" i="10"/>
  <c r="G903" i="10" s="1"/>
  <c r="H902" i="10"/>
  <c r="E902" i="10"/>
  <c r="G902" i="10" s="1"/>
  <c r="H901" i="10"/>
  <c r="E901" i="10"/>
  <c r="G901" i="10" s="1"/>
  <c r="H900" i="10"/>
  <c r="E900" i="10"/>
  <c r="G900" i="10" s="1"/>
  <c r="H899" i="10"/>
  <c r="E899" i="10"/>
  <c r="G899" i="10" s="1"/>
  <c r="H898" i="10"/>
  <c r="E898" i="10"/>
  <c r="G898" i="10" s="1"/>
  <c r="H897" i="10"/>
  <c r="E897" i="10"/>
  <c r="G897" i="10" s="1"/>
  <c r="H896" i="10"/>
  <c r="E896" i="10"/>
  <c r="G896" i="10" s="1"/>
  <c r="H895" i="10"/>
  <c r="E895" i="10"/>
  <c r="G895" i="10" s="1"/>
  <c r="H894" i="10"/>
  <c r="E894" i="10"/>
  <c r="G894" i="10" s="1"/>
  <c r="H893" i="10"/>
  <c r="E893" i="10"/>
  <c r="G893" i="10" s="1"/>
  <c r="H892" i="10"/>
  <c r="E892" i="10"/>
  <c r="G892" i="10" s="1"/>
  <c r="H891" i="10"/>
  <c r="E891" i="10"/>
  <c r="G891" i="10" s="1"/>
  <c r="H890" i="10"/>
  <c r="E890" i="10"/>
  <c r="G890" i="10" s="1"/>
  <c r="H889" i="10"/>
  <c r="E889" i="10"/>
  <c r="G889" i="10" s="1"/>
  <c r="H888" i="10"/>
  <c r="E888" i="10"/>
  <c r="G888" i="10" s="1"/>
  <c r="H887" i="10"/>
  <c r="E887" i="10"/>
  <c r="G887" i="10" s="1"/>
  <c r="H886" i="10"/>
  <c r="E886" i="10"/>
  <c r="G886" i="10" s="1"/>
  <c r="H885" i="10"/>
  <c r="E885" i="10"/>
  <c r="G885" i="10" s="1"/>
  <c r="H884" i="10"/>
  <c r="E884" i="10"/>
  <c r="G884" i="10" s="1"/>
  <c r="H883" i="10"/>
  <c r="E883" i="10"/>
  <c r="G883" i="10" s="1"/>
  <c r="H882" i="10"/>
  <c r="E882" i="10"/>
  <c r="G882" i="10" s="1"/>
  <c r="H881" i="10"/>
  <c r="E881" i="10"/>
  <c r="G881" i="10" s="1"/>
  <c r="H880" i="10"/>
  <c r="E880" i="10"/>
  <c r="G880" i="10" s="1"/>
  <c r="H879" i="10"/>
  <c r="E879" i="10"/>
  <c r="G879" i="10" s="1"/>
  <c r="H878" i="10"/>
  <c r="E878" i="10"/>
  <c r="G878" i="10" s="1"/>
  <c r="H877" i="10"/>
  <c r="E877" i="10"/>
  <c r="G877" i="10" s="1"/>
  <c r="H876" i="10"/>
  <c r="E876" i="10"/>
  <c r="G876" i="10" s="1"/>
  <c r="H875" i="10"/>
  <c r="E875" i="10"/>
  <c r="G875" i="10" s="1"/>
  <c r="H874" i="10"/>
  <c r="E874" i="10"/>
  <c r="G874" i="10" s="1"/>
  <c r="H873" i="10"/>
  <c r="E873" i="10"/>
  <c r="G873" i="10" s="1"/>
  <c r="H872" i="10"/>
  <c r="E872" i="10"/>
  <c r="G872" i="10" s="1"/>
  <c r="H871" i="10"/>
  <c r="E871" i="10"/>
  <c r="G871" i="10" s="1"/>
  <c r="H870" i="10"/>
  <c r="E870" i="10"/>
  <c r="G870" i="10" s="1"/>
  <c r="H869" i="10"/>
  <c r="E869" i="10"/>
  <c r="G869" i="10" s="1"/>
  <c r="H868" i="10"/>
  <c r="E868" i="10"/>
  <c r="G868" i="10" s="1"/>
  <c r="H867" i="10"/>
  <c r="E867" i="10"/>
  <c r="G867" i="10" s="1"/>
  <c r="H866" i="10"/>
  <c r="E866" i="10"/>
  <c r="G866" i="10" s="1"/>
  <c r="H865" i="10"/>
  <c r="E865" i="10"/>
  <c r="G865" i="10" s="1"/>
  <c r="H864" i="10"/>
  <c r="E864" i="10"/>
  <c r="G864" i="10" s="1"/>
  <c r="H863" i="10"/>
  <c r="E863" i="10"/>
  <c r="G863" i="10" s="1"/>
  <c r="H862" i="10"/>
  <c r="E862" i="10"/>
  <c r="G862" i="10" s="1"/>
  <c r="H861" i="10"/>
  <c r="E861" i="10"/>
  <c r="G861" i="10" s="1"/>
  <c r="H860" i="10"/>
  <c r="E860" i="10"/>
  <c r="G860" i="10" s="1"/>
  <c r="H859" i="10"/>
  <c r="E859" i="10"/>
  <c r="G859" i="10" s="1"/>
  <c r="H858" i="10"/>
  <c r="E858" i="10"/>
  <c r="G858" i="10" s="1"/>
  <c r="H857" i="10"/>
  <c r="E857" i="10"/>
  <c r="G857" i="10" s="1"/>
  <c r="H856" i="10"/>
  <c r="E856" i="10"/>
  <c r="G856" i="10" s="1"/>
  <c r="H855" i="10"/>
  <c r="E855" i="10"/>
  <c r="G855" i="10" s="1"/>
  <c r="H854" i="10"/>
  <c r="E854" i="10"/>
  <c r="G854" i="10" s="1"/>
  <c r="H853" i="10"/>
  <c r="E853" i="10"/>
  <c r="G853" i="10" s="1"/>
  <c r="H852" i="10"/>
  <c r="E852" i="10"/>
  <c r="G852" i="10" s="1"/>
  <c r="H851" i="10"/>
  <c r="E851" i="10"/>
  <c r="G851" i="10" s="1"/>
  <c r="H850" i="10"/>
  <c r="E850" i="10"/>
  <c r="G850" i="10" s="1"/>
  <c r="H849" i="10"/>
  <c r="E849" i="10"/>
  <c r="G849" i="10" s="1"/>
  <c r="H848" i="10"/>
  <c r="E848" i="10"/>
  <c r="G848" i="10" s="1"/>
  <c r="H847" i="10"/>
  <c r="E847" i="10"/>
  <c r="G847" i="10" s="1"/>
  <c r="H846" i="10"/>
  <c r="E846" i="10"/>
  <c r="G846" i="10" s="1"/>
  <c r="H845" i="10"/>
  <c r="E845" i="10"/>
  <c r="G845" i="10" s="1"/>
  <c r="H844" i="10"/>
  <c r="E844" i="10"/>
  <c r="G844" i="10" s="1"/>
  <c r="H843" i="10"/>
  <c r="E843" i="10"/>
  <c r="G843" i="10" s="1"/>
  <c r="H842" i="10"/>
  <c r="E842" i="10"/>
  <c r="G842" i="10" s="1"/>
  <c r="H841" i="10"/>
  <c r="E841" i="10"/>
  <c r="G841" i="10" s="1"/>
  <c r="H840" i="10"/>
  <c r="E840" i="10"/>
  <c r="G840" i="10" s="1"/>
  <c r="H839" i="10"/>
  <c r="E839" i="10"/>
  <c r="G839" i="10" s="1"/>
  <c r="H838" i="10"/>
  <c r="E838" i="10"/>
  <c r="G838" i="10" s="1"/>
  <c r="H837" i="10"/>
  <c r="E837" i="10"/>
  <c r="G837" i="10" s="1"/>
  <c r="H836" i="10"/>
  <c r="E836" i="10"/>
  <c r="G836" i="10" s="1"/>
  <c r="H835" i="10"/>
  <c r="E835" i="10"/>
  <c r="G835" i="10" s="1"/>
  <c r="H834" i="10"/>
  <c r="E834" i="10"/>
  <c r="G834" i="10" s="1"/>
  <c r="H833" i="10"/>
  <c r="E833" i="10"/>
  <c r="G833" i="10" s="1"/>
  <c r="H832" i="10"/>
  <c r="E832" i="10"/>
  <c r="G832" i="10" s="1"/>
  <c r="H831" i="10"/>
  <c r="E831" i="10"/>
  <c r="G831" i="10" s="1"/>
  <c r="H830" i="10"/>
  <c r="E830" i="10"/>
  <c r="G830" i="10" s="1"/>
  <c r="H829" i="10"/>
  <c r="E829" i="10"/>
  <c r="G829" i="10" s="1"/>
  <c r="H828" i="10"/>
  <c r="E828" i="10"/>
  <c r="G828" i="10" s="1"/>
  <c r="H827" i="10"/>
  <c r="E827" i="10"/>
  <c r="G827" i="10" s="1"/>
  <c r="H826" i="10"/>
  <c r="E826" i="10"/>
  <c r="G826" i="10" s="1"/>
  <c r="H825" i="10"/>
  <c r="E825" i="10"/>
  <c r="G825" i="10" s="1"/>
  <c r="H824" i="10"/>
  <c r="E824" i="10"/>
  <c r="G824" i="10" s="1"/>
  <c r="H823" i="10"/>
  <c r="E823" i="10"/>
  <c r="G823" i="10" s="1"/>
  <c r="H822" i="10"/>
  <c r="E822" i="10"/>
  <c r="G822" i="10" s="1"/>
  <c r="H821" i="10"/>
  <c r="E821" i="10"/>
  <c r="G821" i="10" s="1"/>
  <c r="H820" i="10"/>
  <c r="E820" i="10"/>
  <c r="G820" i="10" s="1"/>
  <c r="H819" i="10"/>
  <c r="E819" i="10"/>
  <c r="G819" i="10" s="1"/>
  <c r="H818" i="10"/>
  <c r="E818" i="10"/>
  <c r="G818" i="10" s="1"/>
  <c r="H817" i="10"/>
  <c r="E817" i="10"/>
  <c r="G817" i="10" s="1"/>
  <c r="H816" i="10"/>
  <c r="E816" i="10"/>
  <c r="G816" i="10" s="1"/>
  <c r="H815" i="10"/>
  <c r="E815" i="10"/>
  <c r="G815" i="10" s="1"/>
  <c r="H814" i="10"/>
  <c r="E814" i="10"/>
  <c r="G814" i="10" s="1"/>
  <c r="H813" i="10"/>
  <c r="E813" i="10"/>
  <c r="G813" i="10" s="1"/>
  <c r="H812" i="10"/>
  <c r="E812" i="10"/>
  <c r="G812" i="10" s="1"/>
  <c r="H811" i="10"/>
  <c r="E811" i="10"/>
  <c r="G811" i="10" s="1"/>
  <c r="H810" i="10"/>
  <c r="E810" i="10"/>
  <c r="G810" i="10" s="1"/>
  <c r="H809" i="10"/>
  <c r="E809" i="10"/>
  <c r="G809" i="10" s="1"/>
  <c r="H808" i="10"/>
  <c r="E808" i="10"/>
  <c r="G808" i="10" s="1"/>
  <c r="H807" i="10"/>
  <c r="E807" i="10"/>
  <c r="G807" i="10" s="1"/>
  <c r="H806" i="10"/>
  <c r="E806" i="10"/>
  <c r="G806" i="10" s="1"/>
  <c r="H805" i="10"/>
  <c r="E805" i="10"/>
  <c r="G805" i="10" s="1"/>
  <c r="H804" i="10"/>
  <c r="E804" i="10"/>
  <c r="G804" i="10" s="1"/>
  <c r="H803" i="10"/>
  <c r="E803" i="10"/>
  <c r="G803" i="10" s="1"/>
  <c r="H802" i="10"/>
  <c r="E802" i="10"/>
  <c r="G802" i="10" s="1"/>
  <c r="H801" i="10"/>
  <c r="E801" i="10"/>
  <c r="G801" i="10" s="1"/>
  <c r="H800" i="10"/>
  <c r="E800" i="10"/>
  <c r="G800" i="10" s="1"/>
  <c r="H799" i="10"/>
  <c r="E799" i="10"/>
  <c r="G799" i="10" s="1"/>
  <c r="H798" i="10"/>
  <c r="E798" i="10"/>
  <c r="G798" i="10" s="1"/>
  <c r="H797" i="10"/>
  <c r="E797" i="10"/>
  <c r="G797" i="10" s="1"/>
  <c r="H796" i="10"/>
  <c r="E796" i="10"/>
  <c r="G796" i="10" s="1"/>
  <c r="H795" i="10"/>
  <c r="E795" i="10"/>
  <c r="G795" i="10" s="1"/>
  <c r="H794" i="10"/>
  <c r="E794" i="10"/>
  <c r="G794" i="10" s="1"/>
  <c r="H793" i="10"/>
  <c r="E793" i="10"/>
  <c r="G793" i="10" s="1"/>
  <c r="H792" i="10"/>
  <c r="E792" i="10"/>
  <c r="G792" i="10" s="1"/>
  <c r="H791" i="10"/>
  <c r="E791" i="10"/>
  <c r="G791" i="10" s="1"/>
  <c r="H790" i="10"/>
  <c r="E790" i="10"/>
  <c r="G790" i="10" s="1"/>
  <c r="H789" i="10"/>
  <c r="E789" i="10"/>
  <c r="G789" i="10" s="1"/>
  <c r="H788" i="10"/>
  <c r="E788" i="10"/>
  <c r="G788" i="10" s="1"/>
  <c r="H787" i="10"/>
  <c r="E787" i="10"/>
  <c r="G787" i="10" s="1"/>
  <c r="H786" i="10"/>
  <c r="E786" i="10"/>
  <c r="G786" i="10" s="1"/>
  <c r="H785" i="10"/>
  <c r="E785" i="10"/>
  <c r="G785" i="10" s="1"/>
  <c r="H784" i="10"/>
  <c r="E784" i="10"/>
  <c r="G784" i="10" s="1"/>
  <c r="H783" i="10"/>
  <c r="E783" i="10"/>
  <c r="G783" i="10" s="1"/>
  <c r="H782" i="10"/>
  <c r="E782" i="10"/>
  <c r="G782" i="10" s="1"/>
  <c r="H781" i="10"/>
  <c r="E781" i="10"/>
  <c r="G781" i="10" s="1"/>
  <c r="H780" i="10"/>
  <c r="E780" i="10"/>
  <c r="G780" i="10" s="1"/>
  <c r="H779" i="10"/>
  <c r="E779" i="10"/>
  <c r="G779" i="10" s="1"/>
  <c r="H778" i="10"/>
  <c r="E778" i="10"/>
  <c r="G778" i="10" s="1"/>
  <c r="H777" i="10"/>
  <c r="E777" i="10"/>
  <c r="G777" i="10" s="1"/>
  <c r="H776" i="10"/>
  <c r="E776" i="10"/>
  <c r="G776" i="10" s="1"/>
  <c r="H775" i="10"/>
  <c r="E775" i="10"/>
  <c r="G775" i="10" s="1"/>
  <c r="H774" i="10"/>
  <c r="E774" i="10"/>
  <c r="G774" i="10" s="1"/>
  <c r="H773" i="10"/>
  <c r="E773" i="10"/>
  <c r="G773" i="10" s="1"/>
  <c r="H772" i="10"/>
  <c r="E772" i="10"/>
  <c r="G772" i="10" s="1"/>
  <c r="H771" i="10"/>
  <c r="E771" i="10"/>
  <c r="G771" i="10" s="1"/>
  <c r="H770" i="10"/>
  <c r="E770" i="10"/>
  <c r="G770" i="10" s="1"/>
  <c r="H769" i="10"/>
  <c r="E769" i="10"/>
  <c r="G769" i="10" s="1"/>
  <c r="H768" i="10"/>
  <c r="E768" i="10"/>
  <c r="G768" i="10" s="1"/>
  <c r="H767" i="10"/>
  <c r="E767" i="10"/>
  <c r="G767" i="10" s="1"/>
  <c r="H766" i="10"/>
  <c r="E766" i="10"/>
  <c r="G766" i="10" s="1"/>
  <c r="H765" i="10"/>
  <c r="E765" i="10"/>
  <c r="G765" i="10" s="1"/>
  <c r="H764" i="10"/>
  <c r="E764" i="10"/>
  <c r="G764" i="10" s="1"/>
  <c r="H763" i="10"/>
  <c r="E763" i="10"/>
  <c r="G763" i="10" s="1"/>
  <c r="H762" i="10"/>
  <c r="E762" i="10"/>
  <c r="G762" i="10" s="1"/>
  <c r="H761" i="10"/>
  <c r="E761" i="10"/>
  <c r="G761" i="10" s="1"/>
  <c r="H760" i="10"/>
  <c r="E760" i="10"/>
  <c r="G760" i="10" s="1"/>
  <c r="H759" i="10"/>
  <c r="E759" i="10"/>
  <c r="G759" i="10" s="1"/>
  <c r="H758" i="10"/>
  <c r="E758" i="10"/>
  <c r="G758" i="10" s="1"/>
  <c r="H757" i="10"/>
  <c r="E757" i="10"/>
  <c r="G757" i="10" s="1"/>
  <c r="H756" i="10"/>
  <c r="E756" i="10"/>
  <c r="G756" i="10" s="1"/>
  <c r="H755" i="10"/>
  <c r="E755" i="10"/>
  <c r="G755" i="10" s="1"/>
  <c r="H754" i="10"/>
  <c r="E754" i="10"/>
  <c r="G754" i="10" s="1"/>
  <c r="H753" i="10"/>
  <c r="E753" i="10"/>
  <c r="G753" i="10" s="1"/>
  <c r="H752" i="10"/>
  <c r="E752" i="10"/>
  <c r="G752" i="10" s="1"/>
  <c r="H751" i="10"/>
  <c r="E751" i="10"/>
  <c r="G751" i="10" s="1"/>
  <c r="H750" i="10"/>
  <c r="E750" i="10"/>
  <c r="G750" i="10" s="1"/>
  <c r="H749" i="10"/>
  <c r="E749" i="10"/>
  <c r="G749" i="10" s="1"/>
  <c r="H748" i="10"/>
  <c r="E748" i="10"/>
  <c r="G748" i="10" s="1"/>
  <c r="H747" i="10"/>
  <c r="E747" i="10"/>
  <c r="G747" i="10" s="1"/>
  <c r="H746" i="10"/>
  <c r="E746" i="10"/>
  <c r="G746" i="10" s="1"/>
  <c r="H745" i="10"/>
  <c r="E745" i="10"/>
  <c r="G745" i="10" s="1"/>
  <c r="H744" i="10"/>
  <c r="E744" i="10"/>
  <c r="G744" i="10" s="1"/>
  <c r="H743" i="10"/>
  <c r="E743" i="10"/>
  <c r="G743" i="10" s="1"/>
  <c r="H742" i="10"/>
  <c r="E742" i="10"/>
  <c r="G742" i="10" s="1"/>
  <c r="H741" i="10"/>
  <c r="E741" i="10"/>
  <c r="G741" i="10" s="1"/>
  <c r="H740" i="10"/>
  <c r="E740" i="10"/>
  <c r="G740" i="10" s="1"/>
  <c r="H739" i="10"/>
  <c r="E739" i="10"/>
  <c r="G739" i="10" s="1"/>
  <c r="H738" i="10"/>
  <c r="E738" i="10"/>
  <c r="G738" i="10" s="1"/>
  <c r="H737" i="10"/>
  <c r="E737" i="10"/>
  <c r="G737" i="10" s="1"/>
  <c r="H736" i="10"/>
  <c r="E736" i="10"/>
  <c r="G736" i="10" s="1"/>
  <c r="H735" i="10"/>
  <c r="E735" i="10"/>
  <c r="G735" i="10" s="1"/>
  <c r="H734" i="10"/>
  <c r="E734" i="10"/>
  <c r="G734" i="10" s="1"/>
  <c r="H733" i="10"/>
  <c r="E733" i="10"/>
  <c r="G733" i="10" s="1"/>
  <c r="H732" i="10"/>
  <c r="E732" i="10"/>
  <c r="G732" i="10" s="1"/>
  <c r="H731" i="10"/>
  <c r="E731" i="10"/>
  <c r="G731" i="10" s="1"/>
  <c r="H730" i="10"/>
  <c r="E730" i="10"/>
  <c r="G730" i="10" s="1"/>
  <c r="H729" i="10"/>
  <c r="E729" i="10"/>
  <c r="G729" i="10" s="1"/>
  <c r="H728" i="10"/>
  <c r="E728" i="10"/>
  <c r="G728" i="10" s="1"/>
  <c r="H727" i="10"/>
  <c r="E727" i="10"/>
  <c r="G727" i="10" s="1"/>
  <c r="H726" i="10"/>
  <c r="E726" i="10"/>
  <c r="G726" i="10" s="1"/>
  <c r="H725" i="10"/>
  <c r="E725" i="10"/>
  <c r="G725" i="10" s="1"/>
  <c r="H724" i="10"/>
  <c r="E724" i="10"/>
  <c r="G724" i="10" s="1"/>
  <c r="H723" i="10"/>
  <c r="E723" i="10"/>
  <c r="G723" i="10" s="1"/>
  <c r="H722" i="10"/>
  <c r="E722" i="10"/>
  <c r="G722" i="10" s="1"/>
  <c r="H721" i="10"/>
  <c r="E721" i="10"/>
  <c r="G721" i="10" s="1"/>
  <c r="H720" i="10"/>
  <c r="E720" i="10"/>
  <c r="G720" i="10" s="1"/>
  <c r="H719" i="10"/>
  <c r="E719" i="10"/>
  <c r="G719" i="10" s="1"/>
  <c r="H718" i="10"/>
  <c r="E718" i="10"/>
  <c r="G718" i="10" s="1"/>
  <c r="H717" i="10"/>
  <c r="E717" i="10"/>
  <c r="G717" i="10" s="1"/>
  <c r="H716" i="10"/>
  <c r="E716" i="10"/>
  <c r="G716" i="10" s="1"/>
  <c r="H715" i="10"/>
  <c r="E715" i="10"/>
  <c r="G715" i="10" s="1"/>
  <c r="H714" i="10"/>
  <c r="E714" i="10"/>
  <c r="G714" i="10" s="1"/>
  <c r="H713" i="10"/>
  <c r="E713" i="10"/>
  <c r="G713" i="10" s="1"/>
  <c r="H712" i="10"/>
  <c r="E712" i="10"/>
  <c r="G712" i="10" s="1"/>
  <c r="H711" i="10"/>
  <c r="E711" i="10"/>
  <c r="G711" i="10" s="1"/>
  <c r="H710" i="10"/>
  <c r="E710" i="10"/>
  <c r="G710" i="10" s="1"/>
  <c r="H709" i="10"/>
  <c r="E709" i="10"/>
  <c r="G709" i="10" s="1"/>
  <c r="H708" i="10"/>
  <c r="E708" i="10"/>
  <c r="G708" i="10" s="1"/>
  <c r="H707" i="10"/>
  <c r="E707" i="10"/>
  <c r="G707" i="10" s="1"/>
  <c r="H706" i="10"/>
  <c r="E706" i="10"/>
  <c r="G706" i="10" s="1"/>
  <c r="H705" i="10"/>
  <c r="E705" i="10"/>
  <c r="G705" i="10" s="1"/>
  <c r="H704" i="10"/>
  <c r="E704" i="10"/>
  <c r="G704" i="10" s="1"/>
  <c r="H703" i="10"/>
  <c r="E703" i="10"/>
  <c r="G703" i="10" s="1"/>
  <c r="H702" i="10"/>
  <c r="E702" i="10"/>
  <c r="G702" i="10" s="1"/>
  <c r="H701" i="10"/>
  <c r="E701" i="10"/>
  <c r="G701" i="10" s="1"/>
  <c r="H700" i="10"/>
  <c r="E700" i="10"/>
  <c r="G700" i="10" s="1"/>
  <c r="H699" i="10"/>
  <c r="E699" i="10"/>
  <c r="G699" i="10" s="1"/>
  <c r="H698" i="10"/>
  <c r="E698" i="10"/>
  <c r="G698" i="10" s="1"/>
  <c r="H697" i="10"/>
  <c r="E697" i="10"/>
  <c r="G697" i="10" s="1"/>
  <c r="H696" i="10"/>
  <c r="E696" i="10"/>
  <c r="G696" i="10" s="1"/>
  <c r="H695" i="10"/>
  <c r="E695" i="10"/>
  <c r="G695" i="10" s="1"/>
  <c r="H694" i="10"/>
  <c r="E694" i="10"/>
  <c r="G694" i="10" s="1"/>
  <c r="H693" i="10"/>
  <c r="E693" i="10"/>
  <c r="G693" i="10" s="1"/>
  <c r="H692" i="10"/>
  <c r="E692" i="10"/>
  <c r="G692" i="10" s="1"/>
  <c r="H691" i="10"/>
  <c r="E691" i="10"/>
  <c r="G691" i="10" s="1"/>
  <c r="H690" i="10"/>
  <c r="E690" i="10"/>
  <c r="G690" i="10" s="1"/>
  <c r="H689" i="10"/>
  <c r="E689" i="10"/>
  <c r="G689" i="10" s="1"/>
  <c r="H688" i="10"/>
  <c r="E688" i="10"/>
  <c r="G688" i="10" s="1"/>
  <c r="H687" i="10"/>
  <c r="E687" i="10"/>
  <c r="G687" i="10" s="1"/>
  <c r="H686" i="10"/>
  <c r="E686" i="10"/>
  <c r="G686" i="10" s="1"/>
  <c r="H685" i="10"/>
  <c r="E685" i="10"/>
  <c r="G685" i="10" s="1"/>
  <c r="H684" i="10"/>
  <c r="E684" i="10"/>
  <c r="G684" i="10" s="1"/>
  <c r="H683" i="10"/>
  <c r="E683" i="10"/>
  <c r="G683" i="10" s="1"/>
  <c r="H682" i="10"/>
  <c r="E682" i="10"/>
  <c r="G682" i="10" s="1"/>
  <c r="H681" i="10"/>
  <c r="E681" i="10"/>
  <c r="G681" i="10" s="1"/>
  <c r="H680" i="10"/>
  <c r="E680" i="10"/>
  <c r="G680" i="10" s="1"/>
  <c r="H679" i="10"/>
  <c r="E679" i="10"/>
  <c r="G679" i="10" s="1"/>
  <c r="H678" i="10"/>
  <c r="E678" i="10"/>
  <c r="G678" i="10" s="1"/>
  <c r="H677" i="10"/>
  <c r="E677" i="10"/>
  <c r="G677" i="10" s="1"/>
  <c r="H676" i="10"/>
  <c r="E676" i="10"/>
  <c r="G676" i="10" s="1"/>
  <c r="H675" i="10"/>
  <c r="E675" i="10"/>
  <c r="G675" i="10" s="1"/>
  <c r="H674" i="10"/>
  <c r="E674" i="10"/>
  <c r="G674" i="10" s="1"/>
  <c r="H673" i="10"/>
  <c r="E673" i="10"/>
  <c r="G673" i="10" s="1"/>
  <c r="H672" i="10"/>
  <c r="E672" i="10"/>
  <c r="G672" i="10" s="1"/>
  <c r="H671" i="10"/>
  <c r="E671" i="10"/>
  <c r="G671" i="10" s="1"/>
  <c r="H670" i="10"/>
  <c r="E670" i="10"/>
  <c r="G670" i="10" s="1"/>
  <c r="H669" i="10"/>
  <c r="E669" i="10"/>
  <c r="G669" i="10" s="1"/>
  <c r="H668" i="10"/>
  <c r="E668" i="10"/>
  <c r="G668" i="10" s="1"/>
  <c r="H667" i="10"/>
  <c r="E667" i="10"/>
  <c r="G667" i="10" s="1"/>
  <c r="H666" i="10"/>
  <c r="E666" i="10"/>
  <c r="G666" i="10" s="1"/>
  <c r="H665" i="10"/>
  <c r="E665" i="10"/>
  <c r="G665" i="10" s="1"/>
  <c r="H664" i="10"/>
  <c r="E664" i="10"/>
  <c r="G664" i="10" s="1"/>
  <c r="H663" i="10"/>
  <c r="E663" i="10"/>
  <c r="G663" i="10" s="1"/>
  <c r="H662" i="10"/>
  <c r="E662" i="10"/>
  <c r="G662" i="10" s="1"/>
  <c r="H661" i="10"/>
  <c r="E661" i="10"/>
  <c r="G661" i="10" s="1"/>
  <c r="H660" i="10"/>
  <c r="E660" i="10"/>
  <c r="G660" i="10" s="1"/>
  <c r="H659" i="10"/>
  <c r="E659" i="10"/>
  <c r="G659" i="10" s="1"/>
  <c r="H658" i="10"/>
  <c r="E658" i="10"/>
  <c r="G658" i="10" s="1"/>
  <c r="H657" i="10"/>
  <c r="E657" i="10"/>
  <c r="G657" i="10" s="1"/>
  <c r="H656" i="10"/>
  <c r="E656" i="10"/>
  <c r="G656" i="10" s="1"/>
  <c r="H655" i="10"/>
  <c r="E655" i="10"/>
  <c r="G655" i="10" s="1"/>
  <c r="H654" i="10"/>
  <c r="E654" i="10"/>
  <c r="G654" i="10" s="1"/>
  <c r="H653" i="10"/>
  <c r="E653" i="10"/>
  <c r="G653" i="10" s="1"/>
  <c r="H652" i="10"/>
  <c r="E652" i="10"/>
  <c r="G652" i="10" s="1"/>
  <c r="H651" i="10"/>
  <c r="E651" i="10"/>
  <c r="G651" i="10" s="1"/>
  <c r="H650" i="10"/>
  <c r="E650" i="10"/>
  <c r="G650" i="10" s="1"/>
  <c r="H649" i="10"/>
  <c r="E649" i="10"/>
  <c r="G649" i="10" s="1"/>
  <c r="H648" i="10"/>
  <c r="E648" i="10"/>
  <c r="G648" i="10" s="1"/>
  <c r="H647" i="10"/>
  <c r="E647" i="10"/>
  <c r="G647" i="10" s="1"/>
  <c r="H646" i="10"/>
  <c r="E646" i="10"/>
  <c r="G646" i="10" s="1"/>
  <c r="H645" i="10"/>
  <c r="E645" i="10"/>
  <c r="G645" i="10" s="1"/>
  <c r="H644" i="10"/>
  <c r="E644" i="10"/>
  <c r="G644" i="10" s="1"/>
  <c r="H643" i="10"/>
  <c r="E643" i="10"/>
  <c r="G643" i="10" s="1"/>
  <c r="H642" i="10"/>
  <c r="E642" i="10"/>
  <c r="G642" i="10" s="1"/>
  <c r="H641" i="10"/>
  <c r="E641" i="10"/>
  <c r="G641" i="10" s="1"/>
  <c r="H640" i="10"/>
  <c r="E640" i="10"/>
  <c r="G640" i="10" s="1"/>
  <c r="H639" i="10"/>
  <c r="E639" i="10"/>
  <c r="G639" i="10" s="1"/>
  <c r="H638" i="10"/>
  <c r="E638" i="10"/>
  <c r="G638" i="10" s="1"/>
  <c r="H637" i="10"/>
  <c r="E637" i="10"/>
  <c r="G637" i="10" s="1"/>
  <c r="H636" i="10"/>
  <c r="E636" i="10"/>
  <c r="G636" i="10" s="1"/>
  <c r="H635" i="10"/>
  <c r="E635" i="10"/>
  <c r="G635" i="10" s="1"/>
  <c r="H634" i="10"/>
  <c r="E634" i="10"/>
  <c r="G634" i="10" s="1"/>
  <c r="H633" i="10"/>
  <c r="E633" i="10"/>
  <c r="G633" i="10" s="1"/>
  <c r="H632" i="10"/>
  <c r="E632" i="10"/>
  <c r="G632" i="10" s="1"/>
  <c r="H631" i="10"/>
  <c r="E631" i="10"/>
  <c r="G631" i="10" s="1"/>
  <c r="H630" i="10"/>
  <c r="E630" i="10"/>
  <c r="G630" i="10" s="1"/>
  <c r="H629" i="10"/>
  <c r="E629" i="10"/>
  <c r="G629" i="10" s="1"/>
  <c r="H628" i="10"/>
  <c r="E628" i="10"/>
  <c r="G628" i="10" s="1"/>
  <c r="H627" i="10"/>
  <c r="E627" i="10"/>
  <c r="G627" i="10" s="1"/>
  <c r="H626" i="10"/>
  <c r="E626" i="10"/>
  <c r="G626" i="10" s="1"/>
  <c r="H625" i="10"/>
  <c r="E625" i="10"/>
  <c r="G625" i="10" s="1"/>
  <c r="H624" i="10"/>
  <c r="E624" i="10"/>
  <c r="G624" i="10" s="1"/>
  <c r="H623" i="10"/>
  <c r="E623" i="10"/>
  <c r="G623" i="10" s="1"/>
  <c r="H622" i="10"/>
  <c r="E622" i="10"/>
  <c r="G622" i="10" s="1"/>
  <c r="H621" i="10"/>
  <c r="E621" i="10"/>
  <c r="G621" i="10" s="1"/>
  <c r="H620" i="10"/>
  <c r="E620" i="10"/>
  <c r="G620" i="10" s="1"/>
  <c r="H619" i="10"/>
  <c r="E619" i="10"/>
  <c r="G619" i="10" s="1"/>
  <c r="H618" i="10"/>
  <c r="E618" i="10"/>
  <c r="G618" i="10" s="1"/>
  <c r="H617" i="10"/>
  <c r="E617" i="10"/>
  <c r="G617" i="10" s="1"/>
  <c r="H616" i="10"/>
  <c r="E616" i="10"/>
  <c r="G616" i="10" s="1"/>
  <c r="H615" i="10"/>
  <c r="E615" i="10"/>
  <c r="G615" i="10" s="1"/>
  <c r="H614" i="10"/>
  <c r="E614" i="10"/>
  <c r="G614" i="10" s="1"/>
  <c r="H613" i="10"/>
  <c r="E613" i="10"/>
  <c r="G613" i="10" s="1"/>
  <c r="H612" i="10"/>
  <c r="E612" i="10"/>
  <c r="G612" i="10" s="1"/>
  <c r="H611" i="10"/>
  <c r="E611" i="10"/>
  <c r="G611" i="10" s="1"/>
  <c r="H610" i="10"/>
  <c r="E610" i="10"/>
  <c r="G610" i="10" s="1"/>
  <c r="H609" i="10"/>
  <c r="E609" i="10"/>
  <c r="G609" i="10" s="1"/>
  <c r="H608" i="10"/>
  <c r="E608" i="10"/>
  <c r="G608" i="10" s="1"/>
  <c r="H607" i="10"/>
  <c r="E607" i="10"/>
  <c r="G607" i="10" s="1"/>
  <c r="H606" i="10"/>
  <c r="E606" i="10"/>
  <c r="G606" i="10" s="1"/>
  <c r="H605" i="10"/>
  <c r="E605" i="10"/>
  <c r="G605" i="10" s="1"/>
  <c r="H604" i="10"/>
  <c r="E604" i="10"/>
  <c r="G604" i="10" s="1"/>
  <c r="H603" i="10"/>
  <c r="E603" i="10"/>
  <c r="G603" i="10" s="1"/>
  <c r="H602" i="10"/>
  <c r="E602" i="10"/>
  <c r="G602" i="10" s="1"/>
  <c r="H601" i="10"/>
  <c r="E601" i="10"/>
  <c r="G601" i="10" s="1"/>
  <c r="H600" i="10"/>
  <c r="E600" i="10"/>
  <c r="G600" i="10" s="1"/>
  <c r="H599" i="10"/>
  <c r="E599" i="10"/>
  <c r="G599" i="10" s="1"/>
  <c r="H598" i="10"/>
  <c r="E598" i="10"/>
  <c r="G598" i="10" s="1"/>
  <c r="H597" i="10"/>
  <c r="E597" i="10"/>
  <c r="G597" i="10" s="1"/>
  <c r="H596" i="10"/>
  <c r="E596" i="10"/>
  <c r="G596" i="10" s="1"/>
  <c r="H595" i="10"/>
  <c r="E595" i="10"/>
  <c r="G595" i="10" s="1"/>
  <c r="H594" i="10"/>
  <c r="E594" i="10"/>
  <c r="G594" i="10" s="1"/>
  <c r="H593" i="10"/>
  <c r="E593" i="10"/>
  <c r="G593" i="10" s="1"/>
  <c r="H592" i="10"/>
  <c r="E592" i="10"/>
  <c r="G592" i="10" s="1"/>
  <c r="H591" i="10"/>
  <c r="E591" i="10"/>
  <c r="G591" i="10" s="1"/>
  <c r="H590" i="10"/>
  <c r="E590" i="10"/>
  <c r="G590" i="10" s="1"/>
  <c r="H589" i="10"/>
  <c r="E589" i="10"/>
  <c r="G589" i="10" s="1"/>
  <c r="H588" i="10"/>
  <c r="E588" i="10"/>
  <c r="G588" i="10" s="1"/>
  <c r="H587" i="10"/>
  <c r="E587" i="10"/>
  <c r="G587" i="10" s="1"/>
  <c r="H586" i="10"/>
  <c r="E586" i="10"/>
  <c r="G586" i="10" s="1"/>
  <c r="H585" i="10"/>
  <c r="E585" i="10"/>
  <c r="G585" i="10" s="1"/>
  <c r="H584" i="10"/>
  <c r="E584" i="10"/>
  <c r="G584" i="10" s="1"/>
  <c r="H583" i="10"/>
  <c r="E583" i="10"/>
  <c r="G583" i="10" s="1"/>
  <c r="H582" i="10"/>
  <c r="E582" i="10"/>
  <c r="G582" i="10" s="1"/>
  <c r="H581" i="10"/>
  <c r="E581" i="10"/>
  <c r="G581" i="10" s="1"/>
  <c r="H580" i="10"/>
  <c r="E580" i="10"/>
  <c r="G580" i="10" s="1"/>
  <c r="H579" i="10"/>
  <c r="E579" i="10"/>
  <c r="G579" i="10" s="1"/>
  <c r="H578" i="10"/>
  <c r="E578" i="10"/>
  <c r="G578" i="10" s="1"/>
  <c r="H577" i="10"/>
  <c r="E577" i="10"/>
  <c r="G577" i="10" s="1"/>
  <c r="H576" i="10"/>
  <c r="E576" i="10"/>
  <c r="G576" i="10" s="1"/>
  <c r="H575" i="10"/>
  <c r="E575" i="10"/>
  <c r="G575" i="10" s="1"/>
  <c r="H574" i="10"/>
  <c r="E574" i="10"/>
  <c r="G574" i="10" s="1"/>
  <c r="H573" i="10"/>
  <c r="E573" i="10"/>
  <c r="G573" i="10" s="1"/>
  <c r="H572" i="10"/>
  <c r="E572" i="10"/>
  <c r="G572" i="10" s="1"/>
  <c r="H571" i="10"/>
  <c r="E571" i="10"/>
  <c r="G571" i="10" s="1"/>
  <c r="H570" i="10"/>
  <c r="E570" i="10"/>
  <c r="G570" i="10" s="1"/>
  <c r="H569" i="10"/>
  <c r="E569" i="10"/>
  <c r="G569" i="10" s="1"/>
  <c r="H568" i="10"/>
  <c r="E568" i="10"/>
  <c r="G568" i="10" s="1"/>
  <c r="H567" i="10"/>
  <c r="E567" i="10"/>
  <c r="G567" i="10" s="1"/>
  <c r="H566" i="10"/>
  <c r="E566" i="10"/>
  <c r="G566" i="10" s="1"/>
  <c r="H565" i="10"/>
  <c r="E565" i="10"/>
  <c r="G565" i="10" s="1"/>
  <c r="H564" i="10"/>
  <c r="E564" i="10"/>
  <c r="G564" i="10" s="1"/>
  <c r="H563" i="10"/>
  <c r="E563" i="10"/>
  <c r="G563" i="10" s="1"/>
  <c r="H562" i="10"/>
  <c r="E562" i="10"/>
  <c r="G562" i="10" s="1"/>
  <c r="H561" i="10"/>
  <c r="E561" i="10"/>
  <c r="G561" i="10" s="1"/>
  <c r="H560" i="10"/>
  <c r="E560" i="10"/>
  <c r="G560" i="10" s="1"/>
  <c r="H559" i="10"/>
  <c r="E559" i="10"/>
  <c r="G559" i="10" s="1"/>
  <c r="H558" i="10"/>
  <c r="E558" i="10"/>
  <c r="G558" i="10" s="1"/>
  <c r="H557" i="10"/>
  <c r="E557" i="10"/>
  <c r="G557" i="10" s="1"/>
  <c r="H556" i="10"/>
  <c r="E556" i="10"/>
  <c r="G556" i="10" s="1"/>
  <c r="H555" i="10"/>
  <c r="E555" i="10"/>
  <c r="G555" i="10" s="1"/>
  <c r="H554" i="10"/>
  <c r="E554" i="10"/>
  <c r="G554" i="10" s="1"/>
  <c r="H553" i="10"/>
  <c r="E553" i="10"/>
  <c r="G553" i="10" s="1"/>
  <c r="H552" i="10"/>
  <c r="E552" i="10"/>
  <c r="G552" i="10" s="1"/>
  <c r="H551" i="10"/>
  <c r="E551" i="10"/>
  <c r="G551" i="10" s="1"/>
  <c r="H550" i="10"/>
  <c r="E550" i="10"/>
  <c r="G550" i="10" s="1"/>
  <c r="H549" i="10"/>
  <c r="E549" i="10"/>
  <c r="G549" i="10" s="1"/>
  <c r="H548" i="10"/>
  <c r="E548" i="10"/>
  <c r="G548" i="10" s="1"/>
  <c r="H547" i="10"/>
  <c r="E547" i="10"/>
  <c r="G547" i="10" s="1"/>
  <c r="H546" i="10"/>
  <c r="E546" i="10"/>
  <c r="G546" i="10" s="1"/>
  <c r="H545" i="10"/>
  <c r="E545" i="10"/>
  <c r="G545" i="10" s="1"/>
  <c r="H544" i="10"/>
  <c r="E544" i="10"/>
  <c r="G544" i="10" s="1"/>
  <c r="H543" i="10"/>
  <c r="E543" i="10"/>
  <c r="G543" i="10" s="1"/>
  <c r="H542" i="10"/>
  <c r="E542" i="10"/>
  <c r="G542" i="10" s="1"/>
  <c r="H541" i="10"/>
  <c r="E541" i="10"/>
  <c r="G541" i="10" s="1"/>
  <c r="H540" i="10"/>
  <c r="E540" i="10"/>
  <c r="G540" i="10" s="1"/>
  <c r="H539" i="10"/>
  <c r="E539" i="10"/>
  <c r="G539" i="10" s="1"/>
  <c r="H538" i="10"/>
  <c r="E538" i="10"/>
  <c r="G538" i="10" s="1"/>
  <c r="H537" i="10"/>
  <c r="E537" i="10"/>
  <c r="G537" i="10" s="1"/>
  <c r="H536" i="10"/>
  <c r="E536" i="10"/>
  <c r="G536" i="10" s="1"/>
  <c r="H535" i="10"/>
  <c r="E535" i="10"/>
  <c r="G535" i="10" s="1"/>
  <c r="H534" i="10"/>
  <c r="E534" i="10"/>
  <c r="G534" i="10" s="1"/>
  <c r="H533" i="10"/>
  <c r="E533" i="10"/>
  <c r="G533" i="10" s="1"/>
  <c r="H532" i="10"/>
  <c r="E532" i="10"/>
  <c r="G532" i="10" s="1"/>
  <c r="H531" i="10"/>
  <c r="E531" i="10"/>
  <c r="G531" i="10" s="1"/>
  <c r="H530" i="10"/>
  <c r="E530" i="10"/>
  <c r="G530" i="10" s="1"/>
  <c r="H529" i="10"/>
  <c r="E529" i="10"/>
  <c r="G529" i="10" s="1"/>
  <c r="H528" i="10"/>
  <c r="E528" i="10"/>
  <c r="G528" i="10" s="1"/>
  <c r="H527" i="10"/>
  <c r="E527" i="10"/>
  <c r="G527" i="10" s="1"/>
  <c r="H526" i="10"/>
  <c r="E526" i="10"/>
  <c r="G526" i="10" s="1"/>
  <c r="H525" i="10"/>
  <c r="E525" i="10"/>
  <c r="G525" i="10" s="1"/>
  <c r="H524" i="10"/>
  <c r="E524" i="10"/>
  <c r="G524" i="10" s="1"/>
  <c r="H523" i="10"/>
  <c r="E523" i="10"/>
  <c r="G523" i="10" s="1"/>
  <c r="H522" i="10"/>
  <c r="E522" i="10"/>
  <c r="G522" i="10" s="1"/>
  <c r="H521" i="10"/>
  <c r="E521" i="10"/>
  <c r="G521" i="10" s="1"/>
  <c r="H520" i="10"/>
  <c r="E520" i="10"/>
  <c r="G520" i="10" s="1"/>
  <c r="H519" i="10"/>
  <c r="E519" i="10"/>
  <c r="G519" i="10" s="1"/>
  <c r="H518" i="10"/>
  <c r="E518" i="10"/>
  <c r="G518" i="10" s="1"/>
  <c r="H517" i="10"/>
  <c r="E517" i="10"/>
  <c r="G517" i="10" s="1"/>
  <c r="H516" i="10"/>
  <c r="E516" i="10"/>
  <c r="G516" i="10" s="1"/>
  <c r="H515" i="10"/>
  <c r="E515" i="10"/>
  <c r="G515" i="10" s="1"/>
  <c r="H514" i="10"/>
  <c r="E514" i="10"/>
  <c r="G514" i="10" s="1"/>
  <c r="H513" i="10"/>
  <c r="E513" i="10"/>
  <c r="G513" i="10" s="1"/>
  <c r="H512" i="10"/>
  <c r="E512" i="10"/>
  <c r="G512" i="10" s="1"/>
  <c r="H511" i="10"/>
  <c r="E511" i="10"/>
  <c r="G511" i="10" s="1"/>
  <c r="H510" i="10"/>
  <c r="E510" i="10"/>
  <c r="G510" i="10" s="1"/>
  <c r="H509" i="10"/>
  <c r="E509" i="10"/>
  <c r="G509" i="10" s="1"/>
  <c r="H508" i="10"/>
  <c r="E508" i="10"/>
  <c r="G508" i="10" s="1"/>
  <c r="H507" i="10"/>
  <c r="E507" i="10"/>
  <c r="G507" i="10" s="1"/>
  <c r="H506" i="10"/>
  <c r="E506" i="10"/>
  <c r="G506" i="10" s="1"/>
  <c r="H505" i="10"/>
  <c r="E505" i="10"/>
  <c r="G505" i="10" s="1"/>
  <c r="H504" i="10"/>
  <c r="E504" i="10"/>
  <c r="G504" i="10" s="1"/>
  <c r="H503" i="10"/>
  <c r="E503" i="10"/>
  <c r="G503" i="10" s="1"/>
  <c r="H502" i="10"/>
  <c r="E502" i="10"/>
  <c r="G502" i="10" s="1"/>
  <c r="H501" i="10"/>
  <c r="E501" i="10"/>
  <c r="G501" i="10" s="1"/>
  <c r="H500" i="10"/>
  <c r="E500" i="10"/>
  <c r="G500" i="10" s="1"/>
  <c r="H499" i="10"/>
  <c r="E499" i="10"/>
  <c r="G499" i="10" s="1"/>
  <c r="H498" i="10"/>
  <c r="E498" i="10"/>
  <c r="G498" i="10" s="1"/>
  <c r="H497" i="10"/>
  <c r="E497" i="10"/>
  <c r="G497" i="10" s="1"/>
  <c r="H496" i="10"/>
  <c r="E496" i="10"/>
  <c r="G496" i="10" s="1"/>
  <c r="H495" i="10"/>
  <c r="E495" i="10"/>
  <c r="G495" i="10" s="1"/>
  <c r="H494" i="10"/>
  <c r="E494" i="10"/>
  <c r="G494" i="10" s="1"/>
  <c r="H493" i="10"/>
  <c r="E493" i="10"/>
  <c r="G493" i="10" s="1"/>
  <c r="H492" i="10"/>
  <c r="E492" i="10"/>
  <c r="G492" i="10" s="1"/>
  <c r="H491" i="10"/>
  <c r="E491" i="10"/>
  <c r="G491" i="10" s="1"/>
  <c r="H490" i="10"/>
  <c r="E490" i="10"/>
  <c r="G490" i="10" s="1"/>
  <c r="H489" i="10"/>
  <c r="E489" i="10"/>
  <c r="G489" i="10" s="1"/>
  <c r="H488" i="10"/>
  <c r="E488" i="10"/>
  <c r="G488" i="10" s="1"/>
  <c r="H487" i="10"/>
  <c r="E487" i="10"/>
  <c r="G487" i="10" s="1"/>
  <c r="H486" i="10"/>
  <c r="E486" i="10"/>
  <c r="G486" i="10" s="1"/>
  <c r="H485" i="10"/>
  <c r="E485" i="10"/>
  <c r="G485" i="10" s="1"/>
  <c r="H484" i="10"/>
  <c r="E484" i="10"/>
  <c r="G484" i="10" s="1"/>
  <c r="H483" i="10"/>
  <c r="E483" i="10"/>
  <c r="G483" i="10" s="1"/>
  <c r="H482" i="10"/>
  <c r="E482" i="10"/>
  <c r="G482" i="10" s="1"/>
  <c r="H481" i="10"/>
  <c r="E481" i="10"/>
  <c r="G481" i="10" s="1"/>
  <c r="H480" i="10"/>
  <c r="E480" i="10"/>
  <c r="G480" i="10" s="1"/>
  <c r="H479" i="10"/>
  <c r="E479" i="10"/>
  <c r="G479" i="10" s="1"/>
  <c r="H478" i="10"/>
  <c r="E478" i="10"/>
  <c r="G478" i="10" s="1"/>
  <c r="H477" i="10"/>
  <c r="E477" i="10"/>
  <c r="G477" i="10" s="1"/>
  <c r="H476" i="10"/>
  <c r="E476" i="10"/>
  <c r="G476" i="10" s="1"/>
  <c r="H475" i="10"/>
  <c r="E475" i="10"/>
  <c r="G475" i="10" s="1"/>
  <c r="H474" i="10"/>
  <c r="E474" i="10"/>
  <c r="G474" i="10" s="1"/>
  <c r="H473" i="10"/>
  <c r="E473" i="10"/>
  <c r="G473" i="10" s="1"/>
  <c r="H472" i="10"/>
  <c r="E472" i="10"/>
  <c r="G472" i="10" s="1"/>
  <c r="H471" i="10"/>
  <c r="E471" i="10"/>
  <c r="G471" i="10" s="1"/>
  <c r="H470" i="10"/>
  <c r="E470" i="10"/>
  <c r="G470" i="10" s="1"/>
  <c r="H469" i="10"/>
  <c r="E469" i="10"/>
  <c r="G469" i="10" s="1"/>
  <c r="H468" i="10"/>
  <c r="E468" i="10"/>
  <c r="G468" i="10" s="1"/>
  <c r="H467" i="10"/>
  <c r="E467" i="10"/>
  <c r="G467" i="10" s="1"/>
  <c r="H466" i="10"/>
  <c r="E466" i="10"/>
  <c r="G466" i="10" s="1"/>
  <c r="H465" i="10"/>
  <c r="E465" i="10"/>
  <c r="G465" i="10" s="1"/>
  <c r="H464" i="10"/>
  <c r="E464" i="10"/>
  <c r="G464" i="10" s="1"/>
  <c r="H463" i="10"/>
  <c r="E463" i="10"/>
  <c r="G463" i="10" s="1"/>
  <c r="H462" i="10"/>
  <c r="E462" i="10"/>
  <c r="G462" i="10" s="1"/>
  <c r="H461" i="10"/>
  <c r="E461" i="10"/>
  <c r="G461" i="10" s="1"/>
  <c r="H460" i="10"/>
  <c r="E460" i="10"/>
  <c r="G460" i="10" s="1"/>
  <c r="H459" i="10"/>
  <c r="E459" i="10"/>
  <c r="G459" i="10" s="1"/>
  <c r="H458" i="10"/>
  <c r="E458" i="10"/>
  <c r="G458" i="10" s="1"/>
  <c r="H457" i="10"/>
  <c r="E457" i="10"/>
  <c r="G457" i="10" s="1"/>
  <c r="H456" i="10"/>
  <c r="E456" i="10"/>
  <c r="G456" i="10" s="1"/>
  <c r="H455" i="10"/>
  <c r="E455" i="10"/>
  <c r="G455" i="10" s="1"/>
  <c r="H454" i="10"/>
  <c r="E454" i="10"/>
  <c r="G454" i="10" s="1"/>
  <c r="H453" i="10"/>
  <c r="E453" i="10"/>
  <c r="G453" i="10" s="1"/>
  <c r="H452" i="10"/>
  <c r="E452" i="10"/>
  <c r="G452" i="10" s="1"/>
  <c r="H451" i="10"/>
  <c r="E451" i="10"/>
  <c r="G451" i="10" s="1"/>
  <c r="H450" i="10"/>
  <c r="E450" i="10"/>
  <c r="G450" i="10" s="1"/>
  <c r="H449" i="10"/>
  <c r="E449" i="10"/>
  <c r="G449" i="10" s="1"/>
  <c r="H448" i="10"/>
  <c r="E448" i="10"/>
  <c r="G448" i="10" s="1"/>
  <c r="H447" i="10"/>
  <c r="E447" i="10"/>
  <c r="G447" i="10" s="1"/>
  <c r="H446" i="10"/>
  <c r="E446" i="10"/>
  <c r="G446" i="10" s="1"/>
  <c r="H445" i="10"/>
  <c r="E445" i="10"/>
  <c r="G445" i="10" s="1"/>
  <c r="H444" i="10"/>
  <c r="E444" i="10"/>
  <c r="G444" i="10" s="1"/>
  <c r="H443" i="10"/>
  <c r="E443" i="10"/>
  <c r="G443" i="10" s="1"/>
  <c r="H442" i="10"/>
  <c r="E442" i="10"/>
  <c r="G442" i="10" s="1"/>
  <c r="H441" i="10"/>
  <c r="E441" i="10"/>
  <c r="G441" i="10" s="1"/>
  <c r="H440" i="10"/>
  <c r="E440" i="10"/>
  <c r="G440" i="10" s="1"/>
  <c r="H439" i="10"/>
  <c r="E439" i="10"/>
  <c r="G439" i="10" s="1"/>
  <c r="H438" i="10"/>
  <c r="E438" i="10"/>
  <c r="G438" i="10" s="1"/>
  <c r="H437" i="10"/>
  <c r="E437" i="10"/>
  <c r="G437" i="10" s="1"/>
  <c r="H436" i="10"/>
  <c r="E436" i="10"/>
  <c r="G436" i="10" s="1"/>
  <c r="H435" i="10"/>
  <c r="E435" i="10"/>
  <c r="G435" i="10" s="1"/>
  <c r="H434" i="10"/>
  <c r="E434" i="10"/>
  <c r="G434" i="10" s="1"/>
  <c r="H433" i="10"/>
  <c r="E433" i="10"/>
  <c r="G433" i="10" s="1"/>
  <c r="H432" i="10"/>
  <c r="E432" i="10"/>
  <c r="G432" i="10" s="1"/>
  <c r="H431" i="10"/>
  <c r="E431" i="10"/>
  <c r="G431" i="10" s="1"/>
  <c r="H430" i="10"/>
  <c r="E430" i="10"/>
  <c r="G430" i="10" s="1"/>
  <c r="H429" i="10"/>
  <c r="E429" i="10"/>
  <c r="G429" i="10" s="1"/>
  <c r="H428" i="10"/>
  <c r="E428" i="10"/>
  <c r="G428" i="10" s="1"/>
  <c r="H427" i="10"/>
  <c r="E427" i="10"/>
  <c r="G427" i="10" s="1"/>
  <c r="H426" i="10"/>
  <c r="E426" i="10"/>
  <c r="G426" i="10" s="1"/>
  <c r="H425" i="10"/>
  <c r="E425" i="10"/>
  <c r="G425" i="10" s="1"/>
  <c r="H424" i="10"/>
  <c r="E424" i="10"/>
  <c r="G424" i="10" s="1"/>
  <c r="H423" i="10"/>
  <c r="E423" i="10"/>
  <c r="G423" i="10" s="1"/>
  <c r="H422" i="10"/>
  <c r="E422" i="10"/>
  <c r="G422" i="10" s="1"/>
  <c r="H421" i="10"/>
  <c r="E421" i="10"/>
  <c r="G421" i="10" s="1"/>
  <c r="H420" i="10"/>
  <c r="E420" i="10"/>
  <c r="G420" i="10" s="1"/>
  <c r="H419" i="10"/>
  <c r="E419" i="10"/>
  <c r="G419" i="10" s="1"/>
  <c r="H418" i="10"/>
  <c r="E418" i="10"/>
  <c r="G418" i="10" s="1"/>
  <c r="H417" i="10"/>
  <c r="E417" i="10"/>
  <c r="G417" i="10" s="1"/>
  <c r="H416" i="10"/>
  <c r="E416" i="10"/>
  <c r="G416" i="10" s="1"/>
  <c r="H415" i="10"/>
  <c r="E415" i="10"/>
  <c r="G415" i="10" s="1"/>
  <c r="H414" i="10"/>
  <c r="E414" i="10"/>
  <c r="G414" i="10" s="1"/>
  <c r="H413" i="10"/>
  <c r="E413" i="10"/>
  <c r="G413" i="10" s="1"/>
  <c r="H412" i="10"/>
  <c r="E412" i="10"/>
  <c r="G412" i="10" s="1"/>
  <c r="H411" i="10"/>
  <c r="E411" i="10"/>
  <c r="G411" i="10" s="1"/>
  <c r="H410" i="10"/>
  <c r="E410" i="10"/>
  <c r="G410" i="10" s="1"/>
  <c r="H409" i="10"/>
  <c r="E409" i="10"/>
  <c r="G409" i="10" s="1"/>
  <c r="H408" i="10"/>
  <c r="E408" i="10"/>
  <c r="G408" i="10" s="1"/>
  <c r="H407" i="10"/>
  <c r="E407" i="10"/>
  <c r="G407" i="10" s="1"/>
  <c r="H406" i="10"/>
  <c r="E406" i="10"/>
  <c r="G406" i="10" s="1"/>
  <c r="H405" i="10"/>
  <c r="E405" i="10"/>
  <c r="G405" i="10" s="1"/>
  <c r="H404" i="10"/>
  <c r="E404" i="10"/>
  <c r="G404" i="10" s="1"/>
  <c r="H403" i="10"/>
  <c r="E403" i="10"/>
  <c r="G403" i="10" s="1"/>
  <c r="H402" i="10"/>
  <c r="E402" i="10"/>
  <c r="G402" i="10" s="1"/>
  <c r="H401" i="10"/>
  <c r="E401" i="10"/>
  <c r="G401" i="10" s="1"/>
  <c r="H400" i="10"/>
  <c r="E400" i="10"/>
  <c r="G400" i="10" s="1"/>
  <c r="H399" i="10"/>
  <c r="E399" i="10"/>
  <c r="G399" i="10" s="1"/>
  <c r="H398" i="10"/>
  <c r="E398" i="10"/>
  <c r="G398" i="10" s="1"/>
  <c r="H397" i="10"/>
  <c r="E397" i="10"/>
  <c r="G397" i="10" s="1"/>
  <c r="H396" i="10"/>
  <c r="E396" i="10"/>
  <c r="G396" i="10" s="1"/>
  <c r="H395" i="10"/>
  <c r="E395" i="10"/>
  <c r="G395" i="10" s="1"/>
  <c r="H394" i="10"/>
  <c r="E394" i="10"/>
  <c r="G394" i="10" s="1"/>
  <c r="H393" i="10"/>
  <c r="E393" i="10"/>
  <c r="G393" i="10" s="1"/>
  <c r="H392" i="10"/>
  <c r="E392" i="10"/>
  <c r="G392" i="10" s="1"/>
  <c r="H391" i="10"/>
  <c r="E391" i="10"/>
  <c r="G391" i="10" s="1"/>
  <c r="H390" i="10"/>
  <c r="E390" i="10"/>
  <c r="G390" i="10" s="1"/>
  <c r="H389" i="10"/>
  <c r="E389" i="10"/>
  <c r="G389" i="10" s="1"/>
  <c r="H388" i="10"/>
  <c r="E388" i="10"/>
  <c r="G388" i="10" s="1"/>
  <c r="H387" i="10"/>
  <c r="E387" i="10"/>
  <c r="G387" i="10" s="1"/>
  <c r="H386" i="10"/>
  <c r="E386" i="10"/>
  <c r="G386" i="10" s="1"/>
  <c r="H385" i="10"/>
  <c r="E385" i="10"/>
  <c r="G385" i="10" s="1"/>
  <c r="H384" i="10"/>
  <c r="E384" i="10"/>
  <c r="G384" i="10" s="1"/>
  <c r="H383" i="10"/>
  <c r="E383" i="10"/>
  <c r="G383" i="10" s="1"/>
  <c r="H382" i="10"/>
  <c r="E382" i="10"/>
  <c r="G382" i="10" s="1"/>
  <c r="H381" i="10"/>
  <c r="E381" i="10"/>
  <c r="G381" i="10" s="1"/>
  <c r="H380" i="10"/>
  <c r="E380" i="10"/>
  <c r="G380" i="10" s="1"/>
  <c r="H379" i="10"/>
  <c r="E379" i="10"/>
  <c r="G379" i="10" s="1"/>
  <c r="H378" i="10"/>
  <c r="E378" i="10"/>
  <c r="G378" i="10" s="1"/>
  <c r="H377" i="10"/>
  <c r="E377" i="10"/>
  <c r="G377" i="10" s="1"/>
  <c r="H376" i="10"/>
  <c r="E376" i="10"/>
  <c r="G376" i="10" s="1"/>
  <c r="H375" i="10"/>
  <c r="E375" i="10"/>
  <c r="G375" i="10" s="1"/>
  <c r="H374" i="10"/>
  <c r="E374" i="10"/>
  <c r="G374" i="10" s="1"/>
  <c r="H373" i="10"/>
  <c r="E373" i="10"/>
  <c r="G373" i="10" s="1"/>
  <c r="H372" i="10"/>
  <c r="E372" i="10"/>
  <c r="G372" i="10" s="1"/>
  <c r="H371" i="10"/>
  <c r="E371" i="10"/>
  <c r="G371" i="10" s="1"/>
  <c r="H370" i="10"/>
  <c r="E370" i="10"/>
  <c r="G370" i="10" s="1"/>
  <c r="H369" i="10"/>
  <c r="E369" i="10"/>
  <c r="G369" i="10" s="1"/>
  <c r="H368" i="10"/>
  <c r="E368" i="10"/>
  <c r="G368" i="10" s="1"/>
  <c r="H367" i="10"/>
  <c r="E367" i="10"/>
  <c r="G367" i="10" s="1"/>
  <c r="H366" i="10"/>
  <c r="E366" i="10"/>
  <c r="G366" i="10" s="1"/>
  <c r="H365" i="10"/>
  <c r="E365" i="10"/>
  <c r="G365" i="10" s="1"/>
  <c r="H364" i="10"/>
  <c r="E364" i="10"/>
  <c r="G364" i="10" s="1"/>
  <c r="H363" i="10"/>
  <c r="E363" i="10"/>
  <c r="G363" i="10" s="1"/>
  <c r="H362" i="10"/>
  <c r="E362" i="10"/>
  <c r="G362" i="10" s="1"/>
  <c r="H361" i="10"/>
  <c r="E361" i="10"/>
  <c r="G361" i="10" s="1"/>
  <c r="H360" i="10"/>
  <c r="E360" i="10"/>
  <c r="G360" i="10" s="1"/>
  <c r="H359" i="10"/>
  <c r="E359" i="10"/>
  <c r="G359" i="10" s="1"/>
  <c r="H358" i="10"/>
  <c r="E358" i="10"/>
  <c r="G358" i="10" s="1"/>
  <c r="H357" i="10"/>
  <c r="E357" i="10"/>
  <c r="G357" i="10" s="1"/>
  <c r="H356" i="10"/>
  <c r="E356" i="10"/>
  <c r="G356" i="10" s="1"/>
  <c r="H355" i="10"/>
  <c r="E355" i="10"/>
  <c r="G355" i="10" s="1"/>
  <c r="H354" i="10"/>
  <c r="E354" i="10"/>
  <c r="G354" i="10" s="1"/>
  <c r="H353" i="10"/>
  <c r="E353" i="10"/>
  <c r="G353" i="10" s="1"/>
  <c r="H352" i="10"/>
  <c r="E352" i="10"/>
  <c r="G352" i="10" s="1"/>
  <c r="H351" i="10"/>
  <c r="E351" i="10"/>
  <c r="G351" i="10" s="1"/>
  <c r="H350" i="10"/>
  <c r="E350" i="10"/>
  <c r="G350" i="10" s="1"/>
  <c r="H349" i="10"/>
  <c r="E349" i="10"/>
  <c r="G349" i="10" s="1"/>
  <c r="H348" i="10"/>
  <c r="E348" i="10"/>
  <c r="G348" i="10" s="1"/>
  <c r="H347" i="10"/>
  <c r="E347" i="10"/>
  <c r="G347" i="10" s="1"/>
  <c r="H346" i="10"/>
  <c r="E346" i="10"/>
  <c r="G346" i="10" s="1"/>
  <c r="H345" i="10"/>
  <c r="E345" i="10"/>
  <c r="G345" i="10" s="1"/>
  <c r="H344" i="10"/>
  <c r="E344" i="10"/>
  <c r="G344" i="10" s="1"/>
  <c r="H343" i="10"/>
  <c r="E343" i="10"/>
  <c r="G343" i="10" s="1"/>
  <c r="H342" i="10"/>
  <c r="E342" i="10"/>
  <c r="G342" i="10" s="1"/>
  <c r="H341" i="10"/>
  <c r="E341" i="10"/>
  <c r="G341" i="10" s="1"/>
  <c r="H340" i="10"/>
  <c r="E340" i="10"/>
  <c r="G340" i="10" s="1"/>
  <c r="H339" i="10"/>
  <c r="E339" i="10"/>
  <c r="G339" i="10" s="1"/>
  <c r="H338" i="10"/>
  <c r="E338" i="10"/>
  <c r="G338" i="10" s="1"/>
  <c r="H337" i="10"/>
  <c r="E337" i="10"/>
  <c r="G337" i="10" s="1"/>
  <c r="H336" i="10"/>
  <c r="E336" i="10"/>
  <c r="G336" i="10" s="1"/>
  <c r="D336" i="10"/>
  <c r="D345" i="10" s="1"/>
  <c r="D354" i="10" s="1"/>
  <c r="D363" i="10" s="1"/>
  <c r="D372" i="10" s="1"/>
  <c r="D381" i="10" s="1"/>
  <c r="D390" i="10" s="1"/>
  <c r="D399" i="10" s="1"/>
  <c r="D408" i="10" s="1"/>
  <c r="D417" i="10" s="1"/>
  <c r="D426" i="10" s="1"/>
  <c r="D435" i="10" s="1"/>
  <c r="H335" i="10"/>
  <c r="E335" i="10"/>
  <c r="G335" i="10" s="1"/>
  <c r="H334" i="10"/>
  <c r="E334" i="10"/>
  <c r="G334" i="10" s="1"/>
  <c r="H333" i="10"/>
  <c r="E333" i="10"/>
  <c r="G333" i="10" s="1"/>
  <c r="H332" i="10"/>
  <c r="E332" i="10"/>
  <c r="G332" i="10" s="1"/>
  <c r="H331" i="10"/>
  <c r="E331" i="10"/>
  <c r="G331" i="10" s="1"/>
  <c r="H330" i="10"/>
  <c r="E330" i="10"/>
  <c r="G330" i="10" s="1"/>
  <c r="H329" i="10"/>
  <c r="E329" i="10"/>
  <c r="G329" i="10" s="1"/>
  <c r="H328" i="10"/>
  <c r="E328" i="10"/>
  <c r="G328" i="10" s="1"/>
  <c r="H327" i="10"/>
  <c r="E327" i="10"/>
  <c r="G327" i="10" s="1"/>
  <c r="H326" i="10"/>
  <c r="E326" i="10"/>
  <c r="G326" i="10" s="1"/>
  <c r="H325" i="10"/>
  <c r="E325" i="10"/>
  <c r="G325" i="10" s="1"/>
  <c r="H324" i="10"/>
  <c r="E324" i="10"/>
  <c r="G324" i="10" s="1"/>
  <c r="H323" i="10"/>
  <c r="E323" i="10"/>
  <c r="G323" i="10" s="1"/>
  <c r="H322" i="10"/>
  <c r="E322" i="10"/>
  <c r="G322" i="10" s="1"/>
  <c r="H321" i="10"/>
  <c r="E321" i="10"/>
  <c r="G321" i="10" s="1"/>
  <c r="H320" i="10"/>
  <c r="E320" i="10"/>
  <c r="G320" i="10" s="1"/>
  <c r="H319" i="10"/>
  <c r="E319" i="10"/>
  <c r="G319" i="10" s="1"/>
  <c r="H318" i="10"/>
  <c r="E318" i="10"/>
  <c r="G318" i="10" s="1"/>
  <c r="H317" i="10"/>
  <c r="E317" i="10"/>
  <c r="G317" i="10" s="1"/>
  <c r="H316" i="10"/>
  <c r="E316" i="10"/>
  <c r="G316" i="10" s="1"/>
  <c r="H315" i="10"/>
  <c r="E315" i="10"/>
  <c r="G315" i="10" s="1"/>
  <c r="H314" i="10"/>
  <c r="E314" i="10"/>
  <c r="G314" i="10" s="1"/>
  <c r="H313" i="10"/>
  <c r="E313" i="10"/>
  <c r="G313" i="10" s="1"/>
  <c r="H312" i="10"/>
  <c r="E312" i="10"/>
  <c r="G312" i="10" s="1"/>
  <c r="H311" i="10"/>
  <c r="E311" i="10"/>
  <c r="G311" i="10" s="1"/>
  <c r="H310" i="10"/>
  <c r="E310" i="10"/>
  <c r="G310" i="10" s="1"/>
  <c r="H309" i="10"/>
  <c r="E309" i="10"/>
  <c r="G309" i="10" s="1"/>
  <c r="H308" i="10"/>
  <c r="E308" i="10"/>
  <c r="G308" i="10" s="1"/>
  <c r="H307" i="10"/>
  <c r="E307" i="10"/>
  <c r="G307" i="10" s="1"/>
  <c r="H306" i="10"/>
  <c r="E306" i="10"/>
  <c r="G306" i="10" s="1"/>
  <c r="H305" i="10"/>
  <c r="E305" i="10"/>
  <c r="G305" i="10" s="1"/>
  <c r="H304" i="10"/>
  <c r="E304" i="10"/>
  <c r="G304" i="10" s="1"/>
  <c r="H303" i="10"/>
  <c r="E303" i="10"/>
  <c r="G303" i="10" s="1"/>
  <c r="H302" i="10"/>
  <c r="E302" i="10"/>
  <c r="G302" i="10" s="1"/>
  <c r="H301" i="10"/>
  <c r="E301" i="10"/>
  <c r="G301" i="10" s="1"/>
  <c r="H300" i="10"/>
  <c r="E300" i="10"/>
  <c r="G300" i="10" s="1"/>
  <c r="H299" i="10"/>
  <c r="E299" i="10"/>
  <c r="G299" i="10" s="1"/>
  <c r="H298" i="10"/>
  <c r="E298" i="10"/>
  <c r="G298" i="10" s="1"/>
  <c r="H297" i="10"/>
  <c r="E297" i="10"/>
  <c r="G297" i="10" s="1"/>
  <c r="H296" i="10"/>
  <c r="E296" i="10"/>
  <c r="G296" i="10" s="1"/>
  <c r="H295" i="10"/>
  <c r="E295" i="10"/>
  <c r="G295" i="10" s="1"/>
  <c r="H294" i="10"/>
  <c r="E294" i="10"/>
  <c r="G294" i="10" s="1"/>
  <c r="H293" i="10"/>
  <c r="E293" i="10"/>
  <c r="G293" i="10" s="1"/>
  <c r="H292" i="10"/>
  <c r="E292" i="10"/>
  <c r="G292" i="10" s="1"/>
  <c r="H291" i="10"/>
  <c r="E291" i="10"/>
  <c r="G291" i="10" s="1"/>
  <c r="H290" i="10"/>
  <c r="E290" i="10"/>
  <c r="G290" i="10" s="1"/>
  <c r="H289" i="10"/>
  <c r="E289" i="10"/>
  <c r="G289" i="10" s="1"/>
  <c r="H288" i="10"/>
  <c r="E288" i="10"/>
  <c r="G288" i="10" s="1"/>
  <c r="H287" i="10"/>
  <c r="E287" i="10"/>
  <c r="G287" i="10" s="1"/>
  <c r="H286" i="10"/>
  <c r="E286" i="10"/>
  <c r="G286" i="10" s="1"/>
  <c r="H285" i="10"/>
  <c r="E285" i="10"/>
  <c r="G285" i="10" s="1"/>
  <c r="H284" i="10"/>
  <c r="E284" i="10"/>
  <c r="G284" i="10" s="1"/>
  <c r="H283" i="10"/>
  <c r="E283" i="10"/>
  <c r="G283" i="10" s="1"/>
  <c r="H282" i="10"/>
  <c r="E282" i="10"/>
  <c r="G282" i="10" s="1"/>
  <c r="H281" i="10"/>
  <c r="E281" i="10"/>
  <c r="G281" i="10" s="1"/>
  <c r="H280" i="10"/>
  <c r="E280" i="10"/>
  <c r="G280" i="10" s="1"/>
  <c r="H279" i="10"/>
  <c r="E279" i="10"/>
  <c r="G279" i="10" s="1"/>
  <c r="H278" i="10"/>
  <c r="E278" i="10"/>
  <c r="G278" i="10" s="1"/>
  <c r="H277" i="10"/>
  <c r="E277" i="10"/>
  <c r="G277" i="10" s="1"/>
  <c r="H276" i="10"/>
  <c r="E276" i="10"/>
  <c r="G276" i="10" s="1"/>
  <c r="H275" i="10"/>
  <c r="E275" i="10"/>
  <c r="G275" i="10" s="1"/>
  <c r="H274" i="10"/>
  <c r="E274" i="10"/>
  <c r="G274" i="10" s="1"/>
  <c r="H273" i="10"/>
  <c r="E273" i="10"/>
  <c r="G273" i="10" s="1"/>
  <c r="H272" i="10"/>
  <c r="E272" i="10"/>
  <c r="G272" i="10" s="1"/>
  <c r="H271" i="10"/>
  <c r="E271" i="10"/>
  <c r="G271" i="10" s="1"/>
  <c r="H270" i="10"/>
  <c r="E270" i="10"/>
  <c r="G270" i="10" s="1"/>
  <c r="H269" i="10"/>
  <c r="E269" i="10"/>
  <c r="G269" i="10" s="1"/>
  <c r="H268" i="10"/>
  <c r="E268" i="10"/>
  <c r="G268" i="10" s="1"/>
  <c r="H267" i="10"/>
  <c r="E267" i="10"/>
  <c r="G267" i="10" s="1"/>
  <c r="H266" i="10"/>
  <c r="E266" i="10"/>
  <c r="G266" i="10" s="1"/>
  <c r="H265" i="10"/>
  <c r="E265" i="10"/>
  <c r="G265" i="10" s="1"/>
  <c r="H264" i="10"/>
  <c r="E264" i="10"/>
  <c r="G264" i="10" s="1"/>
  <c r="H263" i="10"/>
  <c r="E263" i="10"/>
  <c r="G263" i="10" s="1"/>
  <c r="H262" i="10"/>
  <c r="E262" i="10"/>
  <c r="G262" i="10" s="1"/>
  <c r="H261" i="10"/>
  <c r="E261" i="10"/>
  <c r="G261" i="10" s="1"/>
  <c r="H260" i="10"/>
  <c r="E260" i="10"/>
  <c r="G260" i="10" s="1"/>
  <c r="H259" i="10"/>
  <c r="E259" i="10"/>
  <c r="G259" i="10" s="1"/>
  <c r="H258" i="10"/>
  <c r="E258" i="10"/>
  <c r="G258" i="10" s="1"/>
  <c r="H257" i="10"/>
  <c r="E257" i="10"/>
  <c r="G257" i="10" s="1"/>
  <c r="H256" i="10"/>
  <c r="E256" i="10"/>
  <c r="G256" i="10" s="1"/>
  <c r="H255" i="10"/>
  <c r="E255" i="10"/>
  <c r="G255" i="10" s="1"/>
  <c r="H254" i="10"/>
  <c r="E254" i="10"/>
  <c r="G254" i="10" s="1"/>
  <c r="H253" i="10"/>
  <c r="E253" i="10"/>
  <c r="G253" i="10" s="1"/>
  <c r="H252" i="10"/>
  <c r="E252" i="10"/>
  <c r="G252" i="10" s="1"/>
  <c r="H251" i="10"/>
  <c r="E251" i="10"/>
  <c r="G251" i="10" s="1"/>
  <c r="H250" i="10"/>
  <c r="E250" i="10"/>
  <c r="G250" i="10" s="1"/>
  <c r="H249" i="10"/>
  <c r="E249" i="10"/>
  <c r="G249" i="10" s="1"/>
  <c r="H248" i="10"/>
  <c r="E248" i="10"/>
  <c r="G248" i="10" s="1"/>
  <c r="H247" i="10"/>
  <c r="E247" i="10"/>
  <c r="G247" i="10" s="1"/>
  <c r="H246" i="10"/>
  <c r="E246" i="10"/>
  <c r="G246" i="10" s="1"/>
  <c r="H245" i="10"/>
  <c r="E245" i="10"/>
  <c r="G245" i="10" s="1"/>
  <c r="H244" i="10"/>
  <c r="E244" i="10"/>
  <c r="G244" i="10" s="1"/>
  <c r="H243" i="10"/>
  <c r="E243" i="10"/>
  <c r="G243" i="10" s="1"/>
  <c r="H242" i="10"/>
  <c r="E242" i="10"/>
  <c r="G242" i="10" s="1"/>
  <c r="H241" i="10"/>
  <c r="E241" i="10"/>
  <c r="G241" i="10" s="1"/>
  <c r="H240" i="10"/>
  <c r="E240" i="10"/>
  <c r="G240" i="10" s="1"/>
  <c r="H239" i="10"/>
  <c r="E239" i="10"/>
  <c r="G239" i="10" s="1"/>
  <c r="H238" i="10"/>
  <c r="E238" i="10"/>
  <c r="G238" i="10" s="1"/>
  <c r="H237" i="10"/>
  <c r="E237" i="10"/>
  <c r="G237" i="10" s="1"/>
  <c r="H236" i="10"/>
  <c r="E236" i="10"/>
  <c r="G236" i="10" s="1"/>
  <c r="H235" i="10"/>
  <c r="E235" i="10"/>
  <c r="G235" i="10" s="1"/>
  <c r="H234" i="10"/>
  <c r="E234" i="10"/>
  <c r="G234" i="10" s="1"/>
  <c r="H233" i="10"/>
  <c r="E233" i="10"/>
  <c r="G233" i="10" s="1"/>
  <c r="H232" i="10"/>
  <c r="E232" i="10"/>
  <c r="G232" i="10" s="1"/>
  <c r="H231" i="10"/>
  <c r="E231" i="10"/>
  <c r="G231" i="10" s="1"/>
  <c r="H230" i="10"/>
  <c r="E230" i="10"/>
  <c r="G230" i="10" s="1"/>
  <c r="H229" i="10"/>
  <c r="E229" i="10"/>
  <c r="G229" i="10" s="1"/>
  <c r="H228" i="10"/>
  <c r="E228" i="10"/>
  <c r="G228" i="10" s="1"/>
  <c r="H227" i="10"/>
  <c r="E227" i="10"/>
  <c r="G227" i="10" s="1"/>
  <c r="H226" i="10"/>
  <c r="E226" i="10"/>
  <c r="G226" i="10" s="1"/>
  <c r="H225" i="10"/>
  <c r="E225" i="10"/>
  <c r="G225" i="10" s="1"/>
  <c r="H224" i="10"/>
  <c r="E224" i="10"/>
  <c r="G224" i="10" s="1"/>
  <c r="H223" i="10"/>
  <c r="E223" i="10"/>
  <c r="G223" i="10" s="1"/>
  <c r="H222" i="10"/>
  <c r="E222" i="10"/>
  <c r="G222" i="10" s="1"/>
  <c r="H221" i="10"/>
  <c r="E221" i="10"/>
  <c r="G221" i="10" s="1"/>
  <c r="H220" i="10"/>
  <c r="E220" i="10"/>
  <c r="G220" i="10" s="1"/>
  <c r="H219" i="10"/>
  <c r="E219" i="10"/>
  <c r="G219" i="10" s="1"/>
  <c r="H218" i="10"/>
  <c r="E218" i="10"/>
  <c r="G218" i="10" s="1"/>
  <c r="H217" i="10"/>
  <c r="E217" i="10"/>
  <c r="G217" i="10" s="1"/>
  <c r="H216" i="10"/>
  <c r="E216" i="10"/>
  <c r="G216" i="10" s="1"/>
  <c r="H215" i="10"/>
  <c r="E215" i="10"/>
  <c r="G215" i="10" s="1"/>
  <c r="H214" i="10"/>
  <c r="E214" i="10"/>
  <c r="G214" i="10" s="1"/>
  <c r="H213" i="10"/>
  <c r="E213" i="10"/>
  <c r="G213" i="10" s="1"/>
  <c r="H212" i="10"/>
  <c r="E212" i="10"/>
  <c r="G212" i="10" s="1"/>
  <c r="H211" i="10"/>
  <c r="E211" i="10"/>
  <c r="G211" i="10" s="1"/>
  <c r="H210" i="10"/>
  <c r="E210" i="10"/>
  <c r="G210" i="10" s="1"/>
  <c r="H209" i="10"/>
  <c r="E209" i="10"/>
  <c r="G209" i="10" s="1"/>
  <c r="H208" i="10"/>
  <c r="E208" i="10"/>
  <c r="G208" i="10" s="1"/>
  <c r="H207" i="10"/>
  <c r="E207" i="10"/>
  <c r="G207" i="10" s="1"/>
  <c r="H206" i="10"/>
  <c r="E206" i="10"/>
  <c r="G206" i="10" s="1"/>
  <c r="H205" i="10"/>
  <c r="E205" i="10"/>
  <c r="G205" i="10" s="1"/>
  <c r="H204" i="10"/>
  <c r="E204" i="10"/>
  <c r="G204" i="10" s="1"/>
  <c r="H203" i="10"/>
  <c r="E203" i="10"/>
  <c r="G203" i="10" s="1"/>
  <c r="H202" i="10"/>
  <c r="E202" i="10"/>
  <c r="G202" i="10" s="1"/>
  <c r="H201" i="10"/>
  <c r="E201" i="10"/>
  <c r="G201" i="10" s="1"/>
  <c r="H200" i="10"/>
  <c r="E200" i="10"/>
  <c r="G200" i="10" s="1"/>
  <c r="H199" i="10"/>
  <c r="E199" i="10"/>
  <c r="G199" i="10" s="1"/>
  <c r="H198" i="10"/>
  <c r="E198" i="10"/>
  <c r="G198" i="10" s="1"/>
  <c r="H197" i="10"/>
  <c r="E197" i="10"/>
  <c r="G197" i="10" s="1"/>
  <c r="H196" i="10"/>
  <c r="E196" i="10"/>
  <c r="G196" i="10" s="1"/>
  <c r="H195" i="10"/>
  <c r="E195" i="10"/>
  <c r="G195" i="10" s="1"/>
  <c r="H194" i="10"/>
  <c r="E194" i="10"/>
  <c r="G194" i="10" s="1"/>
  <c r="H193" i="10"/>
  <c r="E193" i="10"/>
  <c r="G193" i="10" s="1"/>
  <c r="H192" i="10"/>
  <c r="E192" i="10"/>
  <c r="G192" i="10" s="1"/>
  <c r="H191" i="10"/>
  <c r="E191" i="10"/>
  <c r="G191" i="10" s="1"/>
  <c r="H190" i="10"/>
  <c r="E190" i="10"/>
  <c r="G190" i="10" s="1"/>
  <c r="H189" i="10"/>
  <c r="E189" i="10"/>
  <c r="G189" i="10" s="1"/>
  <c r="H188" i="10"/>
  <c r="E188" i="10"/>
  <c r="G188" i="10" s="1"/>
  <c r="H187" i="10"/>
  <c r="E187" i="10"/>
  <c r="G187" i="10" s="1"/>
  <c r="H186" i="10"/>
  <c r="E186" i="10"/>
  <c r="G186" i="10" s="1"/>
  <c r="H185" i="10"/>
  <c r="E185" i="10"/>
  <c r="G185" i="10" s="1"/>
  <c r="H184" i="10"/>
  <c r="E184" i="10"/>
  <c r="G184" i="10" s="1"/>
  <c r="H183" i="10"/>
  <c r="E183" i="10"/>
  <c r="G183" i="10" s="1"/>
  <c r="H182" i="10"/>
  <c r="E182" i="10"/>
  <c r="G182" i="10" s="1"/>
  <c r="H181" i="10"/>
  <c r="E181" i="10"/>
  <c r="G181" i="10" s="1"/>
  <c r="H180" i="10"/>
  <c r="E180" i="10"/>
  <c r="G180" i="10" s="1"/>
  <c r="H179" i="10"/>
  <c r="E179" i="10"/>
  <c r="G179" i="10" s="1"/>
  <c r="H178" i="10"/>
  <c r="E178" i="10"/>
  <c r="G178" i="10" s="1"/>
  <c r="H177" i="10"/>
  <c r="E177" i="10"/>
  <c r="G177" i="10" s="1"/>
  <c r="H176" i="10"/>
  <c r="E176" i="10"/>
  <c r="G176" i="10" s="1"/>
  <c r="H175" i="10"/>
  <c r="E175" i="10"/>
  <c r="G175" i="10" s="1"/>
  <c r="H174" i="10"/>
  <c r="E174" i="10"/>
  <c r="G174" i="10" s="1"/>
  <c r="H173" i="10"/>
  <c r="E173" i="10"/>
  <c r="G173" i="10" s="1"/>
  <c r="H172" i="10"/>
  <c r="E172" i="10"/>
  <c r="G172" i="10" s="1"/>
  <c r="H171" i="10"/>
  <c r="E171" i="10"/>
  <c r="G171" i="10" s="1"/>
  <c r="H170" i="10"/>
  <c r="E170" i="10"/>
  <c r="G170" i="10" s="1"/>
  <c r="H169" i="10"/>
  <c r="E169" i="10"/>
  <c r="G169" i="10" s="1"/>
  <c r="H168" i="10"/>
  <c r="E168" i="10"/>
  <c r="G168" i="10" s="1"/>
  <c r="H167" i="10"/>
  <c r="E167" i="10"/>
  <c r="G167" i="10" s="1"/>
  <c r="H166" i="10"/>
  <c r="E166" i="10"/>
  <c r="G166" i="10" s="1"/>
  <c r="H165" i="10"/>
  <c r="E165" i="10"/>
  <c r="G165" i="10" s="1"/>
  <c r="H164" i="10"/>
  <c r="E164" i="10"/>
  <c r="G164" i="10" s="1"/>
  <c r="H163" i="10"/>
  <c r="E163" i="10"/>
  <c r="G163" i="10" s="1"/>
  <c r="H162" i="10"/>
  <c r="E162" i="10"/>
  <c r="G162" i="10" s="1"/>
  <c r="H161" i="10"/>
  <c r="E161" i="10"/>
  <c r="G161" i="10" s="1"/>
  <c r="H160" i="10"/>
  <c r="E160" i="10"/>
  <c r="G160" i="10" s="1"/>
  <c r="H159" i="10"/>
  <c r="E159" i="10"/>
  <c r="G159" i="10" s="1"/>
  <c r="H158" i="10"/>
  <c r="E158" i="10"/>
  <c r="G158" i="10" s="1"/>
  <c r="H157" i="10"/>
  <c r="E157" i="10"/>
  <c r="G157" i="10" s="1"/>
  <c r="H156" i="10"/>
  <c r="E156" i="10"/>
  <c r="G156" i="10" s="1"/>
  <c r="H155" i="10"/>
  <c r="E155" i="10"/>
  <c r="G155" i="10" s="1"/>
  <c r="H154" i="10"/>
  <c r="E154" i="10"/>
  <c r="G154" i="10" s="1"/>
  <c r="H153" i="10"/>
  <c r="E153" i="10"/>
  <c r="G153" i="10" s="1"/>
  <c r="H152" i="10"/>
  <c r="E152" i="10"/>
  <c r="G152" i="10" s="1"/>
  <c r="H151" i="10"/>
  <c r="E151" i="10"/>
  <c r="G151" i="10" s="1"/>
  <c r="H150" i="10"/>
  <c r="E150" i="10"/>
  <c r="G150" i="10" s="1"/>
  <c r="H149" i="10"/>
  <c r="E149" i="10"/>
  <c r="G149" i="10" s="1"/>
  <c r="H148" i="10"/>
  <c r="E148" i="10"/>
  <c r="G148" i="10" s="1"/>
  <c r="H147" i="10"/>
  <c r="E147" i="10"/>
  <c r="G147" i="10" s="1"/>
  <c r="H146" i="10"/>
  <c r="E146" i="10"/>
  <c r="G146" i="10" s="1"/>
  <c r="H145" i="10"/>
  <c r="E145" i="10"/>
  <c r="G145" i="10" s="1"/>
  <c r="H144" i="10"/>
  <c r="E144" i="10"/>
  <c r="G144" i="10" s="1"/>
  <c r="H143" i="10"/>
  <c r="E143" i="10"/>
  <c r="G143" i="10" s="1"/>
  <c r="H142" i="10"/>
  <c r="E142" i="10"/>
  <c r="G142" i="10" s="1"/>
  <c r="H141" i="10"/>
  <c r="E141" i="10"/>
  <c r="G141" i="10" s="1"/>
  <c r="H140" i="10"/>
  <c r="E140" i="10"/>
  <c r="G140" i="10" s="1"/>
  <c r="H139" i="10"/>
  <c r="E139" i="10"/>
  <c r="G139" i="10" s="1"/>
  <c r="H138" i="10"/>
  <c r="E138" i="10"/>
  <c r="G138" i="10" s="1"/>
  <c r="D138" i="10"/>
  <c r="D147" i="10" s="1"/>
  <c r="D156" i="10" s="1"/>
  <c r="D165" i="10" s="1"/>
  <c r="D174" i="10" s="1"/>
  <c r="D183" i="10" s="1"/>
  <c r="D192" i="10" s="1"/>
  <c r="D201" i="10" s="1"/>
  <c r="D210" i="10" s="1"/>
  <c r="D219" i="10" s="1"/>
  <c r="D228" i="10" s="1"/>
  <c r="D237" i="10" s="1"/>
  <c r="D246" i="10" s="1"/>
  <c r="D255" i="10" s="1"/>
  <c r="D264" i="10" s="1"/>
  <c r="D273" i="10" s="1"/>
  <c r="D282" i="10" s="1"/>
  <c r="D291" i="10" s="1"/>
  <c r="D300" i="10" s="1"/>
  <c r="D309" i="10" s="1"/>
  <c r="D318" i="10" s="1"/>
  <c r="D327" i="10" s="1"/>
  <c r="H137" i="10"/>
  <c r="E137" i="10"/>
  <c r="G137" i="10" s="1"/>
  <c r="H136" i="10"/>
  <c r="E136" i="10"/>
  <c r="G136" i="10" s="1"/>
  <c r="H135" i="10"/>
  <c r="E135" i="10"/>
  <c r="G135" i="10" s="1"/>
  <c r="H134" i="10"/>
  <c r="E134" i="10"/>
  <c r="G134" i="10" s="1"/>
  <c r="H133" i="10"/>
  <c r="E133" i="10"/>
  <c r="G133" i="10" s="1"/>
  <c r="H132" i="10"/>
  <c r="E132" i="10"/>
  <c r="G132" i="10" s="1"/>
  <c r="H131" i="10"/>
  <c r="E131" i="10"/>
  <c r="G131" i="10" s="1"/>
  <c r="H130" i="10"/>
  <c r="E130" i="10"/>
  <c r="G130" i="10" s="1"/>
  <c r="H129" i="10"/>
  <c r="E129" i="10"/>
  <c r="G129" i="10" s="1"/>
  <c r="H128" i="10"/>
  <c r="E128" i="10"/>
  <c r="G128" i="10" s="1"/>
  <c r="H127" i="10"/>
  <c r="E127" i="10"/>
  <c r="G127" i="10" s="1"/>
  <c r="H126" i="10"/>
  <c r="E126" i="10"/>
  <c r="G126" i="10" s="1"/>
  <c r="D126" i="10"/>
  <c r="D135" i="10" s="1"/>
  <c r="D144" i="10" s="1"/>
  <c r="D153" i="10" s="1"/>
  <c r="D162" i="10" s="1"/>
  <c r="D171" i="10" s="1"/>
  <c r="D180" i="10" s="1"/>
  <c r="D189" i="10" s="1"/>
  <c r="D198" i="10" s="1"/>
  <c r="D207" i="10" s="1"/>
  <c r="D216" i="10" s="1"/>
  <c r="D225" i="10" s="1"/>
  <c r="D234" i="10" s="1"/>
  <c r="D243" i="10" s="1"/>
  <c r="D252" i="10" s="1"/>
  <c r="D261" i="10" s="1"/>
  <c r="D270" i="10" s="1"/>
  <c r="D279" i="10" s="1"/>
  <c r="D288" i="10" s="1"/>
  <c r="D297" i="10" s="1"/>
  <c r="D306" i="10" s="1"/>
  <c r="D315" i="10" s="1"/>
  <c r="D324" i="10" s="1"/>
  <c r="D333" i="10" s="1"/>
  <c r="D342" i="10" s="1"/>
  <c r="D351" i="10" s="1"/>
  <c r="D360" i="10" s="1"/>
  <c r="D369" i="10" s="1"/>
  <c r="D378" i="10" s="1"/>
  <c r="D387" i="10" s="1"/>
  <c r="D396" i="10" s="1"/>
  <c r="D405" i="10" s="1"/>
  <c r="D414" i="10" s="1"/>
  <c r="D423" i="10" s="1"/>
  <c r="D432" i="10" s="1"/>
  <c r="D441" i="10" s="1"/>
  <c r="H125" i="10"/>
  <c r="E125" i="10"/>
  <c r="G125" i="10" s="1"/>
  <c r="H124" i="10"/>
  <c r="E124" i="10"/>
  <c r="G124" i="10" s="1"/>
  <c r="H123" i="10"/>
  <c r="E123" i="10"/>
  <c r="G123" i="10" s="1"/>
  <c r="H122" i="10"/>
  <c r="E122" i="10"/>
  <c r="G122" i="10" s="1"/>
  <c r="H121" i="10"/>
  <c r="E121" i="10"/>
  <c r="G121" i="10" s="1"/>
  <c r="H120" i="10"/>
  <c r="E120" i="10"/>
  <c r="G120" i="10" s="1"/>
  <c r="H119" i="10"/>
  <c r="E119" i="10"/>
  <c r="G119" i="10" s="1"/>
  <c r="H118" i="10"/>
  <c r="E118" i="10"/>
  <c r="G118" i="10" s="1"/>
  <c r="H117" i="10"/>
  <c r="E117" i="10"/>
  <c r="G117" i="10" s="1"/>
  <c r="H116" i="10"/>
  <c r="E116" i="10"/>
  <c r="G116" i="10" s="1"/>
  <c r="H115" i="10"/>
  <c r="E115" i="10"/>
  <c r="G115" i="10" s="1"/>
  <c r="H114" i="10"/>
  <c r="E114" i="10"/>
  <c r="G114" i="10" s="1"/>
  <c r="H113" i="10"/>
  <c r="E113" i="10"/>
  <c r="G113" i="10" s="1"/>
  <c r="H112" i="10"/>
  <c r="E112" i="10"/>
  <c r="G112" i="10" s="1"/>
  <c r="H111" i="10"/>
  <c r="E111" i="10"/>
  <c r="G111" i="10" s="1"/>
  <c r="H110" i="10"/>
  <c r="E110" i="10"/>
  <c r="G110" i="10" s="1"/>
  <c r="H109" i="10"/>
  <c r="E109" i="10"/>
  <c r="G109" i="10" s="1"/>
  <c r="H108" i="10"/>
  <c r="E108" i="10"/>
  <c r="G108" i="10" s="1"/>
  <c r="H107" i="10"/>
  <c r="E107" i="10"/>
  <c r="G107" i="10" s="1"/>
  <c r="H106" i="10"/>
  <c r="E106" i="10"/>
  <c r="G106" i="10" s="1"/>
  <c r="H105" i="10"/>
  <c r="E105" i="10"/>
  <c r="G105" i="10" s="1"/>
  <c r="H104" i="10"/>
  <c r="E104" i="10"/>
  <c r="G104" i="10" s="1"/>
  <c r="H103" i="10"/>
  <c r="E103" i="10"/>
  <c r="G103" i="10" s="1"/>
  <c r="H102" i="10"/>
  <c r="E102" i="10"/>
  <c r="G102" i="10" s="1"/>
  <c r="H101" i="10"/>
  <c r="E101" i="10"/>
  <c r="G101" i="10" s="1"/>
  <c r="H100" i="10"/>
  <c r="E100" i="10"/>
  <c r="G100" i="10" s="1"/>
  <c r="H99" i="10"/>
  <c r="E99" i="10"/>
  <c r="G99" i="10" s="1"/>
  <c r="H98" i="10"/>
  <c r="E98" i="10"/>
  <c r="G98" i="10" s="1"/>
  <c r="H97" i="10"/>
  <c r="E97" i="10"/>
  <c r="G97" i="10" s="1"/>
  <c r="D97" i="10"/>
  <c r="D106" i="10" s="1"/>
  <c r="D115" i="10" s="1"/>
  <c r="D124" i="10" s="1"/>
  <c r="D133" i="10" s="1"/>
  <c r="D142" i="10" s="1"/>
  <c r="D151" i="10" s="1"/>
  <c r="D160" i="10" s="1"/>
  <c r="D169" i="10" s="1"/>
  <c r="D178" i="10" s="1"/>
  <c r="D187" i="10" s="1"/>
  <c r="D196" i="10" s="1"/>
  <c r="D205" i="10" s="1"/>
  <c r="D214" i="10" s="1"/>
  <c r="D223" i="10" s="1"/>
  <c r="D232" i="10" s="1"/>
  <c r="D241" i="10" s="1"/>
  <c r="D250" i="10" s="1"/>
  <c r="D259" i="10" s="1"/>
  <c r="D268" i="10" s="1"/>
  <c r="D277" i="10" s="1"/>
  <c r="D286" i="10" s="1"/>
  <c r="D295" i="10" s="1"/>
  <c r="D304" i="10" s="1"/>
  <c r="D313" i="10" s="1"/>
  <c r="D322" i="10" s="1"/>
  <c r="D331" i="10" s="1"/>
  <c r="D340" i="10" s="1"/>
  <c r="D349" i="10" s="1"/>
  <c r="D358" i="10" s="1"/>
  <c r="D367" i="10" s="1"/>
  <c r="D376" i="10" s="1"/>
  <c r="D385" i="10" s="1"/>
  <c r="D394" i="10" s="1"/>
  <c r="D403" i="10" s="1"/>
  <c r="D412" i="10" s="1"/>
  <c r="D421" i="10" s="1"/>
  <c r="D430" i="10" s="1"/>
  <c r="D439" i="10" s="1"/>
  <c r="D448" i="10" s="1"/>
  <c r="D457" i="10" s="1"/>
  <c r="H96" i="10"/>
  <c r="E96" i="10"/>
  <c r="G96" i="10" s="1"/>
  <c r="H95" i="10"/>
  <c r="E95" i="10"/>
  <c r="G95" i="10" s="1"/>
  <c r="H94" i="10"/>
  <c r="E94" i="10"/>
  <c r="G94" i="10" s="1"/>
  <c r="H93" i="10"/>
  <c r="E93" i="10"/>
  <c r="G93" i="10" s="1"/>
  <c r="H92" i="10"/>
  <c r="E92" i="10"/>
  <c r="G92" i="10" s="1"/>
  <c r="H91" i="10"/>
  <c r="E91" i="10"/>
  <c r="G91" i="10" s="1"/>
  <c r="H90" i="10"/>
  <c r="E90" i="10"/>
  <c r="G90" i="10" s="1"/>
  <c r="H89" i="10"/>
  <c r="E89" i="10"/>
  <c r="G89" i="10" s="1"/>
  <c r="H88" i="10"/>
  <c r="E88" i="10"/>
  <c r="G88" i="10" s="1"/>
  <c r="H87" i="10"/>
  <c r="E87" i="10"/>
  <c r="G87" i="10" s="1"/>
  <c r="H86" i="10"/>
  <c r="E86" i="10"/>
  <c r="G86" i="10" s="1"/>
  <c r="H85" i="10"/>
  <c r="E85" i="10"/>
  <c r="G85" i="10" s="1"/>
  <c r="H84" i="10"/>
  <c r="E84" i="10"/>
  <c r="G84" i="10" s="1"/>
  <c r="H83" i="10"/>
  <c r="E83" i="10"/>
  <c r="G83" i="10" s="1"/>
  <c r="H82" i="10"/>
  <c r="E82" i="10"/>
  <c r="G82" i="10" s="1"/>
  <c r="H81" i="10"/>
  <c r="E81" i="10"/>
  <c r="G81" i="10" s="1"/>
  <c r="H80" i="10"/>
  <c r="E80" i="10"/>
  <c r="G80" i="10" s="1"/>
  <c r="H79" i="10"/>
  <c r="E79" i="10"/>
  <c r="G79" i="10" s="1"/>
  <c r="H78" i="10"/>
  <c r="E78" i="10"/>
  <c r="G78" i="10" s="1"/>
  <c r="H77" i="10"/>
  <c r="E77" i="10"/>
  <c r="G77" i="10" s="1"/>
  <c r="H76" i="10"/>
  <c r="E76" i="10"/>
  <c r="G76" i="10" s="1"/>
  <c r="D76" i="10"/>
  <c r="D85" i="10" s="1"/>
  <c r="D94" i="10" s="1"/>
  <c r="D103" i="10" s="1"/>
  <c r="D112" i="10" s="1"/>
  <c r="D121" i="10" s="1"/>
  <c r="D130" i="10" s="1"/>
  <c r="D139" i="10" s="1"/>
  <c r="D148" i="10" s="1"/>
  <c r="D157" i="10" s="1"/>
  <c r="D166" i="10" s="1"/>
  <c r="D175" i="10" s="1"/>
  <c r="D184" i="10" s="1"/>
  <c r="D193" i="10" s="1"/>
  <c r="D202" i="10" s="1"/>
  <c r="D211" i="10" s="1"/>
  <c r="D220" i="10" s="1"/>
  <c r="D229" i="10" s="1"/>
  <c r="D238" i="10" s="1"/>
  <c r="D247" i="10" s="1"/>
  <c r="D256" i="10" s="1"/>
  <c r="D265" i="10" s="1"/>
  <c r="D274" i="10" s="1"/>
  <c r="D283" i="10" s="1"/>
  <c r="D292" i="10" s="1"/>
  <c r="D301" i="10" s="1"/>
  <c r="D310" i="10" s="1"/>
  <c r="D319" i="10" s="1"/>
  <c r="D328" i="10" s="1"/>
  <c r="D337" i="10" s="1"/>
  <c r="D346" i="10" s="1"/>
  <c r="D355" i="10" s="1"/>
  <c r="D364" i="10" s="1"/>
  <c r="D373" i="10" s="1"/>
  <c r="D382" i="10" s="1"/>
  <c r="D391" i="10" s="1"/>
  <c r="D400" i="10" s="1"/>
  <c r="D409" i="10" s="1"/>
  <c r="D418" i="10" s="1"/>
  <c r="D427" i="10" s="1"/>
  <c r="D436" i="10" s="1"/>
  <c r="H75" i="10"/>
  <c r="E75" i="10"/>
  <c r="G75" i="10" s="1"/>
  <c r="H74" i="10"/>
  <c r="E74" i="10"/>
  <c r="G74" i="10" s="1"/>
  <c r="H73" i="10"/>
  <c r="E73" i="10"/>
  <c r="G73" i="10" s="1"/>
  <c r="D73" i="10"/>
  <c r="D82" i="10" s="1"/>
  <c r="D91" i="10" s="1"/>
  <c r="D100" i="10" s="1"/>
  <c r="D109" i="10" s="1"/>
  <c r="D118" i="10" s="1"/>
  <c r="D127" i="10" s="1"/>
  <c r="D136" i="10" s="1"/>
  <c r="D145" i="10" s="1"/>
  <c r="D154" i="10" s="1"/>
  <c r="D163" i="10" s="1"/>
  <c r="D172" i="10" s="1"/>
  <c r="D181" i="10" s="1"/>
  <c r="D190" i="10" s="1"/>
  <c r="D199" i="10" s="1"/>
  <c r="D208" i="10" s="1"/>
  <c r="D217" i="10" s="1"/>
  <c r="D226" i="10" s="1"/>
  <c r="D235" i="10" s="1"/>
  <c r="D244" i="10" s="1"/>
  <c r="D253" i="10" s="1"/>
  <c r="D262" i="10" s="1"/>
  <c r="D271" i="10" s="1"/>
  <c r="D280" i="10" s="1"/>
  <c r="D289" i="10" s="1"/>
  <c r="D298" i="10" s="1"/>
  <c r="D307" i="10" s="1"/>
  <c r="D316" i="10" s="1"/>
  <c r="D325" i="10" s="1"/>
  <c r="D334" i="10" s="1"/>
  <c r="D343" i="10" s="1"/>
  <c r="D352" i="10" s="1"/>
  <c r="D361" i="10" s="1"/>
  <c r="D370" i="10" s="1"/>
  <c r="D379" i="10" s="1"/>
  <c r="D388" i="10" s="1"/>
  <c r="D397" i="10" s="1"/>
  <c r="D406" i="10" s="1"/>
  <c r="D415" i="10" s="1"/>
  <c r="D424" i="10" s="1"/>
  <c r="D433" i="10" s="1"/>
  <c r="D442" i="10" s="1"/>
  <c r="H72" i="10"/>
  <c r="E72" i="10"/>
  <c r="G72" i="10" s="1"/>
  <c r="H71" i="10"/>
  <c r="E71" i="10"/>
  <c r="G71" i="10" s="1"/>
  <c r="H70" i="10"/>
  <c r="E70" i="10"/>
  <c r="G70" i="10" s="1"/>
  <c r="H69" i="10"/>
  <c r="E69" i="10"/>
  <c r="G69" i="10" s="1"/>
  <c r="H68" i="10"/>
  <c r="E68" i="10"/>
  <c r="G68" i="10" s="1"/>
  <c r="H67" i="10"/>
  <c r="E67" i="10"/>
  <c r="G67" i="10" s="1"/>
  <c r="H66" i="10"/>
  <c r="E66" i="10"/>
  <c r="G66" i="10" s="1"/>
  <c r="H65" i="10"/>
  <c r="E65" i="10"/>
  <c r="G65" i="10" s="1"/>
  <c r="H64" i="10"/>
  <c r="E64" i="10"/>
  <c r="G64" i="10" s="1"/>
  <c r="H63" i="10"/>
  <c r="E63" i="10"/>
  <c r="G63" i="10" s="1"/>
  <c r="H62" i="10"/>
  <c r="E62" i="10"/>
  <c r="G62" i="10" s="1"/>
  <c r="H61" i="10"/>
  <c r="E61" i="10"/>
  <c r="G61" i="10" s="1"/>
  <c r="H60" i="10"/>
  <c r="E60" i="10"/>
  <c r="G60" i="10" s="1"/>
  <c r="H59" i="10"/>
  <c r="E59" i="10"/>
  <c r="G59" i="10" s="1"/>
  <c r="H58" i="10"/>
  <c r="E58" i="10"/>
  <c r="G58" i="10" s="1"/>
  <c r="H57" i="10"/>
  <c r="E57" i="10"/>
  <c r="G57" i="10" s="1"/>
  <c r="D57" i="10"/>
  <c r="D66" i="10" s="1"/>
  <c r="D75" i="10" s="1"/>
  <c r="D84" i="10" s="1"/>
  <c r="D93" i="10" s="1"/>
  <c r="D102" i="10" s="1"/>
  <c r="D111" i="10" s="1"/>
  <c r="D120" i="10" s="1"/>
  <c r="D129" i="10" s="1"/>
  <c r="H56" i="10"/>
  <c r="E56" i="10"/>
  <c r="G56" i="10" s="1"/>
  <c r="H55" i="10"/>
  <c r="E55" i="10"/>
  <c r="G55" i="10" s="1"/>
  <c r="D55" i="10"/>
  <c r="D64" i="10" s="1"/>
  <c r="H54" i="10"/>
  <c r="E54" i="10"/>
  <c r="G54" i="10" s="1"/>
  <c r="H53" i="10"/>
  <c r="E53" i="10"/>
  <c r="G53" i="10" s="1"/>
  <c r="H52" i="10"/>
  <c r="E52" i="10"/>
  <c r="G52" i="10" s="1"/>
  <c r="H51" i="10"/>
  <c r="E51" i="10"/>
  <c r="G51" i="10" s="1"/>
  <c r="H50" i="10"/>
  <c r="E50" i="10"/>
  <c r="G50" i="10" s="1"/>
  <c r="H49" i="10"/>
  <c r="E49" i="10"/>
  <c r="G49" i="10" s="1"/>
  <c r="D49" i="10"/>
  <c r="D58" i="10" s="1"/>
  <c r="D67" i="10" s="1"/>
  <c r="H48" i="10"/>
  <c r="E48" i="10"/>
  <c r="G48" i="10" s="1"/>
  <c r="H47" i="10"/>
  <c r="E47" i="10"/>
  <c r="G47" i="10" s="1"/>
  <c r="H46" i="10"/>
  <c r="E46" i="10"/>
  <c r="G46" i="10" s="1"/>
  <c r="H45" i="10"/>
  <c r="E45" i="10"/>
  <c r="G45" i="10" s="1"/>
  <c r="H44" i="10"/>
  <c r="E44" i="10"/>
  <c r="G44" i="10" s="1"/>
  <c r="H43" i="10"/>
  <c r="E43" i="10"/>
  <c r="G43" i="10" s="1"/>
  <c r="D43" i="10"/>
  <c r="D52" i="10" s="1"/>
  <c r="D61" i="10" s="1"/>
  <c r="D70" i="10" s="1"/>
  <c r="D79" i="10" s="1"/>
  <c r="D88" i="10" s="1"/>
  <c r="H42" i="10"/>
  <c r="E42" i="10"/>
  <c r="G42" i="10" s="1"/>
  <c r="H41" i="10"/>
  <c r="E41" i="10"/>
  <c r="G41" i="10" s="1"/>
  <c r="H40" i="10"/>
  <c r="E40" i="10"/>
  <c r="G40" i="10" s="1"/>
  <c r="H39" i="10"/>
  <c r="E39" i="10"/>
  <c r="G39" i="10" s="1"/>
  <c r="H38" i="10"/>
  <c r="E38" i="10"/>
  <c r="G38" i="10" s="1"/>
  <c r="H37" i="10"/>
  <c r="E37" i="10"/>
  <c r="G37" i="10" s="1"/>
  <c r="D37" i="10"/>
  <c r="D46" i="10" s="1"/>
  <c r="H36" i="10"/>
  <c r="E36" i="10"/>
  <c r="G36" i="10" s="1"/>
  <c r="H35" i="10"/>
  <c r="E35" i="10"/>
  <c r="G35" i="10" s="1"/>
  <c r="H34" i="10"/>
  <c r="E34" i="10"/>
  <c r="G34" i="10" s="1"/>
  <c r="H33" i="10"/>
  <c r="E33" i="10"/>
  <c r="G33" i="10" s="1"/>
  <c r="H32" i="10"/>
  <c r="E32" i="10"/>
  <c r="G32" i="10" s="1"/>
  <c r="H31" i="10"/>
  <c r="E31" i="10"/>
  <c r="G31" i="10" s="1"/>
  <c r="H30" i="10"/>
  <c r="E30" i="10"/>
  <c r="G30" i="10" s="1"/>
  <c r="H29" i="10"/>
  <c r="E29" i="10"/>
  <c r="G29" i="10" s="1"/>
  <c r="H28" i="10"/>
  <c r="E28" i="10"/>
  <c r="G28" i="10" s="1"/>
  <c r="D28" i="10"/>
  <c r="H27" i="10"/>
  <c r="E27" i="10"/>
  <c r="G27" i="10" s="1"/>
  <c r="D27" i="10"/>
  <c r="D36" i="10" s="1"/>
  <c r="D45" i="10" s="1"/>
  <c r="D54" i="10" s="1"/>
  <c r="D63" i="10" s="1"/>
  <c r="D72" i="10" s="1"/>
  <c r="D81" i="10" s="1"/>
  <c r="D90" i="10" s="1"/>
  <c r="D99" i="10" s="1"/>
  <c r="D108" i="10" s="1"/>
  <c r="D117" i="10" s="1"/>
  <c r="H26" i="10"/>
  <c r="E26" i="10"/>
  <c r="G26" i="10" s="1"/>
  <c r="H25" i="10"/>
  <c r="E25" i="10"/>
  <c r="G25" i="10" s="1"/>
  <c r="D25" i="10"/>
  <c r="D34" i="10" s="1"/>
  <c r="H24" i="10"/>
  <c r="E24" i="10"/>
  <c r="G24" i="10" s="1"/>
  <c r="H23" i="10"/>
  <c r="E23" i="10"/>
  <c r="G23" i="10" s="1"/>
  <c r="H22" i="10"/>
  <c r="E22" i="10"/>
  <c r="G22" i="10" s="1"/>
  <c r="H21" i="10"/>
  <c r="E21" i="10"/>
  <c r="G21" i="10" s="1"/>
  <c r="D21" i="10"/>
  <c r="D30" i="10" s="1"/>
  <c r="D39" i="10" s="1"/>
  <c r="D48" i="10" s="1"/>
  <c r="H20" i="10"/>
  <c r="E20" i="10"/>
  <c r="G20" i="10" s="1"/>
  <c r="H19" i="10"/>
  <c r="E19" i="10"/>
  <c r="G19" i="10" s="1"/>
  <c r="D19" i="10"/>
  <c r="H18" i="10"/>
  <c r="E18" i="10"/>
  <c r="G18" i="10" s="1"/>
  <c r="D18" i="10"/>
  <c r="H17" i="10"/>
  <c r="E17" i="10"/>
  <c r="G17" i="10" s="1"/>
  <c r="H16" i="10"/>
  <c r="E16" i="10"/>
  <c r="G16" i="10" s="1"/>
  <c r="D16" i="10"/>
  <c r="H15" i="10"/>
  <c r="E15" i="10"/>
  <c r="G15" i="10" s="1"/>
  <c r="H14" i="10"/>
  <c r="E14" i="10"/>
  <c r="G14" i="10" s="1"/>
  <c r="D14" i="10"/>
  <c r="D23" i="10" s="1"/>
  <c r="D32" i="10" s="1"/>
  <c r="D41" i="10" s="1"/>
  <c r="D50" i="10" s="1"/>
  <c r="D59" i="10" s="1"/>
  <c r="D68" i="10" s="1"/>
  <c r="D77" i="10" s="1"/>
  <c r="D86" i="10" s="1"/>
  <c r="D95" i="10" s="1"/>
  <c r="D104" i="10" s="1"/>
  <c r="D113" i="10" s="1"/>
  <c r="D122" i="10" s="1"/>
  <c r="D131" i="10" s="1"/>
  <c r="D140" i="10" s="1"/>
  <c r="D149" i="10" s="1"/>
  <c r="D158" i="10" s="1"/>
  <c r="D167" i="10" s="1"/>
  <c r="D176" i="10" s="1"/>
  <c r="D185" i="10" s="1"/>
  <c r="D194" i="10" s="1"/>
  <c r="D203" i="10" s="1"/>
  <c r="D212" i="10" s="1"/>
  <c r="D221" i="10" s="1"/>
  <c r="D230" i="10" s="1"/>
  <c r="D239" i="10" s="1"/>
  <c r="D248" i="10" s="1"/>
  <c r="D257" i="10" s="1"/>
  <c r="D266" i="10" s="1"/>
  <c r="D275" i="10" s="1"/>
  <c r="D284" i="10" s="1"/>
  <c r="D293" i="10" s="1"/>
  <c r="D302" i="10" s="1"/>
  <c r="D311" i="10" s="1"/>
  <c r="D320" i="10" s="1"/>
  <c r="D329" i="10" s="1"/>
  <c r="D338" i="10" s="1"/>
  <c r="D347" i="10" s="1"/>
  <c r="D356" i="10" s="1"/>
  <c r="D365" i="10" s="1"/>
  <c r="D374" i="10" s="1"/>
  <c r="D383" i="10" s="1"/>
  <c r="D392" i="10" s="1"/>
  <c r="D401" i="10" s="1"/>
  <c r="D410" i="10" s="1"/>
  <c r="D419" i="10" s="1"/>
  <c r="D428" i="10" s="1"/>
  <c r="D437" i="10" s="1"/>
  <c r="H13" i="10"/>
  <c r="E13" i="10"/>
  <c r="G13" i="10" s="1"/>
  <c r="D13" i="10"/>
  <c r="D22" i="10" s="1"/>
  <c r="D31" i="10" s="1"/>
  <c r="D40" i="10" s="1"/>
  <c r="H12" i="10"/>
  <c r="E12" i="10"/>
  <c r="G12" i="10" s="1"/>
  <c r="D12" i="10"/>
  <c r="H11" i="10"/>
  <c r="E11" i="10"/>
  <c r="G11" i="10" s="1"/>
  <c r="D11" i="10"/>
  <c r="D20" i="10" s="1"/>
  <c r="D29" i="10" s="1"/>
  <c r="D38" i="10" s="1"/>
  <c r="D47" i="10" s="1"/>
  <c r="D56" i="10" s="1"/>
  <c r="D65" i="10" s="1"/>
  <c r="D74" i="10" s="1"/>
  <c r="D83" i="10" s="1"/>
  <c r="D92" i="10" s="1"/>
  <c r="D101" i="10" s="1"/>
  <c r="D110" i="10" s="1"/>
  <c r="D119" i="10" s="1"/>
  <c r="D128" i="10" s="1"/>
  <c r="D137" i="10" s="1"/>
  <c r="D146" i="10" s="1"/>
  <c r="D155" i="10" s="1"/>
  <c r="D164" i="10" s="1"/>
  <c r="D173" i="10" s="1"/>
  <c r="D182" i="10" s="1"/>
  <c r="D191" i="10" s="1"/>
  <c r="D200" i="10" s="1"/>
  <c r="D209" i="10" s="1"/>
  <c r="D218" i="10" s="1"/>
  <c r="D227" i="10" s="1"/>
  <c r="D236" i="10" s="1"/>
  <c r="D245" i="10" s="1"/>
  <c r="D254" i="10" s="1"/>
  <c r="D263" i="10" s="1"/>
  <c r="D272" i="10" s="1"/>
  <c r="D281" i="10" s="1"/>
  <c r="D290" i="10" s="1"/>
  <c r="D299" i="10" s="1"/>
  <c r="D308" i="10" s="1"/>
  <c r="D317" i="10" s="1"/>
  <c r="D326" i="10" s="1"/>
  <c r="D335" i="10" s="1"/>
  <c r="D344" i="10" s="1"/>
  <c r="D353" i="10" s="1"/>
  <c r="D362" i="10" s="1"/>
  <c r="D371" i="10" s="1"/>
  <c r="D380" i="10" s="1"/>
  <c r="D389" i="10" s="1"/>
  <c r="D398" i="10" s="1"/>
  <c r="D407" i="10" s="1"/>
  <c r="D416" i="10" s="1"/>
  <c r="D425" i="10" s="1"/>
  <c r="D434" i="10" s="1"/>
  <c r="R10" i="10"/>
  <c r="H10" i="10"/>
  <c r="E10" i="10"/>
  <c r="G10" i="10" s="1"/>
  <c r="D10" i="10"/>
  <c r="R9" i="10"/>
  <c r="H9" i="10"/>
  <c r="E9" i="10"/>
  <c r="G9" i="10" s="1"/>
  <c r="D9" i="10"/>
  <c r="R8" i="10"/>
  <c r="H8" i="10"/>
  <c r="E8" i="10"/>
  <c r="G8" i="10" s="1"/>
  <c r="D8" i="10"/>
  <c r="D17" i="10" s="1"/>
  <c r="D26" i="10" s="1"/>
  <c r="D35" i="10" s="1"/>
  <c r="D44" i="10" s="1"/>
  <c r="D53" i="10" s="1"/>
  <c r="D62" i="10" s="1"/>
  <c r="D71" i="10" s="1"/>
  <c r="D80" i="10" s="1"/>
  <c r="D89" i="10" s="1"/>
  <c r="D98" i="10" s="1"/>
  <c r="D107" i="10" s="1"/>
  <c r="D116" i="10" s="1"/>
  <c r="D125" i="10" s="1"/>
  <c r="D134" i="10" s="1"/>
  <c r="D143" i="10" s="1"/>
  <c r="D152" i="10" s="1"/>
  <c r="D161" i="10" s="1"/>
  <c r="D170" i="10" s="1"/>
  <c r="D179" i="10" s="1"/>
  <c r="D188" i="10" s="1"/>
  <c r="D197" i="10" s="1"/>
  <c r="D206" i="10" s="1"/>
  <c r="D215" i="10" s="1"/>
  <c r="D224" i="10" s="1"/>
  <c r="D233" i="10" s="1"/>
  <c r="D242" i="10" s="1"/>
  <c r="D251" i="10" s="1"/>
  <c r="D260" i="10" s="1"/>
  <c r="D269" i="10" s="1"/>
  <c r="D278" i="10" s="1"/>
  <c r="D287" i="10" s="1"/>
  <c r="D296" i="10" s="1"/>
  <c r="D305" i="10" s="1"/>
  <c r="D314" i="10" s="1"/>
  <c r="D323" i="10" s="1"/>
  <c r="D332" i="10" s="1"/>
  <c r="D341" i="10" s="1"/>
  <c r="D350" i="10" s="1"/>
  <c r="D359" i="10" s="1"/>
  <c r="D368" i="10" s="1"/>
  <c r="D377" i="10" s="1"/>
  <c r="D386" i="10" s="1"/>
  <c r="D395" i="10" s="1"/>
  <c r="D404" i="10" s="1"/>
  <c r="D413" i="10" s="1"/>
  <c r="D422" i="10" s="1"/>
  <c r="D431" i="10" s="1"/>
  <c r="D440" i="10" s="1"/>
  <c r="R7" i="10"/>
  <c r="H7" i="10"/>
  <c r="E7" i="10"/>
  <c r="G7" i="10" s="1"/>
  <c r="D7" i="10"/>
  <c r="R6" i="10"/>
  <c r="H6" i="10"/>
  <c r="E6" i="10"/>
  <c r="G6" i="10" s="1"/>
  <c r="D6" i="10"/>
  <c r="D15" i="10" s="1"/>
  <c r="D24" i="10" s="1"/>
  <c r="D33" i="10" s="1"/>
  <c r="D42" i="10" s="1"/>
  <c r="D51" i="10" s="1"/>
  <c r="D60" i="10" s="1"/>
  <c r="D69" i="10" s="1"/>
  <c r="D78" i="10" s="1"/>
  <c r="D87" i="10" s="1"/>
  <c r="D96" i="10" s="1"/>
  <c r="D105" i="10" s="1"/>
  <c r="D114" i="10" s="1"/>
  <c r="D123" i="10" s="1"/>
  <c r="D132" i="10" s="1"/>
  <c r="D141" i="10" s="1"/>
  <c r="D150" i="10" s="1"/>
  <c r="D159" i="10" s="1"/>
  <c r="D168" i="10" s="1"/>
  <c r="D177" i="10" s="1"/>
  <c r="D186" i="10" s="1"/>
  <c r="D195" i="10" s="1"/>
  <c r="D204" i="10" s="1"/>
  <c r="D213" i="10" s="1"/>
  <c r="D222" i="10" s="1"/>
  <c r="D231" i="10" s="1"/>
  <c r="D240" i="10" s="1"/>
  <c r="D249" i="10" s="1"/>
  <c r="D258" i="10" s="1"/>
  <c r="D267" i="10" s="1"/>
  <c r="D276" i="10" s="1"/>
  <c r="D285" i="10" s="1"/>
  <c r="D294" i="10" s="1"/>
  <c r="D303" i="10" s="1"/>
  <c r="D312" i="10" s="1"/>
  <c r="D321" i="10" s="1"/>
  <c r="D330" i="10" s="1"/>
  <c r="D339" i="10" s="1"/>
  <c r="D348" i="10" s="1"/>
  <c r="D357" i="10" s="1"/>
  <c r="D366" i="10" s="1"/>
  <c r="D375" i="10" s="1"/>
  <c r="D384" i="10" s="1"/>
  <c r="D393" i="10" s="1"/>
  <c r="D402" i="10" s="1"/>
  <c r="D411" i="10" s="1"/>
  <c r="D420" i="10" s="1"/>
  <c r="D429" i="10" s="1"/>
  <c r="D438" i="10" s="1"/>
  <c r="R5" i="10"/>
  <c r="H5" i="10"/>
  <c r="E5" i="10"/>
  <c r="G5" i="10" s="1"/>
  <c r="D5" i="10"/>
  <c r="R4" i="10"/>
  <c r="H4" i="10"/>
  <c r="E4" i="10"/>
  <c r="G4" i="10" s="1"/>
  <c r="D4" i="10"/>
  <c r="R3" i="10"/>
  <c r="H3" i="10"/>
  <c r="E3" i="10"/>
  <c r="G3" i="10" s="1"/>
  <c r="D3" i="10"/>
  <c r="R2" i="10"/>
  <c r="H2" i="10"/>
  <c r="E2" i="10"/>
  <c r="G2" i="10" s="1"/>
  <c r="N1" i="10" s="1"/>
  <c r="N7" i="10" s="1"/>
  <c r="D2" i="10"/>
  <c r="B13" i="9"/>
  <c r="B12" i="9"/>
  <c r="B11" i="9"/>
  <c r="B10" i="9"/>
  <c r="B8" i="9"/>
  <c r="B7" i="9"/>
  <c r="C4" i="9"/>
  <c r="C3" i="9"/>
  <c r="B1" i="9"/>
  <c r="D217" i="8"/>
  <c r="D216" i="8"/>
  <c r="D215" i="8"/>
  <c r="D214" i="8"/>
  <c r="D213" i="8"/>
  <c r="D212" i="8"/>
  <c r="D211" i="8"/>
  <c r="D210" i="8"/>
  <c r="D209" i="8"/>
  <c r="D208" i="8"/>
  <c r="D207" i="8"/>
  <c r="D206" i="8"/>
  <c r="D205" i="8"/>
  <c r="D204" i="8"/>
  <c r="D203" i="8"/>
  <c r="D202" i="8"/>
  <c r="D201" i="8"/>
  <c r="D200" i="8"/>
  <c r="C200" i="8"/>
  <c r="C209" i="8" s="1"/>
  <c r="D199" i="8"/>
  <c r="D198" i="8"/>
  <c r="D197" i="8"/>
  <c r="D196" i="8"/>
  <c r="D195" i="8"/>
  <c r="D194" i="8"/>
  <c r="D193" i="8"/>
  <c r="D192" i="8"/>
  <c r="D191" i="8"/>
  <c r="D190" i="8"/>
  <c r="D189" i="8"/>
  <c r="D188" i="8"/>
  <c r="D187" i="8"/>
  <c r="D186" i="8"/>
  <c r="D185" i="8"/>
  <c r="D184" i="8"/>
  <c r="D183" i="8"/>
  <c r="D182" i="8"/>
  <c r="D181" i="8"/>
  <c r="D180" i="8"/>
  <c r="D179" i="8"/>
  <c r="D178" i="8"/>
  <c r="D177" i="8"/>
  <c r="D176" i="8"/>
  <c r="D175" i="8"/>
  <c r="D174" i="8"/>
  <c r="D173" i="8"/>
  <c r="D172" i="8"/>
  <c r="D171" i="8"/>
  <c r="D170" i="8"/>
  <c r="D169" i="8"/>
  <c r="D168" i="8"/>
  <c r="D167" i="8"/>
  <c r="D166" i="8"/>
  <c r="D165" i="8"/>
  <c r="D164" i="8"/>
  <c r="D163" i="8"/>
  <c r="C163" i="8"/>
  <c r="C172" i="8" s="1"/>
  <c r="C181" i="8" s="1"/>
  <c r="C190" i="8" s="1"/>
  <c r="C199" i="8" s="1"/>
  <c r="C208" i="8" s="1"/>
  <c r="C217" i="8" s="1"/>
  <c r="D162" i="8"/>
  <c r="D161" i="8"/>
  <c r="D160" i="8"/>
  <c r="D159" i="8"/>
  <c r="D158" i="8"/>
  <c r="D157" i="8"/>
  <c r="D156" i="8"/>
  <c r="D155" i="8"/>
  <c r="D154" i="8"/>
  <c r="D153" i="8"/>
  <c r="D152" i="8"/>
  <c r="D151" i="8"/>
  <c r="D150" i="8"/>
  <c r="D149" i="8"/>
  <c r="D148" i="8"/>
  <c r="D147" i="8"/>
  <c r="D146" i="8"/>
  <c r="D145" i="8"/>
  <c r="D144" i="8"/>
  <c r="D143" i="8"/>
  <c r="D142" i="8"/>
  <c r="D141" i="8"/>
  <c r="D140" i="8"/>
  <c r="D139" i="8"/>
  <c r="D138" i="8"/>
  <c r="D137" i="8"/>
  <c r="D136" i="8"/>
  <c r="D135" i="8"/>
  <c r="D134" i="8"/>
  <c r="D133" i="8"/>
  <c r="D132" i="8"/>
  <c r="D131" i="8"/>
  <c r="D130" i="8"/>
  <c r="D129" i="8"/>
  <c r="D128" i="8"/>
  <c r="D127" i="8"/>
  <c r="D126" i="8"/>
  <c r="D125" i="8"/>
  <c r="D124" i="8"/>
  <c r="D123" i="8"/>
  <c r="D122" i="8"/>
  <c r="D121" i="8"/>
  <c r="D120" i="8"/>
  <c r="D119" i="8"/>
  <c r="D118" i="8"/>
  <c r="D117" i="8"/>
  <c r="D116" i="8"/>
  <c r="D115" i="8"/>
  <c r="D114" i="8"/>
  <c r="D113" i="8"/>
  <c r="D112" i="8"/>
  <c r="D111" i="8"/>
  <c r="D110" i="8"/>
  <c r="D109" i="8"/>
  <c r="D108" i="8"/>
  <c r="D107" i="8"/>
  <c r="D106" i="8"/>
  <c r="D105" i="8"/>
  <c r="D104" i="8"/>
  <c r="D103" i="8"/>
  <c r="D102" i="8"/>
  <c r="D101" i="8"/>
  <c r="D100" i="8"/>
  <c r="D99" i="8"/>
  <c r="D98" i="8"/>
  <c r="D97" i="8"/>
  <c r="D96" i="8"/>
  <c r="D95" i="8"/>
  <c r="D94" i="8"/>
  <c r="D93" i="8"/>
  <c r="D92" i="8"/>
  <c r="C92" i="8"/>
  <c r="C101" i="8" s="1"/>
  <c r="C110" i="8" s="1"/>
  <c r="C119" i="8" s="1"/>
  <c r="C128" i="8" s="1"/>
  <c r="C137" i="8" s="1"/>
  <c r="C146" i="8" s="1"/>
  <c r="C155" i="8" s="1"/>
  <c r="C164" i="8" s="1"/>
  <c r="C173" i="8" s="1"/>
  <c r="C182" i="8" s="1"/>
  <c r="C191" i="8" s="1"/>
  <c r="D91" i="8"/>
  <c r="D90" i="8"/>
  <c r="D89" i="8"/>
  <c r="D88" i="8"/>
  <c r="D87" i="8"/>
  <c r="D86" i="8"/>
  <c r="D85" i="8"/>
  <c r="D84" i="8"/>
  <c r="D83" i="8"/>
  <c r="D82" i="8"/>
  <c r="D81" i="8"/>
  <c r="D80" i="8"/>
  <c r="D79" i="8"/>
  <c r="D78" i="8"/>
  <c r="D77" i="8"/>
  <c r="D76" i="8"/>
  <c r="D75" i="8"/>
  <c r="D74" i="8"/>
  <c r="D73" i="8"/>
  <c r="D72" i="8"/>
  <c r="C72" i="8"/>
  <c r="C81" i="8" s="1"/>
  <c r="C90" i="8" s="1"/>
  <c r="C99" i="8" s="1"/>
  <c r="C108" i="8" s="1"/>
  <c r="C117" i="8" s="1"/>
  <c r="C126" i="8" s="1"/>
  <c r="C135" i="8" s="1"/>
  <c r="C144" i="8" s="1"/>
  <c r="C153" i="8" s="1"/>
  <c r="C162" i="8" s="1"/>
  <c r="C171" i="8" s="1"/>
  <c r="C180" i="8" s="1"/>
  <c r="C189" i="8" s="1"/>
  <c r="C198" i="8" s="1"/>
  <c r="C207" i="8" s="1"/>
  <c r="C216" i="8" s="1"/>
  <c r="D71" i="8"/>
  <c r="D70" i="8"/>
  <c r="D69" i="8"/>
  <c r="D68" i="8"/>
  <c r="D67" i="8"/>
  <c r="D66" i="8"/>
  <c r="D65" i="8"/>
  <c r="D64" i="8"/>
  <c r="D63" i="8"/>
  <c r="D62" i="8"/>
  <c r="D61" i="8"/>
  <c r="D60" i="8"/>
  <c r="D59" i="8"/>
  <c r="D58" i="8"/>
  <c r="D57" i="8"/>
  <c r="D56" i="8"/>
  <c r="D55" i="8"/>
  <c r="D54" i="8"/>
  <c r="D53" i="8"/>
  <c r="D52" i="8"/>
  <c r="D51" i="8"/>
  <c r="D50" i="8"/>
  <c r="C50" i="8"/>
  <c r="C59" i="8" s="1"/>
  <c r="C68" i="8" s="1"/>
  <c r="C77" i="8" s="1"/>
  <c r="C86" i="8" s="1"/>
  <c r="C95" i="8" s="1"/>
  <c r="C104" i="8" s="1"/>
  <c r="C113" i="8" s="1"/>
  <c r="C122" i="8" s="1"/>
  <c r="C131" i="8" s="1"/>
  <c r="C140" i="8" s="1"/>
  <c r="C149" i="8" s="1"/>
  <c r="C158" i="8" s="1"/>
  <c r="C167" i="8" s="1"/>
  <c r="C176" i="8" s="1"/>
  <c r="C185" i="8" s="1"/>
  <c r="C194" i="8" s="1"/>
  <c r="C203" i="8" s="1"/>
  <c r="C212" i="8" s="1"/>
  <c r="D49" i="8"/>
  <c r="D48" i="8"/>
  <c r="D47" i="8"/>
  <c r="D46" i="8"/>
  <c r="D45" i="8"/>
  <c r="D44" i="8"/>
  <c r="C44" i="8"/>
  <c r="C53" i="8" s="1"/>
  <c r="C62" i="8" s="1"/>
  <c r="C71" i="8" s="1"/>
  <c r="C80" i="8" s="1"/>
  <c r="C89" i="8" s="1"/>
  <c r="C98" i="8" s="1"/>
  <c r="C107" i="8" s="1"/>
  <c r="C116" i="8" s="1"/>
  <c r="C125" i="8" s="1"/>
  <c r="C134" i="8" s="1"/>
  <c r="C143" i="8" s="1"/>
  <c r="C152" i="8" s="1"/>
  <c r="C161" i="8" s="1"/>
  <c r="C170" i="8" s="1"/>
  <c r="C179" i="8" s="1"/>
  <c r="C188" i="8" s="1"/>
  <c r="C197" i="8" s="1"/>
  <c r="C206" i="8" s="1"/>
  <c r="C215" i="8" s="1"/>
  <c r="D43" i="8"/>
  <c r="D42" i="8"/>
  <c r="D41" i="8"/>
  <c r="D40" i="8"/>
  <c r="C40" i="8"/>
  <c r="C49" i="8" s="1"/>
  <c r="C58" i="8" s="1"/>
  <c r="C67" i="8" s="1"/>
  <c r="C76" i="8" s="1"/>
  <c r="C85" i="8" s="1"/>
  <c r="C94" i="8" s="1"/>
  <c r="C103" i="8" s="1"/>
  <c r="C112" i="8" s="1"/>
  <c r="C121" i="8" s="1"/>
  <c r="C130" i="8" s="1"/>
  <c r="C139" i="8" s="1"/>
  <c r="C148" i="8" s="1"/>
  <c r="C157" i="8" s="1"/>
  <c r="C166" i="8" s="1"/>
  <c r="C175" i="8" s="1"/>
  <c r="C184" i="8" s="1"/>
  <c r="C193" i="8" s="1"/>
  <c r="C202" i="8" s="1"/>
  <c r="C211" i="8" s="1"/>
  <c r="D39" i="8"/>
  <c r="C39" i="8"/>
  <c r="C48" i="8" s="1"/>
  <c r="C57" i="8" s="1"/>
  <c r="C66" i="8" s="1"/>
  <c r="C75" i="8" s="1"/>
  <c r="C84" i="8" s="1"/>
  <c r="C93" i="8" s="1"/>
  <c r="C102" i="8" s="1"/>
  <c r="C111" i="8" s="1"/>
  <c r="C120" i="8" s="1"/>
  <c r="C129" i="8" s="1"/>
  <c r="C138" i="8" s="1"/>
  <c r="C147" i="8" s="1"/>
  <c r="C156" i="8" s="1"/>
  <c r="C165" i="8" s="1"/>
  <c r="C174" i="8" s="1"/>
  <c r="C183" i="8" s="1"/>
  <c r="C192" i="8" s="1"/>
  <c r="C201" i="8" s="1"/>
  <c r="C210" i="8" s="1"/>
  <c r="D38" i="8"/>
  <c r="D37" i="8"/>
  <c r="D36" i="8"/>
  <c r="D35" i="8"/>
  <c r="C35" i="8"/>
  <c r="D34" i="8"/>
  <c r="D33" i="8"/>
  <c r="D32" i="8"/>
  <c r="D31" i="8"/>
  <c r="D30" i="8"/>
  <c r="C30" i="8"/>
  <c r="D29" i="8"/>
  <c r="D28" i="8"/>
  <c r="D27" i="8"/>
  <c r="C27" i="8"/>
  <c r="C36" i="8" s="1"/>
  <c r="C45" i="8" s="1"/>
  <c r="C54" i="8" s="1"/>
  <c r="C63" i="8" s="1"/>
  <c r="D26" i="8"/>
  <c r="D25" i="8"/>
  <c r="D24" i="8"/>
  <c r="D23" i="8"/>
  <c r="D22" i="8"/>
  <c r="D21" i="8"/>
  <c r="D20" i="8"/>
  <c r="C20" i="8"/>
  <c r="C29" i="8" s="1"/>
  <c r="C38" i="8" s="1"/>
  <c r="C47" i="8" s="1"/>
  <c r="C56" i="8" s="1"/>
  <c r="C65" i="8" s="1"/>
  <c r="C74" i="8" s="1"/>
  <c r="C83" i="8" s="1"/>
  <c r="D19" i="8"/>
  <c r="D18" i="8"/>
  <c r="C18" i="8"/>
  <c r="D17" i="8"/>
  <c r="D16" i="8"/>
  <c r="D15" i="8"/>
  <c r="C15" i="8"/>
  <c r="C24" i="8" s="1"/>
  <c r="C33" i="8" s="1"/>
  <c r="C42" i="8" s="1"/>
  <c r="C51" i="8" s="1"/>
  <c r="C60" i="8" s="1"/>
  <c r="C69" i="8" s="1"/>
  <c r="C78" i="8" s="1"/>
  <c r="C87" i="8" s="1"/>
  <c r="C96" i="8" s="1"/>
  <c r="C105" i="8" s="1"/>
  <c r="C114" i="8" s="1"/>
  <c r="C123" i="8" s="1"/>
  <c r="C132" i="8" s="1"/>
  <c r="C141" i="8" s="1"/>
  <c r="C150" i="8" s="1"/>
  <c r="C159" i="8" s="1"/>
  <c r="C168" i="8" s="1"/>
  <c r="C177" i="8" s="1"/>
  <c r="C186" i="8" s="1"/>
  <c r="C195" i="8" s="1"/>
  <c r="C204" i="8" s="1"/>
  <c r="C213" i="8" s="1"/>
  <c r="D14" i="8"/>
  <c r="C14" i="8"/>
  <c r="C23" i="8" s="1"/>
  <c r="C32" i="8" s="1"/>
  <c r="C41" i="8" s="1"/>
  <c r="D13" i="8"/>
  <c r="D12" i="8"/>
  <c r="C12" i="8"/>
  <c r="C21" i="8" s="1"/>
  <c r="D11" i="8"/>
  <c r="C11" i="8"/>
  <c r="D10" i="8"/>
  <c r="C10" i="8"/>
  <c r="C19" i="8" s="1"/>
  <c r="C28" i="8" s="1"/>
  <c r="C37" i="8" s="1"/>
  <c r="C46" i="8" s="1"/>
  <c r="C55" i="8" s="1"/>
  <c r="C64" i="8" s="1"/>
  <c r="C73" i="8" s="1"/>
  <c r="C82" i="8" s="1"/>
  <c r="C91" i="8" s="1"/>
  <c r="C100" i="8" s="1"/>
  <c r="C109" i="8" s="1"/>
  <c r="C118" i="8" s="1"/>
  <c r="C127" i="8" s="1"/>
  <c r="C136" i="8" s="1"/>
  <c r="C145" i="8" s="1"/>
  <c r="C154" i="8" s="1"/>
  <c r="D9" i="8"/>
  <c r="C9" i="8"/>
  <c r="D8" i="8"/>
  <c r="C8" i="8"/>
  <c r="C17" i="8" s="1"/>
  <c r="C26" i="8" s="1"/>
  <c r="D7" i="8"/>
  <c r="C7" i="8"/>
  <c r="C16" i="8" s="1"/>
  <c r="C25" i="8" s="1"/>
  <c r="C34" i="8" s="1"/>
  <c r="C43" i="8" s="1"/>
  <c r="C52" i="8" s="1"/>
  <c r="C61" i="8" s="1"/>
  <c r="C70" i="8" s="1"/>
  <c r="C79" i="8" s="1"/>
  <c r="C88" i="8" s="1"/>
  <c r="C97" i="8" s="1"/>
  <c r="C106" i="8" s="1"/>
  <c r="C115" i="8" s="1"/>
  <c r="C124" i="8" s="1"/>
  <c r="C133" i="8" s="1"/>
  <c r="C142" i="8" s="1"/>
  <c r="C151" i="8" s="1"/>
  <c r="C160" i="8" s="1"/>
  <c r="C169" i="8" s="1"/>
  <c r="C178" i="8" s="1"/>
  <c r="C187" i="8" s="1"/>
  <c r="C196" i="8" s="1"/>
  <c r="C205" i="8" s="1"/>
  <c r="C214" i="8" s="1"/>
  <c r="D6" i="8"/>
  <c r="C6" i="8"/>
  <c r="D5" i="8"/>
  <c r="C5" i="8"/>
  <c r="D4" i="8"/>
  <c r="C4" i="8"/>
  <c r="C13" i="8" s="1"/>
  <c r="C22" i="8" s="1"/>
  <c r="C31" i="8" s="1"/>
  <c r="D3" i="8"/>
  <c r="C3" i="8"/>
  <c r="D2" i="8"/>
  <c r="C2" i="8"/>
  <c r="K7201" i="7"/>
  <c r="H7201" i="7"/>
  <c r="J7201" i="7" s="1"/>
  <c r="K7200" i="7"/>
  <c r="H7200" i="7"/>
  <c r="J7200" i="7" s="1"/>
  <c r="K7199" i="7"/>
  <c r="H7199" i="7"/>
  <c r="J7199" i="7" s="1"/>
  <c r="K7198" i="7"/>
  <c r="H7198" i="7"/>
  <c r="J7198" i="7" s="1"/>
  <c r="K7197" i="7"/>
  <c r="H7197" i="7"/>
  <c r="J7197" i="7" s="1"/>
  <c r="K7196" i="7"/>
  <c r="H7196" i="7"/>
  <c r="J7196" i="7" s="1"/>
  <c r="K7195" i="7"/>
  <c r="H7195" i="7"/>
  <c r="J7195" i="7" s="1"/>
  <c r="K7194" i="7"/>
  <c r="H7194" i="7"/>
  <c r="J7194" i="7" s="1"/>
  <c r="K7193" i="7"/>
  <c r="H7193" i="7"/>
  <c r="J7193" i="7" s="1"/>
  <c r="K7192" i="7"/>
  <c r="H7192" i="7"/>
  <c r="J7192" i="7" s="1"/>
  <c r="K7191" i="7"/>
  <c r="H7191" i="7"/>
  <c r="J7191" i="7" s="1"/>
  <c r="K7190" i="7"/>
  <c r="H7190" i="7"/>
  <c r="J7190" i="7" s="1"/>
  <c r="K7189" i="7"/>
  <c r="H7189" i="7"/>
  <c r="J7189" i="7" s="1"/>
  <c r="K7188" i="7"/>
  <c r="H7188" i="7"/>
  <c r="J7188" i="7" s="1"/>
  <c r="K7187" i="7"/>
  <c r="H7187" i="7"/>
  <c r="J7187" i="7" s="1"/>
  <c r="K7186" i="7"/>
  <c r="H7186" i="7"/>
  <c r="J7186" i="7" s="1"/>
  <c r="K7185" i="7"/>
  <c r="H7185" i="7"/>
  <c r="J7185" i="7" s="1"/>
  <c r="K7184" i="7"/>
  <c r="H7184" i="7"/>
  <c r="J7184" i="7" s="1"/>
  <c r="K7183" i="7"/>
  <c r="H7183" i="7"/>
  <c r="J7183" i="7" s="1"/>
  <c r="K7182" i="7"/>
  <c r="H7182" i="7"/>
  <c r="J7182" i="7" s="1"/>
  <c r="K7181" i="7"/>
  <c r="H7181" i="7"/>
  <c r="J7181" i="7" s="1"/>
  <c r="K7180" i="7"/>
  <c r="H7180" i="7"/>
  <c r="J7180" i="7" s="1"/>
  <c r="K7179" i="7"/>
  <c r="H7179" i="7"/>
  <c r="J7179" i="7" s="1"/>
  <c r="K7178" i="7"/>
  <c r="H7178" i="7"/>
  <c r="J7178" i="7" s="1"/>
  <c r="K7177" i="7"/>
  <c r="H7177" i="7"/>
  <c r="J7177" i="7" s="1"/>
  <c r="K7176" i="7"/>
  <c r="H7176" i="7"/>
  <c r="J7176" i="7" s="1"/>
  <c r="K7175" i="7"/>
  <c r="H7175" i="7"/>
  <c r="J7175" i="7" s="1"/>
  <c r="K7174" i="7"/>
  <c r="H7174" i="7"/>
  <c r="J7174" i="7" s="1"/>
  <c r="K7173" i="7"/>
  <c r="H7173" i="7"/>
  <c r="J7173" i="7" s="1"/>
  <c r="K7172" i="7"/>
  <c r="H7172" i="7"/>
  <c r="J7172" i="7" s="1"/>
  <c r="K7171" i="7"/>
  <c r="H7171" i="7"/>
  <c r="J7171" i="7" s="1"/>
  <c r="K7170" i="7"/>
  <c r="H7170" i="7"/>
  <c r="J7170" i="7" s="1"/>
  <c r="K7169" i="7"/>
  <c r="H7169" i="7"/>
  <c r="J7169" i="7" s="1"/>
  <c r="K7168" i="7"/>
  <c r="H7168" i="7"/>
  <c r="J7168" i="7" s="1"/>
  <c r="K7167" i="7"/>
  <c r="H7167" i="7"/>
  <c r="J7167" i="7" s="1"/>
  <c r="K7166" i="7"/>
  <c r="H7166" i="7"/>
  <c r="J7166" i="7" s="1"/>
  <c r="K7165" i="7"/>
  <c r="H7165" i="7"/>
  <c r="J7165" i="7" s="1"/>
  <c r="K7164" i="7"/>
  <c r="H7164" i="7"/>
  <c r="J7164" i="7" s="1"/>
  <c r="K7163" i="7"/>
  <c r="H7163" i="7"/>
  <c r="J7163" i="7" s="1"/>
  <c r="K7162" i="7"/>
  <c r="H7162" i="7"/>
  <c r="J7162" i="7" s="1"/>
  <c r="K7161" i="7"/>
  <c r="H7161" i="7"/>
  <c r="J7161" i="7" s="1"/>
  <c r="K7160" i="7"/>
  <c r="H7160" i="7"/>
  <c r="J7160" i="7" s="1"/>
  <c r="K7159" i="7"/>
  <c r="H7159" i="7"/>
  <c r="J7159" i="7" s="1"/>
  <c r="K7158" i="7"/>
  <c r="H7158" i="7"/>
  <c r="J7158" i="7" s="1"/>
  <c r="K7157" i="7"/>
  <c r="H7157" i="7"/>
  <c r="J7157" i="7" s="1"/>
  <c r="K7156" i="7"/>
  <c r="H7156" i="7"/>
  <c r="J7156" i="7" s="1"/>
  <c r="K7155" i="7"/>
  <c r="H7155" i="7"/>
  <c r="J7155" i="7" s="1"/>
  <c r="K7154" i="7"/>
  <c r="H7154" i="7"/>
  <c r="J7154" i="7" s="1"/>
  <c r="K7153" i="7"/>
  <c r="H7153" i="7"/>
  <c r="J7153" i="7" s="1"/>
  <c r="K7152" i="7"/>
  <c r="H7152" i="7"/>
  <c r="J7152" i="7" s="1"/>
  <c r="K7151" i="7"/>
  <c r="H7151" i="7"/>
  <c r="J7151" i="7" s="1"/>
  <c r="K7150" i="7"/>
  <c r="H7150" i="7"/>
  <c r="J7150" i="7" s="1"/>
  <c r="K7149" i="7"/>
  <c r="H7149" i="7"/>
  <c r="J7149" i="7" s="1"/>
  <c r="K7148" i="7"/>
  <c r="H7148" i="7"/>
  <c r="J7148" i="7" s="1"/>
  <c r="K7147" i="7"/>
  <c r="H7147" i="7"/>
  <c r="J7147" i="7" s="1"/>
  <c r="K7146" i="7"/>
  <c r="H7146" i="7"/>
  <c r="J7146" i="7" s="1"/>
  <c r="K7145" i="7"/>
  <c r="H7145" i="7"/>
  <c r="J7145" i="7" s="1"/>
  <c r="K7144" i="7"/>
  <c r="H7144" i="7"/>
  <c r="J7144" i="7" s="1"/>
  <c r="K7143" i="7"/>
  <c r="H7143" i="7"/>
  <c r="J7143" i="7" s="1"/>
  <c r="K7142" i="7"/>
  <c r="H7142" i="7"/>
  <c r="J7142" i="7" s="1"/>
  <c r="K7141" i="7"/>
  <c r="H7141" i="7"/>
  <c r="J7141" i="7" s="1"/>
  <c r="K7140" i="7"/>
  <c r="H7140" i="7"/>
  <c r="J7140" i="7" s="1"/>
  <c r="K7139" i="7"/>
  <c r="H7139" i="7"/>
  <c r="J7139" i="7" s="1"/>
  <c r="K7138" i="7"/>
  <c r="H7138" i="7"/>
  <c r="J7138" i="7" s="1"/>
  <c r="K7137" i="7"/>
  <c r="H7137" i="7"/>
  <c r="J7137" i="7" s="1"/>
  <c r="K7136" i="7"/>
  <c r="H7136" i="7"/>
  <c r="J7136" i="7" s="1"/>
  <c r="K7135" i="7"/>
  <c r="H7135" i="7"/>
  <c r="J7135" i="7" s="1"/>
  <c r="K7134" i="7"/>
  <c r="H7134" i="7"/>
  <c r="J7134" i="7" s="1"/>
  <c r="K7133" i="7"/>
  <c r="H7133" i="7"/>
  <c r="J7133" i="7" s="1"/>
  <c r="K7132" i="7"/>
  <c r="H7132" i="7"/>
  <c r="J7132" i="7" s="1"/>
  <c r="K7131" i="7"/>
  <c r="H7131" i="7"/>
  <c r="J7131" i="7" s="1"/>
  <c r="K7130" i="7"/>
  <c r="H7130" i="7"/>
  <c r="J7130" i="7" s="1"/>
  <c r="K7129" i="7"/>
  <c r="H7129" i="7"/>
  <c r="J7129" i="7" s="1"/>
  <c r="K7128" i="7"/>
  <c r="H7128" i="7"/>
  <c r="J7128" i="7" s="1"/>
  <c r="K7127" i="7"/>
  <c r="H7127" i="7"/>
  <c r="J7127" i="7" s="1"/>
  <c r="K7126" i="7"/>
  <c r="H7126" i="7"/>
  <c r="J7126" i="7" s="1"/>
  <c r="K7125" i="7"/>
  <c r="H7125" i="7"/>
  <c r="J7125" i="7" s="1"/>
  <c r="K7124" i="7"/>
  <c r="H7124" i="7"/>
  <c r="J7124" i="7" s="1"/>
  <c r="K7123" i="7"/>
  <c r="H7123" i="7"/>
  <c r="J7123" i="7" s="1"/>
  <c r="K7122" i="7"/>
  <c r="H7122" i="7"/>
  <c r="J7122" i="7" s="1"/>
  <c r="K7121" i="7"/>
  <c r="H7121" i="7"/>
  <c r="J7121" i="7" s="1"/>
  <c r="K7120" i="7"/>
  <c r="H7120" i="7"/>
  <c r="J7120" i="7" s="1"/>
  <c r="K7119" i="7"/>
  <c r="H7119" i="7"/>
  <c r="J7119" i="7" s="1"/>
  <c r="K7118" i="7"/>
  <c r="H7118" i="7"/>
  <c r="J7118" i="7" s="1"/>
  <c r="K7117" i="7"/>
  <c r="H7117" i="7"/>
  <c r="J7117" i="7" s="1"/>
  <c r="K7116" i="7"/>
  <c r="H7116" i="7"/>
  <c r="J7116" i="7" s="1"/>
  <c r="K7115" i="7"/>
  <c r="H7115" i="7"/>
  <c r="J7115" i="7" s="1"/>
  <c r="K7114" i="7"/>
  <c r="H7114" i="7"/>
  <c r="J7114" i="7" s="1"/>
  <c r="K7113" i="7"/>
  <c r="H7113" i="7"/>
  <c r="J7113" i="7" s="1"/>
  <c r="K7112" i="7"/>
  <c r="H7112" i="7"/>
  <c r="J7112" i="7" s="1"/>
  <c r="K7111" i="7"/>
  <c r="H7111" i="7"/>
  <c r="J7111" i="7" s="1"/>
  <c r="K7110" i="7"/>
  <c r="H7110" i="7"/>
  <c r="J7110" i="7" s="1"/>
  <c r="K7109" i="7"/>
  <c r="H7109" i="7"/>
  <c r="J7109" i="7" s="1"/>
  <c r="K7108" i="7"/>
  <c r="H7108" i="7"/>
  <c r="J7108" i="7" s="1"/>
  <c r="K7107" i="7"/>
  <c r="H7107" i="7"/>
  <c r="J7107" i="7" s="1"/>
  <c r="K7106" i="7"/>
  <c r="H7106" i="7"/>
  <c r="J7106" i="7" s="1"/>
  <c r="K7105" i="7"/>
  <c r="H7105" i="7"/>
  <c r="J7105" i="7" s="1"/>
  <c r="K7104" i="7"/>
  <c r="H7104" i="7"/>
  <c r="J7104" i="7" s="1"/>
  <c r="K7103" i="7"/>
  <c r="H7103" i="7"/>
  <c r="J7103" i="7" s="1"/>
  <c r="K7102" i="7"/>
  <c r="H7102" i="7"/>
  <c r="J7102" i="7" s="1"/>
  <c r="K7101" i="7"/>
  <c r="H7101" i="7"/>
  <c r="J7101" i="7" s="1"/>
  <c r="K7100" i="7"/>
  <c r="H7100" i="7"/>
  <c r="J7100" i="7" s="1"/>
  <c r="K7099" i="7"/>
  <c r="H7099" i="7"/>
  <c r="J7099" i="7" s="1"/>
  <c r="K7098" i="7"/>
  <c r="H7098" i="7"/>
  <c r="J7098" i="7" s="1"/>
  <c r="K7097" i="7"/>
  <c r="H7097" i="7"/>
  <c r="J7097" i="7" s="1"/>
  <c r="K7096" i="7"/>
  <c r="H7096" i="7"/>
  <c r="J7096" i="7" s="1"/>
  <c r="K7095" i="7"/>
  <c r="H7095" i="7"/>
  <c r="J7095" i="7" s="1"/>
  <c r="K7094" i="7"/>
  <c r="H7094" i="7"/>
  <c r="J7094" i="7" s="1"/>
  <c r="K7093" i="7"/>
  <c r="H7093" i="7"/>
  <c r="J7093" i="7" s="1"/>
  <c r="K7092" i="7"/>
  <c r="H7092" i="7"/>
  <c r="J7092" i="7" s="1"/>
  <c r="K7091" i="7"/>
  <c r="H7091" i="7"/>
  <c r="J7091" i="7" s="1"/>
  <c r="K7090" i="7"/>
  <c r="H7090" i="7"/>
  <c r="J7090" i="7" s="1"/>
  <c r="K7089" i="7"/>
  <c r="H7089" i="7"/>
  <c r="J7089" i="7" s="1"/>
  <c r="K7088" i="7"/>
  <c r="H7088" i="7"/>
  <c r="J7088" i="7" s="1"/>
  <c r="K7087" i="7"/>
  <c r="H7087" i="7"/>
  <c r="J7087" i="7" s="1"/>
  <c r="K7086" i="7"/>
  <c r="H7086" i="7"/>
  <c r="J7086" i="7" s="1"/>
  <c r="K7085" i="7"/>
  <c r="H7085" i="7"/>
  <c r="J7085" i="7" s="1"/>
  <c r="K7084" i="7"/>
  <c r="H7084" i="7"/>
  <c r="J7084" i="7" s="1"/>
  <c r="K7083" i="7"/>
  <c r="H7083" i="7"/>
  <c r="J7083" i="7" s="1"/>
  <c r="K7082" i="7"/>
  <c r="H7082" i="7"/>
  <c r="J7082" i="7" s="1"/>
  <c r="K7081" i="7"/>
  <c r="H7081" i="7"/>
  <c r="J7081" i="7" s="1"/>
  <c r="K7080" i="7"/>
  <c r="H7080" i="7"/>
  <c r="J7080" i="7" s="1"/>
  <c r="K7079" i="7"/>
  <c r="H7079" i="7"/>
  <c r="J7079" i="7" s="1"/>
  <c r="K7078" i="7"/>
  <c r="H7078" i="7"/>
  <c r="J7078" i="7" s="1"/>
  <c r="K7077" i="7"/>
  <c r="H7077" i="7"/>
  <c r="J7077" i="7" s="1"/>
  <c r="K7076" i="7"/>
  <c r="H7076" i="7"/>
  <c r="J7076" i="7" s="1"/>
  <c r="K7075" i="7"/>
  <c r="H7075" i="7"/>
  <c r="J7075" i="7" s="1"/>
  <c r="K7074" i="7"/>
  <c r="H7074" i="7"/>
  <c r="J7074" i="7" s="1"/>
  <c r="K7073" i="7"/>
  <c r="H7073" i="7"/>
  <c r="J7073" i="7" s="1"/>
  <c r="K7072" i="7"/>
  <c r="H7072" i="7"/>
  <c r="J7072" i="7" s="1"/>
  <c r="K7071" i="7"/>
  <c r="H7071" i="7"/>
  <c r="J7071" i="7" s="1"/>
  <c r="K7070" i="7"/>
  <c r="H7070" i="7"/>
  <c r="J7070" i="7" s="1"/>
  <c r="K7069" i="7"/>
  <c r="H7069" i="7"/>
  <c r="J7069" i="7" s="1"/>
  <c r="K7068" i="7"/>
  <c r="H7068" i="7"/>
  <c r="J7068" i="7" s="1"/>
  <c r="K7067" i="7"/>
  <c r="H7067" i="7"/>
  <c r="J7067" i="7" s="1"/>
  <c r="K7066" i="7"/>
  <c r="H7066" i="7"/>
  <c r="J7066" i="7" s="1"/>
  <c r="K7065" i="7"/>
  <c r="H7065" i="7"/>
  <c r="J7065" i="7" s="1"/>
  <c r="K7064" i="7"/>
  <c r="H7064" i="7"/>
  <c r="J7064" i="7" s="1"/>
  <c r="K7063" i="7"/>
  <c r="H7063" i="7"/>
  <c r="J7063" i="7" s="1"/>
  <c r="K7062" i="7"/>
  <c r="H7062" i="7"/>
  <c r="J7062" i="7" s="1"/>
  <c r="K7061" i="7"/>
  <c r="H7061" i="7"/>
  <c r="J7061" i="7" s="1"/>
  <c r="K7060" i="7"/>
  <c r="H7060" i="7"/>
  <c r="J7060" i="7" s="1"/>
  <c r="K7059" i="7"/>
  <c r="H7059" i="7"/>
  <c r="J7059" i="7" s="1"/>
  <c r="K7058" i="7"/>
  <c r="H7058" i="7"/>
  <c r="J7058" i="7" s="1"/>
  <c r="K7057" i="7"/>
  <c r="H7057" i="7"/>
  <c r="J7057" i="7" s="1"/>
  <c r="K7056" i="7"/>
  <c r="H7056" i="7"/>
  <c r="J7056" i="7" s="1"/>
  <c r="K7055" i="7"/>
  <c r="H7055" i="7"/>
  <c r="J7055" i="7" s="1"/>
  <c r="K7054" i="7"/>
  <c r="H7054" i="7"/>
  <c r="J7054" i="7" s="1"/>
  <c r="K7053" i="7"/>
  <c r="H7053" i="7"/>
  <c r="J7053" i="7" s="1"/>
  <c r="K7052" i="7"/>
  <c r="H7052" i="7"/>
  <c r="J7052" i="7" s="1"/>
  <c r="K7051" i="7"/>
  <c r="H7051" i="7"/>
  <c r="J7051" i="7" s="1"/>
  <c r="K7050" i="7"/>
  <c r="H7050" i="7"/>
  <c r="J7050" i="7" s="1"/>
  <c r="K7049" i="7"/>
  <c r="H7049" i="7"/>
  <c r="J7049" i="7" s="1"/>
  <c r="K7048" i="7"/>
  <c r="H7048" i="7"/>
  <c r="J7048" i="7" s="1"/>
  <c r="K7047" i="7"/>
  <c r="H7047" i="7"/>
  <c r="J7047" i="7" s="1"/>
  <c r="K7046" i="7"/>
  <c r="H7046" i="7"/>
  <c r="J7046" i="7" s="1"/>
  <c r="K7045" i="7"/>
  <c r="H7045" i="7"/>
  <c r="J7045" i="7" s="1"/>
  <c r="K7044" i="7"/>
  <c r="H7044" i="7"/>
  <c r="J7044" i="7" s="1"/>
  <c r="K7043" i="7"/>
  <c r="H7043" i="7"/>
  <c r="J7043" i="7" s="1"/>
  <c r="K7042" i="7"/>
  <c r="H7042" i="7"/>
  <c r="J7042" i="7" s="1"/>
  <c r="K7041" i="7"/>
  <c r="H7041" i="7"/>
  <c r="J7041" i="7" s="1"/>
  <c r="K7040" i="7"/>
  <c r="H7040" i="7"/>
  <c r="J7040" i="7" s="1"/>
  <c r="K7039" i="7"/>
  <c r="H7039" i="7"/>
  <c r="J7039" i="7" s="1"/>
  <c r="K7038" i="7"/>
  <c r="H7038" i="7"/>
  <c r="J7038" i="7" s="1"/>
  <c r="K7037" i="7"/>
  <c r="H7037" i="7"/>
  <c r="J7037" i="7" s="1"/>
  <c r="K7036" i="7"/>
  <c r="H7036" i="7"/>
  <c r="J7036" i="7" s="1"/>
  <c r="K7035" i="7"/>
  <c r="H7035" i="7"/>
  <c r="J7035" i="7" s="1"/>
  <c r="K7034" i="7"/>
  <c r="H7034" i="7"/>
  <c r="J7034" i="7" s="1"/>
  <c r="K7033" i="7"/>
  <c r="H7033" i="7"/>
  <c r="J7033" i="7" s="1"/>
  <c r="K7032" i="7"/>
  <c r="H7032" i="7"/>
  <c r="J7032" i="7" s="1"/>
  <c r="K7031" i="7"/>
  <c r="H7031" i="7"/>
  <c r="J7031" i="7" s="1"/>
  <c r="K7030" i="7"/>
  <c r="H7030" i="7"/>
  <c r="J7030" i="7" s="1"/>
  <c r="K7029" i="7"/>
  <c r="H7029" i="7"/>
  <c r="J7029" i="7" s="1"/>
  <c r="K7028" i="7"/>
  <c r="H7028" i="7"/>
  <c r="J7028" i="7" s="1"/>
  <c r="K7027" i="7"/>
  <c r="H7027" i="7"/>
  <c r="J7027" i="7" s="1"/>
  <c r="K7026" i="7"/>
  <c r="H7026" i="7"/>
  <c r="J7026" i="7" s="1"/>
  <c r="K7025" i="7"/>
  <c r="H7025" i="7"/>
  <c r="J7025" i="7" s="1"/>
  <c r="K7024" i="7"/>
  <c r="H7024" i="7"/>
  <c r="J7024" i="7" s="1"/>
  <c r="K7023" i="7"/>
  <c r="H7023" i="7"/>
  <c r="J7023" i="7" s="1"/>
  <c r="K7022" i="7"/>
  <c r="H7022" i="7"/>
  <c r="J7022" i="7" s="1"/>
  <c r="K7021" i="7"/>
  <c r="H7021" i="7"/>
  <c r="J7021" i="7" s="1"/>
  <c r="K7020" i="7"/>
  <c r="H7020" i="7"/>
  <c r="J7020" i="7" s="1"/>
  <c r="K7019" i="7"/>
  <c r="H7019" i="7"/>
  <c r="J7019" i="7" s="1"/>
  <c r="K7018" i="7"/>
  <c r="H7018" i="7"/>
  <c r="J7018" i="7" s="1"/>
  <c r="K7017" i="7"/>
  <c r="H7017" i="7"/>
  <c r="J7017" i="7" s="1"/>
  <c r="K7016" i="7"/>
  <c r="H7016" i="7"/>
  <c r="J7016" i="7" s="1"/>
  <c r="K7015" i="7"/>
  <c r="H7015" i="7"/>
  <c r="J7015" i="7" s="1"/>
  <c r="K7014" i="7"/>
  <c r="H7014" i="7"/>
  <c r="J7014" i="7" s="1"/>
  <c r="K7013" i="7"/>
  <c r="H7013" i="7"/>
  <c r="J7013" i="7" s="1"/>
  <c r="K7012" i="7"/>
  <c r="H7012" i="7"/>
  <c r="J7012" i="7" s="1"/>
  <c r="K7011" i="7"/>
  <c r="H7011" i="7"/>
  <c r="J7011" i="7" s="1"/>
  <c r="K7010" i="7"/>
  <c r="H7010" i="7"/>
  <c r="J7010" i="7" s="1"/>
  <c r="K7009" i="7"/>
  <c r="H7009" i="7"/>
  <c r="J7009" i="7" s="1"/>
  <c r="K7008" i="7"/>
  <c r="H7008" i="7"/>
  <c r="J7008" i="7" s="1"/>
  <c r="K7007" i="7"/>
  <c r="H7007" i="7"/>
  <c r="J7007" i="7" s="1"/>
  <c r="K7006" i="7"/>
  <c r="H7006" i="7"/>
  <c r="J7006" i="7" s="1"/>
  <c r="K7005" i="7"/>
  <c r="H7005" i="7"/>
  <c r="J7005" i="7" s="1"/>
  <c r="K7004" i="7"/>
  <c r="H7004" i="7"/>
  <c r="J7004" i="7" s="1"/>
  <c r="K7003" i="7"/>
  <c r="H7003" i="7"/>
  <c r="J7003" i="7" s="1"/>
  <c r="K7002" i="7"/>
  <c r="H7002" i="7"/>
  <c r="J7002" i="7" s="1"/>
  <c r="K7001" i="7"/>
  <c r="H7001" i="7"/>
  <c r="J7001" i="7" s="1"/>
  <c r="K7000" i="7"/>
  <c r="H7000" i="7"/>
  <c r="J7000" i="7" s="1"/>
  <c r="K6999" i="7"/>
  <c r="H6999" i="7"/>
  <c r="J6999" i="7" s="1"/>
  <c r="K6998" i="7"/>
  <c r="H6998" i="7"/>
  <c r="J6998" i="7" s="1"/>
  <c r="K6997" i="7"/>
  <c r="H6997" i="7"/>
  <c r="J6997" i="7" s="1"/>
  <c r="K6996" i="7"/>
  <c r="H6996" i="7"/>
  <c r="J6996" i="7" s="1"/>
  <c r="K6995" i="7"/>
  <c r="H6995" i="7"/>
  <c r="J6995" i="7" s="1"/>
  <c r="K6994" i="7"/>
  <c r="H6994" i="7"/>
  <c r="J6994" i="7" s="1"/>
  <c r="K6993" i="7"/>
  <c r="H6993" i="7"/>
  <c r="J6993" i="7" s="1"/>
  <c r="K6992" i="7"/>
  <c r="H6992" i="7"/>
  <c r="J6992" i="7" s="1"/>
  <c r="K6991" i="7"/>
  <c r="H6991" i="7"/>
  <c r="J6991" i="7" s="1"/>
  <c r="K6990" i="7"/>
  <c r="H6990" i="7"/>
  <c r="J6990" i="7" s="1"/>
  <c r="K6989" i="7"/>
  <c r="H6989" i="7"/>
  <c r="J6989" i="7" s="1"/>
  <c r="K6988" i="7"/>
  <c r="H6988" i="7"/>
  <c r="J6988" i="7" s="1"/>
  <c r="K6987" i="7"/>
  <c r="H6987" i="7"/>
  <c r="J6987" i="7" s="1"/>
  <c r="K6986" i="7"/>
  <c r="H6986" i="7"/>
  <c r="J6986" i="7" s="1"/>
  <c r="K6985" i="7"/>
  <c r="H6985" i="7"/>
  <c r="J6985" i="7" s="1"/>
  <c r="K6984" i="7"/>
  <c r="H6984" i="7"/>
  <c r="J6984" i="7" s="1"/>
  <c r="K6983" i="7"/>
  <c r="H6983" i="7"/>
  <c r="J6983" i="7" s="1"/>
  <c r="K6982" i="7"/>
  <c r="H6982" i="7"/>
  <c r="J6982" i="7" s="1"/>
  <c r="K6981" i="7"/>
  <c r="H6981" i="7"/>
  <c r="J6981" i="7" s="1"/>
  <c r="K6980" i="7"/>
  <c r="H6980" i="7"/>
  <c r="J6980" i="7" s="1"/>
  <c r="K6979" i="7"/>
  <c r="H6979" i="7"/>
  <c r="J6979" i="7" s="1"/>
  <c r="K6978" i="7"/>
  <c r="H6978" i="7"/>
  <c r="J6978" i="7" s="1"/>
  <c r="K6977" i="7"/>
  <c r="H6977" i="7"/>
  <c r="J6977" i="7" s="1"/>
  <c r="K6976" i="7"/>
  <c r="H6976" i="7"/>
  <c r="J6976" i="7" s="1"/>
  <c r="K6975" i="7"/>
  <c r="H6975" i="7"/>
  <c r="J6975" i="7" s="1"/>
  <c r="K6974" i="7"/>
  <c r="H6974" i="7"/>
  <c r="J6974" i="7" s="1"/>
  <c r="K6973" i="7"/>
  <c r="H6973" i="7"/>
  <c r="J6973" i="7" s="1"/>
  <c r="K6972" i="7"/>
  <c r="H6972" i="7"/>
  <c r="J6972" i="7" s="1"/>
  <c r="K6971" i="7"/>
  <c r="H6971" i="7"/>
  <c r="J6971" i="7" s="1"/>
  <c r="K6970" i="7"/>
  <c r="H6970" i="7"/>
  <c r="J6970" i="7" s="1"/>
  <c r="K6969" i="7"/>
  <c r="H6969" i="7"/>
  <c r="J6969" i="7" s="1"/>
  <c r="K6968" i="7"/>
  <c r="H6968" i="7"/>
  <c r="J6968" i="7" s="1"/>
  <c r="K6967" i="7"/>
  <c r="H6967" i="7"/>
  <c r="J6967" i="7" s="1"/>
  <c r="K6966" i="7"/>
  <c r="H6966" i="7"/>
  <c r="J6966" i="7" s="1"/>
  <c r="K6965" i="7"/>
  <c r="H6965" i="7"/>
  <c r="J6965" i="7" s="1"/>
  <c r="K6964" i="7"/>
  <c r="H6964" i="7"/>
  <c r="J6964" i="7" s="1"/>
  <c r="K6963" i="7"/>
  <c r="H6963" i="7"/>
  <c r="J6963" i="7" s="1"/>
  <c r="K6962" i="7"/>
  <c r="H6962" i="7"/>
  <c r="J6962" i="7" s="1"/>
  <c r="K6961" i="7"/>
  <c r="H6961" i="7"/>
  <c r="J6961" i="7" s="1"/>
  <c r="K6960" i="7"/>
  <c r="H6960" i="7"/>
  <c r="J6960" i="7" s="1"/>
  <c r="K6959" i="7"/>
  <c r="H6959" i="7"/>
  <c r="J6959" i="7" s="1"/>
  <c r="K6958" i="7"/>
  <c r="H6958" i="7"/>
  <c r="J6958" i="7" s="1"/>
  <c r="K6957" i="7"/>
  <c r="H6957" i="7"/>
  <c r="J6957" i="7" s="1"/>
  <c r="K6956" i="7"/>
  <c r="H6956" i="7"/>
  <c r="J6956" i="7" s="1"/>
  <c r="K6955" i="7"/>
  <c r="H6955" i="7"/>
  <c r="J6955" i="7" s="1"/>
  <c r="K6954" i="7"/>
  <c r="H6954" i="7"/>
  <c r="J6954" i="7" s="1"/>
  <c r="K6953" i="7"/>
  <c r="H6953" i="7"/>
  <c r="J6953" i="7" s="1"/>
  <c r="K6952" i="7"/>
  <c r="H6952" i="7"/>
  <c r="J6952" i="7" s="1"/>
  <c r="K6951" i="7"/>
  <c r="H6951" i="7"/>
  <c r="J6951" i="7" s="1"/>
  <c r="K6950" i="7"/>
  <c r="H6950" i="7"/>
  <c r="J6950" i="7" s="1"/>
  <c r="K6949" i="7"/>
  <c r="H6949" i="7"/>
  <c r="J6949" i="7" s="1"/>
  <c r="K6948" i="7"/>
  <c r="H6948" i="7"/>
  <c r="J6948" i="7" s="1"/>
  <c r="K6947" i="7"/>
  <c r="H6947" i="7"/>
  <c r="J6947" i="7" s="1"/>
  <c r="K6946" i="7"/>
  <c r="H6946" i="7"/>
  <c r="J6946" i="7" s="1"/>
  <c r="K6945" i="7"/>
  <c r="H6945" i="7"/>
  <c r="J6945" i="7" s="1"/>
  <c r="K6944" i="7"/>
  <c r="H6944" i="7"/>
  <c r="J6944" i="7" s="1"/>
  <c r="K6943" i="7"/>
  <c r="H6943" i="7"/>
  <c r="J6943" i="7" s="1"/>
  <c r="K6942" i="7"/>
  <c r="H6942" i="7"/>
  <c r="J6942" i="7" s="1"/>
  <c r="K6941" i="7"/>
  <c r="H6941" i="7"/>
  <c r="J6941" i="7" s="1"/>
  <c r="K6940" i="7"/>
  <c r="H6940" i="7"/>
  <c r="J6940" i="7" s="1"/>
  <c r="K6939" i="7"/>
  <c r="H6939" i="7"/>
  <c r="J6939" i="7" s="1"/>
  <c r="K6938" i="7"/>
  <c r="H6938" i="7"/>
  <c r="J6938" i="7" s="1"/>
  <c r="K6937" i="7"/>
  <c r="H6937" i="7"/>
  <c r="J6937" i="7" s="1"/>
  <c r="K6936" i="7"/>
  <c r="H6936" i="7"/>
  <c r="J6936" i="7" s="1"/>
  <c r="K6935" i="7"/>
  <c r="H6935" i="7"/>
  <c r="J6935" i="7" s="1"/>
  <c r="K6934" i="7"/>
  <c r="H6934" i="7"/>
  <c r="J6934" i="7" s="1"/>
  <c r="K6933" i="7"/>
  <c r="H6933" i="7"/>
  <c r="J6933" i="7" s="1"/>
  <c r="K6932" i="7"/>
  <c r="H6932" i="7"/>
  <c r="J6932" i="7" s="1"/>
  <c r="K6931" i="7"/>
  <c r="H6931" i="7"/>
  <c r="J6931" i="7" s="1"/>
  <c r="K6930" i="7"/>
  <c r="H6930" i="7"/>
  <c r="J6930" i="7" s="1"/>
  <c r="K6929" i="7"/>
  <c r="H6929" i="7"/>
  <c r="J6929" i="7" s="1"/>
  <c r="K6928" i="7"/>
  <c r="H6928" i="7"/>
  <c r="J6928" i="7" s="1"/>
  <c r="K6927" i="7"/>
  <c r="H6927" i="7"/>
  <c r="J6927" i="7" s="1"/>
  <c r="K6926" i="7"/>
  <c r="H6926" i="7"/>
  <c r="J6926" i="7" s="1"/>
  <c r="K6925" i="7"/>
  <c r="H6925" i="7"/>
  <c r="J6925" i="7" s="1"/>
  <c r="K6924" i="7"/>
  <c r="H6924" i="7"/>
  <c r="J6924" i="7" s="1"/>
  <c r="K6923" i="7"/>
  <c r="H6923" i="7"/>
  <c r="J6923" i="7" s="1"/>
  <c r="K6922" i="7"/>
  <c r="H6922" i="7"/>
  <c r="J6922" i="7" s="1"/>
  <c r="K6921" i="7"/>
  <c r="H6921" i="7"/>
  <c r="J6921" i="7" s="1"/>
  <c r="K6920" i="7"/>
  <c r="H6920" i="7"/>
  <c r="J6920" i="7" s="1"/>
  <c r="K6919" i="7"/>
  <c r="H6919" i="7"/>
  <c r="J6919" i="7" s="1"/>
  <c r="K6918" i="7"/>
  <c r="H6918" i="7"/>
  <c r="J6918" i="7" s="1"/>
  <c r="K6917" i="7"/>
  <c r="H6917" i="7"/>
  <c r="J6917" i="7" s="1"/>
  <c r="K6916" i="7"/>
  <c r="H6916" i="7"/>
  <c r="J6916" i="7" s="1"/>
  <c r="K6915" i="7"/>
  <c r="H6915" i="7"/>
  <c r="J6915" i="7" s="1"/>
  <c r="K6914" i="7"/>
  <c r="H6914" i="7"/>
  <c r="J6914" i="7" s="1"/>
  <c r="K6913" i="7"/>
  <c r="H6913" i="7"/>
  <c r="J6913" i="7" s="1"/>
  <c r="K6912" i="7"/>
  <c r="H6912" i="7"/>
  <c r="J6912" i="7" s="1"/>
  <c r="K6911" i="7"/>
  <c r="H6911" i="7"/>
  <c r="J6911" i="7" s="1"/>
  <c r="K6910" i="7"/>
  <c r="H6910" i="7"/>
  <c r="J6910" i="7" s="1"/>
  <c r="K6909" i="7"/>
  <c r="H6909" i="7"/>
  <c r="J6909" i="7" s="1"/>
  <c r="K6908" i="7"/>
  <c r="H6908" i="7"/>
  <c r="J6908" i="7" s="1"/>
  <c r="K6907" i="7"/>
  <c r="H6907" i="7"/>
  <c r="J6907" i="7" s="1"/>
  <c r="K6906" i="7"/>
  <c r="H6906" i="7"/>
  <c r="J6906" i="7" s="1"/>
  <c r="K6905" i="7"/>
  <c r="H6905" i="7"/>
  <c r="J6905" i="7" s="1"/>
  <c r="K6904" i="7"/>
  <c r="H6904" i="7"/>
  <c r="J6904" i="7" s="1"/>
  <c r="K6903" i="7"/>
  <c r="H6903" i="7"/>
  <c r="J6903" i="7" s="1"/>
  <c r="K6902" i="7"/>
  <c r="H6902" i="7"/>
  <c r="J6902" i="7" s="1"/>
  <c r="K6901" i="7"/>
  <c r="H6901" i="7"/>
  <c r="J6901" i="7" s="1"/>
  <c r="K6900" i="7"/>
  <c r="H6900" i="7"/>
  <c r="J6900" i="7" s="1"/>
  <c r="K6899" i="7"/>
  <c r="H6899" i="7"/>
  <c r="J6899" i="7" s="1"/>
  <c r="K6898" i="7"/>
  <c r="H6898" i="7"/>
  <c r="J6898" i="7" s="1"/>
  <c r="K6897" i="7"/>
  <c r="H6897" i="7"/>
  <c r="J6897" i="7" s="1"/>
  <c r="K6896" i="7"/>
  <c r="H6896" i="7"/>
  <c r="J6896" i="7" s="1"/>
  <c r="K6895" i="7"/>
  <c r="H6895" i="7"/>
  <c r="J6895" i="7" s="1"/>
  <c r="K6894" i="7"/>
  <c r="H6894" i="7"/>
  <c r="J6894" i="7" s="1"/>
  <c r="K6893" i="7"/>
  <c r="H6893" i="7"/>
  <c r="J6893" i="7" s="1"/>
  <c r="K6892" i="7"/>
  <c r="H6892" i="7"/>
  <c r="J6892" i="7" s="1"/>
  <c r="K6891" i="7"/>
  <c r="H6891" i="7"/>
  <c r="J6891" i="7" s="1"/>
  <c r="K6890" i="7"/>
  <c r="H6890" i="7"/>
  <c r="J6890" i="7" s="1"/>
  <c r="K6889" i="7"/>
  <c r="H6889" i="7"/>
  <c r="J6889" i="7" s="1"/>
  <c r="K6888" i="7"/>
  <c r="H6888" i="7"/>
  <c r="J6888" i="7" s="1"/>
  <c r="K6887" i="7"/>
  <c r="H6887" i="7"/>
  <c r="J6887" i="7" s="1"/>
  <c r="K6886" i="7"/>
  <c r="H6886" i="7"/>
  <c r="J6886" i="7" s="1"/>
  <c r="K6885" i="7"/>
  <c r="H6885" i="7"/>
  <c r="J6885" i="7" s="1"/>
  <c r="K6884" i="7"/>
  <c r="H6884" i="7"/>
  <c r="J6884" i="7" s="1"/>
  <c r="K6883" i="7"/>
  <c r="H6883" i="7"/>
  <c r="J6883" i="7" s="1"/>
  <c r="K6882" i="7"/>
  <c r="H6882" i="7"/>
  <c r="J6882" i="7" s="1"/>
  <c r="K6881" i="7"/>
  <c r="H6881" i="7"/>
  <c r="J6881" i="7" s="1"/>
  <c r="K6880" i="7"/>
  <c r="H6880" i="7"/>
  <c r="J6880" i="7" s="1"/>
  <c r="K6879" i="7"/>
  <c r="H6879" i="7"/>
  <c r="J6879" i="7" s="1"/>
  <c r="K6878" i="7"/>
  <c r="H6878" i="7"/>
  <c r="J6878" i="7" s="1"/>
  <c r="K6877" i="7"/>
  <c r="H6877" i="7"/>
  <c r="J6877" i="7" s="1"/>
  <c r="K6876" i="7"/>
  <c r="H6876" i="7"/>
  <c r="J6876" i="7" s="1"/>
  <c r="K6875" i="7"/>
  <c r="H6875" i="7"/>
  <c r="J6875" i="7" s="1"/>
  <c r="K6874" i="7"/>
  <c r="H6874" i="7"/>
  <c r="J6874" i="7" s="1"/>
  <c r="K6873" i="7"/>
  <c r="H6873" i="7"/>
  <c r="J6873" i="7" s="1"/>
  <c r="K6872" i="7"/>
  <c r="H6872" i="7"/>
  <c r="J6872" i="7" s="1"/>
  <c r="K6871" i="7"/>
  <c r="H6871" i="7"/>
  <c r="J6871" i="7" s="1"/>
  <c r="K6870" i="7"/>
  <c r="H6870" i="7"/>
  <c r="J6870" i="7" s="1"/>
  <c r="K6869" i="7"/>
  <c r="H6869" i="7"/>
  <c r="J6869" i="7" s="1"/>
  <c r="K6868" i="7"/>
  <c r="H6868" i="7"/>
  <c r="J6868" i="7" s="1"/>
  <c r="K6867" i="7"/>
  <c r="H6867" i="7"/>
  <c r="J6867" i="7" s="1"/>
  <c r="K6866" i="7"/>
  <c r="H6866" i="7"/>
  <c r="J6866" i="7" s="1"/>
  <c r="K6865" i="7"/>
  <c r="H6865" i="7"/>
  <c r="J6865" i="7" s="1"/>
  <c r="K6864" i="7"/>
  <c r="H6864" i="7"/>
  <c r="J6864" i="7" s="1"/>
  <c r="K6863" i="7"/>
  <c r="H6863" i="7"/>
  <c r="J6863" i="7" s="1"/>
  <c r="K6862" i="7"/>
  <c r="H6862" i="7"/>
  <c r="J6862" i="7" s="1"/>
  <c r="K6861" i="7"/>
  <c r="H6861" i="7"/>
  <c r="J6861" i="7" s="1"/>
  <c r="K6860" i="7"/>
  <c r="H6860" i="7"/>
  <c r="J6860" i="7" s="1"/>
  <c r="K6859" i="7"/>
  <c r="H6859" i="7"/>
  <c r="J6859" i="7" s="1"/>
  <c r="K6858" i="7"/>
  <c r="H6858" i="7"/>
  <c r="J6858" i="7" s="1"/>
  <c r="K6857" i="7"/>
  <c r="H6857" i="7"/>
  <c r="J6857" i="7" s="1"/>
  <c r="K6856" i="7"/>
  <c r="H6856" i="7"/>
  <c r="J6856" i="7" s="1"/>
  <c r="K6855" i="7"/>
  <c r="H6855" i="7"/>
  <c r="J6855" i="7" s="1"/>
  <c r="K6854" i="7"/>
  <c r="H6854" i="7"/>
  <c r="J6854" i="7" s="1"/>
  <c r="K6853" i="7"/>
  <c r="H6853" i="7"/>
  <c r="J6853" i="7" s="1"/>
  <c r="K6852" i="7"/>
  <c r="H6852" i="7"/>
  <c r="J6852" i="7" s="1"/>
  <c r="K6851" i="7"/>
  <c r="H6851" i="7"/>
  <c r="J6851" i="7" s="1"/>
  <c r="K6850" i="7"/>
  <c r="H6850" i="7"/>
  <c r="J6850" i="7" s="1"/>
  <c r="K6849" i="7"/>
  <c r="H6849" i="7"/>
  <c r="J6849" i="7" s="1"/>
  <c r="K6848" i="7"/>
  <c r="H6848" i="7"/>
  <c r="J6848" i="7" s="1"/>
  <c r="K6847" i="7"/>
  <c r="H6847" i="7"/>
  <c r="J6847" i="7" s="1"/>
  <c r="K6846" i="7"/>
  <c r="H6846" i="7"/>
  <c r="J6846" i="7" s="1"/>
  <c r="K6845" i="7"/>
  <c r="H6845" i="7"/>
  <c r="J6845" i="7" s="1"/>
  <c r="K6844" i="7"/>
  <c r="H6844" i="7"/>
  <c r="J6844" i="7" s="1"/>
  <c r="K6843" i="7"/>
  <c r="H6843" i="7"/>
  <c r="J6843" i="7" s="1"/>
  <c r="K6842" i="7"/>
  <c r="H6842" i="7"/>
  <c r="J6842" i="7" s="1"/>
  <c r="K6841" i="7"/>
  <c r="H6841" i="7"/>
  <c r="J6841" i="7" s="1"/>
  <c r="K6840" i="7"/>
  <c r="H6840" i="7"/>
  <c r="J6840" i="7" s="1"/>
  <c r="K6839" i="7"/>
  <c r="H6839" i="7"/>
  <c r="J6839" i="7" s="1"/>
  <c r="K6838" i="7"/>
  <c r="H6838" i="7"/>
  <c r="J6838" i="7" s="1"/>
  <c r="K6837" i="7"/>
  <c r="H6837" i="7"/>
  <c r="J6837" i="7" s="1"/>
  <c r="K6836" i="7"/>
  <c r="H6836" i="7"/>
  <c r="J6836" i="7" s="1"/>
  <c r="K6835" i="7"/>
  <c r="H6835" i="7"/>
  <c r="J6835" i="7" s="1"/>
  <c r="K6834" i="7"/>
  <c r="H6834" i="7"/>
  <c r="J6834" i="7" s="1"/>
  <c r="K6833" i="7"/>
  <c r="H6833" i="7"/>
  <c r="J6833" i="7" s="1"/>
  <c r="K6832" i="7"/>
  <c r="H6832" i="7"/>
  <c r="J6832" i="7" s="1"/>
  <c r="K6831" i="7"/>
  <c r="H6831" i="7"/>
  <c r="J6831" i="7" s="1"/>
  <c r="K6830" i="7"/>
  <c r="H6830" i="7"/>
  <c r="J6830" i="7" s="1"/>
  <c r="K6829" i="7"/>
  <c r="H6829" i="7"/>
  <c r="J6829" i="7" s="1"/>
  <c r="K6828" i="7"/>
  <c r="H6828" i="7"/>
  <c r="J6828" i="7" s="1"/>
  <c r="K6827" i="7"/>
  <c r="H6827" i="7"/>
  <c r="J6827" i="7" s="1"/>
  <c r="K6826" i="7"/>
  <c r="H6826" i="7"/>
  <c r="J6826" i="7" s="1"/>
  <c r="K6825" i="7"/>
  <c r="H6825" i="7"/>
  <c r="J6825" i="7" s="1"/>
  <c r="K6824" i="7"/>
  <c r="H6824" i="7"/>
  <c r="J6824" i="7" s="1"/>
  <c r="K6823" i="7"/>
  <c r="H6823" i="7"/>
  <c r="J6823" i="7" s="1"/>
  <c r="K6822" i="7"/>
  <c r="H6822" i="7"/>
  <c r="J6822" i="7" s="1"/>
  <c r="K6821" i="7"/>
  <c r="H6821" i="7"/>
  <c r="J6821" i="7" s="1"/>
  <c r="K6820" i="7"/>
  <c r="H6820" i="7"/>
  <c r="J6820" i="7" s="1"/>
  <c r="K6819" i="7"/>
  <c r="H6819" i="7"/>
  <c r="J6819" i="7" s="1"/>
  <c r="K6818" i="7"/>
  <c r="H6818" i="7"/>
  <c r="J6818" i="7" s="1"/>
  <c r="K6817" i="7"/>
  <c r="H6817" i="7"/>
  <c r="J6817" i="7" s="1"/>
  <c r="K6816" i="7"/>
  <c r="H6816" i="7"/>
  <c r="J6816" i="7" s="1"/>
  <c r="K6815" i="7"/>
  <c r="H6815" i="7"/>
  <c r="J6815" i="7" s="1"/>
  <c r="K6814" i="7"/>
  <c r="H6814" i="7"/>
  <c r="J6814" i="7" s="1"/>
  <c r="K6813" i="7"/>
  <c r="H6813" i="7"/>
  <c r="J6813" i="7" s="1"/>
  <c r="K6812" i="7"/>
  <c r="H6812" i="7"/>
  <c r="J6812" i="7" s="1"/>
  <c r="K6811" i="7"/>
  <c r="H6811" i="7"/>
  <c r="J6811" i="7" s="1"/>
  <c r="K6810" i="7"/>
  <c r="H6810" i="7"/>
  <c r="J6810" i="7" s="1"/>
  <c r="K6809" i="7"/>
  <c r="H6809" i="7"/>
  <c r="J6809" i="7" s="1"/>
  <c r="K6808" i="7"/>
  <c r="H6808" i="7"/>
  <c r="J6808" i="7" s="1"/>
  <c r="K6807" i="7"/>
  <c r="H6807" i="7"/>
  <c r="J6807" i="7" s="1"/>
  <c r="K6806" i="7"/>
  <c r="H6806" i="7"/>
  <c r="J6806" i="7" s="1"/>
  <c r="K6805" i="7"/>
  <c r="H6805" i="7"/>
  <c r="J6805" i="7" s="1"/>
  <c r="K6804" i="7"/>
  <c r="H6804" i="7"/>
  <c r="J6804" i="7" s="1"/>
  <c r="K6803" i="7"/>
  <c r="H6803" i="7"/>
  <c r="J6803" i="7" s="1"/>
  <c r="K6802" i="7"/>
  <c r="H6802" i="7"/>
  <c r="J6802" i="7" s="1"/>
  <c r="K6801" i="7"/>
  <c r="H6801" i="7"/>
  <c r="J6801" i="7" s="1"/>
  <c r="K6800" i="7"/>
  <c r="H6800" i="7"/>
  <c r="J6800" i="7" s="1"/>
  <c r="K6799" i="7"/>
  <c r="H6799" i="7"/>
  <c r="J6799" i="7" s="1"/>
  <c r="K6798" i="7"/>
  <c r="H6798" i="7"/>
  <c r="J6798" i="7" s="1"/>
  <c r="K6797" i="7"/>
  <c r="H6797" i="7"/>
  <c r="J6797" i="7" s="1"/>
  <c r="K6796" i="7"/>
  <c r="H6796" i="7"/>
  <c r="J6796" i="7" s="1"/>
  <c r="K6795" i="7"/>
  <c r="H6795" i="7"/>
  <c r="J6795" i="7" s="1"/>
  <c r="K6794" i="7"/>
  <c r="H6794" i="7"/>
  <c r="J6794" i="7" s="1"/>
  <c r="K6793" i="7"/>
  <c r="H6793" i="7"/>
  <c r="J6793" i="7" s="1"/>
  <c r="K6792" i="7"/>
  <c r="H6792" i="7"/>
  <c r="J6792" i="7" s="1"/>
  <c r="K6791" i="7"/>
  <c r="H6791" i="7"/>
  <c r="J6791" i="7" s="1"/>
  <c r="K6790" i="7"/>
  <c r="H6790" i="7"/>
  <c r="J6790" i="7" s="1"/>
  <c r="K6789" i="7"/>
  <c r="H6789" i="7"/>
  <c r="J6789" i="7" s="1"/>
  <c r="K6788" i="7"/>
  <c r="H6788" i="7"/>
  <c r="J6788" i="7" s="1"/>
  <c r="K6787" i="7"/>
  <c r="H6787" i="7"/>
  <c r="J6787" i="7" s="1"/>
  <c r="K6786" i="7"/>
  <c r="H6786" i="7"/>
  <c r="J6786" i="7" s="1"/>
  <c r="K6785" i="7"/>
  <c r="H6785" i="7"/>
  <c r="J6785" i="7" s="1"/>
  <c r="K6784" i="7"/>
  <c r="H6784" i="7"/>
  <c r="J6784" i="7" s="1"/>
  <c r="K6783" i="7"/>
  <c r="H6783" i="7"/>
  <c r="J6783" i="7" s="1"/>
  <c r="K6782" i="7"/>
  <c r="H6782" i="7"/>
  <c r="J6782" i="7" s="1"/>
  <c r="K6781" i="7"/>
  <c r="H6781" i="7"/>
  <c r="J6781" i="7" s="1"/>
  <c r="K6780" i="7"/>
  <c r="H6780" i="7"/>
  <c r="J6780" i="7" s="1"/>
  <c r="K6779" i="7"/>
  <c r="H6779" i="7"/>
  <c r="J6779" i="7" s="1"/>
  <c r="K6778" i="7"/>
  <c r="H6778" i="7"/>
  <c r="J6778" i="7" s="1"/>
  <c r="K6777" i="7"/>
  <c r="H6777" i="7"/>
  <c r="J6777" i="7" s="1"/>
  <c r="K6776" i="7"/>
  <c r="H6776" i="7"/>
  <c r="J6776" i="7" s="1"/>
  <c r="K6775" i="7"/>
  <c r="H6775" i="7"/>
  <c r="J6775" i="7" s="1"/>
  <c r="K6774" i="7"/>
  <c r="H6774" i="7"/>
  <c r="J6774" i="7" s="1"/>
  <c r="K6773" i="7"/>
  <c r="H6773" i="7"/>
  <c r="J6773" i="7" s="1"/>
  <c r="K6772" i="7"/>
  <c r="H6772" i="7"/>
  <c r="J6772" i="7" s="1"/>
  <c r="K6771" i="7"/>
  <c r="H6771" i="7"/>
  <c r="J6771" i="7" s="1"/>
  <c r="K6770" i="7"/>
  <c r="H6770" i="7"/>
  <c r="J6770" i="7" s="1"/>
  <c r="K6769" i="7"/>
  <c r="H6769" i="7"/>
  <c r="J6769" i="7" s="1"/>
  <c r="K6768" i="7"/>
  <c r="H6768" i="7"/>
  <c r="J6768" i="7" s="1"/>
  <c r="K6767" i="7"/>
  <c r="H6767" i="7"/>
  <c r="J6767" i="7" s="1"/>
  <c r="K6766" i="7"/>
  <c r="H6766" i="7"/>
  <c r="J6766" i="7" s="1"/>
  <c r="K6765" i="7"/>
  <c r="H6765" i="7"/>
  <c r="J6765" i="7" s="1"/>
  <c r="K6764" i="7"/>
  <c r="H6764" i="7"/>
  <c r="J6764" i="7" s="1"/>
  <c r="K6763" i="7"/>
  <c r="H6763" i="7"/>
  <c r="J6763" i="7" s="1"/>
  <c r="K6762" i="7"/>
  <c r="H6762" i="7"/>
  <c r="J6762" i="7" s="1"/>
  <c r="K6761" i="7"/>
  <c r="H6761" i="7"/>
  <c r="J6761" i="7" s="1"/>
  <c r="K6760" i="7"/>
  <c r="H6760" i="7"/>
  <c r="J6760" i="7" s="1"/>
  <c r="K6759" i="7"/>
  <c r="H6759" i="7"/>
  <c r="J6759" i="7" s="1"/>
  <c r="K6758" i="7"/>
  <c r="H6758" i="7"/>
  <c r="J6758" i="7" s="1"/>
  <c r="K6757" i="7"/>
  <c r="H6757" i="7"/>
  <c r="J6757" i="7" s="1"/>
  <c r="K6756" i="7"/>
  <c r="H6756" i="7"/>
  <c r="J6756" i="7" s="1"/>
  <c r="K6755" i="7"/>
  <c r="H6755" i="7"/>
  <c r="J6755" i="7" s="1"/>
  <c r="K6754" i="7"/>
  <c r="H6754" i="7"/>
  <c r="J6754" i="7" s="1"/>
  <c r="K6753" i="7"/>
  <c r="H6753" i="7"/>
  <c r="J6753" i="7" s="1"/>
  <c r="K6752" i="7"/>
  <c r="H6752" i="7"/>
  <c r="J6752" i="7" s="1"/>
  <c r="K6751" i="7"/>
  <c r="H6751" i="7"/>
  <c r="J6751" i="7" s="1"/>
  <c r="K6750" i="7"/>
  <c r="H6750" i="7"/>
  <c r="J6750" i="7" s="1"/>
  <c r="K6749" i="7"/>
  <c r="H6749" i="7"/>
  <c r="J6749" i="7" s="1"/>
  <c r="K6748" i="7"/>
  <c r="H6748" i="7"/>
  <c r="J6748" i="7" s="1"/>
  <c r="K6747" i="7"/>
  <c r="H6747" i="7"/>
  <c r="J6747" i="7" s="1"/>
  <c r="K6746" i="7"/>
  <c r="H6746" i="7"/>
  <c r="J6746" i="7" s="1"/>
  <c r="K6745" i="7"/>
  <c r="H6745" i="7"/>
  <c r="J6745" i="7" s="1"/>
  <c r="K6744" i="7"/>
  <c r="H6744" i="7"/>
  <c r="J6744" i="7" s="1"/>
  <c r="K6743" i="7"/>
  <c r="H6743" i="7"/>
  <c r="J6743" i="7" s="1"/>
  <c r="K6742" i="7"/>
  <c r="H6742" i="7"/>
  <c r="J6742" i="7" s="1"/>
  <c r="K6741" i="7"/>
  <c r="H6741" i="7"/>
  <c r="J6741" i="7" s="1"/>
  <c r="K6740" i="7"/>
  <c r="H6740" i="7"/>
  <c r="J6740" i="7" s="1"/>
  <c r="K6739" i="7"/>
  <c r="H6739" i="7"/>
  <c r="J6739" i="7" s="1"/>
  <c r="K6738" i="7"/>
  <c r="H6738" i="7"/>
  <c r="J6738" i="7" s="1"/>
  <c r="K6737" i="7"/>
  <c r="H6737" i="7"/>
  <c r="J6737" i="7" s="1"/>
  <c r="K6736" i="7"/>
  <c r="H6736" i="7"/>
  <c r="J6736" i="7" s="1"/>
  <c r="K6735" i="7"/>
  <c r="H6735" i="7"/>
  <c r="J6735" i="7" s="1"/>
  <c r="K6734" i="7"/>
  <c r="H6734" i="7"/>
  <c r="J6734" i="7" s="1"/>
  <c r="K6733" i="7"/>
  <c r="H6733" i="7"/>
  <c r="J6733" i="7" s="1"/>
  <c r="K6732" i="7"/>
  <c r="H6732" i="7"/>
  <c r="J6732" i="7" s="1"/>
  <c r="K6731" i="7"/>
  <c r="H6731" i="7"/>
  <c r="J6731" i="7" s="1"/>
  <c r="K6730" i="7"/>
  <c r="H6730" i="7"/>
  <c r="J6730" i="7" s="1"/>
  <c r="K6729" i="7"/>
  <c r="H6729" i="7"/>
  <c r="J6729" i="7" s="1"/>
  <c r="K6728" i="7"/>
  <c r="H6728" i="7"/>
  <c r="J6728" i="7" s="1"/>
  <c r="K6727" i="7"/>
  <c r="H6727" i="7"/>
  <c r="J6727" i="7" s="1"/>
  <c r="K6726" i="7"/>
  <c r="H6726" i="7"/>
  <c r="J6726" i="7" s="1"/>
  <c r="K6725" i="7"/>
  <c r="H6725" i="7"/>
  <c r="J6725" i="7" s="1"/>
  <c r="K6724" i="7"/>
  <c r="H6724" i="7"/>
  <c r="J6724" i="7" s="1"/>
  <c r="K6723" i="7"/>
  <c r="H6723" i="7"/>
  <c r="J6723" i="7" s="1"/>
  <c r="K6722" i="7"/>
  <c r="H6722" i="7"/>
  <c r="J6722" i="7" s="1"/>
  <c r="K6721" i="7"/>
  <c r="H6721" i="7"/>
  <c r="J6721" i="7" s="1"/>
  <c r="K6720" i="7"/>
  <c r="H6720" i="7"/>
  <c r="J6720" i="7" s="1"/>
  <c r="K6719" i="7"/>
  <c r="H6719" i="7"/>
  <c r="J6719" i="7" s="1"/>
  <c r="K6718" i="7"/>
  <c r="H6718" i="7"/>
  <c r="J6718" i="7" s="1"/>
  <c r="K6717" i="7"/>
  <c r="H6717" i="7"/>
  <c r="J6717" i="7" s="1"/>
  <c r="K6716" i="7"/>
  <c r="H6716" i="7"/>
  <c r="J6716" i="7" s="1"/>
  <c r="K6715" i="7"/>
  <c r="H6715" i="7"/>
  <c r="J6715" i="7" s="1"/>
  <c r="K6714" i="7"/>
  <c r="H6714" i="7"/>
  <c r="J6714" i="7" s="1"/>
  <c r="K6713" i="7"/>
  <c r="H6713" i="7"/>
  <c r="J6713" i="7" s="1"/>
  <c r="K6712" i="7"/>
  <c r="H6712" i="7"/>
  <c r="J6712" i="7" s="1"/>
  <c r="K6711" i="7"/>
  <c r="H6711" i="7"/>
  <c r="J6711" i="7" s="1"/>
  <c r="K6710" i="7"/>
  <c r="H6710" i="7"/>
  <c r="J6710" i="7" s="1"/>
  <c r="K6709" i="7"/>
  <c r="H6709" i="7"/>
  <c r="J6709" i="7" s="1"/>
  <c r="K6708" i="7"/>
  <c r="H6708" i="7"/>
  <c r="J6708" i="7" s="1"/>
  <c r="K6707" i="7"/>
  <c r="H6707" i="7"/>
  <c r="J6707" i="7" s="1"/>
  <c r="K6706" i="7"/>
  <c r="H6706" i="7"/>
  <c r="J6706" i="7" s="1"/>
  <c r="K6705" i="7"/>
  <c r="H6705" i="7"/>
  <c r="J6705" i="7" s="1"/>
  <c r="K6704" i="7"/>
  <c r="H6704" i="7"/>
  <c r="J6704" i="7" s="1"/>
  <c r="K6703" i="7"/>
  <c r="H6703" i="7"/>
  <c r="J6703" i="7" s="1"/>
  <c r="K6702" i="7"/>
  <c r="H6702" i="7"/>
  <c r="J6702" i="7" s="1"/>
  <c r="K6701" i="7"/>
  <c r="H6701" i="7"/>
  <c r="J6701" i="7" s="1"/>
  <c r="K6700" i="7"/>
  <c r="H6700" i="7"/>
  <c r="J6700" i="7" s="1"/>
  <c r="K6699" i="7"/>
  <c r="H6699" i="7"/>
  <c r="J6699" i="7" s="1"/>
  <c r="K6698" i="7"/>
  <c r="H6698" i="7"/>
  <c r="J6698" i="7" s="1"/>
  <c r="K6697" i="7"/>
  <c r="H6697" i="7"/>
  <c r="J6697" i="7" s="1"/>
  <c r="K6696" i="7"/>
  <c r="H6696" i="7"/>
  <c r="J6696" i="7" s="1"/>
  <c r="K6695" i="7"/>
  <c r="H6695" i="7"/>
  <c r="J6695" i="7" s="1"/>
  <c r="K6694" i="7"/>
  <c r="H6694" i="7"/>
  <c r="J6694" i="7" s="1"/>
  <c r="K6693" i="7"/>
  <c r="H6693" i="7"/>
  <c r="J6693" i="7" s="1"/>
  <c r="K6692" i="7"/>
  <c r="H6692" i="7"/>
  <c r="J6692" i="7" s="1"/>
  <c r="K6691" i="7"/>
  <c r="H6691" i="7"/>
  <c r="J6691" i="7" s="1"/>
  <c r="K6690" i="7"/>
  <c r="H6690" i="7"/>
  <c r="J6690" i="7" s="1"/>
  <c r="K6689" i="7"/>
  <c r="H6689" i="7"/>
  <c r="J6689" i="7" s="1"/>
  <c r="K6688" i="7"/>
  <c r="H6688" i="7"/>
  <c r="J6688" i="7" s="1"/>
  <c r="K6687" i="7"/>
  <c r="H6687" i="7"/>
  <c r="J6687" i="7" s="1"/>
  <c r="K6686" i="7"/>
  <c r="H6686" i="7"/>
  <c r="J6686" i="7" s="1"/>
  <c r="K6685" i="7"/>
  <c r="H6685" i="7"/>
  <c r="J6685" i="7" s="1"/>
  <c r="K6684" i="7"/>
  <c r="H6684" i="7"/>
  <c r="J6684" i="7" s="1"/>
  <c r="K6683" i="7"/>
  <c r="H6683" i="7"/>
  <c r="J6683" i="7" s="1"/>
  <c r="K6682" i="7"/>
  <c r="H6682" i="7"/>
  <c r="J6682" i="7" s="1"/>
  <c r="K6681" i="7"/>
  <c r="H6681" i="7"/>
  <c r="J6681" i="7" s="1"/>
  <c r="K6680" i="7"/>
  <c r="H6680" i="7"/>
  <c r="J6680" i="7" s="1"/>
  <c r="K6679" i="7"/>
  <c r="H6679" i="7"/>
  <c r="J6679" i="7" s="1"/>
  <c r="K6678" i="7"/>
  <c r="H6678" i="7"/>
  <c r="J6678" i="7" s="1"/>
  <c r="K6677" i="7"/>
  <c r="H6677" i="7"/>
  <c r="J6677" i="7" s="1"/>
  <c r="K6676" i="7"/>
  <c r="H6676" i="7"/>
  <c r="J6676" i="7" s="1"/>
  <c r="K6675" i="7"/>
  <c r="H6675" i="7"/>
  <c r="J6675" i="7" s="1"/>
  <c r="K6674" i="7"/>
  <c r="H6674" i="7"/>
  <c r="J6674" i="7" s="1"/>
  <c r="K6673" i="7"/>
  <c r="H6673" i="7"/>
  <c r="J6673" i="7" s="1"/>
  <c r="K6672" i="7"/>
  <c r="H6672" i="7"/>
  <c r="J6672" i="7" s="1"/>
  <c r="K6671" i="7"/>
  <c r="H6671" i="7"/>
  <c r="J6671" i="7" s="1"/>
  <c r="K6670" i="7"/>
  <c r="H6670" i="7"/>
  <c r="J6670" i="7" s="1"/>
  <c r="K6669" i="7"/>
  <c r="H6669" i="7"/>
  <c r="J6669" i="7" s="1"/>
  <c r="K6668" i="7"/>
  <c r="H6668" i="7"/>
  <c r="J6668" i="7" s="1"/>
  <c r="K6667" i="7"/>
  <c r="H6667" i="7"/>
  <c r="J6667" i="7" s="1"/>
  <c r="K6666" i="7"/>
  <c r="H6666" i="7"/>
  <c r="J6666" i="7" s="1"/>
  <c r="K6665" i="7"/>
  <c r="H6665" i="7"/>
  <c r="J6665" i="7" s="1"/>
  <c r="K6664" i="7"/>
  <c r="H6664" i="7"/>
  <c r="J6664" i="7" s="1"/>
  <c r="K6663" i="7"/>
  <c r="H6663" i="7"/>
  <c r="J6663" i="7" s="1"/>
  <c r="K6662" i="7"/>
  <c r="H6662" i="7"/>
  <c r="J6662" i="7" s="1"/>
  <c r="K6661" i="7"/>
  <c r="H6661" i="7"/>
  <c r="J6661" i="7" s="1"/>
  <c r="K6660" i="7"/>
  <c r="H6660" i="7"/>
  <c r="J6660" i="7" s="1"/>
  <c r="K6659" i="7"/>
  <c r="H6659" i="7"/>
  <c r="J6659" i="7" s="1"/>
  <c r="K6658" i="7"/>
  <c r="H6658" i="7"/>
  <c r="J6658" i="7" s="1"/>
  <c r="K6657" i="7"/>
  <c r="H6657" i="7"/>
  <c r="J6657" i="7" s="1"/>
  <c r="K6656" i="7"/>
  <c r="H6656" i="7"/>
  <c r="J6656" i="7" s="1"/>
  <c r="K6655" i="7"/>
  <c r="H6655" i="7"/>
  <c r="J6655" i="7" s="1"/>
  <c r="K6654" i="7"/>
  <c r="H6654" i="7"/>
  <c r="J6654" i="7" s="1"/>
  <c r="K6653" i="7"/>
  <c r="H6653" i="7"/>
  <c r="J6653" i="7" s="1"/>
  <c r="K6652" i="7"/>
  <c r="H6652" i="7"/>
  <c r="J6652" i="7" s="1"/>
  <c r="K6651" i="7"/>
  <c r="H6651" i="7"/>
  <c r="J6651" i="7" s="1"/>
  <c r="K6650" i="7"/>
  <c r="H6650" i="7"/>
  <c r="J6650" i="7" s="1"/>
  <c r="K6649" i="7"/>
  <c r="H6649" i="7"/>
  <c r="J6649" i="7" s="1"/>
  <c r="K6648" i="7"/>
  <c r="H6648" i="7"/>
  <c r="J6648" i="7" s="1"/>
  <c r="K6647" i="7"/>
  <c r="H6647" i="7"/>
  <c r="J6647" i="7" s="1"/>
  <c r="K6646" i="7"/>
  <c r="H6646" i="7"/>
  <c r="J6646" i="7" s="1"/>
  <c r="K6645" i="7"/>
  <c r="H6645" i="7"/>
  <c r="J6645" i="7" s="1"/>
  <c r="K6644" i="7"/>
  <c r="H6644" i="7"/>
  <c r="J6644" i="7" s="1"/>
  <c r="K6643" i="7"/>
  <c r="H6643" i="7"/>
  <c r="J6643" i="7" s="1"/>
  <c r="K6642" i="7"/>
  <c r="H6642" i="7"/>
  <c r="J6642" i="7" s="1"/>
  <c r="K6641" i="7"/>
  <c r="H6641" i="7"/>
  <c r="J6641" i="7" s="1"/>
  <c r="K6640" i="7"/>
  <c r="H6640" i="7"/>
  <c r="J6640" i="7" s="1"/>
  <c r="K6639" i="7"/>
  <c r="H6639" i="7"/>
  <c r="J6639" i="7" s="1"/>
  <c r="K6638" i="7"/>
  <c r="H6638" i="7"/>
  <c r="J6638" i="7" s="1"/>
  <c r="K6637" i="7"/>
  <c r="H6637" i="7"/>
  <c r="J6637" i="7" s="1"/>
  <c r="K6636" i="7"/>
  <c r="H6636" i="7"/>
  <c r="J6636" i="7" s="1"/>
  <c r="K6635" i="7"/>
  <c r="H6635" i="7"/>
  <c r="J6635" i="7" s="1"/>
  <c r="K6634" i="7"/>
  <c r="H6634" i="7"/>
  <c r="J6634" i="7" s="1"/>
  <c r="K6633" i="7"/>
  <c r="H6633" i="7"/>
  <c r="J6633" i="7" s="1"/>
  <c r="K6632" i="7"/>
  <c r="H6632" i="7"/>
  <c r="J6632" i="7" s="1"/>
  <c r="K6631" i="7"/>
  <c r="H6631" i="7"/>
  <c r="J6631" i="7" s="1"/>
  <c r="K6630" i="7"/>
  <c r="H6630" i="7"/>
  <c r="J6630" i="7" s="1"/>
  <c r="K6629" i="7"/>
  <c r="H6629" i="7"/>
  <c r="J6629" i="7" s="1"/>
  <c r="K6628" i="7"/>
  <c r="H6628" i="7"/>
  <c r="J6628" i="7" s="1"/>
  <c r="K6627" i="7"/>
  <c r="H6627" i="7"/>
  <c r="J6627" i="7" s="1"/>
  <c r="K6626" i="7"/>
  <c r="H6626" i="7"/>
  <c r="J6626" i="7" s="1"/>
  <c r="K6625" i="7"/>
  <c r="H6625" i="7"/>
  <c r="J6625" i="7" s="1"/>
  <c r="K6624" i="7"/>
  <c r="H6624" i="7"/>
  <c r="J6624" i="7" s="1"/>
  <c r="K6623" i="7"/>
  <c r="H6623" i="7"/>
  <c r="J6623" i="7" s="1"/>
  <c r="K6622" i="7"/>
  <c r="H6622" i="7"/>
  <c r="J6622" i="7" s="1"/>
  <c r="K6621" i="7"/>
  <c r="H6621" i="7"/>
  <c r="J6621" i="7" s="1"/>
  <c r="K6620" i="7"/>
  <c r="H6620" i="7"/>
  <c r="J6620" i="7" s="1"/>
  <c r="K6619" i="7"/>
  <c r="H6619" i="7"/>
  <c r="J6619" i="7" s="1"/>
  <c r="K6618" i="7"/>
  <c r="H6618" i="7"/>
  <c r="J6618" i="7" s="1"/>
  <c r="K6617" i="7"/>
  <c r="H6617" i="7"/>
  <c r="J6617" i="7" s="1"/>
  <c r="K6616" i="7"/>
  <c r="H6616" i="7"/>
  <c r="J6616" i="7" s="1"/>
  <c r="K6615" i="7"/>
  <c r="H6615" i="7"/>
  <c r="J6615" i="7" s="1"/>
  <c r="K6614" i="7"/>
  <c r="H6614" i="7"/>
  <c r="J6614" i="7" s="1"/>
  <c r="K6613" i="7"/>
  <c r="H6613" i="7"/>
  <c r="J6613" i="7" s="1"/>
  <c r="K6612" i="7"/>
  <c r="H6612" i="7"/>
  <c r="J6612" i="7" s="1"/>
  <c r="K6611" i="7"/>
  <c r="H6611" i="7"/>
  <c r="J6611" i="7" s="1"/>
  <c r="K6610" i="7"/>
  <c r="H6610" i="7"/>
  <c r="J6610" i="7" s="1"/>
  <c r="K6609" i="7"/>
  <c r="H6609" i="7"/>
  <c r="J6609" i="7" s="1"/>
  <c r="K6608" i="7"/>
  <c r="H6608" i="7"/>
  <c r="J6608" i="7" s="1"/>
  <c r="K6607" i="7"/>
  <c r="H6607" i="7"/>
  <c r="J6607" i="7" s="1"/>
  <c r="K6606" i="7"/>
  <c r="H6606" i="7"/>
  <c r="J6606" i="7" s="1"/>
  <c r="K6605" i="7"/>
  <c r="H6605" i="7"/>
  <c r="J6605" i="7" s="1"/>
  <c r="K6604" i="7"/>
  <c r="H6604" i="7"/>
  <c r="J6604" i="7" s="1"/>
  <c r="K6603" i="7"/>
  <c r="H6603" i="7"/>
  <c r="J6603" i="7" s="1"/>
  <c r="K6602" i="7"/>
  <c r="H6602" i="7"/>
  <c r="J6602" i="7" s="1"/>
  <c r="K6601" i="7"/>
  <c r="H6601" i="7"/>
  <c r="J6601" i="7" s="1"/>
  <c r="K6600" i="7"/>
  <c r="H6600" i="7"/>
  <c r="J6600" i="7" s="1"/>
  <c r="K6599" i="7"/>
  <c r="H6599" i="7"/>
  <c r="J6599" i="7" s="1"/>
  <c r="K6598" i="7"/>
  <c r="H6598" i="7"/>
  <c r="J6598" i="7" s="1"/>
  <c r="K6597" i="7"/>
  <c r="H6597" i="7"/>
  <c r="J6597" i="7" s="1"/>
  <c r="K6596" i="7"/>
  <c r="H6596" i="7"/>
  <c r="J6596" i="7" s="1"/>
  <c r="K6595" i="7"/>
  <c r="H6595" i="7"/>
  <c r="J6595" i="7" s="1"/>
  <c r="K6594" i="7"/>
  <c r="H6594" i="7"/>
  <c r="J6594" i="7" s="1"/>
  <c r="K6593" i="7"/>
  <c r="H6593" i="7"/>
  <c r="J6593" i="7" s="1"/>
  <c r="K6592" i="7"/>
  <c r="H6592" i="7"/>
  <c r="J6592" i="7" s="1"/>
  <c r="K6591" i="7"/>
  <c r="H6591" i="7"/>
  <c r="J6591" i="7" s="1"/>
  <c r="K6590" i="7"/>
  <c r="H6590" i="7"/>
  <c r="J6590" i="7" s="1"/>
  <c r="K6589" i="7"/>
  <c r="H6589" i="7"/>
  <c r="J6589" i="7" s="1"/>
  <c r="K6588" i="7"/>
  <c r="H6588" i="7"/>
  <c r="J6588" i="7" s="1"/>
  <c r="K6587" i="7"/>
  <c r="H6587" i="7"/>
  <c r="J6587" i="7" s="1"/>
  <c r="K6586" i="7"/>
  <c r="H6586" i="7"/>
  <c r="J6586" i="7" s="1"/>
  <c r="K6585" i="7"/>
  <c r="H6585" i="7"/>
  <c r="J6585" i="7" s="1"/>
  <c r="K6584" i="7"/>
  <c r="H6584" i="7"/>
  <c r="J6584" i="7" s="1"/>
  <c r="K6583" i="7"/>
  <c r="H6583" i="7"/>
  <c r="J6583" i="7" s="1"/>
  <c r="K6582" i="7"/>
  <c r="H6582" i="7"/>
  <c r="J6582" i="7" s="1"/>
  <c r="K6581" i="7"/>
  <c r="H6581" i="7"/>
  <c r="J6581" i="7" s="1"/>
  <c r="K6580" i="7"/>
  <c r="H6580" i="7"/>
  <c r="J6580" i="7" s="1"/>
  <c r="K6579" i="7"/>
  <c r="H6579" i="7"/>
  <c r="J6579" i="7" s="1"/>
  <c r="K6578" i="7"/>
  <c r="H6578" i="7"/>
  <c r="J6578" i="7" s="1"/>
  <c r="K6577" i="7"/>
  <c r="H6577" i="7"/>
  <c r="J6577" i="7" s="1"/>
  <c r="K6576" i="7"/>
  <c r="H6576" i="7"/>
  <c r="J6576" i="7" s="1"/>
  <c r="K6575" i="7"/>
  <c r="H6575" i="7"/>
  <c r="J6575" i="7" s="1"/>
  <c r="K6574" i="7"/>
  <c r="H6574" i="7"/>
  <c r="J6574" i="7" s="1"/>
  <c r="K6573" i="7"/>
  <c r="H6573" i="7"/>
  <c r="J6573" i="7" s="1"/>
  <c r="K6572" i="7"/>
  <c r="H6572" i="7"/>
  <c r="J6572" i="7" s="1"/>
  <c r="K6571" i="7"/>
  <c r="H6571" i="7"/>
  <c r="J6571" i="7" s="1"/>
  <c r="K6570" i="7"/>
  <c r="H6570" i="7"/>
  <c r="J6570" i="7" s="1"/>
  <c r="K6569" i="7"/>
  <c r="H6569" i="7"/>
  <c r="J6569" i="7" s="1"/>
  <c r="K6568" i="7"/>
  <c r="H6568" i="7"/>
  <c r="J6568" i="7" s="1"/>
  <c r="K6567" i="7"/>
  <c r="H6567" i="7"/>
  <c r="J6567" i="7" s="1"/>
  <c r="K6566" i="7"/>
  <c r="H6566" i="7"/>
  <c r="J6566" i="7" s="1"/>
  <c r="K6565" i="7"/>
  <c r="H6565" i="7"/>
  <c r="J6565" i="7" s="1"/>
  <c r="K6564" i="7"/>
  <c r="H6564" i="7"/>
  <c r="J6564" i="7" s="1"/>
  <c r="K6563" i="7"/>
  <c r="H6563" i="7"/>
  <c r="J6563" i="7" s="1"/>
  <c r="K6562" i="7"/>
  <c r="H6562" i="7"/>
  <c r="J6562" i="7" s="1"/>
  <c r="K6561" i="7"/>
  <c r="H6561" i="7"/>
  <c r="J6561" i="7" s="1"/>
  <c r="K6560" i="7"/>
  <c r="H6560" i="7"/>
  <c r="J6560" i="7" s="1"/>
  <c r="K6559" i="7"/>
  <c r="H6559" i="7"/>
  <c r="J6559" i="7" s="1"/>
  <c r="K6558" i="7"/>
  <c r="H6558" i="7"/>
  <c r="J6558" i="7" s="1"/>
  <c r="K6557" i="7"/>
  <c r="H6557" i="7"/>
  <c r="J6557" i="7" s="1"/>
  <c r="K6556" i="7"/>
  <c r="H6556" i="7"/>
  <c r="J6556" i="7" s="1"/>
  <c r="K6555" i="7"/>
  <c r="H6555" i="7"/>
  <c r="J6555" i="7" s="1"/>
  <c r="K6554" i="7"/>
  <c r="H6554" i="7"/>
  <c r="J6554" i="7" s="1"/>
  <c r="K6553" i="7"/>
  <c r="H6553" i="7"/>
  <c r="J6553" i="7" s="1"/>
  <c r="K6552" i="7"/>
  <c r="H6552" i="7"/>
  <c r="J6552" i="7" s="1"/>
  <c r="K6551" i="7"/>
  <c r="H6551" i="7"/>
  <c r="J6551" i="7" s="1"/>
  <c r="K6550" i="7"/>
  <c r="H6550" i="7"/>
  <c r="J6550" i="7" s="1"/>
  <c r="K6549" i="7"/>
  <c r="H6549" i="7"/>
  <c r="J6549" i="7" s="1"/>
  <c r="K6548" i="7"/>
  <c r="H6548" i="7"/>
  <c r="J6548" i="7" s="1"/>
  <c r="K6547" i="7"/>
  <c r="H6547" i="7"/>
  <c r="J6547" i="7" s="1"/>
  <c r="K6546" i="7"/>
  <c r="H6546" i="7"/>
  <c r="J6546" i="7" s="1"/>
  <c r="K6545" i="7"/>
  <c r="H6545" i="7"/>
  <c r="J6545" i="7" s="1"/>
  <c r="K6544" i="7"/>
  <c r="H6544" i="7"/>
  <c r="J6544" i="7" s="1"/>
  <c r="K6543" i="7"/>
  <c r="H6543" i="7"/>
  <c r="J6543" i="7" s="1"/>
  <c r="K6542" i="7"/>
  <c r="H6542" i="7"/>
  <c r="J6542" i="7" s="1"/>
  <c r="K6541" i="7"/>
  <c r="H6541" i="7"/>
  <c r="J6541" i="7" s="1"/>
  <c r="K6540" i="7"/>
  <c r="H6540" i="7"/>
  <c r="J6540" i="7" s="1"/>
  <c r="K6539" i="7"/>
  <c r="H6539" i="7"/>
  <c r="J6539" i="7" s="1"/>
  <c r="K6538" i="7"/>
  <c r="H6538" i="7"/>
  <c r="J6538" i="7" s="1"/>
  <c r="K6537" i="7"/>
  <c r="H6537" i="7"/>
  <c r="J6537" i="7" s="1"/>
  <c r="K6536" i="7"/>
  <c r="H6536" i="7"/>
  <c r="J6536" i="7" s="1"/>
  <c r="K6535" i="7"/>
  <c r="H6535" i="7"/>
  <c r="J6535" i="7" s="1"/>
  <c r="K6534" i="7"/>
  <c r="H6534" i="7"/>
  <c r="J6534" i="7" s="1"/>
  <c r="K6533" i="7"/>
  <c r="H6533" i="7"/>
  <c r="J6533" i="7" s="1"/>
  <c r="K6532" i="7"/>
  <c r="H6532" i="7"/>
  <c r="J6532" i="7" s="1"/>
  <c r="K6531" i="7"/>
  <c r="H6531" i="7"/>
  <c r="J6531" i="7" s="1"/>
  <c r="K6530" i="7"/>
  <c r="H6530" i="7"/>
  <c r="J6530" i="7" s="1"/>
  <c r="K6529" i="7"/>
  <c r="H6529" i="7"/>
  <c r="J6529" i="7" s="1"/>
  <c r="K6528" i="7"/>
  <c r="H6528" i="7"/>
  <c r="J6528" i="7" s="1"/>
  <c r="K6527" i="7"/>
  <c r="H6527" i="7"/>
  <c r="J6527" i="7" s="1"/>
  <c r="K6526" i="7"/>
  <c r="H6526" i="7"/>
  <c r="J6526" i="7" s="1"/>
  <c r="K6525" i="7"/>
  <c r="H6525" i="7"/>
  <c r="J6525" i="7" s="1"/>
  <c r="K6524" i="7"/>
  <c r="H6524" i="7"/>
  <c r="J6524" i="7" s="1"/>
  <c r="K6523" i="7"/>
  <c r="H6523" i="7"/>
  <c r="J6523" i="7" s="1"/>
  <c r="K6522" i="7"/>
  <c r="H6522" i="7"/>
  <c r="J6522" i="7" s="1"/>
  <c r="K6521" i="7"/>
  <c r="H6521" i="7"/>
  <c r="J6521" i="7" s="1"/>
  <c r="K6520" i="7"/>
  <c r="H6520" i="7"/>
  <c r="J6520" i="7" s="1"/>
  <c r="K6519" i="7"/>
  <c r="H6519" i="7"/>
  <c r="J6519" i="7" s="1"/>
  <c r="K6518" i="7"/>
  <c r="H6518" i="7"/>
  <c r="J6518" i="7" s="1"/>
  <c r="K6517" i="7"/>
  <c r="H6517" i="7"/>
  <c r="J6517" i="7" s="1"/>
  <c r="K6516" i="7"/>
  <c r="H6516" i="7"/>
  <c r="J6516" i="7" s="1"/>
  <c r="K6515" i="7"/>
  <c r="H6515" i="7"/>
  <c r="J6515" i="7" s="1"/>
  <c r="K6514" i="7"/>
  <c r="H6514" i="7"/>
  <c r="J6514" i="7" s="1"/>
  <c r="K6513" i="7"/>
  <c r="H6513" i="7"/>
  <c r="J6513" i="7" s="1"/>
  <c r="K6512" i="7"/>
  <c r="H6512" i="7"/>
  <c r="J6512" i="7" s="1"/>
  <c r="K6511" i="7"/>
  <c r="H6511" i="7"/>
  <c r="J6511" i="7" s="1"/>
  <c r="K6510" i="7"/>
  <c r="H6510" i="7"/>
  <c r="J6510" i="7" s="1"/>
  <c r="K6509" i="7"/>
  <c r="H6509" i="7"/>
  <c r="J6509" i="7" s="1"/>
  <c r="K6508" i="7"/>
  <c r="H6508" i="7"/>
  <c r="J6508" i="7" s="1"/>
  <c r="K6507" i="7"/>
  <c r="H6507" i="7"/>
  <c r="J6507" i="7" s="1"/>
  <c r="K6506" i="7"/>
  <c r="H6506" i="7"/>
  <c r="J6506" i="7" s="1"/>
  <c r="K6505" i="7"/>
  <c r="H6505" i="7"/>
  <c r="J6505" i="7" s="1"/>
  <c r="K6504" i="7"/>
  <c r="H6504" i="7"/>
  <c r="J6504" i="7" s="1"/>
  <c r="K6503" i="7"/>
  <c r="H6503" i="7"/>
  <c r="J6503" i="7" s="1"/>
  <c r="K6502" i="7"/>
  <c r="H6502" i="7"/>
  <c r="J6502" i="7" s="1"/>
  <c r="K6501" i="7"/>
  <c r="H6501" i="7"/>
  <c r="J6501" i="7" s="1"/>
  <c r="K6500" i="7"/>
  <c r="H6500" i="7"/>
  <c r="J6500" i="7" s="1"/>
  <c r="K6499" i="7"/>
  <c r="H6499" i="7"/>
  <c r="J6499" i="7" s="1"/>
  <c r="K6498" i="7"/>
  <c r="H6498" i="7"/>
  <c r="J6498" i="7" s="1"/>
  <c r="K6497" i="7"/>
  <c r="H6497" i="7"/>
  <c r="J6497" i="7" s="1"/>
  <c r="K6496" i="7"/>
  <c r="H6496" i="7"/>
  <c r="J6496" i="7" s="1"/>
  <c r="K6495" i="7"/>
  <c r="H6495" i="7"/>
  <c r="J6495" i="7" s="1"/>
  <c r="K6494" i="7"/>
  <c r="H6494" i="7"/>
  <c r="J6494" i="7" s="1"/>
  <c r="K6493" i="7"/>
  <c r="H6493" i="7"/>
  <c r="J6493" i="7" s="1"/>
  <c r="K6492" i="7"/>
  <c r="H6492" i="7"/>
  <c r="J6492" i="7" s="1"/>
  <c r="K6491" i="7"/>
  <c r="H6491" i="7"/>
  <c r="J6491" i="7" s="1"/>
  <c r="K6490" i="7"/>
  <c r="H6490" i="7"/>
  <c r="J6490" i="7" s="1"/>
  <c r="K6489" i="7"/>
  <c r="H6489" i="7"/>
  <c r="J6489" i="7" s="1"/>
  <c r="K6488" i="7"/>
  <c r="H6488" i="7"/>
  <c r="J6488" i="7" s="1"/>
  <c r="K6487" i="7"/>
  <c r="H6487" i="7"/>
  <c r="J6487" i="7" s="1"/>
  <c r="K6486" i="7"/>
  <c r="H6486" i="7"/>
  <c r="J6486" i="7" s="1"/>
  <c r="K6485" i="7"/>
  <c r="H6485" i="7"/>
  <c r="J6485" i="7" s="1"/>
  <c r="K6484" i="7"/>
  <c r="H6484" i="7"/>
  <c r="J6484" i="7" s="1"/>
  <c r="K6483" i="7"/>
  <c r="H6483" i="7"/>
  <c r="J6483" i="7" s="1"/>
  <c r="K6482" i="7"/>
  <c r="H6482" i="7"/>
  <c r="J6482" i="7" s="1"/>
  <c r="K6481" i="7"/>
  <c r="H6481" i="7"/>
  <c r="J6481" i="7" s="1"/>
  <c r="K6480" i="7"/>
  <c r="H6480" i="7"/>
  <c r="J6480" i="7" s="1"/>
  <c r="K6479" i="7"/>
  <c r="H6479" i="7"/>
  <c r="J6479" i="7" s="1"/>
  <c r="K6478" i="7"/>
  <c r="H6478" i="7"/>
  <c r="J6478" i="7" s="1"/>
  <c r="K6477" i="7"/>
  <c r="H6477" i="7"/>
  <c r="J6477" i="7" s="1"/>
  <c r="K6476" i="7"/>
  <c r="H6476" i="7"/>
  <c r="J6476" i="7" s="1"/>
  <c r="K6475" i="7"/>
  <c r="H6475" i="7"/>
  <c r="J6475" i="7" s="1"/>
  <c r="K6474" i="7"/>
  <c r="H6474" i="7"/>
  <c r="J6474" i="7" s="1"/>
  <c r="K6473" i="7"/>
  <c r="H6473" i="7"/>
  <c r="J6473" i="7" s="1"/>
  <c r="K6472" i="7"/>
  <c r="H6472" i="7"/>
  <c r="J6472" i="7" s="1"/>
  <c r="K6471" i="7"/>
  <c r="H6471" i="7"/>
  <c r="J6471" i="7" s="1"/>
  <c r="K6470" i="7"/>
  <c r="H6470" i="7"/>
  <c r="J6470" i="7" s="1"/>
  <c r="K6469" i="7"/>
  <c r="H6469" i="7"/>
  <c r="J6469" i="7" s="1"/>
  <c r="K6468" i="7"/>
  <c r="H6468" i="7"/>
  <c r="J6468" i="7" s="1"/>
  <c r="K6467" i="7"/>
  <c r="H6467" i="7"/>
  <c r="J6467" i="7" s="1"/>
  <c r="K6466" i="7"/>
  <c r="H6466" i="7"/>
  <c r="J6466" i="7" s="1"/>
  <c r="K6465" i="7"/>
  <c r="H6465" i="7"/>
  <c r="J6465" i="7" s="1"/>
  <c r="K6464" i="7"/>
  <c r="H6464" i="7"/>
  <c r="J6464" i="7" s="1"/>
  <c r="K6463" i="7"/>
  <c r="H6463" i="7"/>
  <c r="J6463" i="7" s="1"/>
  <c r="K6462" i="7"/>
  <c r="H6462" i="7"/>
  <c r="J6462" i="7" s="1"/>
  <c r="K6461" i="7"/>
  <c r="H6461" i="7"/>
  <c r="J6461" i="7" s="1"/>
  <c r="K6460" i="7"/>
  <c r="H6460" i="7"/>
  <c r="J6460" i="7" s="1"/>
  <c r="K6459" i="7"/>
  <c r="H6459" i="7"/>
  <c r="J6459" i="7" s="1"/>
  <c r="K6458" i="7"/>
  <c r="H6458" i="7"/>
  <c r="J6458" i="7" s="1"/>
  <c r="K6457" i="7"/>
  <c r="H6457" i="7"/>
  <c r="J6457" i="7" s="1"/>
  <c r="K6456" i="7"/>
  <c r="H6456" i="7"/>
  <c r="J6456" i="7" s="1"/>
  <c r="K6455" i="7"/>
  <c r="H6455" i="7"/>
  <c r="J6455" i="7" s="1"/>
  <c r="K6454" i="7"/>
  <c r="H6454" i="7"/>
  <c r="J6454" i="7" s="1"/>
  <c r="K6453" i="7"/>
  <c r="H6453" i="7"/>
  <c r="J6453" i="7" s="1"/>
  <c r="K6452" i="7"/>
  <c r="H6452" i="7"/>
  <c r="J6452" i="7" s="1"/>
  <c r="K6451" i="7"/>
  <c r="H6451" i="7"/>
  <c r="J6451" i="7" s="1"/>
  <c r="K6450" i="7"/>
  <c r="H6450" i="7"/>
  <c r="J6450" i="7" s="1"/>
  <c r="K6449" i="7"/>
  <c r="H6449" i="7"/>
  <c r="J6449" i="7" s="1"/>
  <c r="K6448" i="7"/>
  <c r="H6448" i="7"/>
  <c r="J6448" i="7" s="1"/>
  <c r="K6447" i="7"/>
  <c r="H6447" i="7"/>
  <c r="J6447" i="7" s="1"/>
  <c r="K6446" i="7"/>
  <c r="H6446" i="7"/>
  <c r="J6446" i="7" s="1"/>
  <c r="K6445" i="7"/>
  <c r="H6445" i="7"/>
  <c r="J6445" i="7" s="1"/>
  <c r="K6444" i="7"/>
  <c r="H6444" i="7"/>
  <c r="J6444" i="7" s="1"/>
  <c r="K6443" i="7"/>
  <c r="H6443" i="7"/>
  <c r="J6443" i="7" s="1"/>
  <c r="K6442" i="7"/>
  <c r="H6442" i="7"/>
  <c r="J6442" i="7" s="1"/>
  <c r="K6441" i="7"/>
  <c r="H6441" i="7"/>
  <c r="J6441" i="7" s="1"/>
  <c r="K6440" i="7"/>
  <c r="H6440" i="7"/>
  <c r="J6440" i="7" s="1"/>
  <c r="K6439" i="7"/>
  <c r="H6439" i="7"/>
  <c r="J6439" i="7" s="1"/>
  <c r="K6438" i="7"/>
  <c r="H6438" i="7"/>
  <c r="J6438" i="7" s="1"/>
  <c r="K6437" i="7"/>
  <c r="H6437" i="7"/>
  <c r="J6437" i="7" s="1"/>
  <c r="K6436" i="7"/>
  <c r="H6436" i="7"/>
  <c r="J6436" i="7" s="1"/>
  <c r="K6435" i="7"/>
  <c r="H6435" i="7"/>
  <c r="J6435" i="7" s="1"/>
  <c r="K6434" i="7"/>
  <c r="H6434" i="7"/>
  <c r="J6434" i="7" s="1"/>
  <c r="K6433" i="7"/>
  <c r="H6433" i="7"/>
  <c r="J6433" i="7" s="1"/>
  <c r="K6432" i="7"/>
  <c r="H6432" i="7"/>
  <c r="J6432" i="7" s="1"/>
  <c r="K6431" i="7"/>
  <c r="H6431" i="7"/>
  <c r="J6431" i="7" s="1"/>
  <c r="K6430" i="7"/>
  <c r="H6430" i="7"/>
  <c r="J6430" i="7" s="1"/>
  <c r="K6429" i="7"/>
  <c r="H6429" i="7"/>
  <c r="J6429" i="7" s="1"/>
  <c r="K6428" i="7"/>
  <c r="H6428" i="7"/>
  <c r="J6428" i="7" s="1"/>
  <c r="K6427" i="7"/>
  <c r="H6427" i="7"/>
  <c r="J6427" i="7" s="1"/>
  <c r="K6426" i="7"/>
  <c r="H6426" i="7"/>
  <c r="J6426" i="7" s="1"/>
  <c r="K6425" i="7"/>
  <c r="H6425" i="7"/>
  <c r="J6425" i="7" s="1"/>
  <c r="K6424" i="7"/>
  <c r="H6424" i="7"/>
  <c r="J6424" i="7" s="1"/>
  <c r="K6423" i="7"/>
  <c r="H6423" i="7"/>
  <c r="J6423" i="7" s="1"/>
  <c r="K6422" i="7"/>
  <c r="H6422" i="7"/>
  <c r="J6422" i="7" s="1"/>
  <c r="K6421" i="7"/>
  <c r="H6421" i="7"/>
  <c r="J6421" i="7" s="1"/>
  <c r="K6420" i="7"/>
  <c r="H6420" i="7"/>
  <c r="J6420" i="7" s="1"/>
  <c r="K6419" i="7"/>
  <c r="H6419" i="7"/>
  <c r="J6419" i="7" s="1"/>
  <c r="K6418" i="7"/>
  <c r="H6418" i="7"/>
  <c r="J6418" i="7" s="1"/>
  <c r="K6417" i="7"/>
  <c r="H6417" i="7"/>
  <c r="J6417" i="7" s="1"/>
  <c r="K6416" i="7"/>
  <c r="H6416" i="7"/>
  <c r="J6416" i="7" s="1"/>
  <c r="K6415" i="7"/>
  <c r="H6415" i="7"/>
  <c r="J6415" i="7" s="1"/>
  <c r="K6414" i="7"/>
  <c r="H6414" i="7"/>
  <c r="J6414" i="7" s="1"/>
  <c r="K6413" i="7"/>
  <c r="H6413" i="7"/>
  <c r="J6413" i="7" s="1"/>
  <c r="K6412" i="7"/>
  <c r="H6412" i="7"/>
  <c r="J6412" i="7" s="1"/>
  <c r="K6411" i="7"/>
  <c r="H6411" i="7"/>
  <c r="J6411" i="7" s="1"/>
  <c r="K6410" i="7"/>
  <c r="H6410" i="7"/>
  <c r="J6410" i="7" s="1"/>
  <c r="K6409" i="7"/>
  <c r="H6409" i="7"/>
  <c r="J6409" i="7" s="1"/>
  <c r="K6408" i="7"/>
  <c r="H6408" i="7"/>
  <c r="J6408" i="7" s="1"/>
  <c r="K6407" i="7"/>
  <c r="H6407" i="7"/>
  <c r="J6407" i="7" s="1"/>
  <c r="K6406" i="7"/>
  <c r="H6406" i="7"/>
  <c r="J6406" i="7" s="1"/>
  <c r="K6405" i="7"/>
  <c r="H6405" i="7"/>
  <c r="J6405" i="7" s="1"/>
  <c r="K6404" i="7"/>
  <c r="H6404" i="7"/>
  <c r="J6404" i="7" s="1"/>
  <c r="K6403" i="7"/>
  <c r="H6403" i="7"/>
  <c r="J6403" i="7" s="1"/>
  <c r="K6402" i="7"/>
  <c r="H6402" i="7"/>
  <c r="J6402" i="7" s="1"/>
  <c r="K6401" i="7"/>
  <c r="H6401" i="7"/>
  <c r="J6401" i="7" s="1"/>
  <c r="K6400" i="7"/>
  <c r="H6400" i="7"/>
  <c r="J6400" i="7" s="1"/>
  <c r="K6399" i="7"/>
  <c r="H6399" i="7"/>
  <c r="J6399" i="7" s="1"/>
  <c r="K6398" i="7"/>
  <c r="H6398" i="7"/>
  <c r="J6398" i="7" s="1"/>
  <c r="K6397" i="7"/>
  <c r="H6397" i="7"/>
  <c r="J6397" i="7" s="1"/>
  <c r="K6396" i="7"/>
  <c r="H6396" i="7"/>
  <c r="J6396" i="7" s="1"/>
  <c r="K6395" i="7"/>
  <c r="H6395" i="7"/>
  <c r="J6395" i="7" s="1"/>
  <c r="K6394" i="7"/>
  <c r="H6394" i="7"/>
  <c r="J6394" i="7" s="1"/>
  <c r="K6393" i="7"/>
  <c r="H6393" i="7"/>
  <c r="J6393" i="7" s="1"/>
  <c r="K6392" i="7"/>
  <c r="H6392" i="7"/>
  <c r="J6392" i="7" s="1"/>
  <c r="K6391" i="7"/>
  <c r="H6391" i="7"/>
  <c r="J6391" i="7" s="1"/>
  <c r="K6390" i="7"/>
  <c r="H6390" i="7"/>
  <c r="J6390" i="7" s="1"/>
  <c r="K6389" i="7"/>
  <c r="H6389" i="7"/>
  <c r="J6389" i="7" s="1"/>
  <c r="K6388" i="7"/>
  <c r="H6388" i="7"/>
  <c r="J6388" i="7" s="1"/>
  <c r="K6387" i="7"/>
  <c r="H6387" i="7"/>
  <c r="J6387" i="7" s="1"/>
  <c r="K6386" i="7"/>
  <c r="H6386" i="7"/>
  <c r="J6386" i="7" s="1"/>
  <c r="K6385" i="7"/>
  <c r="H6385" i="7"/>
  <c r="J6385" i="7" s="1"/>
  <c r="K6384" i="7"/>
  <c r="H6384" i="7"/>
  <c r="J6384" i="7" s="1"/>
  <c r="K6383" i="7"/>
  <c r="H6383" i="7"/>
  <c r="J6383" i="7" s="1"/>
  <c r="K6382" i="7"/>
  <c r="H6382" i="7"/>
  <c r="J6382" i="7" s="1"/>
  <c r="K6381" i="7"/>
  <c r="H6381" i="7"/>
  <c r="J6381" i="7" s="1"/>
  <c r="K6380" i="7"/>
  <c r="H6380" i="7"/>
  <c r="J6380" i="7" s="1"/>
  <c r="K6379" i="7"/>
  <c r="H6379" i="7"/>
  <c r="J6379" i="7" s="1"/>
  <c r="K6378" i="7"/>
  <c r="H6378" i="7"/>
  <c r="J6378" i="7" s="1"/>
  <c r="K6377" i="7"/>
  <c r="H6377" i="7"/>
  <c r="J6377" i="7" s="1"/>
  <c r="K6376" i="7"/>
  <c r="H6376" i="7"/>
  <c r="J6376" i="7" s="1"/>
  <c r="K6375" i="7"/>
  <c r="H6375" i="7"/>
  <c r="J6375" i="7" s="1"/>
  <c r="K6374" i="7"/>
  <c r="H6374" i="7"/>
  <c r="J6374" i="7" s="1"/>
  <c r="K6373" i="7"/>
  <c r="H6373" i="7"/>
  <c r="J6373" i="7" s="1"/>
  <c r="K6372" i="7"/>
  <c r="H6372" i="7"/>
  <c r="J6372" i="7" s="1"/>
  <c r="K6371" i="7"/>
  <c r="H6371" i="7"/>
  <c r="J6371" i="7" s="1"/>
  <c r="K6370" i="7"/>
  <c r="H6370" i="7"/>
  <c r="J6370" i="7" s="1"/>
  <c r="K6369" i="7"/>
  <c r="H6369" i="7"/>
  <c r="J6369" i="7" s="1"/>
  <c r="K6368" i="7"/>
  <c r="H6368" i="7"/>
  <c r="J6368" i="7" s="1"/>
  <c r="K6367" i="7"/>
  <c r="H6367" i="7"/>
  <c r="J6367" i="7" s="1"/>
  <c r="K6366" i="7"/>
  <c r="H6366" i="7"/>
  <c r="J6366" i="7" s="1"/>
  <c r="K6365" i="7"/>
  <c r="H6365" i="7"/>
  <c r="J6365" i="7" s="1"/>
  <c r="K6364" i="7"/>
  <c r="H6364" i="7"/>
  <c r="J6364" i="7" s="1"/>
  <c r="K6363" i="7"/>
  <c r="H6363" i="7"/>
  <c r="J6363" i="7" s="1"/>
  <c r="K6362" i="7"/>
  <c r="H6362" i="7"/>
  <c r="J6362" i="7" s="1"/>
  <c r="K6361" i="7"/>
  <c r="H6361" i="7"/>
  <c r="J6361" i="7" s="1"/>
  <c r="K6360" i="7"/>
  <c r="H6360" i="7"/>
  <c r="J6360" i="7" s="1"/>
  <c r="K6359" i="7"/>
  <c r="H6359" i="7"/>
  <c r="J6359" i="7" s="1"/>
  <c r="K6358" i="7"/>
  <c r="H6358" i="7"/>
  <c r="J6358" i="7" s="1"/>
  <c r="K6357" i="7"/>
  <c r="H6357" i="7"/>
  <c r="J6357" i="7" s="1"/>
  <c r="K6356" i="7"/>
  <c r="H6356" i="7"/>
  <c r="J6356" i="7" s="1"/>
  <c r="K6355" i="7"/>
  <c r="H6355" i="7"/>
  <c r="J6355" i="7" s="1"/>
  <c r="K6354" i="7"/>
  <c r="H6354" i="7"/>
  <c r="J6354" i="7" s="1"/>
  <c r="K6353" i="7"/>
  <c r="H6353" i="7"/>
  <c r="J6353" i="7" s="1"/>
  <c r="K6352" i="7"/>
  <c r="H6352" i="7"/>
  <c r="J6352" i="7" s="1"/>
  <c r="K6351" i="7"/>
  <c r="H6351" i="7"/>
  <c r="J6351" i="7" s="1"/>
  <c r="K6350" i="7"/>
  <c r="H6350" i="7"/>
  <c r="J6350" i="7" s="1"/>
  <c r="K6349" i="7"/>
  <c r="H6349" i="7"/>
  <c r="J6349" i="7" s="1"/>
  <c r="K6348" i="7"/>
  <c r="H6348" i="7"/>
  <c r="J6348" i="7" s="1"/>
  <c r="K6347" i="7"/>
  <c r="H6347" i="7"/>
  <c r="J6347" i="7" s="1"/>
  <c r="K6346" i="7"/>
  <c r="H6346" i="7"/>
  <c r="J6346" i="7" s="1"/>
  <c r="K6345" i="7"/>
  <c r="H6345" i="7"/>
  <c r="J6345" i="7" s="1"/>
  <c r="K6344" i="7"/>
  <c r="H6344" i="7"/>
  <c r="J6344" i="7" s="1"/>
  <c r="K6343" i="7"/>
  <c r="H6343" i="7"/>
  <c r="J6343" i="7" s="1"/>
  <c r="K6342" i="7"/>
  <c r="H6342" i="7"/>
  <c r="J6342" i="7" s="1"/>
  <c r="K6341" i="7"/>
  <c r="H6341" i="7"/>
  <c r="J6341" i="7" s="1"/>
  <c r="K6340" i="7"/>
  <c r="H6340" i="7"/>
  <c r="J6340" i="7" s="1"/>
  <c r="K6339" i="7"/>
  <c r="H6339" i="7"/>
  <c r="J6339" i="7" s="1"/>
  <c r="K6338" i="7"/>
  <c r="H6338" i="7"/>
  <c r="J6338" i="7" s="1"/>
  <c r="K6337" i="7"/>
  <c r="H6337" i="7"/>
  <c r="J6337" i="7" s="1"/>
  <c r="K6336" i="7"/>
  <c r="H6336" i="7"/>
  <c r="J6336" i="7" s="1"/>
  <c r="K6335" i="7"/>
  <c r="H6335" i="7"/>
  <c r="J6335" i="7" s="1"/>
  <c r="K6334" i="7"/>
  <c r="H6334" i="7"/>
  <c r="J6334" i="7" s="1"/>
  <c r="K6333" i="7"/>
  <c r="H6333" i="7"/>
  <c r="J6333" i="7" s="1"/>
  <c r="K6332" i="7"/>
  <c r="H6332" i="7"/>
  <c r="J6332" i="7" s="1"/>
  <c r="K6331" i="7"/>
  <c r="H6331" i="7"/>
  <c r="J6331" i="7" s="1"/>
  <c r="K6330" i="7"/>
  <c r="H6330" i="7"/>
  <c r="J6330" i="7" s="1"/>
  <c r="K6329" i="7"/>
  <c r="H6329" i="7"/>
  <c r="J6329" i="7" s="1"/>
  <c r="K6328" i="7"/>
  <c r="H6328" i="7"/>
  <c r="J6328" i="7" s="1"/>
  <c r="K6327" i="7"/>
  <c r="H6327" i="7"/>
  <c r="J6327" i="7" s="1"/>
  <c r="K6326" i="7"/>
  <c r="H6326" i="7"/>
  <c r="J6326" i="7" s="1"/>
  <c r="K6325" i="7"/>
  <c r="H6325" i="7"/>
  <c r="J6325" i="7" s="1"/>
  <c r="K6324" i="7"/>
  <c r="H6324" i="7"/>
  <c r="J6324" i="7" s="1"/>
  <c r="K6323" i="7"/>
  <c r="H6323" i="7"/>
  <c r="J6323" i="7" s="1"/>
  <c r="K6322" i="7"/>
  <c r="H6322" i="7"/>
  <c r="J6322" i="7" s="1"/>
  <c r="K6321" i="7"/>
  <c r="H6321" i="7"/>
  <c r="J6321" i="7" s="1"/>
  <c r="K6320" i="7"/>
  <c r="H6320" i="7"/>
  <c r="J6320" i="7" s="1"/>
  <c r="K6319" i="7"/>
  <c r="H6319" i="7"/>
  <c r="J6319" i="7" s="1"/>
  <c r="K6318" i="7"/>
  <c r="H6318" i="7"/>
  <c r="J6318" i="7" s="1"/>
  <c r="K6317" i="7"/>
  <c r="H6317" i="7"/>
  <c r="J6317" i="7" s="1"/>
  <c r="K6316" i="7"/>
  <c r="H6316" i="7"/>
  <c r="J6316" i="7" s="1"/>
  <c r="K6315" i="7"/>
  <c r="H6315" i="7"/>
  <c r="J6315" i="7" s="1"/>
  <c r="K6314" i="7"/>
  <c r="H6314" i="7"/>
  <c r="J6314" i="7" s="1"/>
  <c r="K6313" i="7"/>
  <c r="H6313" i="7"/>
  <c r="J6313" i="7" s="1"/>
  <c r="K6312" i="7"/>
  <c r="H6312" i="7"/>
  <c r="J6312" i="7" s="1"/>
  <c r="K6311" i="7"/>
  <c r="H6311" i="7"/>
  <c r="J6311" i="7" s="1"/>
  <c r="K6310" i="7"/>
  <c r="H6310" i="7"/>
  <c r="J6310" i="7" s="1"/>
  <c r="K6309" i="7"/>
  <c r="H6309" i="7"/>
  <c r="J6309" i="7" s="1"/>
  <c r="K6308" i="7"/>
  <c r="H6308" i="7"/>
  <c r="J6308" i="7" s="1"/>
  <c r="K6307" i="7"/>
  <c r="H6307" i="7"/>
  <c r="J6307" i="7" s="1"/>
  <c r="K6306" i="7"/>
  <c r="H6306" i="7"/>
  <c r="J6306" i="7" s="1"/>
  <c r="K6305" i="7"/>
  <c r="H6305" i="7"/>
  <c r="J6305" i="7" s="1"/>
  <c r="K6304" i="7"/>
  <c r="H6304" i="7"/>
  <c r="J6304" i="7" s="1"/>
  <c r="K6303" i="7"/>
  <c r="H6303" i="7"/>
  <c r="J6303" i="7" s="1"/>
  <c r="K6302" i="7"/>
  <c r="H6302" i="7"/>
  <c r="J6302" i="7" s="1"/>
  <c r="K6301" i="7"/>
  <c r="H6301" i="7"/>
  <c r="J6301" i="7" s="1"/>
  <c r="K6300" i="7"/>
  <c r="H6300" i="7"/>
  <c r="J6300" i="7" s="1"/>
  <c r="K6299" i="7"/>
  <c r="H6299" i="7"/>
  <c r="J6299" i="7" s="1"/>
  <c r="K6298" i="7"/>
  <c r="H6298" i="7"/>
  <c r="J6298" i="7" s="1"/>
  <c r="K6297" i="7"/>
  <c r="H6297" i="7"/>
  <c r="J6297" i="7" s="1"/>
  <c r="K6296" i="7"/>
  <c r="H6296" i="7"/>
  <c r="J6296" i="7" s="1"/>
  <c r="K6295" i="7"/>
  <c r="H6295" i="7"/>
  <c r="J6295" i="7" s="1"/>
  <c r="K6294" i="7"/>
  <c r="H6294" i="7"/>
  <c r="J6294" i="7" s="1"/>
  <c r="K6293" i="7"/>
  <c r="H6293" i="7"/>
  <c r="J6293" i="7" s="1"/>
  <c r="K6292" i="7"/>
  <c r="H6292" i="7"/>
  <c r="J6292" i="7" s="1"/>
  <c r="K6291" i="7"/>
  <c r="H6291" i="7"/>
  <c r="J6291" i="7" s="1"/>
  <c r="K6290" i="7"/>
  <c r="H6290" i="7"/>
  <c r="J6290" i="7" s="1"/>
  <c r="K6289" i="7"/>
  <c r="H6289" i="7"/>
  <c r="J6289" i="7" s="1"/>
  <c r="K6288" i="7"/>
  <c r="H6288" i="7"/>
  <c r="J6288" i="7" s="1"/>
  <c r="K6287" i="7"/>
  <c r="H6287" i="7"/>
  <c r="J6287" i="7" s="1"/>
  <c r="K6286" i="7"/>
  <c r="H6286" i="7"/>
  <c r="J6286" i="7" s="1"/>
  <c r="K6285" i="7"/>
  <c r="H6285" i="7"/>
  <c r="J6285" i="7" s="1"/>
  <c r="K6284" i="7"/>
  <c r="H6284" i="7"/>
  <c r="J6284" i="7" s="1"/>
  <c r="K6283" i="7"/>
  <c r="H6283" i="7"/>
  <c r="J6283" i="7" s="1"/>
  <c r="K6282" i="7"/>
  <c r="H6282" i="7"/>
  <c r="J6282" i="7" s="1"/>
  <c r="K6281" i="7"/>
  <c r="H6281" i="7"/>
  <c r="J6281" i="7" s="1"/>
  <c r="K6280" i="7"/>
  <c r="H6280" i="7"/>
  <c r="J6280" i="7" s="1"/>
  <c r="K6279" i="7"/>
  <c r="H6279" i="7"/>
  <c r="J6279" i="7" s="1"/>
  <c r="K6278" i="7"/>
  <c r="H6278" i="7"/>
  <c r="J6278" i="7" s="1"/>
  <c r="K6277" i="7"/>
  <c r="H6277" i="7"/>
  <c r="J6277" i="7" s="1"/>
  <c r="K6276" i="7"/>
  <c r="H6276" i="7"/>
  <c r="J6276" i="7" s="1"/>
  <c r="K6275" i="7"/>
  <c r="H6275" i="7"/>
  <c r="J6275" i="7" s="1"/>
  <c r="K6274" i="7"/>
  <c r="H6274" i="7"/>
  <c r="J6274" i="7" s="1"/>
  <c r="K6273" i="7"/>
  <c r="H6273" i="7"/>
  <c r="J6273" i="7" s="1"/>
  <c r="K6272" i="7"/>
  <c r="H6272" i="7"/>
  <c r="J6272" i="7" s="1"/>
  <c r="K6271" i="7"/>
  <c r="H6271" i="7"/>
  <c r="J6271" i="7" s="1"/>
  <c r="K6270" i="7"/>
  <c r="H6270" i="7"/>
  <c r="J6270" i="7" s="1"/>
  <c r="K6269" i="7"/>
  <c r="H6269" i="7"/>
  <c r="J6269" i="7" s="1"/>
  <c r="K6268" i="7"/>
  <c r="H6268" i="7"/>
  <c r="J6268" i="7" s="1"/>
  <c r="K6267" i="7"/>
  <c r="H6267" i="7"/>
  <c r="J6267" i="7" s="1"/>
  <c r="K6266" i="7"/>
  <c r="H6266" i="7"/>
  <c r="J6266" i="7" s="1"/>
  <c r="K6265" i="7"/>
  <c r="H6265" i="7"/>
  <c r="J6265" i="7" s="1"/>
  <c r="K6264" i="7"/>
  <c r="H6264" i="7"/>
  <c r="J6264" i="7" s="1"/>
  <c r="K6263" i="7"/>
  <c r="H6263" i="7"/>
  <c r="J6263" i="7" s="1"/>
  <c r="K6262" i="7"/>
  <c r="H6262" i="7"/>
  <c r="J6262" i="7" s="1"/>
  <c r="K6261" i="7"/>
  <c r="H6261" i="7"/>
  <c r="J6261" i="7" s="1"/>
  <c r="K6260" i="7"/>
  <c r="H6260" i="7"/>
  <c r="J6260" i="7" s="1"/>
  <c r="K6259" i="7"/>
  <c r="H6259" i="7"/>
  <c r="J6259" i="7" s="1"/>
  <c r="K6258" i="7"/>
  <c r="H6258" i="7"/>
  <c r="J6258" i="7" s="1"/>
  <c r="K6257" i="7"/>
  <c r="H6257" i="7"/>
  <c r="J6257" i="7" s="1"/>
  <c r="K6256" i="7"/>
  <c r="H6256" i="7"/>
  <c r="J6256" i="7" s="1"/>
  <c r="K6255" i="7"/>
  <c r="H6255" i="7"/>
  <c r="J6255" i="7" s="1"/>
  <c r="K6254" i="7"/>
  <c r="H6254" i="7"/>
  <c r="J6254" i="7" s="1"/>
  <c r="K6253" i="7"/>
  <c r="H6253" i="7"/>
  <c r="J6253" i="7" s="1"/>
  <c r="K6252" i="7"/>
  <c r="H6252" i="7"/>
  <c r="J6252" i="7" s="1"/>
  <c r="K6251" i="7"/>
  <c r="H6251" i="7"/>
  <c r="J6251" i="7" s="1"/>
  <c r="K6250" i="7"/>
  <c r="H6250" i="7"/>
  <c r="J6250" i="7" s="1"/>
  <c r="K6249" i="7"/>
  <c r="H6249" i="7"/>
  <c r="J6249" i="7" s="1"/>
  <c r="K6248" i="7"/>
  <c r="H6248" i="7"/>
  <c r="J6248" i="7" s="1"/>
  <c r="K6247" i="7"/>
  <c r="H6247" i="7"/>
  <c r="J6247" i="7" s="1"/>
  <c r="K6246" i="7"/>
  <c r="H6246" i="7"/>
  <c r="J6246" i="7" s="1"/>
  <c r="K6245" i="7"/>
  <c r="H6245" i="7"/>
  <c r="J6245" i="7" s="1"/>
  <c r="K6244" i="7"/>
  <c r="H6244" i="7"/>
  <c r="J6244" i="7" s="1"/>
  <c r="K6243" i="7"/>
  <c r="H6243" i="7"/>
  <c r="J6243" i="7" s="1"/>
  <c r="K6242" i="7"/>
  <c r="H6242" i="7"/>
  <c r="J6242" i="7" s="1"/>
  <c r="K6241" i="7"/>
  <c r="H6241" i="7"/>
  <c r="J6241" i="7" s="1"/>
  <c r="K6240" i="7"/>
  <c r="H6240" i="7"/>
  <c r="J6240" i="7" s="1"/>
  <c r="K6239" i="7"/>
  <c r="H6239" i="7"/>
  <c r="J6239" i="7" s="1"/>
  <c r="K6238" i="7"/>
  <c r="H6238" i="7"/>
  <c r="J6238" i="7" s="1"/>
  <c r="K6237" i="7"/>
  <c r="H6237" i="7"/>
  <c r="J6237" i="7" s="1"/>
  <c r="K6236" i="7"/>
  <c r="H6236" i="7"/>
  <c r="J6236" i="7" s="1"/>
  <c r="K6235" i="7"/>
  <c r="H6235" i="7"/>
  <c r="J6235" i="7" s="1"/>
  <c r="K6234" i="7"/>
  <c r="H6234" i="7"/>
  <c r="J6234" i="7" s="1"/>
  <c r="K6233" i="7"/>
  <c r="H6233" i="7"/>
  <c r="J6233" i="7" s="1"/>
  <c r="K6232" i="7"/>
  <c r="H6232" i="7"/>
  <c r="J6232" i="7" s="1"/>
  <c r="K6231" i="7"/>
  <c r="H6231" i="7"/>
  <c r="J6231" i="7" s="1"/>
  <c r="K6230" i="7"/>
  <c r="H6230" i="7"/>
  <c r="J6230" i="7" s="1"/>
  <c r="K6229" i="7"/>
  <c r="H6229" i="7"/>
  <c r="J6229" i="7" s="1"/>
  <c r="K6228" i="7"/>
  <c r="H6228" i="7"/>
  <c r="J6228" i="7" s="1"/>
  <c r="K6227" i="7"/>
  <c r="H6227" i="7"/>
  <c r="J6227" i="7" s="1"/>
  <c r="K6226" i="7"/>
  <c r="H6226" i="7"/>
  <c r="J6226" i="7" s="1"/>
  <c r="K6225" i="7"/>
  <c r="H6225" i="7"/>
  <c r="J6225" i="7" s="1"/>
  <c r="K6224" i="7"/>
  <c r="H6224" i="7"/>
  <c r="J6224" i="7" s="1"/>
  <c r="K6223" i="7"/>
  <c r="H6223" i="7"/>
  <c r="J6223" i="7" s="1"/>
  <c r="K6222" i="7"/>
  <c r="H6222" i="7"/>
  <c r="J6222" i="7" s="1"/>
  <c r="K6221" i="7"/>
  <c r="H6221" i="7"/>
  <c r="J6221" i="7" s="1"/>
  <c r="K6220" i="7"/>
  <c r="H6220" i="7"/>
  <c r="J6220" i="7" s="1"/>
  <c r="K6219" i="7"/>
  <c r="H6219" i="7"/>
  <c r="J6219" i="7" s="1"/>
  <c r="K6218" i="7"/>
  <c r="H6218" i="7"/>
  <c r="J6218" i="7" s="1"/>
  <c r="K6217" i="7"/>
  <c r="H6217" i="7"/>
  <c r="J6217" i="7" s="1"/>
  <c r="K6216" i="7"/>
  <c r="H6216" i="7"/>
  <c r="J6216" i="7" s="1"/>
  <c r="K6215" i="7"/>
  <c r="H6215" i="7"/>
  <c r="J6215" i="7" s="1"/>
  <c r="K6214" i="7"/>
  <c r="H6214" i="7"/>
  <c r="J6214" i="7" s="1"/>
  <c r="K6213" i="7"/>
  <c r="H6213" i="7"/>
  <c r="J6213" i="7" s="1"/>
  <c r="K6212" i="7"/>
  <c r="H6212" i="7"/>
  <c r="J6212" i="7" s="1"/>
  <c r="K6211" i="7"/>
  <c r="H6211" i="7"/>
  <c r="J6211" i="7" s="1"/>
  <c r="K6210" i="7"/>
  <c r="H6210" i="7"/>
  <c r="J6210" i="7" s="1"/>
  <c r="K6209" i="7"/>
  <c r="H6209" i="7"/>
  <c r="J6209" i="7" s="1"/>
  <c r="K6208" i="7"/>
  <c r="H6208" i="7"/>
  <c r="J6208" i="7" s="1"/>
  <c r="K6207" i="7"/>
  <c r="H6207" i="7"/>
  <c r="J6207" i="7" s="1"/>
  <c r="K6206" i="7"/>
  <c r="H6206" i="7"/>
  <c r="J6206" i="7" s="1"/>
  <c r="K6205" i="7"/>
  <c r="H6205" i="7"/>
  <c r="J6205" i="7" s="1"/>
  <c r="K6204" i="7"/>
  <c r="H6204" i="7"/>
  <c r="J6204" i="7" s="1"/>
  <c r="K6203" i="7"/>
  <c r="H6203" i="7"/>
  <c r="J6203" i="7" s="1"/>
  <c r="K6202" i="7"/>
  <c r="H6202" i="7"/>
  <c r="J6202" i="7" s="1"/>
  <c r="K6201" i="7"/>
  <c r="H6201" i="7"/>
  <c r="J6201" i="7" s="1"/>
  <c r="K6200" i="7"/>
  <c r="H6200" i="7"/>
  <c r="J6200" i="7" s="1"/>
  <c r="K6199" i="7"/>
  <c r="H6199" i="7"/>
  <c r="J6199" i="7" s="1"/>
  <c r="K6198" i="7"/>
  <c r="H6198" i="7"/>
  <c r="J6198" i="7" s="1"/>
  <c r="K6197" i="7"/>
  <c r="H6197" i="7"/>
  <c r="J6197" i="7" s="1"/>
  <c r="K6196" i="7"/>
  <c r="H6196" i="7"/>
  <c r="J6196" i="7" s="1"/>
  <c r="K6195" i="7"/>
  <c r="H6195" i="7"/>
  <c r="J6195" i="7" s="1"/>
  <c r="K6194" i="7"/>
  <c r="H6194" i="7"/>
  <c r="J6194" i="7" s="1"/>
  <c r="K6193" i="7"/>
  <c r="H6193" i="7"/>
  <c r="J6193" i="7" s="1"/>
  <c r="K6192" i="7"/>
  <c r="H6192" i="7"/>
  <c r="J6192" i="7" s="1"/>
  <c r="K6191" i="7"/>
  <c r="H6191" i="7"/>
  <c r="J6191" i="7" s="1"/>
  <c r="K6190" i="7"/>
  <c r="H6190" i="7"/>
  <c r="J6190" i="7" s="1"/>
  <c r="K6189" i="7"/>
  <c r="H6189" i="7"/>
  <c r="J6189" i="7" s="1"/>
  <c r="K6188" i="7"/>
  <c r="H6188" i="7"/>
  <c r="J6188" i="7" s="1"/>
  <c r="K6187" i="7"/>
  <c r="H6187" i="7"/>
  <c r="J6187" i="7" s="1"/>
  <c r="K6186" i="7"/>
  <c r="H6186" i="7"/>
  <c r="J6186" i="7" s="1"/>
  <c r="K6185" i="7"/>
  <c r="H6185" i="7"/>
  <c r="J6185" i="7" s="1"/>
  <c r="K6184" i="7"/>
  <c r="H6184" i="7"/>
  <c r="J6184" i="7" s="1"/>
  <c r="K6183" i="7"/>
  <c r="H6183" i="7"/>
  <c r="J6183" i="7" s="1"/>
  <c r="K6182" i="7"/>
  <c r="H6182" i="7"/>
  <c r="J6182" i="7" s="1"/>
  <c r="K6181" i="7"/>
  <c r="H6181" i="7"/>
  <c r="J6181" i="7" s="1"/>
  <c r="K6180" i="7"/>
  <c r="H6180" i="7"/>
  <c r="J6180" i="7" s="1"/>
  <c r="K6179" i="7"/>
  <c r="H6179" i="7"/>
  <c r="J6179" i="7" s="1"/>
  <c r="K6178" i="7"/>
  <c r="H6178" i="7"/>
  <c r="J6178" i="7" s="1"/>
  <c r="K6177" i="7"/>
  <c r="H6177" i="7"/>
  <c r="J6177" i="7" s="1"/>
  <c r="K6176" i="7"/>
  <c r="H6176" i="7"/>
  <c r="J6176" i="7" s="1"/>
  <c r="K6175" i="7"/>
  <c r="H6175" i="7"/>
  <c r="J6175" i="7" s="1"/>
  <c r="K6174" i="7"/>
  <c r="H6174" i="7"/>
  <c r="J6174" i="7" s="1"/>
  <c r="K6173" i="7"/>
  <c r="H6173" i="7"/>
  <c r="J6173" i="7" s="1"/>
  <c r="K6172" i="7"/>
  <c r="H6172" i="7"/>
  <c r="J6172" i="7" s="1"/>
  <c r="K6171" i="7"/>
  <c r="H6171" i="7"/>
  <c r="J6171" i="7" s="1"/>
  <c r="K6170" i="7"/>
  <c r="H6170" i="7"/>
  <c r="J6170" i="7" s="1"/>
  <c r="K6169" i="7"/>
  <c r="H6169" i="7"/>
  <c r="J6169" i="7" s="1"/>
  <c r="K6168" i="7"/>
  <c r="H6168" i="7"/>
  <c r="J6168" i="7" s="1"/>
  <c r="K6167" i="7"/>
  <c r="H6167" i="7"/>
  <c r="J6167" i="7" s="1"/>
  <c r="K6166" i="7"/>
  <c r="H6166" i="7"/>
  <c r="J6166" i="7" s="1"/>
  <c r="K6165" i="7"/>
  <c r="H6165" i="7"/>
  <c r="J6165" i="7" s="1"/>
  <c r="K6164" i="7"/>
  <c r="H6164" i="7"/>
  <c r="J6164" i="7" s="1"/>
  <c r="K6163" i="7"/>
  <c r="H6163" i="7"/>
  <c r="J6163" i="7" s="1"/>
  <c r="K6162" i="7"/>
  <c r="H6162" i="7"/>
  <c r="J6162" i="7" s="1"/>
  <c r="K6161" i="7"/>
  <c r="H6161" i="7"/>
  <c r="J6161" i="7" s="1"/>
  <c r="K6160" i="7"/>
  <c r="H6160" i="7"/>
  <c r="J6160" i="7" s="1"/>
  <c r="K6159" i="7"/>
  <c r="H6159" i="7"/>
  <c r="J6159" i="7" s="1"/>
  <c r="K6158" i="7"/>
  <c r="H6158" i="7"/>
  <c r="J6158" i="7" s="1"/>
  <c r="K6157" i="7"/>
  <c r="H6157" i="7"/>
  <c r="J6157" i="7" s="1"/>
  <c r="K6156" i="7"/>
  <c r="H6156" i="7"/>
  <c r="J6156" i="7" s="1"/>
  <c r="K6155" i="7"/>
  <c r="H6155" i="7"/>
  <c r="J6155" i="7" s="1"/>
  <c r="K6154" i="7"/>
  <c r="H6154" i="7"/>
  <c r="J6154" i="7" s="1"/>
  <c r="K6153" i="7"/>
  <c r="H6153" i="7"/>
  <c r="J6153" i="7" s="1"/>
  <c r="K6152" i="7"/>
  <c r="H6152" i="7"/>
  <c r="J6152" i="7" s="1"/>
  <c r="K6151" i="7"/>
  <c r="H6151" i="7"/>
  <c r="J6151" i="7" s="1"/>
  <c r="K6150" i="7"/>
  <c r="H6150" i="7"/>
  <c r="J6150" i="7" s="1"/>
  <c r="K6149" i="7"/>
  <c r="H6149" i="7"/>
  <c r="J6149" i="7" s="1"/>
  <c r="K6148" i="7"/>
  <c r="H6148" i="7"/>
  <c r="J6148" i="7" s="1"/>
  <c r="K6147" i="7"/>
  <c r="H6147" i="7"/>
  <c r="J6147" i="7" s="1"/>
  <c r="K6146" i="7"/>
  <c r="H6146" i="7"/>
  <c r="J6146" i="7" s="1"/>
  <c r="K6145" i="7"/>
  <c r="H6145" i="7"/>
  <c r="J6145" i="7" s="1"/>
  <c r="K6144" i="7"/>
  <c r="H6144" i="7"/>
  <c r="J6144" i="7" s="1"/>
  <c r="K6143" i="7"/>
  <c r="H6143" i="7"/>
  <c r="J6143" i="7" s="1"/>
  <c r="K6142" i="7"/>
  <c r="H6142" i="7"/>
  <c r="J6142" i="7" s="1"/>
  <c r="K6141" i="7"/>
  <c r="H6141" i="7"/>
  <c r="J6141" i="7" s="1"/>
  <c r="K6140" i="7"/>
  <c r="H6140" i="7"/>
  <c r="J6140" i="7" s="1"/>
  <c r="K6139" i="7"/>
  <c r="H6139" i="7"/>
  <c r="J6139" i="7" s="1"/>
  <c r="K6138" i="7"/>
  <c r="H6138" i="7"/>
  <c r="J6138" i="7" s="1"/>
  <c r="K6137" i="7"/>
  <c r="H6137" i="7"/>
  <c r="J6137" i="7" s="1"/>
  <c r="K6136" i="7"/>
  <c r="H6136" i="7"/>
  <c r="J6136" i="7" s="1"/>
  <c r="K6135" i="7"/>
  <c r="H6135" i="7"/>
  <c r="J6135" i="7" s="1"/>
  <c r="K6134" i="7"/>
  <c r="H6134" i="7"/>
  <c r="J6134" i="7" s="1"/>
  <c r="K6133" i="7"/>
  <c r="H6133" i="7"/>
  <c r="J6133" i="7" s="1"/>
  <c r="K6132" i="7"/>
  <c r="H6132" i="7"/>
  <c r="J6132" i="7" s="1"/>
  <c r="K6131" i="7"/>
  <c r="H6131" i="7"/>
  <c r="J6131" i="7" s="1"/>
  <c r="K6130" i="7"/>
  <c r="H6130" i="7"/>
  <c r="J6130" i="7" s="1"/>
  <c r="K6129" i="7"/>
  <c r="H6129" i="7"/>
  <c r="J6129" i="7" s="1"/>
  <c r="K6128" i="7"/>
  <c r="H6128" i="7"/>
  <c r="J6128" i="7" s="1"/>
  <c r="K6127" i="7"/>
  <c r="H6127" i="7"/>
  <c r="J6127" i="7" s="1"/>
  <c r="K6126" i="7"/>
  <c r="H6126" i="7"/>
  <c r="J6126" i="7" s="1"/>
  <c r="K6125" i="7"/>
  <c r="H6125" i="7"/>
  <c r="J6125" i="7" s="1"/>
  <c r="K6124" i="7"/>
  <c r="H6124" i="7"/>
  <c r="J6124" i="7" s="1"/>
  <c r="K6123" i="7"/>
  <c r="H6123" i="7"/>
  <c r="J6123" i="7" s="1"/>
  <c r="K6122" i="7"/>
  <c r="H6122" i="7"/>
  <c r="J6122" i="7" s="1"/>
  <c r="K6121" i="7"/>
  <c r="H6121" i="7"/>
  <c r="J6121" i="7" s="1"/>
  <c r="K6120" i="7"/>
  <c r="H6120" i="7"/>
  <c r="J6120" i="7" s="1"/>
  <c r="K6119" i="7"/>
  <c r="H6119" i="7"/>
  <c r="J6119" i="7" s="1"/>
  <c r="K6118" i="7"/>
  <c r="H6118" i="7"/>
  <c r="J6118" i="7" s="1"/>
  <c r="K6117" i="7"/>
  <c r="H6117" i="7"/>
  <c r="J6117" i="7" s="1"/>
  <c r="K6116" i="7"/>
  <c r="H6116" i="7"/>
  <c r="J6116" i="7" s="1"/>
  <c r="K6115" i="7"/>
  <c r="H6115" i="7"/>
  <c r="J6115" i="7" s="1"/>
  <c r="K6114" i="7"/>
  <c r="H6114" i="7"/>
  <c r="J6114" i="7" s="1"/>
  <c r="K6113" i="7"/>
  <c r="H6113" i="7"/>
  <c r="J6113" i="7" s="1"/>
  <c r="K6112" i="7"/>
  <c r="H6112" i="7"/>
  <c r="J6112" i="7" s="1"/>
  <c r="K6111" i="7"/>
  <c r="H6111" i="7"/>
  <c r="J6111" i="7" s="1"/>
  <c r="K6110" i="7"/>
  <c r="H6110" i="7"/>
  <c r="J6110" i="7" s="1"/>
  <c r="K6109" i="7"/>
  <c r="H6109" i="7"/>
  <c r="J6109" i="7" s="1"/>
  <c r="K6108" i="7"/>
  <c r="H6108" i="7"/>
  <c r="J6108" i="7" s="1"/>
  <c r="K6107" i="7"/>
  <c r="H6107" i="7"/>
  <c r="J6107" i="7" s="1"/>
  <c r="K6106" i="7"/>
  <c r="H6106" i="7"/>
  <c r="J6106" i="7" s="1"/>
  <c r="K6105" i="7"/>
  <c r="H6105" i="7"/>
  <c r="J6105" i="7" s="1"/>
  <c r="K6104" i="7"/>
  <c r="H6104" i="7"/>
  <c r="J6104" i="7" s="1"/>
  <c r="K6103" i="7"/>
  <c r="H6103" i="7"/>
  <c r="J6103" i="7" s="1"/>
  <c r="K6102" i="7"/>
  <c r="H6102" i="7"/>
  <c r="J6102" i="7" s="1"/>
  <c r="K6101" i="7"/>
  <c r="H6101" i="7"/>
  <c r="J6101" i="7" s="1"/>
  <c r="K6100" i="7"/>
  <c r="H6100" i="7"/>
  <c r="J6100" i="7" s="1"/>
  <c r="K6099" i="7"/>
  <c r="H6099" i="7"/>
  <c r="J6099" i="7" s="1"/>
  <c r="K6098" i="7"/>
  <c r="H6098" i="7"/>
  <c r="J6098" i="7" s="1"/>
  <c r="K6097" i="7"/>
  <c r="H6097" i="7"/>
  <c r="J6097" i="7" s="1"/>
  <c r="K6096" i="7"/>
  <c r="H6096" i="7"/>
  <c r="J6096" i="7" s="1"/>
  <c r="K6095" i="7"/>
  <c r="H6095" i="7"/>
  <c r="J6095" i="7" s="1"/>
  <c r="K6094" i="7"/>
  <c r="H6094" i="7"/>
  <c r="J6094" i="7" s="1"/>
  <c r="K6093" i="7"/>
  <c r="H6093" i="7"/>
  <c r="J6093" i="7" s="1"/>
  <c r="K6092" i="7"/>
  <c r="H6092" i="7"/>
  <c r="J6092" i="7" s="1"/>
  <c r="K6091" i="7"/>
  <c r="H6091" i="7"/>
  <c r="J6091" i="7" s="1"/>
  <c r="K6090" i="7"/>
  <c r="H6090" i="7"/>
  <c r="J6090" i="7" s="1"/>
  <c r="K6089" i="7"/>
  <c r="H6089" i="7"/>
  <c r="J6089" i="7" s="1"/>
  <c r="K6088" i="7"/>
  <c r="H6088" i="7"/>
  <c r="J6088" i="7" s="1"/>
  <c r="K6087" i="7"/>
  <c r="H6087" i="7"/>
  <c r="J6087" i="7" s="1"/>
  <c r="K6086" i="7"/>
  <c r="H6086" i="7"/>
  <c r="J6086" i="7" s="1"/>
  <c r="K6085" i="7"/>
  <c r="H6085" i="7"/>
  <c r="J6085" i="7" s="1"/>
  <c r="K6084" i="7"/>
  <c r="H6084" i="7"/>
  <c r="J6084" i="7" s="1"/>
  <c r="K6083" i="7"/>
  <c r="H6083" i="7"/>
  <c r="J6083" i="7" s="1"/>
  <c r="K6082" i="7"/>
  <c r="H6082" i="7"/>
  <c r="J6082" i="7" s="1"/>
  <c r="K6081" i="7"/>
  <c r="H6081" i="7"/>
  <c r="J6081" i="7" s="1"/>
  <c r="K6080" i="7"/>
  <c r="H6080" i="7"/>
  <c r="J6080" i="7" s="1"/>
  <c r="K6079" i="7"/>
  <c r="H6079" i="7"/>
  <c r="J6079" i="7" s="1"/>
  <c r="K6078" i="7"/>
  <c r="H6078" i="7"/>
  <c r="J6078" i="7" s="1"/>
  <c r="K6077" i="7"/>
  <c r="H6077" i="7"/>
  <c r="J6077" i="7" s="1"/>
  <c r="K6076" i="7"/>
  <c r="H6076" i="7"/>
  <c r="J6076" i="7" s="1"/>
  <c r="K6075" i="7"/>
  <c r="H6075" i="7"/>
  <c r="J6075" i="7" s="1"/>
  <c r="K6074" i="7"/>
  <c r="H6074" i="7"/>
  <c r="J6074" i="7" s="1"/>
  <c r="K6073" i="7"/>
  <c r="H6073" i="7"/>
  <c r="J6073" i="7" s="1"/>
  <c r="K6072" i="7"/>
  <c r="H6072" i="7"/>
  <c r="J6072" i="7" s="1"/>
  <c r="K6071" i="7"/>
  <c r="H6071" i="7"/>
  <c r="J6071" i="7" s="1"/>
  <c r="K6070" i="7"/>
  <c r="H6070" i="7"/>
  <c r="J6070" i="7" s="1"/>
  <c r="K6069" i="7"/>
  <c r="H6069" i="7"/>
  <c r="J6069" i="7" s="1"/>
  <c r="K6068" i="7"/>
  <c r="H6068" i="7"/>
  <c r="J6068" i="7" s="1"/>
  <c r="K6067" i="7"/>
  <c r="H6067" i="7"/>
  <c r="J6067" i="7" s="1"/>
  <c r="K6066" i="7"/>
  <c r="H6066" i="7"/>
  <c r="J6066" i="7" s="1"/>
  <c r="K6065" i="7"/>
  <c r="H6065" i="7"/>
  <c r="J6065" i="7" s="1"/>
  <c r="K6064" i="7"/>
  <c r="H6064" i="7"/>
  <c r="J6064" i="7" s="1"/>
  <c r="K6063" i="7"/>
  <c r="H6063" i="7"/>
  <c r="J6063" i="7" s="1"/>
  <c r="K6062" i="7"/>
  <c r="H6062" i="7"/>
  <c r="J6062" i="7" s="1"/>
  <c r="K6061" i="7"/>
  <c r="H6061" i="7"/>
  <c r="J6061" i="7" s="1"/>
  <c r="K6060" i="7"/>
  <c r="H6060" i="7"/>
  <c r="J6060" i="7" s="1"/>
  <c r="K6059" i="7"/>
  <c r="H6059" i="7"/>
  <c r="J6059" i="7" s="1"/>
  <c r="K6058" i="7"/>
  <c r="H6058" i="7"/>
  <c r="J6058" i="7" s="1"/>
  <c r="K6057" i="7"/>
  <c r="H6057" i="7"/>
  <c r="J6057" i="7" s="1"/>
  <c r="K6056" i="7"/>
  <c r="H6056" i="7"/>
  <c r="J6056" i="7" s="1"/>
  <c r="K6055" i="7"/>
  <c r="H6055" i="7"/>
  <c r="J6055" i="7" s="1"/>
  <c r="K6054" i="7"/>
  <c r="H6054" i="7"/>
  <c r="J6054" i="7" s="1"/>
  <c r="K6053" i="7"/>
  <c r="H6053" i="7"/>
  <c r="J6053" i="7" s="1"/>
  <c r="K6052" i="7"/>
  <c r="H6052" i="7"/>
  <c r="J6052" i="7" s="1"/>
  <c r="K6051" i="7"/>
  <c r="H6051" i="7"/>
  <c r="J6051" i="7" s="1"/>
  <c r="K6050" i="7"/>
  <c r="H6050" i="7"/>
  <c r="J6050" i="7" s="1"/>
  <c r="K6049" i="7"/>
  <c r="H6049" i="7"/>
  <c r="J6049" i="7" s="1"/>
  <c r="K6048" i="7"/>
  <c r="H6048" i="7"/>
  <c r="J6048" i="7" s="1"/>
  <c r="K6047" i="7"/>
  <c r="H6047" i="7"/>
  <c r="J6047" i="7" s="1"/>
  <c r="K6046" i="7"/>
  <c r="H6046" i="7"/>
  <c r="J6046" i="7" s="1"/>
  <c r="K6045" i="7"/>
  <c r="H6045" i="7"/>
  <c r="J6045" i="7" s="1"/>
  <c r="K6044" i="7"/>
  <c r="H6044" i="7"/>
  <c r="J6044" i="7" s="1"/>
  <c r="K6043" i="7"/>
  <c r="H6043" i="7"/>
  <c r="J6043" i="7" s="1"/>
  <c r="K6042" i="7"/>
  <c r="H6042" i="7"/>
  <c r="J6042" i="7" s="1"/>
  <c r="K6041" i="7"/>
  <c r="H6041" i="7"/>
  <c r="J6041" i="7" s="1"/>
  <c r="K6040" i="7"/>
  <c r="H6040" i="7"/>
  <c r="J6040" i="7" s="1"/>
  <c r="K6039" i="7"/>
  <c r="H6039" i="7"/>
  <c r="J6039" i="7" s="1"/>
  <c r="K6038" i="7"/>
  <c r="H6038" i="7"/>
  <c r="J6038" i="7" s="1"/>
  <c r="K6037" i="7"/>
  <c r="H6037" i="7"/>
  <c r="J6037" i="7" s="1"/>
  <c r="K6036" i="7"/>
  <c r="H6036" i="7"/>
  <c r="J6036" i="7" s="1"/>
  <c r="K6035" i="7"/>
  <c r="H6035" i="7"/>
  <c r="J6035" i="7" s="1"/>
  <c r="K6034" i="7"/>
  <c r="H6034" i="7"/>
  <c r="J6034" i="7" s="1"/>
  <c r="K6033" i="7"/>
  <c r="H6033" i="7"/>
  <c r="J6033" i="7" s="1"/>
  <c r="K6032" i="7"/>
  <c r="H6032" i="7"/>
  <c r="J6032" i="7" s="1"/>
  <c r="K6031" i="7"/>
  <c r="H6031" i="7"/>
  <c r="J6031" i="7" s="1"/>
  <c r="K6030" i="7"/>
  <c r="H6030" i="7"/>
  <c r="J6030" i="7" s="1"/>
  <c r="K6029" i="7"/>
  <c r="H6029" i="7"/>
  <c r="J6029" i="7" s="1"/>
  <c r="K6028" i="7"/>
  <c r="H6028" i="7"/>
  <c r="J6028" i="7" s="1"/>
  <c r="K6027" i="7"/>
  <c r="H6027" i="7"/>
  <c r="J6027" i="7" s="1"/>
  <c r="K6026" i="7"/>
  <c r="H6026" i="7"/>
  <c r="J6026" i="7" s="1"/>
  <c r="K6025" i="7"/>
  <c r="H6025" i="7"/>
  <c r="J6025" i="7" s="1"/>
  <c r="K6024" i="7"/>
  <c r="H6024" i="7"/>
  <c r="J6024" i="7" s="1"/>
  <c r="K6023" i="7"/>
  <c r="H6023" i="7"/>
  <c r="J6023" i="7" s="1"/>
  <c r="K6022" i="7"/>
  <c r="H6022" i="7"/>
  <c r="J6022" i="7" s="1"/>
  <c r="K6021" i="7"/>
  <c r="H6021" i="7"/>
  <c r="J6021" i="7" s="1"/>
  <c r="K6020" i="7"/>
  <c r="H6020" i="7"/>
  <c r="J6020" i="7" s="1"/>
  <c r="K6019" i="7"/>
  <c r="H6019" i="7"/>
  <c r="J6019" i="7" s="1"/>
  <c r="K6018" i="7"/>
  <c r="H6018" i="7"/>
  <c r="J6018" i="7" s="1"/>
  <c r="K6017" i="7"/>
  <c r="H6017" i="7"/>
  <c r="J6017" i="7" s="1"/>
  <c r="K6016" i="7"/>
  <c r="H6016" i="7"/>
  <c r="J6016" i="7" s="1"/>
  <c r="K6015" i="7"/>
  <c r="H6015" i="7"/>
  <c r="J6015" i="7" s="1"/>
  <c r="K6014" i="7"/>
  <c r="H6014" i="7"/>
  <c r="J6014" i="7" s="1"/>
  <c r="K6013" i="7"/>
  <c r="H6013" i="7"/>
  <c r="J6013" i="7" s="1"/>
  <c r="K6012" i="7"/>
  <c r="H6012" i="7"/>
  <c r="J6012" i="7" s="1"/>
  <c r="K6011" i="7"/>
  <c r="H6011" i="7"/>
  <c r="J6011" i="7" s="1"/>
  <c r="K6010" i="7"/>
  <c r="H6010" i="7"/>
  <c r="J6010" i="7" s="1"/>
  <c r="K6009" i="7"/>
  <c r="H6009" i="7"/>
  <c r="J6009" i="7" s="1"/>
  <c r="K6008" i="7"/>
  <c r="H6008" i="7"/>
  <c r="J6008" i="7" s="1"/>
  <c r="K6007" i="7"/>
  <c r="H6007" i="7"/>
  <c r="J6007" i="7" s="1"/>
  <c r="K6006" i="7"/>
  <c r="H6006" i="7"/>
  <c r="J6006" i="7" s="1"/>
  <c r="K6005" i="7"/>
  <c r="H6005" i="7"/>
  <c r="J6005" i="7" s="1"/>
  <c r="K6004" i="7"/>
  <c r="H6004" i="7"/>
  <c r="J6004" i="7" s="1"/>
  <c r="K6003" i="7"/>
  <c r="H6003" i="7"/>
  <c r="J6003" i="7" s="1"/>
  <c r="K6002" i="7"/>
  <c r="H6002" i="7"/>
  <c r="J6002" i="7" s="1"/>
  <c r="K6001" i="7"/>
  <c r="H6001" i="7"/>
  <c r="J6001" i="7" s="1"/>
  <c r="K6000" i="7"/>
  <c r="H6000" i="7"/>
  <c r="J6000" i="7" s="1"/>
  <c r="K5999" i="7"/>
  <c r="H5999" i="7"/>
  <c r="J5999" i="7" s="1"/>
  <c r="K5998" i="7"/>
  <c r="H5998" i="7"/>
  <c r="J5998" i="7" s="1"/>
  <c r="K5997" i="7"/>
  <c r="H5997" i="7"/>
  <c r="J5997" i="7" s="1"/>
  <c r="K5996" i="7"/>
  <c r="H5996" i="7"/>
  <c r="J5996" i="7" s="1"/>
  <c r="K5995" i="7"/>
  <c r="H5995" i="7"/>
  <c r="J5995" i="7" s="1"/>
  <c r="K5994" i="7"/>
  <c r="H5994" i="7"/>
  <c r="J5994" i="7" s="1"/>
  <c r="K5993" i="7"/>
  <c r="H5993" i="7"/>
  <c r="J5993" i="7" s="1"/>
  <c r="K5992" i="7"/>
  <c r="H5992" i="7"/>
  <c r="J5992" i="7" s="1"/>
  <c r="K5991" i="7"/>
  <c r="H5991" i="7"/>
  <c r="J5991" i="7" s="1"/>
  <c r="K5990" i="7"/>
  <c r="H5990" i="7"/>
  <c r="J5990" i="7" s="1"/>
  <c r="K5989" i="7"/>
  <c r="H5989" i="7"/>
  <c r="J5989" i="7" s="1"/>
  <c r="K5988" i="7"/>
  <c r="H5988" i="7"/>
  <c r="J5988" i="7" s="1"/>
  <c r="K5987" i="7"/>
  <c r="H5987" i="7"/>
  <c r="J5987" i="7" s="1"/>
  <c r="K5986" i="7"/>
  <c r="H5986" i="7"/>
  <c r="J5986" i="7" s="1"/>
  <c r="K5985" i="7"/>
  <c r="H5985" i="7"/>
  <c r="J5985" i="7" s="1"/>
  <c r="K5984" i="7"/>
  <c r="H5984" i="7"/>
  <c r="J5984" i="7" s="1"/>
  <c r="K5983" i="7"/>
  <c r="H5983" i="7"/>
  <c r="J5983" i="7" s="1"/>
  <c r="K5982" i="7"/>
  <c r="H5982" i="7"/>
  <c r="J5982" i="7" s="1"/>
  <c r="K5981" i="7"/>
  <c r="H5981" i="7"/>
  <c r="J5981" i="7" s="1"/>
  <c r="K5980" i="7"/>
  <c r="H5980" i="7"/>
  <c r="J5980" i="7" s="1"/>
  <c r="K5979" i="7"/>
  <c r="H5979" i="7"/>
  <c r="J5979" i="7" s="1"/>
  <c r="K5978" i="7"/>
  <c r="H5978" i="7"/>
  <c r="J5978" i="7" s="1"/>
  <c r="K5977" i="7"/>
  <c r="H5977" i="7"/>
  <c r="J5977" i="7" s="1"/>
  <c r="K5976" i="7"/>
  <c r="H5976" i="7"/>
  <c r="J5976" i="7" s="1"/>
  <c r="K5975" i="7"/>
  <c r="H5975" i="7"/>
  <c r="J5975" i="7" s="1"/>
  <c r="K5974" i="7"/>
  <c r="H5974" i="7"/>
  <c r="J5974" i="7" s="1"/>
  <c r="K5973" i="7"/>
  <c r="H5973" i="7"/>
  <c r="J5973" i="7" s="1"/>
  <c r="K5972" i="7"/>
  <c r="H5972" i="7"/>
  <c r="J5972" i="7" s="1"/>
  <c r="K5971" i="7"/>
  <c r="H5971" i="7"/>
  <c r="J5971" i="7" s="1"/>
  <c r="K5970" i="7"/>
  <c r="H5970" i="7"/>
  <c r="J5970" i="7" s="1"/>
  <c r="K5969" i="7"/>
  <c r="H5969" i="7"/>
  <c r="J5969" i="7" s="1"/>
  <c r="K5968" i="7"/>
  <c r="H5968" i="7"/>
  <c r="J5968" i="7" s="1"/>
  <c r="K5967" i="7"/>
  <c r="H5967" i="7"/>
  <c r="J5967" i="7" s="1"/>
  <c r="K5966" i="7"/>
  <c r="H5966" i="7"/>
  <c r="J5966" i="7" s="1"/>
  <c r="K5965" i="7"/>
  <c r="H5965" i="7"/>
  <c r="J5965" i="7" s="1"/>
  <c r="K5964" i="7"/>
  <c r="H5964" i="7"/>
  <c r="J5964" i="7" s="1"/>
  <c r="K5963" i="7"/>
  <c r="H5963" i="7"/>
  <c r="J5963" i="7" s="1"/>
  <c r="K5962" i="7"/>
  <c r="H5962" i="7"/>
  <c r="J5962" i="7" s="1"/>
  <c r="K5961" i="7"/>
  <c r="H5961" i="7"/>
  <c r="J5961" i="7" s="1"/>
  <c r="K5960" i="7"/>
  <c r="H5960" i="7"/>
  <c r="J5960" i="7" s="1"/>
  <c r="K5959" i="7"/>
  <c r="H5959" i="7"/>
  <c r="J5959" i="7" s="1"/>
  <c r="K5958" i="7"/>
  <c r="H5958" i="7"/>
  <c r="J5958" i="7" s="1"/>
  <c r="K5957" i="7"/>
  <c r="H5957" i="7"/>
  <c r="J5957" i="7" s="1"/>
  <c r="K5956" i="7"/>
  <c r="H5956" i="7"/>
  <c r="J5956" i="7" s="1"/>
  <c r="K5955" i="7"/>
  <c r="H5955" i="7"/>
  <c r="J5955" i="7" s="1"/>
  <c r="K5954" i="7"/>
  <c r="H5954" i="7"/>
  <c r="J5954" i="7" s="1"/>
  <c r="K5953" i="7"/>
  <c r="H5953" i="7"/>
  <c r="J5953" i="7" s="1"/>
  <c r="K5952" i="7"/>
  <c r="H5952" i="7"/>
  <c r="J5952" i="7" s="1"/>
  <c r="K5951" i="7"/>
  <c r="H5951" i="7"/>
  <c r="J5951" i="7" s="1"/>
  <c r="K5950" i="7"/>
  <c r="H5950" i="7"/>
  <c r="J5950" i="7" s="1"/>
  <c r="K5949" i="7"/>
  <c r="H5949" i="7"/>
  <c r="J5949" i="7" s="1"/>
  <c r="K5948" i="7"/>
  <c r="H5948" i="7"/>
  <c r="J5948" i="7" s="1"/>
  <c r="K5947" i="7"/>
  <c r="H5947" i="7"/>
  <c r="J5947" i="7" s="1"/>
  <c r="K5946" i="7"/>
  <c r="H5946" i="7"/>
  <c r="J5946" i="7" s="1"/>
  <c r="K5945" i="7"/>
  <c r="H5945" i="7"/>
  <c r="J5945" i="7" s="1"/>
  <c r="K5944" i="7"/>
  <c r="H5944" i="7"/>
  <c r="J5944" i="7" s="1"/>
  <c r="K5943" i="7"/>
  <c r="H5943" i="7"/>
  <c r="J5943" i="7" s="1"/>
  <c r="K5942" i="7"/>
  <c r="H5942" i="7"/>
  <c r="J5942" i="7" s="1"/>
  <c r="K5941" i="7"/>
  <c r="H5941" i="7"/>
  <c r="J5941" i="7" s="1"/>
  <c r="K5940" i="7"/>
  <c r="H5940" i="7"/>
  <c r="J5940" i="7" s="1"/>
  <c r="K5939" i="7"/>
  <c r="H5939" i="7"/>
  <c r="J5939" i="7" s="1"/>
  <c r="K5938" i="7"/>
  <c r="H5938" i="7"/>
  <c r="J5938" i="7" s="1"/>
  <c r="K5937" i="7"/>
  <c r="H5937" i="7"/>
  <c r="J5937" i="7" s="1"/>
  <c r="K5936" i="7"/>
  <c r="H5936" i="7"/>
  <c r="J5936" i="7" s="1"/>
  <c r="K5935" i="7"/>
  <c r="H5935" i="7"/>
  <c r="J5935" i="7" s="1"/>
  <c r="K5934" i="7"/>
  <c r="H5934" i="7"/>
  <c r="J5934" i="7" s="1"/>
  <c r="K5933" i="7"/>
  <c r="H5933" i="7"/>
  <c r="J5933" i="7" s="1"/>
  <c r="K5932" i="7"/>
  <c r="H5932" i="7"/>
  <c r="J5932" i="7" s="1"/>
  <c r="K5931" i="7"/>
  <c r="H5931" i="7"/>
  <c r="J5931" i="7" s="1"/>
  <c r="K5930" i="7"/>
  <c r="H5930" i="7"/>
  <c r="J5930" i="7" s="1"/>
  <c r="K5929" i="7"/>
  <c r="H5929" i="7"/>
  <c r="J5929" i="7" s="1"/>
  <c r="K5928" i="7"/>
  <c r="H5928" i="7"/>
  <c r="J5928" i="7" s="1"/>
  <c r="K5927" i="7"/>
  <c r="H5927" i="7"/>
  <c r="J5927" i="7" s="1"/>
  <c r="K5926" i="7"/>
  <c r="H5926" i="7"/>
  <c r="J5926" i="7" s="1"/>
  <c r="K5925" i="7"/>
  <c r="H5925" i="7"/>
  <c r="J5925" i="7" s="1"/>
  <c r="K5924" i="7"/>
  <c r="H5924" i="7"/>
  <c r="J5924" i="7" s="1"/>
  <c r="K5923" i="7"/>
  <c r="H5923" i="7"/>
  <c r="J5923" i="7" s="1"/>
  <c r="K5922" i="7"/>
  <c r="H5922" i="7"/>
  <c r="J5922" i="7" s="1"/>
  <c r="K5921" i="7"/>
  <c r="H5921" i="7"/>
  <c r="J5921" i="7" s="1"/>
  <c r="K5920" i="7"/>
  <c r="H5920" i="7"/>
  <c r="J5920" i="7" s="1"/>
  <c r="K5919" i="7"/>
  <c r="H5919" i="7"/>
  <c r="J5919" i="7" s="1"/>
  <c r="K5918" i="7"/>
  <c r="H5918" i="7"/>
  <c r="J5918" i="7" s="1"/>
  <c r="K5917" i="7"/>
  <c r="H5917" i="7"/>
  <c r="J5917" i="7" s="1"/>
  <c r="K5916" i="7"/>
  <c r="H5916" i="7"/>
  <c r="J5916" i="7" s="1"/>
  <c r="K5915" i="7"/>
  <c r="H5915" i="7"/>
  <c r="J5915" i="7" s="1"/>
  <c r="K5914" i="7"/>
  <c r="H5914" i="7"/>
  <c r="J5914" i="7" s="1"/>
  <c r="K5913" i="7"/>
  <c r="H5913" i="7"/>
  <c r="J5913" i="7" s="1"/>
  <c r="K5912" i="7"/>
  <c r="H5912" i="7"/>
  <c r="J5912" i="7" s="1"/>
  <c r="K5911" i="7"/>
  <c r="H5911" i="7"/>
  <c r="J5911" i="7" s="1"/>
  <c r="K5910" i="7"/>
  <c r="H5910" i="7"/>
  <c r="J5910" i="7" s="1"/>
  <c r="K5909" i="7"/>
  <c r="H5909" i="7"/>
  <c r="J5909" i="7" s="1"/>
  <c r="K5908" i="7"/>
  <c r="H5908" i="7"/>
  <c r="J5908" i="7" s="1"/>
  <c r="K5907" i="7"/>
  <c r="H5907" i="7"/>
  <c r="J5907" i="7" s="1"/>
  <c r="K5906" i="7"/>
  <c r="H5906" i="7"/>
  <c r="J5906" i="7" s="1"/>
  <c r="K5905" i="7"/>
  <c r="H5905" i="7"/>
  <c r="J5905" i="7" s="1"/>
  <c r="K5904" i="7"/>
  <c r="H5904" i="7"/>
  <c r="J5904" i="7" s="1"/>
  <c r="K5903" i="7"/>
  <c r="H5903" i="7"/>
  <c r="J5903" i="7" s="1"/>
  <c r="K5902" i="7"/>
  <c r="H5902" i="7"/>
  <c r="J5902" i="7" s="1"/>
  <c r="K5901" i="7"/>
  <c r="H5901" i="7"/>
  <c r="J5901" i="7" s="1"/>
  <c r="K5900" i="7"/>
  <c r="H5900" i="7"/>
  <c r="J5900" i="7" s="1"/>
  <c r="K5899" i="7"/>
  <c r="H5899" i="7"/>
  <c r="J5899" i="7" s="1"/>
  <c r="K5898" i="7"/>
  <c r="H5898" i="7"/>
  <c r="J5898" i="7" s="1"/>
  <c r="K5897" i="7"/>
  <c r="H5897" i="7"/>
  <c r="J5897" i="7" s="1"/>
  <c r="K5896" i="7"/>
  <c r="H5896" i="7"/>
  <c r="J5896" i="7" s="1"/>
  <c r="K5895" i="7"/>
  <c r="H5895" i="7"/>
  <c r="J5895" i="7" s="1"/>
  <c r="K5894" i="7"/>
  <c r="H5894" i="7"/>
  <c r="J5894" i="7" s="1"/>
  <c r="K5893" i="7"/>
  <c r="H5893" i="7"/>
  <c r="J5893" i="7" s="1"/>
  <c r="K5892" i="7"/>
  <c r="H5892" i="7"/>
  <c r="J5892" i="7" s="1"/>
  <c r="K5891" i="7"/>
  <c r="H5891" i="7"/>
  <c r="J5891" i="7" s="1"/>
  <c r="K5890" i="7"/>
  <c r="H5890" i="7"/>
  <c r="J5890" i="7" s="1"/>
  <c r="K5889" i="7"/>
  <c r="H5889" i="7"/>
  <c r="J5889" i="7" s="1"/>
  <c r="K5888" i="7"/>
  <c r="H5888" i="7"/>
  <c r="J5888" i="7" s="1"/>
  <c r="K5887" i="7"/>
  <c r="H5887" i="7"/>
  <c r="J5887" i="7" s="1"/>
  <c r="K5886" i="7"/>
  <c r="H5886" i="7"/>
  <c r="J5886" i="7" s="1"/>
  <c r="K5885" i="7"/>
  <c r="H5885" i="7"/>
  <c r="J5885" i="7" s="1"/>
  <c r="K5884" i="7"/>
  <c r="H5884" i="7"/>
  <c r="J5884" i="7" s="1"/>
  <c r="K5883" i="7"/>
  <c r="H5883" i="7"/>
  <c r="J5883" i="7" s="1"/>
  <c r="K5882" i="7"/>
  <c r="H5882" i="7"/>
  <c r="J5882" i="7" s="1"/>
  <c r="K5881" i="7"/>
  <c r="H5881" i="7"/>
  <c r="J5881" i="7" s="1"/>
  <c r="K5880" i="7"/>
  <c r="H5880" i="7"/>
  <c r="J5880" i="7" s="1"/>
  <c r="K5879" i="7"/>
  <c r="H5879" i="7"/>
  <c r="J5879" i="7" s="1"/>
  <c r="K5878" i="7"/>
  <c r="H5878" i="7"/>
  <c r="J5878" i="7" s="1"/>
  <c r="K5877" i="7"/>
  <c r="H5877" i="7"/>
  <c r="J5877" i="7" s="1"/>
  <c r="K5876" i="7"/>
  <c r="H5876" i="7"/>
  <c r="J5876" i="7" s="1"/>
  <c r="K5875" i="7"/>
  <c r="H5875" i="7"/>
  <c r="J5875" i="7" s="1"/>
  <c r="K5874" i="7"/>
  <c r="H5874" i="7"/>
  <c r="J5874" i="7" s="1"/>
  <c r="K5873" i="7"/>
  <c r="H5873" i="7"/>
  <c r="J5873" i="7" s="1"/>
  <c r="K5872" i="7"/>
  <c r="H5872" i="7"/>
  <c r="J5872" i="7" s="1"/>
  <c r="K5871" i="7"/>
  <c r="H5871" i="7"/>
  <c r="J5871" i="7" s="1"/>
  <c r="K5870" i="7"/>
  <c r="H5870" i="7"/>
  <c r="J5870" i="7" s="1"/>
  <c r="K5869" i="7"/>
  <c r="H5869" i="7"/>
  <c r="J5869" i="7" s="1"/>
  <c r="K5868" i="7"/>
  <c r="H5868" i="7"/>
  <c r="J5868" i="7" s="1"/>
  <c r="K5867" i="7"/>
  <c r="H5867" i="7"/>
  <c r="J5867" i="7" s="1"/>
  <c r="K5866" i="7"/>
  <c r="H5866" i="7"/>
  <c r="J5866" i="7" s="1"/>
  <c r="K5865" i="7"/>
  <c r="H5865" i="7"/>
  <c r="J5865" i="7" s="1"/>
  <c r="K5864" i="7"/>
  <c r="H5864" i="7"/>
  <c r="J5864" i="7" s="1"/>
  <c r="K5863" i="7"/>
  <c r="H5863" i="7"/>
  <c r="J5863" i="7" s="1"/>
  <c r="K5862" i="7"/>
  <c r="H5862" i="7"/>
  <c r="J5862" i="7" s="1"/>
  <c r="K5861" i="7"/>
  <c r="H5861" i="7"/>
  <c r="J5861" i="7" s="1"/>
  <c r="K5860" i="7"/>
  <c r="H5860" i="7"/>
  <c r="J5860" i="7" s="1"/>
  <c r="K5859" i="7"/>
  <c r="H5859" i="7"/>
  <c r="J5859" i="7" s="1"/>
  <c r="K5858" i="7"/>
  <c r="H5858" i="7"/>
  <c r="J5858" i="7" s="1"/>
  <c r="K5857" i="7"/>
  <c r="H5857" i="7"/>
  <c r="J5857" i="7" s="1"/>
  <c r="K5856" i="7"/>
  <c r="H5856" i="7"/>
  <c r="J5856" i="7" s="1"/>
  <c r="K5855" i="7"/>
  <c r="H5855" i="7"/>
  <c r="J5855" i="7" s="1"/>
  <c r="K5854" i="7"/>
  <c r="H5854" i="7"/>
  <c r="J5854" i="7" s="1"/>
  <c r="K5853" i="7"/>
  <c r="H5853" i="7"/>
  <c r="J5853" i="7" s="1"/>
  <c r="K5852" i="7"/>
  <c r="H5852" i="7"/>
  <c r="J5852" i="7" s="1"/>
  <c r="K5851" i="7"/>
  <c r="H5851" i="7"/>
  <c r="J5851" i="7" s="1"/>
  <c r="K5850" i="7"/>
  <c r="H5850" i="7"/>
  <c r="J5850" i="7" s="1"/>
  <c r="K5849" i="7"/>
  <c r="H5849" i="7"/>
  <c r="J5849" i="7" s="1"/>
  <c r="K5848" i="7"/>
  <c r="H5848" i="7"/>
  <c r="J5848" i="7" s="1"/>
  <c r="K5847" i="7"/>
  <c r="H5847" i="7"/>
  <c r="J5847" i="7" s="1"/>
  <c r="K5846" i="7"/>
  <c r="H5846" i="7"/>
  <c r="J5846" i="7" s="1"/>
  <c r="K5845" i="7"/>
  <c r="H5845" i="7"/>
  <c r="J5845" i="7" s="1"/>
  <c r="K5844" i="7"/>
  <c r="H5844" i="7"/>
  <c r="J5844" i="7" s="1"/>
  <c r="K5843" i="7"/>
  <c r="H5843" i="7"/>
  <c r="J5843" i="7" s="1"/>
  <c r="K5842" i="7"/>
  <c r="H5842" i="7"/>
  <c r="J5842" i="7" s="1"/>
  <c r="K5841" i="7"/>
  <c r="H5841" i="7"/>
  <c r="J5841" i="7" s="1"/>
  <c r="K5840" i="7"/>
  <c r="H5840" i="7"/>
  <c r="J5840" i="7" s="1"/>
  <c r="K5839" i="7"/>
  <c r="H5839" i="7"/>
  <c r="J5839" i="7" s="1"/>
  <c r="K5838" i="7"/>
  <c r="H5838" i="7"/>
  <c r="J5838" i="7" s="1"/>
  <c r="K5837" i="7"/>
  <c r="H5837" i="7"/>
  <c r="J5837" i="7" s="1"/>
  <c r="K5836" i="7"/>
  <c r="H5836" i="7"/>
  <c r="J5836" i="7" s="1"/>
  <c r="K5835" i="7"/>
  <c r="H5835" i="7"/>
  <c r="J5835" i="7" s="1"/>
  <c r="K5834" i="7"/>
  <c r="H5834" i="7"/>
  <c r="J5834" i="7" s="1"/>
  <c r="K5833" i="7"/>
  <c r="H5833" i="7"/>
  <c r="J5833" i="7" s="1"/>
  <c r="K5832" i="7"/>
  <c r="H5832" i="7"/>
  <c r="J5832" i="7" s="1"/>
  <c r="K5831" i="7"/>
  <c r="H5831" i="7"/>
  <c r="J5831" i="7" s="1"/>
  <c r="K5830" i="7"/>
  <c r="H5830" i="7"/>
  <c r="J5830" i="7" s="1"/>
  <c r="K5829" i="7"/>
  <c r="H5829" i="7"/>
  <c r="J5829" i="7" s="1"/>
  <c r="K5828" i="7"/>
  <c r="H5828" i="7"/>
  <c r="J5828" i="7" s="1"/>
  <c r="K5827" i="7"/>
  <c r="H5827" i="7"/>
  <c r="J5827" i="7" s="1"/>
  <c r="K5826" i="7"/>
  <c r="H5826" i="7"/>
  <c r="J5826" i="7" s="1"/>
  <c r="K5825" i="7"/>
  <c r="H5825" i="7"/>
  <c r="J5825" i="7" s="1"/>
  <c r="K5824" i="7"/>
  <c r="H5824" i="7"/>
  <c r="J5824" i="7" s="1"/>
  <c r="K5823" i="7"/>
  <c r="H5823" i="7"/>
  <c r="J5823" i="7" s="1"/>
  <c r="K5822" i="7"/>
  <c r="H5822" i="7"/>
  <c r="J5822" i="7" s="1"/>
  <c r="K5821" i="7"/>
  <c r="H5821" i="7"/>
  <c r="J5821" i="7" s="1"/>
  <c r="K5820" i="7"/>
  <c r="H5820" i="7"/>
  <c r="J5820" i="7" s="1"/>
  <c r="K5819" i="7"/>
  <c r="H5819" i="7"/>
  <c r="J5819" i="7" s="1"/>
  <c r="K5818" i="7"/>
  <c r="H5818" i="7"/>
  <c r="J5818" i="7" s="1"/>
  <c r="K5817" i="7"/>
  <c r="H5817" i="7"/>
  <c r="J5817" i="7" s="1"/>
  <c r="K5816" i="7"/>
  <c r="H5816" i="7"/>
  <c r="J5816" i="7" s="1"/>
  <c r="K5815" i="7"/>
  <c r="H5815" i="7"/>
  <c r="J5815" i="7" s="1"/>
  <c r="K5814" i="7"/>
  <c r="H5814" i="7"/>
  <c r="J5814" i="7" s="1"/>
  <c r="K5813" i="7"/>
  <c r="H5813" i="7"/>
  <c r="J5813" i="7" s="1"/>
  <c r="K5812" i="7"/>
  <c r="H5812" i="7"/>
  <c r="J5812" i="7" s="1"/>
  <c r="K5811" i="7"/>
  <c r="H5811" i="7"/>
  <c r="J5811" i="7" s="1"/>
  <c r="K5810" i="7"/>
  <c r="H5810" i="7"/>
  <c r="J5810" i="7" s="1"/>
  <c r="K5809" i="7"/>
  <c r="H5809" i="7"/>
  <c r="J5809" i="7" s="1"/>
  <c r="K5808" i="7"/>
  <c r="H5808" i="7"/>
  <c r="J5808" i="7" s="1"/>
  <c r="K5807" i="7"/>
  <c r="H5807" i="7"/>
  <c r="J5807" i="7" s="1"/>
  <c r="K5806" i="7"/>
  <c r="H5806" i="7"/>
  <c r="J5806" i="7" s="1"/>
  <c r="K5805" i="7"/>
  <c r="H5805" i="7"/>
  <c r="J5805" i="7" s="1"/>
  <c r="K5804" i="7"/>
  <c r="H5804" i="7"/>
  <c r="J5804" i="7" s="1"/>
  <c r="K5803" i="7"/>
  <c r="H5803" i="7"/>
  <c r="J5803" i="7" s="1"/>
  <c r="K5802" i="7"/>
  <c r="H5802" i="7"/>
  <c r="J5802" i="7" s="1"/>
  <c r="K5801" i="7"/>
  <c r="H5801" i="7"/>
  <c r="J5801" i="7" s="1"/>
  <c r="K5800" i="7"/>
  <c r="H5800" i="7"/>
  <c r="J5800" i="7" s="1"/>
  <c r="K5799" i="7"/>
  <c r="H5799" i="7"/>
  <c r="J5799" i="7" s="1"/>
  <c r="K5798" i="7"/>
  <c r="H5798" i="7"/>
  <c r="J5798" i="7" s="1"/>
  <c r="K5797" i="7"/>
  <c r="H5797" i="7"/>
  <c r="J5797" i="7" s="1"/>
  <c r="K5796" i="7"/>
  <c r="H5796" i="7"/>
  <c r="J5796" i="7" s="1"/>
  <c r="K5795" i="7"/>
  <c r="H5795" i="7"/>
  <c r="J5795" i="7" s="1"/>
  <c r="K5794" i="7"/>
  <c r="H5794" i="7"/>
  <c r="J5794" i="7" s="1"/>
  <c r="K5793" i="7"/>
  <c r="H5793" i="7"/>
  <c r="J5793" i="7" s="1"/>
  <c r="K5792" i="7"/>
  <c r="H5792" i="7"/>
  <c r="J5792" i="7" s="1"/>
  <c r="K5791" i="7"/>
  <c r="H5791" i="7"/>
  <c r="J5791" i="7" s="1"/>
  <c r="K5790" i="7"/>
  <c r="H5790" i="7"/>
  <c r="J5790" i="7" s="1"/>
  <c r="K5789" i="7"/>
  <c r="H5789" i="7"/>
  <c r="J5789" i="7" s="1"/>
  <c r="K5788" i="7"/>
  <c r="H5788" i="7"/>
  <c r="J5788" i="7" s="1"/>
  <c r="K5787" i="7"/>
  <c r="H5787" i="7"/>
  <c r="J5787" i="7" s="1"/>
  <c r="K5786" i="7"/>
  <c r="H5786" i="7"/>
  <c r="J5786" i="7" s="1"/>
  <c r="K5785" i="7"/>
  <c r="H5785" i="7"/>
  <c r="J5785" i="7" s="1"/>
  <c r="K5784" i="7"/>
  <c r="H5784" i="7"/>
  <c r="J5784" i="7" s="1"/>
  <c r="K5783" i="7"/>
  <c r="H5783" i="7"/>
  <c r="J5783" i="7" s="1"/>
  <c r="K5782" i="7"/>
  <c r="H5782" i="7"/>
  <c r="J5782" i="7" s="1"/>
  <c r="K5781" i="7"/>
  <c r="H5781" i="7"/>
  <c r="J5781" i="7" s="1"/>
  <c r="K5780" i="7"/>
  <c r="H5780" i="7"/>
  <c r="J5780" i="7" s="1"/>
  <c r="K5779" i="7"/>
  <c r="H5779" i="7"/>
  <c r="J5779" i="7" s="1"/>
  <c r="K5778" i="7"/>
  <c r="H5778" i="7"/>
  <c r="J5778" i="7" s="1"/>
  <c r="K5777" i="7"/>
  <c r="H5777" i="7"/>
  <c r="J5777" i="7" s="1"/>
  <c r="K5776" i="7"/>
  <c r="H5776" i="7"/>
  <c r="J5776" i="7" s="1"/>
  <c r="K5775" i="7"/>
  <c r="H5775" i="7"/>
  <c r="J5775" i="7" s="1"/>
  <c r="K5774" i="7"/>
  <c r="H5774" i="7"/>
  <c r="J5774" i="7" s="1"/>
  <c r="K5773" i="7"/>
  <c r="H5773" i="7"/>
  <c r="J5773" i="7" s="1"/>
  <c r="K5772" i="7"/>
  <c r="H5772" i="7"/>
  <c r="J5772" i="7" s="1"/>
  <c r="K5771" i="7"/>
  <c r="H5771" i="7"/>
  <c r="J5771" i="7" s="1"/>
  <c r="K5770" i="7"/>
  <c r="H5770" i="7"/>
  <c r="J5770" i="7" s="1"/>
  <c r="K5769" i="7"/>
  <c r="H5769" i="7"/>
  <c r="J5769" i="7" s="1"/>
  <c r="K5768" i="7"/>
  <c r="H5768" i="7"/>
  <c r="J5768" i="7" s="1"/>
  <c r="K5767" i="7"/>
  <c r="H5767" i="7"/>
  <c r="J5767" i="7" s="1"/>
  <c r="K5766" i="7"/>
  <c r="H5766" i="7"/>
  <c r="J5766" i="7" s="1"/>
  <c r="K5765" i="7"/>
  <c r="H5765" i="7"/>
  <c r="J5765" i="7" s="1"/>
  <c r="K5764" i="7"/>
  <c r="H5764" i="7"/>
  <c r="J5764" i="7" s="1"/>
  <c r="K5763" i="7"/>
  <c r="H5763" i="7"/>
  <c r="J5763" i="7" s="1"/>
  <c r="K5762" i="7"/>
  <c r="H5762" i="7"/>
  <c r="J5762" i="7" s="1"/>
  <c r="K5761" i="7"/>
  <c r="H5761" i="7"/>
  <c r="J5761" i="7" s="1"/>
  <c r="K5760" i="7"/>
  <c r="H5760" i="7"/>
  <c r="J5760" i="7" s="1"/>
  <c r="K5759" i="7"/>
  <c r="H5759" i="7"/>
  <c r="J5759" i="7" s="1"/>
  <c r="K5758" i="7"/>
  <c r="H5758" i="7"/>
  <c r="J5758" i="7" s="1"/>
  <c r="K5757" i="7"/>
  <c r="H5757" i="7"/>
  <c r="J5757" i="7" s="1"/>
  <c r="K5756" i="7"/>
  <c r="H5756" i="7"/>
  <c r="J5756" i="7" s="1"/>
  <c r="K5755" i="7"/>
  <c r="H5755" i="7"/>
  <c r="J5755" i="7" s="1"/>
  <c r="K5754" i="7"/>
  <c r="H5754" i="7"/>
  <c r="J5754" i="7" s="1"/>
  <c r="K5753" i="7"/>
  <c r="H5753" i="7"/>
  <c r="J5753" i="7" s="1"/>
  <c r="K5752" i="7"/>
  <c r="H5752" i="7"/>
  <c r="J5752" i="7" s="1"/>
  <c r="K5751" i="7"/>
  <c r="H5751" i="7"/>
  <c r="J5751" i="7" s="1"/>
  <c r="K5750" i="7"/>
  <c r="H5750" i="7"/>
  <c r="J5750" i="7" s="1"/>
  <c r="K5749" i="7"/>
  <c r="H5749" i="7"/>
  <c r="J5749" i="7" s="1"/>
  <c r="K5748" i="7"/>
  <c r="H5748" i="7"/>
  <c r="J5748" i="7" s="1"/>
  <c r="K5747" i="7"/>
  <c r="H5747" i="7"/>
  <c r="J5747" i="7" s="1"/>
  <c r="K5746" i="7"/>
  <c r="H5746" i="7"/>
  <c r="J5746" i="7" s="1"/>
  <c r="K5745" i="7"/>
  <c r="H5745" i="7"/>
  <c r="J5745" i="7" s="1"/>
  <c r="K5744" i="7"/>
  <c r="H5744" i="7"/>
  <c r="J5744" i="7" s="1"/>
  <c r="K5743" i="7"/>
  <c r="H5743" i="7"/>
  <c r="J5743" i="7" s="1"/>
  <c r="K5742" i="7"/>
  <c r="H5742" i="7"/>
  <c r="J5742" i="7" s="1"/>
  <c r="K5741" i="7"/>
  <c r="H5741" i="7"/>
  <c r="J5741" i="7" s="1"/>
  <c r="K5740" i="7"/>
  <c r="H5740" i="7"/>
  <c r="J5740" i="7" s="1"/>
  <c r="K5739" i="7"/>
  <c r="H5739" i="7"/>
  <c r="J5739" i="7" s="1"/>
  <c r="K5738" i="7"/>
  <c r="H5738" i="7"/>
  <c r="J5738" i="7" s="1"/>
  <c r="K5737" i="7"/>
  <c r="H5737" i="7"/>
  <c r="J5737" i="7" s="1"/>
  <c r="K5736" i="7"/>
  <c r="H5736" i="7"/>
  <c r="J5736" i="7" s="1"/>
  <c r="K5735" i="7"/>
  <c r="H5735" i="7"/>
  <c r="J5735" i="7" s="1"/>
  <c r="K5734" i="7"/>
  <c r="H5734" i="7"/>
  <c r="J5734" i="7" s="1"/>
  <c r="K5733" i="7"/>
  <c r="H5733" i="7"/>
  <c r="J5733" i="7" s="1"/>
  <c r="K5732" i="7"/>
  <c r="H5732" i="7"/>
  <c r="J5732" i="7" s="1"/>
  <c r="K5731" i="7"/>
  <c r="H5731" i="7"/>
  <c r="J5731" i="7" s="1"/>
  <c r="K5730" i="7"/>
  <c r="H5730" i="7"/>
  <c r="J5730" i="7" s="1"/>
  <c r="K5729" i="7"/>
  <c r="H5729" i="7"/>
  <c r="J5729" i="7" s="1"/>
  <c r="K5728" i="7"/>
  <c r="H5728" i="7"/>
  <c r="J5728" i="7" s="1"/>
  <c r="K5727" i="7"/>
  <c r="H5727" i="7"/>
  <c r="J5727" i="7" s="1"/>
  <c r="K5726" i="7"/>
  <c r="H5726" i="7"/>
  <c r="J5726" i="7" s="1"/>
  <c r="K5725" i="7"/>
  <c r="H5725" i="7"/>
  <c r="J5725" i="7" s="1"/>
  <c r="K5724" i="7"/>
  <c r="H5724" i="7"/>
  <c r="J5724" i="7" s="1"/>
  <c r="K5723" i="7"/>
  <c r="H5723" i="7"/>
  <c r="J5723" i="7" s="1"/>
  <c r="K5722" i="7"/>
  <c r="H5722" i="7"/>
  <c r="J5722" i="7" s="1"/>
  <c r="K5721" i="7"/>
  <c r="H5721" i="7"/>
  <c r="J5721" i="7" s="1"/>
  <c r="K5720" i="7"/>
  <c r="H5720" i="7"/>
  <c r="J5720" i="7" s="1"/>
  <c r="K5719" i="7"/>
  <c r="H5719" i="7"/>
  <c r="J5719" i="7" s="1"/>
  <c r="K5718" i="7"/>
  <c r="H5718" i="7"/>
  <c r="J5718" i="7" s="1"/>
  <c r="K5717" i="7"/>
  <c r="H5717" i="7"/>
  <c r="J5717" i="7" s="1"/>
  <c r="K5716" i="7"/>
  <c r="H5716" i="7"/>
  <c r="J5716" i="7" s="1"/>
  <c r="K5715" i="7"/>
  <c r="H5715" i="7"/>
  <c r="J5715" i="7" s="1"/>
  <c r="K5714" i="7"/>
  <c r="H5714" i="7"/>
  <c r="J5714" i="7" s="1"/>
  <c r="K5713" i="7"/>
  <c r="H5713" i="7"/>
  <c r="J5713" i="7" s="1"/>
  <c r="K5712" i="7"/>
  <c r="H5712" i="7"/>
  <c r="J5712" i="7" s="1"/>
  <c r="K5711" i="7"/>
  <c r="H5711" i="7"/>
  <c r="J5711" i="7" s="1"/>
  <c r="K5710" i="7"/>
  <c r="H5710" i="7"/>
  <c r="J5710" i="7" s="1"/>
  <c r="K5709" i="7"/>
  <c r="H5709" i="7"/>
  <c r="J5709" i="7" s="1"/>
  <c r="K5708" i="7"/>
  <c r="H5708" i="7"/>
  <c r="J5708" i="7" s="1"/>
  <c r="K5707" i="7"/>
  <c r="H5707" i="7"/>
  <c r="J5707" i="7" s="1"/>
  <c r="K5706" i="7"/>
  <c r="H5706" i="7"/>
  <c r="J5706" i="7" s="1"/>
  <c r="K5705" i="7"/>
  <c r="H5705" i="7"/>
  <c r="J5705" i="7" s="1"/>
  <c r="K5704" i="7"/>
  <c r="H5704" i="7"/>
  <c r="J5704" i="7" s="1"/>
  <c r="K5703" i="7"/>
  <c r="H5703" i="7"/>
  <c r="J5703" i="7" s="1"/>
  <c r="K5702" i="7"/>
  <c r="H5702" i="7"/>
  <c r="J5702" i="7" s="1"/>
  <c r="K5701" i="7"/>
  <c r="H5701" i="7"/>
  <c r="J5701" i="7" s="1"/>
  <c r="K5700" i="7"/>
  <c r="H5700" i="7"/>
  <c r="J5700" i="7" s="1"/>
  <c r="K5699" i="7"/>
  <c r="H5699" i="7"/>
  <c r="J5699" i="7" s="1"/>
  <c r="K5698" i="7"/>
  <c r="H5698" i="7"/>
  <c r="J5698" i="7" s="1"/>
  <c r="K5697" i="7"/>
  <c r="H5697" i="7"/>
  <c r="J5697" i="7" s="1"/>
  <c r="K5696" i="7"/>
  <c r="H5696" i="7"/>
  <c r="J5696" i="7" s="1"/>
  <c r="K5695" i="7"/>
  <c r="H5695" i="7"/>
  <c r="J5695" i="7" s="1"/>
  <c r="K5694" i="7"/>
  <c r="H5694" i="7"/>
  <c r="J5694" i="7" s="1"/>
  <c r="K5693" i="7"/>
  <c r="H5693" i="7"/>
  <c r="J5693" i="7" s="1"/>
  <c r="K5692" i="7"/>
  <c r="H5692" i="7"/>
  <c r="J5692" i="7" s="1"/>
  <c r="K5691" i="7"/>
  <c r="H5691" i="7"/>
  <c r="J5691" i="7" s="1"/>
  <c r="K5690" i="7"/>
  <c r="H5690" i="7"/>
  <c r="J5690" i="7" s="1"/>
  <c r="K5689" i="7"/>
  <c r="H5689" i="7"/>
  <c r="J5689" i="7" s="1"/>
  <c r="K5688" i="7"/>
  <c r="H5688" i="7"/>
  <c r="J5688" i="7" s="1"/>
  <c r="K5687" i="7"/>
  <c r="H5687" i="7"/>
  <c r="J5687" i="7" s="1"/>
  <c r="K5686" i="7"/>
  <c r="H5686" i="7"/>
  <c r="J5686" i="7" s="1"/>
  <c r="K5685" i="7"/>
  <c r="H5685" i="7"/>
  <c r="J5685" i="7" s="1"/>
  <c r="K5684" i="7"/>
  <c r="H5684" i="7"/>
  <c r="J5684" i="7" s="1"/>
  <c r="K5683" i="7"/>
  <c r="H5683" i="7"/>
  <c r="J5683" i="7" s="1"/>
  <c r="K5682" i="7"/>
  <c r="H5682" i="7"/>
  <c r="J5682" i="7" s="1"/>
  <c r="K5681" i="7"/>
  <c r="H5681" i="7"/>
  <c r="J5681" i="7" s="1"/>
  <c r="K5680" i="7"/>
  <c r="H5680" i="7"/>
  <c r="J5680" i="7" s="1"/>
  <c r="K5679" i="7"/>
  <c r="H5679" i="7"/>
  <c r="J5679" i="7" s="1"/>
  <c r="K5678" i="7"/>
  <c r="H5678" i="7"/>
  <c r="J5678" i="7" s="1"/>
  <c r="K5677" i="7"/>
  <c r="H5677" i="7"/>
  <c r="J5677" i="7" s="1"/>
  <c r="K5676" i="7"/>
  <c r="H5676" i="7"/>
  <c r="J5676" i="7" s="1"/>
  <c r="K5675" i="7"/>
  <c r="H5675" i="7"/>
  <c r="J5675" i="7" s="1"/>
  <c r="K5674" i="7"/>
  <c r="H5674" i="7"/>
  <c r="J5674" i="7" s="1"/>
  <c r="K5673" i="7"/>
  <c r="H5673" i="7"/>
  <c r="J5673" i="7" s="1"/>
  <c r="K5672" i="7"/>
  <c r="H5672" i="7"/>
  <c r="J5672" i="7" s="1"/>
  <c r="K5671" i="7"/>
  <c r="H5671" i="7"/>
  <c r="J5671" i="7" s="1"/>
  <c r="K5670" i="7"/>
  <c r="H5670" i="7"/>
  <c r="J5670" i="7" s="1"/>
  <c r="K5669" i="7"/>
  <c r="H5669" i="7"/>
  <c r="J5669" i="7" s="1"/>
  <c r="K5668" i="7"/>
  <c r="H5668" i="7"/>
  <c r="J5668" i="7" s="1"/>
  <c r="K5667" i="7"/>
  <c r="H5667" i="7"/>
  <c r="J5667" i="7" s="1"/>
  <c r="K5666" i="7"/>
  <c r="H5666" i="7"/>
  <c r="J5666" i="7" s="1"/>
  <c r="K5665" i="7"/>
  <c r="H5665" i="7"/>
  <c r="J5665" i="7" s="1"/>
  <c r="K5664" i="7"/>
  <c r="H5664" i="7"/>
  <c r="J5664" i="7" s="1"/>
  <c r="K5663" i="7"/>
  <c r="H5663" i="7"/>
  <c r="J5663" i="7" s="1"/>
  <c r="K5662" i="7"/>
  <c r="H5662" i="7"/>
  <c r="J5662" i="7" s="1"/>
  <c r="K5661" i="7"/>
  <c r="H5661" i="7"/>
  <c r="J5661" i="7" s="1"/>
  <c r="K5660" i="7"/>
  <c r="H5660" i="7"/>
  <c r="J5660" i="7" s="1"/>
  <c r="K5659" i="7"/>
  <c r="H5659" i="7"/>
  <c r="J5659" i="7" s="1"/>
  <c r="K5658" i="7"/>
  <c r="H5658" i="7"/>
  <c r="J5658" i="7" s="1"/>
  <c r="K5657" i="7"/>
  <c r="H5657" i="7"/>
  <c r="J5657" i="7" s="1"/>
  <c r="K5656" i="7"/>
  <c r="H5656" i="7"/>
  <c r="J5656" i="7" s="1"/>
  <c r="K5655" i="7"/>
  <c r="H5655" i="7"/>
  <c r="J5655" i="7" s="1"/>
  <c r="K5654" i="7"/>
  <c r="H5654" i="7"/>
  <c r="J5654" i="7" s="1"/>
  <c r="K5653" i="7"/>
  <c r="H5653" i="7"/>
  <c r="J5653" i="7" s="1"/>
  <c r="K5652" i="7"/>
  <c r="H5652" i="7"/>
  <c r="J5652" i="7" s="1"/>
  <c r="K5651" i="7"/>
  <c r="H5651" i="7"/>
  <c r="J5651" i="7" s="1"/>
  <c r="K5650" i="7"/>
  <c r="H5650" i="7"/>
  <c r="J5650" i="7" s="1"/>
  <c r="K5649" i="7"/>
  <c r="H5649" i="7"/>
  <c r="J5649" i="7" s="1"/>
  <c r="K5648" i="7"/>
  <c r="H5648" i="7"/>
  <c r="J5648" i="7" s="1"/>
  <c r="K5647" i="7"/>
  <c r="H5647" i="7"/>
  <c r="J5647" i="7" s="1"/>
  <c r="K5646" i="7"/>
  <c r="H5646" i="7"/>
  <c r="J5646" i="7" s="1"/>
  <c r="K5645" i="7"/>
  <c r="H5645" i="7"/>
  <c r="J5645" i="7" s="1"/>
  <c r="K5644" i="7"/>
  <c r="H5644" i="7"/>
  <c r="J5644" i="7" s="1"/>
  <c r="K5643" i="7"/>
  <c r="H5643" i="7"/>
  <c r="J5643" i="7" s="1"/>
  <c r="K5642" i="7"/>
  <c r="H5642" i="7"/>
  <c r="J5642" i="7" s="1"/>
  <c r="K5641" i="7"/>
  <c r="H5641" i="7"/>
  <c r="J5641" i="7" s="1"/>
  <c r="K5640" i="7"/>
  <c r="H5640" i="7"/>
  <c r="J5640" i="7" s="1"/>
  <c r="K5639" i="7"/>
  <c r="H5639" i="7"/>
  <c r="J5639" i="7" s="1"/>
  <c r="K5638" i="7"/>
  <c r="H5638" i="7"/>
  <c r="J5638" i="7" s="1"/>
  <c r="K5637" i="7"/>
  <c r="H5637" i="7"/>
  <c r="J5637" i="7" s="1"/>
  <c r="K5636" i="7"/>
  <c r="H5636" i="7"/>
  <c r="J5636" i="7" s="1"/>
  <c r="K5635" i="7"/>
  <c r="H5635" i="7"/>
  <c r="J5635" i="7" s="1"/>
  <c r="K5634" i="7"/>
  <c r="H5634" i="7"/>
  <c r="J5634" i="7" s="1"/>
  <c r="K5633" i="7"/>
  <c r="H5633" i="7"/>
  <c r="J5633" i="7" s="1"/>
  <c r="K5632" i="7"/>
  <c r="H5632" i="7"/>
  <c r="J5632" i="7" s="1"/>
  <c r="K5631" i="7"/>
  <c r="H5631" i="7"/>
  <c r="J5631" i="7" s="1"/>
  <c r="K5630" i="7"/>
  <c r="H5630" i="7"/>
  <c r="J5630" i="7" s="1"/>
  <c r="K5629" i="7"/>
  <c r="H5629" i="7"/>
  <c r="J5629" i="7" s="1"/>
  <c r="K5628" i="7"/>
  <c r="H5628" i="7"/>
  <c r="J5628" i="7" s="1"/>
  <c r="K5627" i="7"/>
  <c r="H5627" i="7"/>
  <c r="J5627" i="7" s="1"/>
  <c r="K5626" i="7"/>
  <c r="H5626" i="7"/>
  <c r="J5626" i="7" s="1"/>
  <c r="K5625" i="7"/>
  <c r="H5625" i="7"/>
  <c r="J5625" i="7" s="1"/>
  <c r="K5624" i="7"/>
  <c r="H5624" i="7"/>
  <c r="J5624" i="7" s="1"/>
  <c r="K5623" i="7"/>
  <c r="H5623" i="7"/>
  <c r="J5623" i="7" s="1"/>
  <c r="K5622" i="7"/>
  <c r="H5622" i="7"/>
  <c r="J5622" i="7" s="1"/>
  <c r="K5621" i="7"/>
  <c r="H5621" i="7"/>
  <c r="J5621" i="7" s="1"/>
  <c r="K5620" i="7"/>
  <c r="H5620" i="7"/>
  <c r="J5620" i="7" s="1"/>
  <c r="K5619" i="7"/>
  <c r="H5619" i="7"/>
  <c r="J5619" i="7" s="1"/>
  <c r="K5618" i="7"/>
  <c r="H5618" i="7"/>
  <c r="J5618" i="7" s="1"/>
  <c r="K5617" i="7"/>
  <c r="H5617" i="7"/>
  <c r="J5617" i="7" s="1"/>
  <c r="K5616" i="7"/>
  <c r="H5616" i="7"/>
  <c r="J5616" i="7" s="1"/>
  <c r="K5615" i="7"/>
  <c r="H5615" i="7"/>
  <c r="J5615" i="7" s="1"/>
  <c r="K5614" i="7"/>
  <c r="H5614" i="7"/>
  <c r="J5614" i="7" s="1"/>
  <c r="K5613" i="7"/>
  <c r="H5613" i="7"/>
  <c r="J5613" i="7" s="1"/>
  <c r="K5612" i="7"/>
  <c r="H5612" i="7"/>
  <c r="J5612" i="7" s="1"/>
  <c r="K5611" i="7"/>
  <c r="H5611" i="7"/>
  <c r="J5611" i="7" s="1"/>
  <c r="K5610" i="7"/>
  <c r="H5610" i="7"/>
  <c r="J5610" i="7" s="1"/>
  <c r="K5609" i="7"/>
  <c r="H5609" i="7"/>
  <c r="J5609" i="7" s="1"/>
  <c r="K5608" i="7"/>
  <c r="H5608" i="7"/>
  <c r="J5608" i="7" s="1"/>
  <c r="K5607" i="7"/>
  <c r="H5607" i="7"/>
  <c r="J5607" i="7" s="1"/>
  <c r="K5606" i="7"/>
  <c r="H5606" i="7"/>
  <c r="J5606" i="7" s="1"/>
  <c r="K5605" i="7"/>
  <c r="H5605" i="7"/>
  <c r="J5605" i="7" s="1"/>
  <c r="K5604" i="7"/>
  <c r="H5604" i="7"/>
  <c r="J5604" i="7" s="1"/>
  <c r="K5603" i="7"/>
  <c r="H5603" i="7"/>
  <c r="J5603" i="7" s="1"/>
  <c r="K5602" i="7"/>
  <c r="H5602" i="7"/>
  <c r="J5602" i="7" s="1"/>
  <c r="K5601" i="7"/>
  <c r="H5601" i="7"/>
  <c r="J5601" i="7" s="1"/>
  <c r="K5600" i="7"/>
  <c r="H5600" i="7"/>
  <c r="J5600" i="7" s="1"/>
  <c r="K5599" i="7"/>
  <c r="H5599" i="7"/>
  <c r="J5599" i="7" s="1"/>
  <c r="K5598" i="7"/>
  <c r="H5598" i="7"/>
  <c r="J5598" i="7" s="1"/>
  <c r="K5597" i="7"/>
  <c r="H5597" i="7"/>
  <c r="J5597" i="7" s="1"/>
  <c r="K5596" i="7"/>
  <c r="H5596" i="7"/>
  <c r="J5596" i="7" s="1"/>
  <c r="K5595" i="7"/>
  <c r="H5595" i="7"/>
  <c r="J5595" i="7" s="1"/>
  <c r="K5594" i="7"/>
  <c r="H5594" i="7"/>
  <c r="J5594" i="7" s="1"/>
  <c r="K5593" i="7"/>
  <c r="H5593" i="7"/>
  <c r="J5593" i="7" s="1"/>
  <c r="K5592" i="7"/>
  <c r="H5592" i="7"/>
  <c r="J5592" i="7" s="1"/>
  <c r="K5591" i="7"/>
  <c r="H5591" i="7"/>
  <c r="J5591" i="7" s="1"/>
  <c r="K5590" i="7"/>
  <c r="H5590" i="7"/>
  <c r="J5590" i="7" s="1"/>
  <c r="K5589" i="7"/>
  <c r="H5589" i="7"/>
  <c r="J5589" i="7" s="1"/>
  <c r="K5588" i="7"/>
  <c r="H5588" i="7"/>
  <c r="J5588" i="7" s="1"/>
  <c r="K5587" i="7"/>
  <c r="H5587" i="7"/>
  <c r="J5587" i="7" s="1"/>
  <c r="K5586" i="7"/>
  <c r="H5586" i="7"/>
  <c r="J5586" i="7" s="1"/>
  <c r="K5585" i="7"/>
  <c r="H5585" i="7"/>
  <c r="J5585" i="7" s="1"/>
  <c r="K5584" i="7"/>
  <c r="H5584" i="7"/>
  <c r="J5584" i="7" s="1"/>
  <c r="K5583" i="7"/>
  <c r="H5583" i="7"/>
  <c r="J5583" i="7" s="1"/>
  <c r="K5582" i="7"/>
  <c r="H5582" i="7"/>
  <c r="J5582" i="7" s="1"/>
  <c r="K5581" i="7"/>
  <c r="H5581" i="7"/>
  <c r="J5581" i="7" s="1"/>
  <c r="K5580" i="7"/>
  <c r="H5580" i="7"/>
  <c r="J5580" i="7" s="1"/>
  <c r="K5579" i="7"/>
  <c r="H5579" i="7"/>
  <c r="J5579" i="7" s="1"/>
  <c r="K5578" i="7"/>
  <c r="H5578" i="7"/>
  <c r="J5578" i="7" s="1"/>
  <c r="K5577" i="7"/>
  <c r="H5577" i="7"/>
  <c r="J5577" i="7" s="1"/>
  <c r="K5576" i="7"/>
  <c r="H5576" i="7"/>
  <c r="J5576" i="7" s="1"/>
  <c r="K5575" i="7"/>
  <c r="H5575" i="7"/>
  <c r="J5575" i="7" s="1"/>
  <c r="K5574" i="7"/>
  <c r="H5574" i="7"/>
  <c r="J5574" i="7" s="1"/>
  <c r="K5573" i="7"/>
  <c r="H5573" i="7"/>
  <c r="J5573" i="7" s="1"/>
  <c r="K5572" i="7"/>
  <c r="H5572" i="7"/>
  <c r="J5572" i="7" s="1"/>
  <c r="K5571" i="7"/>
  <c r="H5571" i="7"/>
  <c r="J5571" i="7" s="1"/>
  <c r="K5570" i="7"/>
  <c r="H5570" i="7"/>
  <c r="J5570" i="7" s="1"/>
  <c r="K5569" i="7"/>
  <c r="H5569" i="7"/>
  <c r="J5569" i="7" s="1"/>
  <c r="K5568" i="7"/>
  <c r="H5568" i="7"/>
  <c r="J5568" i="7" s="1"/>
  <c r="K5567" i="7"/>
  <c r="H5567" i="7"/>
  <c r="J5567" i="7" s="1"/>
  <c r="K5566" i="7"/>
  <c r="H5566" i="7"/>
  <c r="J5566" i="7" s="1"/>
  <c r="K5565" i="7"/>
  <c r="H5565" i="7"/>
  <c r="J5565" i="7" s="1"/>
  <c r="K5564" i="7"/>
  <c r="H5564" i="7"/>
  <c r="J5564" i="7" s="1"/>
  <c r="K5563" i="7"/>
  <c r="H5563" i="7"/>
  <c r="J5563" i="7" s="1"/>
  <c r="K5562" i="7"/>
  <c r="H5562" i="7"/>
  <c r="J5562" i="7" s="1"/>
  <c r="K5561" i="7"/>
  <c r="H5561" i="7"/>
  <c r="J5561" i="7" s="1"/>
  <c r="K5560" i="7"/>
  <c r="H5560" i="7"/>
  <c r="J5560" i="7" s="1"/>
  <c r="K5559" i="7"/>
  <c r="H5559" i="7"/>
  <c r="J5559" i="7" s="1"/>
  <c r="K5558" i="7"/>
  <c r="H5558" i="7"/>
  <c r="J5558" i="7" s="1"/>
  <c r="K5557" i="7"/>
  <c r="H5557" i="7"/>
  <c r="J5557" i="7" s="1"/>
  <c r="K5556" i="7"/>
  <c r="H5556" i="7"/>
  <c r="J5556" i="7" s="1"/>
  <c r="K5555" i="7"/>
  <c r="H5555" i="7"/>
  <c r="J5555" i="7" s="1"/>
  <c r="K5554" i="7"/>
  <c r="H5554" i="7"/>
  <c r="J5554" i="7" s="1"/>
  <c r="K5553" i="7"/>
  <c r="H5553" i="7"/>
  <c r="J5553" i="7" s="1"/>
  <c r="K5552" i="7"/>
  <c r="H5552" i="7"/>
  <c r="J5552" i="7" s="1"/>
  <c r="K5551" i="7"/>
  <c r="H5551" i="7"/>
  <c r="J5551" i="7" s="1"/>
  <c r="K5550" i="7"/>
  <c r="H5550" i="7"/>
  <c r="J5550" i="7" s="1"/>
  <c r="K5549" i="7"/>
  <c r="H5549" i="7"/>
  <c r="J5549" i="7" s="1"/>
  <c r="K5548" i="7"/>
  <c r="H5548" i="7"/>
  <c r="J5548" i="7" s="1"/>
  <c r="K5547" i="7"/>
  <c r="H5547" i="7"/>
  <c r="J5547" i="7" s="1"/>
  <c r="K5546" i="7"/>
  <c r="H5546" i="7"/>
  <c r="J5546" i="7" s="1"/>
  <c r="K5545" i="7"/>
  <c r="H5545" i="7"/>
  <c r="J5545" i="7" s="1"/>
  <c r="K5544" i="7"/>
  <c r="H5544" i="7"/>
  <c r="J5544" i="7" s="1"/>
  <c r="K5543" i="7"/>
  <c r="H5543" i="7"/>
  <c r="J5543" i="7" s="1"/>
  <c r="K5542" i="7"/>
  <c r="H5542" i="7"/>
  <c r="J5542" i="7" s="1"/>
  <c r="K5541" i="7"/>
  <c r="H5541" i="7"/>
  <c r="J5541" i="7" s="1"/>
  <c r="K5540" i="7"/>
  <c r="H5540" i="7"/>
  <c r="J5540" i="7" s="1"/>
  <c r="K5539" i="7"/>
  <c r="H5539" i="7"/>
  <c r="J5539" i="7" s="1"/>
  <c r="K5538" i="7"/>
  <c r="H5538" i="7"/>
  <c r="J5538" i="7" s="1"/>
  <c r="K5537" i="7"/>
  <c r="H5537" i="7"/>
  <c r="J5537" i="7" s="1"/>
  <c r="K5536" i="7"/>
  <c r="H5536" i="7"/>
  <c r="J5536" i="7" s="1"/>
  <c r="K5535" i="7"/>
  <c r="H5535" i="7"/>
  <c r="J5535" i="7" s="1"/>
  <c r="K5534" i="7"/>
  <c r="H5534" i="7"/>
  <c r="J5534" i="7" s="1"/>
  <c r="K5533" i="7"/>
  <c r="H5533" i="7"/>
  <c r="J5533" i="7" s="1"/>
  <c r="K5532" i="7"/>
  <c r="H5532" i="7"/>
  <c r="J5532" i="7" s="1"/>
  <c r="K5531" i="7"/>
  <c r="H5531" i="7"/>
  <c r="J5531" i="7" s="1"/>
  <c r="K5530" i="7"/>
  <c r="H5530" i="7"/>
  <c r="J5530" i="7" s="1"/>
  <c r="K5529" i="7"/>
  <c r="H5529" i="7"/>
  <c r="J5529" i="7" s="1"/>
  <c r="K5528" i="7"/>
  <c r="H5528" i="7"/>
  <c r="J5528" i="7" s="1"/>
  <c r="K5527" i="7"/>
  <c r="H5527" i="7"/>
  <c r="J5527" i="7" s="1"/>
  <c r="K5526" i="7"/>
  <c r="H5526" i="7"/>
  <c r="J5526" i="7" s="1"/>
  <c r="K5525" i="7"/>
  <c r="H5525" i="7"/>
  <c r="J5525" i="7" s="1"/>
  <c r="K5524" i="7"/>
  <c r="H5524" i="7"/>
  <c r="J5524" i="7" s="1"/>
  <c r="K5523" i="7"/>
  <c r="H5523" i="7"/>
  <c r="J5523" i="7" s="1"/>
  <c r="K5522" i="7"/>
  <c r="H5522" i="7"/>
  <c r="J5522" i="7" s="1"/>
  <c r="K5521" i="7"/>
  <c r="H5521" i="7"/>
  <c r="J5521" i="7" s="1"/>
  <c r="K5520" i="7"/>
  <c r="H5520" i="7"/>
  <c r="J5520" i="7" s="1"/>
  <c r="K5519" i="7"/>
  <c r="H5519" i="7"/>
  <c r="J5519" i="7" s="1"/>
  <c r="K5518" i="7"/>
  <c r="H5518" i="7"/>
  <c r="J5518" i="7" s="1"/>
  <c r="K5517" i="7"/>
  <c r="H5517" i="7"/>
  <c r="J5517" i="7" s="1"/>
  <c r="K5516" i="7"/>
  <c r="H5516" i="7"/>
  <c r="J5516" i="7" s="1"/>
  <c r="K5515" i="7"/>
  <c r="H5515" i="7"/>
  <c r="J5515" i="7" s="1"/>
  <c r="K5514" i="7"/>
  <c r="H5514" i="7"/>
  <c r="J5514" i="7" s="1"/>
  <c r="K5513" i="7"/>
  <c r="H5513" i="7"/>
  <c r="J5513" i="7" s="1"/>
  <c r="K5512" i="7"/>
  <c r="H5512" i="7"/>
  <c r="J5512" i="7" s="1"/>
  <c r="K5511" i="7"/>
  <c r="H5511" i="7"/>
  <c r="J5511" i="7" s="1"/>
  <c r="K5510" i="7"/>
  <c r="H5510" i="7"/>
  <c r="J5510" i="7" s="1"/>
  <c r="K5509" i="7"/>
  <c r="H5509" i="7"/>
  <c r="J5509" i="7" s="1"/>
  <c r="K5508" i="7"/>
  <c r="H5508" i="7"/>
  <c r="J5508" i="7" s="1"/>
  <c r="K5507" i="7"/>
  <c r="H5507" i="7"/>
  <c r="J5507" i="7" s="1"/>
  <c r="K5506" i="7"/>
  <c r="H5506" i="7"/>
  <c r="J5506" i="7" s="1"/>
  <c r="K5505" i="7"/>
  <c r="H5505" i="7"/>
  <c r="J5505" i="7" s="1"/>
  <c r="K5504" i="7"/>
  <c r="H5504" i="7"/>
  <c r="J5504" i="7" s="1"/>
  <c r="K5503" i="7"/>
  <c r="H5503" i="7"/>
  <c r="J5503" i="7" s="1"/>
  <c r="K5502" i="7"/>
  <c r="H5502" i="7"/>
  <c r="J5502" i="7" s="1"/>
  <c r="K5501" i="7"/>
  <c r="H5501" i="7"/>
  <c r="J5501" i="7" s="1"/>
  <c r="K5500" i="7"/>
  <c r="H5500" i="7"/>
  <c r="J5500" i="7" s="1"/>
  <c r="K5499" i="7"/>
  <c r="H5499" i="7"/>
  <c r="J5499" i="7" s="1"/>
  <c r="K5498" i="7"/>
  <c r="H5498" i="7"/>
  <c r="J5498" i="7" s="1"/>
  <c r="K5497" i="7"/>
  <c r="H5497" i="7"/>
  <c r="J5497" i="7" s="1"/>
  <c r="K5496" i="7"/>
  <c r="H5496" i="7"/>
  <c r="J5496" i="7" s="1"/>
  <c r="K5495" i="7"/>
  <c r="H5495" i="7"/>
  <c r="J5495" i="7" s="1"/>
  <c r="K5494" i="7"/>
  <c r="H5494" i="7"/>
  <c r="J5494" i="7" s="1"/>
  <c r="K5493" i="7"/>
  <c r="H5493" i="7"/>
  <c r="J5493" i="7" s="1"/>
  <c r="K5492" i="7"/>
  <c r="H5492" i="7"/>
  <c r="J5492" i="7" s="1"/>
  <c r="K5491" i="7"/>
  <c r="H5491" i="7"/>
  <c r="J5491" i="7" s="1"/>
  <c r="K5490" i="7"/>
  <c r="H5490" i="7"/>
  <c r="J5490" i="7" s="1"/>
  <c r="K5489" i="7"/>
  <c r="H5489" i="7"/>
  <c r="J5489" i="7" s="1"/>
  <c r="K5488" i="7"/>
  <c r="H5488" i="7"/>
  <c r="J5488" i="7" s="1"/>
  <c r="K5487" i="7"/>
  <c r="H5487" i="7"/>
  <c r="J5487" i="7" s="1"/>
  <c r="K5486" i="7"/>
  <c r="H5486" i="7"/>
  <c r="J5486" i="7" s="1"/>
  <c r="K5485" i="7"/>
  <c r="H5485" i="7"/>
  <c r="J5485" i="7" s="1"/>
  <c r="K5484" i="7"/>
  <c r="H5484" i="7"/>
  <c r="J5484" i="7" s="1"/>
  <c r="K5483" i="7"/>
  <c r="H5483" i="7"/>
  <c r="J5483" i="7" s="1"/>
  <c r="K5482" i="7"/>
  <c r="H5482" i="7"/>
  <c r="J5482" i="7" s="1"/>
  <c r="K5481" i="7"/>
  <c r="H5481" i="7"/>
  <c r="J5481" i="7" s="1"/>
  <c r="K5480" i="7"/>
  <c r="H5480" i="7"/>
  <c r="J5480" i="7" s="1"/>
  <c r="K5479" i="7"/>
  <c r="H5479" i="7"/>
  <c r="J5479" i="7" s="1"/>
  <c r="K5478" i="7"/>
  <c r="H5478" i="7"/>
  <c r="J5478" i="7" s="1"/>
  <c r="K5477" i="7"/>
  <c r="H5477" i="7"/>
  <c r="J5477" i="7" s="1"/>
  <c r="K5476" i="7"/>
  <c r="H5476" i="7"/>
  <c r="J5476" i="7" s="1"/>
  <c r="K5475" i="7"/>
  <c r="H5475" i="7"/>
  <c r="J5475" i="7" s="1"/>
  <c r="K5474" i="7"/>
  <c r="H5474" i="7"/>
  <c r="J5474" i="7" s="1"/>
  <c r="K5473" i="7"/>
  <c r="H5473" i="7"/>
  <c r="J5473" i="7" s="1"/>
  <c r="K5472" i="7"/>
  <c r="H5472" i="7"/>
  <c r="J5472" i="7" s="1"/>
  <c r="K5471" i="7"/>
  <c r="H5471" i="7"/>
  <c r="J5471" i="7" s="1"/>
  <c r="K5470" i="7"/>
  <c r="H5470" i="7"/>
  <c r="J5470" i="7" s="1"/>
  <c r="K5469" i="7"/>
  <c r="H5469" i="7"/>
  <c r="J5469" i="7" s="1"/>
  <c r="K5468" i="7"/>
  <c r="H5468" i="7"/>
  <c r="J5468" i="7" s="1"/>
  <c r="K5467" i="7"/>
  <c r="H5467" i="7"/>
  <c r="J5467" i="7" s="1"/>
  <c r="K5466" i="7"/>
  <c r="H5466" i="7"/>
  <c r="J5466" i="7" s="1"/>
  <c r="K5465" i="7"/>
  <c r="H5465" i="7"/>
  <c r="J5465" i="7" s="1"/>
  <c r="K5464" i="7"/>
  <c r="H5464" i="7"/>
  <c r="J5464" i="7" s="1"/>
  <c r="K5463" i="7"/>
  <c r="H5463" i="7"/>
  <c r="J5463" i="7" s="1"/>
  <c r="K5462" i="7"/>
  <c r="H5462" i="7"/>
  <c r="J5462" i="7" s="1"/>
  <c r="K5461" i="7"/>
  <c r="H5461" i="7"/>
  <c r="J5461" i="7" s="1"/>
  <c r="K5460" i="7"/>
  <c r="H5460" i="7"/>
  <c r="J5460" i="7" s="1"/>
  <c r="K5459" i="7"/>
  <c r="H5459" i="7"/>
  <c r="J5459" i="7" s="1"/>
  <c r="K5458" i="7"/>
  <c r="H5458" i="7"/>
  <c r="J5458" i="7" s="1"/>
  <c r="K5457" i="7"/>
  <c r="H5457" i="7"/>
  <c r="J5457" i="7" s="1"/>
  <c r="K5456" i="7"/>
  <c r="H5456" i="7"/>
  <c r="J5456" i="7" s="1"/>
  <c r="K5455" i="7"/>
  <c r="H5455" i="7"/>
  <c r="J5455" i="7" s="1"/>
  <c r="K5454" i="7"/>
  <c r="H5454" i="7"/>
  <c r="J5454" i="7" s="1"/>
  <c r="K5453" i="7"/>
  <c r="H5453" i="7"/>
  <c r="J5453" i="7" s="1"/>
  <c r="K5452" i="7"/>
  <c r="H5452" i="7"/>
  <c r="J5452" i="7" s="1"/>
  <c r="K5451" i="7"/>
  <c r="H5451" i="7"/>
  <c r="J5451" i="7" s="1"/>
  <c r="K5450" i="7"/>
  <c r="H5450" i="7"/>
  <c r="J5450" i="7" s="1"/>
  <c r="K5449" i="7"/>
  <c r="H5449" i="7"/>
  <c r="J5449" i="7" s="1"/>
  <c r="K5448" i="7"/>
  <c r="H5448" i="7"/>
  <c r="J5448" i="7" s="1"/>
  <c r="K5447" i="7"/>
  <c r="H5447" i="7"/>
  <c r="J5447" i="7" s="1"/>
  <c r="K5446" i="7"/>
  <c r="H5446" i="7"/>
  <c r="J5446" i="7" s="1"/>
  <c r="K5445" i="7"/>
  <c r="H5445" i="7"/>
  <c r="J5445" i="7" s="1"/>
  <c r="K5444" i="7"/>
  <c r="H5444" i="7"/>
  <c r="J5444" i="7" s="1"/>
  <c r="K5443" i="7"/>
  <c r="H5443" i="7"/>
  <c r="J5443" i="7" s="1"/>
  <c r="K5442" i="7"/>
  <c r="H5442" i="7"/>
  <c r="J5442" i="7" s="1"/>
  <c r="K5441" i="7"/>
  <c r="H5441" i="7"/>
  <c r="J5441" i="7" s="1"/>
  <c r="K5440" i="7"/>
  <c r="H5440" i="7"/>
  <c r="J5440" i="7" s="1"/>
  <c r="K5439" i="7"/>
  <c r="H5439" i="7"/>
  <c r="J5439" i="7" s="1"/>
  <c r="K5438" i="7"/>
  <c r="H5438" i="7"/>
  <c r="J5438" i="7" s="1"/>
  <c r="K5437" i="7"/>
  <c r="H5437" i="7"/>
  <c r="J5437" i="7" s="1"/>
  <c r="K5436" i="7"/>
  <c r="H5436" i="7"/>
  <c r="J5436" i="7" s="1"/>
  <c r="K5435" i="7"/>
  <c r="H5435" i="7"/>
  <c r="J5435" i="7" s="1"/>
  <c r="K5434" i="7"/>
  <c r="H5434" i="7"/>
  <c r="J5434" i="7" s="1"/>
  <c r="K5433" i="7"/>
  <c r="H5433" i="7"/>
  <c r="J5433" i="7" s="1"/>
  <c r="K5432" i="7"/>
  <c r="H5432" i="7"/>
  <c r="J5432" i="7" s="1"/>
  <c r="K5431" i="7"/>
  <c r="H5431" i="7"/>
  <c r="J5431" i="7" s="1"/>
  <c r="K5430" i="7"/>
  <c r="H5430" i="7"/>
  <c r="J5430" i="7" s="1"/>
  <c r="K5429" i="7"/>
  <c r="H5429" i="7"/>
  <c r="J5429" i="7" s="1"/>
  <c r="K5428" i="7"/>
  <c r="H5428" i="7"/>
  <c r="J5428" i="7" s="1"/>
  <c r="K5427" i="7"/>
  <c r="H5427" i="7"/>
  <c r="J5427" i="7" s="1"/>
  <c r="K5426" i="7"/>
  <c r="H5426" i="7"/>
  <c r="J5426" i="7" s="1"/>
  <c r="K5425" i="7"/>
  <c r="H5425" i="7"/>
  <c r="J5425" i="7" s="1"/>
  <c r="K5424" i="7"/>
  <c r="H5424" i="7"/>
  <c r="J5424" i="7" s="1"/>
  <c r="K5423" i="7"/>
  <c r="H5423" i="7"/>
  <c r="J5423" i="7" s="1"/>
  <c r="K5422" i="7"/>
  <c r="H5422" i="7"/>
  <c r="J5422" i="7" s="1"/>
  <c r="K5421" i="7"/>
  <c r="H5421" i="7"/>
  <c r="J5421" i="7" s="1"/>
  <c r="K5420" i="7"/>
  <c r="H5420" i="7"/>
  <c r="J5420" i="7" s="1"/>
  <c r="K5419" i="7"/>
  <c r="H5419" i="7"/>
  <c r="J5419" i="7" s="1"/>
  <c r="K5418" i="7"/>
  <c r="H5418" i="7"/>
  <c r="J5418" i="7" s="1"/>
  <c r="K5417" i="7"/>
  <c r="H5417" i="7"/>
  <c r="J5417" i="7" s="1"/>
  <c r="K5416" i="7"/>
  <c r="H5416" i="7"/>
  <c r="J5416" i="7" s="1"/>
  <c r="K5415" i="7"/>
  <c r="H5415" i="7"/>
  <c r="J5415" i="7" s="1"/>
  <c r="K5414" i="7"/>
  <c r="H5414" i="7"/>
  <c r="J5414" i="7" s="1"/>
  <c r="K5413" i="7"/>
  <c r="H5413" i="7"/>
  <c r="J5413" i="7" s="1"/>
  <c r="K5412" i="7"/>
  <c r="H5412" i="7"/>
  <c r="J5412" i="7" s="1"/>
  <c r="K5411" i="7"/>
  <c r="H5411" i="7"/>
  <c r="J5411" i="7" s="1"/>
  <c r="K5410" i="7"/>
  <c r="H5410" i="7"/>
  <c r="J5410" i="7" s="1"/>
  <c r="K5409" i="7"/>
  <c r="H5409" i="7"/>
  <c r="J5409" i="7" s="1"/>
  <c r="K5408" i="7"/>
  <c r="H5408" i="7"/>
  <c r="J5408" i="7" s="1"/>
  <c r="K5407" i="7"/>
  <c r="H5407" i="7"/>
  <c r="J5407" i="7" s="1"/>
  <c r="K5406" i="7"/>
  <c r="H5406" i="7"/>
  <c r="J5406" i="7" s="1"/>
  <c r="K5405" i="7"/>
  <c r="H5405" i="7"/>
  <c r="J5405" i="7" s="1"/>
  <c r="K5404" i="7"/>
  <c r="H5404" i="7"/>
  <c r="J5404" i="7" s="1"/>
  <c r="K5403" i="7"/>
  <c r="H5403" i="7"/>
  <c r="J5403" i="7" s="1"/>
  <c r="K5402" i="7"/>
  <c r="H5402" i="7"/>
  <c r="J5402" i="7" s="1"/>
  <c r="K5401" i="7"/>
  <c r="H5401" i="7"/>
  <c r="J5401" i="7" s="1"/>
  <c r="K5400" i="7"/>
  <c r="H5400" i="7"/>
  <c r="J5400" i="7" s="1"/>
  <c r="K5399" i="7"/>
  <c r="H5399" i="7"/>
  <c r="J5399" i="7" s="1"/>
  <c r="K5398" i="7"/>
  <c r="H5398" i="7"/>
  <c r="J5398" i="7" s="1"/>
  <c r="K5397" i="7"/>
  <c r="H5397" i="7"/>
  <c r="J5397" i="7" s="1"/>
  <c r="K5396" i="7"/>
  <c r="H5396" i="7"/>
  <c r="J5396" i="7" s="1"/>
  <c r="K5395" i="7"/>
  <c r="H5395" i="7"/>
  <c r="J5395" i="7" s="1"/>
  <c r="K5394" i="7"/>
  <c r="H5394" i="7"/>
  <c r="J5394" i="7" s="1"/>
  <c r="K5393" i="7"/>
  <c r="H5393" i="7"/>
  <c r="J5393" i="7" s="1"/>
  <c r="K5392" i="7"/>
  <c r="H5392" i="7"/>
  <c r="J5392" i="7" s="1"/>
  <c r="K5391" i="7"/>
  <c r="H5391" i="7"/>
  <c r="J5391" i="7" s="1"/>
  <c r="K5390" i="7"/>
  <c r="H5390" i="7"/>
  <c r="J5390" i="7" s="1"/>
  <c r="K5389" i="7"/>
  <c r="H5389" i="7"/>
  <c r="J5389" i="7" s="1"/>
  <c r="K5388" i="7"/>
  <c r="H5388" i="7"/>
  <c r="J5388" i="7" s="1"/>
  <c r="K5387" i="7"/>
  <c r="H5387" i="7"/>
  <c r="J5387" i="7" s="1"/>
  <c r="K5386" i="7"/>
  <c r="H5386" i="7"/>
  <c r="J5386" i="7" s="1"/>
  <c r="K5385" i="7"/>
  <c r="H5385" i="7"/>
  <c r="J5385" i="7" s="1"/>
  <c r="K5384" i="7"/>
  <c r="H5384" i="7"/>
  <c r="J5384" i="7" s="1"/>
  <c r="K5383" i="7"/>
  <c r="H5383" i="7"/>
  <c r="J5383" i="7" s="1"/>
  <c r="K5382" i="7"/>
  <c r="H5382" i="7"/>
  <c r="J5382" i="7" s="1"/>
  <c r="K5381" i="7"/>
  <c r="H5381" i="7"/>
  <c r="J5381" i="7" s="1"/>
  <c r="K5380" i="7"/>
  <c r="H5380" i="7"/>
  <c r="J5380" i="7" s="1"/>
  <c r="K5379" i="7"/>
  <c r="H5379" i="7"/>
  <c r="J5379" i="7" s="1"/>
  <c r="K5378" i="7"/>
  <c r="H5378" i="7"/>
  <c r="J5378" i="7" s="1"/>
  <c r="K5377" i="7"/>
  <c r="H5377" i="7"/>
  <c r="J5377" i="7" s="1"/>
  <c r="K5376" i="7"/>
  <c r="H5376" i="7"/>
  <c r="J5376" i="7" s="1"/>
  <c r="K5375" i="7"/>
  <c r="H5375" i="7"/>
  <c r="J5375" i="7" s="1"/>
  <c r="K5374" i="7"/>
  <c r="H5374" i="7"/>
  <c r="J5374" i="7" s="1"/>
  <c r="K5373" i="7"/>
  <c r="H5373" i="7"/>
  <c r="J5373" i="7" s="1"/>
  <c r="K5372" i="7"/>
  <c r="H5372" i="7"/>
  <c r="J5372" i="7" s="1"/>
  <c r="K5371" i="7"/>
  <c r="H5371" i="7"/>
  <c r="J5371" i="7" s="1"/>
  <c r="K5370" i="7"/>
  <c r="H5370" i="7"/>
  <c r="J5370" i="7" s="1"/>
  <c r="K5369" i="7"/>
  <c r="H5369" i="7"/>
  <c r="J5369" i="7" s="1"/>
  <c r="K5368" i="7"/>
  <c r="H5368" i="7"/>
  <c r="J5368" i="7" s="1"/>
  <c r="K5367" i="7"/>
  <c r="H5367" i="7"/>
  <c r="J5367" i="7" s="1"/>
  <c r="K5366" i="7"/>
  <c r="H5366" i="7"/>
  <c r="J5366" i="7" s="1"/>
  <c r="K5365" i="7"/>
  <c r="H5365" i="7"/>
  <c r="J5365" i="7" s="1"/>
  <c r="K5364" i="7"/>
  <c r="H5364" i="7"/>
  <c r="J5364" i="7" s="1"/>
  <c r="K5363" i="7"/>
  <c r="H5363" i="7"/>
  <c r="J5363" i="7" s="1"/>
  <c r="K5362" i="7"/>
  <c r="H5362" i="7"/>
  <c r="J5362" i="7" s="1"/>
  <c r="K5361" i="7"/>
  <c r="H5361" i="7"/>
  <c r="J5361" i="7" s="1"/>
  <c r="K5360" i="7"/>
  <c r="H5360" i="7"/>
  <c r="J5360" i="7" s="1"/>
  <c r="K5359" i="7"/>
  <c r="H5359" i="7"/>
  <c r="J5359" i="7" s="1"/>
  <c r="K5358" i="7"/>
  <c r="H5358" i="7"/>
  <c r="J5358" i="7" s="1"/>
  <c r="K5357" i="7"/>
  <c r="H5357" i="7"/>
  <c r="J5357" i="7" s="1"/>
  <c r="K5356" i="7"/>
  <c r="H5356" i="7"/>
  <c r="J5356" i="7" s="1"/>
  <c r="K5355" i="7"/>
  <c r="H5355" i="7"/>
  <c r="J5355" i="7" s="1"/>
  <c r="K5354" i="7"/>
  <c r="H5354" i="7"/>
  <c r="J5354" i="7" s="1"/>
  <c r="K5353" i="7"/>
  <c r="H5353" i="7"/>
  <c r="J5353" i="7" s="1"/>
  <c r="K5352" i="7"/>
  <c r="H5352" i="7"/>
  <c r="J5352" i="7" s="1"/>
  <c r="K5351" i="7"/>
  <c r="H5351" i="7"/>
  <c r="J5351" i="7" s="1"/>
  <c r="K5350" i="7"/>
  <c r="H5350" i="7"/>
  <c r="J5350" i="7" s="1"/>
  <c r="K5349" i="7"/>
  <c r="H5349" i="7"/>
  <c r="J5349" i="7" s="1"/>
  <c r="K5348" i="7"/>
  <c r="H5348" i="7"/>
  <c r="J5348" i="7" s="1"/>
  <c r="K5347" i="7"/>
  <c r="H5347" i="7"/>
  <c r="J5347" i="7" s="1"/>
  <c r="K5346" i="7"/>
  <c r="H5346" i="7"/>
  <c r="J5346" i="7" s="1"/>
  <c r="K5345" i="7"/>
  <c r="H5345" i="7"/>
  <c r="J5345" i="7" s="1"/>
  <c r="K5344" i="7"/>
  <c r="H5344" i="7"/>
  <c r="J5344" i="7" s="1"/>
  <c r="K5343" i="7"/>
  <c r="H5343" i="7"/>
  <c r="J5343" i="7" s="1"/>
  <c r="K5342" i="7"/>
  <c r="H5342" i="7"/>
  <c r="J5342" i="7" s="1"/>
  <c r="K5341" i="7"/>
  <c r="H5341" i="7"/>
  <c r="J5341" i="7" s="1"/>
  <c r="K5340" i="7"/>
  <c r="H5340" i="7"/>
  <c r="J5340" i="7" s="1"/>
  <c r="K5339" i="7"/>
  <c r="H5339" i="7"/>
  <c r="J5339" i="7" s="1"/>
  <c r="K5338" i="7"/>
  <c r="H5338" i="7"/>
  <c r="J5338" i="7" s="1"/>
  <c r="K5337" i="7"/>
  <c r="H5337" i="7"/>
  <c r="J5337" i="7" s="1"/>
  <c r="K5336" i="7"/>
  <c r="H5336" i="7"/>
  <c r="J5336" i="7" s="1"/>
  <c r="K5335" i="7"/>
  <c r="H5335" i="7"/>
  <c r="J5335" i="7" s="1"/>
  <c r="K5334" i="7"/>
  <c r="H5334" i="7"/>
  <c r="J5334" i="7" s="1"/>
  <c r="K5333" i="7"/>
  <c r="H5333" i="7"/>
  <c r="J5333" i="7" s="1"/>
  <c r="K5332" i="7"/>
  <c r="H5332" i="7"/>
  <c r="J5332" i="7" s="1"/>
  <c r="K5331" i="7"/>
  <c r="H5331" i="7"/>
  <c r="J5331" i="7" s="1"/>
  <c r="K5330" i="7"/>
  <c r="H5330" i="7"/>
  <c r="J5330" i="7" s="1"/>
  <c r="K5329" i="7"/>
  <c r="H5329" i="7"/>
  <c r="J5329" i="7" s="1"/>
  <c r="K5328" i="7"/>
  <c r="H5328" i="7"/>
  <c r="J5328" i="7" s="1"/>
  <c r="K5327" i="7"/>
  <c r="H5327" i="7"/>
  <c r="J5327" i="7" s="1"/>
  <c r="K5326" i="7"/>
  <c r="H5326" i="7"/>
  <c r="J5326" i="7" s="1"/>
  <c r="K5325" i="7"/>
  <c r="H5325" i="7"/>
  <c r="J5325" i="7" s="1"/>
  <c r="K5324" i="7"/>
  <c r="H5324" i="7"/>
  <c r="J5324" i="7" s="1"/>
  <c r="K5323" i="7"/>
  <c r="H5323" i="7"/>
  <c r="J5323" i="7" s="1"/>
  <c r="K5322" i="7"/>
  <c r="H5322" i="7"/>
  <c r="J5322" i="7" s="1"/>
  <c r="K5321" i="7"/>
  <c r="H5321" i="7"/>
  <c r="J5321" i="7" s="1"/>
  <c r="K5320" i="7"/>
  <c r="H5320" i="7"/>
  <c r="J5320" i="7" s="1"/>
  <c r="K5319" i="7"/>
  <c r="H5319" i="7"/>
  <c r="J5319" i="7" s="1"/>
  <c r="K5318" i="7"/>
  <c r="H5318" i="7"/>
  <c r="J5318" i="7" s="1"/>
  <c r="K5317" i="7"/>
  <c r="H5317" i="7"/>
  <c r="J5317" i="7" s="1"/>
  <c r="K5316" i="7"/>
  <c r="H5316" i="7"/>
  <c r="J5316" i="7" s="1"/>
  <c r="K5315" i="7"/>
  <c r="H5315" i="7"/>
  <c r="J5315" i="7" s="1"/>
  <c r="K5314" i="7"/>
  <c r="H5314" i="7"/>
  <c r="J5314" i="7" s="1"/>
  <c r="K5313" i="7"/>
  <c r="H5313" i="7"/>
  <c r="J5313" i="7" s="1"/>
  <c r="K5312" i="7"/>
  <c r="H5312" i="7"/>
  <c r="J5312" i="7" s="1"/>
  <c r="K5311" i="7"/>
  <c r="H5311" i="7"/>
  <c r="J5311" i="7" s="1"/>
  <c r="K5310" i="7"/>
  <c r="H5310" i="7"/>
  <c r="J5310" i="7" s="1"/>
  <c r="K5309" i="7"/>
  <c r="H5309" i="7"/>
  <c r="J5309" i="7" s="1"/>
  <c r="K5308" i="7"/>
  <c r="H5308" i="7"/>
  <c r="J5308" i="7" s="1"/>
  <c r="K5307" i="7"/>
  <c r="H5307" i="7"/>
  <c r="J5307" i="7" s="1"/>
  <c r="K5306" i="7"/>
  <c r="H5306" i="7"/>
  <c r="J5306" i="7" s="1"/>
  <c r="K5305" i="7"/>
  <c r="H5305" i="7"/>
  <c r="J5305" i="7" s="1"/>
  <c r="K5304" i="7"/>
  <c r="H5304" i="7"/>
  <c r="J5304" i="7" s="1"/>
  <c r="K5303" i="7"/>
  <c r="H5303" i="7"/>
  <c r="J5303" i="7" s="1"/>
  <c r="K5302" i="7"/>
  <c r="H5302" i="7"/>
  <c r="J5302" i="7" s="1"/>
  <c r="K5301" i="7"/>
  <c r="H5301" i="7"/>
  <c r="J5301" i="7" s="1"/>
  <c r="K5300" i="7"/>
  <c r="H5300" i="7"/>
  <c r="J5300" i="7" s="1"/>
  <c r="K5299" i="7"/>
  <c r="H5299" i="7"/>
  <c r="J5299" i="7" s="1"/>
  <c r="K5298" i="7"/>
  <c r="H5298" i="7"/>
  <c r="J5298" i="7" s="1"/>
  <c r="K5297" i="7"/>
  <c r="H5297" i="7"/>
  <c r="J5297" i="7" s="1"/>
  <c r="K5296" i="7"/>
  <c r="H5296" i="7"/>
  <c r="J5296" i="7" s="1"/>
  <c r="K5295" i="7"/>
  <c r="H5295" i="7"/>
  <c r="J5295" i="7" s="1"/>
  <c r="K5294" i="7"/>
  <c r="H5294" i="7"/>
  <c r="J5294" i="7" s="1"/>
  <c r="K5293" i="7"/>
  <c r="H5293" i="7"/>
  <c r="J5293" i="7" s="1"/>
  <c r="K5292" i="7"/>
  <c r="H5292" i="7"/>
  <c r="J5292" i="7" s="1"/>
  <c r="K5291" i="7"/>
  <c r="H5291" i="7"/>
  <c r="J5291" i="7" s="1"/>
  <c r="K5290" i="7"/>
  <c r="H5290" i="7"/>
  <c r="J5290" i="7" s="1"/>
  <c r="K5289" i="7"/>
  <c r="H5289" i="7"/>
  <c r="J5289" i="7" s="1"/>
  <c r="K5288" i="7"/>
  <c r="H5288" i="7"/>
  <c r="J5288" i="7" s="1"/>
  <c r="K5287" i="7"/>
  <c r="H5287" i="7"/>
  <c r="J5287" i="7" s="1"/>
  <c r="K5286" i="7"/>
  <c r="H5286" i="7"/>
  <c r="J5286" i="7" s="1"/>
  <c r="K5285" i="7"/>
  <c r="H5285" i="7"/>
  <c r="J5285" i="7" s="1"/>
  <c r="K5284" i="7"/>
  <c r="H5284" i="7"/>
  <c r="J5284" i="7" s="1"/>
  <c r="K5283" i="7"/>
  <c r="H5283" i="7"/>
  <c r="J5283" i="7" s="1"/>
  <c r="K5282" i="7"/>
  <c r="H5282" i="7"/>
  <c r="J5282" i="7" s="1"/>
  <c r="K5281" i="7"/>
  <c r="H5281" i="7"/>
  <c r="J5281" i="7" s="1"/>
  <c r="K5280" i="7"/>
  <c r="H5280" i="7"/>
  <c r="J5280" i="7" s="1"/>
  <c r="K5279" i="7"/>
  <c r="H5279" i="7"/>
  <c r="J5279" i="7" s="1"/>
  <c r="K5278" i="7"/>
  <c r="H5278" i="7"/>
  <c r="J5278" i="7" s="1"/>
  <c r="K5277" i="7"/>
  <c r="H5277" i="7"/>
  <c r="J5277" i="7" s="1"/>
  <c r="K5276" i="7"/>
  <c r="H5276" i="7"/>
  <c r="J5276" i="7" s="1"/>
  <c r="K5275" i="7"/>
  <c r="H5275" i="7"/>
  <c r="J5275" i="7" s="1"/>
  <c r="K5274" i="7"/>
  <c r="H5274" i="7"/>
  <c r="J5274" i="7" s="1"/>
  <c r="K5273" i="7"/>
  <c r="H5273" i="7"/>
  <c r="J5273" i="7" s="1"/>
  <c r="K5272" i="7"/>
  <c r="H5272" i="7"/>
  <c r="J5272" i="7" s="1"/>
  <c r="K5271" i="7"/>
  <c r="H5271" i="7"/>
  <c r="J5271" i="7" s="1"/>
  <c r="K5270" i="7"/>
  <c r="H5270" i="7"/>
  <c r="J5270" i="7" s="1"/>
  <c r="K5269" i="7"/>
  <c r="H5269" i="7"/>
  <c r="J5269" i="7" s="1"/>
  <c r="K5268" i="7"/>
  <c r="H5268" i="7"/>
  <c r="J5268" i="7" s="1"/>
  <c r="K5267" i="7"/>
  <c r="H5267" i="7"/>
  <c r="J5267" i="7" s="1"/>
  <c r="K5266" i="7"/>
  <c r="H5266" i="7"/>
  <c r="J5266" i="7" s="1"/>
  <c r="K5265" i="7"/>
  <c r="H5265" i="7"/>
  <c r="J5265" i="7" s="1"/>
  <c r="K5264" i="7"/>
  <c r="H5264" i="7"/>
  <c r="J5264" i="7" s="1"/>
  <c r="K5263" i="7"/>
  <c r="H5263" i="7"/>
  <c r="J5263" i="7" s="1"/>
  <c r="K5262" i="7"/>
  <c r="H5262" i="7"/>
  <c r="J5262" i="7" s="1"/>
  <c r="K5261" i="7"/>
  <c r="H5261" i="7"/>
  <c r="J5261" i="7" s="1"/>
  <c r="K5260" i="7"/>
  <c r="H5260" i="7"/>
  <c r="J5260" i="7" s="1"/>
  <c r="K5259" i="7"/>
  <c r="H5259" i="7"/>
  <c r="J5259" i="7" s="1"/>
  <c r="K5258" i="7"/>
  <c r="H5258" i="7"/>
  <c r="J5258" i="7" s="1"/>
  <c r="K5257" i="7"/>
  <c r="H5257" i="7"/>
  <c r="J5257" i="7" s="1"/>
  <c r="K5256" i="7"/>
  <c r="H5256" i="7"/>
  <c r="J5256" i="7" s="1"/>
  <c r="K5255" i="7"/>
  <c r="H5255" i="7"/>
  <c r="J5255" i="7" s="1"/>
  <c r="K5254" i="7"/>
  <c r="H5254" i="7"/>
  <c r="J5254" i="7" s="1"/>
  <c r="K5253" i="7"/>
  <c r="H5253" i="7"/>
  <c r="J5253" i="7" s="1"/>
  <c r="K5252" i="7"/>
  <c r="H5252" i="7"/>
  <c r="J5252" i="7" s="1"/>
  <c r="K5251" i="7"/>
  <c r="H5251" i="7"/>
  <c r="J5251" i="7" s="1"/>
  <c r="K5250" i="7"/>
  <c r="H5250" i="7"/>
  <c r="J5250" i="7" s="1"/>
  <c r="K5249" i="7"/>
  <c r="H5249" i="7"/>
  <c r="J5249" i="7" s="1"/>
  <c r="K5248" i="7"/>
  <c r="H5248" i="7"/>
  <c r="J5248" i="7" s="1"/>
  <c r="K5247" i="7"/>
  <c r="H5247" i="7"/>
  <c r="J5247" i="7" s="1"/>
  <c r="K5246" i="7"/>
  <c r="H5246" i="7"/>
  <c r="J5246" i="7" s="1"/>
  <c r="K5245" i="7"/>
  <c r="H5245" i="7"/>
  <c r="J5245" i="7" s="1"/>
  <c r="K5244" i="7"/>
  <c r="H5244" i="7"/>
  <c r="J5244" i="7" s="1"/>
  <c r="K5243" i="7"/>
  <c r="H5243" i="7"/>
  <c r="J5243" i="7" s="1"/>
  <c r="K5242" i="7"/>
  <c r="H5242" i="7"/>
  <c r="J5242" i="7" s="1"/>
  <c r="K5241" i="7"/>
  <c r="H5241" i="7"/>
  <c r="J5241" i="7" s="1"/>
  <c r="K5240" i="7"/>
  <c r="H5240" i="7"/>
  <c r="J5240" i="7" s="1"/>
  <c r="K5239" i="7"/>
  <c r="H5239" i="7"/>
  <c r="J5239" i="7" s="1"/>
  <c r="K5238" i="7"/>
  <c r="H5238" i="7"/>
  <c r="J5238" i="7" s="1"/>
  <c r="K5237" i="7"/>
  <c r="H5237" i="7"/>
  <c r="J5237" i="7" s="1"/>
  <c r="K5236" i="7"/>
  <c r="H5236" i="7"/>
  <c r="J5236" i="7" s="1"/>
  <c r="K5235" i="7"/>
  <c r="H5235" i="7"/>
  <c r="J5235" i="7" s="1"/>
  <c r="K5234" i="7"/>
  <c r="H5234" i="7"/>
  <c r="J5234" i="7" s="1"/>
  <c r="K5233" i="7"/>
  <c r="H5233" i="7"/>
  <c r="J5233" i="7" s="1"/>
  <c r="K5232" i="7"/>
  <c r="H5232" i="7"/>
  <c r="J5232" i="7" s="1"/>
  <c r="K5231" i="7"/>
  <c r="H5231" i="7"/>
  <c r="J5231" i="7" s="1"/>
  <c r="K5230" i="7"/>
  <c r="H5230" i="7"/>
  <c r="J5230" i="7" s="1"/>
  <c r="K5229" i="7"/>
  <c r="H5229" i="7"/>
  <c r="J5229" i="7" s="1"/>
  <c r="K5228" i="7"/>
  <c r="H5228" i="7"/>
  <c r="J5228" i="7" s="1"/>
  <c r="K5227" i="7"/>
  <c r="H5227" i="7"/>
  <c r="J5227" i="7" s="1"/>
  <c r="K5226" i="7"/>
  <c r="H5226" i="7"/>
  <c r="J5226" i="7" s="1"/>
  <c r="K5225" i="7"/>
  <c r="H5225" i="7"/>
  <c r="J5225" i="7" s="1"/>
  <c r="K5224" i="7"/>
  <c r="H5224" i="7"/>
  <c r="J5224" i="7" s="1"/>
  <c r="K5223" i="7"/>
  <c r="H5223" i="7"/>
  <c r="J5223" i="7" s="1"/>
  <c r="K5222" i="7"/>
  <c r="H5222" i="7"/>
  <c r="J5222" i="7" s="1"/>
  <c r="K5221" i="7"/>
  <c r="H5221" i="7"/>
  <c r="J5221" i="7" s="1"/>
  <c r="K5220" i="7"/>
  <c r="H5220" i="7"/>
  <c r="J5220" i="7" s="1"/>
  <c r="K5219" i="7"/>
  <c r="H5219" i="7"/>
  <c r="J5219" i="7" s="1"/>
  <c r="K5218" i="7"/>
  <c r="H5218" i="7"/>
  <c r="J5218" i="7" s="1"/>
  <c r="K5217" i="7"/>
  <c r="H5217" i="7"/>
  <c r="J5217" i="7" s="1"/>
  <c r="K5216" i="7"/>
  <c r="H5216" i="7"/>
  <c r="J5216" i="7" s="1"/>
  <c r="K5215" i="7"/>
  <c r="H5215" i="7"/>
  <c r="J5215" i="7" s="1"/>
  <c r="K5214" i="7"/>
  <c r="H5214" i="7"/>
  <c r="J5214" i="7" s="1"/>
  <c r="K5213" i="7"/>
  <c r="H5213" i="7"/>
  <c r="J5213" i="7" s="1"/>
  <c r="K5212" i="7"/>
  <c r="H5212" i="7"/>
  <c r="J5212" i="7" s="1"/>
  <c r="K5211" i="7"/>
  <c r="H5211" i="7"/>
  <c r="J5211" i="7" s="1"/>
  <c r="K5210" i="7"/>
  <c r="H5210" i="7"/>
  <c r="J5210" i="7" s="1"/>
  <c r="K5209" i="7"/>
  <c r="H5209" i="7"/>
  <c r="J5209" i="7" s="1"/>
  <c r="K5208" i="7"/>
  <c r="H5208" i="7"/>
  <c r="J5208" i="7" s="1"/>
  <c r="K5207" i="7"/>
  <c r="H5207" i="7"/>
  <c r="J5207" i="7" s="1"/>
  <c r="K5206" i="7"/>
  <c r="H5206" i="7"/>
  <c r="J5206" i="7" s="1"/>
  <c r="K5205" i="7"/>
  <c r="H5205" i="7"/>
  <c r="J5205" i="7" s="1"/>
  <c r="K5204" i="7"/>
  <c r="H5204" i="7"/>
  <c r="J5204" i="7" s="1"/>
  <c r="K5203" i="7"/>
  <c r="H5203" i="7"/>
  <c r="J5203" i="7" s="1"/>
  <c r="K5202" i="7"/>
  <c r="H5202" i="7"/>
  <c r="J5202" i="7" s="1"/>
  <c r="K5201" i="7"/>
  <c r="H5201" i="7"/>
  <c r="J5201" i="7" s="1"/>
  <c r="K5200" i="7"/>
  <c r="H5200" i="7"/>
  <c r="J5200" i="7" s="1"/>
  <c r="K5199" i="7"/>
  <c r="H5199" i="7"/>
  <c r="J5199" i="7" s="1"/>
  <c r="K5198" i="7"/>
  <c r="H5198" i="7"/>
  <c r="J5198" i="7" s="1"/>
  <c r="K5197" i="7"/>
  <c r="H5197" i="7"/>
  <c r="J5197" i="7" s="1"/>
  <c r="K5196" i="7"/>
  <c r="H5196" i="7"/>
  <c r="J5196" i="7" s="1"/>
  <c r="K5195" i="7"/>
  <c r="H5195" i="7"/>
  <c r="J5195" i="7" s="1"/>
  <c r="K5194" i="7"/>
  <c r="H5194" i="7"/>
  <c r="J5194" i="7" s="1"/>
  <c r="K5193" i="7"/>
  <c r="H5193" i="7"/>
  <c r="J5193" i="7" s="1"/>
  <c r="K5192" i="7"/>
  <c r="H5192" i="7"/>
  <c r="J5192" i="7" s="1"/>
  <c r="K5191" i="7"/>
  <c r="H5191" i="7"/>
  <c r="J5191" i="7" s="1"/>
  <c r="K5190" i="7"/>
  <c r="H5190" i="7"/>
  <c r="J5190" i="7" s="1"/>
  <c r="K5189" i="7"/>
  <c r="H5189" i="7"/>
  <c r="J5189" i="7" s="1"/>
  <c r="K5188" i="7"/>
  <c r="H5188" i="7"/>
  <c r="J5188" i="7" s="1"/>
  <c r="K5187" i="7"/>
  <c r="H5187" i="7"/>
  <c r="J5187" i="7" s="1"/>
  <c r="K5186" i="7"/>
  <c r="H5186" i="7"/>
  <c r="J5186" i="7" s="1"/>
  <c r="K5185" i="7"/>
  <c r="H5185" i="7"/>
  <c r="J5185" i="7" s="1"/>
  <c r="K5184" i="7"/>
  <c r="H5184" i="7"/>
  <c r="J5184" i="7" s="1"/>
  <c r="K5183" i="7"/>
  <c r="H5183" i="7"/>
  <c r="J5183" i="7" s="1"/>
  <c r="K5182" i="7"/>
  <c r="H5182" i="7"/>
  <c r="J5182" i="7" s="1"/>
  <c r="K5181" i="7"/>
  <c r="H5181" i="7"/>
  <c r="J5181" i="7" s="1"/>
  <c r="K5180" i="7"/>
  <c r="H5180" i="7"/>
  <c r="J5180" i="7" s="1"/>
  <c r="K5179" i="7"/>
  <c r="H5179" i="7"/>
  <c r="J5179" i="7" s="1"/>
  <c r="K5178" i="7"/>
  <c r="H5178" i="7"/>
  <c r="J5178" i="7" s="1"/>
  <c r="K5177" i="7"/>
  <c r="H5177" i="7"/>
  <c r="J5177" i="7" s="1"/>
  <c r="K5176" i="7"/>
  <c r="H5176" i="7"/>
  <c r="J5176" i="7" s="1"/>
  <c r="K5175" i="7"/>
  <c r="H5175" i="7"/>
  <c r="J5175" i="7" s="1"/>
  <c r="K5174" i="7"/>
  <c r="H5174" i="7"/>
  <c r="J5174" i="7" s="1"/>
  <c r="K5173" i="7"/>
  <c r="H5173" i="7"/>
  <c r="J5173" i="7" s="1"/>
  <c r="K5172" i="7"/>
  <c r="H5172" i="7"/>
  <c r="J5172" i="7" s="1"/>
  <c r="K5171" i="7"/>
  <c r="H5171" i="7"/>
  <c r="J5171" i="7" s="1"/>
  <c r="K5170" i="7"/>
  <c r="H5170" i="7"/>
  <c r="J5170" i="7" s="1"/>
  <c r="K5169" i="7"/>
  <c r="H5169" i="7"/>
  <c r="J5169" i="7" s="1"/>
  <c r="K5168" i="7"/>
  <c r="H5168" i="7"/>
  <c r="J5168" i="7" s="1"/>
  <c r="K5167" i="7"/>
  <c r="H5167" i="7"/>
  <c r="J5167" i="7" s="1"/>
  <c r="K5166" i="7"/>
  <c r="H5166" i="7"/>
  <c r="J5166" i="7" s="1"/>
  <c r="K5165" i="7"/>
  <c r="H5165" i="7"/>
  <c r="J5165" i="7" s="1"/>
  <c r="K5164" i="7"/>
  <c r="H5164" i="7"/>
  <c r="J5164" i="7" s="1"/>
  <c r="K5163" i="7"/>
  <c r="H5163" i="7"/>
  <c r="J5163" i="7" s="1"/>
  <c r="K5162" i="7"/>
  <c r="H5162" i="7"/>
  <c r="J5162" i="7" s="1"/>
  <c r="K5161" i="7"/>
  <c r="H5161" i="7"/>
  <c r="J5161" i="7" s="1"/>
  <c r="K5160" i="7"/>
  <c r="H5160" i="7"/>
  <c r="J5160" i="7" s="1"/>
  <c r="K5159" i="7"/>
  <c r="H5159" i="7"/>
  <c r="J5159" i="7" s="1"/>
  <c r="K5158" i="7"/>
  <c r="H5158" i="7"/>
  <c r="J5158" i="7" s="1"/>
  <c r="K5157" i="7"/>
  <c r="H5157" i="7"/>
  <c r="J5157" i="7" s="1"/>
  <c r="K5156" i="7"/>
  <c r="H5156" i="7"/>
  <c r="J5156" i="7" s="1"/>
  <c r="K5155" i="7"/>
  <c r="H5155" i="7"/>
  <c r="J5155" i="7" s="1"/>
  <c r="K5154" i="7"/>
  <c r="H5154" i="7"/>
  <c r="J5154" i="7" s="1"/>
  <c r="K5153" i="7"/>
  <c r="H5153" i="7"/>
  <c r="J5153" i="7" s="1"/>
  <c r="K5152" i="7"/>
  <c r="H5152" i="7"/>
  <c r="J5152" i="7" s="1"/>
  <c r="K5151" i="7"/>
  <c r="H5151" i="7"/>
  <c r="J5151" i="7" s="1"/>
  <c r="K5150" i="7"/>
  <c r="H5150" i="7"/>
  <c r="J5150" i="7" s="1"/>
  <c r="K5149" i="7"/>
  <c r="H5149" i="7"/>
  <c r="J5149" i="7" s="1"/>
  <c r="K5148" i="7"/>
  <c r="H5148" i="7"/>
  <c r="J5148" i="7" s="1"/>
  <c r="K5147" i="7"/>
  <c r="H5147" i="7"/>
  <c r="J5147" i="7" s="1"/>
  <c r="K5146" i="7"/>
  <c r="H5146" i="7"/>
  <c r="J5146" i="7" s="1"/>
  <c r="K5145" i="7"/>
  <c r="H5145" i="7"/>
  <c r="J5145" i="7" s="1"/>
  <c r="K5144" i="7"/>
  <c r="H5144" i="7"/>
  <c r="J5144" i="7" s="1"/>
  <c r="K5143" i="7"/>
  <c r="H5143" i="7"/>
  <c r="J5143" i="7" s="1"/>
  <c r="K5142" i="7"/>
  <c r="H5142" i="7"/>
  <c r="J5142" i="7" s="1"/>
  <c r="K5141" i="7"/>
  <c r="H5141" i="7"/>
  <c r="J5141" i="7" s="1"/>
  <c r="K5140" i="7"/>
  <c r="H5140" i="7"/>
  <c r="J5140" i="7" s="1"/>
  <c r="K5139" i="7"/>
  <c r="H5139" i="7"/>
  <c r="J5139" i="7" s="1"/>
  <c r="K5138" i="7"/>
  <c r="H5138" i="7"/>
  <c r="J5138" i="7" s="1"/>
  <c r="K5137" i="7"/>
  <c r="H5137" i="7"/>
  <c r="J5137" i="7" s="1"/>
  <c r="K5136" i="7"/>
  <c r="H5136" i="7"/>
  <c r="J5136" i="7" s="1"/>
  <c r="K5135" i="7"/>
  <c r="H5135" i="7"/>
  <c r="J5135" i="7" s="1"/>
  <c r="K5134" i="7"/>
  <c r="H5134" i="7"/>
  <c r="J5134" i="7" s="1"/>
  <c r="K5133" i="7"/>
  <c r="H5133" i="7"/>
  <c r="J5133" i="7" s="1"/>
  <c r="K5132" i="7"/>
  <c r="H5132" i="7"/>
  <c r="J5132" i="7" s="1"/>
  <c r="K5131" i="7"/>
  <c r="H5131" i="7"/>
  <c r="J5131" i="7" s="1"/>
  <c r="K5130" i="7"/>
  <c r="H5130" i="7"/>
  <c r="J5130" i="7" s="1"/>
  <c r="K5129" i="7"/>
  <c r="H5129" i="7"/>
  <c r="J5129" i="7" s="1"/>
  <c r="K5128" i="7"/>
  <c r="H5128" i="7"/>
  <c r="J5128" i="7" s="1"/>
  <c r="K5127" i="7"/>
  <c r="H5127" i="7"/>
  <c r="J5127" i="7" s="1"/>
  <c r="K5126" i="7"/>
  <c r="H5126" i="7"/>
  <c r="J5126" i="7" s="1"/>
  <c r="K5125" i="7"/>
  <c r="H5125" i="7"/>
  <c r="J5125" i="7" s="1"/>
  <c r="K5124" i="7"/>
  <c r="H5124" i="7"/>
  <c r="J5124" i="7" s="1"/>
  <c r="K5123" i="7"/>
  <c r="H5123" i="7"/>
  <c r="J5123" i="7" s="1"/>
  <c r="K5122" i="7"/>
  <c r="H5122" i="7"/>
  <c r="J5122" i="7" s="1"/>
  <c r="K5121" i="7"/>
  <c r="H5121" i="7"/>
  <c r="J5121" i="7" s="1"/>
  <c r="K5120" i="7"/>
  <c r="H5120" i="7"/>
  <c r="J5120" i="7" s="1"/>
  <c r="K5119" i="7"/>
  <c r="H5119" i="7"/>
  <c r="J5119" i="7" s="1"/>
  <c r="K5118" i="7"/>
  <c r="H5118" i="7"/>
  <c r="J5118" i="7" s="1"/>
  <c r="K5117" i="7"/>
  <c r="H5117" i="7"/>
  <c r="J5117" i="7" s="1"/>
  <c r="K5116" i="7"/>
  <c r="H5116" i="7"/>
  <c r="J5116" i="7" s="1"/>
  <c r="K5115" i="7"/>
  <c r="H5115" i="7"/>
  <c r="J5115" i="7" s="1"/>
  <c r="K5114" i="7"/>
  <c r="H5114" i="7"/>
  <c r="J5114" i="7" s="1"/>
  <c r="K5113" i="7"/>
  <c r="H5113" i="7"/>
  <c r="J5113" i="7" s="1"/>
  <c r="K5112" i="7"/>
  <c r="H5112" i="7"/>
  <c r="J5112" i="7" s="1"/>
  <c r="K5111" i="7"/>
  <c r="H5111" i="7"/>
  <c r="J5111" i="7" s="1"/>
  <c r="K5110" i="7"/>
  <c r="H5110" i="7"/>
  <c r="J5110" i="7" s="1"/>
  <c r="K5109" i="7"/>
  <c r="H5109" i="7"/>
  <c r="J5109" i="7" s="1"/>
  <c r="K5108" i="7"/>
  <c r="H5108" i="7"/>
  <c r="J5108" i="7" s="1"/>
  <c r="K5107" i="7"/>
  <c r="H5107" i="7"/>
  <c r="J5107" i="7" s="1"/>
  <c r="K5106" i="7"/>
  <c r="H5106" i="7"/>
  <c r="J5106" i="7" s="1"/>
  <c r="K5105" i="7"/>
  <c r="H5105" i="7"/>
  <c r="J5105" i="7" s="1"/>
  <c r="K5104" i="7"/>
  <c r="H5104" i="7"/>
  <c r="J5104" i="7" s="1"/>
  <c r="K5103" i="7"/>
  <c r="H5103" i="7"/>
  <c r="J5103" i="7" s="1"/>
  <c r="K5102" i="7"/>
  <c r="H5102" i="7"/>
  <c r="J5102" i="7" s="1"/>
  <c r="K5101" i="7"/>
  <c r="H5101" i="7"/>
  <c r="J5101" i="7" s="1"/>
  <c r="K5100" i="7"/>
  <c r="H5100" i="7"/>
  <c r="J5100" i="7" s="1"/>
  <c r="K5099" i="7"/>
  <c r="H5099" i="7"/>
  <c r="J5099" i="7" s="1"/>
  <c r="K5098" i="7"/>
  <c r="H5098" i="7"/>
  <c r="J5098" i="7" s="1"/>
  <c r="K5097" i="7"/>
  <c r="H5097" i="7"/>
  <c r="J5097" i="7" s="1"/>
  <c r="K5096" i="7"/>
  <c r="H5096" i="7"/>
  <c r="J5096" i="7" s="1"/>
  <c r="K5095" i="7"/>
  <c r="H5095" i="7"/>
  <c r="J5095" i="7" s="1"/>
  <c r="K5094" i="7"/>
  <c r="H5094" i="7"/>
  <c r="J5094" i="7" s="1"/>
  <c r="K5093" i="7"/>
  <c r="H5093" i="7"/>
  <c r="J5093" i="7" s="1"/>
  <c r="K5092" i="7"/>
  <c r="H5092" i="7"/>
  <c r="J5092" i="7" s="1"/>
  <c r="K5091" i="7"/>
  <c r="H5091" i="7"/>
  <c r="J5091" i="7" s="1"/>
  <c r="K5090" i="7"/>
  <c r="H5090" i="7"/>
  <c r="J5090" i="7" s="1"/>
  <c r="K5089" i="7"/>
  <c r="H5089" i="7"/>
  <c r="J5089" i="7" s="1"/>
  <c r="K5088" i="7"/>
  <c r="H5088" i="7"/>
  <c r="J5088" i="7" s="1"/>
  <c r="K5087" i="7"/>
  <c r="H5087" i="7"/>
  <c r="J5087" i="7" s="1"/>
  <c r="K5086" i="7"/>
  <c r="H5086" i="7"/>
  <c r="J5086" i="7" s="1"/>
  <c r="K5085" i="7"/>
  <c r="H5085" i="7"/>
  <c r="J5085" i="7" s="1"/>
  <c r="K5084" i="7"/>
  <c r="H5084" i="7"/>
  <c r="J5084" i="7" s="1"/>
  <c r="K5083" i="7"/>
  <c r="H5083" i="7"/>
  <c r="J5083" i="7" s="1"/>
  <c r="K5082" i="7"/>
  <c r="H5082" i="7"/>
  <c r="J5082" i="7" s="1"/>
  <c r="K5081" i="7"/>
  <c r="H5081" i="7"/>
  <c r="J5081" i="7" s="1"/>
  <c r="K5080" i="7"/>
  <c r="H5080" i="7"/>
  <c r="J5080" i="7" s="1"/>
  <c r="K5079" i="7"/>
  <c r="H5079" i="7"/>
  <c r="J5079" i="7" s="1"/>
  <c r="K5078" i="7"/>
  <c r="H5078" i="7"/>
  <c r="J5078" i="7" s="1"/>
  <c r="K5077" i="7"/>
  <c r="H5077" i="7"/>
  <c r="J5077" i="7" s="1"/>
  <c r="K5076" i="7"/>
  <c r="H5076" i="7"/>
  <c r="J5076" i="7" s="1"/>
  <c r="K5075" i="7"/>
  <c r="H5075" i="7"/>
  <c r="J5075" i="7" s="1"/>
  <c r="K5074" i="7"/>
  <c r="H5074" i="7"/>
  <c r="J5074" i="7" s="1"/>
  <c r="K5073" i="7"/>
  <c r="H5073" i="7"/>
  <c r="J5073" i="7" s="1"/>
  <c r="K5072" i="7"/>
  <c r="H5072" i="7"/>
  <c r="J5072" i="7" s="1"/>
  <c r="K5071" i="7"/>
  <c r="H5071" i="7"/>
  <c r="J5071" i="7" s="1"/>
  <c r="K5070" i="7"/>
  <c r="H5070" i="7"/>
  <c r="J5070" i="7" s="1"/>
  <c r="K5069" i="7"/>
  <c r="H5069" i="7"/>
  <c r="J5069" i="7" s="1"/>
  <c r="K5068" i="7"/>
  <c r="H5068" i="7"/>
  <c r="J5068" i="7" s="1"/>
  <c r="K5067" i="7"/>
  <c r="H5067" i="7"/>
  <c r="J5067" i="7" s="1"/>
  <c r="K5066" i="7"/>
  <c r="H5066" i="7"/>
  <c r="J5066" i="7" s="1"/>
  <c r="K5065" i="7"/>
  <c r="H5065" i="7"/>
  <c r="J5065" i="7" s="1"/>
  <c r="K5064" i="7"/>
  <c r="H5064" i="7"/>
  <c r="J5064" i="7" s="1"/>
  <c r="K5063" i="7"/>
  <c r="H5063" i="7"/>
  <c r="J5063" i="7" s="1"/>
  <c r="K5062" i="7"/>
  <c r="H5062" i="7"/>
  <c r="J5062" i="7" s="1"/>
  <c r="K5061" i="7"/>
  <c r="H5061" i="7"/>
  <c r="J5061" i="7" s="1"/>
  <c r="K5060" i="7"/>
  <c r="H5060" i="7"/>
  <c r="J5060" i="7" s="1"/>
  <c r="K5059" i="7"/>
  <c r="H5059" i="7"/>
  <c r="J5059" i="7" s="1"/>
  <c r="K5058" i="7"/>
  <c r="H5058" i="7"/>
  <c r="J5058" i="7" s="1"/>
  <c r="K5057" i="7"/>
  <c r="H5057" i="7"/>
  <c r="J5057" i="7" s="1"/>
  <c r="K5056" i="7"/>
  <c r="H5056" i="7"/>
  <c r="J5056" i="7" s="1"/>
  <c r="K5055" i="7"/>
  <c r="H5055" i="7"/>
  <c r="J5055" i="7" s="1"/>
  <c r="K5054" i="7"/>
  <c r="H5054" i="7"/>
  <c r="J5054" i="7" s="1"/>
  <c r="K5053" i="7"/>
  <c r="H5053" i="7"/>
  <c r="J5053" i="7" s="1"/>
  <c r="K5052" i="7"/>
  <c r="H5052" i="7"/>
  <c r="J5052" i="7" s="1"/>
  <c r="K5051" i="7"/>
  <c r="H5051" i="7"/>
  <c r="J5051" i="7" s="1"/>
  <c r="K5050" i="7"/>
  <c r="H5050" i="7"/>
  <c r="J5050" i="7" s="1"/>
  <c r="K5049" i="7"/>
  <c r="H5049" i="7"/>
  <c r="J5049" i="7" s="1"/>
  <c r="K5048" i="7"/>
  <c r="H5048" i="7"/>
  <c r="J5048" i="7" s="1"/>
  <c r="K5047" i="7"/>
  <c r="H5047" i="7"/>
  <c r="J5047" i="7" s="1"/>
  <c r="K5046" i="7"/>
  <c r="H5046" i="7"/>
  <c r="J5046" i="7" s="1"/>
  <c r="K5045" i="7"/>
  <c r="H5045" i="7"/>
  <c r="J5045" i="7" s="1"/>
  <c r="K5044" i="7"/>
  <c r="H5044" i="7"/>
  <c r="J5044" i="7" s="1"/>
  <c r="K5043" i="7"/>
  <c r="H5043" i="7"/>
  <c r="J5043" i="7" s="1"/>
  <c r="K5042" i="7"/>
  <c r="H5042" i="7"/>
  <c r="J5042" i="7" s="1"/>
  <c r="K5041" i="7"/>
  <c r="H5041" i="7"/>
  <c r="J5041" i="7" s="1"/>
  <c r="K5040" i="7"/>
  <c r="H5040" i="7"/>
  <c r="J5040" i="7" s="1"/>
  <c r="K5039" i="7"/>
  <c r="H5039" i="7"/>
  <c r="J5039" i="7" s="1"/>
  <c r="K5038" i="7"/>
  <c r="H5038" i="7"/>
  <c r="J5038" i="7" s="1"/>
  <c r="K5037" i="7"/>
  <c r="H5037" i="7"/>
  <c r="J5037" i="7" s="1"/>
  <c r="K5036" i="7"/>
  <c r="H5036" i="7"/>
  <c r="J5036" i="7" s="1"/>
  <c r="K5035" i="7"/>
  <c r="H5035" i="7"/>
  <c r="J5035" i="7" s="1"/>
  <c r="K5034" i="7"/>
  <c r="H5034" i="7"/>
  <c r="J5034" i="7" s="1"/>
  <c r="K5033" i="7"/>
  <c r="H5033" i="7"/>
  <c r="J5033" i="7" s="1"/>
  <c r="K5032" i="7"/>
  <c r="H5032" i="7"/>
  <c r="J5032" i="7" s="1"/>
  <c r="K5031" i="7"/>
  <c r="H5031" i="7"/>
  <c r="J5031" i="7" s="1"/>
  <c r="K5030" i="7"/>
  <c r="H5030" i="7"/>
  <c r="J5030" i="7" s="1"/>
  <c r="K5029" i="7"/>
  <c r="H5029" i="7"/>
  <c r="J5029" i="7" s="1"/>
  <c r="K5028" i="7"/>
  <c r="H5028" i="7"/>
  <c r="J5028" i="7" s="1"/>
  <c r="K5027" i="7"/>
  <c r="H5027" i="7"/>
  <c r="J5027" i="7" s="1"/>
  <c r="K5026" i="7"/>
  <c r="H5026" i="7"/>
  <c r="J5026" i="7" s="1"/>
  <c r="K5025" i="7"/>
  <c r="H5025" i="7"/>
  <c r="J5025" i="7" s="1"/>
  <c r="K5024" i="7"/>
  <c r="H5024" i="7"/>
  <c r="J5024" i="7" s="1"/>
  <c r="K5023" i="7"/>
  <c r="H5023" i="7"/>
  <c r="J5023" i="7" s="1"/>
  <c r="K5022" i="7"/>
  <c r="H5022" i="7"/>
  <c r="J5022" i="7" s="1"/>
  <c r="K5021" i="7"/>
  <c r="H5021" i="7"/>
  <c r="J5021" i="7" s="1"/>
  <c r="K5020" i="7"/>
  <c r="H5020" i="7"/>
  <c r="J5020" i="7" s="1"/>
  <c r="K5019" i="7"/>
  <c r="H5019" i="7"/>
  <c r="J5019" i="7" s="1"/>
  <c r="K5018" i="7"/>
  <c r="H5018" i="7"/>
  <c r="J5018" i="7" s="1"/>
  <c r="K5017" i="7"/>
  <c r="H5017" i="7"/>
  <c r="J5017" i="7" s="1"/>
  <c r="K5016" i="7"/>
  <c r="H5016" i="7"/>
  <c r="J5016" i="7" s="1"/>
  <c r="K5015" i="7"/>
  <c r="H5015" i="7"/>
  <c r="J5015" i="7" s="1"/>
  <c r="K5014" i="7"/>
  <c r="H5014" i="7"/>
  <c r="J5014" i="7" s="1"/>
  <c r="K5013" i="7"/>
  <c r="H5013" i="7"/>
  <c r="J5013" i="7" s="1"/>
  <c r="K5012" i="7"/>
  <c r="H5012" i="7"/>
  <c r="J5012" i="7" s="1"/>
  <c r="K5011" i="7"/>
  <c r="H5011" i="7"/>
  <c r="J5011" i="7" s="1"/>
  <c r="K5010" i="7"/>
  <c r="H5010" i="7"/>
  <c r="J5010" i="7" s="1"/>
  <c r="K5009" i="7"/>
  <c r="H5009" i="7"/>
  <c r="J5009" i="7" s="1"/>
  <c r="K5008" i="7"/>
  <c r="H5008" i="7"/>
  <c r="J5008" i="7" s="1"/>
  <c r="K5007" i="7"/>
  <c r="H5007" i="7"/>
  <c r="J5007" i="7" s="1"/>
  <c r="K5006" i="7"/>
  <c r="H5006" i="7"/>
  <c r="J5006" i="7" s="1"/>
  <c r="K5005" i="7"/>
  <c r="H5005" i="7"/>
  <c r="J5005" i="7" s="1"/>
  <c r="K5004" i="7"/>
  <c r="H5004" i="7"/>
  <c r="J5004" i="7" s="1"/>
  <c r="K5003" i="7"/>
  <c r="H5003" i="7"/>
  <c r="J5003" i="7" s="1"/>
  <c r="K5002" i="7"/>
  <c r="H5002" i="7"/>
  <c r="J5002" i="7" s="1"/>
  <c r="K5001" i="7"/>
  <c r="H5001" i="7"/>
  <c r="J5001" i="7" s="1"/>
  <c r="K5000" i="7"/>
  <c r="H5000" i="7"/>
  <c r="J5000" i="7" s="1"/>
  <c r="K4999" i="7"/>
  <c r="H4999" i="7"/>
  <c r="J4999" i="7" s="1"/>
  <c r="K4998" i="7"/>
  <c r="H4998" i="7"/>
  <c r="J4998" i="7" s="1"/>
  <c r="K4997" i="7"/>
  <c r="H4997" i="7"/>
  <c r="J4997" i="7" s="1"/>
  <c r="K4996" i="7"/>
  <c r="H4996" i="7"/>
  <c r="J4996" i="7" s="1"/>
  <c r="K4995" i="7"/>
  <c r="H4995" i="7"/>
  <c r="J4995" i="7" s="1"/>
  <c r="K4994" i="7"/>
  <c r="H4994" i="7"/>
  <c r="J4994" i="7" s="1"/>
  <c r="K4993" i="7"/>
  <c r="H4993" i="7"/>
  <c r="J4993" i="7" s="1"/>
  <c r="K4992" i="7"/>
  <c r="H4992" i="7"/>
  <c r="J4992" i="7" s="1"/>
  <c r="K4991" i="7"/>
  <c r="H4991" i="7"/>
  <c r="J4991" i="7" s="1"/>
  <c r="K4990" i="7"/>
  <c r="H4990" i="7"/>
  <c r="J4990" i="7" s="1"/>
  <c r="K4989" i="7"/>
  <c r="H4989" i="7"/>
  <c r="J4989" i="7" s="1"/>
  <c r="K4988" i="7"/>
  <c r="H4988" i="7"/>
  <c r="J4988" i="7" s="1"/>
  <c r="K4987" i="7"/>
  <c r="H4987" i="7"/>
  <c r="J4987" i="7" s="1"/>
  <c r="K4986" i="7"/>
  <c r="H4986" i="7"/>
  <c r="J4986" i="7" s="1"/>
  <c r="K4985" i="7"/>
  <c r="H4985" i="7"/>
  <c r="J4985" i="7" s="1"/>
  <c r="K4984" i="7"/>
  <c r="H4984" i="7"/>
  <c r="J4984" i="7" s="1"/>
  <c r="K4983" i="7"/>
  <c r="H4983" i="7"/>
  <c r="J4983" i="7" s="1"/>
  <c r="K4982" i="7"/>
  <c r="H4982" i="7"/>
  <c r="J4982" i="7" s="1"/>
  <c r="K4981" i="7"/>
  <c r="H4981" i="7"/>
  <c r="J4981" i="7" s="1"/>
  <c r="K4980" i="7"/>
  <c r="H4980" i="7"/>
  <c r="J4980" i="7" s="1"/>
  <c r="K4979" i="7"/>
  <c r="H4979" i="7"/>
  <c r="J4979" i="7" s="1"/>
  <c r="K4978" i="7"/>
  <c r="H4978" i="7"/>
  <c r="J4978" i="7" s="1"/>
  <c r="K4977" i="7"/>
  <c r="H4977" i="7"/>
  <c r="J4977" i="7" s="1"/>
  <c r="K4976" i="7"/>
  <c r="H4976" i="7"/>
  <c r="J4976" i="7" s="1"/>
  <c r="K4975" i="7"/>
  <c r="H4975" i="7"/>
  <c r="J4975" i="7" s="1"/>
  <c r="K4974" i="7"/>
  <c r="H4974" i="7"/>
  <c r="J4974" i="7" s="1"/>
  <c r="K4973" i="7"/>
  <c r="H4973" i="7"/>
  <c r="J4973" i="7" s="1"/>
  <c r="K4972" i="7"/>
  <c r="H4972" i="7"/>
  <c r="J4972" i="7" s="1"/>
  <c r="K4971" i="7"/>
  <c r="H4971" i="7"/>
  <c r="J4971" i="7" s="1"/>
  <c r="K4970" i="7"/>
  <c r="H4970" i="7"/>
  <c r="J4970" i="7" s="1"/>
  <c r="K4969" i="7"/>
  <c r="H4969" i="7"/>
  <c r="J4969" i="7" s="1"/>
  <c r="K4968" i="7"/>
  <c r="H4968" i="7"/>
  <c r="J4968" i="7" s="1"/>
  <c r="K4967" i="7"/>
  <c r="H4967" i="7"/>
  <c r="J4967" i="7" s="1"/>
  <c r="K4966" i="7"/>
  <c r="H4966" i="7"/>
  <c r="J4966" i="7" s="1"/>
  <c r="K4965" i="7"/>
  <c r="H4965" i="7"/>
  <c r="J4965" i="7" s="1"/>
  <c r="K4964" i="7"/>
  <c r="H4964" i="7"/>
  <c r="J4964" i="7" s="1"/>
  <c r="K4963" i="7"/>
  <c r="H4963" i="7"/>
  <c r="J4963" i="7" s="1"/>
  <c r="K4962" i="7"/>
  <c r="H4962" i="7"/>
  <c r="J4962" i="7" s="1"/>
  <c r="K4961" i="7"/>
  <c r="H4961" i="7"/>
  <c r="J4961" i="7" s="1"/>
  <c r="K4960" i="7"/>
  <c r="H4960" i="7"/>
  <c r="J4960" i="7" s="1"/>
  <c r="K4959" i="7"/>
  <c r="H4959" i="7"/>
  <c r="J4959" i="7" s="1"/>
  <c r="K4958" i="7"/>
  <c r="H4958" i="7"/>
  <c r="J4958" i="7" s="1"/>
  <c r="K4957" i="7"/>
  <c r="H4957" i="7"/>
  <c r="J4957" i="7" s="1"/>
  <c r="K4956" i="7"/>
  <c r="H4956" i="7"/>
  <c r="J4956" i="7" s="1"/>
  <c r="K4955" i="7"/>
  <c r="H4955" i="7"/>
  <c r="J4955" i="7" s="1"/>
  <c r="K4954" i="7"/>
  <c r="H4954" i="7"/>
  <c r="J4954" i="7" s="1"/>
  <c r="K4953" i="7"/>
  <c r="H4953" i="7"/>
  <c r="J4953" i="7" s="1"/>
  <c r="K4952" i="7"/>
  <c r="H4952" i="7"/>
  <c r="J4952" i="7" s="1"/>
  <c r="K4951" i="7"/>
  <c r="H4951" i="7"/>
  <c r="J4951" i="7" s="1"/>
  <c r="K4950" i="7"/>
  <c r="H4950" i="7"/>
  <c r="J4950" i="7" s="1"/>
  <c r="K4949" i="7"/>
  <c r="H4949" i="7"/>
  <c r="J4949" i="7" s="1"/>
  <c r="K4948" i="7"/>
  <c r="H4948" i="7"/>
  <c r="J4948" i="7" s="1"/>
  <c r="K4947" i="7"/>
  <c r="H4947" i="7"/>
  <c r="J4947" i="7" s="1"/>
  <c r="K4946" i="7"/>
  <c r="H4946" i="7"/>
  <c r="J4946" i="7" s="1"/>
  <c r="K4945" i="7"/>
  <c r="H4945" i="7"/>
  <c r="J4945" i="7" s="1"/>
  <c r="K4944" i="7"/>
  <c r="H4944" i="7"/>
  <c r="J4944" i="7" s="1"/>
  <c r="K4943" i="7"/>
  <c r="H4943" i="7"/>
  <c r="J4943" i="7" s="1"/>
  <c r="K4942" i="7"/>
  <c r="H4942" i="7"/>
  <c r="J4942" i="7" s="1"/>
  <c r="K4941" i="7"/>
  <c r="H4941" i="7"/>
  <c r="J4941" i="7" s="1"/>
  <c r="K4940" i="7"/>
  <c r="H4940" i="7"/>
  <c r="J4940" i="7" s="1"/>
  <c r="K4939" i="7"/>
  <c r="H4939" i="7"/>
  <c r="J4939" i="7" s="1"/>
  <c r="K4938" i="7"/>
  <c r="H4938" i="7"/>
  <c r="J4938" i="7" s="1"/>
  <c r="K4937" i="7"/>
  <c r="H4937" i="7"/>
  <c r="J4937" i="7" s="1"/>
  <c r="K4936" i="7"/>
  <c r="H4936" i="7"/>
  <c r="J4936" i="7" s="1"/>
  <c r="K4935" i="7"/>
  <c r="H4935" i="7"/>
  <c r="J4935" i="7" s="1"/>
  <c r="K4934" i="7"/>
  <c r="H4934" i="7"/>
  <c r="J4934" i="7" s="1"/>
  <c r="K4933" i="7"/>
  <c r="H4933" i="7"/>
  <c r="J4933" i="7" s="1"/>
  <c r="K4932" i="7"/>
  <c r="H4932" i="7"/>
  <c r="J4932" i="7" s="1"/>
  <c r="K4931" i="7"/>
  <c r="H4931" i="7"/>
  <c r="J4931" i="7" s="1"/>
  <c r="K4930" i="7"/>
  <c r="H4930" i="7"/>
  <c r="J4930" i="7" s="1"/>
  <c r="K4929" i="7"/>
  <c r="H4929" i="7"/>
  <c r="J4929" i="7" s="1"/>
  <c r="K4928" i="7"/>
  <c r="H4928" i="7"/>
  <c r="J4928" i="7" s="1"/>
  <c r="K4927" i="7"/>
  <c r="H4927" i="7"/>
  <c r="J4927" i="7" s="1"/>
  <c r="K4926" i="7"/>
  <c r="H4926" i="7"/>
  <c r="J4926" i="7" s="1"/>
  <c r="K4925" i="7"/>
  <c r="H4925" i="7"/>
  <c r="J4925" i="7" s="1"/>
  <c r="K4924" i="7"/>
  <c r="H4924" i="7"/>
  <c r="J4924" i="7" s="1"/>
  <c r="K4923" i="7"/>
  <c r="H4923" i="7"/>
  <c r="J4923" i="7" s="1"/>
  <c r="K4922" i="7"/>
  <c r="H4922" i="7"/>
  <c r="J4922" i="7" s="1"/>
  <c r="K4921" i="7"/>
  <c r="H4921" i="7"/>
  <c r="J4921" i="7" s="1"/>
  <c r="K4920" i="7"/>
  <c r="H4920" i="7"/>
  <c r="J4920" i="7" s="1"/>
  <c r="K4919" i="7"/>
  <c r="H4919" i="7"/>
  <c r="J4919" i="7" s="1"/>
  <c r="K4918" i="7"/>
  <c r="H4918" i="7"/>
  <c r="J4918" i="7" s="1"/>
  <c r="K4917" i="7"/>
  <c r="H4917" i="7"/>
  <c r="J4917" i="7" s="1"/>
  <c r="K4916" i="7"/>
  <c r="H4916" i="7"/>
  <c r="J4916" i="7" s="1"/>
  <c r="K4915" i="7"/>
  <c r="H4915" i="7"/>
  <c r="J4915" i="7" s="1"/>
  <c r="K4914" i="7"/>
  <c r="H4914" i="7"/>
  <c r="J4914" i="7" s="1"/>
  <c r="K4913" i="7"/>
  <c r="H4913" i="7"/>
  <c r="J4913" i="7" s="1"/>
  <c r="K4912" i="7"/>
  <c r="H4912" i="7"/>
  <c r="J4912" i="7" s="1"/>
  <c r="K4911" i="7"/>
  <c r="H4911" i="7"/>
  <c r="J4911" i="7" s="1"/>
  <c r="K4910" i="7"/>
  <c r="H4910" i="7"/>
  <c r="J4910" i="7" s="1"/>
  <c r="K4909" i="7"/>
  <c r="H4909" i="7"/>
  <c r="J4909" i="7" s="1"/>
  <c r="K4908" i="7"/>
  <c r="H4908" i="7"/>
  <c r="J4908" i="7" s="1"/>
  <c r="K4907" i="7"/>
  <c r="H4907" i="7"/>
  <c r="J4907" i="7" s="1"/>
  <c r="K4906" i="7"/>
  <c r="H4906" i="7"/>
  <c r="J4906" i="7" s="1"/>
  <c r="K4905" i="7"/>
  <c r="H4905" i="7"/>
  <c r="J4905" i="7" s="1"/>
  <c r="K4904" i="7"/>
  <c r="H4904" i="7"/>
  <c r="J4904" i="7" s="1"/>
  <c r="K4903" i="7"/>
  <c r="H4903" i="7"/>
  <c r="J4903" i="7" s="1"/>
  <c r="K4902" i="7"/>
  <c r="H4902" i="7"/>
  <c r="J4902" i="7" s="1"/>
  <c r="K4901" i="7"/>
  <c r="H4901" i="7"/>
  <c r="J4901" i="7" s="1"/>
  <c r="K4900" i="7"/>
  <c r="H4900" i="7"/>
  <c r="J4900" i="7" s="1"/>
  <c r="K4899" i="7"/>
  <c r="H4899" i="7"/>
  <c r="J4899" i="7" s="1"/>
  <c r="K4898" i="7"/>
  <c r="H4898" i="7"/>
  <c r="J4898" i="7" s="1"/>
  <c r="K4897" i="7"/>
  <c r="H4897" i="7"/>
  <c r="J4897" i="7" s="1"/>
  <c r="K4896" i="7"/>
  <c r="H4896" i="7"/>
  <c r="J4896" i="7" s="1"/>
  <c r="K4895" i="7"/>
  <c r="H4895" i="7"/>
  <c r="J4895" i="7" s="1"/>
  <c r="K4894" i="7"/>
  <c r="H4894" i="7"/>
  <c r="J4894" i="7" s="1"/>
  <c r="K4893" i="7"/>
  <c r="H4893" i="7"/>
  <c r="J4893" i="7" s="1"/>
  <c r="K4892" i="7"/>
  <c r="H4892" i="7"/>
  <c r="J4892" i="7" s="1"/>
  <c r="K4891" i="7"/>
  <c r="H4891" i="7"/>
  <c r="J4891" i="7" s="1"/>
  <c r="K4890" i="7"/>
  <c r="H4890" i="7"/>
  <c r="J4890" i="7" s="1"/>
  <c r="K4889" i="7"/>
  <c r="H4889" i="7"/>
  <c r="J4889" i="7" s="1"/>
  <c r="K4888" i="7"/>
  <c r="H4888" i="7"/>
  <c r="J4888" i="7" s="1"/>
  <c r="K4887" i="7"/>
  <c r="H4887" i="7"/>
  <c r="J4887" i="7" s="1"/>
  <c r="K4886" i="7"/>
  <c r="H4886" i="7"/>
  <c r="J4886" i="7" s="1"/>
  <c r="K4885" i="7"/>
  <c r="H4885" i="7"/>
  <c r="J4885" i="7" s="1"/>
  <c r="K4884" i="7"/>
  <c r="H4884" i="7"/>
  <c r="J4884" i="7" s="1"/>
  <c r="K4883" i="7"/>
  <c r="H4883" i="7"/>
  <c r="J4883" i="7" s="1"/>
  <c r="K4882" i="7"/>
  <c r="H4882" i="7"/>
  <c r="J4882" i="7" s="1"/>
  <c r="K4881" i="7"/>
  <c r="H4881" i="7"/>
  <c r="J4881" i="7" s="1"/>
  <c r="K4880" i="7"/>
  <c r="H4880" i="7"/>
  <c r="J4880" i="7" s="1"/>
  <c r="K4879" i="7"/>
  <c r="H4879" i="7"/>
  <c r="J4879" i="7" s="1"/>
  <c r="K4878" i="7"/>
  <c r="H4878" i="7"/>
  <c r="J4878" i="7" s="1"/>
  <c r="K4877" i="7"/>
  <c r="H4877" i="7"/>
  <c r="J4877" i="7" s="1"/>
  <c r="K4876" i="7"/>
  <c r="H4876" i="7"/>
  <c r="J4876" i="7" s="1"/>
  <c r="K4875" i="7"/>
  <c r="H4875" i="7"/>
  <c r="J4875" i="7" s="1"/>
  <c r="K4874" i="7"/>
  <c r="H4874" i="7"/>
  <c r="J4874" i="7" s="1"/>
  <c r="K4873" i="7"/>
  <c r="H4873" i="7"/>
  <c r="J4873" i="7" s="1"/>
  <c r="K4872" i="7"/>
  <c r="H4872" i="7"/>
  <c r="J4872" i="7" s="1"/>
  <c r="K4871" i="7"/>
  <c r="H4871" i="7"/>
  <c r="J4871" i="7" s="1"/>
  <c r="K4870" i="7"/>
  <c r="H4870" i="7"/>
  <c r="J4870" i="7" s="1"/>
  <c r="K4869" i="7"/>
  <c r="H4869" i="7"/>
  <c r="J4869" i="7" s="1"/>
  <c r="K4868" i="7"/>
  <c r="H4868" i="7"/>
  <c r="J4868" i="7" s="1"/>
  <c r="K4867" i="7"/>
  <c r="H4867" i="7"/>
  <c r="J4867" i="7" s="1"/>
  <c r="K4866" i="7"/>
  <c r="H4866" i="7"/>
  <c r="J4866" i="7" s="1"/>
  <c r="K4865" i="7"/>
  <c r="H4865" i="7"/>
  <c r="J4865" i="7" s="1"/>
  <c r="K4864" i="7"/>
  <c r="H4864" i="7"/>
  <c r="J4864" i="7" s="1"/>
  <c r="K4863" i="7"/>
  <c r="H4863" i="7"/>
  <c r="J4863" i="7" s="1"/>
  <c r="K4862" i="7"/>
  <c r="H4862" i="7"/>
  <c r="J4862" i="7" s="1"/>
  <c r="K4861" i="7"/>
  <c r="H4861" i="7"/>
  <c r="J4861" i="7" s="1"/>
  <c r="K4860" i="7"/>
  <c r="H4860" i="7"/>
  <c r="J4860" i="7" s="1"/>
  <c r="K4859" i="7"/>
  <c r="H4859" i="7"/>
  <c r="J4859" i="7" s="1"/>
  <c r="K4858" i="7"/>
  <c r="H4858" i="7"/>
  <c r="J4858" i="7" s="1"/>
  <c r="K4857" i="7"/>
  <c r="H4857" i="7"/>
  <c r="J4857" i="7" s="1"/>
  <c r="K4856" i="7"/>
  <c r="H4856" i="7"/>
  <c r="J4856" i="7" s="1"/>
  <c r="K4855" i="7"/>
  <c r="H4855" i="7"/>
  <c r="J4855" i="7" s="1"/>
  <c r="K4854" i="7"/>
  <c r="H4854" i="7"/>
  <c r="J4854" i="7" s="1"/>
  <c r="K4853" i="7"/>
  <c r="H4853" i="7"/>
  <c r="J4853" i="7" s="1"/>
  <c r="K4852" i="7"/>
  <c r="H4852" i="7"/>
  <c r="J4852" i="7" s="1"/>
  <c r="K4851" i="7"/>
  <c r="H4851" i="7"/>
  <c r="J4851" i="7" s="1"/>
  <c r="K4850" i="7"/>
  <c r="H4850" i="7"/>
  <c r="J4850" i="7" s="1"/>
  <c r="K4849" i="7"/>
  <c r="H4849" i="7"/>
  <c r="J4849" i="7" s="1"/>
  <c r="K4848" i="7"/>
  <c r="H4848" i="7"/>
  <c r="J4848" i="7" s="1"/>
  <c r="K4847" i="7"/>
  <c r="H4847" i="7"/>
  <c r="J4847" i="7" s="1"/>
  <c r="K4846" i="7"/>
  <c r="H4846" i="7"/>
  <c r="J4846" i="7" s="1"/>
  <c r="K4845" i="7"/>
  <c r="H4845" i="7"/>
  <c r="J4845" i="7" s="1"/>
  <c r="K4844" i="7"/>
  <c r="H4844" i="7"/>
  <c r="J4844" i="7" s="1"/>
  <c r="K4843" i="7"/>
  <c r="H4843" i="7"/>
  <c r="J4843" i="7" s="1"/>
  <c r="K4842" i="7"/>
  <c r="H4842" i="7"/>
  <c r="J4842" i="7" s="1"/>
  <c r="K4841" i="7"/>
  <c r="H4841" i="7"/>
  <c r="J4841" i="7" s="1"/>
  <c r="K4840" i="7"/>
  <c r="H4840" i="7"/>
  <c r="J4840" i="7" s="1"/>
  <c r="K4839" i="7"/>
  <c r="H4839" i="7"/>
  <c r="J4839" i="7" s="1"/>
  <c r="K4838" i="7"/>
  <c r="H4838" i="7"/>
  <c r="J4838" i="7" s="1"/>
  <c r="K4837" i="7"/>
  <c r="H4837" i="7"/>
  <c r="J4837" i="7" s="1"/>
  <c r="K4836" i="7"/>
  <c r="H4836" i="7"/>
  <c r="J4836" i="7" s="1"/>
  <c r="K4835" i="7"/>
  <c r="H4835" i="7"/>
  <c r="J4835" i="7" s="1"/>
  <c r="K4834" i="7"/>
  <c r="H4834" i="7"/>
  <c r="J4834" i="7" s="1"/>
  <c r="K4833" i="7"/>
  <c r="H4833" i="7"/>
  <c r="J4833" i="7" s="1"/>
  <c r="K4832" i="7"/>
  <c r="H4832" i="7"/>
  <c r="J4832" i="7" s="1"/>
  <c r="K4831" i="7"/>
  <c r="H4831" i="7"/>
  <c r="J4831" i="7" s="1"/>
  <c r="K4830" i="7"/>
  <c r="H4830" i="7"/>
  <c r="J4830" i="7" s="1"/>
  <c r="K4829" i="7"/>
  <c r="H4829" i="7"/>
  <c r="J4829" i="7" s="1"/>
  <c r="K4828" i="7"/>
  <c r="H4828" i="7"/>
  <c r="J4828" i="7" s="1"/>
  <c r="K4827" i="7"/>
  <c r="H4827" i="7"/>
  <c r="J4827" i="7" s="1"/>
  <c r="K4826" i="7"/>
  <c r="H4826" i="7"/>
  <c r="J4826" i="7" s="1"/>
  <c r="K4825" i="7"/>
  <c r="H4825" i="7"/>
  <c r="J4825" i="7" s="1"/>
  <c r="K4824" i="7"/>
  <c r="H4824" i="7"/>
  <c r="J4824" i="7" s="1"/>
  <c r="K4823" i="7"/>
  <c r="H4823" i="7"/>
  <c r="J4823" i="7" s="1"/>
  <c r="K4822" i="7"/>
  <c r="H4822" i="7"/>
  <c r="J4822" i="7" s="1"/>
  <c r="K4821" i="7"/>
  <c r="H4821" i="7"/>
  <c r="J4821" i="7" s="1"/>
  <c r="K4820" i="7"/>
  <c r="H4820" i="7"/>
  <c r="J4820" i="7" s="1"/>
  <c r="K4819" i="7"/>
  <c r="H4819" i="7"/>
  <c r="J4819" i="7" s="1"/>
  <c r="K4818" i="7"/>
  <c r="H4818" i="7"/>
  <c r="J4818" i="7" s="1"/>
  <c r="K4817" i="7"/>
  <c r="H4817" i="7"/>
  <c r="J4817" i="7" s="1"/>
  <c r="K4816" i="7"/>
  <c r="H4816" i="7"/>
  <c r="J4816" i="7" s="1"/>
  <c r="K4815" i="7"/>
  <c r="H4815" i="7"/>
  <c r="J4815" i="7" s="1"/>
  <c r="K4814" i="7"/>
  <c r="H4814" i="7"/>
  <c r="J4814" i="7" s="1"/>
  <c r="K4813" i="7"/>
  <c r="H4813" i="7"/>
  <c r="J4813" i="7" s="1"/>
  <c r="K4812" i="7"/>
  <c r="H4812" i="7"/>
  <c r="J4812" i="7" s="1"/>
  <c r="K4811" i="7"/>
  <c r="H4811" i="7"/>
  <c r="J4811" i="7" s="1"/>
  <c r="K4810" i="7"/>
  <c r="H4810" i="7"/>
  <c r="J4810" i="7" s="1"/>
  <c r="K4809" i="7"/>
  <c r="H4809" i="7"/>
  <c r="J4809" i="7" s="1"/>
  <c r="K4808" i="7"/>
  <c r="H4808" i="7"/>
  <c r="J4808" i="7" s="1"/>
  <c r="K4807" i="7"/>
  <c r="H4807" i="7"/>
  <c r="J4807" i="7" s="1"/>
  <c r="K4806" i="7"/>
  <c r="H4806" i="7"/>
  <c r="J4806" i="7" s="1"/>
  <c r="K4805" i="7"/>
  <c r="H4805" i="7"/>
  <c r="J4805" i="7" s="1"/>
  <c r="K4804" i="7"/>
  <c r="H4804" i="7"/>
  <c r="J4804" i="7" s="1"/>
  <c r="K4803" i="7"/>
  <c r="H4803" i="7"/>
  <c r="J4803" i="7" s="1"/>
  <c r="K4802" i="7"/>
  <c r="H4802" i="7"/>
  <c r="J4802" i="7" s="1"/>
  <c r="K4801" i="7"/>
  <c r="H4801" i="7"/>
  <c r="J4801" i="7" s="1"/>
  <c r="K4800" i="7"/>
  <c r="H4800" i="7"/>
  <c r="J4800" i="7" s="1"/>
  <c r="K4799" i="7"/>
  <c r="H4799" i="7"/>
  <c r="J4799" i="7" s="1"/>
  <c r="K4798" i="7"/>
  <c r="H4798" i="7"/>
  <c r="J4798" i="7" s="1"/>
  <c r="K4797" i="7"/>
  <c r="H4797" i="7"/>
  <c r="J4797" i="7" s="1"/>
  <c r="K4796" i="7"/>
  <c r="H4796" i="7"/>
  <c r="J4796" i="7" s="1"/>
  <c r="K4795" i="7"/>
  <c r="H4795" i="7"/>
  <c r="J4795" i="7" s="1"/>
  <c r="K4794" i="7"/>
  <c r="H4794" i="7"/>
  <c r="J4794" i="7" s="1"/>
  <c r="K4793" i="7"/>
  <c r="H4793" i="7"/>
  <c r="J4793" i="7" s="1"/>
  <c r="K4792" i="7"/>
  <c r="H4792" i="7"/>
  <c r="J4792" i="7" s="1"/>
  <c r="K4791" i="7"/>
  <c r="H4791" i="7"/>
  <c r="J4791" i="7" s="1"/>
  <c r="K4790" i="7"/>
  <c r="H4790" i="7"/>
  <c r="J4790" i="7" s="1"/>
  <c r="K4789" i="7"/>
  <c r="H4789" i="7"/>
  <c r="J4789" i="7" s="1"/>
  <c r="K4788" i="7"/>
  <c r="H4788" i="7"/>
  <c r="J4788" i="7" s="1"/>
  <c r="K4787" i="7"/>
  <c r="H4787" i="7"/>
  <c r="J4787" i="7" s="1"/>
  <c r="K4786" i="7"/>
  <c r="H4786" i="7"/>
  <c r="J4786" i="7" s="1"/>
  <c r="K4785" i="7"/>
  <c r="H4785" i="7"/>
  <c r="J4785" i="7" s="1"/>
  <c r="K4784" i="7"/>
  <c r="H4784" i="7"/>
  <c r="J4784" i="7" s="1"/>
  <c r="K4783" i="7"/>
  <c r="H4783" i="7"/>
  <c r="J4783" i="7" s="1"/>
  <c r="K4782" i="7"/>
  <c r="H4782" i="7"/>
  <c r="J4782" i="7" s="1"/>
  <c r="K4781" i="7"/>
  <c r="H4781" i="7"/>
  <c r="J4781" i="7" s="1"/>
  <c r="K4780" i="7"/>
  <c r="H4780" i="7"/>
  <c r="J4780" i="7" s="1"/>
  <c r="K4779" i="7"/>
  <c r="H4779" i="7"/>
  <c r="J4779" i="7" s="1"/>
  <c r="K4778" i="7"/>
  <c r="H4778" i="7"/>
  <c r="J4778" i="7" s="1"/>
  <c r="K4777" i="7"/>
  <c r="H4777" i="7"/>
  <c r="J4777" i="7" s="1"/>
  <c r="K4776" i="7"/>
  <c r="H4776" i="7"/>
  <c r="J4776" i="7" s="1"/>
  <c r="K4775" i="7"/>
  <c r="H4775" i="7"/>
  <c r="J4775" i="7" s="1"/>
  <c r="K4774" i="7"/>
  <c r="H4774" i="7"/>
  <c r="J4774" i="7" s="1"/>
  <c r="K4773" i="7"/>
  <c r="H4773" i="7"/>
  <c r="J4773" i="7" s="1"/>
  <c r="K4772" i="7"/>
  <c r="H4772" i="7"/>
  <c r="J4772" i="7" s="1"/>
  <c r="K4771" i="7"/>
  <c r="H4771" i="7"/>
  <c r="J4771" i="7" s="1"/>
  <c r="K4770" i="7"/>
  <c r="H4770" i="7"/>
  <c r="J4770" i="7" s="1"/>
  <c r="K4769" i="7"/>
  <c r="H4769" i="7"/>
  <c r="J4769" i="7" s="1"/>
  <c r="K4768" i="7"/>
  <c r="H4768" i="7"/>
  <c r="J4768" i="7" s="1"/>
  <c r="K4767" i="7"/>
  <c r="H4767" i="7"/>
  <c r="J4767" i="7" s="1"/>
  <c r="K4766" i="7"/>
  <c r="H4766" i="7"/>
  <c r="J4766" i="7" s="1"/>
  <c r="K4765" i="7"/>
  <c r="H4765" i="7"/>
  <c r="J4765" i="7" s="1"/>
  <c r="K4764" i="7"/>
  <c r="H4764" i="7"/>
  <c r="J4764" i="7" s="1"/>
  <c r="K4763" i="7"/>
  <c r="H4763" i="7"/>
  <c r="J4763" i="7" s="1"/>
  <c r="K4762" i="7"/>
  <c r="H4762" i="7"/>
  <c r="J4762" i="7" s="1"/>
  <c r="K4761" i="7"/>
  <c r="H4761" i="7"/>
  <c r="J4761" i="7" s="1"/>
  <c r="K4760" i="7"/>
  <c r="H4760" i="7"/>
  <c r="J4760" i="7" s="1"/>
  <c r="K4759" i="7"/>
  <c r="H4759" i="7"/>
  <c r="J4759" i="7" s="1"/>
  <c r="K4758" i="7"/>
  <c r="H4758" i="7"/>
  <c r="J4758" i="7" s="1"/>
  <c r="K4757" i="7"/>
  <c r="H4757" i="7"/>
  <c r="J4757" i="7" s="1"/>
  <c r="K4756" i="7"/>
  <c r="H4756" i="7"/>
  <c r="J4756" i="7" s="1"/>
  <c r="K4755" i="7"/>
  <c r="H4755" i="7"/>
  <c r="J4755" i="7" s="1"/>
  <c r="K4754" i="7"/>
  <c r="H4754" i="7"/>
  <c r="J4754" i="7" s="1"/>
  <c r="K4753" i="7"/>
  <c r="H4753" i="7"/>
  <c r="J4753" i="7" s="1"/>
  <c r="K4752" i="7"/>
  <c r="H4752" i="7"/>
  <c r="J4752" i="7" s="1"/>
  <c r="K4751" i="7"/>
  <c r="H4751" i="7"/>
  <c r="J4751" i="7" s="1"/>
  <c r="K4750" i="7"/>
  <c r="H4750" i="7"/>
  <c r="J4750" i="7" s="1"/>
  <c r="K4749" i="7"/>
  <c r="H4749" i="7"/>
  <c r="J4749" i="7" s="1"/>
  <c r="K4748" i="7"/>
  <c r="H4748" i="7"/>
  <c r="J4748" i="7" s="1"/>
  <c r="K4747" i="7"/>
  <c r="H4747" i="7"/>
  <c r="J4747" i="7" s="1"/>
  <c r="K4746" i="7"/>
  <c r="H4746" i="7"/>
  <c r="J4746" i="7" s="1"/>
  <c r="K4745" i="7"/>
  <c r="H4745" i="7"/>
  <c r="J4745" i="7" s="1"/>
  <c r="K4744" i="7"/>
  <c r="H4744" i="7"/>
  <c r="J4744" i="7" s="1"/>
  <c r="K4743" i="7"/>
  <c r="H4743" i="7"/>
  <c r="J4743" i="7" s="1"/>
  <c r="K4742" i="7"/>
  <c r="H4742" i="7"/>
  <c r="J4742" i="7" s="1"/>
  <c r="K4741" i="7"/>
  <c r="H4741" i="7"/>
  <c r="J4741" i="7" s="1"/>
  <c r="K4740" i="7"/>
  <c r="H4740" i="7"/>
  <c r="J4740" i="7" s="1"/>
  <c r="K4739" i="7"/>
  <c r="H4739" i="7"/>
  <c r="J4739" i="7" s="1"/>
  <c r="K4738" i="7"/>
  <c r="H4738" i="7"/>
  <c r="J4738" i="7" s="1"/>
  <c r="K4737" i="7"/>
  <c r="H4737" i="7"/>
  <c r="J4737" i="7" s="1"/>
  <c r="K4736" i="7"/>
  <c r="H4736" i="7"/>
  <c r="J4736" i="7" s="1"/>
  <c r="K4735" i="7"/>
  <c r="H4735" i="7"/>
  <c r="J4735" i="7" s="1"/>
  <c r="K4734" i="7"/>
  <c r="H4734" i="7"/>
  <c r="J4734" i="7" s="1"/>
  <c r="K4733" i="7"/>
  <c r="H4733" i="7"/>
  <c r="J4733" i="7" s="1"/>
  <c r="K4732" i="7"/>
  <c r="H4732" i="7"/>
  <c r="J4732" i="7" s="1"/>
  <c r="K4731" i="7"/>
  <c r="H4731" i="7"/>
  <c r="J4731" i="7" s="1"/>
  <c r="K4730" i="7"/>
  <c r="H4730" i="7"/>
  <c r="J4730" i="7" s="1"/>
  <c r="K4729" i="7"/>
  <c r="H4729" i="7"/>
  <c r="J4729" i="7" s="1"/>
  <c r="K4728" i="7"/>
  <c r="H4728" i="7"/>
  <c r="J4728" i="7" s="1"/>
  <c r="K4727" i="7"/>
  <c r="H4727" i="7"/>
  <c r="J4727" i="7" s="1"/>
  <c r="K4726" i="7"/>
  <c r="H4726" i="7"/>
  <c r="J4726" i="7" s="1"/>
  <c r="K4725" i="7"/>
  <c r="H4725" i="7"/>
  <c r="J4725" i="7" s="1"/>
  <c r="K4724" i="7"/>
  <c r="H4724" i="7"/>
  <c r="J4724" i="7" s="1"/>
  <c r="K4723" i="7"/>
  <c r="H4723" i="7"/>
  <c r="J4723" i="7" s="1"/>
  <c r="K4722" i="7"/>
  <c r="H4722" i="7"/>
  <c r="J4722" i="7" s="1"/>
  <c r="K4721" i="7"/>
  <c r="H4721" i="7"/>
  <c r="J4721" i="7" s="1"/>
  <c r="K4720" i="7"/>
  <c r="H4720" i="7"/>
  <c r="J4720" i="7" s="1"/>
  <c r="K4719" i="7"/>
  <c r="H4719" i="7"/>
  <c r="J4719" i="7" s="1"/>
  <c r="K4718" i="7"/>
  <c r="H4718" i="7"/>
  <c r="J4718" i="7" s="1"/>
  <c r="K4717" i="7"/>
  <c r="H4717" i="7"/>
  <c r="J4717" i="7" s="1"/>
  <c r="K4716" i="7"/>
  <c r="H4716" i="7"/>
  <c r="J4716" i="7" s="1"/>
  <c r="K4715" i="7"/>
  <c r="H4715" i="7"/>
  <c r="J4715" i="7" s="1"/>
  <c r="K4714" i="7"/>
  <c r="H4714" i="7"/>
  <c r="J4714" i="7" s="1"/>
  <c r="K4713" i="7"/>
  <c r="H4713" i="7"/>
  <c r="J4713" i="7" s="1"/>
  <c r="K4712" i="7"/>
  <c r="H4712" i="7"/>
  <c r="J4712" i="7" s="1"/>
  <c r="K4711" i="7"/>
  <c r="H4711" i="7"/>
  <c r="J4711" i="7" s="1"/>
  <c r="K4710" i="7"/>
  <c r="H4710" i="7"/>
  <c r="J4710" i="7" s="1"/>
  <c r="K4709" i="7"/>
  <c r="H4709" i="7"/>
  <c r="J4709" i="7" s="1"/>
  <c r="K4708" i="7"/>
  <c r="H4708" i="7"/>
  <c r="J4708" i="7" s="1"/>
  <c r="K4707" i="7"/>
  <c r="H4707" i="7"/>
  <c r="J4707" i="7" s="1"/>
  <c r="K4706" i="7"/>
  <c r="H4706" i="7"/>
  <c r="J4706" i="7" s="1"/>
  <c r="K4705" i="7"/>
  <c r="H4705" i="7"/>
  <c r="J4705" i="7" s="1"/>
  <c r="K4704" i="7"/>
  <c r="H4704" i="7"/>
  <c r="J4704" i="7" s="1"/>
  <c r="K4703" i="7"/>
  <c r="H4703" i="7"/>
  <c r="J4703" i="7" s="1"/>
  <c r="K4702" i="7"/>
  <c r="H4702" i="7"/>
  <c r="J4702" i="7" s="1"/>
  <c r="K4701" i="7"/>
  <c r="H4701" i="7"/>
  <c r="J4701" i="7" s="1"/>
  <c r="K4700" i="7"/>
  <c r="H4700" i="7"/>
  <c r="J4700" i="7" s="1"/>
  <c r="K4699" i="7"/>
  <c r="H4699" i="7"/>
  <c r="J4699" i="7" s="1"/>
  <c r="K4698" i="7"/>
  <c r="H4698" i="7"/>
  <c r="J4698" i="7" s="1"/>
  <c r="K4697" i="7"/>
  <c r="H4697" i="7"/>
  <c r="J4697" i="7" s="1"/>
  <c r="K4696" i="7"/>
  <c r="H4696" i="7"/>
  <c r="J4696" i="7" s="1"/>
  <c r="K4695" i="7"/>
  <c r="H4695" i="7"/>
  <c r="J4695" i="7" s="1"/>
  <c r="K4694" i="7"/>
  <c r="H4694" i="7"/>
  <c r="J4694" i="7" s="1"/>
  <c r="K4693" i="7"/>
  <c r="H4693" i="7"/>
  <c r="J4693" i="7" s="1"/>
  <c r="K4692" i="7"/>
  <c r="H4692" i="7"/>
  <c r="J4692" i="7" s="1"/>
  <c r="K4691" i="7"/>
  <c r="H4691" i="7"/>
  <c r="J4691" i="7" s="1"/>
  <c r="K4690" i="7"/>
  <c r="H4690" i="7"/>
  <c r="J4690" i="7" s="1"/>
  <c r="K4689" i="7"/>
  <c r="H4689" i="7"/>
  <c r="J4689" i="7" s="1"/>
  <c r="K4688" i="7"/>
  <c r="H4688" i="7"/>
  <c r="J4688" i="7" s="1"/>
  <c r="K4687" i="7"/>
  <c r="H4687" i="7"/>
  <c r="J4687" i="7" s="1"/>
  <c r="K4686" i="7"/>
  <c r="H4686" i="7"/>
  <c r="J4686" i="7" s="1"/>
  <c r="K4685" i="7"/>
  <c r="H4685" i="7"/>
  <c r="J4685" i="7" s="1"/>
  <c r="K4684" i="7"/>
  <c r="H4684" i="7"/>
  <c r="J4684" i="7" s="1"/>
  <c r="K4683" i="7"/>
  <c r="H4683" i="7"/>
  <c r="J4683" i="7" s="1"/>
  <c r="K4682" i="7"/>
  <c r="H4682" i="7"/>
  <c r="J4682" i="7" s="1"/>
  <c r="K4681" i="7"/>
  <c r="H4681" i="7"/>
  <c r="J4681" i="7" s="1"/>
  <c r="K4680" i="7"/>
  <c r="H4680" i="7"/>
  <c r="J4680" i="7" s="1"/>
  <c r="K4679" i="7"/>
  <c r="H4679" i="7"/>
  <c r="J4679" i="7" s="1"/>
  <c r="K4678" i="7"/>
  <c r="H4678" i="7"/>
  <c r="J4678" i="7" s="1"/>
  <c r="K4677" i="7"/>
  <c r="H4677" i="7"/>
  <c r="J4677" i="7" s="1"/>
  <c r="K4676" i="7"/>
  <c r="H4676" i="7"/>
  <c r="J4676" i="7" s="1"/>
  <c r="K4675" i="7"/>
  <c r="H4675" i="7"/>
  <c r="J4675" i="7" s="1"/>
  <c r="K4674" i="7"/>
  <c r="H4674" i="7"/>
  <c r="J4674" i="7" s="1"/>
  <c r="K4673" i="7"/>
  <c r="H4673" i="7"/>
  <c r="J4673" i="7" s="1"/>
  <c r="K4672" i="7"/>
  <c r="H4672" i="7"/>
  <c r="J4672" i="7" s="1"/>
  <c r="K4671" i="7"/>
  <c r="H4671" i="7"/>
  <c r="J4671" i="7" s="1"/>
  <c r="K4670" i="7"/>
  <c r="H4670" i="7"/>
  <c r="J4670" i="7" s="1"/>
  <c r="K4669" i="7"/>
  <c r="H4669" i="7"/>
  <c r="J4669" i="7" s="1"/>
  <c r="K4668" i="7"/>
  <c r="H4668" i="7"/>
  <c r="J4668" i="7" s="1"/>
  <c r="K4667" i="7"/>
  <c r="H4667" i="7"/>
  <c r="J4667" i="7" s="1"/>
  <c r="K4666" i="7"/>
  <c r="H4666" i="7"/>
  <c r="J4666" i="7" s="1"/>
  <c r="K4665" i="7"/>
  <c r="H4665" i="7"/>
  <c r="J4665" i="7" s="1"/>
  <c r="K4664" i="7"/>
  <c r="H4664" i="7"/>
  <c r="J4664" i="7" s="1"/>
  <c r="K4663" i="7"/>
  <c r="H4663" i="7"/>
  <c r="J4663" i="7" s="1"/>
  <c r="K4662" i="7"/>
  <c r="H4662" i="7"/>
  <c r="J4662" i="7" s="1"/>
  <c r="K4661" i="7"/>
  <c r="H4661" i="7"/>
  <c r="J4661" i="7" s="1"/>
  <c r="K4660" i="7"/>
  <c r="H4660" i="7"/>
  <c r="J4660" i="7" s="1"/>
  <c r="K4659" i="7"/>
  <c r="H4659" i="7"/>
  <c r="J4659" i="7" s="1"/>
  <c r="K4658" i="7"/>
  <c r="H4658" i="7"/>
  <c r="J4658" i="7" s="1"/>
  <c r="K4657" i="7"/>
  <c r="H4657" i="7"/>
  <c r="J4657" i="7" s="1"/>
  <c r="K4656" i="7"/>
  <c r="H4656" i="7"/>
  <c r="J4656" i="7" s="1"/>
  <c r="K4655" i="7"/>
  <c r="H4655" i="7"/>
  <c r="J4655" i="7" s="1"/>
  <c r="K4654" i="7"/>
  <c r="H4654" i="7"/>
  <c r="J4654" i="7" s="1"/>
  <c r="K4653" i="7"/>
  <c r="H4653" i="7"/>
  <c r="J4653" i="7" s="1"/>
  <c r="K4652" i="7"/>
  <c r="H4652" i="7"/>
  <c r="J4652" i="7" s="1"/>
  <c r="K4651" i="7"/>
  <c r="H4651" i="7"/>
  <c r="J4651" i="7" s="1"/>
  <c r="K4650" i="7"/>
  <c r="H4650" i="7"/>
  <c r="J4650" i="7" s="1"/>
  <c r="K4649" i="7"/>
  <c r="H4649" i="7"/>
  <c r="J4649" i="7" s="1"/>
  <c r="K4648" i="7"/>
  <c r="H4648" i="7"/>
  <c r="J4648" i="7" s="1"/>
  <c r="K4647" i="7"/>
  <c r="H4647" i="7"/>
  <c r="J4647" i="7" s="1"/>
  <c r="K4646" i="7"/>
  <c r="H4646" i="7"/>
  <c r="J4646" i="7" s="1"/>
  <c r="K4645" i="7"/>
  <c r="H4645" i="7"/>
  <c r="J4645" i="7" s="1"/>
  <c r="K4644" i="7"/>
  <c r="H4644" i="7"/>
  <c r="J4644" i="7" s="1"/>
  <c r="K4643" i="7"/>
  <c r="H4643" i="7"/>
  <c r="J4643" i="7" s="1"/>
  <c r="K4642" i="7"/>
  <c r="H4642" i="7"/>
  <c r="J4642" i="7" s="1"/>
  <c r="K4641" i="7"/>
  <c r="H4641" i="7"/>
  <c r="J4641" i="7" s="1"/>
  <c r="K4640" i="7"/>
  <c r="H4640" i="7"/>
  <c r="J4640" i="7" s="1"/>
  <c r="K4639" i="7"/>
  <c r="H4639" i="7"/>
  <c r="J4639" i="7" s="1"/>
  <c r="K4638" i="7"/>
  <c r="H4638" i="7"/>
  <c r="J4638" i="7" s="1"/>
  <c r="K4637" i="7"/>
  <c r="H4637" i="7"/>
  <c r="J4637" i="7" s="1"/>
  <c r="K4636" i="7"/>
  <c r="H4636" i="7"/>
  <c r="J4636" i="7" s="1"/>
  <c r="K4635" i="7"/>
  <c r="H4635" i="7"/>
  <c r="J4635" i="7" s="1"/>
  <c r="K4634" i="7"/>
  <c r="H4634" i="7"/>
  <c r="J4634" i="7" s="1"/>
  <c r="K4633" i="7"/>
  <c r="H4633" i="7"/>
  <c r="J4633" i="7" s="1"/>
  <c r="K4632" i="7"/>
  <c r="H4632" i="7"/>
  <c r="J4632" i="7" s="1"/>
  <c r="K4631" i="7"/>
  <c r="H4631" i="7"/>
  <c r="J4631" i="7" s="1"/>
  <c r="K4630" i="7"/>
  <c r="H4630" i="7"/>
  <c r="J4630" i="7" s="1"/>
  <c r="K4629" i="7"/>
  <c r="H4629" i="7"/>
  <c r="J4629" i="7" s="1"/>
  <c r="K4628" i="7"/>
  <c r="H4628" i="7"/>
  <c r="J4628" i="7" s="1"/>
  <c r="K4627" i="7"/>
  <c r="H4627" i="7"/>
  <c r="J4627" i="7" s="1"/>
  <c r="K4626" i="7"/>
  <c r="H4626" i="7"/>
  <c r="J4626" i="7" s="1"/>
  <c r="K4625" i="7"/>
  <c r="H4625" i="7"/>
  <c r="J4625" i="7" s="1"/>
  <c r="K4624" i="7"/>
  <c r="H4624" i="7"/>
  <c r="J4624" i="7" s="1"/>
  <c r="K4623" i="7"/>
  <c r="H4623" i="7"/>
  <c r="J4623" i="7" s="1"/>
  <c r="K4622" i="7"/>
  <c r="H4622" i="7"/>
  <c r="J4622" i="7" s="1"/>
  <c r="K4621" i="7"/>
  <c r="H4621" i="7"/>
  <c r="J4621" i="7" s="1"/>
  <c r="K4620" i="7"/>
  <c r="H4620" i="7"/>
  <c r="J4620" i="7" s="1"/>
  <c r="K4619" i="7"/>
  <c r="H4619" i="7"/>
  <c r="J4619" i="7" s="1"/>
  <c r="K4618" i="7"/>
  <c r="H4618" i="7"/>
  <c r="J4618" i="7" s="1"/>
  <c r="K4617" i="7"/>
  <c r="H4617" i="7"/>
  <c r="J4617" i="7" s="1"/>
  <c r="K4616" i="7"/>
  <c r="H4616" i="7"/>
  <c r="J4616" i="7" s="1"/>
  <c r="K4615" i="7"/>
  <c r="H4615" i="7"/>
  <c r="J4615" i="7" s="1"/>
  <c r="K4614" i="7"/>
  <c r="H4614" i="7"/>
  <c r="J4614" i="7" s="1"/>
  <c r="K4613" i="7"/>
  <c r="H4613" i="7"/>
  <c r="J4613" i="7" s="1"/>
  <c r="K4612" i="7"/>
  <c r="H4612" i="7"/>
  <c r="J4612" i="7" s="1"/>
  <c r="K4611" i="7"/>
  <c r="H4611" i="7"/>
  <c r="J4611" i="7" s="1"/>
  <c r="K4610" i="7"/>
  <c r="H4610" i="7"/>
  <c r="J4610" i="7" s="1"/>
  <c r="K4609" i="7"/>
  <c r="H4609" i="7"/>
  <c r="J4609" i="7" s="1"/>
  <c r="K4608" i="7"/>
  <c r="H4608" i="7"/>
  <c r="J4608" i="7" s="1"/>
  <c r="K4607" i="7"/>
  <c r="H4607" i="7"/>
  <c r="J4607" i="7" s="1"/>
  <c r="K4606" i="7"/>
  <c r="H4606" i="7"/>
  <c r="J4606" i="7" s="1"/>
  <c r="K4605" i="7"/>
  <c r="H4605" i="7"/>
  <c r="J4605" i="7" s="1"/>
  <c r="K4604" i="7"/>
  <c r="H4604" i="7"/>
  <c r="J4604" i="7" s="1"/>
  <c r="K4603" i="7"/>
  <c r="H4603" i="7"/>
  <c r="J4603" i="7" s="1"/>
  <c r="K4602" i="7"/>
  <c r="H4602" i="7"/>
  <c r="J4602" i="7" s="1"/>
  <c r="K4601" i="7"/>
  <c r="H4601" i="7"/>
  <c r="J4601" i="7" s="1"/>
  <c r="K4600" i="7"/>
  <c r="H4600" i="7"/>
  <c r="J4600" i="7" s="1"/>
  <c r="K4599" i="7"/>
  <c r="H4599" i="7"/>
  <c r="J4599" i="7" s="1"/>
  <c r="K4598" i="7"/>
  <c r="H4598" i="7"/>
  <c r="J4598" i="7" s="1"/>
  <c r="K4597" i="7"/>
  <c r="H4597" i="7"/>
  <c r="J4597" i="7" s="1"/>
  <c r="K4596" i="7"/>
  <c r="H4596" i="7"/>
  <c r="J4596" i="7" s="1"/>
  <c r="K4595" i="7"/>
  <c r="H4595" i="7"/>
  <c r="J4595" i="7" s="1"/>
  <c r="K4594" i="7"/>
  <c r="H4594" i="7"/>
  <c r="J4594" i="7" s="1"/>
  <c r="K4593" i="7"/>
  <c r="H4593" i="7"/>
  <c r="J4593" i="7" s="1"/>
  <c r="K4592" i="7"/>
  <c r="H4592" i="7"/>
  <c r="J4592" i="7" s="1"/>
  <c r="K4591" i="7"/>
  <c r="H4591" i="7"/>
  <c r="J4591" i="7" s="1"/>
  <c r="K4590" i="7"/>
  <c r="H4590" i="7"/>
  <c r="J4590" i="7" s="1"/>
  <c r="K4589" i="7"/>
  <c r="H4589" i="7"/>
  <c r="J4589" i="7" s="1"/>
  <c r="K4588" i="7"/>
  <c r="H4588" i="7"/>
  <c r="J4588" i="7" s="1"/>
  <c r="K4587" i="7"/>
  <c r="H4587" i="7"/>
  <c r="J4587" i="7" s="1"/>
  <c r="K4586" i="7"/>
  <c r="H4586" i="7"/>
  <c r="J4586" i="7" s="1"/>
  <c r="K4585" i="7"/>
  <c r="H4585" i="7"/>
  <c r="J4585" i="7" s="1"/>
  <c r="K4584" i="7"/>
  <c r="H4584" i="7"/>
  <c r="J4584" i="7" s="1"/>
  <c r="K4583" i="7"/>
  <c r="H4583" i="7"/>
  <c r="J4583" i="7" s="1"/>
  <c r="K4582" i="7"/>
  <c r="H4582" i="7"/>
  <c r="J4582" i="7" s="1"/>
  <c r="K4581" i="7"/>
  <c r="H4581" i="7"/>
  <c r="J4581" i="7" s="1"/>
  <c r="K4580" i="7"/>
  <c r="H4580" i="7"/>
  <c r="J4580" i="7" s="1"/>
  <c r="K4579" i="7"/>
  <c r="H4579" i="7"/>
  <c r="J4579" i="7" s="1"/>
  <c r="K4578" i="7"/>
  <c r="H4578" i="7"/>
  <c r="J4578" i="7" s="1"/>
  <c r="K4577" i="7"/>
  <c r="H4577" i="7"/>
  <c r="J4577" i="7" s="1"/>
  <c r="K4576" i="7"/>
  <c r="H4576" i="7"/>
  <c r="J4576" i="7" s="1"/>
  <c r="K4575" i="7"/>
  <c r="H4575" i="7"/>
  <c r="J4575" i="7" s="1"/>
  <c r="K4574" i="7"/>
  <c r="H4574" i="7"/>
  <c r="J4574" i="7" s="1"/>
  <c r="K4573" i="7"/>
  <c r="H4573" i="7"/>
  <c r="J4573" i="7" s="1"/>
  <c r="K4572" i="7"/>
  <c r="H4572" i="7"/>
  <c r="J4572" i="7" s="1"/>
  <c r="K4571" i="7"/>
  <c r="H4571" i="7"/>
  <c r="J4571" i="7" s="1"/>
  <c r="K4570" i="7"/>
  <c r="H4570" i="7"/>
  <c r="J4570" i="7" s="1"/>
  <c r="K4569" i="7"/>
  <c r="H4569" i="7"/>
  <c r="J4569" i="7" s="1"/>
  <c r="K4568" i="7"/>
  <c r="H4568" i="7"/>
  <c r="J4568" i="7" s="1"/>
  <c r="K4567" i="7"/>
  <c r="H4567" i="7"/>
  <c r="J4567" i="7" s="1"/>
  <c r="K4566" i="7"/>
  <c r="H4566" i="7"/>
  <c r="J4566" i="7" s="1"/>
  <c r="K4565" i="7"/>
  <c r="H4565" i="7"/>
  <c r="J4565" i="7" s="1"/>
  <c r="K4564" i="7"/>
  <c r="H4564" i="7"/>
  <c r="J4564" i="7" s="1"/>
  <c r="K4563" i="7"/>
  <c r="H4563" i="7"/>
  <c r="J4563" i="7" s="1"/>
  <c r="K4562" i="7"/>
  <c r="H4562" i="7"/>
  <c r="J4562" i="7" s="1"/>
  <c r="K4561" i="7"/>
  <c r="H4561" i="7"/>
  <c r="J4561" i="7" s="1"/>
  <c r="K4560" i="7"/>
  <c r="H4560" i="7"/>
  <c r="J4560" i="7" s="1"/>
  <c r="K4559" i="7"/>
  <c r="H4559" i="7"/>
  <c r="J4559" i="7" s="1"/>
  <c r="K4558" i="7"/>
  <c r="H4558" i="7"/>
  <c r="J4558" i="7" s="1"/>
  <c r="K4557" i="7"/>
  <c r="H4557" i="7"/>
  <c r="J4557" i="7" s="1"/>
  <c r="K4556" i="7"/>
  <c r="H4556" i="7"/>
  <c r="J4556" i="7" s="1"/>
  <c r="K4555" i="7"/>
  <c r="H4555" i="7"/>
  <c r="J4555" i="7" s="1"/>
  <c r="K4554" i="7"/>
  <c r="H4554" i="7"/>
  <c r="J4554" i="7" s="1"/>
  <c r="K4553" i="7"/>
  <c r="H4553" i="7"/>
  <c r="J4553" i="7" s="1"/>
  <c r="K4552" i="7"/>
  <c r="H4552" i="7"/>
  <c r="J4552" i="7" s="1"/>
  <c r="K4551" i="7"/>
  <c r="H4551" i="7"/>
  <c r="J4551" i="7" s="1"/>
  <c r="K4550" i="7"/>
  <c r="H4550" i="7"/>
  <c r="J4550" i="7" s="1"/>
  <c r="K4549" i="7"/>
  <c r="H4549" i="7"/>
  <c r="J4549" i="7" s="1"/>
  <c r="K4548" i="7"/>
  <c r="H4548" i="7"/>
  <c r="J4548" i="7" s="1"/>
  <c r="K4547" i="7"/>
  <c r="H4547" i="7"/>
  <c r="J4547" i="7" s="1"/>
  <c r="K4546" i="7"/>
  <c r="H4546" i="7"/>
  <c r="J4546" i="7" s="1"/>
  <c r="K4545" i="7"/>
  <c r="H4545" i="7"/>
  <c r="J4545" i="7" s="1"/>
  <c r="K4544" i="7"/>
  <c r="H4544" i="7"/>
  <c r="J4544" i="7" s="1"/>
  <c r="K4543" i="7"/>
  <c r="H4543" i="7"/>
  <c r="J4543" i="7" s="1"/>
  <c r="K4542" i="7"/>
  <c r="H4542" i="7"/>
  <c r="J4542" i="7" s="1"/>
  <c r="K4541" i="7"/>
  <c r="H4541" i="7"/>
  <c r="J4541" i="7" s="1"/>
  <c r="K4540" i="7"/>
  <c r="H4540" i="7"/>
  <c r="J4540" i="7" s="1"/>
  <c r="K4539" i="7"/>
  <c r="H4539" i="7"/>
  <c r="J4539" i="7" s="1"/>
  <c r="K4538" i="7"/>
  <c r="H4538" i="7"/>
  <c r="J4538" i="7" s="1"/>
  <c r="K4537" i="7"/>
  <c r="H4537" i="7"/>
  <c r="J4537" i="7" s="1"/>
  <c r="K4536" i="7"/>
  <c r="H4536" i="7"/>
  <c r="J4536" i="7" s="1"/>
  <c r="K4535" i="7"/>
  <c r="H4535" i="7"/>
  <c r="J4535" i="7" s="1"/>
  <c r="K4534" i="7"/>
  <c r="H4534" i="7"/>
  <c r="J4534" i="7" s="1"/>
  <c r="K4533" i="7"/>
  <c r="H4533" i="7"/>
  <c r="J4533" i="7" s="1"/>
  <c r="K4532" i="7"/>
  <c r="H4532" i="7"/>
  <c r="J4532" i="7" s="1"/>
  <c r="K4531" i="7"/>
  <c r="H4531" i="7"/>
  <c r="J4531" i="7" s="1"/>
  <c r="K4530" i="7"/>
  <c r="H4530" i="7"/>
  <c r="J4530" i="7" s="1"/>
  <c r="K4529" i="7"/>
  <c r="H4529" i="7"/>
  <c r="J4529" i="7" s="1"/>
  <c r="K4528" i="7"/>
  <c r="H4528" i="7"/>
  <c r="J4528" i="7" s="1"/>
  <c r="K4527" i="7"/>
  <c r="H4527" i="7"/>
  <c r="J4527" i="7" s="1"/>
  <c r="K4526" i="7"/>
  <c r="H4526" i="7"/>
  <c r="J4526" i="7" s="1"/>
  <c r="K4525" i="7"/>
  <c r="H4525" i="7"/>
  <c r="J4525" i="7" s="1"/>
  <c r="K4524" i="7"/>
  <c r="H4524" i="7"/>
  <c r="J4524" i="7" s="1"/>
  <c r="K4523" i="7"/>
  <c r="H4523" i="7"/>
  <c r="J4523" i="7" s="1"/>
  <c r="K4522" i="7"/>
  <c r="H4522" i="7"/>
  <c r="J4522" i="7" s="1"/>
  <c r="K4521" i="7"/>
  <c r="H4521" i="7"/>
  <c r="J4521" i="7" s="1"/>
  <c r="K4520" i="7"/>
  <c r="H4520" i="7"/>
  <c r="J4520" i="7" s="1"/>
  <c r="K4519" i="7"/>
  <c r="H4519" i="7"/>
  <c r="J4519" i="7" s="1"/>
  <c r="K4518" i="7"/>
  <c r="H4518" i="7"/>
  <c r="J4518" i="7" s="1"/>
  <c r="K4517" i="7"/>
  <c r="H4517" i="7"/>
  <c r="J4517" i="7" s="1"/>
  <c r="K4516" i="7"/>
  <c r="H4516" i="7"/>
  <c r="J4516" i="7" s="1"/>
  <c r="K4515" i="7"/>
  <c r="H4515" i="7"/>
  <c r="J4515" i="7" s="1"/>
  <c r="K4514" i="7"/>
  <c r="H4514" i="7"/>
  <c r="J4514" i="7" s="1"/>
  <c r="K4513" i="7"/>
  <c r="H4513" i="7"/>
  <c r="J4513" i="7" s="1"/>
  <c r="K4512" i="7"/>
  <c r="H4512" i="7"/>
  <c r="J4512" i="7" s="1"/>
  <c r="K4511" i="7"/>
  <c r="H4511" i="7"/>
  <c r="J4511" i="7" s="1"/>
  <c r="K4510" i="7"/>
  <c r="H4510" i="7"/>
  <c r="J4510" i="7" s="1"/>
  <c r="K4509" i="7"/>
  <c r="H4509" i="7"/>
  <c r="J4509" i="7" s="1"/>
  <c r="K4508" i="7"/>
  <c r="H4508" i="7"/>
  <c r="J4508" i="7" s="1"/>
  <c r="K4507" i="7"/>
  <c r="H4507" i="7"/>
  <c r="J4507" i="7" s="1"/>
  <c r="K4506" i="7"/>
  <c r="H4506" i="7"/>
  <c r="J4506" i="7" s="1"/>
  <c r="K4505" i="7"/>
  <c r="H4505" i="7"/>
  <c r="J4505" i="7" s="1"/>
  <c r="K4504" i="7"/>
  <c r="H4504" i="7"/>
  <c r="J4504" i="7" s="1"/>
  <c r="K4503" i="7"/>
  <c r="H4503" i="7"/>
  <c r="J4503" i="7" s="1"/>
  <c r="K4502" i="7"/>
  <c r="H4502" i="7"/>
  <c r="J4502" i="7" s="1"/>
  <c r="K4501" i="7"/>
  <c r="H4501" i="7"/>
  <c r="J4501" i="7" s="1"/>
  <c r="K4500" i="7"/>
  <c r="H4500" i="7"/>
  <c r="J4500" i="7" s="1"/>
  <c r="K4499" i="7"/>
  <c r="H4499" i="7"/>
  <c r="J4499" i="7" s="1"/>
  <c r="K4498" i="7"/>
  <c r="H4498" i="7"/>
  <c r="J4498" i="7" s="1"/>
  <c r="K4497" i="7"/>
  <c r="H4497" i="7"/>
  <c r="J4497" i="7" s="1"/>
  <c r="K4496" i="7"/>
  <c r="H4496" i="7"/>
  <c r="J4496" i="7" s="1"/>
  <c r="K4495" i="7"/>
  <c r="H4495" i="7"/>
  <c r="J4495" i="7" s="1"/>
  <c r="K4494" i="7"/>
  <c r="H4494" i="7"/>
  <c r="J4494" i="7" s="1"/>
  <c r="K4493" i="7"/>
  <c r="H4493" i="7"/>
  <c r="J4493" i="7" s="1"/>
  <c r="K4492" i="7"/>
  <c r="H4492" i="7"/>
  <c r="J4492" i="7" s="1"/>
  <c r="K4491" i="7"/>
  <c r="H4491" i="7"/>
  <c r="J4491" i="7" s="1"/>
  <c r="K4490" i="7"/>
  <c r="H4490" i="7"/>
  <c r="J4490" i="7" s="1"/>
  <c r="K4489" i="7"/>
  <c r="H4489" i="7"/>
  <c r="J4489" i="7" s="1"/>
  <c r="K4488" i="7"/>
  <c r="H4488" i="7"/>
  <c r="J4488" i="7" s="1"/>
  <c r="K4487" i="7"/>
  <c r="H4487" i="7"/>
  <c r="J4487" i="7" s="1"/>
  <c r="K4486" i="7"/>
  <c r="H4486" i="7"/>
  <c r="J4486" i="7" s="1"/>
  <c r="K4485" i="7"/>
  <c r="H4485" i="7"/>
  <c r="J4485" i="7" s="1"/>
  <c r="K4484" i="7"/>
  <c r="H4484" i="7"/>
  <c r="J4484" i="7" s="1"/>
  <c r="K4483" i="7"/>
  <c r="H4483" i="7"/>
  <c r="J4483" i="7" s="1"/>
  <c r="K4482" i="7"/>
  <c r="H4482" i="7"/>
  <c r="J4482" i="7" s="1"/>
  <c r="K4481" i="7"/>
  <c r="H4481" i="7"/>
  <c r="J4481" i="7" s="1"/>
  <c r="K4480" i="7"/>
  <c r="H4480" i="7"/>
  <c r="J4480" i="7" s="1"/>
  <c r="K4479" i="7"/>
  <c r="H4479" i="7"/>
  <c r="J4479" i="7" s="1"/>
  <c r="K4478" i="7"/>
  <c r="H4478" i="7"/>
  <c r="J4478" i="7" s="1"/>
  <c r="K4477" i="7"/>
  <c r="H4477" i="7"/>
  <c r="J4477" i="7" s="1"/>
  <c r="K4476" i="7"/>
  <c r="H4476" i="7"/>
  <c r="J4476" i="7" s="1"/>
  <c r="K4475" i="7"/>
  <c r="H4475" i="7"/>
  <c r="J4475" i="7" s="1"/>
  <c r="K4474" i="7"/>
  <c r="H4474" i="7"/>
  <c r="J4474" i="7" s="1"/>
  <c r="K4473" i="7"/>
  <c r="H4473" i="7"/>
  <c r="J4473" i="7" s="1"/>
  <c r="K4472" i="7"/>
  <c r="H4472" i="7"/>
  <c r="J4472" i="7" s="1"/>
  <c r="K4471" i="7"/>
  <c r="H4471" i="7"/>
  <c r="J4471" i="7" s="1"/>
  <c r="K4470" i="7"/>
  <c r="H4470" i="7"/>
  <c r="J4470" i="7" s="1"/>
  <c r="K4469" i="7"/>
  <c r="H4469" i="7"/>
  <c r="J4469" i="7" s="1"/>
  <c r="K4468" i="7"/>
  <c r="H4468" i="7"/>
  <c r="J4468" i="7" s="1"/>
  <c r="K4467" i="7"/>
  <c r="H4467" i="7"/>
  <c r="J4467" i="7" s="1"/>
  <c r="K4466" i="7"/>
  <c r="H4466" i="7"/>
  <c r="J4466" i="7" s="1"/>
  <c r="K4465" i="7"/>
  <c r="H4465" i="7"/>
  <c r="J4465" i="7" s="1"/>
  <c r="K4464" i="7"/>
  <c r="H4464" i="7"/>
  <c r="J4464" i="7" s="1"/>
  <c r="K4463" i="7"/>
  <c r="H4463" i="7"/>
  <c r="J4463" i="7" s="1"/>
  <c r="K4462" i="7"/>
  <c r="H4462" i="7"/>
  <c r="J4462" i="7" s="1"/>
  <c r="K4461" i="7"/>
  <c r="H4461" i="7"/>
  <c r="J4461" i="7" s="1"/>
  <c r="K4460" i="7"/>
  <c r="H4460" i="7"/>
  <c r="J4460" i="7" s="1"/>
  <c r="K4459" i="7"/>
  <c r="H4459" i="7"/>
  <c r="J4459" i="7" s="1"/>
  <c r="K4458" i="7"/>
  <c r="H4458" i="7"/>
  <c r="J4458" i="7" s="1"/>
  <c r="K4457" i="7"/>
  <c r="H4457" i="7"/>
  <c r="J4457" i="7" s="1"/>
  <c r="K4456" i="7"/>
  <c r="H4456" i="7"/>
  <c r="J4456" i="7" s="1"/>
  <c r="K4455" i="7"/>
  <c r="H4455" i="7"/>
  <c r="J4455" i="7" s="1"/>
  <c r="K4454" i="7"/>
  <c r="H4454" i="7"/>
  <c r="J4454" i="7" s="1"/>
  <c r="K4453" i="7"/>
  <c r="H4453" i="7"/>
  <c r="J4453" i="7" s="1"/>
  <c r="K4452" i="7"/>
  <c r="H4452" i="7"/>
  <c r="J4452" i="7" s="1"/>
  <c r="K4451" i="7"/>
  <c r="H4451" i="7"/>
  <c r="J4451" i="7" s="1"/>
  <c r="K4450" i="7"/>
  <c r="H4450" i="7"/>
  <c r="J4450" i="7" s="1"/>
  <c r="K4449" i="7"/>
  <c r="H4449" i="7"/>
  <c r="J4449" i="7" s="1"/>
  <c r="K4448" i="7"/>
  <c r="H4448" i="7"/>
  <c r="J4448" i="7" s="1"/>
  <c r="K4447" i="7"/>
  <c r="H4447" i="7"/>
  <c r="J4447" i="7" s="1"/>
  <c r="K4446" i="7"/>
  <c r="H4446" i="7"/>
  <c r="J4446" i="7" s="1"/>
  <c r="K4445" i="7"/>
  <c r="H4445" i="7"/>
  <c r="J4445" i="7" s="1"/>
  <c r="K4444" i="7"/>
  <c r="H4444" i="7"/>
  <c r="J4444" i="7" s="1"/>
  <c r="K4443" i="7"/>
  <c r="H4443" i="7"/>
  <c r="J4443" i="7" s="1"/>
  <c r="K4442" i="7"/>
  <c r="H4442" i="7"/>
  <c r="J4442" i="7" s="1"/>
  <c r="K4441" i="7"/>
  <c r="H4441" i="7"/>
  <c r="J4441" i="7" s="1"/>
  <c r="K4440" i="7"/>
  <c r="H4440" i="7"/>
  <c r="J4440" i="7" s="1"/>
  <c r="K4439" i="7"/>
  <c r="H4439" i="7"/>
  <c r="J4439" i="7" s="1"/>
  <c r="K4438" i="7"/>
  <c r="H4438" i="7"/>
  <c r="J4438" i="7" s="1"/>
  <c r="K4437" i="7"/>
  <c r="H4437" i="7"/>
  <c r="J4437" i="7" s="1"/>
  <c r="K4436" i="7"/>
  <c r="H4436" i="7"/>
  <c r="J4436" i="7" s="1"/>
  <c r="K4435" i="7"/>
  <c r="H4435" i="7"/>
  <c r="J4435" i="7" s="1"/>
  <c r="K4434" i="7"/>
  <c r="H4434" i="7"/>
  <c r="J4434" i="7" s="1"/>
  <c r="K4433" i="7"/>
  <c r="H4433" i="7"/>
  <c r="J4433" i="7" s="1"/>
  <c r="K4432" i="7"/>
  <c r="H4432" i="7"/>
  <c r="J4432" i="7" s="1"/>
  <c r="K4431" i="7"/>
  <c r="H4431" i="7"/>
  <c r="J4431" i="7" s="1"/>
  <c r="K4430" i="7"/>
  <c r="H4430" i="7"/>
  <c r="J4430" i="7" s="1"/>
  <c r="K4429" i="7"/>
  <c r="H4429" i="7"/>
  <c r="J4429" i="7" s="1"/>
  <c r="K4428" i="7"/>
  <c r="H4428" i="7"/>
  <c r="J4428" i="7" s="1"/>
  <c r="K4427" i="7"/>
  <c r="H4427" i="7"/>
  <c r="J4427" i="7" s="1"/>
  <c r="K4426" i="7"/>
  <c r="H4426" i="7"/>
  <c r="J4426" i="7" s="1"/>
  <c r="K4425" i="7"/>
  <c r="H4425" i="7"/>
  <c r="J4425" i="7" s="1"/>
  <c r="K4424" i="7"/>
  <c r="H4424" i="7"/>
  <c r="J4424" i="7" s="1"/>
  <c r="K4423" i="7"/>
  <c r="H4423" i="7"/>
  <c r="J4423" i="7" s="1"/>
  <c r="K4422" i="7"/>
  <c r="H4422" i="7"/>
  <c r="J4422" i="7" s="1"/>
  <c r="K4421" i="7"/>
  <c r="H4421" i="7"/>
  <c r="J4421" i="7" s="1"/>
  <c r="K4420" i="7"/>
  <c r="H4420" i="7"/>
  <c r="J4420" i="7" s="1"/>
  <c r="K4419" i="7"/>
  <c r="H4419" i="7"/>
  <c r="J4419" i="7" s="1"/>
  <c r="K4418" i="7"/>
  <c r="H4418" i="7"/>
  <c r="J4418" i="7" s="1"/>
  <c r="K4417" i="7"/>
  <c r="H4417" i="7"/>
  <c r="J4417" i="7" s="1"/>
  <c r="K4416" i="7"/>
  <c r="H4416" i="7"/>
  <c r="J4416" i="7" s="1"/>
  <c r="K4415" i="7"/>
  <c r="H4415" i="7"/>
  <c r="J4415" i="7" s="1"/>
  <c r="K4414" i="7"/>
  <c r="H4414" i="7"/>
  <c r="J4414" i="7" s="1"/>
  <c r="K4413" i="7"/>
  <c r="H4413" i="7"/>
  <c r="J4413" i="7" s="1"/>
  <c r="K4412" i="7"/>
  <c r="H4412" i="7"/>
  <c r="J4412" i="7" s="1"/>
  <c r="K4411" i="7"/>
  <c r="H4411" i="7"/>
  <c r="J4411" i="7" s="1"/>
  <c r="K4410" i="7"/>
  <c r="H4410" i="7"/>
  <c r="J4410" i="7" s="1"/>
  <c r="K4409" i="7"/>
  <c r="H4409" i="7"/>
  <c r="J4409" i="7" s="1"/>
  <c r="K4408" i="7"/>
  <c r="H4408" i="7"/>
  <c r="J4408" i="7" s="1"/>
  <c r="K4407" i="7"/>
  <c r="H4407" i="7"/>
  <c r="J4407" i="7" s="1"/>
  <c r="K4406" i="7"/>
  <c r="H4406" i="7"/>
  <c r="J4406" i="7" s="1"/>
  <c r="K4405" i="7"/>
  <c r="H4405" i="7"/>
  <c r="J4405" i="7" s="1"/>
  <c r="K4404" i="7"/>
  <c r="H4404" i="7"/>
  <c r="J4404" i="7" s="1"/>
  <c r="K4403" i="7"/>
  <c r="H4403" i="7"/>
  <c r="J4403" i="7" s="1"/>
  <c r="K4402" i="7"/>
  <c r="H4402" i="7"/>
  <c r="J4402" i="7" s="1"/>
  <c r="K4401" i="7"/>
  <c r="H4401" i="7"/>
  <c r="J4401" i="7" s="1"/>
  <c r="K4400" i="7"/>
  <c r="H4400" i="7"/>
  <c r="J4400" i="7" s="1"/>
  <c r="K4399" i="7"/>
  <c r="H4399" i="7"/>
  <c r="J4399" i="7" s="1"/>
  <c r="K4398" i="7"/>
  <c r="H4398" i="7"/>
  <c r="J4398" i="7" s="1"/>
  <c r="K4397" i="7"/>
  <c r="H4397" i="7"/>
  <c r="J4397" i="7" s="1"/>
  <c r="K4396" i="7"/>
  <c r="H4396" i="7"/>
  <c r="J4396" i="7" s="1"/>
  <c r="K4395" i="7"/>
  <c r="H4395" i="7"/>
  <c r="J4395" i="7" s="1"/>
  <c r="K4394" i="7"/>
  <c r="H4394" i="7"/>
  <c r="J4394" i="7" s="1"/>
  <c r="K4393" i="7"/>
  <c r="H4393" i="7"/>
  <c r="J4393" i="7" s="1"/>
  <c r="K4392" i="7"/>
  <c r="H4392" i="7"/>
  <c r="J4392" i="7" s="1"/>
  <c r="K4391" i="7"/>
  <c r="H4391" i="7"/>
  <c r="J4391" i="7" s="1"/>
  <c r="K4390" i="7"/>
  <c r="H4390" i="7"/>
  <c r="J4390" i="7" s="1"/>
  <c r="K4389" i="7"/>
  <c r="H4389" i="7"/>
  <c r="J4389" i="7" s="1"/>
  <c r="K4388" i="7"/>
  <c r="H4388" i="7"/>
  <c r="J4388" i="7" s="1"/>
  <c r="K4387" i="7"/>
  <c r="H4387" i="7"/>
  <c r="J4387" i="7" s="1"/>
  <c r="K4386" i="7"/>
  <c r="H4386" i="7"/>
  <c r="J4386" i="7" s="1"/>
  <c r="K4385" i="7"/>
  <c r="H4385" i="7"/>
  <c r="J4385" i="7" s="1"/>
  <c r="K4384" i="7"/>
  <c r="H4384" i="7"/>
  <c r="J4384" i="7" s="1"/>
  <c r="K4383" i="7"/>
  <c r="H4383" i="7"/>
  <c r="J4383" i="7" s="1"/>
  <c r="K4382" i="7"/>
  <c r="H4382" i="7"/>
  <c r="J4382" i="7" s="1"/>
  <c r="K4381" i="7"/>
  <c r="H4381" i="7"/>
  <c r="J4381" i="7" s="1"/>
  <c r="K4380" i="7"/>
  <c r="H4380" i="7"/>
  <c r="J4380" i="7" s="1"/>
  <c r="K4379" i="7"/>
  <c r="H4379" i="7"/>
  <c r="J4379" i="7" s="1"/>
  <c r="K4378" i="7"/>
  <c r="H4378" i="7"/>
  <c r="J4378" i="7" s="1"/>
  <c r="K4377" i="7"/>
  <c r="H4377" i="7"/>
  <c r="J4377" i="7" s="1"/>
  <c r="K4376" i="7"/>
  <c r="H4376" i="7"/>
  <c r="J4376" i="7" s="1"/>
  <c r="K4375" i="7"/>
  <c r="H4375" i="7"/>
  <c r="J4375" i="7" s="1"/>
  <c r="K4374" i="7"/>
  <c r="H4374" i="7"/>
  <c r="J4374" i="7" s="1"/>
  <c r="K4373" i="7"/>
  <c r="H4373" i="7"/>
  <c r="J4373" i="7" s="1"/>
  <c r="K4372" i="7"/>
  <c r="H4372" i="7"/>
  <c r="J4372" i="7" s="1"/>
  <c r="K4371" i="7"/>
  <c r="H4371" i="7"/>
  <c r="J4371" i="7" s="1"/>
  <c r="K4370" i="7"/>
  <c r="H4370" i="7"/>
  <c r="J4370" i="7" s="1"/>
  <c r="K4369" i="7"/>
  <c r="H4369" i="7"/>
  <c r="J4369" i="7" s="1"/>
  <c r="K4368" i="7"/>
  <c r="H4368" i="7"/>
  <c r="J4368" i="7" s="1"/>
  <c r="K4367" i="7"/>
  <c r="H4367" i="7"/>
  <c r="J4367" i="7" s="1"/>
  <c r="K4366" i="7"/>
  <c r="H4366" i="7"/>
  <c r="J4366" i="7" s="1"/>
  <c r="K4365" i="7"/>
  <c r="H4365" i="7"/>
  <c r="J4365" i="7" s="1"/>
  <c r="K4364" i="7"/>
  <c r="H4364" i="7"/>
  <c r="J4364" i="7" s="1"/>
  <c r="K4363" i="7"/>
  <c r="H4363" i="7"/>
  <c r="J4363" i="7" s="1"/>
  <c r="K4362" i="7"/>
  <c r="H4362" i="7"/>
  <c r="J4362" i="7" s="1"/>
  <c r="K4361" i="7"/>
  <c r="H4361" i="7"/>
  <c r="J4361" i="7" s="1"/>
  <c r="K4360" i="7"/>
  <c r="H4360" i="7"/>
  <c r="J4360" i="7" s="1"/>
  <c r="K4359" i="7"/>
  <c r="H4359" i="7"/>
  <c r="J4359" i="7" s="1"/>
  <c r="K4358" i="7"/>
  <c r="H4358" i="7"/>
  <c r="J4358" i="7" s="1"/>
  <c r="K4357" i="7"/>
  <c r="H4357" i="7"/>
  <c r="J4357" i="7" s="1"/>
  <c r="K4356" i="7"/>
  <c r="H4356" i="7"/>
  <c r="J4356" i="7" s="1"/>
  <c r="K4355" i="7"/>
  <c r="H4355" i="7"/>
  <c r="J4355" i="7" s="1"/>
  <c r="K4354" i="7"/>
  <c r="H4354" i="7"/>
  <c r="J4354" i="7" s="1"/>
  <c r="K4353" i="7"/>
  <c r="H4353" i="7"/>
  <c r="J4353" i="7" s="1"/>
  <c r="K4352" i="7"/>
  <c r="H4352" i="7"/>
  <c r="J4352" i="7" s="1"/>
  <c r="K4351" i="7"/>
  <c r="H4351" i="7"/>
  <c r="J4351" i="7" s="1"/>
  <c r="K4350" i="7"/>
  <c r="H4350" i="7"/>
  <c r="J4350" i="7" s="1"/>
  <c r="K4349" i="7"/>
  <c r="H4349" i="7"/>
  <c r="J4349" i="7" s="1"/>
  <c r="K4348" i="7"/>
  <c r="H4348" i="7"/>
  <c r="J4348" i="7" s="1"/>
  <c r="K4347" i="7"/>
  <c r="H4347" i="7"/>
  <c r="J4347" i="7" s="1"/>
  <c r="K4346" i="7"/>
  <c r="H4346" i="7"/>
  <c r="J4346" i="7" s="1"/>
  <c r="K4345" i="7"/>
  <c r="H4345" i="7"/>
  <c r="J4345" i="7" s="1"/>
  <c r="K4344" i="7"/>
  <c r="H4344" i="7"/>
  <c r="J4344" i="7" s="1"/>
  <c r="K4343" i="7"/>
  <c r="H4343" i="7"/>
  <c r="J4343" i="7" s="1"/>
  <c r="K4342" i="7"/>
  <c r="H4342" i="7"/>
  <c r="J4342" i="7" s="1"/>
  <c r="K4341" i="7"/>
  <c r="H4341" i="7"/>
  <c r="J4341" i="7" s="1"/>
  <c r="K4340" i="7"/>
  <c r="H4340" i="7"/>
  <c r="J4340" i="7" s="1"/>
  <c r="K4339" i="7"/>
  <c r="H4339" i="7"/>
  <c r="J4339" i="7" s="1"/>
  <c r="K4338" i="7"/>
  <c r="H4338" i="7"/>
  <c r="J4338" i="7" s="1"/>
  <c r="K4337" i="7"/>
  <c r="H4337" i="7"/>
  <c r="J4337" i="7" s="1"/>
  <c r="K4336" i="7"/>
  <c r="H4336" i="7"/>
  <c r="J4336" i="7" s="1"/>
  <c r="K4335" i="7"/>
  <c r="H4335" i="7"/>
  <c r="J4335" i="7" s="1"/>
  <c r="K4334" i="7"/>
  <c r="H4334" i="7"/>
  <c r="J4334" i="7" s="1"/>
  <c r="K4333" i="7"/>
  <c r="H4333" i="7"/>
  <c r="J4333" i="7" s="1"/>
  <c r="K4332" i="7"/>
  <c r="H4332" i="7"/>
  <c r="J4332" i="7" s="1"/>
  <c r="K4331" i="7"/>
  <c r="H4331" i="7"/>
  <c r="J4331" i="7" s="1"/>
  <c r="K4330" i="7"/>
  <c r="H4330" i="7"/>
  <c r="J4330" i="7" s="1"/>
  <c r="K4329" i="7"/>
  <c r="H4329" i="7"/>
  <c r="J4329" i="7" s="1"/>
  <c r="K4328" i="7"/>
  <c r="H4328" i="7"/>
  <c r="J4328" i="7" s="1"/>
  <c r="K4327" i="7"/>
  <c r="H4327" i="7"/>
  <c r="J4327" i="7" s="1"/>
  <c r="K4326" i="7"/>
  <c r="H4326" i="7"/>
  <c r="J4326" i="7" s="1"/>
  <c r="K4325" i="7"/>
  <c r="H4325" i="7"/>
  <c r="J4325" i="7" s="1"/>
  <c r="K4324" i="7"/>
  <c r="H4324" i="7"/>
  <c r="J4324" i="7" s="1"/>
  <c r="K4323" i="7"/>
  <c r="H4323" i="7"/>
  <c r="J4323" i="7" s="1"/>
  <c r="K4322" i="7"/>
  <c r="H4322" i="7"/>
  <c r="J4322" i="7" s="1"/>
  <c r="K4321" i="7"/>
  <c r="H4321" i="7"/>
  <c r="J4321" i="7" s="1"/>
  <c r="K4320" i="7"/>
  <c r="H4320" i="7"/>
  <c r="J4320" i="7" s="1"/>
  <c r="K4319" i="7"/>
  <c r="H4319" i="7"/>
  <c r="J4319" i="7" s="1"/>
  <c r="K4318" i="7"/>
  <c r="H4318" i="7"/>
  <c r="J4318" i="7" s="1"/>
  <c r="K4317" i="7"/>
  <c r="H4317" i="7"/>
  <c r="J4317" i="7" s="1"/>
  <c r="K4316" i="7"/>
  <c r="H4316" i="7"/>
  <c r="J4316" i="7" s="1"/>
  <c r="K4315" i="7"/>
  <c r="H4315" i="7"/>
  <c r="J4315" i="7" s="1"/>
  <c r="K4314" i="7"/>
  <c r="H4314" i="7"/>
  <c r="J4314" i="7" s="1"/>
  <c r="K4313" i="7"/>
  <c r="H4313" i="7"/>
  <c r="J4313" i="7" s="1"/>
  <c r="K4312" i="7"/>
  <c r="H4312" i="7"/>
  <c r="J4312" i="7" s="1"/>
  <c r="K4311" i="7"/>
  <c r="H4311" i="7"/>
  <c r="J4311" i="7" s="1"/>
  <c r="K4310" i="7"/>
  <c r="H4310" i="7"/>
  <c r="J4310" i="7" s="1"/>
  <c r="K4309" i="7"/>
  <c r="H4309" i="7"/>
  <c r="J4309" i="7" s="1"/>
  <c r="K4308" i="7"/>
  <c r="H4308" i="7"/>
  <c r="J4308" i="7" s="1"/>
  <c r="K4307" i="7"/>
  <c r="H4307" i="7"/>
  <c r="J4307" i="7" s="1"/>
  <c r="K4306" i="7"/>
  <c r="H4306" i="7"/>
  <c r="J4306" i="7" s="1"/>
  <c r="K4305" i="7"/>
  <c r="H4305" i="7"/>
  <c r="J4305" i="7" s="1"/>
  <c r="K4304" i="7"/>
  <c r="H4304" i="7"/>
  <c r="J4304" i="7" s="1"/>
  <c r="K4303" i="7"/>
  <c r="H4303" i="7"/>
  <c r="J4303" i="7" s="1"/>
  <c r="K4302" i="7"/>
  <c r="H4302" i="7"/>
  <c r="J4302" i="7" s="1"/>
  <c r="K4301" i="7"/>
  <c r="H4301" i="7"/>
  <c r="J4301" i="7" s="1"/>
  <c r="K4300" i="7"/>
  <c r="H4300" i="7"/>
  <c r="J4300" i="7" s="1"/>
  <c r="K4299" i="7"/>
  <c r="H4299" i="7"/>
  <c r="J4299" i="7" s="1"/>
  <c r="K4298" i="7"/>
  <c r="H4298" i="7"/>
  <c r="J4298" i="7" s="1"/>
  <c r="K4297" i="7"/>
  <c r="H4297" i="7"/>
  <c r="J4297" i="7" s="1"/>
  <c r="K4296" i="7"/>
  <c r="H4296" i="7"/>
  <c r="J4296" i="7" s="1"/>
  <c r="K4295" i="7"/>
  <c r="H4295" i="7"/>
  <c r="J4295" i="7" s="1"/>
  <c r="K4294" i="7"/>
  <c r="H4294" i="7"/>
  <c r="J4294" i="7" s="1"/>
  <c r="K4293" i="7"/>
  <c r="H4293" i="7"/>
  <c r="J4293" i="7" s="1"/>
  <c r="K4292" i="7"/>
  <c r="H4292" i="7"/>
  <c r="J4292" i="7" s="1"/>
  <c r="K4291" i="7"/>
  <c r="H4291" i="7"/>
  <c r="J4291" i="7" s="1"/>
  <c r="K4290" i="7"/>
  <c r="H4290" i="7"/>
  <c r="J4290" i="7" s="1"/>
  <c r="K4289" i="7"/>
  <c r="H4289" i="7"/>
  <c r="J4289" i="7" s="1"/>
  <c r="K4288" i="7"/>
  <c r="H4288" i="7"/>
  <c r="J4288" i="7" s="1"/>
  <c r="K4287" i="7"/>
  <c r="H4287" i="7"/>
  <c r="J4287" i="7" s="1"/>
  <c r="K4286" i="7"/>
  <c r="H4286" i="7"/>
  <c r="J4286" i="7" s="1"/>
  <c r="K4285" i="7"/>
  <c r="H4285" i="7"/>
  <c r="J4285" i="7" s="1"/>
  <c r="K4284" i="7"/>
  <c r="H4284" i="7"/>
  <c r="J4284" i="7" s="1"/>
  <c r="K4283" i="7"/>
  <c r="H4283" i="7"/>
  <c r="J4283" i="7" s="1"/>
  <c r="K4282" i="7"/>
  <c r="H4282" i="7"/>
  <c r="J4282" i="7" s="1"/>
  <c r="K4281" i="7"/>
  <c r="H4281" i="7"/>
  <c r="J4281" i="7" s="1"/>
  <c r="K4280" i="7"/>
  <c r="H4280" i="7"/>
  <c r="J4280" i="7" s="1"/>
  <c r="K4279" i="7"/>
  <c r="H4279" i="7"/>
  <c r="J4279" i="7" s="1"/>
  <c r="K4278" i="7"/>
  <c r="H4278" i="7"/>
  <c r="J4278" i="7" s="1"/>
  <c r="K4277" i="7"/>
  <c r="H4277" i="7"/>
  <c r="J4277" i="7" s="1"/>
  <c r="K4276" i="7"/>
  <c r="H4276" i="7"/>
  <c r="J4276" i="7" s="1"/>
  <c r="K4275" i="7"/>
  <c r="H4275" i="7"/>
  <c r="J4275" i="7" s="1"/>
  <c r="K4274" i="7"/>
  <c r="H4274" i="7"/>
  <c r="J4274" i="7" s="1"/>
  <c r="K4273" i="7"/>
  <c r="H4273" i="7"/>
  <c r="J4273" i="7" s="1"/>
  <c r="K4272" i="7"/>
  <c r="H4272" i="7"/>
  <c r="J4272" i="7" s="1"/>
  <c r="K4271" i="7"/>
  <c r="H4271" i="7"/>
  <c r="J4271" i="7" s="1"/>
  <c r="K4270" i="7"/>
  <c r="H4270" i="7"/>
  <c r="J4270" i="7" s="1"/>
  <c r="K4269" i="7"/>
  <c r="H4269" i="7"/>
  <c r="J4269" i="7" s="1"/>
  <c r="K4268" i="7"/>
  <c r="H4268" i="7"/>
  <c r="J4268" i="7" s="1"/>
  <c r="K4267" i="7"/>
  <c r="H4267" i="7"/>
  <c r="J4267" i="7" s="1"/>
  <c r="K4266" i="7"/>
  <c r="H4266" i="7"/>
  <c r="J4266" i="7" s="1"/>
  <c r="K4265" i="7"/>
  <c r="H4265" i="7"/>
  <c r="J4265" i="7" s="1"/>
  <c r="K4264" i="7"/>
  <c r="H4264" i="7"/>
  <c r="J4264" i="7" s="1"/>
  <c r="K4263" i="7"/>
  <c r="H4263" i="7"/>
  <c r="J4263" i="7" s="1"/>
  <c r="K4262" i="7"/>
  <c r="H4262" i="7"/>
  <c r="J4262" i="7" s="1"/>
  <c r="K4261" i="7"/>
  <c r="H4261" i="7"/>
  <c r="J4261" i="7" s="1"/>
  <c r="K4260" i="7"/>
  <c r="H4260" i="7"/>
  <c r="J4260" i="7" s="1"/>
  <c r="K4259" i="7"/>
  <c r="H4259" i="7"/>
  <c r="J4259" i="7" s="1"/>
  <c r="K4258" i="7"/>
  <c r="H4258" i="7"/>
  <c r="J4258" i="7" s="1"/>
  <c r="K4257" i="7"/>
  <c r="H4257" i="7"/>
  <c r="J4257" i="7" s="1"/>
  <c r="K4256" i="7"/>
  <c r="H4256" i="7"/>
  <c r="J4256" i="7" s="1"/>
  <c r="K4255" i="7"/>
  <c r="H4255" i="7"/>
  <c r="J4255" i="7" s="1"/>
  <c r="K4254" i="7"/>
  <c r="H4254" i="7"/>
  <c r="J4254" i="7" s="1"/>
  <c r="K4253" i="7"/>
  <c r="H4253" i="7"/>
  <c r="J4253" i="7" s="1"/>
  <c r="K4252" i="7"/>
  <c r="H4252" i="7"/>
  <c r="J4252" i="7" s="1"/>
  <c r="K4251" i="7"/>
  <c r="H4251" i="7"/>
  <c r="J4251" i="7" s="1"/>
  <c r="K4250" i="7"/>
  <c r="H4250" i="7"/>
  <c r="J4250" i="7" s="1"/>
  <c r="K4249" i="7"/>
  <c r="H4249" i="7"/>
  <c r="J4249" i="7" s="1"/>
  <c r="K4248" i="7"/>
  <c r="H4248" i="7"/>
  <c r="J4248" i="7" s="1"/>
  <c r="K4247" i="7"/>
  <c r="H4247" i="7"/>
  <c r="J4247" i="7" s="1"/>
  <c r="K4246" i="7"/>
  <c r="H4246" i="7"/>
  <c r="J4246" i="7" s="1"/>
  <c r="K4245" i="7"/>
  <c r="H4245" i="7"/>
  <c r="J4245" i="7" s="1"/>
  <c r="K4244" i="7"/>
  <c r="H4244" i="7"/>
  <c r="J4244" i="7" s="1"/>
  <c r="K4243" i="7"/>
  <c r="H4243" i="7"/>
  <c r="J4243" i="7" s="1"/>
  <c r="K4242" i="7"/>
  <c r="H4242" i="7"/>
  <c r="J4242" i="7" s="1"/>
  <c r="K4241" i="7"/>
  <c r="H4241" i="7"/>
  <c r="J4241" i="7" s="1"/>
  <c r="K4240" i="7"/>
  <c r="H4240" i="7"/>
  <c r="J4240" i="7" s="1"/>
  <c r="K4239" i="7"/>
  <c r="H4239" i="7"/>
  <c r="J4239" i="7" s="1"/>
  <c r="K4238" i="7"/>
  <c r="H4238" i="7"/>
  <c r="J4238" i="7" s="1"/>
  <c r="K4237" i="7"/>
  <c r="H4237" i="7"/>
  <c r="J4237" i="7" s="1"/>
  <c r="K4236" i="7"/>
  <c r="H4236" i="7"/>
  <c r="J4236" i="7" s="1"/>
  <c r="K4235" i="7"/>
  <c r="H4235" i="7"/>
  <c r="J4235" i="7" s="1"/>
  <c r="K4234" i="7"/>
  <c r="H4234" i="7"/>
  <c r="J4234" i="7" s="1"/>
  <c r="K4233" i="7"/>
  <c r="H4233" i="7"/>
  <c r="J4233" i="7" s="1"/>
  <c r="K4232" i="7"/>
  <c r="H4232" i="7"/>
  <c r="J4232" i="7" s="1"/>
  <c r="K4231" i="7"/>
  <c r="H4231" i="7"/>
  <c r="J4231" i="7" s="1"/>
  <c r="K4230" i="7"/>
  <c r="H4230" i="7"/>
  <c r="J4230" i="7" s="1"/>
  <c r="K4229" i="7"/>
  <c r="H4229" i="7"/>
  <c r="J4229" i="7" s="1"/>
  <c r="K4228" i="7"/>
  <c r="H4228" i="7"/>
  <c r="J4228" i="7" s="1"/>
  <c r="K4227" i="7"/>
  <c r="H4227" i="7"/>
  <c r="J4227" i="7" s="1"/>
  <c r="K4226" i="7"/>
  <c r="H4226" i="7"/>
  <c r="J4226" i="7" s="1"/>
  <c r="K4225" i="7"/>
  <c r="H4225" i="7"/>
  <c r="J4225" i="7" s="1"/>
  <c r="K4224" i="7"/>
  <c r="H4224" i="7"/>
  <c r="J4224" i="7" s="1"/>
  <c r="K4223" i="7"/>
  <c r="H4223" i="7"/>
  <c r="J4223" i="7" s="1"/>
  <c r="K4222" i="7"/>
  <c r="H4222" i="7"/>
  <c r="J4222" i="7" s="1"/>
  <c r="K4221" i="7"/>
  <c r="H4221" i="7"/>
  <c r="J4221" i="7" s="1"/>
  <c r="K4220" i="7"/>
  <c r="H4220" i="7"/>
  <c r="J4220" i="7" s="1"/>
  <c r="K4219" i="7"/>
  <c r="H4219" i="7"/>
  <c r="J4219" i="7" s="1"/>
  <c r="K4218" i="7"/>
  <c r="H4218" i="7"/>
  <c r="J4218" i="7" s="1"/>
  <c r="K4217" i="7"/>
  <c r="H4217" i="7"/>
  <c r="J4217" i="7" s="1"/>
  <c r="K4216" i="7"/>
  <c r="H4216" i="7"/>
  <c r="J4216" i="7" s="1"/>
  <c r="K4215" i="7"/>
  <c r="H4215" i="7"/>
  <c r="J4215" i="7" s="1"/>
  <c r="K4214" i="7"/>
  <c r="H4214" i="7"/>
  <c r="J4214" i="7" s="1"/>
  <c r="K4213" i="7"/>
  <c r="H4213" i="7"/>
  <c r="J4213" i="7" s="1"/>
  <c r="K4212" i="7"/>
  <c r="H4212" i="7"/>
  <c r="J4212" i="7" s="1"/>
  <c r="K4211" i="7"/>
  <c r="H4211" i="7"/>
  <c r="J4211" i="7" s="1"/>
  <c r="K4210" i="7"/>
  <c r="H4210" i="7"/>
  <c r="J4210" i="7" s="1"/>
  <c r="K4209" i="7"/>
  <c r="H4209" i="7"/>
  <c r="J4209" i="7" s="1"/>
  <c r="K4208" i="7"/>
  <c r="H4208" i="7"/>
  <c r="J4208" i="7" s="1"/>
  <c r="K4207" i="7"/>
  <c r="H4207" i="7"/>
  <c r="J4207" i="7" s="1"/>
  <c r="K4206" i="7"/>
  <c r="H4206" i="7"/>
  <c r="J4206" i="7" s="1"/>
  <c r="K4205" i="7"/>
  <c r="H4205" i="7"/>
  <c r="J4205" i="7" s="1"/>
  <c r="K4204" i="7"/>
  <c r="H4204" i="7"/>
  <c r="J4204" i="7" s="1"/>
  <c r="K4203" i="7"/>
  <c r="H4203" i="7"/>
  <c r="J4203" i="7" s="1"/>
  <c r="K4202" i="7"/>
  <c r="H4202" i="7"/>
  <c r="J4202" i="7" s="1"/>
  <c r="K4201" i="7"/>
  <c r="H4201" i="7"/>
  <c r="J4201" i="7" s="1"/>
  <c r="K4200" i="7"/>
  <c r="H4200" i="7"/>
  <c r="J4200" i="7" s="1"/>
  <c r="K4199" i="7"/>
  <c r="H4199" i="7"/>
  <c r="J4199" i="7" s="1"/>
  <c r="K4198" i="7"/>
  <c r="H4198" i="7"/>
  <c r="J4198" i="7" s="1"/>
  <c r="K4197" i="7"/>
  <c r="H4197" i="7"/>
  <c r="J4197" i="7" s="1"/>
  <c r="K4196" i="7"/>
  <c r="H4196" i="7"/>
  <c r="J4196" i="7" s="1"/>
  <c r="K4195" i="7"/>
  <c r="H4195" i="7"/>
  <c r="J4195" i="7" s="1"/>
  <c r="K4194" i="7"/>
  <c r="H4194" i="7"/>
  <c r="J4194" i="7" s="1"/>
  <c r="K4193" i="7"/>
  <c r="H4193" i="7"/>
  <c r="J4193" i="7" s="1"/>
  <c r="K4192" i="7"/>
  <c r="H4192" i="7"/>
  <c r="J4192" i="7" s="1"/>
  <c r="K4191" i="7"/>
  <c r="H4191" i="7"/>
  <c r="J4191" i="7" s="1"/>
  <c r="K4190" i="7"/>
  <c r="H4190" i="7"/>
  <c r="J4190" i="7" s="1"/>
  <c r="K4189" i="7"/>
  <c r="H4189" i="7"/>
  <c r="J4189" i="7" s="1"/>
  <c r="K4188" i="7"/>
  <c r="H4188" i="7"/>
  <c r="J4188" i="7" s="1"/>
  <c r="K4187" i="7"/>
  <c r="H4187" i="7"/>
  <c r="J4187" i="7" s="1"/>
  <c r="K4186" i="7"/>
  <c r="H4186" i="7"/>
  <c r="J4186" i="7" s="1"/>
  <c r="K4185" i="7"/>
  <c r="H4185" i="7"/>
  <c r="J4185" i="7" s="1"/>
  <c r="K4184" i="7"/>
  <c r="H4184" i="7"/>
  <c r="J4184" i="7" s="1"/>
  <c r="K4183" i="7"/>
  <c r="H4183" i="7"/>
  <c r="J4183" i="7" s="1"/>
  <c r="K4182" i="7"/>
  <c r="H4182" i="7"/>
  <c r="J4182" i="7" s="1"/>
  <c r="K4181" i="7"/>
  <c r="H4181" i="7"/>
  <c r="J4181" i="7" s="1"/>
  <c r="K4180" i="7"/>
  <c r="H4180" i="7"/>
  <c r="J4180" i="7" s="1"/>
  <c r="K4179" i="7"/>
  <c r="H4179" i="7"/>
  <c r="J4179" i="7" s="1"/>
  <c r="K4178" i="7"/>
  <c r="H4178" i="7"/>
  <c r="J4178" i="7" s="1"/>
  <c r="K4177" i="7"/>
  <c r="H4177" i="7"/>
  <c r="J4177" i="7" s="1"/>
  <c r="K4176" i="7"/>
  <c r="H4176" i="7"/>
  <c r="J4176" i="7" s="1"/>
  <c r="K4175" i="7"/>
  <c r="H4175" i="7"/>
  <c r="J4175" i="7" s="1"/>
  <c r="K4174" i="7"/>
  <c r="H4174" i="7"/>
  <c r="J4174" i="7" s="1"/>
  <c r="K4173" i="7"/>
  <c r="H4173" i="7"/>
  <c r="J4173" i="7" s="1"/>
  <c r="K4172" i="7"/>
  <c r="H4172" i="7"/>
  <c r="J4172" i="7" s="1"/>
  <c r="K4171" i="7"/>
  <c r="H4171" i="7"/>
  <c r="J4171" i="7" s="1"/>
  <c r="K4170" i="7"/>
  <c r="H4170" i="7"/>
  <c r="J4170" i="7" s="1"/>
  <c r="K4169" i="7"/>
  <c r="H4169" i="7"/>
  <c r="J4169" i="7" s="1"/>
  <c r="K4168" i="7"/>
  <c r="H4168" i="7"/>
  <c r="J4168" i="7" s="1"/>
  <c r="K4167" i="7"/>
  <c r="H4167" i="7"/>
  <c r="J4167" i="7" s="1"/>
  <c r="K4166" i="7"/>
  <c r="H4166" i="7"/>
  <c r="J4166" i="7" s="1"/>
  <c r="K4165" i="7"/>
  <c r="H4165" i="7"/>
  <c r="J4165" i="7" s="1"/>
  <c r="K4164" i="7"/>
  <c r="H4164" i="7"/>
  <c r="J4164" i="7" s="1"/>
  <c r="K4163" i="7"/>
  <c r="H4163" i="7"/>
  <c r="J4163" i="7" s="1"/>
  <c r="K4162" i="7"/>
  <c r="H4162" i="7"/>
  <c r="J4162" i="7" s="1"/>
  <c r="K4161" i="7"/>
  <c r="H4161" i="7"/>
  <c r="J4161" i="7" s="1"/>
  <c r="K4160" i="7"/>
  <c r="H4160" i="7"/>
  <c r="J4160" i="7" s="1"/>
  <c r="K4159" i="7"/>
  <c r="H4159" i="7"/>
  <c r="J4159" i="7" s="1"/>
  <c r="K4158" i="7"/>
  <c r="H4158" i="7"/>
  <c r="J4158" i="7" s="1"/>
  <c r="K4157" i="7"/>
  <c r="H4157" i="7"/>
  <c r="J4157" i="7" s="1"/>
  <c r="K4156" i="7"/>
  <c r="H4156" i="7"/>
  <c r="J4156" i="7" s="1"/>
  <c r="K4155" i="7"/>
  <c r="H4155" i="7"/>
  <c r="J4155" i="7" s="1"/>
  <c r="K4154" i="7"/>
  <c r="H4154" i="7"/>
  <c r="J4154" i="7" s="1"/>
  <c r="K4153" i="7"/>
  <c r="H4153" i="7"/>
  <c r="J4153" i="7" s="1"/>
  <c r="K4152" i="7"/>
  <c r="H4152" i="7"/>
  <c r="J4152" i="7" s="1"/>
  <c r="K4151" i="7"/>
  <c r="H4151" i="7"/>
  <c r="J4151" i="7" s="1"/>
  <c r="K4150" i="7"/>
  <c r="H4150" i="7"/>
  <c r="J4150" i="7" s="1"/>
  <c r="K4149" i="7"/>
  <c r="H4149" i="7"/>
  <c r="J4149" i="7" s="1"/>
  <c r="K4148" i="7"/>
  <c r="H4148" i="7"/>
  <c r="J4148" i="7" s="1"/>
  <c r="K4147" i="7"/>
  <c r="H4147" i="7"/>
  <c r="J4147" i="7" s="1"/>
  <c r="K4146" i="7"/>
  <c r="H4146" i="7"/>
  <c r="J4146" i="7" s="1"/>
  <c r="K4145" i="7"/>
  <c r="H4145" i="7"/>
  <c r="J4145" i="7" s="1"/>
  <c r="K4144" i="7"/>
  <c r="H4144" i="7"/>
  <c r="J4144" i="7" s="1"/>
  <c r="K4143" i="7"/>
  <c r="H4143" i="7"/>
  <c r="J4143" i="7" s="1"/>
  <c r="K4142" i="7"/>
  <c r="H4142" i="7"/>
  <c r="J4142" i="7" s="1"/>
  <c r="K4141" i="7"/>
  <c r="H4141" i="7"/>
  <c r="J4141" i="7" s="1"/>
  <c r="K4140" i="7"/>
  <c r="H4140" i="7"/>
  <c r="J4140" i="7" s="1"/>
  <c r="K4139" i="7"/>
  <c r="H4139" i="7"/>
  <c r="J4139" i="7" s="1"/>
  <c r="K4138" i="7"/>
  <c r="H4138" i="7"/>
  <c r="J4138" i="7" s="1"/>
  <c r="K4137" i="7"/>
  <c r="H4137" i="7"/>
  <c r="J4137" i="7" s="1"/>
  <c r="K4136" i="7"/>
  <c r="H4136" i="7"/>
  <c r="J4136" i="7" s="1"/>
  <c r="K4135" i="7"/>
  <c r="H4135" i="7"/>
  <c r="J4135" i="7" s="1"/>
  <c r="K4134" i="7"/>
  <c r="H4134" i="7"/>
  <c r="J4134" i="7" s="1"/>
  <c r="K4133" i="7"/>
  <c r="H4133" i="7"/>
  <c r="J4133" i="7" s="1"/>
  <c r="K4132" i="7"/>
  <c r="H4132" i="7"/>
  <c r="J4132" i="7" s="1"/>
  <c r="K4131" i="7"/>
  <c r="H4131" i="7"/>
  <c r="J4131" i="7" s="1"/>
  <c r="K4130" i="7"/>
  <c r="H4130" i="7"/>
  <c r="J4130" i="7" s="1"/>
  <c r="K4129" i="7"/>
  <c r="H4129" i="7"/>
  <c r="J4129" i="7" s="1"/>
  <c r="K4128" i="7"/>
  <c r="H4128" i="7"/>
  <c r="J4128" i="7" s="1"/>
  <c r="K4127" i="7"/>
  <c r="H4127" i="7"/>
  <c r="J4127" i="7" s="1"/>
  <c r="K4126" i="7"/>
  <c r="H4126" i="7"/>
  <c r="J4126" i="7" s="1"/>
  <c r="K4125" i="7"/>
  <c r="H4125" i="7"/>
  <c r="J4125" i="7" s="1"/>
  <c r="K4124" i="7"/>
  <c r="H4124" i="7"/>
  <c r="J4124" i="7" s="1"/>
  <c r="K4123" i="7"/>
  <c r="H4123" i="7"/>
  <c r="J4123" i="7" s="1"/>
  <c r="K4122" i="7"/>
  <c r="H4122" i="7"/>
  <c r="J4122" i="7" s="1"/>
  <c r="K4121" i="7"/>
  <c r="H4121" i="7"/>
  <c r="J4121" i="7" s="1"/>
  <c r="K4120" i="7"/>
  <c r="H4120" i="7"/>
  <c r="J4120" i="7" s="1"/>
  <c r="K4119" i="7"/>
  <c r="H4119" i="7"/>
  <c r="J4119" i="7" s="1"/>
  <c r="K4118" i="7"/>
  <c r="H4118" i="7"/>
  <c r="J4118" i="7" s="1"/>
  <c r="K4117" i="7"/>
  <c r="H4117" i="7"/>
  <c r="J4117" i="7" s="1"/>
  <c r="K4116" i="7"/>
  <c r="H4116" i="7"/>
  <c r="J4116" i="7" s="1"/>
  <c r="K4115" i="7"/>
  <c r="H4115" i="7"/>
  <c r="J4115" i="7" s="1"/>
  <c r="K4114" i="7"/>
  <c r="H4114" i="7"/>
  <c r="J4114" i="7" s="1"/>
  <c r="K4113" i="7"/>
  <c r="H4113" i="7"/>
  <c r="J4113" i="7" s="1"/>
  <c r="K4112" i="7"/>
  <c r="H4112" i="7"/>
  <c r="J4112" i="7" s="1"/>
  <c r="K4111" i="7"/>
  <c r="H4111" i="7"/>
  <c r="J4111" i="7" s="1"/>
  <c r="K4110" i="7"/>
  <c r="H4110" i="7"/>
  <c r="J4110" i="7" s="1"/>
  <c r="K4109" i="7"/>
  <c r="H4109" i="7"/>
  <c r="J4109" i="7" s="1"/>
  <c r="K4108" i="7"/>
  <c r="H4108" i="7"/>
  <c r="J4108" i="7" s="1"/>
  <c r="K4107" i="7"/>
  <c r="H4107" i="7"/>
  <c r="J4107" i="7" s="1"/>
  <c r="K4106" i="7"/>
  <c r="H4106" i="7"/>
  <c r="J4106" i="7" s="1"/>
  <c r="K4105" i="7"/>
  <c r="H4105" i="7"/>
  <c r="J4105" i="7" s="1"/>
  <c r="K4104" i="7"/>
  <c r="H4104" i="7"/>
  <c r="J4104" i="7" s="1"/>
  <c r="K4103" i="7"/>
  <c r="H4103" i="7"/>
  <c r="J4103" i="7" s="1"/>
  <c r="K4102" i="7"/>
  <c r="H4102" i="7"/>
  <c r="J4102" i="7" s="1"/>
  <c r="K4101" i="7"/>
  <c r="H4101" i="7"/>
  <c r="J4101" i="7" s="1"/>
  <c r="K4100" i="7"/>
  <c r="H4100" i="7"/>
  <c r="J4100" i="7" s="1"/>
  <c r="K4099" i="7"/>
  <c r="H4099" i="7"/>
  <c r="J4099" i="7" s="1"/>
  <c r="K4098" i="7"/>
  <c r="H4098" i="7"/>
  <c r="J4098" i="7" s="1"/>
  <c r="K4097" i="7"/>
  <c r="H4097" i="7"/>
  <c r="J4097" i="7" s="1"/>
  <c r="K4096" i="7"/>
  <c r="H4096" i="7"/>
  <c r="J4096" i="7" s="1"/>
  <c r="K4095" i="7"/>
  <c r="H4095" i="7"/>
  <c r="J4095" i="7" s="1"/>
  <c r="K4094" i="7"/>
  <c r="H4094" i="7"/>
  <c r="J4094" i="7" s="1"/>
  <c r="K4093" i="7"/>
  <c r="H4093" i="7"/>
  <c r="J4093" i="7" s="1"/>
  <c r="K4092" i="7"/>
  <c r="H4092" i="7"/>
  <c r="J4092" i="7" s="1"/>
  <c r="K4091" i="7"/>
  <c r="H4091" i="7"/>
  <c r="J4091" i="7" s="1"/>
  <c r="K4090" i="7"/>
  <c r="H4090" i="7"/>
  <c r="J4090" i="7" s="1"/>
  <c r="K4089" i="7"/>
  <c r="H4089" i="7"/>
  <c r="J4089" i="7" s="1"/>
  <c r="K4088" i="7"/>
  <c r="H4088" i="7"/>
  <c r="J4088" i="7" s="1"/>
  <c r="K4087" i="7"/>
  <c r="H4087" i="7"/>
  <c r="J4087" i="7" s="1"/>
  <c r="K4086" i="7"/>
  <c r="H4086" i="7"/>
  <c r="J4086" i="7" s="1"/>
  <c r="K4085" i="7"/>
  <c r="H4085" i="7"/>
  <c r="J4085" i="7" s="1"/>
  <c r="K4084" i="7"/>
  <c r="H4084" i="7"/>
  <c r="J4084" i="7" s="1"/>
  <c r="K4083" i="7"/>
  <c r="H4083" i="7"/>
  <c r="J4083" i="7" s="1"/>
  <c r="K4082" i="7"/>
  <c r="H4082" i="7"/>
  <c r="J4082" i="7" s="1"/>
  <c r="K4081" i="7"/>
  <c r="H4081" i="7"/>
  <c r="J4081" i="7" s="1"/>
  <c r="K4080" i="7"/>
  <c r="H4080" i="7"/>
  <c r="J4080" i="7" s="1"/>
  <c r="K4079" i="7"/>
  <c r="H4079" i="7"/>
  <c r="J4079" i="7" s="1"/>
  <c r="K4078" i="7"/>
  <c r="H4078" i="7"/>
  <c r="J4078" i="7" s="1"/>
  <c r="K4077" i="7"/>
  <c r="H4077" i="7"/>
  <c r="J4077" i="7" s="1"/>
  <c r="K4076" i="7"/>
  <c r="H4076" i="7"/>
  <c r="J4076" i="7" s="1"/>
  <c r="K4075" i="7"/>
  <c r="H4075" i="7"/>
  <c r="J4075" i="7" s="1"/>
  <c r="K4074" i="7"/>
  <c r="H4074" i="7"/>
  <c r="J4074" i="7" s="1"/>
  <c r="K4073" i="7"/>
  <c r="H4073" i="7"/>
  <c r="J4073" i="7" s="1"/>
  <c r="K4072" i="7"/>
  <c r="H4072" i="7"/>
  <c r="J4072" i="7" s="1"/>
  <c r="K4071" i="7"/>
  <c r="H4071" i="7"/>
  <c r="J4071" i="7" s="1"/>
  <c r="K4070" i="7"/>
  <c r="H4070" i="7"/>
  <c r="J4070" i="7" s="1"/>
  <c r="K4069" i="7"/>
  <c r="H4069" i="7"/>
  <c r="J4069" i="7" s="1"/>
  <c r="K4068" i="7"/>
  <c r="H4068" i="7"/>
  <c r="J4068" i="7" s="1"/>
  <c r="K4067" i="7"/>
  <c r="H4067" i="7"/>
  <c r="J4067" i="7" s="1"/>
  <c r="K4066" i="7"/>
  <c r="H4066" i="7"/>
  <c r="J4066" i="7" s="1"/>
  <c r="K4065" i="7"/>
  <c r="H4065" i="7"/>
  <c r="J4065" i="7" s="1"/>
  <c r="K4064" i="7"/>
  <c r="H4064" i="7"/>
  <c r="J4064" i="7" s="1"/>
  <c r="K4063" i="7"/>
  <c r="H4063" i="7"/>
  <c r="J4063" i="7" s="1"/>
  <c r="K4062" i="7"/>
  <c r="H4062" i="7"/>
  <c r="J4062" i="7" s="1"/>
  <c r="K4061" i="7"/>
  <c r="H4061" i="7"/>
  <c r="J4061" i="7" s="1"/>
  <c r="K4060" i="7"/>
  <c r="H4060" i="7"/>
  <c r="J4060" i="7" s="1"/>
  <c r="K4059" i="7"/>
  <c r="H4059" i="7"/>
  <c r="J4059" i="7" s="1"/>
  <c r="K4058" i="7"/>
  <c r="H4058" i="7"/>
  <c r="J4058" i="7" s="1"/>
  <c r="K4057" i="7"/>
  <c r="H4057" i="7"/>
  <c r="J4057" i="7" s="1"/>
  <c r="K4056" i="7"/>
  <c r="H4056" i="7"/>
  <c r="J4056" i="7" s="1"/>
  <c r="K4055" i="7"/>
  <c r="H4055" i="7"/>
  <c r="J4055" i="7" s="1"/>
  <c r="K4054" i="7"/>
  <c r="H4054" i="7"/>
  <c r="J4054" i="7" s="1"/>
  <c r="K4053" i="7"/>
  <c r="H4053" i="7"/>
  <c r="J4053" i="7" s="1"/>
  <c r="K4052" i="7"/>
  <c r="H4052" i="7"/>
  <c r="J4052" i="7" s="1"/>
  <c r="K4051" i="7"/>
  <c r="H4051" i="7"/>
  <c r="J4051" i="7" s="1"/>
  <c r="K4050" i="7"/>
  <c r="H4050" i="7"/>
  <c r="J4050" i="7" s="1"/>
  <c r="K4049" i="7"/>
  <c r="H4049" i="7"/>
  <c r="J4049" i="7" s="1"/>
  <c r="K4048" i="7"/>
  <c r="H4048" i="7"/>
  <c r="J4048" i="7" s="1"/>
  <c r="K4047" i="7"/>
  <c r="H4047" i="7"/>
  <c r="J4047" i="7" s="1"/>
  <c r="K4046" i="7"/>
  <c r="H4046" i="7"/>
  <c r="J4046" i="7" s="1"/>
  <c r="K4045" i="7"/>
  <c r="H4045" i="7"/>
  <c r="J4045" i="7" s="1"/>
  <c r="K4044" i="7"/>
  <c r="H4044" i="7"/>
  <c r="J4044" i="7" s="1"/>
  <c r="K4043" i="7"/>
  <c r="H4043" i="7"/>
  <c r="J4043" i="7" s="1"/>
  <c r="K4042" i="7"/>
  <c r="H4042" i="7"/>
  <c r="J4042" i="7" s="1"/>
  <c r="K4041" i="7"/>
  <c r="H4041" i="7"/>
  <c r="J4041" i="7" s="1"/>
  <c r="K4040" i="7"/>
  <c r="H4040" i="7"/>
  <c r="J4040" i="7" s="1"/>
  <c r="K4039" i="7"/>
  <c r="H4039" i="7"/>
  <c r="J4039" i="7" s="1"/>
  <c r="K4038" i="7"/>
  <c r="H4038" i="7"/>
  <c r="J4038" i="7" s="1"/>
  <c r="K4037" i="7"/>
  <c r="H4037" i="7"/>
  <c r="J4037" i="7" s="1"/>
  <c r="K4036" i="7"/>
  <c r="H4036" i="7"/>
  <c r="J4036" i="7" s="1"/>
  <c r="K4035" i="7"/>
  <c r="H4035" i="7"/>
  <c r="J4035" i="7" s="1"/>
  <c r="K4034" i="7"/>
  <c r="H4034" i="7"/>
  <c r="J4034" i="7" s="1"/>
  <c r="K4033" i="7"/>
  <c r="H4033" i="7"/>
  <c r="J4033" i="7" s="1"/>
  <c r="K4032" i="7"/>
  <c r="H4032" i="7"/>
  <c r="J4032" i="7" s="1"/>
  <c r="K4031" i="7"/>
  <c r="H4031" i="7"/>
  <c r="J4031" i="7" s="1"/>
  <c r="K4030" i="7"/>
  <c r="H4030" i="7"/>
  <c r="J4030" i="7" s="1"/>
  <c r="K4029" i="7"/>
  <c r="H4029" i="7"/>
  <c r="J4029" i="7" s="1"/>
  <c r="K4028" i="7"/>
  <c r="H4028" i="7"/>
  <c r="J4028" i="7" s="1"/>
  <c r="K4027" i="7"/>
  <c r="H4027" i="7"/>
  <c r="J4027" i="7" s="1"/>
  <c r="K4026" i="7"/>
  <c r="H4026" i="7"/>
  <c r="J4026" i="7" s="1"/>
  <c r="K4025" i="7"/>
  <c r="H4025" i="7"/>
  <c r="J4025" i="7" s="1"/>
  <c r="K4024" i="7"/>
  <c r="H4024" i="7"/>
  <c r="J4024" i="7" s="1"/>
  <c r="K4023" i="7"/>
  <c r="H4023" i="7"/>
  <c r="J4023" i="7" s="1"/>
  <c r="K4022" i="7"/>
  <c r="H4022" i="7"/>
  <c r="J4022" i="7" s="1"/>
  <c r="K4021" i="7"/>
  <c r="H4021" i="7"/>
  <c r="J4021" i="7" s="1"/>
  <c r="K4020" i="7"/>
  <c r="H4020" i="7"/>
  <c r="J4020" i="7" s="1"/>
  <c r="K4019" i="7"/>
  <c r="H4019" i="7"/>
  <c r="J4019" i="7" s="1"/>
  <c r="K4018" i="7"/>
  <c r="H4018" i="7"/>
  <c r="J4018" i="7" s="1"/>
  <c r="K4017" i="7"/>
  <c r="H4017" i="7"/>
  <c r="J4017" i="7" s="1"/>
  <c r="K4016" i="7"/>
  <c r="H4016" i="7"/>
  <c r="J4016" i="7" s="1"/>
  <c r="K4015" i="7"/>
  <c r="H4015" i="7"/>
  <c r="J4015" i="7" s="1"/>
  <c r="K4014" i="7"/>
  <c r="H4014" i="7"/>
  <c r="J4014" i="7" s="1"/>
  <c r="K4013" i="7"/>
  <c r="H4013" i="7"/>
  <c r="J4013" i="7" s="1"/>
  <c r="K4012" i="7"/>
  <c r="H4012" i="7"/>
  <c r="J4012" i="7" s="1"/>
  <c r="K4011" i="7"/>
  <c r="H4011" i="7"/>
  <c r="J4011" i="7" s="1"/>
  <c r="K4010" i="7"/>
  <c r="H4010" i="7"/>
  <c r="J4010" i="7" s="1"/>
  <c r="K4009" i="7"/>
  <c r="H4009" i="7"/>
  <c r="J4009" i="7" s="1"/>
  <c r="K4008" i="7"/>
  <c r="H4008" i="7"/>
  <c r="J4008" i="7" s="1"/>
  <c r="K4007" i="7"/>
  <c r="H4007" i="7"/>
  <c r="J4007" i="7" s="1"/>
  <c r="K4006" i="7"/>
  <c r="H4006" i="7"/>
  <c r="J4006" i="7" s="1"/>
  <c r="K4005" i="7"/>
  <c r="H4005" i="7"/>
  <c r="J4005" i="7" s="1"/>
  <c r="K4004" i="7"/>
  <c r="H4004" i="7"/>
  <c r="J4004" i="7" s="1"/>
  <c r="K4003" i="7"/>
  <c r="H4003" i="7"/>
  <c r="J4003" i="7" s="1"/>
  <c r="K4002" i="7"/>
  <c r="H4002" i="7"/>
  <c r="J4002" i="7" s="1"/>
  <c r="K4001" i="7"/>
  <c r="H4001" i="7"/>
  <c r="J4001" i="7" s="1"/>
  <c r="K4000" i="7"/>
  <c r="H4000" i="7"/>
  <c r="J4000" i="7" s="1"/>
  <c r="K3999" i="7"/>
  <c r="H3999" i="7"/>
  <c r="J3999" i="7" s="1"/>
  <c r="K3998" i="7"/>
  <c r="H3998" i="7"/>
  <c r="J3998" i="7" s="1"/>
  <c r="K3997" i="7"/>
  <c r="H3997" i="7"/>
  <c r="J3997" i="7" s="1"/>
  <c r="K3996" i="7"/>
  <c r="H3996" i="7"/>
  <c r="J3996" i="7" s="1"/>
  <c r="K3995" i="7"/>
  <c r="H3995" i="7"/>
  <c r="J3995" i="7" s="1"/>
  <c r="K3994" i="7"/>
  <c r="H3994" i="7"/>
  <c r="J3994" i="7" s="1"/>
  <c r="K3993" i="7"/>
  <c r="H3993" i="7"/>
  <c r="J3993" i="7" s="1"/>
  <c r="K3992" i="7"/>
  <c r="H3992" i="7"/>
  <c r="J3992" i="7" s="1"/>
  <c r="K3991" i="7"/>
  <c r="H3991" i="7"/>
  <c r="J3991" i="7" s="1"/>
  <c r="K3990" i="7"/>
  <c r="H3990" i="7"/>
  <c r="J3990" i="7" s="1"/>
  <c r="K3989" i="7"/>
  <c r="H3989" i="7"/>
  <c r="J3989" i="7" s="1"/>
  <c r="K3988" i="7"/>
  <c r="H3988" i="7"/>
  <c r="J3988" i="7" s="1"/>
  <c r="K3987" i="7"/>
  <c r="H3987" i="7"/>
  <c r="J3987" i="7" s="1"/>
  <c r="K3986" i="7"/>
  <c r="H3986" i="7"/>
  <c r="J3986" i="7" s="1"/>
  <c r="K3985" i="7"/>
  <c r="H3985" i="7"/>
  <c r="J3985" i="7" s="1"/>
  <c r="K3984" i="7"/>
  <c r="H3984" i="7"/>
  <c r="J3984" i="7" s="1"/>
  <c r="K3983" i="7"/>
  <c r="H3983" i="7"/>
  <c r="J3983" i="7" s="1"/>
  <c r="K3982" i="7"/>
  <c r="H3982" i="7"/>
  <c r="J3982" i="7" s="1"/>
  <c r="K3981" i="7"/>
  <c r="H3981" i="7"/>
  <c r="J3981" i="7" s="1"/>
  <c r="K3980" i="7"/>
  <c r="H3980" i="7"/>
  <c r="J3980" i="7" s="1"/>
  <c r="K3979" i="7"/>
  <c r="H3979" i="7"/>
  <c r="J3979" i="7" s="1"/>
  <c r="K3978" i="7"/>
  <c r="H3978" i="7"/>
  <c r="J3978" i="7" s="1"/>
  <c r="K3977" i="7"/>
  <c r="H3977" i="7"/>
  <c r="J3977" i="7" s="1"/>
  <c r="K3976" i="7"/>
  <c r="H3976" i="7"/>
  <c r="J3976" i="7" s="1"/>
  <c r="K3975" i="7"/>
  <c r="H3975" i="7"/>
  <c r="J3975" i="7" s="1"/>
  <c r="K3974" i="7"/>
  <c r="H3974" i="7"/>
  <c r="J3974" i="7" s="1"/>
  <c r="K3973" i="7"/>
  <c r="H3973" i="7"/>
  <c r="J3973" i="7" s="1"/>
  <c r="K3972" i="7"/>
  <c r="H3972" i="7"/>
  <c r="J3972" i="7" s="1"/>
  <c r="K3971" i="7"/>
  <c r="H3971" i="7"/>
  <c r="J3971" i="7" s="1"/>
  <c r="K3970" i="7"/>
  <c r="H3970" i="7"/>
  <c r="J3970" i="7" s="1"/>
  <c r="K3969" i="7"/>
  <c r="H3969" i="7"/>
  <c r="J3969" i="7" s="1"/>
  <c r="K3968" i="7"/>
  <c r="H3968" i="7"/>
  <c r="J3968" i="7" s="1"/>
  <c r="K3967" i="7"/>
  <c r="H3967" i="7"/>
  <c r="J3967" i="7" s="1"/>
  <c r="K3966" i="7"/>
  <c r="H3966" i="7"/>
  <c r="J3966" i="7" s="1"/>
  <c r="K3965" i="7"/>
  <c r="H3965" i="7"/>
  <c r="J3965" i="7" s="1"/>
  <c r="K3964" i="7"/>
  <c r="H3964" i="7"/>
  <c r="J3964" i="7" s="1"/>
  <c r="K3963" i="7"/>
  <c r="H3963" i="7"/>
  <c r="J3963" i="7" s="1"/>
  <c r="K3962" i="7"/>
  <c r="H3962" i="7"/>
  <c r="J3962" i="7" s="1"/>
  <c r="K3961" i="7"/>
  <c r="H3961" i="7"/>
  <c r="J3961" i="7" s="1"/>
  <c r="K3960" i="7"/>
  <c r="H3960" i="7"/>
  <c r="J3960" i="7" s="1"/>
  <c r="K3959" i="7"/>
  <c r="H3959" i="7"/>
  <c r="J3959" i="7" s="1"/>
  <c r="K3958" i="7"/>
  <c r="H3958" i="7"/>
  <c r="J3958" i="7" s="1"/>
  <c r="K3957" i="7"/>
  <c r="H3957" i="7"/>
  <c r="J3957" i="7" s="1"/>
  <c r="K3956" i="7"/>
  <c r="H3956" i="7"/>
  <c r="J3956" i="7" s="1"/>
  <c r="K3955" i="7"/>
  <c r="H3955" i="7"/>
  <c r="J3955" i="7" s="1"/>
  <c r="K3954" i="7"/>
  <c r="H3954" i="7"/>
  <c r="J3954" i="7" s="1"/>
  <c r="K3953" i="7"/>
  <c r="H3953" i="7"/>
  <c r="J3953" i="7" s="1"/>
  <c r="K3952" i="7"/>
  <c r="H3952" i="7"/>
  <c r="J3952" i="7" s="1"/>
  <c r="K3951" i="7"/>
  <c r="H3951" i="7"/>
  <c r="J3951" i="7" s="1"/>
  <c r="K3950" i="7"/>
  <c r="H3950" i="7"/>
  <c r="J3950" i="7" s="1"/>
  <c r="K3949" i="7"/>
  <c r="H3949" i="7"/>
  <c r="J3949" i="7" s="1"/>
  <c r="K3948" i="7"/>
  <c r="H3948" i="7"/>
  <c r="J3948" i="7" s="1"/>
  <c r="K3947" i="7"/>
  <c r="H3947" i="7"/>
  <c r="J3947" i="7" s="1"/>
  <c r="K3946" i="7"/>
  <c r="H3946" i="7"/>
  <c r="J3946" i="7" s="1"/>
  <c r="K3945" i="7"/>
  <c r="H3945" i="7"/>
  <c r="J3945" i="7" s="1"/>
  <c r="K3944" i="7"/>
  <c r="H3944" i="7"/>
  <c r="J3944" i="7" s="1"/>
  <c r="K3943" i="7"/>
  <c r="H3943" i="7"/>
  <c r="J3943" i="7" s="1"/>
  <c r="K3942" i="7"/>
  <c r="H3942" i="7"/>
  <c r="J3942" i="7" s="1"/>
  <c r="K3941" i="7"/>
  <c r="H3941" i="7"/>
  <c r="J3941" i="7" s="1"/>
  <c r="K3940" i="7"/>
  <c r="H3940" i="7"/>
  <c r="J3940" i="7" s="1"/>
  <c r="K3939" i="7"/>
  <c r="H3939" i="7"/>
  <c r="J3939" i="7" s="1"/>
  <c r="K3938" i="7"/>
  <c r="H3938" i="7"/>
  <c r="J3938" i="7" s="1"/>
  <c r="K3937" i="7"/>
  <c r="H3937" i="7"/>
  <c r="J3937" i="7" s="1"/>
  <c r="K3936" i="7"/>
  <c r="H3936" i="7"/>
  <c r="J3936" i="7" s="1"/>
  <c r="K3935" i="7"/>
  <c r="H3935" i="7"/>
  <c r="J3935" i="7" s="1"/>
  <c r="K3934" i="7"/>
  <c r="H3934" i="7"/>
  <c r="J3934" i="7" s="1"/>
  <c r="K3933" i="7"/>
  <c r="H3933" i="7"/>
  <c r="J3933" i="7" s="1"/>
  <c r="K3932" i="7"/>
  <c r="H3932" i="7"/>
  <c r="J3932" i="7" s="1"/>
  <c r="K3931" i="7"/>
  <c r="H3931" i="7"/>
  <c r="J3931" i="7" s="1"/>
  <c r="K3930" i="7"/>
  <c r="H3930" i="7"/>
  <c r="J3930" i="7" s="1"/>
  <c r="K3929" i="7"/>
  <c r="H3929" i="7"/>
  <c r="J3929" i="7" s="1"/>
  <c r="K3928" i="7"/>
  <c r="H3928" i="7"/>
  <c r="J3928" i="7" s="1"/>
  <c r="K3927" i="7"/>
  <c r="H3927" i="7"/>
  <c r="J3927" i="7" s="1"/>
  <c r="K3926" i="7"/>
  <c r="H3926" i="7"/>
  <c r="J3926" i="7" s="1"/>
  <c r="K3925" i="7"/>
  <c r="H3925" i="7"/>
  <c r="J3925" i="7" s="1"/>
  <c r="K3924" i="7"/>
  <c r="H3924" i="7"/>
  <c r="J3924" i="7" s="1"/>
  <c r="K3923" i="7"/>
  <c r="H3923" i="7"/>
  <c r="J3923" i="7" s="1"/>
  <c r="K3922" i="7"/>
  <c r="H3922" i="7"/>
  <c r="J3922" i="7" s="1"/>
  <c r="K3921" i="7"/>
  <c r="H3921" i="7"/>
  <c r="J3921" i="7" s="1"/>
  <c r="K3920" i="7"/>
  <c r="H3920" i="7"/>
  <c r="J3920" i="7" s="1"/>
  <c r="K3919" i="7"/>
  <c r="H3919" i="7"/>
  <c r="J3919" i="7" s="1"/>
  <c r="K3918" i="7"/>
  <c r="H3918" i="7"/>
  <c r="J3918" i="7" s="1"/>
  <c r="K3917" i="7"/>
  <c r="H3917" i="7"/>
  <c r="J3917" i="7" s="1"/>
  <c r="K3916" i="7"/>
  <c r="H3916" i="7"/>
  <c r="J3916" i="7" s="1"/>
  <c r="K3915" i="7"/>
  <c r="H3915" i="7"/>
  <c r="J3915" i="7" s="1"/>
  <c r="K3914" i="7"/>
  <c r="H3914" i="7"/>
  <c r="J3914" i="7" s="1"/>
  <c r="K3913" i="7"/>
  <c r="H3913" i="7"/>
  <c r="J3913" i="7" s="1"/>
  <c r="K3912" i="7"/>
  <c r="H3912" i="7"/>
  <c r="J3912" i="7" s="1"/>
  <c r="K3911" i="7"/>
  <c r="H3911" i="7"/>
  <c r="J3911" i="7" s="1"/>
  <c r="K3910" i="7"/>
  <c r="H3910" i="7"/>
  <c r="J3910" i="7" s="1"/>
  <c r="K3909" i="7"/>
  <c r="H3909" i="7"/>
  <c r="J3909" i="7" s="1"/>
  <c r="K3908" i="7"/>
  <c r="H3908" i="7"/>
  <c r="J3908" i="7" s="1"/>
  <c r="K3907" i="7"/>
  <c r="H3907" i="7"/>
  <c r="J3907" i="7" s="1"/>
  <c r="K3906" i="7"/>
  <c r="H3906" i="7"/>
  <c r="J3906" i="7" s="1"/>
  <c r="K3905" i="7"/>
  <c r="H3905" i="7"/>
  <c r="J3905" i="7" s="1"/>
  <c r="K3904" i="7"/>
  <c r="H3904" i="7"/>
  <c r="J3904" i="7" s="1"/>
  <c r="K3903" i="7"/>
  <c r="H3903" i="7"/>
  <c r="J3903" i="7" s="1"/>
  <c r="K3902" i="7"/>
  <c r="H3902" i="7"/>
  <c r="J3902" i="7" s="1"/>
  <c r="K3901" i="7"/>
  <c r="H3901" i="7"/>
  <c r="J3901" i="7" s="1"/>
  <c r="K3900" i="7"/>
  <c r="H3900" i="7"/>
  <c r="J3900" i="7" s="1"/>
  <c r="K3899" i="7"/>
  <c r="H3899" i="7"/>
  <c r="J3899" i="7" s="1"/>
  <c r="K3898" i="7"/>
  <c r="H3898" i="7"/>
  <c r="J3898" i="7" s="1"/>
  <c r="K3897" i="7"/>
  <c r="H3897" i="7"/>
  <c r="J3897" i="7" s="1"/>
  <c r="K3896" i="7"/>
  <c r="H3896" i="7"/>
  <c r="J3896" i="7" s="1"/>
  <c r="K3895" i="7"/>
  <c r="H3895" i="7"/>
  <c r="J3895" i="7" s="1"/>
  <c r="K3894" i="7"/>
  <c r="H3894" i="7"/>
  <c r="J3894" i="7" s="1"/>
  <c r="K3893" i="7"/>
  <c r="H3893" i="7"/>
  <c r="J3893" i="7" s="1"/>
  <c r="K3892" i="7"/>
  <c r="H3892" i="7"/>
  <c r="J3892" i="7" s="1"/>
  <c r="K3891" i="7"/>
  <c r="H3891" i="7"/>
  <c r="J3891" i="7" s="1"/>
  <c r="K3890" i="7"/>
  <c r="H3890" i="7"/>
  <c r="J3890" i="7" s="1"/>
  <c r="K3889" i="7"/>
  <c r="H3889" i="7"/>
  <c r="J3889" i="7" s="1"/>
  <c r="K3888" i="7"/>
  <c r="H3888" i="7"/>
  <c r="J3888" i="7" s="1"/>
  <c r="K3887" i="7"/>
  <c r="H3887" i="7"/>
  <c r="J3887" i="7" s="1"/>
  <c r="K3886" i="7"/>
  <c r="H3886" i="7"/>
  <c r="J3886" i="7" s="1"/>
  <c r="K3885" i="7"/>
  <c r="H3885" i="7"/>
  <c r="J3885" i="7" s="1"/>
  <c r="K3884" i="7"/>
  <c r="H3884" i="7"/>
  <c r="J3884" i="7" s="1"/>
  <c r="K3883" i="7"/>
  <c r="H3883" i="7"/>
  <c r="J3883" i="7" s="1"/>
  <c r="K3882" i="7"/>
  <c r="H3882" i="7"/>
  <c r="J3882" i="7" s="1"/>
  <c r="K3881" i="7"/>
  <c r="H3881" i="7"/>
  <c r="J3881" i="7" s="1"/>
  <c r="K3880" i="7"/>
  <c r="H3880" i="7"/>
  <c r="J3880" i="7" s="1"/>
  <c r="K3879" i="7"/>
  <c r="H3879" i="7"/>
  <c r="J3879" i="7" s="1"/>
  <c r="K3878" i="7"/>
  <c r="H3878" i="7"/>
  <c r="J3878" i="7" s="1"/>
  <c r="K3877" i="7"/>
  <c r="H3877" i="7"/>
  <c r="J3877" i="7" s="1"/>
  <c r="K3876" i="7"/>
  <c r="H3876" i="7"/>
  <c r="J3876" i="7" s="1"/>
  <c r="K3875" i="7"/>
  <c r="H3875" i="7"/>
  <c r="J3875" i="7" s="1"/>
  <c r="K3874" i="7"/>
  <c r="H3874" i="7"/>
  <c r="J3874" i="7" s="1"/>
  <c r="K3873" i="7"/>
  <c r="H3873" i="7"/>
  <c r="J3873" i="7" s="1"/>
  <c r="K3872" i="7"/>
  <c r="H3872" i="7"/>
  <c r="J3872" i="7" s="1"/>
  <c r="K3871" i="7"/>
  <c r="H3871" i="7"/>
  <c r="J3871" i="7" s="1"/>
  <c r="K3870" i="7"/>
  <c r="H3870" i="7"/>
  <c r="J3870" i="7" s="1"/>
  <c r="K3869" i="7"/>
  <c r="H3869" i="7"/>
  <c r="J3869" i="7" s="1"/>
  <c r="K3868" i="7"/>
  <c r="H3868" i="7"/>
  <c r="J3868" i="7" s="1"/>
  <c r="K3867" i="7"/>
  <c r="H3867" i="7"/>
  <c r="J3867" i="7" s="1"/>
  <c r="K3866" i="7"/>
  <c r="H3866" i="7"/>
  <c r="J3866" i="7" s="1"/>
  <c r="K3865" i="7"/>
  <c r="H3865" i="7"/>
  <c r="J3865" i="7" s="1"/>
  <c r="K3864" i="7"/>
  <c r="H3864" i="7"/>
  <c r="J3864" i="7" s="1"/>
  <c r="K3863" i="7"/>
  <c r="H3863" i="7"/>
  <c r="J3863" i="7" s="1"/>
  <c r="K3862" i="7"/>
  <c r="H3862" i="7"/>
  <c r="J3862" i="7" s="1"/>
  <c r="K3861" i="7"/>
  <c r="H3861" i="7"/>
  <c r="J3861" i="7" s="1"/>
  <c r="K3860" i="7"/>
  <c r="H3860" i="7"/>
  <c r="J3860" i="7" s="1"/>
  <c r="K3859" i="7"/>
  <c r="H3859" i="7"/>
  <c r="J3859" i="7" s="1"/>
  <c r="K3858" i="7"/>
  <c r="H3858" i="7"/>
  <c r="J3858" i="7" s="1"/>
  <c r="K3857" i="7"/>
  <c r="H3857" i="7"/>
  <c r="J3857" i="7" s="1"/>
  <c r="K3856" i="7"/>
  <c r="H3856" i="7"/>
  <c r="J3856" i="7" s="1"/>
  <c r="K3855" i="7"/>
  <c r="H3855" i="7"/>
  <c r="J3855" i="7" s="1"/>
  <c r="K3854" i="7"/>
  <c r="H3854" i="7"/>
  <c r="J3854" i="7" s="1"/>
  <c r="K3853" i="7"/>
  <c r="H3853" i="7"/>
  <c r="J3853" i="7" s="1"/>
  <c r="K3852" i="7"/>
  <c r="H3852" i="7"/>
  <c r="J3852" i="7" s="1"/>
  <c r="K3851" i="7"/>
  <c r="H3851" i="7"/>
  <c r="J3851" i="7" s="1"/>
  <c r="K3850" i="7"/>
  <c r="H3850" i="7"/>
  <c r="J3850" i="7" s="1"/>
  <c r="K3849" i="7"/>
  <c r="H3849" i="7"/>
  <c r="J3849" i="7" s="1"/>
  <c r="K3848" i="7"/>
  <c r="H3848" i="7"/>
  <c r="J3848" i="7" s="1"/>
  <c r="K3847" i="7"/>
  <c r="H3847" i="7"/>
  <c r="J3847" i="7" s="1"/>
  <c r="K3846" i="7"/>
  <c r="H3846" i="7"/>
  <c r="J3846" i="7" s="1"/>
  <c r="K3845" i="7"/>
  <c r="H3845" i="7"/>
  <c r="J3845" i="7" s="1"/>
  <c r="K3844" i="7"/>
  <c r="H3844" i="7"/>
  <c r="J3844" i="7" s="1"/>
  <c r="K3843" i="7"/>
  <c r="H3843" i="7"/>
  <c r="J3843" i="7" s="1"/>
  <c r="K3842" i="7"/>
  <c r="H3842" i="7"/>
  <c r="J3842" i="7" s="1"/>
  <c r="K3841" i="7"/>
  <c r="H3841" i="7"/>
  <c r="J3841" i="7" s="1"/>
  <c r="K3840" i="7"/>
  <c r="H3840" i="7"/>
  <c r="J3840" i="7" s="1"/>
  <c r="K3839" i="7"/>
  <c r="H3839" i="7"/>
  <c r="J3839" i="7" s="1"/>
  <c r="K3838" i="7"/>
  <c r="H3838" i="7"/>
  <c r="J3838" i="7" s="1"/>
  <c r="K3837" i="7"/>
  <c r="H3837" i="7"/>
  <c r="J3837" i="7" s="1"/>
  <c r="K3836" i="7"/>
  <c r="H3836" i="7"/>
  <c r="J3836" i="7" s="1"/>
  <c r="K3835" i="7"/>
  <c r="H3835" i="7"/>
  <c r="J3835" i="7" s="1"/>
  <c r="K3834" i="7"/>
  <c r="H3834" i="7"/>
  <c r="J3834" i="7" s="1"/>
  <c r="K3833" i="7"/>
  <c r="H3833" i="7"/>
  <c r="J3833" i="7" s="1"/>
  <c r="K3832" i="7"/>
  <c r="H3832" i="7"/>
  <c r="J3832" i="7" s="1"/>
  <c r="K3831" i="7"/>
  <c r="H3831" i="7"/>
  <c r="J3831" i="7" s="1"/>
  <c r="K3830" i="7"/>
  <c r="H3830" i="7"/>
  <c r="J3830" i="7" s="1"/>
  <c r="K3829" i="7"/>
  <c r="H3829" i="7"/>
  <c r="J3829" i="7" s="1"/>
  <c r="K3828" i="7"/>
  <c r="H3828" i="7"/>
  <c r="J3828" i="7" s="1"/>
  <c r="K3827" i="7"/>
  <c r="H3827" i="7"/>
  <c r="J3827" i="7" s="1"/>
  <c r="K3826" i="7"/>
  <c r="H3826" i="7"/>
  <c r="J3826" i="7" s="1"/>
  <c r="K3825" i="7"/>
  <c r="H3825" i="7"/>
  <c r="J3825" i="7" s="1"/>
  <c r="K3824" i="7"/>
  <c r="H3824" i="7"/>
  <c r="J3824" i="7" s="1"/>
  <c r="K3823" i="7"/>
  <c r="H3823" i="7"/>
  <c r="J3823" i="7" s="1"/>
  <c r="K3822" i="7"/>
  <c r="H3822" i="7"/>
  <c r="J3822" i="7" s="1"/>
  <c r="K3821" i="7"/>
  <c r="H3821" i="7"/>
  <c r="J3821" i="7" s="1"/>
  <c r="K3820" i="7"/>
  <c r="H3820" i="7"/>
  <c r="J3820" i="7" s="1"/>
  <c r="K3819" i="7"/>
  <c r="H3819" i="7"/>
  <c r="J3819" i="7" s="1"/>
  <c r="K3818" i="7"/>
  <c r="H3818" i="7"/>
  <c r="J3818" i="7" s="1"/>
  <c r="K3817" i="7"/>
  <c r="H3817" i="7"/>
  <c r="J3817" i="7" s="1"/>
  <c r="K3816" i="7"/>
  <c r="H3816" i="7"/>
  <c r="J3816" i="7" s="1"/>
  <c r="K3815" i="7"/>
  <c r="H3815" i="7"/>
  <c r="J3815" i="7" s="1"/>
  <c r="K3814" i="7"/>
  <c r="H3814" i="7"/>
  <c r="J3814" i="7" s="1"/>
  <c r="K3813" i="7"/>
  <c r="H3813" i="7"/>
  <c r="J3813" i="7" s="1"/>
  <c r="K3812" i="7"/>
  <c r="H3812" i="7"/>
  <c r="J3812" i="7" s="1"/>
  <c r="K3811" i="7"/>
  <c r="H3811" i="7"/>
  <c r="J3811" i="7" s="1"/>
  <c r="K3810" i="7"/>
  <c r="H3810" i="7"/>
  <c r="J3810" i="7" s="1"/>
  <c r="K3809" i="7"/>
  <c r="H3809" i="7"/>
  <c r="J3809" i="7" s="1"/>
  <c r="K3808" i="7"/>
  <c r="H3808" i="7"/>
  <c r="J3808" i="7" s="1"/>
  <c r="K3807" i="7"/>
  <c r="H3807" i="7"/>
  <c r="J3807" i="7" s="1"/>
  <c r="K3806" i="7"/>
  <c r="H3806" i="7"/>
  <c r="J3806" i="7" s="1"/>
  <c r="K3805" i="7"/>
  <c r="H3805" i="7"/>
  <c r="J3805" i="7" s="1"/>
  <c r="K3804" i="7"/>
  <c r="H3804" i="7"/>
  <c r="J3804" i="7" s="1"/>
  <c r="K3803" i="7"/>
  <c r="H3803" i="7"/>
  <c r="J3803" i="7" s="1"/>
  <c r="K3802" i="7"/>
  <c r="H3802" i="7"/>
  <c r="J3802" i="7" s="1"/>
  <c r="K3801" i="7"/>
  <c r="H3801" i="7"/>
  <c r="J3801" i="7" s="1"/>
  <c r="K3800" i="7"/>
  <c r="H3800" i="7"/>
  <c r="J3800" i="7" s="1"/>
  <c r="K3799" i="7"/>
  <c r="H3799" i="7"/>
  <c r="J3799" i="7" s="1"/>
  <c r="K3798" i="7"/>
  <c r="H3798" i="7"/>
  <c r="J3798" i="7" s="1"/>
  <c r="K3797" i="7"/>
  <c r="H3797" i="7"/>
  <c r="J3797" i="7" s="1"/>
  <c r="K3796" i="7"/>
  <c r="H3796" i="7"/>
  <c r="J3796" i="7" s="1"/>
  <c r="K3795" i="7"/>
  <c r="H3795" i="7"/>
  <c r="J3795" i="7" s="1"/>
  <c r="K3794" i="7"/>
  <c r="H3794" i="7"/>
  <c r="J3794" i="7" s="1"/>
  <c r="K3793" i="7"/>
  <c r="H3793" i="7"/>
  <c r="J3793" i="7" s="1"/>
  <c r="K3792" i="7"/>
  <c r="H3792" i="7"/>
  <c r="J3792" i="7" s="1"/>
  <c r="K3791" i="7"/>
  <c r="H3791" i="7"/>
  <c r="J3791" i="7" s="1"/>
  <c r="K3790" i="7"/>
  <c r="H3790" i="7"/>
  <c r="J3790" i="7" s="1"/>
  <c r="K3789" i="7"/>
  <c r="H3789" i="7"/>
  <c r="J3789" i="7" s="1"/>
  <c r="K3788" i="7"/>
  <c r="H3788" i="7"/>
  <c r="J3788" i="7" s="1"/>
  <c r="K3787" i="7"/>
  <c r="H3787" i="7"/>
  <c r="J3787" i="7" s="1"/>
  <c r="K3786" i="7"/>
  <c r="H3786" i="7"/>
  <c r="J3786" i="7" s="1"/>
  <c r="K3785" i="7"/>
  <c r="H3785" i="7"/>
  <c r="J3785" i="7" s="1"/>
  <c r="K3784" i="7"/>
  <c r="H3784" i="7"/>
  <c r="J3784" i="7" s="1"/>
  <c r="K3783" i="7"/>
  <c r="H3783" i="7"/>
  <c r="J3783" i="7" s="1"/>
  <c r="K3782" i="7"/>
  <c r="H3782" i="7"/>
  <c r="J3782" i="7" s="1"/>
  <c r="K3781" i="7"/>
  <c r="H3781" i="7"/>
  <c r="J3781" i="7" s="1"/>
  <c r="K3780" i="7"/>
  <c r="H3780" i="7"/>
  <c r="J3780" i="7" s="1"/>
  <c r="K3779" i="7"/>
  <c r="H3779" i="7"/>
  <c r="J3779" i="7" s="1"/>
  <c r="K3778" i="7"/>
  <c r="H3778" i="7"/>
  <c r="J3778" i="7" s="1"/>
  <c r="K3777" i="7"/>
  <c r="H3777" i="7"/>
  <c r="J3777" i="7" s="1"/>
  <c r="K3776" i="7"/>
  <c r="H3776" i="7"/>
  <c r="J3776" i="7" s="1"/>
  <c r="K3775" i="7"/>
  <c r="H3775" i="7"/>
  <c r="J3775" i="7" s="1"/>
  <c r="K3774" i="7"/>
  <c r="H3774" i="7"/>
  <c r="J3774" i="7" s="1"/>
  <c r="K3773" i="7"/>
  <c r="H3773" i="7"/>
  <c r="J3773" i="7" s="1"/>
  <c r="K3772" i="7"/>
  <c r="H3772" i="7"/>
  <c r="J3772" i="7" s="1"/>
  <c r="K3771" i="7"/>
  <c r="H3771" i="7"/>
  <c r="J3771" i="7" s="1"/>
  <c r="K3770" i="7"/>
  <c r="H3770" i="7"/>
  <c r="J3770" i="7" s="1"/>
  <c r="K3769" i="7"/>
  <c r="H3769" i="7"/>
  <c r="J3769" i="7" s="1"/>
  <c r="K3768" i="7"/>
  <c r="H3768" i="7"/>
  <c r="J3768" i="7" s="1"/>
  <c r="K3767" i="7"/>
  <c r="H3767" i="7"/>
  <c r="J3767" i="7" s="1"/>
  <c r="K3766" i="7"/>
  <c r="H3766" i="7"/>
  <c r="J3766" i="7" s="1"/>
  <c r="K3765" i="7"/>
  <c r="H3765" i="7"/>
  <c r="J3765" i="7" s="1"/>
  <c r="K3764" i="7"/>
  <c r="H3764" i="7"/>
  <c r="J3764" i="7" s="1"/>
  <c r="K3763" i="7"/>
  <c r="H3763" i="7"/>
  <c r="J3763" i="7" s="1"/>
  <c r="K3762" i="7"/>
  <c r="H3762" i="7"/>
  <c r="J3762" i="7" s="1"/>
  <c r="K3761" i="7"/>
  <c r="H3761" i="7"/>
  <c r="J3761" i="7" s="1"/>
  <c r="K3760" i="7"/>
  <c r="H3760" i="7"/>
  <c r="J3760" i="7" s="1"/>
  <c r="K3759" i="7"/>
  <c r="H3759" i="7"/>
  <c r="J3759" i="7" s="1"/>
  <c r="K3758" i="7"/>
  <c r="H3758" i="7"/>
  <c r="J3758" i="7" s="1"/>
  <c r="K3757" i="7"/>
  <c r="H3757" i="7"/>
  <c r="J3757" i="7" s="1"/>
  <c r="K3756" i="7"/>
  <c r="H3756" i="7"/>
  <c r="J3756" i="7" s="1"/>
  <c r="K3755" i="7"/>
  <c r="H3755" i="7"/>
  <c r="J3755" i="7" s="1"/>
  <c r="K3754" i="7"/>
  <c r="H3754" i="7"/>
  <c r="J3754" i="7" s="1"/>
  <c r="K3753" i="7"/>
  <c r="H3753" i="7"/>
  <c r="J3753" i="7" s="1"/>
  <c r="K3752" i="7"/>
  <c r="H3752" i="7"/>
  <c r="J3752" i="7" s="1"/>
  <c r="K3751" i="7"/>
  <c r="H3751" i="7"/>
  <c r="J3751" i="7" s="1"/>
  <c r="K3750" i="7"/>
  <c r="H3750" i="7"/>
  <c r="J3750" i="7" s="1"/>
  <c r="K3749" i="7"/>
  <c r="H3749" i="7"/>
  <c r="J3749" i="7" s="1"/>
  <c r="K3748" i="7"/>
  <c r="H3748" i="7"/>
  <c r="J3748" i="7" s="1"/>
  <c r="K3747" i="7"/>
  <c r="H3747" i="7"/>
  <c r="J3747" i="7" s="1"/>
  <c r="K3746" i="7"/>
  <c r="H3746" i="7"/>
  <c r="J3746" i="7" s="1"/>
  <c r="K3745" i="7"/>
  <c r="H3745" i="7"/>
  <c r="J3745" i="7" s="1"/>
  <c r="K3744" i="7"/>
  <c r="H3744" i="7"/>
  <c r="J3744" i="7" s="1"/>
  <c r="K3743" i="7"/>
  <c r="H3743" i="7"/>
  <c r="J3743" i="7" s="1"/>
  <c r="K3742" i="7"/>
  <c r="H3742" i="7"/>
  <c r="J3742" i="7" s="1"/>
  <c r="K3741" i="7"/>
  <c r="H3741" i="7"/>
  <c r="J3741" i="7" s="1"/>
  <c r="K3740" i="7"/>
  <c r="H3740" i="7"/>
  <c r="J3740" i="7" s="1"/>
  <c r="K3739" i="7"/>
  <c r="H3739" i="7"/>
  <c r="J3739" i="7" s="1"/>
  <c r="K3738" i="7"/>
  <c r="H3738" i="7"/>
  <c r="J3738" i="7" s="1"/>
  <c r="K3737" i="7"/>
  <c r="H3737" i="7"/>
  <c r="J3737" i="7" s="1"/>
  <c r="K3736" i="7"/>
  <c r="H3736" i="7"/>
  <c r="J3736" i="7" s="1"/>
  <c r="K3735" i="7"/>
  <c r="H3735" i="7"/>
  <c r="J3735" i="7" s="1"/>
  <c r="K3734" i="7"/>
  <c r="H3734" i="7"/>
  <c r="J3734" i="7" s="1"/>
  <c r="K3733" i="7"/>
  <c r="H3733" i="7"/>
  <c r="J3733" i="7" s="1"/>
  <c r="K3732" i="7"/>
  <c r="H3732" i="7"/>
  <c r="J3732" i="7" s="1"/>
  <c r="K3731" i="7"/>
  <c r="H3731" i="7"/>
  <c r="J3731" i="7" s="1"/>
  <c r="K3730" i="7"/>
  <c r="H3730" i="7"/>
  <c r="J3730" i="7" s="1"/>
  <c r="K3729" i="7"/>
  <c r="H3729" i="7"/>
  <c r="J3729" i="7" s="1"/>
  <c r="K3728" i="7"/>
  <c r="H3728" i="7"/>
  <c r="J3728" i="7" s="1"/>
  <c r="K3727" i="7"/>
  <c r="H3727" i="7"/>
  <c r="J3727" i="7" s="1"/>
  <c r="K3726" i="7"/>
  <c r="H3726" i="7"/>
  <c r="J3726" i="7" s="1"/>
  <c r="K3725" i="7"/>
  <c r="H3725" i="7"/>
  <c r="J3725" i="7" s="1"/>
  <c r="K3724" i="7"/>
  <c r="H3724" i="7"/>
  <c r="J3724" i="7" s="1"/>
  <c r="K3723" i="7"/>
  <c r="H3723" i="7"/>
  <c r="J3723" i="7" s="1"/>
  <c r="K3722" i="7"/>
  <c r="H3722" i="7"/>
  <c r="J3722" i="7" s="1"/>
  <c r="K3721" i="7"/>
  <c r="H3721" i="7"/>
  <c r="J3721" i="7" s="1"/>
  <c r="K3720" i="7"/>
  <c r="H3720" i="7"/>
  <c r="J3720" i="7" s="1"/>
  <c r="K3719" i="7"/>
  <c r="H3719" i="7"/>
  <c r="J3719" i="7" s="1"/>
  <c r="K3718" i="7"/>
  <c r="H3718" i="7"/>
  <c r="J3718" i="7" s="1"/>
  <c r="K3717" i="7"/>
  <c r="H3717" i="7"/>
  <c r="J3717" i="7" s="1"/>
  <c r="K3716" i="7"/>
  <c r="H3716" i="7"/>
  <c r="J3716" i="7" s="1"/>
  <c r="K3715" i="7"/>
  <c r="H3715" i="7"/>
  <c r="J3715" i="7" s="1"/>
  <c r="K3714" i="7"/>
  <c r="H3714" i="7"/>
  <c r="J3714" i="7" s="1"/>
  <c r="K3713" i="7"/>
  <c r="H3713" i="7"/>
  <c r="J3713" i="7" s="1"/>
  <c r="K3712" i="7"/>
  <c r="H3712" i="7"/>
  <c r="J3712" i="7" s="1"/>
  <c r="K3711" i="7"/>
  <c r="H3711" i="7"/>
  <c r="J3711" i="7" s="1"/>
  <c r="K3710" i="7"/>
  <c r="H3710" i="7"/>
  <c r="J3710" i="7" s="1"/>
  <c r="K3709" i="7"/>
  <c r="H3709" i="7"/>
  <c r="J3709" i="7" s="1"/>
  <c r="K3708" i="7"/>
  <c r="H3708" i="7"/>
  <c r="J3708" i="7" s="1"/>
  <c r="K3707" i="7"/>
  <c r="H3707" i="7"/>
  <c r="J3707" i="7" s="1"/>
  <c r="K3706" i="7"/>
  <c r="H3706" i="7"/>
  <c r="J3706" i="7" s="1"/>
  <c r="K3705" i="7"/>
  <c r="H3705" i="7"/>
  <c r="J3705" i="7" s="1"/>
  <c r="K3704" i="7"/>
  <c r="H3704" i="7"/>
  <c r="J3704" i="7" s="1"/>
  <c r="K3703" i="7"/>
  <c r="H3703" i="7"/>
  <c r="J3703" i="7" s="1"/>
  <c r="K3702" i="7"/>
  <c r="H3702" i="7"/>
  <c r="J3702" i="7" s="1"/>
  <c r="K3701" i="7"/>
  <c r="H3701" i="7"/>
  <c r="J3701" i="7" s="1"/>
  <c r="K3700" i="7"/>
  <c r="H3700" i="7"/>
  <c r="J3700" i="7" s="1"/>
  <c r="K3699" i="7"/>
  <c r="H3699" i="7"/>
  <c r="J3699" i="7" s="1"/>
  <c r="K3698" i="7"/>
  <c r="H3698" i="7"/>
  <c r="J3698" i="7" s="1"/>
  <c r="K3697" i="7"/>
  <c r="H3697" i="7"/>
  <c r="J3697" i="7" s="1"/>
  <c r="K3696" i="7"/>
  <c r="H3696" i="7"/>
  <c r="J3696" i="7" s="1"/>
  <c r="K3695" i="7"/>
  <c r="H3695" i="7"/>
  <c r="J3695" i="7" s="1"/>
  <c r="K3694" i="7"/>
  <c r="H3694" i="7"/>
  <c r="J3694" i="7" s="1"/>
  <c r="K3693" i="7"/>
  <c r="H3693" i="7"/>
  <c r="J3693" i="7" s="1"/>
  <c r="K3692" i="7"/>
  <c r="H3692" i="7"/>
  <c r="J3692" i="7" s="1"/>
  <c r="K3691" i="7"/>
  <c r="H3691" i="7"/>
  <c r="J3691" i="7" s="1"/>
  <c r="K3690" i="7"/>
  <c r="H3690" i="7"/>
  <c r="J3690" i="7" s="1"/>
  <c r="K3689" i="7"/>
  <c r="H3689" i="7"/>
  <c r="J3689" i="7" s="1"/>
  <c r="K3688" i="7"/>
  <c r="H3688" i="7"/>
  <c r="J3688" i="7" s="1"/>
  <c r="K3687" i="7"/>
  <c r="H3687" i="7"/>
  <c r="J3687" i="7" s="1"/>
  <c r="K3686" i="7"/>
  <c r="H3686" i="7"/>
  <c r="J3686" i="7" s="1"/>
  <c r="K3685" i="7"/>
  <c r="H3685" i="7"/>
  <c r="J3685" i="7" s="1"/>
  <c r="K3684" i="7"/>
  <c r="H3684" i="7"/>
  <c r="J3684" i="7" s="1"/>
  <c r="K3683" i="7"/>
  <c r="H3683" i="7"/>
  <c r="J3683" i="7" s="1"/>
  <c r="K3682" i="7"/>
  <c r="H3682" i="7"/>
  <c r="J3682" i="7" s="1"/>
  <c r="K3681" i="7"/>
  <c r="H3681" i="7"/>
  <c r="J3681" i="7" s="1"/>
  <c r="K3680" i="7"/>
  <c r="H3680" i="7"/>
  <c r="J3680" i="7" s="1"/>
  <c r="K3679" i="7"/>
  <c r="H3679" i="7"/>
  <c r="J3679" i="7" s="1"/>
  <c r="K3678" i="7"/>
  <c r="H3678" i="7"/>
  <c r="J3678" i="7" s="1"/>
  <c r="K3677" i="7"/>
  <c r="H3677" i="7"/>
  <c r="J3677" i="7" s="1"/>
  <c r="K3676" i="7"/>
  <c r="H3676" i="7"/>
  <c r="J3676" i="7" s="1"/>
  <c r="K3675" i="7"/>
  <c r="H3675" i="7"/>
  <c r="J3675" i="7" s="1"/>
  <c r="K3674" i="7"/>
  <c r="H3674" i="7"/>
  <c r="J3674" i="7" s="1"/>
  <c r="K3673" i="7"/>
  <c r="H3673" i="7"/>
  <c r="J3673" i="7" s="1"/>
  <c r="K3672" i="7"/>
  <c r="H3672" i="7"/>
  <c r="J3672" i="7" s="1"/>
  <c r="K3671" i="7"/>
  <c r="H3671" i="7"/>
  <c r="J3671" i="7" s="1"/>
  <c r="K3670" i="7"/>
  <c r="H3670" i="7"/>
  <c r="J3670" i="7" s="1"/>
  <c r="K3669" i="7"/>
  <c r="H3669" i="7"/>
  <c r="J3669" i="7" s="1"/>
  <c r="K3668" i="7"/>
  <c r="H3668" i="7"/>
  <c r="J3668" i="7" s="1"/>
  <c r="K3667" i="7"/>
  <c r="H3667" i="7"/>
  <c r="J3667" i="7" s="1"/>
  <c r="K3666" i="7"/>
  <c r="H3666" i="7"/>
  <c r="J3666" i="7" s="1"/>
  <c r="K3665" i="7"/>
  <c r="H3665" i="7"/>
  <c r="J3665" i="7" s="1"/>
  <c r="K3664" i="7"/>
  <c r="H3664" i="7"/>
  <c r="J3664" i="7" s="1"/>
  <c r="K3663" i="7"/>
  <c r="H3663" i="7"/>
  <c r="J3663" i="7" s="1"/>
  <c r="K3662" i="7"/>
  <c r="H3662" i="7"/>
  <c r="J3662" i="7" s="1"/>
  <c r="K3661" i="7"/>
  <c r="H3661" i="7"/>
  <c r="J3661" i="7" s="1"/>
  <c r="K3660" i="7"/>
  <c r="H3660" i="7"/>
  <c r="J3660" i="7" s="1"/>
  <c r="K3659" i="7"/>
  <c r="H3659" i="7"/>
  <c r="J3659" i="7" s="1"/>
  <c r="K3658" i="7"/>
  <c r="H3658" i="7"/>
  <c r="J3658" i="7" s="1"/>
  <c r="K3657" i="7"/>
  <c r="H3657" i="7"/>
  <c r="J3657" i="7" s="1"/>
  <c r="K3656" i="7"/>
  <c r="H3656" i="7"/>
  <c r="J3656" i="7" s="1"/>
  <c r="K3655" i="7"/>
  <c r="H3655" i="7"/>
  <c r="J3655" i="7" s="1"/>
  <c r="K3654" i="7"/>
  <c r="H3654" i="7"/>
  <c r="J3654" i="7" s="1"/>
  <c r="K3653" i="7"/>
  <c r="H3653" i="7"/>
  <c r="J3653" i="7" s="1"/>
  <c r="K3652" i="7"/>
  <c r="H3652" i="7"/>
  <c r="J3652" i="7" s="1"/>
  <c r="K3651" i="7"/>
  <c r="H3651" i="7"/>
  <c r="J3651" i="7" s="1"/>
  <c r="K3650" i="7"/>
  <c r="H3650" i="7"/>
  <c r="J3650" i="7" s="1"/>
  <c r="K3649" i="7"/>
  <c r="H3649" i="7"/>
  <c r="J3649" i="7" s="1"/>
  <c r="K3648" i="7"/>
  <c r="H3648" i="7"/>
  <c r="J3648" i="7" s="1"/>
  <c r="K3647" i="7"/>
  <c r="H3647" i="7"/>
  <c r="J3647" i="7" s="1"/>
  <c r="K3646" i="7"/>
  <c r="H3646" i="7"/>
  <c r="J3646" i="7" s="1"/>
  <c r="K3645" i="7"/>
  <c r="H3645" i="7"/>
  <c r="J3645" i="7" s="1"/>
  <c r="K3644" i="7"/>
  <c r="H3644" i="7"/>
  <c r="J3644" i="7" s="1"/>
  <c r="K3643" i="7"/>
  <c r="H3643" i="7"/>
  <c r="J3643" i="7" s="1"/>
  <c r="K3642" i="7"/>
  <c r="H3642" i="7"/>
  <c r="J3642" i="7" s="1"/>
  <c r="K3641" i="7"/>
  <c r="H3641" i="7"/>
  <c r="J3641" i="7" s="1"/>
  <c r="K3640" i="7"/>
  <c r="H3640" i="7"/>
  <c r="J3640" i="7" s="1"/>
  <c r="K3639" i="7"/>
  <c r="H3639" i="7"/>
  <c r="J3639" i="7" s="1"/>
  <c r="K3638" i="7"/>
  <c r="H3638" i="7"/>
  <c r="J3638" i="7" s="1"/>
  <c r="K3637" i="7"/>
  <c r="H3637" i="7"/>
  <c r="J3637" i="7" s="1"/>
  <c r="K3636" i="7"/>
  <c r="H3636" i="7"/>
  <c r="J3636" i="7" s="1"/>
  <c r="K3635" i="7"/>
  <c r="H3635" i="7"/>
  <c r="J3635" i="7" s="1"/>
  <c r="K3634" i="7"/>
  <c r="H3634" i="7"/>
  <c r="J3634" i="7" s="1"/>
  <c r="K3633" i="7"/>
  <c r="H3633" i="7"/>
  <c r="J3633" i="7" s="1"/>
  <c r="K3632" i="7"/>
  <c r="H3632" i="7"/>
  <c r="J3632" i="7" s="1"/>
  <c r="K3631" i="7"/>
  <c r="H3631" i="7"/>
  <c r="J3631" i="7" s="1"/>
  <c r="K3630" i="7"/>
  <c r="H3630" i="7"/>
  <c r="J3630" i="7" s="1"/>
  <c r="K3629" i="7"/>
  <c r="H3629" i="7"/>
  <c r="J3629" i="7" s="1"/>
  <c r="K3628" i="7"/>
  <c r="H3628" i="7"/>
  <c r="J3628" i="7" s="1"/>
  <c r="K3627" i="7"/>
  <c r="H3627" i="7"/>
  <c r="J3627" i="7" s="1"/>
  <c r="K3626" i="7"/>
  <c r="H3626" i="7"/>
  <c r="J3626" i="7" s="1"/>
  <c r="K3625" i="7"/>
  <c r="H3625" i="7"/>
  <c r="J3625" i="7" s="1"/>
  <c r="K3624" i="7"/>
  <c r="H3624" i="7"/>
  <c r="J3624" i="7" s="1"/>
  <c r="K3623" i="7"/>
  <c r="H3623" i="7"/>
  <c r="J3623" i="7" s="1"/>
  <c r="K3622" i="7"/>
  <c r="H3622" i="7"/>
  <c r="J3622" i="7" s="1"/>
  <c r="K3621" i="7"/>
  <c r="H3621" i="7"/>
  <c r="J3621" i="7" s="1"/>
  <c r="K3620" i="7"/>
  <c r="H3620" i="7"/>
  <c r="J3620" i="7" s="1"/>
  <c r="K3619" i="7"/>
  <c r="H3619" i="7"/>
  <c r="J3619" i="7" s="1"/>
  <c r="K3618" i="7"/>
  <c r="H3618" i="7"/>
  <c r="J3618" i="7" s="1"/>
  <c r="K3617" i="7"/>
  <c r="H3617" i="7"/>
  <c r="J3617" i="7" s="1"/>
  <c r="K3616" i="7"/>
  <c r="H3616" i="7"/>
  <c r="J3616" i="7" s="1"/>
  <c r="K3615" i="7"/>
  <c r="H3615" i="7"/>
  <c r="J3615" i="7" s="1"/>
  <c r="K3614" i="7"/>
  <c r="H3614" i="7"/>
  <c r="J3614" i="7" s="1"/>
  <c r="K3613" i="7"/>
  <c r="H3613" i="7"/>
  <c r="J3613" i="7" s="1"/>
  <c r="K3612" i="7"/>
  <c r="H3612" i="7"/>
  <c r="J3612" i="7" s="1"/>
  <c r="K3611" i="7"/>
  <c r="H3611" i="7"/>
  <c r="J3611" i="7" s="1"/>
  <c r="K3610" i="7"/>
  <c r="H3610" i="7"/>
  <c r="J3610" i="7" s="1"/>
  <c r="K3609" i="7"/>
  <c r="H3609" i="7"/>
  <c r="J3609" i="7" s="1"/>
  <c r="K3608" i="7"/>
  <c r="H3608" i="7"/>
  <c r="J3608" i="7" s="1"/>
  <c r="K3607" i="7"/>
  <c r="H3607" i="7"/>
  <c r="J3607" i="7" s="1"/>
  <c r="K3606" i="7"/>
  <c r="H3606" i="7"/>
  <c r="J3606" i="7" s="1"/>
  <c r="K3605" i="7"/>
  <c r="H3605" i="7"/>
  <c r="J3605" i="7" s="1"/>
  <c r="K3604" i="7"/>
  <c r="H3604" i="7"/>
  <c r="J3604" i="7" s="1"/>
  <c r="K3603" i="7"/>
  <c r="H3603" i="7"/>
  <c r="J3603" i="7" s="1"/>
  <c r="K3602" i="7"/>
  <c r="H3602" i="7"/>
  <c r="J3602" i="7" s="1"/>
  <c r="K3601" i="7"/>
  <c r="H3601" i="7"/>
  <c r="J3601" i="7" s="1"/>
  <c r="K3600" i="7"/>
  <c r="H3600" i="7"/>
  <c r="J3600" i="7" s="1"/>
  <c r="K3599" i="7"/>
  <c r="H3599" i="7"/>
  <c r="J3599" i="7" s="1"/>
  <c r="K3598" i="7"/>
  <c r="H3598" i="7"/>
  <c r="J3598" i="7" s="1"/>
  <c r="K3597" i="7"/>
  <c r="H3597" i="7"/>
  <c r="J3597" i="7" s="1"/>
  <c r="K3596" i="7"/>
  <c r="H3596" i="7"/>
  <c r="J3596" i="7" s="1"/>
  <c r="K3595" i="7"/>
  <c r="H3595" i="7"/>
  <c r="J3595" i="7" s="1"/>
  <c r="K3594" i="7"/>
  <c r="H3594" i="7"/>
  <c r="J3594" i="7" s="1"/>
  <c r="K3593" i="7"/>
  <c r="H3593" i="7"/>
  <c r="J3593" i="7" s="1"/>
  <c r="K3592" i="7"/>
  <c r="H3592" i="7"/>
  <c r="J3592" i="7" s="1"/>
  <c r="K3591" i="7"/>
  <c r="H3591" i="7"/>
  <c r="J3591" i="7" s="1"/>
  <c r="K3590" i="7"/>
  <c r="H3590" i="7"/>
  <c r="J3590" i="7" s="1"/>
  <c r="K3589" i="7"/>
  <c r="H3589" i="7"/>
  <c r="J3589" i="7" s="1"/>
  <c r="K3588" i="7"/>
  <c r="H3588" i="7"/>
  <c r="J3588" i="7" s="1"/>
  <c r="K3587" i="7"/>
  <c r="H3587" i="7"/>
  <c r="J3587" i="7" s="1"/>
  <c r="K3586" i="7"/>
  <c r="H3586" i="7"/>
  <c r="J3586" i="7" s="1"/>
  <c r="K3585" i="7"/>
  <c r="H3585" i="7"/>
  <c r="J3585" i="7" s="1"/>
  <c r="K3584" i="7"/>
  <c r="H3584" i="7"/>
  <c r="J3584" i="7" s="1"/>
  <c r="K3583" i="7"/>
  <c r="H3583" i="7"/>
  <c r="J3583" i="7" s="1"/>
  <c r="K3582" i="7"/>
  <c r="H3582" i="7"/>
  <c r="J3582" i="7" s="1"/>
  <c r="K3581" i="7"/>
  <c r="H3581" i="7"/>
  <c r="J3581" i="7" s="1"/>
  <c r="K3580" i="7"/>
  <c r="H3580" i="7"/>
  <c r="J3580" i="7" s="1"/>
  <c r="K3579" i="7"/>
  <c r="H3579" i="7"/>
  <c r="J3579" i="7" s="1"/>
  <c r="K3578" i="7"/>
  <c r="H3578" i="7"/>
  <c r="J3578" i="7" s="1"/>
  <c r="K3577" i="7"/>
  <c r="H3577" i="7"/>
  <c r="J3577" i="7" s="1"/>
  <c r="K3576" i="7"/>
  <c r="H3576" i="7"/>
  <c r="J3576" i="7" s="1"/>
  <c r="K3575" i="7"/>
  <c r="H3575" i="7"/>
  <c r="J3575" i="7" s="1"/>
  <c r="K3574" i="7"/>
  <c r="H3574" i="7"/>
  <c r="J3574" i="7" s="1"/>
  <c r="K3573" i="7"/>
  <c r="H3573" i="7"/>
  <c r="J3573" i="7" s="1"/>
  <c r="K3572" i="7"/>
  <c r="H3572" i="7"/>
  <c r="J3572" i="7" s="1"/>
  <c r="K3571" i="7"/>
  <c r="H3571" i="7"/>
  <c r="J3571" i="7" s="1"/>
  <c r="K3570" i="7"/>
  <c r="H3570" i="7"/>
  <c r="J3570" i="7" s="1"/>
  <c r="K3569" i="7"/>
  <c r="H3569" i="7"/>
  <c r="J3569" i="7" s="1"/>
  <c r="K3568" i="7"/>
  <c r="H3568" i="7"/>
  <c r="J3568" i="7" s="1"/>
  <c r="K3567" i="7"/>
  <c r="H3567" i="7"/>
  <c r="J3567" i="7" s="1"/>
  <c r="K3566" i="7"/>
  <c r="H3566" i="7"/>
  <c r="J3566" i="7" s="1"/>
  <c r="K3565" i="7"/>
  <c r="H3565" i="7"/>
  <c r="J3565" i="7" s="1"/>
  <c r="K3564" i="7"/>
  <c r="H3564" i="7"/>
  <c r="J3564" i="7" s="1"/>
  <c r="K3563" i="7"/>
  <c r="H3563" i="7"/>
  <c r="J3563" i="7" s="1"/>
  <c r="K3562" i="7"/>
  <c r="H3562" i="7"/>
  <c r="J3562" i="7" s="1"/>
  <c r="K3561" i="7"/>
  <c r="H3561" i="7"/>
  <c r="J3561" i="7" s="1"/>
  <c r="K3560" i="7"/>
  <c r="H3560" i="7"/>
  <c r="J3560" i="7" s="1"/>
  <c r="K3559" i="7"/>
  <c r="H3559" i="7"/>
  <c r="J3559" i="7" s="1"/>
  <c r="K3558" i="7"/>
  <c r="H3558" i="7"/>
  <c r="J3558" i="7" s="1"/>
  <c r="K3557" i="7"/>
  <c r="H3557" i="7"/>
  <c r="J3557" i="7" s="1"/>
  <c r="K3556" i="7"/>
  <c r="H3556" i="7"/>
  <c r="J3556" i="7" s="1"/>
  <c r="K3555" i="7"/>
  <c r="H3555" i="7"/>
  <c r="J3555" i="7" s="1"/>
  <c r="K3554" i="7"/>
  <c r="H3554" i="7"/>
  <c r="J3554" i="7" s="1"/>
  <c r="K3553" i="7"/>
  <c r="H3553" i="7"/>
  <c r="J3553" i="7" s="1"/>
  <c r="K3552" i="7"/>
  <c r="H3552" i="7"/>
  <c r="J3552" i="7" s="1"/>
  <c r="K3551" i="7"/>
  <c r="H3551" i="7"/>
  <c r="J3551" i="7" s="1"/>
  <c r="K3550" i="7"/>
  <c r="H3550" i="7"/>
  <c r="J3550" i="7" s="1"/>
  <c r="K3549" i="7"/>
  <c r="H3549" i="7"/>
  <c r="J3549" i="7" s="1"/>
  <c r="K3548" i="7"/>
  <c r="H3548" i="7"/>
  <c r="J3548" i="7" s="1"/>
  <c r="K3547" i="7"/>
  <c r="H3547" i="7"/>
  <c r="J3547" i="7" s="1"/>
  <c r="K3546" i="7"/>
  <c r="H3546" i="7"/>
  <c r="J3546" i="7" s="1"/>
  <c r="K3545" i="7"/>
  <c r="H3545" i="7"/>
  <c r="J3545" i="7" s="1"/>
  <c r="K3544" i="7"/>
  <c r="H3544" i="7"/>
  <c r="J3544" i="7" s="1"/>
  <c r="K3543" i="7"/>
  <c r="H3543" i="7"/>
  <c r="J3543" i="7" s="1"/>
  <c r="K3542" i="7"/>
  <c r="H3542" i="7"/>
  <c r="J3542" i="7" s="1"/>
  <c r="K3541" i="7"/>
  <c r="H3541" i="7"/>
  <c r="J3541" i="7" s="1"/>
  <c r="K3540" i="7"/>
  <c r="H3540" i="7"/>
  <c r="J3540" i="7" s="1"/>
  <c r="K3539" i="7"/>
  <c r="H3539" i="7"/>
  <c r="J3539" i="7" s="1"/>
  <c r="K3538" i="7"/>
  <c r="H3538" i="7"/>
  <c r="J3538" i="7" s="1"/>
  <c r="K3537" i="7"/>
  <c r="H3537" i="7"/>
  <c r="J3537" i="7" s="1"/>
  <c r="K3536" i="7"/>
  <c r="H3536" i="7"/>
  <c r="J3536" i="7" s="1"/>
  <c r="K3535" i="7"/>
  <c r="H3535" i="7"/>
  <c r="J3535" i="7" s="1"/>
  <c r="K3534" i="7"/>
  <c r="H3534" i="7"/>
  <c r="J3534" i="7" s="1"/>
  <c r="K3533" i="7"/>
  <c r="H3533" i="7"/>
  <c r="J3533" i="7" s="1"/>
  <c r="K3532" i="7"/>
  <c r="H3532" i="7"/>
  <c r="J3532" i="7" s="1"/>
  <c r="K3531" i="7"/>
  <c r="H3531" i="7"/>
  <c r="J3531" i="7" s="1"/>
  <c r="K3530" i="7"/>
  <c r="H3530" i="7"/>
  <c r="J3530" i="7" s="1"/>
  <c r="K3529" i="7"/>
  <c r="H3529" i="7"/>
  <c r="J3529" i="7" s="1"/>
  <c r="K3528" i="7"/>
  <c r="H3528" i="7"/>
  <c r="J3528" i="7" s="1"/>
  <c r="K3527" i="7"/>
  <c r="H3527" i="7"/>
  <c r="J3527" i="7" s="1"/>
  <c r="K3526" i="7"/>
  <c r="H3526" i="7"/>
  <c r="J3526" i="7" s="1"/>
  <c r="K3525" i="7"/>
  <c r="H3525" i="7"/>
  <c r="J3525" i="7" s="1"/>
  <c r="K3524" i="7"/>
  <c r="H3524" i="7"/>
  <c r="J3524" i="7" s="1"/>
  <c r="K3523" i="7"/>
  <c r="H3523" i="7"/>
  <c r="J3523" i="7" s="1"/>
  <c r="K3522" i="7"/>
  <c r="H3522" i="7"/>
  <c r="J3522" i="7" s="1"/>
  <c r="K3521" i="7"/>
  <c r="H3521" i="7"/>
  <c r="J3521" i="7" s="1"/>
  <c r="K3520" i="7"/>
  <c r="H3520" i="7"/>
  <c r="J3520" i="7" s="1"/>
  <c r="K3519" i="7"/>
  <c r="H3519" i="7"/>
  <c r="J3519" i="7" s="1"/>
  <c r="K3518" i="7"/>
  <c r="H3518" i="7"/>
  <c r="J3518" i="7" s="1"/>
  <c r="K3517" i="7"/>
  <c r="H3517" i="7"/>
  <c r="J3517" i="7" s="1"/>
  <c r="K3516" i="7"/>
  <c r="H3516" i="7"/>
  <c r="J3516" i="7" s="1"/>
  <c r="K3515" i="7"/>
  <c r="H3515" i="7"/>
  <c r="J3515" i="7" s="1"/>
  <c r="K3514" i="7"/>
  <c r="H3514" i="7"/>
  <c r="J3514" i="7" s="1"/>
  <c r="K3513" i="7"/>
  <c r="H3513" i="7"/>
  <c r="J3513" i="7" s="1"/>
  <c r="K3512" i="7"/>
  <c r="H3512" i="7"/>
  <c r="J3512" i="7" s="1"/>
  <c r="K3511" i="7"/>
  <c r="H3511" i="7"/>
  <c r="J3511" i="7" s="1"/>
  <c r="K3510" i="7"/>
  <c r="H3510" i="7"/>
  <c r="J3510" i="7" s="1"/>
  <c r="K3509" i="7"/>
  <c r="H3509" i="7"/>
  <c r="J3509" i="7" s="1"/>
  <c r="K3508" i="7"/>
  <c r="H3508" i="7"/>
  <c r="J3508" i="7" s="1"/>
  <c r="K3507" i="7"/>
  <c r="H3507" i="7"/>
  <c r="J3507" i="7" s="1"/>
  <c r="K3506" i="7"/>
  <c r="H3506" i="7"/>
  <c r="J3506" i="7" s="1"/>
  <c r="K3505" i="7"/>
  <c r="H3505" i="7"/>
  <c r="J3505" i="7" s="1"/>
  <c r="K3504" i="7"/>
  <c r="H3504" i="7"/>
  <c r="J3504" i="7" s="1"/>
  <c r="K3503" i="7"/>
  <c r="H3503" i="7"/>
  <c r="J3503" i="7" s="1"/>
  <c r="K3502" i="7"/>
  <c r="H3502" i="7"/>
  <c r="J3502" i="7" s="1"/>
  <c r="K3501" i="7"/>
  <c r="H3501" i="7"/>
  <c r="J3501" i="7" s="1"/>
  <c r="K3500" i="7"/>
  <c r="H3500" i="7"/>
  <c r="J3500" i="7" s="1"/>
  <c r="K3499" i="7"/>
  <c r="H3499" i="7"/>
  <c r="J3499" i="7" s="1"/>
  <c r="K3498" i="7"/>
  <c r="H3498" i="7"/>
  <c r="J3498" i="7" s="1"/>
  <c r="K3497" i="7"/>
  <c r="H3497" i="7"/>
  <c r="J3497" i="7" s="1"/>
  <c r="K3496" i="7"/>
  <c r="H3496" i="7"/>
  <c r="J3496" i="7" s="1"/>
  <c r="K3495" i="7"/>
  <c r="H3495" i="7"/>
  <c r="J3495" i="7" s="1"/>
  <c r="K3494" i="7"/>
  <c r="H3494" i="7"/>
  <c r="J3494" i="7" s="1"/>
  <c r="K3493" i="7"/>
  <c r="H3493" i="7"/>
  <c r="J3493" i="7" s="1"/>
  <c r="K3492" i="7"/>
  <c r="H3492" i="7"/>
  <c r="J3492" i="7" s="1"/>
  <c r="K3491" i="7"/>
  <c r="H3491" i="7"/>
  <c r="J3491" i="7" s="1"/>
  <c r="K3490" i="7"/>
  <c r="H3490" i="7"/>
  <c r="J3490" i="7" s="1"/>
  <c r="K3489" i="7"/>
  <c r="H3489" i="7"/>
  <c r="J3489" i="7" s="1"/>
  <c r="K3488" i="7"/>
  <c r="H3488" i="7"/>
  <c r="J3488" i="7" s="1"/>
  <c r="K3487" i="7"/>
  <c r="H3487" i="7"/>
  <c r="J3487" i="7" s="1"/>
  <c r="K3486" i="7"/>
  <c r="H3486" i="7"/>
  <c r="J3486" i="7" s="1"/>
  <c r="K3485" i="7"/>
  <c r="H3485" i="7"/>
  <c r="J3485" i="7" s="1"/>
  <c r="K3484" i="7"/>
  <c r="H3484" i="7"/>
  <c r="J3484" i="7" s="1"/>
  <c r="K3483" i="7"/>
  <c r="H3483" i="7"/>
  <c r="J3483" i="7" s="1"/>
  <c r="K3482" i="7"/>
  <c r="H3482" i="7"/>
  <c r="J3482" i="7" s="1"/>
  <c r="K3481" i="7"/>
  <c r="H3481" i="7"/>
  <c r="J3481" i="7" s="1"/>
  <c r="K3480" i="7"/>
  <c r="H3480" i="7"/>
  <c r="J3480" i="7" s="1"/>
  <c r="K3479" i="7"/>
  <c r="H3479" i="7"/>
  <c r="J3479" i="7" s="1"/>
  <c r="K3478" i="7"/>
  <c r="H3478" i="7"/>
  <c r="J3478" i="7" s="1"/>
  <c r="K3477" i="7"/>
  <c r="H3477" i="7"/>
  <c r="J3477" i="7" s="1"/>
  <c r="K3476" i="7"/>
  <c r="H3476" i="7"/>
  <c r="J3476" i="7" s="1"/>
  <c r="K3475" i="7"/>
  <c r="H3475" i="7"/>
  <c r="J3475" i="7" s="1"/>
  <c r="K3474" i="7"/>
  <c r="H3474" i="7"/>
  <c r="J3474" i="7" s="1"/>
  <c r="K3473" i="7"/>
  <c r="H3473" i="7"/>
  <c r="J3473" i="7" s="1"/>
  <c r="K3472" i="7"/>
  <c r="H3472" i="7"/>
  <c r="J3472" i="7" s="1"/>
  <c r="K3471" i="7"/>
  <c r="H3471" i="7"/>
  <c r="J3471" i="7" s="1"/>
  <c r="K3470" i="7"/>
  <c r="H3470" i="7"/>
  <c r="J3470" i="7" s="1"/>
  <c r="K3469" i="7"/>
  <c r="H3469" i="7"/>
  <c r="J3469" i="7" s="1"/>
  <c r="K3468" i="7"/>
  <c r="H3468" i="7"/>
  <c r="J3468" i="7" s="1"/>
  <c r="K3467" i="7"/>
  <c r="H3467" i="7"/>
  <c r="J3467" i="7" s="1"/>
  <c r="K3466" i="7"/>
  <c r="H3466" i="7"/>
  <c r="J3466" i="7" s="1"/>
  <c r="K3465" i="7"/>
  <c r="H3465" i="7"/>
  <c r="J3465" i="7" s="1"/>
  <c r="K3464" i="7"/>
  <c r="H3464" i="7"/>
  <c r="J3464" i="7" s="1"/>
  <c r="K3463" i="7"/>
  <c r="H3463" i="7"/>
  <c r="J3463" i="7" s="1"/>
  <c r="K3462" i="7"/>
  <c r="H3462" i="7"/>
  <c r="J3462" i="7" s="1"/>
  <c r="K3461" i="7"/>
  <c r="H3461" i="7"/>
  <c r="J3461" i="7" s="1"/>
  <c r="K3460" i="7"/>
  <c r="H3460" i="7"/>
  <c r="J3460" i="7" s="1"/>
  <c r="K3459" i="7"/>
  <c r="H3459" i="7"/>
  <c r="J3459" i="7" s="1"/>
  <c r="K3458" i="7"/>
  <c r="H3458" i="7"/>
  <c r="J3458" i="7" s="1"/>
  <c r="K3457" i="7"/>
  <c r="H3457" i="7"/>
  <c r="J3457" i="7" s="1"/>
  <c r="K3456" i="7"/>
  <c r="H3456" i="7"/>
  <c r="J3456" i="7" s="1"/>
  <c r="K3455" i="7"/>
  <c r="H3455" i="7"/>
  <c r="J3455" i="7" s="1"/>
  <c r="K3454" i="7"/>
  <c r="H3454" i="7"/>
  <c r="J3454" i="7" s="1"/>
  <c r="K3453" i="7"/>
  <c r="H3453" i="7"/>
  <c r="J3453" i="7" s="1"/>
  <c r="K3452" i="7"/>
  <c r="H3452" i="7"/>
  <c r="J3452" i="7" s="1"/>
  <c r="K3451" i="7"/>
  <c r="H3451" i="7"/>
  <c r="J3451" i="7" s="1"/>
  <c r="K3450" i="7"/>
  <c r="H3450" i="7"/>
  <c r="J3450" i="7" s="1"/>
  <c r="K3449" i="7"/>
  <c r="H3449" i="7"/>
  <c r="J3449" i="7" s="1"/>
  <c r="K3448" i="7"/>
  <c r="H3448" i="7"/>
  <c r="J3448" i="7" s="1"/>
  <c r="K3447" i="7"/>
  <c r="H3447" i="7"/>
  <c r="J3447" i="7" s="1"/>
  <c r="K3446" i="7"/>
  <c r="H3446" i="7"/>
  <c r="J3446" i="7" s="1"/>
  <c r="K3445" i="7"/>
  <c r="H3445" i="7"/>
  <c r="J3445" i="7" s="1"/>
  <c r="K3444" i="7"/>
  <c r="H3444" i="7"/>
  <c r="J3444" i="7" s="1"/>
  <c r="K3443" i="7"/>
  <c r="H3443" i="7"/>
  <c r="J3443" i="7" s="1"/>
  <c r="K3442" i="7"/>
  <c r="H3442" i="7"/>
  <c r="J3442" i="7" s="1"/>
  <c r="K3441" i="7"/>
  <c r="H3441" i="7"/>
  <c r="J3441" i="7" s="1"/>
  <c r="K3440" i="7"/>
  <c r="H3440" i="7"/>
  <c r="J3440" i="7" s="1"/>
  <c r="K3439" i="7"/>
  <c r="H3439" i="7"/>
  <c r="J3439" i="7" s="1"/>
  <c r="K3438" i="7"/>
  <c r="H3438" i="7"/>
  <c r="J3438" i="7" s="1"/>
  <c r="K3437" i="7"/>
  <c r="H3437" i="7"/>
  <c r="J3437" i="7" s="1"/>
  <c r="K3436" i="7"/>
  <c r="H3436" i="7"/>
  <c r="J3436" i="7" s="1"/>
  <c r="K3435" i="7"/>
  <c r="H3435" i="7"/>
  <c r="J3435" i="7" s="1"/>
  <c r="K3434" i="7"/>
  <c r="H3434" i="7"/>
  <c r="J3434" i="7" s="1"/>
  <c r="K3433" i="7"/>
  <c r="H3433" i="7"/>
  <c r="J3433" i="7" s="1"/>
  <c r="K3432" i="7"/>
  <c r="H3432" i="7"/>
  <c r="J3432" i="7" s="1"/>
  <c r="K3431" i="7"/>
  <c r="H3431" i="7"/>
  <c r="J3431" i="7" s="1"/>
  <c r="K3430" i="7"/>
  <c r="H3430" i="7"/>
  <c r="J3430" i="7" s="1"/>
  <c r="K3429" i="7"/>
  <c r="H3429" i="7"/>
  <c r="J3429" i="7" s="1"/>
  <c r="K3428" i="7"/>
  <c r="H3428" i="7"/>
  <c r="J3428" i="7" s="1"/>
  <c r="K3427" i="7"/>
  <c r="H3427" i="7"/>
  <c r="J3427" i="7" s="1"/>
  <c r="K3426" i="7"/>
  <c r="H3426" i="7"/>
  <c r="J3426" i="7" s="1"/>
  <c r="K3425" i="7"/>
  <c r="H3425" i="7"/>
  <c r="J3425" i="7" s="1"/>
  <c r="K3424" i="7"/>
  <c r="H3424" i="7"/>
  <c r="J3424" i="7" s="1"/>
  <c r="K3423" i="7"/>
  <c r="H3423" i="7"/>
  <c r="J3423" i="7" s="1"/>
  <c r="K3422" i="7"/>
  <c r="H3422" i="7"/>
  <c r="J3422" i="7" s="1"/>
  <c r="K3421" i="7"/>
  <c r="H3421" i="7"/>
  <c r="J3421" i="7" s="1"/>
  <c r="K3420" i="7"/>
  <c r="H3420" i="7"/>
  <c r="J3420" i="7" s="1"/>
  <c r="K3419" i="7"/>
  <c r="H3419" i="7"/>
  <c r="J3419" i="7" s="1"/>
  <c r="K3418" i="7"/>
  <c r="H3418" i="7"/>
  <c r="J3418" i="7" s="1"/>
  <c r="K3417" i="7"/>
  <c r="H3417" i="7"/>
  <c r="J3417" i="7" s="1"/>
  <c r="K3416" i="7"/>
  <c r="H3416" i="7"/>
  <c r="J3416" i="7" s="1"/>
  <c r="K3415" i="7"/>
  <c r="H3415" i="7"/>
  <c r="J3415" i="7" s="1"/>
  <c r="K3414" i="7"/>
  <c r="H3414" i="7"/>
  <c r="J3414" i="7" s="1"/>
  <c r="K3413" i="7"/>
  <c r="H3413" i="7"/>
  <c r="J3413" i="7" s="1"/>
  <c r="K3412" i="7"/>
  <c r="H3412" i="7"/>
  <c r="J3412" i="7" s="1"/>
  <c r="K3411" i="7"/>
  <c r="H3411" i="7"/>
  <c r="J3411" i="7" s="1"/>
  <c r="K3410" i="7"/>
  <c r="H3410" i="7"/>
  <c r="J3410" i="7" s="1"/>
  <c r="K3409" i="7"/>
  <c r="H3409" i="7"/>
  <c r="J3409" i="7" s="1"/>
  <c r="K3408" i="7"/>
  <c r="H3408" i="7"/>
  <c r="J3408" i="7" s="1"/>
  <c r="K3407" i="7"/>
  <c r="H3407" i="7"/>
  <c r="J3407" i="7" s="1"/>
  <c r="K3406" i="7"/>
  <c r="H3406" i="7"/>
  <c r="J3406" i="7" s="1"/>
  <c r="K3405" i="7"/>
  <c r="H3405" i="7"/>
  <c r="J3405" i="7" s="1"/>
  <c r="K3404" i="7"/>
  <c r="H3404" i="7"/>
  <c r="J3404" i="7" s="1"/>
  <c r="K3403" i="7"/>
  <c r="H3403" i="7"/>
  <c r="J3403" i="7" s="1"/>
  <c r="K3402" i="7"/>
  <c r="H3402" i="7"/>
  <c r="J3402" i="7" s="1"/>
  <c r="K3401" i="7"/>
  <c r="H3401" i="7"/>
  <c r="J3401" i="7" s="1"/>
  <c r="K3400" i="7"/>
  <c r="H3400" i="7"/>
  <c r="J3400" i="7" s="1"/>
  <c r="K3399" i="7"/>
  <c r="H3399" i="7"/>
  <c r="J3399" i="7" s="1"/>
  <c r="K3398" i="7"/>
  <c r="H3398" i="7"/>
  <c r="J3398" i="7" s="1"/>
  <c r="K3397" i="7"/>
  <c r="H3397" i="7"/>
  <c r="J3397" i="7" s="1"/>
  <c r="K3396" i="7"/>
  <c r="H3396" i="7"/>
  <c r="J3396" i="7" s="1"/>
  <c r="K3395" i="7"/>
  <c r="H3395" i="7"/>
  <c r="J3395" i="7" s="1"/>
  <c r="K3394" i="7"/>
  <c r="H3394" i="7"/>
  <c r="J3394" i="7" s="1"/>
  <c r="K3393" i="7"/>
  <c r="H3393" i="7"/>
  <c r="J3393" i="7" s="1"/>
  <c r="K3392" i="7"/>
  <c r="H3392" i="7"/>
  <c r="J3392" i="7" s="1"/>
  <c r="K3391" i="7"/>
  <c r="H3391" i="7"/>
  <c r="J3391" i="7" s="1"/>
  <c r="K3390" i="7"/>
  <c r="H3390" i="7"/>
  <c r="J3390" i="7" s="1"/>
  <c r="K3389" i="7"/>
  <c r="H3389" i="7"/>
  <c r="J3389" i="7" s="1"/>
  <c r="K3388" i="7"/>
  <c r="H3388" i="7"/>
  <c r="J3388" i="7" s="1"/>
  <c r="K3387" i="7"/>
  <c r="H3387" i="7"/>
  <c r="J3387" i="7" s="1"/>
  <c r="K3386" i="7"/>
  <c r="H3386" i="7"/>
  <c r="J3386" i="7" s="1"/>
  <c r="K3385" i="7"/>
  <c r="H3385" i="7"/>
  <c r="J3385" i="7" s="1"/>
  <c r="K3384" i="7"/>
  <c r="H3384" i="7"/>
  <c r="J3384" i="7" s="1"/>
  <c r="K3383" i="7"/>
  <c r="H3383" i="7"/>
  <c r="J3383" i="7" s="1"/>
  <c r="K3382" i="7"/>
  <c r="H3382" i="7"/>
  <c r="J3382" i="7" s="1"/>
  <c r="K3381" i="7"/>
  <c r="H3381" i="7"/>
  <c r="J3381" i="7" s="1"/>
  <c r="K3380" i="7"/>
  <c r="H3380" i="7"/>
  <c r="J3380" i="7" s="1"/>
  <c r="K3379" i="7"/>
  <c r="H3379" i="7"/>
  <c r="J3379" i="7" s="1"/>
  <c r="K3378" i="7"/>
  <c r="H3378" i="7"/>
  <c r="J3378" i="7" s="1"/>
  <c r="K3377" i="7"/>
  <c r="H3377" i="7"/>
  <c r="J3377" i="7" s="1"/>
  <c r="K3376" i="7"/>
  <c r="H3376" i="7"/>
  <c r="J3376" i="7" s="1"/>
  <c r="K3375" i="7"/>
  <c r="H3375" i="7"/>
  <c r="J3375" i="7" s="1"/>
  <c r="K3374" i="7"/>
  <c r="H3374" i="7"/>
  <c r="J3374" i="7" s="1"/>
  <c r="K3373" i="7"/>
  <c r="H3373" i="7"/>
  <c r="J3373" i="7" s="1"/>
  <c r="K3372" i="7"/>
  <c r="H3372" i="7"/>
  <c r="J3372" i="7" s="1"/>
  <c r="K3371" i="7"/>
  <c r="H3371" i="7"/>
  <c r="J3371" i="7" s="1"/>
  <c r="K3370" i="7"/>
  <c r="H3370" i="7"/>
  <c r="J3370" i="7" s="1"/>
  <c r="K3369" i="7"/>
  <c r="H3369" i="7"/>
  <c r="J3369" i="7" s="1"/>
  <c r="K3368" i="7"/>
  <c r="H3368" i="7"/>
  <c r="J3368" i="7" s="1"/>
  <c r="K3367" i="7"/>
  <c r="H3367" i="7"/>
  <c r="J3367" i="7" s="1"/>
  <c r="K3366" i="7"/>
  <c r="H3366" i="7"/>
  <c r="J3366" i="7" s="1"/>
  <c r="K3365" i="7"/>
  <c r="H3365" i="7"/>
  <c r="J3365" i="7" s="1"/>
  <c r="K3364" i="7"/>
  <c r="H3364" i="7"/>
  <c r="J3364" i="7" s="1"/>
  <c r="K3363" i="7"/>
  <c r="H3363" i="7"/>
  <c r="J3363" i="7" s="1"/>
  <c r="K3362" i="7"/>
  <c r="H3362" i="7"/>
  <c r="J3362" i="7" s="1"/>
  <c r="K3361" i="7"/>
  <c r="H3361" i="7"/>
  <c r="J3361" i="7" s="1"/>
  <c r="K3360" i="7"/>
  <c r="H3360" i="7"/>
  <c r="J3360" i="7" s="1"/>
  <c r="K3359" i="7"/>
  <c r="H3359" i="7"/>
  <c r="J3359" i="7" s="1"/>
  <c r="K3358" i="7"/>
  <c r="H3358" i="7"/>
  <c r="J3358" i="7" s="1"/>
  <c r="K3357" i="7"/>
  <c r="H3357" i="7"/>
  <c r="J3357" i="7" s="1"/>
  <c r="K3356" i="7"/>
  <c r="H3356" i="7"/>
  <c r="J3356" i="7" s="1"/>
  <c r="K3355" i="7"/>
  <c r="H3355" i="7"/>
  <c r="J3355" i="7" s="1"/>
  <c r="K3354" i="7"/>
  <c r="H3354" i="7"/>
  <c r="J3354" i="7" s="1"/>
  <c r="K3353" i="7"/>
  <c r="H3353" i="7"/>
  <c r="J3353" i="7" s="1"/>
  <c r="K3352" i="7"/>
  <c r="H3352" i="7"/>
  <c r="J3352" i="7" s="1"/>
  <c r="K3351" i="7"/>
  <c r="H3351" i="7"/>
  <c r="J3351" i="7" s="1"/>
  <c r="K3350" i="7"/>
  <c r="H3350" i="7"/>
  <c r="J3350" i="7" s="1"/>
  <c r="K3349" i="7"/>
  <c r="H3349" i="7"/>
  <c r="J3349" i="7" s="1"/>
  <c r="K3348" i="7"/>
  <c r="H3348" i="7"/>
  <c r="J3348" i="7" s="1"/>
  <c r="K3347" i="7"/>
  <c r="H3347" i="7"/>
  <c r="J3347" i="7" s="1"/>
  <c r="K3346" i="7"/>
  <c r="H3346" i="7"/>
  <c r="J3346" i="7" s="1"/>
  <c r="K3345" i="7"/>
  <c r="H3345" i="7"/>
  <c r="J3345" i="7" s="1"/>
  <c r="K3344" i="7"/>
  <c r="H3344" i="7"/>
  <c r="J3344" i="7" s="1"/>
  <c r="K3343" i="7"/>
  <c r="H3343" i="7"/>
  <c r="J3343" i="7" s="1"/>
  <c r="K3342" i="7"/>
  <c r="H3342" i="7"/>
  <c r="J3342" i="7" s="1"/>
  <c r="K3341" i="7"/>
  <c r="H3341" i="7"/>
  <c r="J3341" i="7" s="1"/>
  <c r="K3340" i="7"/>
  <c r="H3340" i="7"/>
  <c r="J3340" i="7" s="1"/>
  <c r="K3339" i="7"/>
  <c r="H3339" i="7"/>
  <c r="J3339" i="7" s="1"/>
  <c r="K3338" i="7"/>
  <c r="H3338" i="7"/>
  <c r="J3338" i="7" s="1"/>
  <c r="K3337" i="7"/>
  <c r="H3337" i="7"/>
  <c r="J3337" i="7" s="1"/>
  <c r="K3336" i="7"/>
  <c r="H3336" i="7"/>
  <c r="J3336" i="7" s="1"/>
  <c r="K3335" i="7"/>
  <c r="H3335" i="7"/>
  <c r="J3335" i="7" s="1"/>
  <c r="K3334" i="7"/>
  <c r="H3334" i="7"/>
  <c r="J3334" i="7" s="1"/>
  <c r="K3333" i="7"/>
  <c r="H3333" i="7"/>
  <c r="J3333" i="7" s="1"/>
  <c r="K3332" i="7"/>
  <c r="H3332" i="7"/>
  <c r="J3332" i="7" s="1"/>
  <c r="K3331" i="7"/>
  <c r="H3331" i="7"/>
  <c r="J3331" i="7" s="1"/>
  <c r="K3330" i="7"/>
  <c r="H3330" i="7"/>
  <c r="J3330" i="7" s="1"/>
  <c r="K3329" i="7"/>
  <c r="H3329" i="7"/>
  <c r="J3329" i="7" s="1"/>
  <c r="K3328" i="7"/>
  <c r="H3328" i="7"/>
  <c r="J3328" i="7" s="1"/>
  <c r="K3327" i="7"/>
  <c r="H3327" i="7"/>
  <c r="J3327" i="7" s="1"/>
  <c r="K3326" i="7"/>
  <c r="H3326" i="7"/>
  <c r="J3326" i="7" s="1"/>
  <c r="K3325" i="7"/>
  <c r="H3325" i="7"/>
  <c r="J3325" i="7" s="1"/>
  <c r="K3324" i="7"/>
  <c r="H3324" i="7"/>
  <c r="J3324" i="7" s="1"/>
  <c r="K3323" i="7"/>
  <c r="H3323" i="7"/>
  <c r="J3323" i="7" s="1"/>
  <c r="K3322" i="7"/>
  <c r="H3322" i="7"/>
  <c r="J3322" i="7" s="1"/>
  <c r="K3321" i="7"/>
  <c r="H3321" i="7"/>
  <c r="J3321" i="7" s="1"/>
  <c r="K3320" i="7"/>
  <c r="H3320" i="7"/>
  <c r="J3320" i="7" s="1"/>
  <c r="K3319" i="7"/>
  <c r="H3319" i="7"/>
  <c r="J3319" i="7" s="1"/>
  <c r="K3318" i="7"/>
  <c r="H3318" i="7"/>
  <c r="J3318" i="7" s="1"/>
  <c r="K3317" i="7"/>
  <c r="H3317" i="7"/>
  <c r="J3317" i="7" s="1"/>
  <c r="K3316" i="7"/>
  <c r="H3316" i="7"/>
  <c r="J3316" i="7" s="1"/>
  <c r="K3315" i="7"/>
  <c r="H3315" i="7"/>
  <c r="J3315" i="7" s="1"/>
  <c r="K3314" i="7"/>
  <c r="H3314" i="7"/>
  <c r="J3314" i="7" s="1"/>
  <c r="K3313" i="7"/>
  <c r="H3313" i="7"/>
  <c r="J3313" i="7" s="1"/>
  <c r="K3312" i="7"/>
  <c r="H3312" i="7"/>
  <c r="J3312" i="7" s="1"/>
  <c r="K3311" i="7"/>
  <c r="H3311" i="7"/>
  <c r="J3311" i="7" s="1"/>
  <c r="K3310" i="7"/>
  <c r="H3310" i="7"/>
  <c r="J3310" i="7" s="1"/>
  <c r="K3309" i="7"/>
  <c r="H3309" i="7"/>
  <c r="J3309" i="7" s="1"/>
  <c r="K3308" i="7"/>
  <c r="H3308" i="7"/>
  <c r="J3308" i="7" s="1"/>
  <c r="K3307" i="7"/>
  <c r="H3307" i="7"/>
  <c r="J3307" i="7" s="1"/>
  <c r="K3306" i="7"/>
  <c r="H3306" i="7"/>
  <c r="J3306" i="7" s="1"/>
  <c r="K3305" i="7"/>
  <c r="H3305" i="7"/>
  <c r="J3305" i="7" s="1"/>
  <c r="K3304" i="7"/>
  <c r="H3304" i="7"/>
  <c r="J3304" i="7" s="1"/>
  <c r="K3303" i="7"/>
  <c r="H3303" i="7"/>
  <c r="J3303" i="7" s="1"/>
  <c r="K3302" i="7"/>
  <c r="H3302" i="7"/>
  <c r="J3302" i="7" s="1"/>
  <c r="K3301" i="7"/>
  <c r="H3301" i="7"/>
  <c r="J3301" i="7" s="1"/>
  <c r="K3300" i="7"/>
  <c r="H3300" i="7"/>
  <c r="J3300" i="7" s="1"/>
  <c r="K3299" i="7"/>
  <c r="H3299" i="7"/>
  <c r="J3299" i="7" s="1"/>
  <c r="K3298" i="7"/>
  <c r="H3298" i="7"/>
  <c r="J3298" i="7" s="1"/>
  <c r="K3297" i="7"/>
  <c r="H3297" i="7"/>
  <c r="J3297" i="7" s="1"/>
  <c r="K3296" i="7"/>
  <c r="H3296" i="7"/>
  <c r="J3296" i="7" s="1"/>
  <c r="K3295" i="7"/>
  <c r="H3295" i="7"/>
  <c r="J3295" i="7" s="1"/>
  <c r="K3294" i="7"/>
  <c r="H3294" i="7"/>
  <c r="J3294" i="7" s="1"/>
  <c r="K3293" i="7"/>
  <c r="H3293" i="7"/>
  <c r="J3293" i="7" s="1"/>
  <c r="K3292" i="7"/>
  <c r="H3292" i="7"/>
  <c r="J3292" i="7" s="1"/>
  <c r="K3291" i="7"/>
  <c r="H3291" i="7"/>
  <c r="J3291" i="7" s="1"/>
  <c r="K3290" i="7"/>
  <c r="H3290" i="7"/>
  <c r="J3290" i="7" s="1"/>
  <c r="K3289" i="7"/>
  <c r="H3289" i="7"/>
  <c r="J3289" i="7" s="1"/>
  <c r="K3288" i="7"/>
  <c r="H3288" i="7"/>
  <c r="J3288" i="7" s="1"/>
  <c r="K3287" i="7"/>
  <c r="H3287" i="7"/>
  <c r="J3287" i="7" s="1"/>
  <c r="K3286" i="7"/>
  <c r="H3286" i="7"/>
  <c r="J3286" i="7" s="1"/>
  <c r="K3285" i="7"/>
  <c r="H3285" i="7"/>
  <c r="J3285" i="7" s="1"/>
  <c r="K3284" i="7"/>
  <c r="H3284" i="7"/>
  <c r="J3284" i="7" s="1"/>
  <c r="K3283" i="7"/>
  <c r="H3283" i="7"/>
  <c r="J3283" i="7" s="1"/>
  <c r="K3282" i="7"/>
  <c r="H3282" i="7"/>
  <c r="J3282" i="7" s="1"/>
  <c r="K3281" i="7"/>
  <c r="H3281" i="7"/>
  <c r="J3281" i="7" s="1"/>
  <c r="K3280" i="7"/>
  <c r="H3280" i="7"/>
  <c r="J3280" i="7" s="1"/>
  <c r="K3279" i="7"/>
  <c r="H3279" i="7"/>
  <c r="J3279" i="7" s="1"/>
  <c r="K3278" i="7"/>
  <c r="H3278" i="7"/>
  <c r="J3278" i="7" s="1"/>
  <c r="K3277" i="7"/>
  <c r="H3277" i="7"/>
  <c r="J3277" i="7" s="1"/>
  <c r="K3276" i="7"/>
  <c r="H3276" i="7"/>
  <c r="J3276" i="7" s="1"/>
  <c r="K3275" i="7"/>
  <c r="H3275" i="7"/>
  <c r="J3275" i="7" s="1"/>
  <c r="K3274" i="7"/>
  <c r="H3274" i="7"/>
  <c r="J3274" i="7" s="1"/>
  <c r="K3273" i="7"/>
  <c r="H3273" i="7"/>
  <c r="J3273" i="7" s="1"/>
  <c r="K3272" i="7"/>
  <c r="H3272" i="7"/>
  <c r="J3272" i="7" s="1"/>
  <c r="K3271" i="7"/>
  <c r="H3271" i="7"/>
  <c r="J3271" i="7" s="1"/>
  <c r="K3270" i="7"/>
  <c r="H3270" i="7"/>
  <c r="J3270" i="7" s="1"/>
  <c r="K3269" i="7"/>
  <c r="H3269" i="7"/>
  <c r="J3269" i="7" s="1"/>
  <c r="K3268" i="7"/>
  <c r="H3268" i="7"/>
  <c r="J3268" i="7" s="1"/>
  <c r="K3267" i="7"/>
  <c r="H3267" i="7"/>
  <c r="J3267" i="7" s="1"/>
  <c r="K3266" i="7"/>
  <c r="H3266" i="7"/>
  <c r="J3266" i="7" s="1"/>
  <c r="K3265" i="7"/>
  <c r="H3265" i="7"/>
  <c r="J3265" i="7" s="1"/>
  <c r="K3264" i="7"/>
  <c r="H3264" i="7"/>
  <c r="J3264" i="7" s="1"/>
  <c r="K3263" i="7"/>
  <c r="H3263" i="7"/>
  <c r="J3263" i="7" s="1"/>
  <c r="K3262" i="7"/>
  <c r="H3262" i="7"/>
  <c r="J3262" i="7" s="1"/>
  <c r="K3261" i="7"/>
  <c r="H3261" i="7"/>
  <c r="J3261" i="7" s="1"/>
  <c r="K3260" i="7"/>
  <c r="H3260" i="7"/>
  <c r="J3260" i="7" s="1"/>
  <c r="K3259" i="7"/>
  <c r="H3259" i="7"/>
  <c r="J3259" i="7" s="1"/>
  <c r="K3258" i="7"/>
  <c r="H3258" i="7"/>
  <c r="J3258" i="7" s="1"/>
  <c r="K3257" i="7"/>
  <c r="H3257" i="7"/>
  <c r="J3257" i="7" s="1"/>
  <c r="K3256" i="7"/>
  <c r="H3256" i="7"/>
  <c r="J3256" i="7" s="1"/>
  <c r="K3255" i="7"/>
  <c r="H3255" i="7"/>
  <c r="J3255" i="7" s="1"/>
  <c r="K3254" i="7"/>
  <c r="H3254" i="7"/>
  <c r="J3254" i="7" s="1"/>
  <c r="K3253" i="7"/>
  <c r="H3253" i="7"/>
  <c r="J3253" i="7" s="1"/>
  <c r="K3252" i="7"/>
  <c r="H3252" i="7"/>
  <c r="J3252" i="7" s="1"/>
  <c r="K3251" i="7"/>
  <c r="H3251" i="7"/>
  <c r="J3251" i="7" s="1"/>
  <c r="K3250" i="7"/>
  <c r="H3250" i="7"/>
  <c r="J3250" i="7" s="1"/>
  <c r="K3249" i="7"/>
  <c r="H3249" i="7"/>
  <c r="J3249" i="7" s="1"/>
  <c r="K3248" i="7"/>
  <c r="H3248" i="7"/>
  <c r="J3248" i="7" s="1"/>
  <c r="K3247" i="7"/>
  <c r="H3247" i="7"/>
  <c r="J3247" i="7" s="1"/>
  <c r="K3246" i="7"/>
  <c r="H3246" i="7"/>
  <c r="J3246" i="7" s="1"/>
  <c r="K3245" i="7"/>
  <c r="H3245" i="7"/>
  <c r="J3245" i="7" s="1"/>
  <c r="K3244" i="7"/>
  <c r="H3244" i="7"/>
  <c r="J3244" i="7" s="1"/>
  <c r="K3243" i="7"/>
  <c r="H3243" i="7"/>
  <c r="J3243" i="7" s="1"/>
  <c r="K3242" i="7"/>
  <c r="H3242" i="7"/>
  <c r="J3242" i="7" s="1"/>
  <c r="K3241" i="7"/>
  <c r="H3241" i="7"/>
  <c r="J3241" i="7" s="1"/>
  <c r="K3240" i="7"/>
  <c r="H3240" i="7"/>
  <c r="J3240" i="7" s="1"/>
  <c r="K3239" i="7"/>
  <c r="H3239" i="7"/>
  <c r="J3239" i="7" s="1"/>
  <c r="K3238" i="7"/>
  <c r="H3238" i="7"/>
  <c r="J3238" i="7" s="1"/>
  <c r="K3237" i="7"/>
  <c r="H3237" i="7"/>
  <c r="J3237" i="7" s="1"/>
  <c r="K3236" i="7"/>
  <c r="H3236" i="7"/>
  <c r="J3236" i="7" s="1"/>
  <c r="K3235" i="7"/>
  <c r="H3235" i="7"/>
  <c r="J3235" i="7" s="1"/>
  <c r="K3234" i="7"/>
  <c r="H3234" i="7"/>
  <c r="J3234" i="7" s="1"/>
  <c r="K3233" i="7"/>
  <c r="H3233" i="7"/>
  <c r="J3233" i="7" s="1"/>
  <c r="K3232" i="7"/>
  <c r="H3232" i="7"/>
  <c r="J3232" i="7" s="1"/>
  <c r="K3231" i="7"/>
  <c r="H3231" i="7"/>
  <c r="J3231" i="7" s="1"/>
  <c r="K3230" i="7"/>
  <c r="H3230" i="7"/>
  <c r="J3230" i="7" s="1"/>
  <c r="K3229" i="7"/>
  <c r="H3229" i="7"/>
  <c r="J3229" i="7" s="1"/>
  <c r="K3228" i="7"/>
  <c r="H3228" i="7"/>
  <c r="J3228" i="7" s="1"/>
  <c r="K3227" i="7"/>
  <c r="H3227" i="7"/>
  <c r="J3227" i="7" s="1"/>
  <c r="K3226" i="7"/>
  <c r="H3226" i="7"/>
  <c r="J3226" i="7" s="1"/>
  <c r="K3225" i="7"/>
  <c r="H3225" i="7"/>
  <c r="J3225" i="7" s="1"/>
  <c r="K3224" i="7"/>
  <c r="H3224" i="7"/>
  <c r="J3224" i="7" s="1"/>
  <c r="K3223" i="7"/>
  <c r="H3223" i="7"/>
  <c r="J3223" i="7" s="1"/>
  <c r="K3222" i="7"/>
  <c r="H3222" i="7"/>
  <c r="J3222" i="7" s="1"/>
  <c r="K3221" i="7"/>
  <c r="H3221" i="7"/>
  <c r="J3221" i="7" s="1"/>
  <c r="K3220" i="7"/>
  <c r="H3220" i="7"/>
  <c r="J3220" i="7" s="1"/>
  <c r="K3219" i="7"/>
  <c r="H3219" i="7"/>
  <c r="J3219" i="7" s="1"/>
  <c r="K3218" i="7"/>
  <c r="H3218" i="7"/>
  <c r="J3218" i="7" s="1"/>
  <c r="K3217" i="7"/>
  <c r="H3217" i="7"/>
  <c r="J3217" i="7" s="1"/>
  <c r="K3216" i="7"/>
  <c r="H3216" i="7"/>
  <c r="J3216" i="7" s="1"/>
  <c r="K3215" i="7"/>
  <c r="H3215" i="7"/>
  <c r="J3215" i="7" s="1"/>
  <c r="K3214" i="7"/>
  <c r="H3214" i="7"/>
  <c r="J3214" i="7" s="1"/>
  <c r="K3213" i="7"/>
  <c r="H3213" i="7"/>
  <c r="J3213" i="7" s="1"/>
  <c r="K3212" i="7"/>
  <c r="H3212" i="7"/>
  <c r="J3212" i="7" s="1"/>
  <c r="K3211" i="7"/>
  <c r="H3211" i="7"/>
  <c r="J3211" i="7" s="1"/>
  <c r="K3210" i="7"/>
  <c r="H3210" i="7"/>
  <c r="J3210" i="7" s="1"/>
  <c r="K3209" i="7"/>
  <c r="H3209" i="7"/>
  <c r="J3209" i="7" s="1"/>
  <c r="K3208" i="7"/>
  <c r="H3208" i="7"/>
  <c r="J3208" i="7" s="1"/>
  <c r="K3207" i="7"/>
  <c r="H3207" i="7"/>
  <c r="J3207" i="7" s="1"/>
  <c r="K3206" i="7"/>
  <c r="H3206" i="7"/>
  <c r="J3206" i="7" s="1"/>
  <c r="K3205" i="7"/>
  <c r="H3205" i="7"/>
  <c r="J3205" i="7" s="1"/>
  <c r="K3204" i="7"/>
  <c r="H3204" i="7"/>
  <c r="J3204" i="7" s="1"/>
  <c r="K3203" i="7"/>
  <c r="H3203" i="7"/>
  <c r="J3203" i="7" s="1"/>
  <c r="K3202" i="7"/>
  <c r="H3202" i="7"/>
  <c r="J3202" i="7" s="1"/>
  <c r="K3201" i="7"/>
  <c r="H3201" i="7"/>
  <c r="J3201" i="7" s="1"/>
  <c r="K3200" i="7"/>
  <c r="H3200" i="7"/>
  <c r="J3200" i="7" s="1"/>
  <c r="K3199" i="7"/>
  <c r="H3199" i="7"/>
  <c r="J3199" i="7" s="1"/>
  <c r="K3198" i="7"/>
  <c r="H3198" i="7"/>
  <c r="J3198" i="7" s="1"/>
  <c r="K3197" i="7"/>
  <c r="H3197" i="7"/>
  <c r="J3197" i="7" s="1"/>
  <c r="K3196" i="7"/>
  <c r="H3196" i="7"/>
  <c r="J3196" i="7" s="1"/>
  <c r="K3195" i="7"/>
  <c r="H3195" i="7"/>
  <c r="J3195" i="7" s="1"/>
  <c r="K3194" i="7"/>
  <c r="H3194" i="7"/>
  <c r="J3194" i="7" s="1"/>
  <c r="K3193" i="7"/>
  <c r="H3193" i="7"/>
  <c r="J3193" i="7" s="1"/>
  <c r="K3192" i="7"/>
  <c r="H3192" i="7"/>
  <c r="J3192" i="7" s="1"/>
  <c r="K3191" i="7"/>
  <c r="H3191" i="7"/>
  <c r="J3191" i="7" s="1"/>
  <c r="K3190" i="7"/>
  <c r="H3190" i="7"/>
  <c r="J3190" i="7" s="1"/>
  <c r="K3189" i="7"/>
  <c r="H3189" i="7"/>
  <c r="J3189" i="7" s="1"/>
  <c r="K3188" i="7"/>
  <c r="H3188" i="7"/>
  <c r="J3188" i="7" s="1"/>
  <c r="K3187" i="7"/>
  <c r="H3187" i="7"/>
  <c r="J3187" i="7" s="1"/>
  <c r="K3186" i="7"/>
  <c r="H3186" i="7"/>
  <c r="J3186" i="7" s="1"/>
  <c r="K3185" i="7"/>
  <c r="H3185" i="7"/>
  <c r="J3185" i="7" s="1"/>
  <c r="K3184" i="7"/>
  <c r="H3184" i="7"/>
  <c r="J3184" i="7" s="1"/>
  <c r="K3183" i="7"/>
  <c r="H3183" i="7"/>
  <c r="J3183" i="7" s="1"/>
  <c r="K3182" i="7"/>
  <c r="H3182" i="7"/>
  <c r="J3182" i="7" s="1"/>
  <c r="K3181" i="7"/>
  <c r="H3181" i="7"/>
  <c r="J3181" i="7" s="1"/>
  <c r="K3180" i="7"/>
  <c r="H3180" i="7"/>
  <c r="J3180" i="7" s="1"/>
  <c r="K3179" i="7"/>
  <c r="H3179" i="7"/>
  <c r="J3179" i="7" s="1"/>
  <c r="K3178" i="7"/>
  <c r="H3178" i="7"/>
  <c r="J3178" i="7" s="1"/>
  <c r="K3177" i="7"/>
  <c r="H3177" i="7"/>
  <c r="J3177" i="7" s="1"/>
  <c r="K3176" i="7"/>
  <c r="H3176" i="7"/>
  <c r="J3176" i="7" s="1"/>
  <c r="K3175" i="7"/>
  <c r="H3175" i="7"/>
  <c r="J3175" i="7" s="1"/>
  <c r="K3174" i="7"/>
  <c r="H3174" i="7"/>
  <c r="J3174" i="7" s="1"/>
  <c r="K3173" i="7"/>
  <c r="H3173" i="7"/>
  <c r="J3173" i="7" s="1"/>
  <c r="K3172" i="7"/>
  <c r="H3172" i="7"/>
  <c r="J3172" i="7" s="1"/>
  <c r="K3171" i="7"/>
  <c r="H3171" i="7"/>
  <c r="J3171" i="7" s="1"/>
  <c r="K3170" i="7"/>
  <c r="H3170" i="7"/>
  <c r="J3170" i="7" s="1"/>
  <c r="K3169" i="7"/>
  <c r="H3169" i="7"/>
  <c r="J3169" i="7" s="1"/>
  <c r="K3168" i="7"/>
  <c r="H3168" i="7"/>
  <c r="J3168" i="7" s="1"/>
  <c r="K3167" i="7"/>
  <c r="H3167" i="7"/>
  <c r="J3167" i="7" s="1"/>
  <c r="K3166" i="7"/>
  <c r="H3166" i="7"/>
  <c r="J3166" i="7" s="1"/>
  <c r="K3165" i="7"/>
  <c r="H3165" i="7"/>
  <c r="J3165" i="7" s="1"/>
  <c r="K3164" i="7"/>
  <c r="H3164" i="7"/>
  <c r="J3164" i="7" s="1"/>
  <c r="K3163" i="7"/>
  <c r="H3163" i="7"/>
  <c r="J3163" i="7" s="1"/>
  <c r="K3162" i="7"/>
  <c r="H3162" i="7"/>
  <c r="J3162" i="7" s="1"/>
  <c r="K3161" i="7"/>
  <c r="H3161" i="7"/>
  <c r="J3161" i="7" s="1"/>
  <c r="K3160" i="7"/>
  <c r="H3160" i="7"/>
  <c r="J3160" i="7" s="1"/>
  <c r="K3159" i="7"/>
  <c r="H3159" i="7"/>
  <c r="J3159" i="7" s="1"/>
  <c r="K3158" i="7"/>
  <c r="H3158" i="7"/>
  <c r="J3158" i="7" s="1"/>
  <c r="K3157" i="7"/>
  <c r="H3157" i="7"/>
  <c r="J3157" i="7" s="1"/>
  <c r="K3156" i="7"/>
  <c r="H3156" i="7"/>
  <c r="J3156" i="7" s="1"/>
  <c r="K3155" i="7"/>
  <c r="H3155" i="7"/>
  <c r="J3155" i="7" s="1"/>
  <c r="K3154" i="7"/>
  <c r="H3154" i="7"/>
  <c r="J3154" i="7" s="1"/>
  <c r="K3153" i="7"/>
  <c r="H3153" i="7"/>
  <c r="J3153" i="7" s="1"/>
  <c r="K3152" i="7"/>
  <c r="H3152" i="7"/>
  <c r="J3152" i="7" s="1"/>
  <c r="K3151" i="7"/>
  <c r="H3151" i="7"/>
  <c r="J3151" i="7" s="1"/>
  <c r="K3150" i="7"/>
  <c r="H3150" i="7"/>
  <c r="J3150" i="7" s="1"/>
  <c r="K3149" i="7"/>
  <c r="H3149" i="7"/>
  <c r="J3149" i="7" s="1"/>
  <c r="K3148" i="7"/>
  <c r="H3148" i="7"/>
  <c r="J3148" i="7" s="1"/>
  <c r="K3147" i="7"/>
  <c r="H3147" i="7"/>
  <c r="J3147" i="7" s="1"/>
  <c r="K3146" i="7"/>
  <c r="H3146" i="7"/>
  <c r="J3146" i="7" s="1"/>
  <c r="K3145" i="7"/>
  <c r="H3145" i="7"/>
  <c r="J3145" i="7" s="1"/>
  <c r="K3144" i="7"/>
  <c r="H3144" i="7"/>
  <c r="J3144" i="7" s="1"/>
  <c r="K3143" i="7"/>
  <c r="H3143" i="7"/>
  <c r="J3143" i="7" s="1"/>
  <c r="K3142" i="7"/>
  <c r="H3142" i="7"/>
  <c r="J3142" i="7" s="1"/>
  <c r="K3141" i="7"/>
  <c r="H3141" i="7"/>
  <c r="J3141" i="7" s="1"/>
  <c r="K3140" i="7"/>
  <c r="H3140" i="7"/>
  <c r="J3140" i="7" s="1"/>
  <c r="K3139" i="7"/>
  <c r="H3139" i="7"/>
  <c r="J3139" i="7" s="1"/>
  <c r="K3138" i="7"/>
  <c r="H3138" i="7"/>
  <c r="J3138" i="7" s="1"/>
  <c r="K3137" i="7"/>
  <c r="H3137" i="7"/>
  <c r="J3137" i="7" s="1"/>
  <c r="K3136" i="7"/>
  <c r="H3136" i="7"/>
  <c r="J3136" i="7" s="1"/>
  <c r="K3135" i="7"/>
  <c r="H3135" i="7"/>
  <c r="J3135" i="7" s="1"/>
  <c r="K3134" i="7"/>
  <c r="H3134" i="7"/>
  <c r="J3134" i="7" s="1"/>
  <c r="K3133" i="7"/>
  <c r="H3133" i="7"/>
  <c r="J3133" i="7" s="1"/>
  <c r="K3132" i="7"/>
  <c r="H3132" i="7"/>
  <c r="J3132" i="7" s="1"/>
  <c r="K3131" i="7"/>
  <c r="H3131" i="7"/>
  <c r="J3131" i="7" s="1"/>
  <c r="K3130" i="7"/>
  <c r="H3130" i="7"/>
  <c r="J3130" i="7" s="1"/>
  <c r="K3129" i="7"/>
  <c r="H3129" i="7"/>
  <c r="J3129" i="7" s="1"/>
  <c r="K3128" i="7"/>
  <c r="H3128" i="7"/>
  <c r="J3128" i="7" s="1"/>
  <c r="K3127" i="7"/>
  <c r="H3127" i="7"/>
  <c r="J3127" i="7" s="1"/>
  <c r="K3126" i="7"/>
  <c r="H3126" i="7"/>
  <c r="J3126" i="7" s="1"/>
  <c r="K3125" i="7"/>
  <c r="H3125" i="7"/>
  <c r="J3125" i="7" s="1"/>
  <c r="K3124" i="7"/>
  <c r="H3124" i="7"/>
  <c r="J3124" i="7" s="1"/>
  <c r="K3123" i="7"/>
  <c r="H3123" i="7"/>
  <c r="J3123" i="7" s="1"/>
  <c r="K3122" i="7"/>
  <c r="H3122" i="7"/>
  <c r="J3122" i="7" s="1"/>
  <c r="K3121" i="7"/>
  <c r="H3121" i="7"/>
  <c r="J3121" i="7" s="1"/>
  <c r="K3120" i="7"/>
  <c r="H3120" i="7"/>
  <c r="J3120" i="7" s="1"/>
  <c r="K3119" i="7"/>
  <c r="H3119" i="7"/>
  <c r="J3119" i="7" s="1"/>
  <c r="K3118" i="7"/>
  <c r="H3118" i="7"/>
  <c r="J3118" i="7" s="1"/>
  <c r="K3117" i="7"/>
  <c r="H3117" i="7"/>
  <c r="J3117" i="7" s="1"/>
  <c r="K3116" i="7"/>
  <c r="H3116" i="7"/>
  <c r="J3116" i="7" s="1"/>
  <c r="K3115" i="7"/>
  <c r="H3115" i="7"/>
  <c r="J3115" i="7" s="1"/>
  <c r="K3114" i="7"/>
  <c r="H3114" i="7"/>
  <c r="J3114" i="7" s="1"/>
  <c r="K3113" i="7"/>
  <c r="H3113" i="7"/>
  <c r="J3113" i="7" s="1"/>
  <c r="K3112" i="7"/>
  <c r="H3112" i="7"/>
  <c r="J3112" i="7" s="1"/>
  <c r="K3111" i="7"/>
  <c r="H3111" i="7"/>
  <c r="J3111" i="7" s="1"/>
  <c r="K3110" i="7"/>
  <c r="H3110" i="7"/>
  <c r="J3110" i="7" s="1"/>
  <c r="K3109" i="7"/>
  <c r="H3109" i="7"/>
  <c r="J3109" i="7" s="1"/>
  <c r="K3108" i="7"/>
  <c r="H3108" i="7"/>
  <c r="J3108" i="7" s="1"/>
  <c r="K3107" i="7"/>
  <c r="H3107" i="7"/>
  <c r="J3107" i="7" s="1"/>
  <c r="K3106" i="7"/>
  <c r="H3106" i="7"/>
  <c r="J3106" i="7" s="1"/>
  <c r="K3105" i="7"/>
  <c r="H3105" i="7"/>
  <c r="J3105" i="7" s="1"/>
  <c r="K3104" i="7"/>
  <c r="H3104" i="7"/>
  <c r="J3104" i="7" s="1"/>
  <c r="K3103" i="7"/>
  <c r="H3103" i="7"/>
  <c r="J3103" i="7" s="1"/>
  <c r="K3102" i="7"/>
  <c r="H3102" i="7"/>
  <c r="J3102" i="7" s="1"/>
  <c r="K3101" i="7"/>
  <c r="H3101" i="7"/>
  <c r="J3101" i="7" s="1"/>
  <c r="K3100" i="7"/>
  <c r="H3100" i="7"/>
  <c r="J3100" i="7" s="1"/>
  <c r="K3099" i="7"/>
  <c r="H3099" i="7"/>
  <c r="J3099" i="7" s="1"/>
  <c r="K3098" i="7"/>
  <c r="H3098" i="7"/>
  <c r="J3098" i="7" s="1"/>
  <c r="K3097" i="7"/>
  <c r="H3097" i="7"/>
  <c r="J3097" i="7" s="1"/>
  <c r="K3096" i="7"/>
  <c r="H3096" i="7"/>
  <c r="J3096" i="7" s="1"/>
  <c r="K3095" i="7"/>
  <c r="H3095" i="7"/>
  <c r="J3095" i="7" s="1"/>
  <c r="K3094" i="7"/>
  <c r="H3094" i="7"/>
  <c r="J3094" i="7" s="1"/>
  <c r="K3093" i="7"/>
  <c r="H3093" i="7"/>
  <c r="J3093" i="7" s="1"/>
  <c r="K3092" i="7"/>
  <c r="H3092" i="7"/>
  <c r="J3092" i="7" s="1"/>
  <c r="K3091" i="7"/>
  <c r="H3091" i="7"/>
  <c r="J3091" i="7" s="1"/>
  <c r="K3090" i="7"/>
  <c r="H3090" i="7"/>
  <c r="J3090" i="7" s="1"/>
  <c r="K3089" i="7"/>
  <c r="H3089" i="7"/>
  <c r="J3089" i="7" s="1"/>
  <c r="K3088" i="7"/>
  <c r="H3088" i="7"/>
  <c r="J3088" i="7" s="1"/>
  <c r="K3087" i="7"/>
  <c r="H3087" i="7"/>
  <c r="J3087" i="7" s="1"/>
  <c r="K3086" i="7"/>
  <c r="H3086" i="7"/>
  <c r="J3086" i="7" s="1"/>
  <c r="K3085" i="7"/>
  <c r="H3085" i="7"/>
  <c r="J3085" i="7" s="1"/>
  <c r="K3084" i="7"/>
  <c r="H3084" i="7"/>
  <c r="J3084" i="7" s="1"/>
  <c r="K3083" i="7"/>
  <c r="H3083" i="7"/>
  <c r="J3083" i="7" s="1"/>
  <c r="K3082" i="7"/>
  <c r="H3082" i="7"/>
  <c r="J3082" i="7" s="1"/>
  <c r="K3081" i="7"/>
  <c r="H3081" i="7"/>
  <c r="J3081" i="7" s="1"/>
  <c r="K3080" i="7"/>
  <c r="H3080" i="7"/>
  <c r="J3080" i="7" s="1"/>
  <c r="K3079" i="7"/>
  <c r="H3079" i="7"/>
  <c r="J3079" i="7" s="1"/>
  <c r="K3078" i="7"/>
  <c r="H3078" i="7"/>
  <c r="J3078" i="7" s="1"/>
  <c r="K3077" i="7"/>
  <c r="H3077" i="7"/>
  <c r="J3077" i="7" s="1"/>
  <c r="K3076" i="7"/>
  <c r="H3076" i="7"/>
  <c r="J3076" i="7" s="1"/>
  <c r="K3075" i="7"/>
  <c r="H3075" i="7"/>
  <c r="J3075" i="7" s="1"/>
  <c r="K3074" i="7"/>
  <c r="H3074" i="7"/>
  <c r="J3074" i="7" s="1"/>
  <c r="K3073" i="7"/>
  <c r="H3073" i="7"/>
  <c r="J3073" i="7" s="1"/>
  <c r="K3072" i="7"/>
  <c r="H3072" i="7"/>
  <c r="J3072" i="7" s="1"/>
  <c r="K3071" i="7"/>
  <c r="H3071" i="7"/>
  <c r="J3071" i="7" s="1"/>
  <c r="K3070" i="7"/>
  <c r="H3070" i="7"/>
  <c r="J3070" i="7" s="1"/>
  <c r="K3069" i="7"/>
  <c r="H3069" i="7"/>
  <c r="J3069" i="7" s="1"/>
  <c r="K3068" i="7"/>
  <c r="H3068" i="7"/>
  <c r="J3068" i="7" s="1"/>
  <c r="K3067" i="7"/>
  <c r="H3067" i="7"/>
  <c r="J3067" i="7" s="1"/>
  <c r="K3066" i="7"/>
  <c r="H3066" i="7"/>
  <c r="J3066" i="7" s="1"/>
  <c r="K3065" i="7"/>
  <c r="H3065" i="7"/>
  <c r="J3065" i="7" s="1"/>
  <c r="K3064" i="7"/>
  <c r="H3064" i="7"/>
  <c r="J3064" i="7" s="1"/>
  <c r="K3063" i="7"/>
  <c r="H3063" i="7"/>
  <c r="J3063" i="7" s="1"/>
  <c r="K3062" i="7"/>
  <c r="H3062" i="7"/>
  <c r="J3062" i="7" s="1"/>
  <c r="K3061" i="7"/>
  <c r="H3061" i="7"/>
  <c r="J3061" i="7" s="1"/>
  <c r="K3060" i="7"/>
  <c r="H3060" i="7"/>
  <c r="J3060" i="7" s="1"/>
  <c r="K3059" i="7"/>
  <c r="H3059" i="7"/>
  <c r="J3059" i="7" s="1"/>
  <c r="K3058" i="7"/>
  <c r="H3058" i="7"/>
  <c r="J3058" i="7" s="1"/>
  <c r="K3057" i="7"/>
  <c r="H3057" i="7"/>
  <c r="J3057" i="7" s="1"/>
  <c r="K3056" i="7"/>
  <c r="H3056" i="7"/>
  <c r="J3056" i="7" s="1"/>
  <c r="K3055" i="7"/>
  <c r="H3055" i="7"/>
  <c r="J3055" i="7" s="1"/>
  <c r="K3054" i="7"/>
  <c r="H3054" i="7"/>
  <c r="J3054" i="7" s="1"/>
  <c r="K3053" i="7"/>
  <c r="H3053" i="7"/>
  <c r="J3053" i="7" s="1"/>
  <c r="K3052" i="7"/>
  <c r="H3052" i="7"/>
  <c r="J3052" i="7" s="1"/>
  <c r="K3051" i="7"/>
  <c r="H3051" i="7"/>
  <c r="J3051" i="7" s="1"/>
  <c r="K3050" i="7"/>
  <c r="H3050" i="7"/>
  <c r="J3050" i="7" s="1"/>
  <c r="K3049" i="7"/>
  <c r="H3049" i="7"/>
  <c r="J3049" i="7" s="1"/>
  <c r="K3048" i="7"/>
  <c r="H3048" i="7"/>
  <c r="J3048" i="7" s="1"/>
  <c r="K3047" i="7"/>
  <c r="H3047" i="7"/>
  <c r="J3047" i="7" s="1"/>
  <c r="K3046" i="7"/>
  <c r="H3046" i="7"/>
  <c r="J3046" i="7" s="1"/>
  <c r="K3045" i="7"/>
  <c r="H3045" i="7"/>
  <c r="J3045" i="7" s="1"/>
  <c r="K3044" i="7"/>
  <c r="H3044" i="7"/>
  <c r="J3044" i="7" s="1"/>
  <c r="K3043" i="7"/>
  <c r="H3043" i="7"/>
  <c r="J3043" i="7" s="1"/>
  <c r="K3042" i="7"/>
  <c r="H3042" i="7"/>
  <c r="J3042" i="7" s="1"/>
  <c r="K3041" i="7"/>
  <c r="H3041" i="7"/>
  <c r="J3041" i="7" s="1"/>
  <c r="K3040" i="7"/>
  <c r="H3040" i="7"/>
  <c r="J3040" i="7" s="1"/>
  <c r="K3039" i="7"/>
  <c r="H3039" i="7"/>
  <c r="J3039" i="7" s="1"/>
  <c r="K3038" i="7"/>
  <c r="H3038" i="7"/>
  <c r="J3038" i="7" s="1"/>
  <c r="K3037" i="7"/>
  <c r="H3037" i="7"/>
  <c r="J3037" i="7" s="1"/>
  <c r="K3036" i="7"/>
  <c r="H3036" i="7"/>
  <c r="J3036" i="7" s="1"/>
  <c r="K3035" i="7"/>
  <c r="H3035" i="7"/>
  <c r="J3035" i="7" s="1"/>
  <c r="K3034" i="7"/>
  <c r="H3034" i="7"/>
  <c r="J3034" i="7" s="1"/>
  <c r="K3033" i="7"/>
  <c r="H3033" i="7"/>
  <c r="J3033" i="7" s="1"/>
  <c r="K3032" i="7"/>
  <c r="H3032" i="7"/>
  <c r="J3032" i="7" s="1"/>
  <c r="K3031" i="7"/>
  <c r="H3031" i="7"/>
  <c r="J3031" i="7" s="1"/>
  <c r="K3030" i="7"/>
  <c r="H3030" i="7"/>
  <c r="J3030" i="7" s="1"/>
  <c r="K3029" i="7"/>
  <c r="H3029" i="7"/>
  <c r="J3029" i="7" s="1"/>
  <c r="K3028" i="7"/>
  <c r="H3028" i="7"/>
  <c r="J3028" i="7" s="1"/>
  <c r="K3027" i="7"/>
  <c r="H3027" i="7"/>
  <c r="J3027" i="7" s="1"/>
  <c r="K3026" i="7"/>
  <c r="H3026" i="7"/>
  <c r="J3026" i="7" s="1"/>
  <c r="K3025" i="7"/>
  <c r="H3025" i="7"/>
  <c r="J3025" i="7" s="1"/>
  <c r="K3024" i="7"/>
  <c r="H3024" i="7"/>
  <c r="J3024" i="7" s="1"/>
  <c r="K3023" i="7"/>
  <c r="H3023" i="7"/>
  <c r="J3023" i="7" s="1"/>
  <c r="K3022" i="7"/>
  <c r="H3022" i="7"/>
  <c r="J3022" i="7" s="1"/>
  <c r="K3021" i="7"/>
  <c r="H3021" i="7"/>
  <c r="J3021" i="7" s="1"/>
  <c r="K3020" i="7"/>
  <c r="H3020" i="7"/>
  <c r="J3020" i="7" s="1"/>
  <c r="K3019" i="7"/>
  <c r="H3019" i="7"/>
  <c r="J3019" i="7" s="1"/>
  <c r="K3018" i="7"/>
  <c r="H3018" i="7"/>
  <c r="J3018" i="7" s="1"/>
  <c r="K3017" i="7"/>
  <c r="H3017" i="7"/>
  <c r="J3017" i="7" s="1"/>
  <c r="K3016" i="7"/>
  <c r="H3016" i="7"/>
  <c r="J3016" i="7" s="1"/>
  <c r="K3015" i="7"/>
  <c r="H3015" i="7"/>
  <c r="J3015" i="7" s="1"/>
  <c r="K3014" i="7"/>
  <c r="H3014" i="7"/>
  <c r="J3014" i="7" s="1"/>
  <c r="K3013" i="7"/>
  <c r="H3013" i="7"/>
  <c r="J3013" i="7" s="1"/>
  <c r="K3012" i="7"/>
  <c r="H3012" i="7"/>
  <c r="J3012" i="7" s="1"/>
  <c r="K3011" i="7"/>
  <c r="H3011" i="7"/>
  <c r="J3011" i="7" s="1"/>
  <c r="K3010" i="7"/>
  <c r="H3010" i="7"/>
  <c r="J3010" i="7" s="1"/>
  <c r="K3009" i="7"/>
  <c r="H3009" i="7"/>
  <c r="J3009" i="7" s="1"/>
  <c r="K3008" i="7"/>
  <c r="H3008" i="7"/>
  <c r="J3008" i="7" s="1"/>
  <c r="K3007" i="7"/>
  <c r="H3007" i="7"/>
  <c r="J3007" i="7" s="1"/>
  <c r="K3006" i="7"/>
  <c r="H3006" i="7"/>
  <c r="J3006" i="7" s="1"/>
  <c r="K3005" i="7"/>
  <c r="H3005" i="7"/>
  <c r="J3005" i="7" s="1"/>
  <c r="K3004" i="7"/>
  <c r="H3004" i="7"/>
  <c r="J3004" i="7" s="1"/>
  <c r="K3003" i="7"/>
  <c r="H3003" i="7"/>
  <c r="J3003" i="7" s="1"/>
  <c r="K3002" i="7"/>
  <c r="H3002" i="7"/>
  <c r="J3002" i="7" s="1"/>
  <c r="K3001" i="7"/>
  <c r="H3001" i="7"/>
  <c r="J3001" i="7" s="1"/>
  <c r="K3000" i="7"/>
  <c r="H3000" i="7"/>
  <c r="J3000" i="7" s="1"/>
  <c r="K2999" i="7"/>
  <c r="H2999" i="7"/>
  <c r="J2999" i="7" s="1"/>
  <c r="K2998" i="7"/>
  <c r="H2998" i="7"/>
  <c r="J2998" i="7" s="1"/>
  <c r="K2997" i="7"/>
  <c r="H2997" i="7"/>
  <c r="J2997" i="7" s="1"/>
  <c r="K2996" i="7"/>
  <c r="H2996" i="7"/>
  <c r="J2996" i="7" s="1"/>
  <c r="K2995" i="7"/>
  <c r="H2995" i="7"/>
  <c r="J2995" i="7" s="1"/>
  <c r="K2994" i="7"/>
  <c r="H2994" i="7"/>
  <c r="J2994" i="7" s="1"/>
  <c r="K2993" i="7"/>
  <c r="H2993" i="7"/>
  <c r="J2993" i="7" s="1"/>
  <c r="K2992" i="7"/>
  <c r="H2992" i="7"/>
  <c r="J2992" i="7" s="1"/>
  <c r="K2991" i="7"/>
  <c r="H2991" i="7"/>
  <c r="J2991" i="7" s="1"/>
  <c r="K2990" i="7"/>
  <c r="H2990" i="7"/>
  <c r="J2990" i="7" s="1"/>
  <c r="K2989" i="7"/>
  <c r="H2989" i="7"/>
  <c r="J2989" i="7" s="1"/>
  <c r="K2988" i="7"/>
  <c r="H2988" i="7"/>
  <c r="J2988" i="7" s="1"/>
  <c r="K2987" i="7"/>
  <c r="H2987" i="7"/>
  <c r="J2987" i="7" s="1"/>
  <c r="K2986" i="7"/>
  <c r="H2986" i="7"/>
  <c r="J2986" i="7" s="1"/>
  <c r="K2985" i="7"/>
  <c r="H2985" i="7"/>
  <c r="J2985" i="7" s="1"/>
  <c r="K2984" i="7"/>
  <c r="H2984" i="7"/>
  <c r="J2984" i="7" s="1"/>
  <c r="K2983" i="7"/>
  <c r="H2983" i="7"/>
  <c r="J2983" i="7" s="1"/>
  <c r="K2982" i="7"/>
  <c r="H2982" i="7"/>
  <c r="J2982" i="7" s="1"/>
  <c r="K2981" i="7"/>
  <c r="H2981" i="7"/>
  <c r="J2981" i="7" s="1"/>
  <c r="K2980" i="7"/>
  <c r="H2980" i="7"/>
  <c r="J2980" i="7" s="1"/>
  <c r="K2979" i="7"/>
  <c r="H2979" i="7"/>
  <c r="J2979" i="7" s="1"/>
  <c r="K2978" i="7"/>
  <c r="H2978" i="7"/>
  <c r="J2978" i="7" s="1"/>
  <c r="K2977" i="7"/>
  <c r="H2977" i="7"/>
  <c r="J2977" i="7" s="1"/>
  <c r="K2976" i="7"/>
  <c r="H2976" i="7"/>
  <c r="J2976" i="7" s="1"/>
  <c r="K2975" i="7"/>
  <c r="H2975" i="7"/>
  <c r="J2975" i="7" s="1"/>
  <c r="K2974" i="7"/>
  <c r="H2974" i="7"/>
  <c r="J2974" i="7" s="1"/>
  <c r="K2973" i="7"/>
  <c r="H2973" i="7"/>
  <c r="J2973" i="7" s="1"/>
  <c r="K2972" i="7"/>
  <c r="H2972" i="7"/>
  <c r="J2972" i="7" s="1"/>
  <c r="K2971" i="7"/>
  <c r="H2971" i="7"/>
  <c r="J2971" i="7" s="1"/>
  <c r="K2970" i="7"/>
  <c r="H2970" i="7"/>
  <c r="J2970" i="7" s="1"/>
  <c r="K2969" i="7"/>
  <c r="H2969" i="7"/>
  <c r="J2969" i="7" s="1"/>
  <c r="K2968" i="7"/>
  <c r="H2968" i="7"/>
  <c r="J2968" i="7" s="1"/>
  <c r="K2967" i="7"/>
  <c r="H2967" i="7"/>
  <c r="J2967" i="7" s="1"/>
  <c r="K2966" i="7"/>
  <c r="H2966" i="7"/>
  <c r="J2966" i="7" s="1"/>
  <c r="K2965" i="7"/>
  <c r="H2965" i="7"/>
  <c r="J2965" i="7" s="1"/>
  <c r="K2964" i="7"/>
  <c r="H2964" i="7"/>
  <c r="J2964" i="7" s="1"/>
  <c r="K2963" i="7"/>
  <c r="H2963" i="7"/>
  <c r="J2963" i="7" s="1"/>
  <c r="K2962" i="7"/>
  <c r="H2962" i="7"/>
  <c r="J2962" i="7" s="1"/>
  <c r="K2961" i="7"/>
  <c r="H2961" i="7"/>
  <c r="J2961" i="7" s="1"/>
  <c r="K2960" i="7"/>
  <c r="H2960" i="7"/>
  <c r="J2960" i="7" s="1"/>
  <c r="K2959" i="7"/>
  <c r="H2959" i="7"/>
  <c r="J2959" i="7" s="1"/>
  <c r="K2958" i="7"/>
  <c r="H2958" i="7"/>
  <c r="J2958" i="7" s="1"/>
  <c r="K2957" i="7"/>
  <c r="H2957" i="7"/>
  <c r="J2957" i="7" s="1"/>
  <c r="K2956" i="7"/>
  <c r="H2956" i="7"/>
  <c r="J2956" i="7" s="1"/>
  <c r="K2955" i="7"/>
  <c r="H2955" i="7"/>
  <c r="J2955" i="7" s="1"/>
  <c r="K2954" i="7"/>
  <c r="H2954" i="7"/>
  <c r="J2954" i="7" s="1"/>
  <c r="K2953" i="7"/>
  <c r="H2953" i="7"/>
  <c r="J2953" i="7" s="1"/>
  <c r="K2952" i="7"/>
  <c r="H2952" i="7"/>
  <c r="J2952" i="7" s="1"/>
  <c r="K2951" i="7"/>
  <c r="H2951" i="7"/>
  <c r="J2951" i="7" s="1"/>
  <c r="K2950" i="7"/>
  <c r="H2950" i="7"/>
  <c r="J2950" i="7" s="1"/>
  <c r="K2949" i="7"/>
  <c r="H2949" i="7"/>
  <c r="J2949" i="7" s="1"/>
  <c r="K2948" i="7"/>
  <c r="H2948" i="7"/>
  <c r="J2948" i="7" s="1"/>
  <c r="K2947" i="7"/>
  <c r="H2947" i="7"/>
  <c r="J2947" i="7" s="1"/>
  <c r="K2946" i="7"/>
  <c r="H2946" i="7"/>
  <c r="J2946" i="7" s="1"/>
  <c r="K2945" i="7"/>
  <c r="H2945" i="7"/>
  <c r="J2945" i="7" s="1"/>
  <c r="K2944" i="7"/>
  <c r="H2944" i="7"/>
  <c r="J2944" i="7" s="1"/>
  <c r="K2943" i="7"/>
  <c r="H2943" i="7"/>
  <c r="J2943" i="7" s="1"/>
  <c r="K2942" i="7"/>
  <c r="H2942" i="7"/>
  <c r="J2942" i="7" s="1"/>
  <c r="K2941" i="7"/>
  <c r="H2941" i="7"/>
  <c r="J2941" i="7" s="1"/>
  <c r="K2940" i="7"/>
  <c r="H2940" i="7"/>
  <c r="J2940" i="7" s="1"/>
  <c r="K2939" i="7"/>
  <c r="H2939" i="7"/>
  <c r="J2939" i="7" s="1"/>
  <c r="K2938" i="7"/>
  <c r="H2938" i="7"/>
  <c r="J2938" i="7" s="1"/>
  <c r="K2937" i="7"/>
  <c r="H2937" i="7"/>
  <c r="J2937" i="7" s="1"/>
  <c r="K2936" i="7"/>
  <c r="H2936" i="7"/>
  <c r="J2936" i="7" s="1"/>
  <c r="K2935" i="7"/>
  <c r="H2935" i="7"/>
  <c r="J2935" i="7" s="1"/>
  <c r="K2934" i="7"/>
  <c r="H2934" i="7"/>
  <c r="J2934" i="7" s="1"/>
  <c r="K2933" i="7"/>
  <c r="H2933" i="7"/>
  <c r="J2933" i="7" s="1"/>
  <c r="K2932" i="7"/>
  <c r="H2932" i="7"/>
  <c r="J2932" i="7" s="1"/>
  <c r="K2931" i="7"/>
  <c r="H2931" i="7"/>
  <c r="J2931" i="7" s="1"/>
  <c r="K2930" i="7"/>
  <c r="H2930" i="7"/>
  <c r="J2930" i="7" s="1"/>
  <c r="K2929" i="7"/>
  <c r="H2929" i="7"/>
  <c r="J2929" i="7" s="1"/>
  <c r="K2928" i="7"/>
  <c r="H2928" i="7"/>
  <c r="J2928" i="7" s="1"/>
  <c r="K2927" i="7"/>
  <c r="H2927" i="7"/>
  <c r="J2927" i="7" s="1"/>
  <c r="K2926" i="7"/>
  <c r="H2926" i="7"/>
  <c r="J2926" i="7" s="1"/>
  <c r="K2925" i="7"/>
  <c r="H2925" i="7"/>
  <c r="J2925" i="7" s="1"/>
  <c r="K2924" i="7"/>
  <c r="H2924" i="7"/>
  <c r="J2924" i="7" s="1"/>
  <c r="K2923" i="7"/>
  <c r="H2923" i="7"/>
  <c r="J2923" i="7" s="1"/>
  <c r="K2922" i="7"/>
  <c r="H2922" i="7"/>
  <c r="J2922" i="7" s="1"/>
  <c r="K2921" i="7"/>
  <c r="H2921" i="7"/>
  <c r="J2921" i="7" s="1"/>
  <c r="K2920" i="7"/>
  <c r="H2920" i="7"/>
  <c r="J2920" i="7" s="1"/>
  <c r="K2919" i="7"/>
  <c r="H2919" i="7"/>
  <c r="J2919" i="7" s="1"/>
  <c r="K2918" i="7"/>
  <c r="H2918" i="7"/>
  <c r="J2918" i="7" s="1"/>
  <c r="K2917" i="7"/>
  <c r="H2917" i="7"/>
  <c r="J2917" i="7" s="1"/>
  <c r="K2916" i="7"/>
  <c r="H2916" i="7"/>
  <c r="J2916" i="7" s="1"/>
  <c r="K2915" i="7"/>
  <c r="H2915" i="7"/>
  <c r="J2915" i="7" s="1"/>
  <c r="K2914" i="7"/>
  <c r="H2914" i="7"/>
  <c r="J2914" i="7" s="1"/>
  <c r="K2913" i="7"/>
  <c r="H2913" i="7"/>
  <c r="J2913" i="7" s="1"/>
  <c r="K2912" i="7"/>
  <c r="H2912" i="7"/>
  <c r="J2912" i="7" s="1"/>
  <c r="K2911" i="7"/>
  <c r="H2911" i="7"/>
  <c r="J2911" i="7" s="1"/>
  <c r="K2910" i="7"/>
  <c r="H2910" i="7"/>
  <c r="J2910" i="7" s="1"/>
  <c r="K2909" i="7"/>
  <c r="H2909" i="7"/>
  <c r="J2909" i="7" s="1"/>
  <c r="K2908" i="7"/>
  <c r="H2908" i="7"/>
  <c r="J2908" i="7" s="1"/>
  <c r="K2907" i="7"/>
  <c r="H2907" i="7"/>
  <c r="J2907" i="7" s="1"/>
  <c r="K2906" i="7"/>
  <c r="H2906" i="7"/>
  <c r="J2906" i="7" s="1"/>
  <c r="K2905" i="7"/>
  <c r="H2905" i="7"/>
  <c r="J2905" i="7" s="1"/>
  <c r="K2904" i="7"/>
  <c r="H2904" i="7"/>
  <c r="J2904" i="7" s="1"/>
  <c r="K2903" i="7"/>
  <c r="H2903" i="7"/>
  <c r="J2903" i="7" s="1"/>
  <c r="K2902" i="7"/>
  <c r="H2902" i="7"/>
  <c r="J2902" i="7" s="1"/>
  <c r="K2901" i="7"/>
  <c r="H2901" i="7"/>
  <c r="J2901" i="7" s="1"/>
  <c r="K2900" i="7"/>
  <c r="H2900" i="7"/>
  <c r="J2900" i="7" s="1"/>
  <c r="K2899" i="7"/>
  <c r="H2899" i="7"/>
  <c r="J2899" i="7" s="1"/>
  <c r="K2898" i="7"/>
  <c r="H2898" i="7"/>
  <c r="J2898" i="7" s="1"/>
  <c r="K2897" i="7"/>
  <c r="H2897" i="7"/>
  <c r="J2897" i="7" s="1"/>
  <c r="K2896" i="7"/>
  <c r="H2896" i="7"/>
  <c r="J2896" i="7" s="1"/>
  <c r="K2895" i="7"/>
  <c r="H2895" i="7"/>
  <c r="J2895" i="7" s="1"/>
  <c r="K2894" i="7"/>
  <c r="H2894" i="7"/>
  <c r="J2894" i="7" s="1"/>
  <c r="K2893" i="7"/>
  <c r="H2893" i="7"/>
  <c r="J2893" i="7" s="1"/>
  <c r="K2892" i="7"/>
  <c r="H2892" i="7"/>
  <c r="J2892" i="7" s="1"/>
  <c r="K2891" i="7"/>
  <c r="H2891" i="7"/>
  <c r="J2891" i="7" s="1"/>
  <c r="K2890" i="7"/>
  <c r="H2890" i="7"/>
  <c r="J2890" i="7" s="1"/>
  <c r="K2889" i="7"/>
  <c r="H2889" i="7"/>
  <c r="J2889" i="7" s="1"/>
  <c r="K2888" i="7"/>
  <c r="H2888" i="7"/>
  <c r="J2888" i="7" s="1"/>
  <c r="K2887" i="7"/>
  <c r="H2887" i="7"/>
  <c r="J2887" i="7" s="1"/>
  <c r="K2886" i="7"/>
  <c r="H2886" i="7"/>
  <c r="J2886" i="7" s="1"/>
  <c r="K2885" i="7"/>
  <c r="H2885" i="7"/>
  <c r="J2885" i="7" s="1"/>
  <c r="K2884" i="7"/>
  <c r="H2884" i="7"/>
  <c r="J2884" i="7" s="1"/>
  <c r="K2883" i="7"/>
  <c r="H2883" i="7"/>
  <c r="J2883" i="7" s="1"/>
  <c r="K2882" i="7"/>
  <c r="H2882" i="7"/>
  <c r="J2882" i="7" s="1"/>
  <c r="K2881" i="7"/>
  <c r="H2881" i="7"/>
  <c r="J2881" i="7" s="1"/>
  <c r="K2880" i="7"/>
  <c r="H2880" i="7"/>
  <c r="J2880" i="7" s="1"/>
  <c r="K2879" i="7"/>
  <c r="H2879" i="7"/>
  <c r="J2879" i="7" s="1"/>
  <c r="K2878" i="7"/>
  <c r="H2878" i="7"/>
  <c r="J2878" i="7" s="1"/>
  <c r="K2877" i="7"/>
  <c r="H2877" i="7"/>
  <c r="J2877" i="7" s="1"/>
  <c r="K2876" i="7"/>
  <c r="H2876" i="7"/>
  <c r="J2876" i="7" s="1"/>
  <c r="K2875" i="7"/>
  <c r="H2875" i="7"/>
  <c r="J2875" i="7" s="1"/>
  <c r="K2874" i="7"/>
  <c r="H2874" i="7"/>
  <c r="J2874" i="7" s="1"/>
  <c r="K2873" i="7"/>
  <c r="H2873" i="7"/>
  <c r="J2873" i="7" s="1"/>
  <c r="K2872" i="7"/>
  <c r="H2872" i="7"/>
  <c r="J2872" i="7" s="1"/>
  <c r="K2871" i="7"/>
  <c r="H2871" i="7"/>
  <c r="J2871" i="7" s="1"/>
  <c r="K2870" i="7"/>
  <c r="H2870" i="7"/>
  <c r="J2870" i="7" s="1"/>
  <c r="K2869" i="7"/>
  <c r="H2869" i="7"/>
  <c r="J2869" i="7" s="1"/>
  <c r="K2868" i="7"/>
  <c r="H2868" i="7"/>
  <c r="J2868" i="7" s="1"/>
  <c r="K2867" i="7"/>
  <c r="H2867" i="7"/>
  <c r="J2867" i="7" s="1"/>
  <c r="K2866" i="7"/>
  <c r="H2866" i="7"/>
  <c r="J2866" i="7" s="1"/>
  <c r="K2865" i="7"/>
  <c r="H2865" i="7"/>
  <c r="J2865" i="7" s="1"/>
  <c r="K2864" i="7"/>
  <c r="H2864" i="7"/>
  <c r="J2864" i="7" s="1"/>
  <c r="K2863" i="7"/>
  <c r="H2863" i="7"/>
  <c r="J2863" i="7" s="1"/>
  <c r="K2862" i="7"/>
  <c r="H2862" i="7"/>
  <c r="J2862" i="7" s="1"/>
  <c r="K2861" i="7"/>
  <c r="H2861" i="7"/>
  <c r="J2861" i="7" s="1"/>
  <c r="K2860" i="7"/>
  <c r="H2860" i="7"/>
  <c r="J2860" i="7" s="1"/>
  <c r="K2859" i="7"/>
  <c r="H2859" i="7"/>
  <c r="J2859" i="7" s="1"/>
  <c r="K2858" i="7"/>
  <c r="H2858" i="7"/>
  <c r="J2858" i="7" s="1"/>
  <c r="K2857" i="7"/>
  <c r="H2857" i="7"/>
  <c r="J2857" i="7" s="1"/>
  <c r="K2856" i="7"/>
  <c r="H2856" i="7"/>
  <c r="J2856" i="7" s="1"/>
  <c r="K2855" i="7"/>
  <c r="H2855" i="7"/>
  <c r="J2855" i="7" s="1"/>
  <c r="K2854" i="7"/>
  <c r="H2854" i="7"/>
  <c r="J2854" i="7" s="1"/>
  <c r="K2853" i="7"/>
  <c r="H2853" i="7"/>
  <c r="J2853" i="7" s="1"/>
  <c r="K2852" i="7"/>
  <c r="H2852" i="7"/>
  <c r="J2852" i="7" s="1"/>
  <c r="K2851" i="7"/>
  <c r="H2851" i="7"/>
  <c r="J2851" i="7" s="1"/>
  <c r="K2850" i="7"/>
  <c r="H2850" i="7"/>
  <c r="J2850" i="7" s="1"/>
  <c r="K2849" i="7"/>
  <c r="H2849" i="7"/>
  <c r="J2849" i="7" s="1"/>
  <c r="K2848" i="7"/>
  <c r="H2848" i="7"/>
  <c r="J2848" i="7" s="1"/>
  <c r="K2847" i="7"/>
  <c r="H2847" i="7"/>
  <c r="J2847" i="7" s="1"/>
  <c r="K2846" i="7"/>
  <c r="H2846" i="7"/>
  <c r="J2846" i="7" s="1"/>
  <c r="K2845" i="7"/>
  <c r="H2845" i="7"/>
  <c r="J2845" i="7" s="1"/>
  <c r="K2844" i="7"/>
  <c r="H2844" i="7"/>
  <c r="J2844" i="7" s="1"/>
  <c r="K2843" i="7"/>
  <c r="H2843" i="7"/>
  <c r="J2843" i="7" s="1"/>
  <c r="K2842" i="7"/>
  <c r="H2842" i="7"/>
  <c r="J2842" i="7" s="1"/>
  <c r="K2841" i="7"/>
  <c r="H2841" i="7"/>
  <c r="J2841" i="7" s="1"/>
  <c r="K2840" i="7"/>
  <c r="H2840" i="7"/>
  <c r="J2840" i="7" s="1"/>
  <c r="K2839" i="7"/>
  <c r="H2839" i="7"/>
  <c r="J2839" i="7" s="1"/>
  <c r="K2838" i="7"/>
  <c r="H2838" i="7"/>
  <c r="J2838" i="7" s="1"/>
  <c r="K2837" i="7"/>
  <c r="H2837" i="7"/>
  <c r="J2837" i="7" s="1"/>
  <c r="K2836" i="7"/>
  <c r="H2836" i="7"/>
  <c r="J2836" i="7" s="1"/>
  <c r="K2835" i="7"/>
  <c r="H2835" i="7"/>
  <c r="J2835" i="7" s="1"/>
  <c r="K2834" i="7"/>
  <c r="H2834" i="7"/>
  <c r="J2834" i="7" s="1"/>
  <c r="K2833" i="7"/>
  <c r="H2833" i="7"/>
  <c r="J2833" i="7" s="1"/>
  <c r="K2832" i="7"/>
  <c r="H2832" i="7"/>
  <c r="J2832" i="7" s="1"/>
  <c r="K2831" i="7"/>
  <c r="H2831" i="7"/>
  <c r="J2831" i="7" s="1"/>
  <c r="K2830" i="7"/>
  <c r="H2830" i="7"/>
  <c r="J2830" i="7" s="1"/>
  <c r="K2829" i="7"/>
  <c r="H2829" i="7"/>
  <c r="J2829" i="7" s="1"/>
  <c r="K2828" i="7"/>
  <c r="H2828" i="7"/>
  <c r="J2828" i="7" s="1"/>
  <c r="K2827" i="7"/>
  <c r="H2827" i="7"/>
  <c r="J2827" i="7" s="1"/>
  <c r="K2826" i="7"/>
  <c r="H2826" i="7"/>
  <c r="J2826" i="7" s="1"/>
  <c r="K2825" i="7"/>
  <c r="H2825" i="7"/>
  <c r="J2825" i="7" s="1"/>
  <c r="K2824" i="7"/>
  <c r="H2824" i="7"/>
  <c r="J2824" i="7" s="1"/>
  <c r="K2823" i="7"/>
  <c r="H2823" i="7"/>
  <c r="J2823" i="7" s="1"/>
  <c r="K2822" i="7"/>
  <c r="H2822" i="7"/>
  <c r="J2822" i="7" s="1"/>
  <c r="K2821" i="7"/>
  <c r="H2821" i="7"/>
  <c r="J2821" i="7" s="1"/>
  <c r="K2820" i="7"/>
  <c r="H2820" i="7"/>
  <c r="J2820" i="7" s="1"/>
  <c r="K2819" i="7"/>
  <c r="H2819" i="7"/>
  <c r="J2819" i="7" s="1"/>
  <c r="K2818" i="7"/>
  <c r="H2818" i="7"/>
  <c r="J2818" i="7" s="1"/>
  <c r="K2817" i="7"/>
  <c r="H2817" i="7"/>
  <c r="J2817" i="7" s="1"/>
  <c r="K2816" i="7"/>
  <c r="H2816" i="7"/>
  <c r="J2816" i="7" s="1"/>
  <c r="K2815" i="7"/>
  <c r="H2815" i="7"/>
  <c r="J2815" i="7" s="1"/>
  <c r="K2814" i="7"/>
  <c r="H2814" i="7"/>
  <c r="J2814" i="7" s="1"/>
  <c r="K2813" i="7"/>
  <c r="H2813" i="7"/>
  <c r="J2813" i="7" s="1"/>
  <c r="K2812" i="7"/>
  <c r="H2812" i="7"/>
  <c r="J2812" i="7" s="1"/>
  <c r="K2811" i="7"/>
  <c r="H2811" i="7"/>
  <c r="J2811" i="7" s="1"/>
  <c r="K2810" i="7"/>
  <c r="H2810" i="7"/>
  <c r="J2810" i="7" s="1"/>
  <c r="K2809" i="7"/>
  <c r="H2809" i="7"/>
  <c r="J2809" i="7" s="1"/>
  <c r="K2808" i="7"/>
  <c r="H2808" i="7"/>
  <c r="J2808" i="7" s="1"/>
  <c r="K2807" i="7"/>
  <c r="H2807" i="7"/>
  <c r="J2807" i="7" s="1"/>
  <c r="K2806" i="7"/>
  <c r="H2806" i="7"/>
  <c r="J2806" i="7" s="1"/>
  <c r="K2805" i="7"/>
  <c r="H2805" i="7"/>
  <c r="J2805" i="7" s="1"/>
  <c r="K2804" i="7"/>
  <c r="H2804" i="7"/>
  <c r="J2804" i="7" s="1"/>
  <c r="K2803" i="7"/>
  <c r="H2803" i="7"/>
  <c r="J2803" i="7" s="1"/>
  <c r="K2802" i="7"/>
  <c r="H2802" i="7"/>
  <c r="J2802" i="7" s="1"/>
  <c r="K2801" i="7"/>
  <c r="H2801" i="7"/>
  <c r="J2801" i="7" s="1"/>
  <c r="K2800" i="7"/>
  <c r="H2800" i="7"/>
  <c r="J2800" i="7" s="1"/>
  <c r="K2799" i="7"/>
  <c r="H2799" i="7"/>
  <c r="J2799" i="7" s="1"/>
  <c r="K2798" i="7"/>
  <c r="H2798" i="7"/>
  <c r="J2798" i="7" s="1"/>
  <c r="K2797" i="7"/>
  <c r="H2797" i="7"/>
  <c r="J2797" i="7" s="1"/>
  <c r="K2796" i="7"/>
  <c r="H2796" i="7"/>
  <c r="J2796" i="7" s="1"/>
  <c r="K2795" i="7"/>
  <c r="H2795" i="7"/>
  <c r="J2795" i="7" s="1"/>
  <c r="K2794" i="7"/>
  <c r="H2794" i="7"/>
  <c r="J2794" i="7" s="1"/>
  <c r="K2793" i="7"/>
  <c r="H2793" i="7"/>
  <c r="J2793" i="7" s="1"/>
  <c r="K2792" i="7"/>
  <c r="H2792" i="7"/>
  <c r="J2792" i="7" s="1"/>
  <c r="K2791" i="7"/>
  <c r="H2791" i="7"/>
  <c r="J2791" i="7" s="1"/>
  <c r="K2790" i="7"/>
  <c r="H2790" i="7"/>
  <c r="J2790" i="7" s="1"/>
  <c r="K2789" i="7"/>
  <c r="H2789" i="7"/>
  <c r="J2789" i="7" s="1"/>
  <c r="K2788" i="7"/>
  <c r="H2788" i="7"/>
  <c r="J2788" i="7" s="1"/>
  <c r="K2787" i="7"/>
  <c r="H2787" i="7"/>
  <c r="J2787" i="7" s="1"/>
  <c r="K2786" i="7"/>
  <c r="H2786" i="7"/>
  <c r="J2786" i="7" s="1"/>
  <c r="K2785" i="7"/>
  <c r="H2785" i="7"/>
  <c r="J2785" i="7" s="1"/>
  <c r="K2784" i="7"/>
  <c r="H2784" i="7"/>
  <c r="J2784" i="7" s="1"/>
  <c r="K2783" i="7"/>
  <c r="H2783" i="7"/>
  <c r="J2783" i="7" s="1"/>
  <c r="K2782" i="7"/>
  <c r="H2782" i="7"/>
  <c r="J2782" i="7" s="1"/>
  <c r="K2781" i="7"/>
  <c r="H2781" i="7"/>
  <c r="J2781" i="7" s="1"/>
  <c r="K2780" i="7"/>
  <c r="H2780" i="7"/>
  <c r="J2780" i="7" s="1"/>
  <c r="K2779" i="7"/>
  <c r="H2779" i="7"/>
  <c r="J2779" i="7" s="1"/>
  <c r="K2778" i="7"/>
  <c r="H2778" i="7"/>
  <c r="J2778" i="7" s="1"/>
  <c r="K2777" i="7"/>
  <c r="H2777" i="7"/>
  <c r="J2777" i="7" s="1"/>
  <c r="K2776" i="7"/>
  <c r="H2776" i="7"/>
  <c r="J2776" i="7" s="1"/>
  <c r="K2775" i="7"/>
  <c r="H2775" i="7"/>
  <c r="J2775" i="7" s="1"/>
  <c r="K2774" i="7"/>
  <c r="H2774" i="7"/>
  <c r="J2774" i="7" s="1"/>
  <c r="K2773" i="7"/>
  <c r="H2773" i="7"/>
  <c r="J2773" i="7" s="1"/>
  <c r="K2772" i="7"/>
  <c r="H2772" i="7"/>
  <c r="J2772" i="7" s="1"/>
  <c r="K2771" i="7"/>
  <c r="H2771" i="7"/>
  <c r="J2771" i="7" s="1"/>
  <c r="K2770" i="7"/>
  <c r="H2770" i="7"/>
  <c r="J2770" i="7" s="1"/>
  <c r="K2769" i="7"/>
  <c r="H2769" i="7"/>
  <c r="J2769" i="7" s="1"/>
  <c r="K2768" i="7"/>
  <c r="H2768" i="7"/>
  <c r="J2768" i="7" s="1"/>
  <c r="K2767" i="7"/>
  <c r="H2767" i="7"/>
  <c r="J2767" i="7" s="1"/>
  <c r="K2766" i="7"/>
  <c r="H2766" i="7"/>
  <c r="J2766" i="7" s="1"/>
  <c r="K2765" i="7"/>
  <c r="H2765" i="7"/>
  <c r="J2765" i="7" s="1"/>
  <c r="K2764" i="7"/>
  <c r="H2764" i="7"/>
  <c r="J2764" i="7" s="1"/>
  <c r="K2763" i="7"/>
  <c r="H2763" i="7"/>
  <c r="J2763" i="7" s="1"/>
  <c r="K2762" i="7"/>
  <c r="H2762" i="7"/>
  <c r="J2762" i="7" s="1"/>
  <c r="K2761" i="7"/>
  <c r="H2761" i="7"/>
  <c r="J2761" i="7" s="1"/>
  <c r="K2760" i="7"/>
  <c r="H2760" i="7"/>
  <c r="J2760" i="7" s="1"/>
  <c r="K2759" i="7"/>
  <c r="H2759" i="7"/>
  <c r="J2759" i="7" s="1"/>
  <c r="K2758" i="7"/>
  <c r="H2758" i="7"/>
  <c r="J2758" i="7" s="1"/>
  <c r="K2757" i="7"/>
  <c r="H2757" i="7"/>
  <c r="J2757" i="7" s="1"/>
  <c r="K2756" i="7"/>
  <c r="H2756" i="7"/>
  <c r="J2756" i="7" s="1"/>
  <c r="K2755" i="7"/>
  <c r="H2755" i="7"/>
  <c r="J2755" i="7" s="1"/>
  <c r="K2754" i="7"/>
  <c r="H2754" i="7"/>
  <c r="J2754" i="7" s="1"/>
  <c r="K2753" i="7"/>
  <c r="H2753" i="7"/>
  <c r="J2753" i="7" s="1"/>
  <c r="K2752" i="7"/>
  <c r="H2752" i="7"/>
  <c r="J2752" i="7" s="1"/>
  <c r="K2751" i="7"/>
  <c r="H2751" i="7"/>
  <c r="J2751" i="7" s="1"/>
  <c r="K2750" i="7"/>
  <c r="H2750" i="7"/>
  <c r="J2750" i="7" s="1"/>
  <c r="K2749" i="7"/>
  <c r="H2749" i="7"/>
  <c r="J2749" i="7" s="1"/>
  <c r="K2748" i="7"/>
  <c r="H2748" i="7"/>
  <c r="J2748" i="7" s="1"/>
  <c r="K2747" i="7"/>
  <c r="H2747" i="7"/>
  <c r="J2747" i="7" s="1"/>
  <c r="K2746" i="7"/>
  <c r="H2746" i="7"/>
  <c r="J2746" i="7" s="1"/>
  <c r="K2745" i="7"/>
  <c r="H2745" i="7"/>
  <c r="J2745" i="7" s="1"/>
  <c r="K2744" i="7"/>
  <c r="H2744" i="7"/>
  <c r="J2744" i="7" s="1"/>
  <c r="K2743" i="7"/>
  <c r="H2743" i="7"/>
  <c r="J2743" i="7" s="1"/>
  <c r="K2742" i="7"/>
  <c r="H2742" i="7"/>
  <c r="J2742" i="7" s="1"/>
  <c r="K2741" i="7"/>
  <c r="H2741" i="7"/>
  <c r="J2741" i="7" s="1"/>
  <c r="K2740" i="7"/>
  <c r="H2740" i="7"/>
  <c r="J2740" i="7" s="1"/>
  <c r="K2739" i="7"/>
  <c r="H2739" i="7"/>
  <c r="J2739" i="7" s="1"/>
  <c r="K2738" i="7"/>
  <c r="H2738" i="7"/>
  <c r="J2738" i="7" s="1"/>
  <c r="K2737" i="7"/>
  <c r="H2737" i="7"/>
  <c r="J2737" i="7" s="1"/>
  <c r="K2736" i="7"/>
  <c r="H2736" i="7"/>
  <c r="J2736" i="7" s="1"/>
  <c r="K2735" i="7"/>
  <c r="H2735" i="7"/>
  <c r="J2735" i="7" s="1"/>
  <c r="K2734" i="7"/>
  <c r="H2734" i="7"/>
  <c r="J2734" i="7" s="1"/>
  <c r="K2733" i="7"/>
  <c r="H2733" i="7"/>
  <c r="J2733" i="7" s="1"/>
  <c r="K2732" i="7"/>
  <c r="H2732" i="7"/>
  <c r="J2732" i="7" s="1"/>
  <c r="K2731" i="7"/>
  <c r="H2731" i="7"/>
  <c r="J2731" i="7" s="1"/>
  <c r="K2730" i="7"/>
  <c r="H2730" i="7"/>
  <c r="J2730" i="7" s="1"/>
  <c r="K2729" i="7"/>
  <c r="H2729" i="7"/>
  <c r="J2729" i="7" s="1"/>
  <c r="K2728" i="7"/>
  <c r="H2728" i="7"/>
  <c r="J2728" i="7" s="1"/>
  <c r="K2727" i="7"/>
  <c r="H2727" i="7"/>
  <c r="J2727" i="7" s="1"/>
  <c r="K2726" i="7"/>
  <c r="H2726" i="7"/>
  <c r="J2726" i="7" s="1"/>
  <c r="K2725" i="7"/>
  <c r="H2725" i="7"/>
  <c r="J2725" i="7" s="1"/>
  <c r="K2724" i="7"/>
  <c r="H2724" i="7"/>
  <c r="J2724" i="7" s="1"/>
  <c r="K2723" i="7"/>
  <c r="H2723" i="7"/>
  <c r="J2723" i="7" s="1"/>
  <c r="K2722" i="7"/>
  <c r="H2722" i="7"/>
  <c r="J2722" i="7" s="1"/>
  <c r="K2721" i="7"/>
  <c r="H2721" i="7"/>
  <c r="J2721" i="7" s="1"/>
  <c r="K2720" i="7"/>
  <c r="H2720" i="7"/>
  <c r="J2720" i="7" s="1"/>
  <c r="K2719" i="7"/>
  <c r="H2719" i="7"/>
  <c r="J2719" i="7" s="1"/>
  <c r="K2718" i="7"/>
  <c r="H2718" i="7"/>
  <c r="J2718" i="7" s="1"/>
  <c r="K2717" i="7"/>
  <c r="H2717" i="7"/>
  <c r="J2717" i="7" s="1"/>
  <c r="K2716" i="7"/>
  <c r="H2716" i="7"/>
  <c r="J2716" i="7" s="1"/>
  <c r="K2715" i="7"/>
  <c r="H2715" i="7"/>
  <c r="J2715" i="7" s="1"/>
  <c r="K2714" i="7"/>
  <c r="H2714" i="7"/>
  <c r="J2714" i="7" s="1"/>
  <c r="K2713" i="7"/>
  <c r="H2713" i="7"/>
  <c r="J2713" i="7" s="1"/>
  <c r="K2712" i="7"/>
  <c r="H2712" i="7"/>
  <c r="J2712" i="7" s="1"/>
  <c r="K2711" i="7"/>
  <c r="H2711" i="7"/>
  <c r="J2711" i="7" s="1"/>
  <c r="K2710" i="7"/>
  <c r="H2710" i="7"/>
  <c r="J2710" i="7" s="1"/>
  <c r="K2709" i="7"/>
  <c r="H2709" i="7"/>
  <c r="J2709" i="7" s="1"/>
  <c r="K2708" i="7"/>
  <c r="H2708" i="7"/>
  <c r="J2708" i="7" s="1"/>
  <c r="K2707" i="7"/>
  <c r="H2707" i="7"/>
  <c r="J2707" i="7" s="1"/>
  <c r="K2706" i="7"/>
  <c r="H2706" i="7"/>
  <c r="J2706" i="7" s="1"/>
  <c r="K2705" i="7"/>
  <c r="H2705" i="7"/>
  <c r="J2705" i="7" s="1"/>
  <c r="K2704" i="7"/>
  <c r="H2704" i="7"/>
  <c r="J2704" i="7" s="1"/>
  <c r="K2703" i="7"/>
  <c r="H2703" i="7"/>
  <c r="J2703" i="7" s="1"/>
  <c r="K2702" i="7"/>
  <c r="H2702" i="7"/>
  <c r="J2702" i="7" s="1"/>
  <c r="K2701" i="7"/>
  <c r="H2701" i="7"/>
  <c r="J2701" i="7" s="1"/>
  <c r="K2700" i="7"/>
  <c r="H2700" i="7"/>
  <c r="J2700" i="7" s="1"/>
  <c r="K2699" i="7"/>
  <c r="H2699" i="7"/>
  <c r="J2699" i="7" s="1"/>
  <c r="K2698" i="7"/>
  <c r="H2698" i="7"/>
  <c r="J2698" i="7" s="1"/>
  <c r="K2697" i="7"/>
  <c r="H2697" i="7"/>
  <c r="J2697" i="7" s="1"/>
  <c r="K2696" i="7"/>
  <c r="H2696" i="7"/>
  <c r="J2696" i="7" s="1"/>
  <c r="K2695" i="7"/>
  <c r="H2695" i="7"/>
  <c r="J2695" i="7" s="1"/>
  <c r="K2694" i="7"/>
  <c r="H2694" i="7"/>
  <c r="J2694" i="7" s="1"/>
  <c r="K2693" i="7"/>
  <c r="H2693" i="7"/>
  <c r="J2693" i="7" s="1"/>
  <c r="K2692" i="7"/>
  <c r="H2692" i="7"/>
  <c r="J2692" i="7" s="1"/>
  <c r="K2691" i="7"/>
  <c r="H2691" i="7"/>
  <c r="J2691" i="7" s="1"/>
  <c r="K2690" i="7"/>
  <c r="H2690" i="7"/>
  <c r="J2690" i="7" s="1"/>
  <c r="K2689" i="7"/>
  <c r="H2689" i="7"/>
  <c r="J2689" i="7" s="1"/>
  <c r="K2688" i="7"/>
  <c r="H2688" i="7"/>
  <c r="J2688" i="7" s="1"/>
  <c r="K2687" i="7"/>
  <c r="H2687" i="7"/>
  <c r="J2687" i="7" s="1"/>
  <c r="K2686" i="7"/>
  <c r="H2686" i="7"/>
  <c r="J2686" i="7" s="1"/>
  <c r="K2685" i="7"/>
  <c r="H2685" i="7"/>
  <c r="J2685" i="7" s="1"/>
  <c r="K2684" i="7"/>
  <c r="H2684" i="7"/>
  <c r="J2684" i="7" s="1"/>
  <c r="K2683" i="7"/>
  <c r="H2683" i="7"/>
  <c r="J2683" i="7" s="1"/>
  <c r="K2682" i="7"/>
  <c r="H2682" i="7"/>
  <c r="J2682" i="7" s="1"/>
  <c r="K2681" i="7"/>
  <c r="H2681" i="7"/>
  <c r="J2681" i="7" s="1"/>
  <c r="K2680" i="7"/>
  <c r="H2680" i="7"/>
  <c r="J2680" i="7" s="1"/>
  <c r="K2679" i="7"/>
  <c r="H2679" i="7"/>
  <c r="J2679" i="7" s="1"/>
  <c r="K2678" i="7"/>
  <c r="H2678" i="7"/>
  <c r="J2678" i="7" s="1"/>
  <c r="K2677" i="7"/>
  <c r="H2677" i="7"/>
  <c r="J2677" i="7" s="1"/>
  <c r="K2676" i="7"/>
  <c r="H2676" i="7"/>
  <c r="J2676" i="7" s="1"/>
  <c r="K2675" i="7"/>
  <c r="H2675" i="7"/>
  <c r="J2675" i="7" s="1"/>
  <c r="K2674" i="7"/>
  <c r="H2674" i="7"/>
  <c r="J2674" i="7" s="1"/>
  <c r="K2673" i="7"/>
  <c r="H2673" i="7"/>
  <c r="J2673" i="7" s="1"/>
  <c r="K2672" i="7"/>
  <c r="H2672" i="7"/>
  <c r="J2672" i="7" s="1"/>
  <c r="K2671" i="7"/>
  <c r="H2671" i="7"/>
  <c r="J2671" i="7" s="1"/>
  <c r="K2670" i="7"/>
  <c r="H2670" i="7"/>
  <c r="J2670" i="7" s="1"/>
  <c r="K2669" i="7"/>
  <c r="H2669" i="7"/>
  <c r="J2669" i="7" s="1"/>
  <c r="K2668" i="7"/>
  <c r="H2668" i="7"/>
  <c r="J2668" i="7" s="1"/>
  <c r="K2667" i="7"/>
  <c r="H2667" i="7"/>
  <c r="J2667" i="7" s="1"/>
  <c r="K2666" i="7"/>
  <c r="H2666" i="7"/>
  <c r="J2666" i="7" s="1"/>
  <c r="K2665" i="7"/>
  <c r="H2665" i="7"/>
  <c r="J2665" i="7" s="1"/>
  <c r="K2664" i="7"/>
  <c r="H2664" i="7"/>
  <c r="J2664" i="7" s="1"/>
  <c r="K2663" i="7"/>
  <c r="H2663" i="7"/>
  <c r="J2663" i="7" s="1"/>
  <c r="K2662" i="7"/>
  <c r="H2662" i="7"/>
  <c r="J2662" i="7" s="1"/>
  <c r="K2661" i="7"/>
  <c r="H2661" i="7"/>
  <c r="J2661" i="7" s="1"/>
  <c r="K2660" i="7"/>
  <c r="H2660" i="7"/>
  <c r="J2660" i="7" s="1"/>
  <c r="K2659" i="7"/>
  <c r="H2659" i="7"/>
  <c r="J2659" i="7" s="1"/>
  <c r="K2658" i="7"/>
  <c r="H2658" i="7"/>
  <c r="J2658" i="7" s="1"/>
  <c r="K2657" i="7"/>
  <c r="H2657" i="7"/>
  <c r="J2657" i="7" s="1"/>
  <c r="K2656" i="7"/>
  <c r="H2656" i="7"/>
  <c r="J2656" i="7" s="1"/>
  <c r="K2655" i="7"/>
  <c r="H2655" i="7"/>
  <c r="J2655" i="7" s="1"/>
  <c r="K2654" i="7"/>
  <c r="H2654" i="7"/>
  <c r="J2654" i="7" s="1"/>
  <c r="K2653" i="7"/>
  <c r="H2653" i="7"/>
  <c r="J2653" i="7" s="1"/>
  <c r="K2652" i="7"/>
  <c r="H2652" i="7"/>
  <c r="J2652" i="7" s="1"/>
  <c r="K2651" i="7"/>
  <c r="H2651" i="7"/>
  <c r="J2651" i="7" s="1"/>
  <c r="K2650" i="7"/>
  <c r="H2650" i="7"/>
  <c r="J2650" i="7" s="1"/>
  <c r="K2649" i="7"/>
  <c r="H2649" i="7"/>
  <c r="J2649" i="7" s="1"/>
  <c r="K2648" i="7"/>
  <c r="H2648" i="7"/>
  <c r="J2648" i="7" s="1"/>
  <c r="K2647" i="7"/>
  <c r="H2647" i="7"/>
  <c r="J2647" i="7" s="1"/>
  <c r="K2646" i="7"/>
  <c r="H2646" i="7"/>
  <c r="J2646" i="7" s="1"/>
  <c r="K2645" i="7"/>
  <c r="H2645" i="7"/>
  <c r="J2645" i="7" s="1"/>
  <c r="K2644" i="7"/>
  <c r="H2644" i="7"/>
  <c r="J2644" i="7" s="1"/>
  <c r="K2643" i="7"/>
  <c r="H2643" i="7"/>
  <c r="J2643" i="7" s="1"/>
  <c r="K2642" i="7"/>
  <c r="H2642" i="7"/>
  <c r="J2642" i="7" s="1"/>
  <c r="K2641" i="7"/>
  <c r="H2641" i="7"/>
  <c r="J2641" i="7" s="1"/>
  <c r="K2640" i="7"/>
  <c r="H2640" i="7"/>
  <c r="J2640" i="7" s="1"/>
  <c r="K2639" i="7"/>
  <c r="H2639" i="7"/>
  <c r="J2639" i="7" s="1"/>
  <c r="K2638" i="7"/>
  <c r="H2638" i="7"/>
  <c r="J2638" i="7" s="1"/>
  <c r="K2637" i="7"/>
  <c r="H2637" i="7"/>
  <c r="J2637" i="7" s="1"/>
  <c r="K2636" i="7"/>
  <c r="H2636" i="7"/>
  <c r="J2636" i="7" s="1"/>
  <c r="K2635" i="7"/>
  <c r="H2635" i="7"/>
  <c r="J2635" i="7" s="1"/>
  <c r="K2634" i="7"/>
  <c r="H2634" i="7"/>
  <c r="J2634" i="7" s="1"/>
  <c r="K2633" i="7"/>
  <c r="H2633" i="7"/>
  <c r="J2633" i="7" s="1"/>
  <c r="K2632" i="7"/>
  <c r="H2632" i="7"/>
  <c r="J2632" i="7" s="1"/>
  <c r="K2631" i="7"/>
  <c r="H2631" i="7"/>
  <c r="J2631" i="7" s="1"/>
  <c r="K2630" i="7"/>
  <c r="H2630" i="7"/>
  <c r="J2630" i="7" s="1"/>
  <c r="K2629" i="7"/>
  <c r="H2629" i="7"/>
  <c r="J2629" i="7" s="1"/>
  <c r="K2628" i="7"/>
  <c r="H2628" i="7"/>
  <c r="J2628" i="7" s="1"/>
  <c r="K2627" i="7"/>
  <c r="H2627" i="7"/>
  <c r="J2627" i="7" s="1"/>
  <c r="K2626" i="7"/>
  <c r="H2626" i="7"/>
  <c r="J2626" i="7" s="1"/>
  <c r="K2625" i="7"/>
  <c r="H2625" i="7"/>
  <c r="J2625" i="7" s="1"/>
  <c r="K2624" i="7"/>
  <c r="H2624" i="7"/>
  <c r="J2624" i="7" s="1"/>
  <c r="K2623" i="7"/>
  <c r="H2623" i="7"/>
  <c r="J2623" i="7" s="1"/>
  <c r="K2622" i="7"/>
  <c r="H2622" i="7"/>
  <c r="J2622" i="7" s="1"/>
  <c r="K2621" i="7"/>
  <c r="H2621" i="7"/>
  <c r="J2621" i="7" s="1"/>
  <c r="K2620" i="7"/>
  <c r="H2620" i="7"/>
  <c r="J2620" i="7" s="1"/>
  <c r="K2619" i="7"/>
  <c r="H2619" i="7"/>
  <c r="J2619" i="7" s="1"/>
  <c r="K2618" i="7"/>
  <c r="H2618" i="7"/>
  <c r="J2618" i="7" s="1"/>
  <c r="K2617" i="7"/>
  <c r="H2617" i="7"/>
  <c r="J2617" i="7" s="1"/>
  <c r="K2616" i="7"/>
  <c r="H2616" i="7"/>
  <c r="J2616" i="7" s="1"/>
  <c r="K2615" i="7"/>
  <c r="H2615" i="7"/>
  <c r="J2615" i="7" s="1"/>
  <c r="K2614" i="7"/>
  <c r="H2614" i="7"/>
  <c r="J2614" i="7" s="1"/>
  <c r="K2613" i="7"/>
  <c r="H2613" i="7"/>
  <c r="J2613" i="7" s="1"/>
  <c r="K2612" i="7"/>
  <c r="H2612" i="7"/>
  <c r="J2612" i="7" s="1"/>
  <c r="K2611" i="7"/>
  <c r="H2611" i="7"/>
  <c r="J2611" i="7" s="1"/>
  <c r="K2610" i="7"/>
  <c r="H2610" i="7"/>
  <c r="J2610" i="7" s="1"/>
  <c r="K2609" i="7"/>
  <c r="H2609" i="7"/>
  <c r="J2609" i="7" s="1"/>
  <c r="K2608" i="7"/>
  <c r="H2608" i="7"/>
  <c r="J2608" i="7" s="1"/>
  <c r="K2607" i="7"/>
  <c r="H2607" i="7"/>
  <c r="J2607" i="7" s="1"/>
  <c r="K2606" i="7"/>
  <c r="H2606" i="7"/>
  <c r="J2606" i="7" s="1"/>
  <c r="K2605" i="7"/>
  <c r="H2605" i="7"/>
  <c r="J2605" i="7" s="1"/>
  <c r="K2604" i="7"/>
  <c r="H2604" i="7"/>
  <c r="J2604" i="7" s="1"/>
  <c r="K2603" i="7"/>
  <c r="H2603" i="7"/>
  <c r="J2603" i="7" s="1"/>
  <c r="K2602" i="7"/>
  <c r="H2602" i="7"/>
  <c r="J2602" i="7" s="1"/>
  <c r="K2601" i="7"/>
  <c r="H2601" i="7"/>
  <c r="J2601" i="7" s="1"/>
  <c r="K2600" i="7"/>
  <c r="H2600" i="7"/>
  <c r="J2600" i="7" s="1"/>
  <c r="K2599" i="7"/>
  <c r="H2599" i="7"/>
  <c r="J2599" i="7" s="1"/>
  <c r="K2598" i="7"/>
  <c r="H2598" i="7"/>
  <c r="J2598" i="7" s="1"/>
  <c r="K2597" i="7"/>
  <c r="H2597" i="7"/>
  <c r="J2597" i="7" s="1"/>
  <c r="K2596" i="7"/>
  <c r="H2596" i="7"/>
  <c r="J2596" i="7" s="1"/>
  <c r="K2595" i="7"/>
  <c r="H2595" i="7"/>
  <c r="J2595" i="7" s="1"/>
  <c r="K2594" i="7"/>
  <c r="H2594" i="7"/>
  <c r="J2594" i="7" s="1"/>
  <c r="K2593" i="7"/>
  <c r="H2593" i="7"/>
  <c r="J2593" i="7" s="1"/>
  <c r="K2592" i="7"/>
  <c r="H2592" i="7"/>
  <c r="J2592" i="7" s="1"/>
  <c r="K2591" i="7"/>
  <c r="H2591" i="7"/>
  <c r="J2591" i="7" s="1"/>
  <c r="K2590" i="7"/>
  <c r="H2590" i="7"/>
  <c r="J2590" i="7" s="1"/>
  <c r="K2589" i="7"/>
  <c r="H2589" i="7"/>
  <c r="J2589" i="7" s="1"/>
  <c r="K2588" i="7"/>
  <c r="H2588" i="7"/>
  <c r="J2588" i="7" s="1"/>
  <c r="K2587" i="7"/>
  <c r="H2587" i="7"/>
  <c r="J2587" i="7" s="1"/>
  <c r="K2586" i="7"/>
  <c r="H2586" i="7"/>
  <c r="J2586" i="7" s="1"/>
  <c r="K2585" i="7"/>
  <c r="H2585" i="7"/>
  <c r="J2585" i="7" s="1"/>
  <c r="K2584" i="7"/>
  <c r="H2584" i="7"/>
  <c r="J2584" i="7" s="1"/>
  <c r="K2583" i="7"/>
  <c r="H2583" i="7"/>
  <c r="J2583" i="7" s="1"/>
  <c r="K2582" i="7"/>
  <c r="H2582" i="7"/>
  <c r="J2582" i="7" s="1"/>
  <c r="K2581" i="7"/>
  <c r="H2581" i="7"/>
  <c r="J2581" i="7" s="1"/>
  <c r="K2580" i="7"/>
  <c r="H2580" i="7"/>
  <c r="J2580" i="7" s="1"/>
  <c r="K2579" i="7"/>
  <c r="H2579" i="7"/>
  <c r="J2579" i="7" s="1"/>
  <c r="K2578" i="7"/>
  <c r="H2578" i="7"/>
  <c r="J2578" i="7" s="1"/>
  <c r="K2577" i="7"/>
  <c r="H2577" i="7"/>
  <c r="J2577" i="7" s="1"/>
  <c r="K2576" i="7"/>
  <c r="H2576" i="7"/>
  <c r="J2576" i="7" s="1"/>
  <c r="K2575" i="7"/>
  <c r="H2575" i="7"/>
  <c r="J2575" i="7" s="1"/>
  <c r="K2574" i="7"/>
  <c r="H2574" i="7"/>
  <c r="J2574" i="7" s="1"/>
  <c r="K2573" i="7"/>
  <c r="H2573" i="7"/>
  <c r="J2573" i="7" s="1"/>
  <c r="K2572" i="7"/>
  <c r="H2572" i="7"/>
  <c r="J2572" i="7" s="1"/>
  <c r="K2571" i="7"/>
  <c r="H2571" i="7"/>
  <c r="J2571" i="7" s="1"/>
  <c r="K2570" i="7"/>
  <c r="H2570" i="7"/>
  <c r="J2570" i="7" s="1"/>
  <c r="K2569" i="7"/>
  <c r="H2569" i="7"/>
  <c r="J2569" i="7" s="1"/>
  <c r="K2568" i="7"/>
  <c r="H2568" i="7"/>
  <c r="J2568" i="7" s="1"/>
  <c r="K2567" i="7"/>
  <c r="H2567" i="7"/>
  <c r="J2567" i="7" s="1"/>
  <c r="K2566" i="7"/>
  <c r="H2566" i="7"/>
  <c r="J2566" i="7" s="1"/>
  <c r="K2565" i="7"/>
  <c r="H2565" i="7"/>
  <c r="J2565" i="7" s="1"/>
  <c r="K2564" i="7"/>
  <c r="H2564" i="7"/>
  <c r="J2564" i="7" s="1"/>
  <c r="K2563" i="7"/>
  <c r="H2563" i="7"/>
  <c r="J2563" i="7" s="1"/>
  <c r="K2562" i="7"/>
  <c r="H2562" i="7"/>
  <c r="J2562" i="7" s="1"/>
  <c r="K2561" i="7"/>
  <c r="H2561" i="7"/>
  <c r="J2561" i="7" s="1"/>
  <c r="K2560" i="7"/>
  <c r="H2560" i="7"/>
  <c r="J2560" i="7" s="1"/>
  <c r="K2559" i="7"/>
  <c r="H2559" i="7"/>
  <c r="J2559" i="7" s="1"/>
  <c r="K2558" i="7"/>
  <c r="H2558" i="7"/>
  <c r="J2558" i="7" s="1"/>
  <c r="K2557" i="7"/>
  <c r="H2557" i="7"/>
  <c r="J2557" i="7" s="1"/>
  <c r="K2556" i="7"/>
  <c r="H2556" i="7"/>
  <c r="J2556" i="7" s="1"/>
  <c r="K2555" i="7"/>
  <c r="H2555" i="7"/>
  <c r="J2555" i="7" s="1"/>
  <c r="K2554" i="7"/>
  <c r="H2554" i="7"/>
  <c r="J2554" i="7" s="1"/>
  <c r="K2553" i="7"/>
  <c r="H2553" i="7"/>
  <c r="J2553" i="7" s="1"/>
  <c r="K2552" i="7"/>
  <c r="H2552" i="7"/>
  <c r="J2552" i="7" s="1"/>
  <c r="K2551" i="7"/>
  <c r="H2551" i="7"/>
  <c r="J2551" i="7" s="1"/>
  <c r="K2550" i="7"/>
  <c r="H2550" i="7"/>
  <c r="J2550" i="7" s="1"/>
  <c r="K2549" i="7"/>
  <c r="H2549" i="7"/>
  <c r="J2549" i="7" s="1"/>
  <c r="K2548" i="7"/>
  <c r="H2548" i="7"/>
  <c r="J2548" i="7" s="1"/>
  <c r="K2547" i="7"/>
  <c r="H2547" i="7"/>
  <c r="J2547" i="7" s="1"/>
  <c r="K2546" i="7"/>
  <c r="H2546" i="7"/>
  <c r="J2546" i="7" s="1"/>
  <c r="K2545" i="7"/>
  <c r="H2545" i="7"/>
  <c r="J2545" i="7" s="1"/>
  <c r="K2544" i="7"/>
  <c r="H2544" i="7"/>
  <c r="J2544" i="7" s="1"/>
  <c r="K2543" i="7"/>
  <c r="H2543" i="7"/>
  <c r="J2543" i="7" s="1"/>
  <c r="K2542" i="7"/>
  <c r="H2542" i="7"/>
  <c r="J2542" i="7" s="1"/>
  <c r="K2541" i="7"/>
  <c r="H2541" i="7"/>
  <c r="J2541" i="7" s="1"/>
  <c r="K2540" i="7"/>
  <c r="H2540" i="7"/>
  <c r="J2540" i="7" s="1"/>
  <c r="K2539" i="7"/>
  <c r="H2539" i="7"/>
  <c r="J2539" i="7" s="1"/>
  <c r="K2538" i="7"/>
  <c r="H2538" i="7"/>
  <c r="J2538" i="7" s="1"/>
  <c r="K2537" i="7"/>
  <c r="H2537" i="7"/>
  <c r="J2537" i="7" s="1"/>
  <c r="K2536" i="7"/>
  <c r="H2536" i="7"/>
  <c r="J2536" i="7" s="1"/>
  <c r="K2535" i="7"/>
  <c r="H2535" i="7"/>
  <c r="J2535" i="7" s="1"/>
  <c r="K2534" i="7"/>
  <c r="H2534" i="7"/>
  <c r="J2534" i="7" s="1"/>
  <c r="K2533" i="7"/>
  <c r="H2533" i="7"/>
  <c r="J2533" i="7" s="1"/>
  <c r="K2532" i="7"/>
  <c r="H2532" i="7"/>
  <c r="J2532" i="7" s="1"/>
  <c r="K2531" i="7"/>
  <c r="H2531" i="7"/>
  <c r="J2531" i="7" s="1"/>
  <c r="K2530" i="7"/>
  <c r="H2530" i="7"/>
  <c r="J2530" i="7" s="1"/>
  <c r="K2529" i="7"/>
  <c r="H2529" i="7"/>
  <c r="J2529" i="7" s="1"/>
  <c r="K2528" i="7"/>
  <c r="H2528" i="7"/>
  <c r="J2528" i="7" s="1"/>
  <c r="K2527" i="7"/>
  <c r="H2527" i="7"/>
  <c r="J2527" i="7" s="1"/>
  <c r="K2526" i="7"/>
  <c r="H2526" i="7"/>
  <c r="J2526" i="7" s="1"/>
  <c r="K2525" i="7"/>
  <c r="H2525" i="7"/>
  <c r="J2525" i="7" s="1"/>
  <c r="K2524" i="7"/>
  <c r="H2524" i="7"/>
  <c r="J2524" i="7" s="1"/>
  <c r="K2523" i="7"/>
  <c r="H2523" i="7"/>
  <c r="J2523" i="7" s="1"/>
  <c r="K2522" i="7"/>
  <c r="H2522" i="7"/>
  <c r="J2522" i="7" s="1"/>
  <c r="K2521" i="7"/>
  <c r="H2521" i="7"/>
  <c r="J2521" i="7" s="1"/>
  <c r="K2520" i="7"/>
  <c r="H2520" i="7"/>
  <c r="J2520" i="7" s="1"/>
  <c r="K2519" i="7"/>
  <c r="H2519" i="7"/>
  <c r="J2519" i="7" s="1"/>
  <c r="K2518" i="7"/>
  <c r="H2518" i="7"/>
  <c r="J2518" i="7" s="1"/>
  <c r="K2517" i="7"/>
  <c r="H2517" i="7"/>
  <c r="J2517" i="7" s="1"/>
  <c r="K2516" i="7"/>
  <c r="H2516" i="7"/>
  <c r="J2516" i="7" s="1"/>
  <c r="K2515" i="7"/>
  <c r="H2515" i="7"/>
  <c r="J2515" i="7" s="1"/>
  <c r="K2514" i="7"/>
  <c r="H2514" i="7"/>
  <c r="J2514" i="7" s="1"/>
  <c r="K2513" i="7"/>
  <c r="H2513" i="7"/>
  <c r="J2513" i="7" s="1"/>
  <c r="K2512" i="7"/>
  <c r="H2512" i="7"/>
  <c r="J2512" i="7" s="1"/>
  <c r="K2511" i="7"/>
  <c r="H2511" i="7"/>
  <c r="J2511" i="7" s="1"/>
  <c r="K2510" i="7"/>
  <c r="H2510" i="7"/>
  <c r="J2510" i="7" s="1"/>
  <c r="K2509" i="7"/>
  <c r="H2509" i="7"/>
  <c r="J2509" i="7" s="1"/>
  <c r="K2508" i="7"/>
  <c r="H2508" i="7"/>
  <c r="J2508" i="7" s="1"/>
  <c r="K2507" i="7"/>
  <c r="H2507" i="7"/>
  <c r="J2507" i="7" s="1"/>
  <c r="K2506" i="7"/>
  <c r="H2506" i="7"/>
  <c r="J2506" i="7" s="1"/>
  <c r="K2505" i="7"/>
  <c r="H2505" i="7"/>
  <c r="J2505" i="7" s="1"/>
  <c r="K2504" i="7"/>
  <c r="H2504" i="7"/>
  <c r="J2504" i="7" s="1"/>
  <c r="K2503" i="7"/>
  <c r="H2503" i="7"/>
  <c r="J2503" i="7" s="1"/>
  <c r="K2502" i="7"/>
  <c r="H2502" i="7"/>
  <c r="J2502" i="7" s="1"/>
  <c r="K2501" i="7"/>
  <c r="H2501" i="7"/>
  <c r="J2501" i="7" s="1"/>
  <c r="K2500" i="7"/>
  <c r="H2500" i="7"/>
  <c r="J2500" i="7" s="1"/>
  <c r="K2499" i="7"/>
  <c r="H2499" i="7"/>
  <c r="J2499" i="7" s="1"/>
  <c r="K2498" i="7"/>
  <c r="H2498" i="7"/>
  <c r="J2498" i="7" s="1"/>
  <c r="K2497" i="7"/>
  <c r="H2497" i="7"/>
  <c r="J2497" i="7" s="1"/>
  <c r="K2496" i="7"/>
  <c r="H2496" i="7"/>
  <c r="J2496" i="7" s="1"/>
  <c r="K2495" i="7"/>
  <c r="H2495" i="7"/>
  <c r="J2495" i="7" s="1"/>
  <c r="K2494" i="7"/>
  <c r="H2494" i="7"/>
  <c r="J2494" i="7" s="1"/>
  <c r="K2493" i="7"/>
  <c r="H2493" i="7"/>
  <c r="J2493" i="7" s="1"/>
  <c r="K2492" i="7"/>
  <c r="H2492" i="7"/>
  <c r="J2492" i="7" s="1"/>
  <c r="K2491" i="7"/>
  <c r="H2491" i="7"/>
  <c r="J2491" i="7" s="1"/>
  <c r="K2490" i="7"/>
  <c r="H2490" i="7"/>
  <c r="J2490" i="7" s="1"/>
  <c r="K2489" i="7"/>
  <c r="H2489" i="7"/>
  <c r="J2489" i="7" s="1"/>
  <c r="K2488" i="7"/>
  <c r="H2488" i="7"/>
  <c r="J2488" i="7" s="1"/>
  <c r="K2487" i="7"/>
  <c r="H2487" i="7"/>
  <c r="J2487" i="7" s="1"/>
  <c r="K2486" i="7"/>
  <c r="H2486" i="7"/>
  <c r="J2486" i="7" s="1"/>
  <c r="K2485" i="7"/>
  <c r="H2485" i="7"/>
  <c r="J2485" i="7" s="1"/>
  <c r="K2484" i="7"/>
  <c r="H2484" i="7"/>
  <c r="J2484" i="7" s="1"/>
  <c r="K2483" i="7"/>
  <c r="H2483" i="7"/>
  <c r="J2483" i="7" s="1"/>
  <c r="K2482" i="7"/>
  <c r="H2482" i="7"/>
  <c r="J2482" i="7" s="1"/>
  <c r="K2481" i="7"/>
  <c r="H2481" i="7"/>
  <c r="J2481" i="7" s="1"/>
  <c r="K2480" i="7"/>
  <c r="H2480" i="7"/>
  <c r="J2480" i="7" s="1"/>
  <c r="K2479" i="7"/>
  <c r="H2479" i="7"/>
  <c r="J2479" i="7" s="1"/>
  <c r="K2478" i="7"/>
  <c r="H2478" i="7"/>
  <c r="J2478" i="7" s="1"/>
  <c r="K2477" i="7"/>
  <c r="H2477" i="7"/>
  <c r="J2477" i="7" s="1"/>
  <c r="K2476" i="7"/>
  <c r="H2476" i="7"/>
  <c r="J2476" i="7" s="1"/>
  <c r="K2475" i="7"/>
  <c r="H2475" i="7"/>
  <c r="J2475" i="7" s="1"/>
  <c r="K2474" i="7"/>
  <c r="H2474" i="7"/>
  <c r="J2474" i="7" s="1"/>
  <c r="K2473" i="7"/>
  <c r="H2473" i="7"/>
  <c r="J2473" i="7" s="1"/>
  <c r="K2472" i="7"/>
  <c r="H2472" i="7"/>
  <c r="J2472" i="7" s="1"/>
  <c r="K2471" i="7"/>
  <c r="H2471" i="7"/>
  <c r="J2471" i="7" s="1"/>
  <c r="K2470" i="7"/>
  <c r="H2470" i="7"/>
  <c r="J2470" i="7" s="1"/>
  <c r="K2469" i="7"/>
  <c r="H2469" i="7"/>
  <c r="J2469" i="7" s="1"/>
  <c r="K2468" i="7"/>
  <c r="H2468" i="7"/>
  <c r="J2468" i="7" s="1"/>
  <c r="K2467" i="7"/>
  <c r="H2467" i="7"/>
  <c r="J2467" i="7" s="1"/>
  <c r="K2466" i="7"/>
  <c r="H2466" i="7"/>
  <c r="J2466" i="7" s="1"/>
  <c r="K2465" i="7"/>
  <c r="H2465" i="7"/>
  <c r="J2465" i="7" s="1"/>
  <c r="K2464" i="7"/>
  <c r="H2464" i="7"/>
  <c r="J2464" i="7" s="1"/>
  <c r="K2463" i="7"/>
  <c r="H2463" i="7"/>
  <c r="J2463" i="7" s="1"/>
  <c r="K2462" i="7"/>
  <c r="H2462" i="7"/>
  <c r="J2462" i="7" s="1"/>
  <c r="K2461" i="7"/>
  <c r="H2461" i="7"/>
  <c r="J2461" i="7" s="1"/>
  <c r="K2460" i="7"/>
  <c r="H2460" i="7"/>
  <c r="J2460" i="7" s="1"/>
  <c r="K2459" i="7"/>
  <c r="H2459" i="7"/>
  <c r="J2459" i="7" s="1"/>
  <c r="K2458" i="7"/>
  <c r="H2458" i="7"/>
  <c r="J2458" i="7" s="1"/>
  <c r="K2457" i="7"/>
  <c r="H2457" i="7"/>
  <c r="J2457" i="7" s="1"/>
  <c r="K2456" i="7"/>
  <c r="H2456" i="7"/>
  <c r="J2456" i="7" s="1"/>
  <c r="K2455" i="7"/>
  <c r="H2455" i="7"/>
  <c r="J2455" i="7" s="1"/>
  <c r="K2454" i="7"/>
  <c r="H2454" i="7"/>
  <c r="J2454" i="7" s="1"/>
  <c r="K2453" i="7"/>
  <c r="H2453" i="7"/>
  <c r="J2453" i="7" s="1"/>
  <c r="K2452" i="7"/>
  <c r="H2452" i="7"/>
  <c r="J2452" i="7" s="1"/>
  <c r="K2451" i="7"/>
  <c r="H2451" i="7"/>
  <c r="J2451" i="7" s="1"/>
  <c r="K2450" i="7"/>
  <c r="H2450" i="7"/>
  <c r="J2450" i="7" s="1"/>
  <c r="K2449" i="7"/>
  <c r="H2449" i="7"/>
  <c r="J2449" i="7" s="1"/>
  <c r="K2448" i="7"/>
  <c r="H2448" i="7"/>
  <c r="J2448" i="7" s="1"/>
  <c r="K2447" i="7"/>
  <c r="H2447" i="7"/>
  <c r="J2447" i="7" s="1"/>
  <c r="K2446" i="7"/>
  <c r="H2446" i="7"/>
  <c r="J2446" i="7" s="1"/>
  <c r="K2445" i="7"/>
  <c r="H2445" i="7"/>
  <c r="J2445" i="7" s="1"/>
  <c r="K2444" i="7"/>
  <c r="H2444" i="7"/>
  <c r="J2444" i="7" s="1"/>
  <c r="K2443" i="7"/>
  <c r="H2443" i="7"/>
  <c r="J2443" i="7" s="1"/>
  <c r="K2442" i="7"/>
  <c r="H2442" i="7"/>
  <c r="J2442" i="7" s="1"/>
  <c r="K2441" i="7"/>
  <c r="H2441" i="7"/>
  <c r="J2441" i="7" s="1"/>
  <c r="K2440" i="7"/>
  <c r="H2440" i="7"/>
  <c r="J2440" i="7" s="1"/>
  <c r="K2439" i="7"/>
  <c r="H2439" i="7"/>
  <c r="J2439" i="7" s="1"/>
  <c r="K2438" i="7"/>
  <c r="H2438" i="7"/>
  <c r="J2438" i="7" s="1"/>
  <c r="K2437" i="7"/>
  <c r="H2437" i="7"/>
  <c r="J2437" i="7" s="1"/>
  <c r="K2436" i="7"/>
  <c r="H2436" i="7"/>
  <c r="J2436" i="7" s="1"/>
  <c r="K2435" i="7"/>
  <c r="H2435" i="7"/>
  <c r="J2435" i="7" s="1"/>
  <c r="K2434" i="7"/>
  <c r="H2434" i="7"/>
  <c r="J2434" i="7" s="1"/>
  <c r="K2433" i="7"/>
  <c r="H2433" i="7"/>
  <c r="J2433" i="7" s="1"/>
  <c r="K2432" i="7"/>
  <c r="H2432" i="7"/>
  <c r="J2432" i="7" s="1"/>
  <c r="K2431" i="7"/>
  <c r="H2431" i="7"/>
  <c r="J2431" i="7" s="1"/>
  <c r="K2430" i="7"/>
  <c r="H2430" i="7"/>
  <c r="J2430" i="7" s="1"/>
  <c r="K2429" i="7"/>
  <c r="H2429" i="7"/>
  <c r="J2429" i="7" s="1"/>
  <c r="K2428" i="7"/>
  <c r="H2428" i="7"/>
  <c r="J2428" i="7" s="1"/>
  <c r="K2427" i="7"/>
  <c r="H2427" i="7"/>
  <c r="J2427" i="7" s="1"/>
  <c r="K2426" i="7"/>
  <c r="H2426" i="7"/>
  <c r="J2426" i="7" s="1"/>
  <c r="K2425" i="7"/>
  <c r="H2425" i="7"/>
  <c r="J2425" i="7" s="1"/>
  <c r="K2424" i="7"/>
  <c r="H2424" i="7"/>
  <c r="J2424" i="7" s="1"/>
  <c r="K2423" i="7"/>
  <c r="H2423" i="7"/>
  <c r="J2423" i="7" s="1"/>
  <c r="K2422" i="7"/>
  <c r="H2422" i="7"/>
  <c r="J2422" i="7" s="1"/>
  <c r="K2421" i="7"/>
  <c r="H2421" i="7"/>
  <c r="J2421" i="7" s="1"/>
  <c r="K2420" i="7"/>
  <c r="H2420" i="7"/>
  <c r="J2420" i="7" s="1"/>
  <c r="K2419" i="7"/>
  <c r="H2419" i="7"/>
  <c r="J2419" i="7" s="1"/>
  <c r="K2418" i="7"/>
  <c r="H2418" i="7"/>
  <c r="J2418" i="7" s="1"/>
  <c r="K2417" i="7"/>
  <c r="H2417" i="7"/>
  <c r="J2417" i="7" s="1"/>
  <c r="K2416" i="7"/>
  <c r="H2416" i="7"/>
  <c r="J2416" i="7" s="1"/>
  <c r="K2415" i="7"/>
  <c r="H2415" i="7"/>
  <c r="J2415" i="7" s="1"/>
  <c r="K2414" i="7"/>
  <c r="H2414" i="7"/>
  <c r="J2414" i="7" s="1"/>
  <c r="K2413" i="7"/>
  <c r="H2413" i="7"/>
  <c r="J2413" i="7" s="1"/>
  <c r="K2412" i="7"/>
  <c r="H2412" i="7"/>
  <c r="J2412" i="7" s="1"/>
  <c r="K2411" i="7"/>
  <c r="H2411" i="7"/>
  <c r="J2411" i="7" s="1"/>
  <c r="K2410" i="7"/>
  <c r="H2410" i="7"/>
  <c r="J2410" i="7" s="1"/>
  <c r="K2409" i="7"/>
  <c r="H2409" i="7"/>
  <c r="J2409" i="7" s="1"/>
  <c r="K2408" i="7"/>
  <c r="H2408" i="7"/>
  <c r="J2408" i="7" s="1"/>
  <c r="K2407" i="7"/>
  <c r="H2407" i="7"/>
  <c r="J2407" i="7" s="1"/>
  <c r="K2406" i="7"/>
  <c r="H2406" i="7"/>
  <c r="J2406" i="7" s="1"/>
  <c r="K2405" i="7"/>
  <c r="H2405" i="7"/>
  <c r="J2405" i="7" s="1"/>
  <c r="K2404" i="7"/>
  <c r="H2404" i="7"/>
  <c r="J2404" i="7" s="1"/>
  <c r="K2403" i="7"/>
  <c r="H2403" i="7"/>
  <c r="J2403" i="7" s="1"/>
  <c r="K2402" i="7"/>
  <c r="H2402" i="7"/>
  <c r="J2402" i="7" s="1"/>
  <c r="K2401" i="7"/>
  <c r="H2401" i="7"/>
  <c r="J2401" i="7" s="1"/>
  <c r="K2400" i="7"/>
  <c r="H2400" i="7"/>
  <c r="J2400" i="7" s="1"/>
  <c r="K2399" i="7"/>
  <c r="H2399" i="7"/>
  <c r="J2399" i="7" s="1"/>
  <c r="K2398" i="7"/>
  <c r="H2398" i="7"/>
  <c r="J2398" i="7" s="1"/>
  <c r="K2397" i="7"/>
  <c r="H2397" i="7"/>
  <c r="J2397" i="7" s="1"/>
  <c r="K2396" i="7"/>
  <c r="H2396" i="7"/>
  <c r="J2396" i="7" s="1"/>
  <c r="K2395" i="7"/>
  <c r="H2395" i="7"/>
  <c r="J2395" i="7" s="1"/>
  <c r="K2394" i="7"/>
  <c r="H2394" i="7"/>
  <c r="J2394" i="7" s="1"/>
  <c r="K2393" i="7"/>
  <c r="H2393" i="7"/>
  <c r="J2393" i="7" s="1"/>
  <c r="K2392" i="7"/>
  <c r="H2392" i="7"/>
  <c r="J2392" i="7" s="1"/>
  <c r="K2391" i="7"/>
  <c r="H2391" i="7"/>
  <c r="J2391" i="7" s="1"/>
  <c r="K2390" i="7"/>
  <c r="H2390" i="7"/>
  <c r="J2390" i="7" s="1"/>
  <c r="K2389" i="7"/>
  <c r="H2389" i="7"/>
  <c r="J2389" i="7" s="1"/>
  <c r="K2388" i="7"/>
  <c r="H2388" i="7"/>
  <c r="J2388" i="7" s="1"/>
  <c r="K2387" i="7"/>
  <c r="H2387" i="7"/>
  <c r="J2387" i="7" s="1"/>
  <c r="K2386" i="7"/>
  <c r="H2386" i="7"/>
  <c r="J2386" i="7" s="1"/>
  <c r="K2385" i="7"/>
  <c r="H2385" i="7"/>
  <c r="J2385" i="7" s="1"/>
  <c r="K2384" i="7"/>
  <c r="H2384" i="7"/>
  <c r="J2384" i="7" s="1"/>
  <c r="K2383" i="7"/>
  <c r="H2383" i="7"/>
  <c r="J2383" i="7" s="1"/>
  <c r="K2382" i="7"/>
  <c r="H2382" i="7"/>
  <c r="J2382" i="7" s="1"/>
  <c r="K2381" i="7"/>
  <c r="H2381" i="7"/>
  <c r="J2381" i="7" s="1"/>
  <c r="K2380" i="7"/>
  <c r="H2380" i="7"/>
  <c r="J2380" i="7" s="1"/>
  <c r="K2379" i="7"/>
  <c r="H2379" i="7"/>
  <c r="J2379" i="7" s="1"/>
  <c r="K2378" i="7"/>
  <c r="H2378" i="7"/>
  <c r="J2378" i="7" s="1"/>
  <c r="K2377" i="7"/>
  <c r="H2377" i="7"/>
  <c r="J2377" i="7" s="1"/>
  <c r="K2376" i="7"/>
  <c r="H2376" i="7"/>
  <c r="J2376" i="7" s="1"/>
  <c r="K2375" i="7"/>
  <c r="H2375" i="7"/>
  <c r="J2375" i="7" s="1"/>
  <c r="K2374" i="7"/>
  <c r="H2374" i="7"/>
  <c r="J2374" i="7" s="1"/>
  <c r="K2373" i="7"/>
  <c r="H2373" i="7"/>
  <c r="J2373" i="7" s="1"/>
  <c r="K2372" i="7"/>
  <c r="H2372" i="7"/>
  <c r="J2372" i="7" s="1"/>
  <c r="K2371" i="7"/>
  <c r="H2371" i="7"/>
  <c r="J2371" i="7" s="1"/>
  <c r="K2370" i="7"/>
  <c r="H2370" i="7"/>
  <c r="J2370" i="7" s="1"/>
  <c r="K2369" i="7"/>
  <c r="H2369" i="7"/>
  <c r="J2369" i="7" s="1"/>
  <c r="K2368" i="7"/>
  <c r="H2368" i="7"/>
  <c r="J2368" i="7" s="1"/>
  <c r="K2367" i="7"/>
  <c r="H2367" i="7"/>
  <c r="J2367" i="7" s="1"/>
  <c r="K2366" i="7"/>
  <c r="H2366" i="7"/>
  <c r="J2366" i="7" s="1"/>
  <c r="K2365" i="7"/>
  <c r="H2365" i="7"/>
  <c r="J2365" i="7" s="1"/>
  <c r="K2364" i="7"/>
  <c r="H2364" i="7"/>
  <c r="J2364" i="7" s="1"/>
  <c r="K2363" i="7"/>
  <c r="H2363" i="7"/>
  <c r="J2363" i="7" s="1"/>
  <c r="K2362" i="7"/>
  <c r="H2362" i="7"/>
  <c r="J2362" i="7" s="1"/>
  <c r="K2361" i="7"/>
  <c r="H2361" i="7"/>
  <c r="J2361" i="7" s="1"/>
  <c r="K2360" i="7"/>
  <c r="H2360" i="7"/>
  <c r="J2360" i="7" s="1"/>
  <c r="K2359" i="7"/>
  <c r="H2359" i="7"/>
  <c r="J2359" i="7" s="1"/>
  <c r="K2358" i="7"/>
  <c r="H2358" i="7"/>
  <c r="J2358" i="7" s="1"/>
  <c r="K2357" i="7"/>
  <c r="H2357" i="7"/>
  <c r="J2357" i="7" s="1"/>
  <c r="K2356" i="7"/>
  <c r="H2356" i="7"/>
  <c r="J2356" i="7" s="1"/>
  <c r="K2355" i="7"/>
  <c r="H2355" i="7"/>
  <c r="J2355" i="7" s="1"/>
  <c r="K2354" i="7"/>
  <c r="H2354" i="7"/>
  <c r="J2354" i="7" s="1"/>
  <c r="K2353" i="7"/>
  <c r="H2353" i="7"/>
  <c r="J2353" i="7" s="1"/>
  <c r="K2352" i="7"/>
  <c r="H2352" i="7"/>
  <c r="J2352" i="7" s="1"/>
  <c r="K2351" i="7"/>
  <c r="H2351" i="7"/>
  <c r="J2351" i="7" s="1"/>
  <c r="K2350" i="7"/>
  <c r="H2350" i="7"/>
  <c r="J2350" i="7" s="1"/>
  <c r="K2349" i="7"/>
  <c r="H2349" i="7"/>
  <c r="J2349" i="7" s="1"/>
  <c r="K2348" i="7"/>
  <c r="H2348" i="7"/>
  <c r="J2348" i="7" s="1"/>
  <c r="K2347" i="7"/>
  <c r="H2347" i="7"/>
  <c r="J2347" i="7" s="1"/>
  <c r="K2346" i="7"/>
  <c r="H2346" i="7"/>
  <c r="J2346" i="7" s="1"/>
  <c r="K2345" i="7"/>
  <c r="H2345" i="7"/>
  <c r="J2345" i="7" s="1"/>
  <c r="K2344" i="7"/>
  <c r="H2344" i="7"/>
  <c r="J2344" i="7" s="1"/>
  <c r="K2343" i="7"/>
  <c r="H2343" i="7"/>
  <c r="J2343" i="7" s="1"/>
  <c r="K2342" i="7"/>
  <c r="H2342" i="7"/>
  <c r="J2342" i="7" s="1"/>
  <c r="K2341" i="7"/>
  <c r="H2341" i="7"/>
  <c r="J2341" i="7" s="1"/>
  <c r="K2340" i="7"/>
  <c r="H2340" i="7"/>
  <c r="J2340" i="7" s="1"/>
  <c r="K2339" i="7"/>
  <c r="H2339" i="7"/>
  <c r="J2339" i="7" s="1"/>
  <c r="K2338" i="7"/>
  <c r="H2338" i="7"/>
  <c r="J2338" i="7" s="1"/>
  <c r="K2337" i="7"/>
  <c r="H2337" i="7"/>
  <c r="J2337" i="7" s="1"/>
  <c r="K2336" i="7"/>
  <c r="H2336" i="7"/>
  <c r="J2336" i="7" s="1"/>
  <c r="K2335" i="7"/>
  <c r="H2335" i="7"/>
  <c r="J2335" i="7" s="1"/>
  <c r="K2334" i="7"/>
  <c r="H2334" i="7"/>
  <c r="J2334" i="7" s="1"/>
  <c r="K2333" i="7"/>
  <c r="H2333" i="7"/>
  <c r="J2333" i="7" s="1"/>
  <c r="K2332" i="7"/>
  <c r="H2332" i="7"/>
  <c r="J2332" i="7" s="1"/>
  <c r="K2331" i="7"/>
  <c r="H2331" i="7"/>
  <c r="J2331" i="7" s="1"/>
  <c r="K2330" i="7"/>
  <c r="H2330" i="7"/>
  <c r="J2330" i="7" s="1"/>
  <c r="K2329" i="7"/>
  <c r="H2329" i="7"/>
  <c r="J2329" i="7" s="1"/>
  <c r="K2328" i="7"/>
  <c r="H2328" i="7"/>
  <c r="J2328" i="7" s="1"/>
  <c r="K2327" i="7"/>
  <c r="H2327" i="7"/>
  <c r="J2327" i="7" s="1"/>
  <c r="K2326" i="7"/>
  <c r="H2326" i="7"/>
  <c r="J2326" i="7" s="1"/>
  <c r="K2325" i="7"/>
  <c r="H2325" i="7"/>
  <c r="J2325" i="7" s="1"/>
  <c r="K2324" i="7"/>
  <c r="H2324" i="7"/>
  <c r="J2324" i="7" s="1"/>
  <c r="K2323" i="7"/>
  <c r="H2323" i="7"/>
  <c r="J2323" i="7" s="1"/>
  <c r="K2322" i="7"/>
  <c r="H2322" i="7"/>
  <c r="J2322" i="7" s="1"/>
  <c r="K2321" i="7"/>
  <c r="H2321" i="7"/>
  <c r="J2321" i="7" s="1"/>
  <c r="K2320" i="7"/>
  <c r="H2320" i="7"/>
  <c r="J2320" i="7" s="1"/>
  <c r="K2319" i="7"/>
  <c r="H2319" i="7"/>
  <c r="J2319" i="7" s="1"/>
  <c r="K2318" i="7"/>
  <c r="H2318" i="7"/>
  <c r="J2318" i="7" s="1"/>
  <c r="K2317" i="7"/>
  <c r="H2317" i="7"/>
  <c r="J2317" i="7" s="1"/>
  <c r="K2316" i="7"/>
  <c r="H2316" i="7"/>
  <c r="J2316" i="7" s="1"/>
  <c r="K2315" i="7"/>
  <c r="H2315" i="7"/>
  <c r="J2315" i="7" s="1"/>
  <c r="K2314" i="7"/>
  <c r="H2314" i="7"/>
  <c r="J2314" i="7" s="1"/>
  <c r="K2313" i="7"/>
  <c r="H2313" i="7"/>
  <c r="J2313" i="7" s="1"/>
  <c r="K2312" i="7"/>
  <c r="H2312" i="7"/>
  <c r="J2312" i="7" s="1"/>
  <c r="K2311" i="7"/>
  <c r="H2311" i="7"/>
  <c r="J2311" i="7" s="1"/>
  <c r="K2310" i="7"/>
  <c r="H2310" i="7"/>
  <c r="J2310" i="7" s="1"/>
  <c r="K2309" i="7"/>
  <c r="H2309" i="7"/>
  <c r="J2309" i="7" s="1"/>
  <c r="K2308" i="7"/>
  <c r="H2308" i="7"/>
  <c r="J2308" i="7" s="1"/>
  <c r="K2307" i="7"/>
  <c r="H2307" i="7"/>
  <c r="J2307" i="7" s="1"/>
  <c r="K2306" i="7"/>
  <c r="H2306" i="7"/>
  <c r="J2306" i="7" s="1"/>
  <c r="K2305" i="7"/>
  <c r="H2305" i="7"/>
  <c r="J2305" i="7" s="1"/>
  <c r="K2304" i="7"/>
  <c r="H2304" i="7"/>
  <c r="J2304" i="7" s="1"/>
  <c r="K2303" i="7"/>
  <c r="H2303" i="7"/>
  <c r="J2303" i="7" s="1"/>
  <c r="K2302" i="7"/>
  <c r="H2302" i="7"/>
  <c r="J2302" i="7" s="1"/>
  <c r="K2301" i="7"/>
  <c r="H2301" i="7"/>
  <c r="J2301" i="7" s="1"/>
  <c r="K2300" i="7"/>
  <c r="H2300" i="7"/>
  <c r="J2300" i="7" s="1"/>
  <c r="K2299" i="7"/>
  <c r="H2299" i="7"/>
  <c r="J2299" i="7" s="1"/>
  <c r="K2298" i="7"/>
  <c r="H2298" i="7"/>
  <c r="J2298" i="7" s="1"/>
  <c r="K2297" i="7"/>
  <c r="H2297" i="7"/>
  <c r="J2297" i="7" s="1"/>
  <c r="K2296" i="7"/>
  <c r="H2296" i="7"/>
  <c r="J2296" i="7" s="1"/>
  <c r="K2295" i="7"/>
  <c r="H2295" i="7"/>
  <c r="J2295" i="7" s="1"/>
  <c r="K2294" i="7"/>
  <c r="H2294" i="7"/>
  <c r="J2294" i="7" s="1"/>
  <c r="K2293" i="7"/>
  <c r="H2293" i="7"/>
  <c r="J2293" i="7" s="1"/>
  <c r="K2292" i="7"/>
  <c r="H2292" i="7"/>
  <c r="J2292" i="7" s="1"/>
  <c r="K2291" i="7"/>
  <c r="H2291" i="7"/>
  <c r="J2291" i="7" s="1"/>
  <c r="K2290" i="7"/>
  <c r="H2290" i="7"/>
  <c r="J2290" i="7" s="1"/>
  <c r="K2289" i="7"/>
  <c r="H2289" i="7"/>
  <c r="J2289" i="7" s="1"/>
  <c r="K2288" i="7"/>
  <c r="H2288" i="7"/>
  <c r="J2288" i="7" s="1"/>
  <c r="K2287" i="7"/>
  <c r="H2287" i="7"/>
  <c r="J2287" i="7" s="1"/>
  <c r="K2286" i="7"/>
  <c r="H2286" i="7"/>
  <c r="J2286" i="7" s="1"/>
  <c r="K2285" i="7"/>
  <c r="H2285" i="7"/>
  <c r="J2285" i="7" s="1"/>
  <c r="K2284" i="7"/>
  <c r="H2284" i="7"/>
  <c r="J2284" i="7" s="1"/>
  <c r="K2283" i="7"/>
  <c r="H2283" i="7"/>
  <c r="J2283" i="7" s="1"/>
  <c r="K2282" i="7"/>
  <c r="H2282" i="7"/>
  <c r="J2282" i="7" s="1"/>
  <c r="K2281" i="7"/>
  <c r="H2281" i="7"/>
  <c r="J2281" i="7" s="1"/>
  <c r="K2280" i="7"/>
  <c r="H2280" i="7"/>
  <c r="J2280" i="7" s="1"/>
  <c r="K2279" i="7"/>
  <c r="H2279" i="7"/>
  <c r="J2279" i="7" s="1"/>
  <c r="K2278" i="7"/>
  <c r="H2278" i="7"/>
  <c r="J2278" i="7" s="1"/>
  <c r="K2277" i="7"/>
  <c r="H2277" i="7"/>
  <c r="J2277" i="7" s="1"/>
  <c r="K2276" i="7"/>
  <c r="H2276" i="7"/>
  <c r="J2276" i="7" s="1"/>
  <c r="K2275" i="7"/>
  <c r="H2275" i="7"/>
  <c r="J2275" i="7" s="1"/>
  <c r="K2274" i="7"/>
  <c r="H2274" i="7"/>
  <c r="J2274" i="7" s="1"/>
  <c r="K2273" i="7"/>
  <c r="H2273" i="7"/>
  <c r="J2273" i="7" s="1"/>
  <c r="K2272" i="7"/>
  <c r="H2272" i="7"/>
  <c r="J2272" i="7" s="1"/>
  <c r="K2271" i="7"/>
  <c r="H2271" i="7"/>
  <c r="J2271" i="7" s="1"/>
  <c r="K2270" i="7"/>
  <c r="H2270" i="7"/>
  <c r="J2270" i="7" s="1"/>
  <c r="K2269" i="7"/>
  <c r="H2269" i="7"/>
  <c r="J2269" i="7" s="1"/>
  <c r="K2268" i="7"/>
  <c r="H2268" i="7"/>
  <c r="J2268" i="7" s="1"/>
  <c r="K2267" i="7"/>
  <c r="H2267" i="7"/>
  <c r="J2267" i="7" s="1"/>
  <c r="K2266" i="7"/>
  <c r="H2266" i="7"/>
  <c r="J2266" i="7" s="1"/>
  <c r="K2265" i="7"/>
  <c r="H2265" i="7"/>
  <c r="J2265" i="7" s="1"/>
  <c r="K2264" i="7"/>
  <c r="H2264" i="7"/>
  <c r="J2264" i="7" s="1"/>
  <c r="K2263" i="7"/>
  <c r="H2263" i="7"/>
  <c r="J2263" i="7" s="1"/>
  <c r="K2262" i="7"/>
  <c r="H2262" i="7"/>
  <c r="J2262" i="7" s="1"/>
  <c r="K2261" i="7"/>
  <c r="H2261" i="7"/>
  <c r="J2261" i="7" s="1"/>
  <c r="K2260" i="7"/>
  <c r="H2260" i="7"/>
  <c r="J2260" i="7" s="1"/>
  <c r="K2259" i="7"/>
  <c r="H2259" i="7"/>
  <c r="J2259" i="7" s="1"/>
  <c r="K2258" i="7"/>
  <c r="H2258" i="7"/>
  <c r="J2258" i="7" s="1"/>
  <c r="K2257" i="7"/>
  <c r="H2257" i="7"/>
  <c r="J2257" i="7" s="1"/>
  <c r="K2256" i="7"/>
  <c r="H2256" i="7"/>
  <c r="J2256" i="7" s="1"/>
  <c r="K2255" i="7"/>
  <c r="H2255" i="7"/>
  <c r="J2255" i="7" s="1"/>
  <c r="K2254" i="7"/>
  <c r="H2254" i="7"/>
  <c r="J2254" i="7" s="1"/>
  <c r="K2253" i="7"/>
  <c r="H2253" i="7"/>
  <c r="J2253" i="7" s="1"/>
  <c r="K2252" i="7"/>
  <c r="H2252" i="7"/>
  <c r="J2252" i="7" s="1"/>
  <c r="K2251" i="7"/>
  <c r="H2251" i="7"/>
  <c r="J2251" i="7" s="1"/>
  <c r="K2250" i="7"/>
  <c r="H2250" i="7"/>
  <c r="J2250" i="7" s="1"/>
  <c r="K2249" i="7"/>
  <c r="H2249" i="7"/>
  <c r="J2249" i="7" s="1"/>
  <c r="K2248" i="7"/>
  <c r="H2248" i="7"/>
  <c r="J2248" i="7" s="1"/>
  <c r="K2247" i="7"/>
  <c r="H2247" i="7"/>
  <c r="J2247" i="7" s="1"/>
  <c r="K2246" i="7"/>
  <c r="H2246" i="7"/>
  <c r="J2246" i="7" s="1"/>
  <c r="K2245" i="7"/>
  <c r="H2245" i="7"/>
  <c r="J2245" i="7" s="1"/>
  <c r="K2244" i="7"/>
  <c r="H2244" i="7"/>
  <c r="J2244" i="7" s="1"/>
  <c r="K2243" i="7"/>
  <c r="H2243" i="7"/>
  <c r="J2243" i="7" s="1"/>
  <c r="K2242" i="7"/>
  <c r="H2242" i="7"/>
  <c r="J2242" i="7" s="1"/>
  <c r="K2241" i="7"/>
  <c r="H2241" i="7"/>
  <c r="J2241" i="7" s="1"/>
  <c r="K2240" i="7"/>
  <c r="H2240" i="7"/>
  <c r="J2240" i="7" s="1"/>
  <c r="K2239" i="7"/>
  <c r="H2239" i="7"/>
  <c r="J2239" i="7" s="1"/>
  <c r="K2238" i="7"/>
  <c r="H2238" i="7"/>
  <c r="J2238" i="7" s="1"/>
  <c r="K2237" i="7"/>
  <c r="H2237" i="7"/>
  <c r="J2237" i="7" s="1"/>
  <c r="K2236" i="7"/>
  <c r="H2236" i="7"/>
  <c r="J2236" i="7" s="1"/>
  <c r="K2235" i="7"/>
  <c r="H2235" i="7"/>
  <c r="J2235" i="7" s="1"/>
  <c r="K2234" i="7"/>
  <c r="H2234" i="7"/>
  <c r="J2234" i="7" s="1"/>
  <c r="K2233" i="7"/>
  <c r="H2233" i="7"/>
  <c r="J2233" i="7" s="1"/>
  <c r="K2232" i="7"/>
  <c r="H2232" i="7"/>
  <c r="J2232" i="7" s="1"/>
  <c r="K2231" i="7"/>
  <c r="H2231" i="7"/>
  <c r="J2231" i="7" s="1"/>
  <c r="K2230" i="7"/>
  <c r="H2230" i="7"/>
  <c r="J2230" i="7" s="1"/>
  <c r="K2229" i="7"/>
  <c r="H2229" i="7"/>
  <c r="J2229" i="7" s="1"/>
  <c r="K2228" i="7"/>
  <c r="H2228" i="7"/>
  <c r="J2228" i="7" s="1"/>
  <c r="K2227" i="7"/>
  <c r="H2227" i="7"/>
  <c r="J2227" i="7" s="1"/>
  <c r="K2226" i="7"/>
  <c r="H2226" i="7"/>
  <c r="J2226" i="7" s="1"/>
  <c r="K2225" i="7"/>
  <c r="H2225" i="7"/>
  <c r="J2225" i="7" s="1"/>
  <c r="K2224" i="7"/>
  <c r="H2224" i="7"/>
  <c r="J2224" i="7" s="1"/>
  <c r="K2223" i="7"/>
  <c r="H2223" i="7"/>
  <c r="J2223" i="7" s="1"/>
  <c r="K2222" i="7"/>
  <c r="H2222" i="7"/>
  <c r="J2222" i="7" s="1"/>
  <c r="K2221" i="7"/>
  <c r="H2221" i="7"/>
  <c r="J2221" i="7" s="1"/>
  <c r="K2220" i="7"/>
  <c r="H2220" i="7"/>
  <c r="J2220" i="7" s="1"/>
  <c r="K2219" i="7"/>
  <c r="H2219" i="7"/>
  <c r="J2219" i="7" s="1"/>
  <c r="K2218" i="7"/>
  <c r="H2218" i="7"/>
  <c r="J2218" i="7" s="1"/>
  <c r="K2217" i="7"/>
  <c r="H2217" i="7"/>
  <c r="J2217" i="7" s="1"/>
  <c r="K2216" i="7"/>
  <c r="H2216" i="7"/>
  <c r="J2216" i="7" s="1"/>
  <c r="K2215" i="7"/>
  <c r="H2215" i="7"/>
  <c r="J2215" i="7" s="1"/>
  <c r="K2214" i="7"/>
  <c r="H2214" i="7"/>
  <c r="J2214" i="7" s="1"/>
  <c r="K2213" i="7"/>
  <c r="H2213" i="7"/>
  <c r="J2213" i="7" s="1"/>
  <c r="K2212" i="7"/>
  <c r="H2212" i="7"/>
  <c r="J2212" i="7" s="1"/>
  <c r="K2211" i="7"/>
  <c r="H2211" i="7"/>
  <c r="J2211" i="7" s="1"/>
  <c r="K2210" i="7"/>
  <c r="H2210" i="7"/>
  <c r="J2210" i="7" s="1"/>
  <c r="K2209" i="7"/>
  <c r="H2209" i="7"/>
  <c r="J2209" i="7" s="1"/>
  <c r="K2208" i="7"/>
  <c r="H2208" i="7"/>
  <c r="J2208" i="7" s="1"/>
  <c r="K2207" i="7"/>
  <c r="H2207" i="7"/>
  <c r="J2207" i="7" s="1"/>
  <c r="K2206" i="7"/>
  <c r="H2206" i="7"/>
  <c r="J2206" i="7" s="1"/>
  <c r="K2205" i="7"/>
  <c r="H2205" i="7"/>
  <c r="J2205" i="7" s="1"/>
  <c r="K2204" i="7"/>
  <c r="H2204" i="7"/>
  <c r="J2204" i="7" s="1"/>
  <c r="K2203" i="7"/>
  <c r="H2203" i="7"/>
  <c r="J2203" i="7" s="1"/>
  <c r="K2202" i="7"/>
  <c r="H2202" i="7"/>
  <c r="J2202" i="7" s="1"/>
  <c r="K2201" i="7"/>
  <c r="H2201" i="7"/>
  <c r="J2201" i="7" s="1"/>
  <c r="K2200" i="7"/>
  <c r="H2200" i="7"/>
  <c r="J2200" i="7" s="1"/>
  <c r="K2199" i="7"/>
  <c r="H2199" i="7"/>
  <c r="J2199" i="7" s="1"/>
  <c r="K2198" i="7"/>
  <c r="H2198" i="7"/>
  <c r="J2198" i="7" s="1"/>
  <c r="K2197" i="7"/>
  <c r="H2197" i="7"/>
  <c r="J2197" i="7" s="1"/>
  <c r="K2196" i="7"/>
  <c r="H2196" i="7"/>
  <c r="J2196" i="7" s="1"/>
  <c r="K2195" i="7"/>
  <c r="H2195" i="7"/>
  <c r="J2195" i="7" s="1"/>
  <c r="K2194" i="7"/>
  <c r="H2194" i="7"/>
  <c r="J2194" i="7" s="1"/>
  <c r="K2193" i="7"/>
  <c r="H2193" i="7"/>
  <c r="J2193" i="7" s="1"/>
  <c r="K2192" i="7"/>
  <c r="H2192" i="7"/>
  <c r="J2192" i="7" s="1"/>
  <c r="K2191" i="7"/>
  <c r="H2191" i="7"/>
  <c r="J2191" i="7" s="1"/>
  <c r="K2190" i="7"/>
  <c r="H2190" i="7"/>
  <c r="J2190" i="7" s="1"/>
  <c r="K2189" i="7"/>
  <c r="H2189" i="7"/>
  <c r="J2189" i="7" s="1"/>
  <c r="K2188" i="7"/>
  <c r="H2188" i="7"/>
  <c r="J2188" i="7" s="1"/>
  <c r="K2187" i="7"/>
  <c r="H2187" i="7"/>
  <c r="J2187" i="7" s="1"/>
  <c r="K2186" i="7"/>
  <c r="H2186" i="7"/>
  <c r="J2186" i="7" s="1"/>
  <c r="K2185" i="7"/>
  <c r="H2185" i="7"/>
  <c r="J2185" i="7" s="1"/>
  <c r="K2184" i="7"/>
  <c r="H2184" i="7"/>
  <c r="J2184" i="7" s="1"/>
  <c r="K2183" i="7"/>
  <c r="H2183" i="7"/>
  <c r="J2183" i="7" s="1"/>
  <c r="K2182" i="7"/>
  <c r="H2182" i="7"/>
  <c r="J2182" i="7" s="1"/>
  <c r="K2181" i="7"/>
  <c r="H2181" i="7"/>
  <c r="J2181" i="7" s="1"/>
  <c r="K2180" i="7"/>
  <c r="H2180" i="7"/>
  <c r="J2180" i="7" s="1"/>
  <c r="K2179" i="7"/>
  <c r="H2179" i="7"/>
  <c r="J2179" i="7" s="1"/>
  <c r="K2178" i="7"/>
  <c r="H2178" i="7"/>
  <c r="J2178" i="7" s="1"/>
  <c r="K2177" i="7"/>
  <c r="H2177" i="7"/>
  <c r="J2177" i="7" s="1"/>
  <c r="K2176" i="7"/>
  <c r="H2176" i="7"/>
  <c r="J2176" i="7" s="1"/>
  <c r="K2175" i="7"/>
  <c r="H2175" i="7"/>
  <c r="J2175" i="7" s="1"/>
  <c r="K2174" i="7"/>
  <c r="H2174" i="7"/>
  <c r="J2174" i="7" s="1"/>
  <c r="K2173" i="7"/>
  <c r="H2173" i="7"/>
  <c r="J2173" i="7" s="1"/>
  <c r="K2172" i="7"/>
  <c r="H2172" i="7"/>
  <c r="J2172" i="7" s="1"/>
  <c r="K2171" i="7"/>
  <c r="H2171" i="7"/>
  <c r="J2171" i="7" s="1"/>
  <c r="K2170" i="7"/>
  <c r="H2170" i="7"/>
  <c r="J2170" i="7" s="1"/>
  <c r="K2169" i="7"/>
  <c r="H2169" i="7"/>
  <c r="J2169" i="7" s="1"/>
  <c r="K2168" i="7"/>
  <c r="H2168" i="7"/>
  <c r="J2168" i="7" s="1"/>
  <c r="K2167" i="7"/>
  <c r="H2167" i="7"/>
  <c r="J2167" i="7" s="1"/>
  <c r="K2166" i="7"/>
  <c r="H2166" i="7"/>
  <c r="J2166" i="7" s="1"/>
  <c r="K2165" i="7"/>
  <c r="H2165" i="7"/>
  <c r="J2165" i="7" s="1"/>
  <c r="K2164" i="7"/>
  <c r="H2164" i="7"/>
  <c r="J2164" i="7" s="1"/>
  <c r="K2163" i="7"/>
  <c r="H2163" i="7"/>
  <c r="J2163" i="7" s="1"/>
  <c r="K2162" i="7"/>
  <c r="H2162" i="7"/>
  <c r="J2162" i="7" s="1"/>
  <c r="K2161" i="7"/>
  <c r="H2161" i="7"/>
  <c r="J2161" i="7" s="1"/>
  <c r="K2160" i="7"/>
  <c r="H2160" i="7"/>
  <c r="J2160" i="7" s="1"/>
  <c r="K2159" i="7"/>
  <c r="H2159" i="7"/>
  <c r="J2159" i="7" s="1"/>
  <c r="K2158" i="7"/>
  <c r="H2158" i="7"/>
  <c r="J2158" i="7" s="1"/>
  <c r="K2157" i="7"/>
  <c r="H2157" i="7"/>
  <c r="J2157" i="7" s="1"/>
  <c r="K2156" i="7"/>
  <c r="H2156" i="7"/>
  <c r="J2156" i="7" s="1"/>
  <c r="K2155" i="7"/>
  <c r="H2155" i="7"/>
  <c r="J2155" i="7" s="1"/>
  <c r="K2154" i="7"/>
  <c r="H2154" i="7"/>
  <c r="J2154" i="7" s="1"/>
  <c r="K2153" i="7"/>
  <c r="H2153" i="7"/>
  <c r="J2153" i="7" s="1"/>
  <c r="K2152" i="7"/>
  <c r="H2152" i="7"/>
  <c r="J2152" i="7" s="1"/>
  <c r="K2151" i="7"/>
  <c r="H2151" i="7"/>
  <c r="J2151" i="7" s="1"/>
  <c r="K2150" i="7"/>
  <c r="H2150" i="7"/>
  <c r="J2150" i="7" s="1"/>
  <c r="K2149" i="7"/>
  <c r="H2149" i="7"/>
  <c r="J2149" i="7" s="1"/>
  <c r="K2148" i="7"/>
  <c r="H2148" i="7"/>
  <c r="J2148" i="7" s="1"/>
  <c r="K2147" i="7"/>
  <c r="H2147" i="7"/>
  <c r="J2147" i="7" s="1"/>
  <c r="K2146" i="7"/>
  <c r="H2146" i="7"/>
  <c r="J2146" i="7" s="1"/>
  <c r="K2145" i="7"/>
  <c r="H2145" i="7"/>
  <c r="J2145" i="7" s="1"/>
  <c r="K2144" i="7"/>
  <c r="H2144" i="7"/>
  <c r="J2144" i="7" s="1"/>
  <c r="K2143" i="7"/>
  <c r="H2143" i="7"/>
  <c r="J2143" i="7" s="1"/>
  <c r="K2142" i="7"/>
  <c r="H2142" i="7"/>
  <c r="J2142" i="7" s="1"/>
  <c r="K2141" i="7"/>
  <c r="H2141" i="7"/>
  <c r="J2141" i="7" s="1"/>
  <c r="K2140" i="7"/>
  <c r="H2140" i="7"/>
  <c r="J2140" i="7" s="1"/>
  <c r="K2139" i="7"/>
  <c r="H2139" i="7"/>
  <c r="J2139" i="7" s="1"/>
  <c r="K2138" i="7"/>
  <c r="H2138" i="7"/>
  <c r="J2138" i="7" s="1"/>
  <c r="K2137" i="7"/>
  <c r="H2137" i="7"/>
  <c r="J2137" i="7" s="1"/>
  <c r="K2136" i="7"/>
  <c r="H2136" i="7"/>
  <c r="J2136" i="7" s="1"/>
  <c r="K2135" i="7"/>
  <c r="H2135" i="7"/>
  <c r="J2135" i="7" s="1"/>
  <c r="K2134" i="7"/>
  <c r="H2134" i="7"/>
  <c r="J2134" i="7" s="1"/>
  <c r="K2133" i="7"/>
  <c r="H2133" i="7"/>
  <c r="J2133" i="7" s="1"/>
  <c r="K2132" i="7"/>
  <c r="H2132" i="7"/>
  <c r="J2132" i="7" s="1"/>
  <c r="K2131" i="7"/>
  <c r="H2131" i="7"/>
  <c r="J2131" i="7" s="1"/>
  <c r="K2130" i="7"/>
  <c r="H2130" i="7"/>
  <c r="J2130" i="7" s="1"/>
  <c r="K2129" i="7"/>
  <c r="H2129" i="7"/>
  <c r="J2129" i="7" s="1"/>
  <c r="K2128" i="7"/>
  <c r="J2128" i="7"/>
  <c r="H2128" i="7"/>
  <c r="K2127" i="7"/>
  <c r="H2127" i="7"/>
  <c r="J2127" i="7" s="1"/>
  <c r="K2126" i="7"/>
  <c r="H2126" i="7"/>
  <c r="J2126" i="7" s="1"/>
  <c r="K2125" i="7"/>
  <c r="H2125" i="7"/>
  <c r="J2125" i="7" s="1"/>
  <c r="K2124" i="7"/>
  <c r="H2124" i="7"/>
  <c r="J2124" i="7" s="1"/>
  <c r="K2123" i="7"/>
  <c r="H2123" i="7"/>
  <c r="J2123" i="7" s="1"/>
  <c r="K2122" i="7"/>
  <c r="H2122" i="7"/>
  <c r="J2122" i="7" s="1"/>
  <c r="K2121" i="7"/>
  <c r="H2121" i="7"/>
  <c r="J2121" i="7" s="1"/>
  <c r="K2120" i="7"/>
  <c r="H2120" i="7"/>
  <c r="J2120" i="7" s="1"/>
  <c r="K2119" i="7"/>
  <c r="H2119" i="7"/>
  <c r="J2119" i="7" s="1"/>
  <c r="K2118" i="7"/>
  <c r="H2118" i="7"/>
  <c r="J2118" i="7" s="1"/>
  <c r="K2117" i="7"/>
  <c r="H2117" i="7"/>
  <c r="J2117" i="7" s="1"/>
  <c r="K2116" i="7"/>
  <c r="H2116" i="7"/>
  <c r="J2116" i="7" s="1"/>
  <c r="K2115" i="7"/>
  <c r="H2115" i="7"/>
  <c r="J2115" i="7" s="1"/>
  <c r="K2114" i="7"/>
  <c r="H2114" i="7"/>
  <c r="J2114" i="7" s="1"/>
  <c r="K2113" i="7"/>
  <c r="H2113" i="7"/>
  <c r="J2113" i="7" s="1"/>
  <c r="K2112" i="7"/>
  <c r="H2112" i="7"/>
  <c r="J2112" i="7" s="1"/>
  <c r="K2111" i="7"/>
  <c r="H2111" i="7"/>
  <c r="J2111" i="7" s="1"/>
  <c r="K2110" i="7"/>
  <c r="H2110" i="7"/>
  <c r="J2110" i="7" s="1"/>
  <c r="K2109" i="7"/>
  <c r="H2109" i="7"/>
  <c r="J2109" i="7" s="1"/>
  <c r="K2108" i="7"/>
  <c r="H2108" i="7"/>
  <c r="J2108" i="7" s="1"/>
  <c r="K2107" i="7"/>
  <c r="H2107" i="7"/>
  <c r="J2107" i="7" s="1"/>
  <c r="K2106" i="7"/>
  <c r="H2106" i="7"/>
  <c r="J2106" i="7" s="1"/>
  <c r="K2105" i="7"/>
  <c r="H2105" i="7"/>
  <c r="J2105" i="7" s="1"/>
  <c r="K2104" i="7"/>
  <c r="H2104" i="7"/>
  <c r="J2104" i="7" s="1"/>
  <c r="K2103" i="7"/>
  <c r="H2103" i="7"/>
  <c r="J2103" i="7" s="1"/>
  <c r="K2102" i="7"/>
  <c r="H2102" i="7"/>
  <c r="J2102" i="7" s="1"/>
  <c r="K2101" i="7"/>
  <c r="H2101" i="7"/>
  <c r="J2101" i="7" s="1"/>
  <c r="K2100" i="7"/>
  <c r="H2100" i="7"/>
  <c r="J2100" i="7" s="1"/>
  <c r="K2099" i="7"/>
  <c r="H2099" i="7"/>
  <c r="J2099" i="7" s="1"/>
  <c r="K2098" i="7"/>
  <c r="H2098" i="7"/>
  <c r="J2098" i="7" s="1"/>
  <c r="K2097" i="7"/>
  <c r="H2097" i="7"/>
  <c r="J2097" i="7" s="1"/>
  <c r="K2096" i="7"/>
  <c r="H2096" i="7"/>
  <c r="J2096" i="7" s="1"/>
  <c r="K2095" i="7"/>
  <c r="H2095" i="7"/>
  <c r="J2095" i="7" s="1"/>
  <c r="K2094" i="7"/>
  <c r="H2094" i="7"/>
  <c r="J2094" i="7" s="1"/>
  <c r="K2093" i="7"/>
  <c r="H2093" i="7"/>
  <c r="J2093" i="7" s="1"/>
  <c r="K2092" i="7"/>
  <c r="H2092" i="7"/>
  <c r="J2092" i="7" s="1"/>
  <c r="K2091" i="7"/>
  <c r="H2091" i="7"/>
  <c r="J2091" i="7" s="1"/>
  <c r="K2090" i="7"/>
  <c r="H2090" i="7"/>
  <c r="J2090" i="7" s="1"/>
  <c r="K2089" i="7"/>
  <c r="H2089" i="7"/>
  <c r="J2089" i="7" s="1"/>
  <c r="K2088" i="7"/>
  <c r="H2088" i="7"/>
  <c r="J2088" i="7" s="1"/>
  <c r="K2087" i="7"/>
  <c r="H2087" i="7"/>
  <c r="J2087" i="7" s="1"/>
  <c r="K2086" i="7"/>
  <c r="H2086" i="7"/>
  <c r="J2086" i="7" s="1"/>
  <c r="K2085" i="7"/>
  <c r="H2085" i="7"/>
  <c r="J2085" i="7" s="1"/>
  <c r="K2084" i="7"/>
  <c r="H2084" i="7"/>
  <c r="J2084" i="7" s="1"/>
  <c r="K2083" i="7"/>
  <c r="H2083" i="7"/>
  <c r="J2083" i="7" s="1"/>
  <c r="K2082" i="7"/>
  <c r="H2082" i="7"/>
  <c r="J2082" i="7" s="1"/>
  <c r="K2081" i="7"/>
  <c r="H2081" i="7"/>
  <c r="J2081" i="7" s="1"/>
  <c r="K2080" i="7"/>
  <c r="H2080" i="7"/>
  <c r="J2080" i="7" s="1"/>
  <c r="K2079" i="7"/>
  <c r="H2079" i="7"/>
  <c r="J2079" i="7" s="1"/>
  <c r="K2078" i="7"/>
  <c r="H2078" i="7"/>
  <c r="J2078" i="7" s="1"/>
  <c r="K2077" i="7"/>
  <c r="H2077" i="7"/>
  <c r="J2077" i="7" s="1"/>
  <c r="K2076" i="7"/>
  <c r="H2076" i="7"/>
  <c r="J2076" i="7" s="1"/>
  <c r="K2075" i="7"/>
  <c r="H2075" i="7"/>
  <c r="J2075" i="7" s="1"/>
  <c r="K2074" i="7"/>
  <c r="H2074" i="7"/>
  <c r="J2074" i="7" s="1"/>
  <c r="K2073" i="7"/>
  <c r="H2073" i="7"/>
  <c r="J2073" i="7" s="1"/>
  <c r="K2072" i="7"/>
  <c r="H2072" i="7"/>
  <c r="J2072" i="7" s="1"/>
  <c r="K2071" i="7"/>
  <c r="H2071" i="7"/>
  <c r="J2071" i="7" s="1"/>
  <c r="K2070" i="7"/>
  <c r="H2070" i="7"/>
  <c r="J2070" i="7" s="1"/>
  <c r="K2069" i="7"/>
  <c r="H2069" i="7"/>
  <c r="J2069" i="7" s="1"/>
  <c r="K2068" i="7"/>
  <c r="H2068" i="7"/>
  <c r="J2068" i="7" s="1"/>
  <c r="K2067" i="7"/>
  <c r="H2067" i="7"/>
  <c r="J2067" i="7" s="1"/>
  <c r="K2066" i="7"/>
  <c r="H2066" i="7"/>
  <c r="J2066" i="7" s="1"/>
  <c r="K2065" i="7"/>
  <c r="H2065" i="7"/>
  <c r="J2065" i="7" s="1"/>
  <c r="K2064" i="7"/>
  <c r="H2064" i="7"/>
  <c r="J2064" i="7" s="1"/>
  <c r="K2063" i="7"/>
  <c r="H2063" i="7"/>
  <c r="J2063" i="7" s="1"/>
  <c r="K2062" i="7"/>
  <c r="H2062" i="7"/>
  <c r="J2062" i="7" s="1"/>
  <c r="K2061" i="7"/>
  <c r="H2061" i="7"/>
  <c r="J2061" i="7" s="1"/>
  <c r="K2060" i="7"/>
  <c r="H2060" i="7"/>
  <c r="J2060" i="7" s="1"/>
  <c r="K2059" i="7"/>
  <c r="H2059" i="7"/>
  <c r="J2059" i="7" s="1"/>
  <c r="K2058" i="7"/>
  <c r="H2058" i="7"/>
  <c r="J2058" i="7" s="1"/>
  <c r="K2057" i="7"/>
  <c r="H2057" i="7"/>
  <c r="J2057" i="7" s="1"/>
  <c r="K2056" i="7"/>
  <c r="H2056" i="7"/>
  <c r="J2056" i="7" s="1"/>
  <c r="K2055" i="7"/>
  <c r="H2055" i="7"/>
  <c r="J2055" i="7" s="1"/>
  <c r="K2054" i="7"/>
  <c r="H2054" i="7"/>
  <c r="J2054" i="7" s="1"/>
  <c r="K2053" i="7"/>
  <c r="H2053" i="7"/>
  <c r="J2053" i="7" s="1"/>
  <c r="K2052" i="7"/>
  <c r="H2052" i="7"/>
  <c r="J2052" i="7" s="1"/>
  <c r="K2051" i="7"/>
  <c r="H2051" i="7"/>
  <c r="J2051" i="7" s="1"/>
  <c r="K2050" i="7"/>
  <c r="H2050" i="7"/>
  <c r="J2050" i="7" s="1"/>
  <c r="K2049" i="7"/>
  <c r="H2049" i="7"/>
  <c r="J2049" i="7" s="1"/>
  <c r="K2048" i="7"/>
  <c r="H2048" i="7"/>
  <c r="J2048" i="7" s="1"/>
  <c r="K2047" i="7"/>
  <c r="H2047" i="7"/>
  <c r="J2047" i="7" s="1"/>
  <c r="K2046" i="7"/>
  <c r="H2046" i="7"/>
  <c r="J2046" i="7" s="1"/>
  <c r="K2045" i="7"/>
  <c r="H2045" i="7"/>
  <c r="J2045" i="7" s="1"/>
  <c r="K2044" i="7"/>
  <c r="H2044" i="7"/>
  <c r="J2044" i="7" s="1"/>
  <c r="K2043" i="7"/>
  <c r="H2043" i="7"/>
  <c r="J2043" i="7" s="1"/>
  <c r="K2042" i="7"/>
  <c r="H2042" i="7"/>
  <c r="J2042" i="7" s="1"/>
  <c r="K2041" i="7"/>
  <c r="H2041" i="7"/>
  <c r="J2041" i="7" s="1"/>
  <c r="K2040" i="7"/>
  <c r="H2040" i="7"/>
  <c r="J2040" i="7" s="1"/>
  <c r="K2039" i="7"/>
  <c r="H2039" i="7"/>
  <c r="J2039" i="7" s="1"/>
  <c r="K2038" i="7"/>
  <c r="H2038" i="7"/>
  <c r="J2038" i="7" s="1"/>
  <c r="K2037" i="7"/>
  <c r="H2037" i="7"/>
  <c r="J2037" i="7" s="1"/>
  <c r="K2036" i="7"/>
  <c r="H2036" i="7"/>
  <c r="J2036" i="7" s="1"/>
  <c r="K2035" i="7"/>
  <c r="H2035" i="7"/>
  <c r="J2035" i="7" s="1"/>
  <c r="K2034" i="7"/>
  <c r="H2034" i="7"/>
  <c r="J2034" i="7" s="1"/>
  <c r="K2033" i="7"/>
  <c r="H2033" i="7"/>
  <c r="J2033" i="7" s="1"/>
  <c r="K2032" i="7"/>
  <c r="H2032" i="7"/>
  <c r="J2032" i="7" s="1"/>
  <c r="K2031" i="7"/>
  <c r="H2031" i="7"/>
  <c r="J2031" i="7" s="1"/>
  <c r="K2030" i="7"/>
  <c r="H2030" i="7"/>
  <c r="J2030" i="7" s="1"/>
  <c r="K2029" i="7"/>
  <c r="H2029" i="7"/>
  <c r="J2029" i="7" s="1"/>
  <c r="K2028" i="7"/>
  <c r="H2028" i="7"/>
  <c r="J2028" i="7" s="1"/>
  <c r="K2027" i="7"/>
  <c r="H2027" i="7"/>
  <c r="J2027" i="7" s="1"/>
  <c r="K2026" i="7"/>
  <c r="H2026" i="7"/>
  <c r="J2026" i="7" s="1"/>
  <c r="K2025" i="7"/>
  <c r="H2025" i="7"/>
  <c r="J2025" i="7" s="1"/>
  <c r="K2024" i="7"/>
  <c r="H2024" i="7"/>
  <c r="J2024" i="7" s="1"/>
  <c r="K2023" i="7"/>
  <c r="H2023" i="7"/>
  <c r="J2023" i="7" s="1"/>
  <c r="K2022" i="7"/>
  <c r="H2022" i="7"/>
  <c r="J2022" i="7" s="1"/>
  <c r="K2021" i="7"/>
  <c r="H2021" i="7"/>
  <c r="J2021" i="7" s="1"/>
  <c r="K2020" i="7"/>
  <c r="H2020" i="7"/>
  <c r="J2020" i="7" s="1"/>
  <c r="K2019" i="7"/>
  <c r="H2019" i="7"/>
  <c r="J2019" i="7" s="1"/>
  <c r="K2018" i="7"/>
  <c r="H2018" i="7"/>
  <c r="J2018" i="7" s="1"/>
  <c r="K2017" i="7"/>
  <c r="H2017" i="7"/>
  <c r="J2017" i="7" s="1"/>
  <c r="K2016" i="7"/>
  <c r="H2016" i="7"/>
  <c r="J2016" i="7" s="1"/>
  <c r="K2015" i="7"/>
  <c r="H2015" i="7"/>
  <c r="J2015" i="7" s="1"/>
  <c r="K2014" i="7"/>
  <c r="H2014" i="7"/>
  <c r="J2014" i="7" s="1"/>
  <c r="K2013" i="7"/>
  <c r="H2013" i="7"/>
  <c r="J2013" i="7" s="1"/>
  <c r="K2012" i="7"/>
  <c r="H2012" i="7"/>
  <c r="J2012" i="7" s="1"/>
  <c r="K2011" i="7"/>
  <c r="H2011" i="7"/>
  <c r="J2011" i="7" s="1"/>
  <c r="K2010" i="7"/>
  <c r="H2010" i="7"/>
  <c r="J2010" i="7" s="1"/>
  <c r="K2009" i="7"/>
  <c r="H2009" i="7"/>
  <c r="J2009" i="7" s="1"/>
  <c r="K2008" i="7"/>
  <c r="H2008" i="7"/>
  <c r="J2008" i="7" s="1"/>
  <c r="K2007" i="7"/>
  <c r="H2007" i="7"/>
  <c r="J2007" i="7" s="1"/>
  <c r="K2006" i="7"/>
  <c r="H2006" i="7"/>
  <c r="J2006" i="7" s="1"/>
  <c r="K2005" i="7"/>
  <c r="H2005" i="7"/>
  <c r="J2005" i="7" s="1"/>
  <c r="K2004" i="7"/>
  <c r="H2004" i="7"/>
  <c r="J2004" i="7" s="1"/>
  <c r="K2003" i="7"/>
  <c r="H2003" i="7"/>
  <c r="J2003" i="7" s="1"/>
  <c r="K2002" i="7"/>
  <c r="H2002" i="7"/>
  <c r="J2002" i="7" s="1"/>
  <c r="K2001" i="7"/>
  <c r="H2001" i="7"/>
  <c r="J2001" i="7" s="1"/>
  <c r="K2000" i="7"/>
  <c r="H2000" i="7"/>
  <c r="J2000" i="7" s="1"/>
  <c r="K1999" i="7"/>
  <c r="H1999" i="7"/>
  <c r="J1999" i="7" s="1"/>
  <c r="K1998" i="7"/>
  <c r="H1998" i="7"/>
  <c r="J1998" i="7" s="1"/>
  <c r="K1997" i="7"/>
  <c r="H1997" i="7"/>
  <c r="J1997" i="7" s="1"/>
  <c r="K1996" i="7"/>
  <c r="H1996" i="7"/>
  <c r="J1996" i="7" s="1"/>
  <c r="K1995" i="7"/>
  <c r="H1995" i="7"/>
  <c r="J1995" i="7" s="1"/>
  <c r="K1994" i="7"/>
  <c r="H1994" i="7"/>
  <c r="J1994" i="7" s="1"/>
  <c r="K1993" i="7"/>
  <c r="H1993" i="7"/>
  <c r="J1993" i="7" s="1"/>
  <c r="K1992" i="7"/>
  <c r="H1992" i="7"/>
  <c r="J1992" i="7" s="1"/>
  <c r="K1991" i="7"/>
  <c r="H1991" i="7"/>
  <c r="J1991" i="7" s="1"/>
  <c r="K1990" i="7"/>
  <c r="H1990" i="7"/>
  <c r="J1990" i="7" s="1"/>
  <c r="K1989" i="7"/>
  <c r="H1989" i="7"/>
  <c r="J1989" i="7" s="1"/>
  <c r="K1988" i="7"/>
  <c r="H1988" i="7"/>
  <c r="J1988" i="7" s="1"/>
  <c r="K1987" i="7"/>
  <c r="H1987" i="7"/>
  <c r="J1987" i="7" s="1"/>
  <c r="K1986" i="7"/>
  <c r="H1986" i="7"/>
  <c r="J1986" i="7" s="1"/>
  <c r="K1985" i="7"/>
  <c r="H1985" i="7"/>
  <c r="J1985" i="7" s="1"/>
  <c r="K1984" i="7"/>
  <c r="H1984" i="7"/>
  <c r="J1984" i="7" s="1"/>
  <c r="K1983" i="7"/>
  <c r="H1983" i="7"/>
  <c r="J1983" i="7" s="1"/>
  <c r="K1982" i="7"/>
  <c r="H1982" i="7"/>
  <c r="J1982" i="7" s="1"/>
  <c r="K1981" i="7"/>
  <c r="H1981" i="7"/>
  <c r="J1981" i="7" s="1"/>
  <c r="K1980" i="7"/>
  <c r="H1980" i="7"/>
  <c r="J1980" i="7" s="1"/>
  <c r="K1979" i="7"/>
  <c r="H1979" i="7"/>
  <c r="J1979" i="7" s="1"/>
  <c r="K1978" i="7"/>
  <c r="H1978" i="7"/>
  <c r="J1978" i="7" s="1"/>
  <c r="K1977" i="7"/>
  <c r="H1977" i="7"/>
  <c r="J1977" i="7" s="1"/>
  <c r="K1976" i="7"/>
  <c r="H1976" i="7"/>
  <c r="J1976" i="7" s="1"/>
  <c r="K1975" i="7"/>
  <c r="H1975" i="7"/>
  <c r="J1975" i="7" s="1"/>
  <c r="K1974" i="7"/>
  <c r="H1974" i="7"/>
  <c r="J1974" i="7" s="1"/>
  <c r="K1973" i="7"/>
  <c r="H1973" i="7"/>
  <c r="J1973" i="7" s="1"/>
  <c r="K1972" i="7"/>
  <c r="H1972" i="7"/>
  <c r="J1972" i="7" s="1"/>
  <c r="K1971" i="7"/>
  <c r="H1971" i="7"/>
  <c r="J1971" i="7" s="1"/>
  <c r="K1970" i="7"/>
  <c r="H1970" i="7"/>
  <c r="J1970" i="7" s="1"/>
  <c r="K1969" i="7"/>
  <c r="H1969" i="7"/>
  <c r="J1969" i="7" s="1"/>
  <c r="K1968" i="7"/>
  <c r="H1968" i="7"/>
  <c r="J1968" i="7" s="1"/>
  <c r="K1967" i="7"/>
  <c r="H1967" i="7"/>
  <c r="J1967" i="7" s="1"/>
  <c r="K1966" i="7"/>
  <c r="H1966" i="7"/>
  <c r="J1966" i="7" s="1"/>
  <c r="K1965" i="7"/>
  <c r="H1965" i="7"/>
  <c r="J1965" i="7" s="1"/>
  <c r="K1964" i="7"/>
  <c r="H1964" i="7"/>
  <c r="J1964" i="7" s="1"/>
  <c r="K1963" i="7"/>
  <c r="H1963" i="7"/>
  <c r="J1963" i="7" s="1"/>
  <c r="K1962" i="7"/>
  <c r="H1962" i="7"/>
  <c r="J1962" i="7" s="1"/>
  <c r="K1961" i="7"/>
  <c r="H1961" i="7"/>
  <c r="J1961" i="7" s="1"/>
  <c r="K1960" i="7"/>
  <c r="H1960" i="7"/>
  <c r="J1960" i="7" s="1"/>
  <c r="K1959" i="7"/>
  <c r="H1959" i="7"/>
  <c r="J1959" i="7" s="1"/>
  <c r="K1958" i="7"/>
  <c r="H1958" i="7"/>
  <c r="J1958" i="7" s="1"/>
  <c r="K1957" i="7"/>
  <c r="H1957" i="7"/>
  <c r="J1957" i="7" s="1"/>
  <c r="K1956" i="7"/>
  <c r="H1956" i="7"/>
  <c r="J1956" i="7" s="1"/>
  <c r="K1955" i="7"/>
  <c r="H1955" i="7"/>
  <c r="J1955" i="7" s="1"/>
  <c r="K1954" i="7"/>
  <c r="H1954" i="7"/>
  <c r="J1954" i="7" s="1"/>
  <c r="K1953" i="7"/>
  <c r="H1953" i="7"/>
  <c r="J1953" i="7" s="1"/>
  <c r="K1952" i="7"/>
  <c r="H1952" i="7"/>
  <c r="J1952" i="7" s="1"/>
  <c r="K1951" i="7"/>
  <c r="H1951" i="7"/>
  <c r="J1951" i="7" s="1"/>
  <c r="K1950" i="7"/>
  <c r="H1950" i="7"/>
  <c r="J1950" i="7" s="1"/>
  <c r="K1949" i="7"/>
  <c r="H1949" i="7"/>
  <c r="J1949" i="7" s="1"/>
  <c r="K1948" i="7"/>
  <c r="H1948" i="7"/>
  <c r="J1948" i="7" s="1"/>
  <c r="K1947" i="7"/>
  <c r="H1947" i="7"/>
  <c r="J1947" i="7" s="1"/>
  <c r="K1946" i="7"/>
  <c r="H1946" i="7"/>
  <c r="J1946" i="7" s="1"/>
  <c r="K1945" i="7"/>
  <c r="H1945" i="7"/>
  <c r="J1945" i="7" s="1"/>
  <c r="K1944" i="7"/>
  <c r="H1944" i="7"/>
  <c r="J1944" i="7" s="1"/>
  <c r="K1943" i="7"/>
  <c r="H1943" i="7"/>
  <c r="J1943" i="7" s="1"/>
  <c r="K1942" i="7"/>
  <c r="H1942" i="7"/>
  <c r="J1942" i="7" s="1"/>
  <c r="K1941" i="7"/>
  <c r="H1941" i="7"/>
  <c r="J1941" i="7" s="1"/>
  <c r="K1940" i="7"/>
  <c r="H1940" i="7"/>
  <c r="J1940" i="7" s="1"/>
  <c r="K1939" i="7"/>
  <c r="H1939" i="7"/>
  <c r="J1939" i="7" s="1"/>
  <c r="K1938" i="7"/>
  <c r="H1938" i="7"/>
  <c r="J1938" i="7" s="1"/>
  <c r="K1937" i="7"/>
  <c r="H1937" i="7"/>
  <c r="J1937" i="7" s="1"/>
  <c r="K1936" i="7"/>
  <c r="H1936" i="7"/>
  <c r="J1936" i="7" s="1"/>
  <c r="K1935" i="7"/>
  <c r="H1935" i="7"/>
  <c r="J1935" i="7" s="1"/>
  <c r="K1934" i="7"/>
  <c r="H1934" i="7"/>
  <c r="J1934" i="7" s="1"/>
  <c r="K1933" i="7"/>
  <c r="H1933" i="7"/>
  <c r="J1933" i="7" s="1"/>
  <c r="K1932" i="7"/>
  <c r="H1932" i="7"/>
  <c r="J1932" i="7" s="1"/>
  <c r="K1931" i="7"/>
  <c r="H1931" i="7"/>
  <c r="J1931" i="7" s="1"/>
  <c r="K1930" i="7"/>
  <c r="H1930" i="7"/>
  <c r="J1930" i="7" s="1"/>
  <c r="K1929" i="7"/>
  <c r="H1929" i="7"/>
  <c r="J1929" i="7" s="1"/>
  <c r="K1928" i="7"/>
  <c r="H1928" i="7"/>
  <c r="J1928" i="7" s="1"/>
  <c r="K1927" i="7"/>
  <c r="H1927" i="7"/>
  <c r="J1927" i="7" s="1"/>
  <c r="K1926" i="7"/>
  <c r="H1926" i="7"/>
  <c r="J1926" i="7" s="1"/>
  <c r="K1925" i="7"/>
  <c r="H1925" i="7"/>
  <c r="J1925" i="7" s="1"/>
  <c r="K1924" i="7"/>
  <c r="H1924" i="7"/>
  <c r="J1924" i="7" s="1"/>
  <c r="K1923" i="7"/>
  <c r="H1923" i="7"/>
  <c r="J1923" i="7" s="1"/>
  <c r="K1922" i="7"/>
  <c r="H1922" i="7"/>
  <c r="J1922" i="7" s="1"/>
  <c r="K1921" i="7"/>
  <c r="H1921" i="7"/>
  <c r="J1921" i="7" s="1"/>
  <c r="K1920" i="7"/>
  <c r="H1920" i="7"/>
  <c r="J1920" i="7" s="1"/>
  <c r="K1919" i="7"/>
  <c r="H1919" i="7"/>
  <c r="J1919" i="7" s="1"/>
  <c r="K1918" i="7"/>
  <c r="H1918" i="7"/>
  <c r="J1918" i="7" s="1"/>
  <c r="K1917" i="7"/>
  <c r="H1917" i="7"/>
  <c r="J1917" i="7" s="1"/>
  <c r="K1916" i="7"/>
  <c r="H1916" i="7"/>
  <c r="J1916" i="7" s="1"/>
  <c r="K1915" i="7"/>
  <c r="H1915" i="7"/>
  <c r="J1915" i="7" s="1"/>
  <c r="K1914" i="7"/>
  <c r="H1914" i="7"/>
  <c r="J1914" i="7" s="1"/>
  <c r="K1913" i="7"/>
  <c r="H1913" i="7"/>
  <c r="J1913" i="7" s="1"/>
  <c r="K1912" i="7"/>
  <c r="H1912" i="7"/>
  <c r="J1912" i="7" s="1"/>
  <c r="K1911" i="7"/>
  <c r="H1911" i="7"/>
  <c r="J1911" i="7" s="1"/>
  <c r="K1910" i="7"/>
  <c r="H1910" i="7"/>
  <c r="J1910" i="7" s="1"/>
  <c r="K1909" i="7"/>
  <c r="H1909" i="7"/>
  <c r="J1909" i="7" s="1"/>
  <c r="K1908" i="7"/>
  <c r="H1908" i="7"/>
  <c r="J1908" i="7" s="1"/>
  <c r="K1907" i="7"/>
  <c r="H1907" i="7"/>
  <c r="J1907" i="7" s="1"/>
  <c r="K1906" i="7"/>
  <c r="H1906" i="7"/>
  <c r="J1906" i="7" s="1"/>
  <c r="K1905" i="7"/>
  <c r="H1905" i="7"/>
  <c r="J1905" i="7" s="1"/>
  <c r="K1904" i="7"/>
  <c r="H1904" i="7"/>
  <c r="J1904" i="7" s="1"/>
  <c r="K1903" i="7"/>
  <c r="H1903" i="7"/>
  <c r="J1903" i="7" s="1"/>
  <c r="K1902" i="7"/>
  <c r="H1902" i="7"/>
  <c r="J1902" i="7" s="1"/>
  <c r="K1901" i="7"/>
  <c r="H1901" i="7"/>
  <c r="J1901" i="7" s="1"/>
  <c r="K1900" i="7"/>
  <c r="H1900" i="7"/>
  <c r="J1900" i="7" s="1"/>
  <c r="K1899" i="7"/>
  <c r="H1899" i="7"/>
  <c r="J1899" i="7" s="1"/>
  <c r="K1898" i="7"/>
  <c r="H1898" i="7"/>
  <c r="J1898" i="7" s="1"/>
  <c r="K1897" i="7"/>
  <c r="H1897" i="7"/>
  <c r="J1897" i="7" s="1"/>
  <c r="K1896" i="7"/>
  <c r="H1896" i="7"/>
  <c r="J1896" i="7" s="1"/>
  <c r="K1895" i="7"/>
  <c r="H1895" i="7"/>
  <c r="J1895" i="7" s="1"/>
  <c r="K1894" i="7"/>
  <c r="H1894" i="7"/>
  <c r="J1894" i="7" s="1"/>
  <c r="K1893" i="7"/>
  <c r="H1893" i="7"/>
  <c r="J1893" i="7" s="1"/>
  <c r="K1892" i="7"/>
  <c r="H1892" i="7"/>
  <c r="J1892" i="7" s="1"/>
  <c r="K1891" i="7"/>
  <c r="H1891" i="7"/>
  <c r="J1891" i="7" s="1"/>
  <c r="K1890" i="7"/>
  <c r="H1890" i="7"/>
  <c r="J1890" i="7" s="1"/>
  <c r="K1889" i="7"/>
  <c r="H1889" i="7"/>
  <c r="J1889" i="7" s="1"/>
  <c r="K1888" i="7"/>
  <c r="H1888" i="7"/>
  <c r="J1888" i="7" s="1"/>
  <c r="K1887" i="7"/>
  <c r="H1887" i="7"/>
  <c r="J1887" i="7" s="1"/>
  <c r="K1886" i="7"/>
  <c r="H1886" i="7"/>
  <c r="J1886" i="7" s="1"/>
  <c r="K1885" i="7"/>
  <c r="H1885" i="7"/>
  <c r="J1885" i="7" s="1"/>
  <c r="K1884" i="7"/>
  <c r="H1884" i="7"/>
  <c r="J1884" i="7" s="1"/>
  <c r="K1883" i="7"/>
  <c r="H1883" i="7"/>
  <c r="J1883" i="7" s="1"/>
  <c r="K1882" i="7"/>
  <c r="H1882" i="7"/>
  <c r="J1882" i="7" s="1"/>
  <c r="K1881" i="7"/>
  <c r="H1881" i="7"/>
  <c r="J1881" i="7" s="1"/>
  <c r="K1880" i="7"/>
  <c r="H1880" i="7"/>
  <c r="J1880" i="7" s="1"/>
  <c r="K1879" i="7"/>
  <c r="H1879" i="7"/>
  <c r="J1879" i="7" s="1"/>
  <c r="K1878" i="7"/>
  <c r="H1878" i="7"/>
  <c r="J1878" i="7" s="1"/>
  <c r="K1877" i="7"/>
  <c r="H1877" i="7"/>
  <c r="J1877" i="7" s="1"/>
  <c r="K1876" i="7"/>
  <c r="H1876" i="7"/>
  <c r="J1876" i="7" s="1"/>
  <c r="K1875" i="7"/>
  <c r="H1875" i="7"/>
  <c r="J1875" i="7" s="1"/>
  <c r="K1874" i="7"/>
  <c r="H1874" i="7"/>
  <c r="J1874" i="7" s="1"/>
  <c r="K1873" i="7"/>
  <c r="H1873" i="7"/>
  <c r="J1873" i="7" s="1"/>
  <c r="K1872" i="7"/>
  <c r="H1872" i="7"/>
  <c r="J1872" i="7" s="1"/>
  <c r="K1871" i="7"/>
  <c r="H1871" i="7"/>
  <c r="J1871" i="7" s="1"/>
  <c r="K1870" i="7"/>
  <c r="H1870" i="7"/>
  <c r="J1870" i="7" s="1"/>
  <c r="K1869" i="7"/>
  <c r="H1869" i="7"/>
  <c r="J1869" i="7" s="1"/>
  <c r="K1868" i="7"/>
  <c r="H1868" i="7"/>
  <c r="J1868" i="7" s="1"/>
  <c r="K1867" i="7"/>
  <c r="H1867" i="7"/>
  <c r="J1867" i="7" s="1"/>
  <c r="K1866" i="7"/>
  <c r="H1866" i="7"/>
  <c r="J1866" i="7" s="1"/>
  <c r="K1865" i="7"/>
  <c r="H1865" i="7"/>
  <c r="J1865" i="7" s="1"/>
  <c r="K1864" i="7"/>
  <c r="H1864" i="7"/>
  <c r="J1864" i="7" s="1"/>
  <c r="K1863" i="7"/>
  <c r="H1863" i="7"/>
  <c r="J1863" i="7" s="1"/>
  <c r="K1862" i="7"/>
  <c r="H1862" i="7"/>
  <c r="J1862" i="7" s="1"/>
  <c r="K1861" i="7"/>
  <c r="H1861" i="7"/>
  <c r="J1861" i="7" s="1"/>
  <c r="K1860" i="7"/>
  <c r="H1860" i="7"/>
  <c r="J1860" i="7" s="1"/>
  <c r="K1859" i="7"/>
  <c r="H1859" i="7"/>
  <c r="J1859" i="7" s="1"/>
  <c r="K1858" i="7"/>
  <c r="H1858" i="7"/>
  <c r="J1858" i="7" s="1"/>
  <c r="K1857" i="7"/>
  <c r="H1857" i="7"/>
  <c r="J1857" i="7" s="1"/>
  <c r="K1856" i="7"/>
  <c r="H1856" i="7"/>
  <c r="J1856" i="7" s="1"/>
  <c r="K1855" i="7"/>
  <c r="H1855" i="7"/>
  <c r="J1855" i="7" s="1"/>
  <c r="K1854" i="7"/>
  <c r="H1854" i="7"/>
  <c r="J1854" i="7" s="1"/>
  <c r="K1853" i="7"/>
  <c r="H1853" i="7"/>
  <c r="J1853" i="7" s="1"/>
  <c r="K1852" i="7"/>
  <c r="H1852" i="7"/>
  <c r="J1852" i="7" s="1"/>
  <c r="K1851" i="7"/>
  <c r="H1851" i="7"/>
  <c r="J1851" i="7" s="1"/>
  <c r="K1850" i="7"/>
  <c r="H1850" i="7"/>
  <c r="J1850" i="7" s="1"/>
  <c r="K1849" i="7"/>
  <c r="H1849" i="7"/>
  <c r="J1849" i="7" s="1"/>
  <c r="K1848" i="7"/>
  <c r="H1848" i="7"/>
  <c r="J1848" i="7" s="1"/>
  <c r="K1847" i="7"/>
  <c r="H1847" i="7"/>
  <c r="J1847" i="7" s="1"/>
  <c r="K1846" i="7"/>
  <c r="H1846" i="7"/>
  <c r="J1846" i="7" s="1"/>
  <c r="K1845" i="7"/>
  <c r="H1845" i="7"/>
  <c r="J1845" i="7" s="1"/>
  <c r="K1844" i="7"/>
  <c r="H1844" i="7"/>
  <c r="J1844" i="7" s="1"/>
  <c r="K1843" i="7"/>
  <c r="H1843" i="7"/>
  <c r="J1843" i="7" s="1"/>
  <c r="K1842" i="7"/>
  <c r="H1842" i="7"/>
  <c r="J1842" i="7" s="1"/>
  <c r="K1841" i="7"/>
  <c r="H1841" i="7"/>
  <c r="J1841" i="7" s="1"/>
  <c r="K1840" i="7"/>
  <c r="H1840" i="7"/>
  <c r="J1840" i="7" s="1"/>
  <c r="K1839" i="7"/>
  <c r="H1839" i="7"/>
  <c r="J1839" i="7" s="1"/>
  <c r="K1838" i="7"/>
  <c r="H1838" i="7"/>
  <c r="J1838" i="7" s="1"/>
  <c r="K1837" i="7"/>
  <c r="H1837" i="7"/>
  <c r="J1837" i="7" s="1"/>
  <c r="K1836" i="7"/>
  <c r="H1836" i="7"/>
  <c r="J1836" i="7" s="1"/>
  <c r="K1835" i="7"/>
  <c r="H1835" i="7"/>
  <c r="J1835" i="7" s="1"/>
  <c r="K1834" i="7"/>
  <c r="H1834" i="7"/>
  <c r="J1834" i="7" s="1"/>
  <c r="K1833" i="7"/>
  <c r="H1833" i="7"/>
  <c r="J1833" i="7" s="1"/>
  <c r="K1832" i="7"/>
  <c r="H1832" i="7"/>
  <c r="J1832" i="7" s="1"/>
  <c r="K1831" i="7"/>
  <c r="H1831" i="7"/>
  <c r="J1831" i="7" s="1"/>
  <c r="K1830" i="7"/>
  <c r="H1830" i="7"/>
  <c r="J1830" i="7" s="1"/>
  <c r="K1829" i="7"/>
  <c r="H1829" i="7"/>
  <c r="J1829" i="7" s="1"/>
  <c r="K1828" i="7"/>
  <c r="H1828" i="7"/>
  <c r="J1828" i="7" s="1"/>
  <c r="K1827" i="7"/>
  <c r="H1827" i="7"/>
  <c r="J1827" i="7" s="1"/>
  <c r="K1826" i="7"/>
  <c r="H1826" i="7"/>
  <c r="J1826" i="7" s="1"/>
  <c r="K1825" i="7"/>
  <c r="H1825" i="7"/>
  <c r="J1825" i="7" s="1"/>
  <c r="K1824" i="7"/>
  <c r="H1824" i="7"/>
  <c r="J1824" i="7" s="1"/>
  <c r="K1823" i="7"/>
  <c r="H1823" i="7"/>
  <c r="J1823" i="7" s="1"/>
  <c r="K1822" i="7"/>
  <c r="H1822" i="7"/>
  <c r="J1822" i="7" s="1"/>
  <c r="K1821" i="7"/>
  <c r="H1821" i="7"/>
  <c r="J1821" i="7" s="1"/>
  <c r="K1820" i="7"/>
  <c r="H1820" i="7"/>
  <c r="J1820" i="7" s="1"/>
  <c r="K1819" i="7"/>
  <c r="H1819" i="7"/>
  <c r="J1819" i="7" s="1"/>
  <c r="K1818" i="7"/>
  <c r="H1818" i="7"/>
  <c r="J1818" i="7" s="1"/>
  <c r="K1817" i="7"/>
  <c r="H1817" i="7"/>
  <c r="J1817" i="7" s="1"/>
  <c r="K1816" i="7"/>
  <c r="H1816" i="7"/>
  <c r="J1816" i="7" s="1"/>
  <c r="K1815" i="7"/>
  <c r="H1815" i="7"/>
  <c r="J1815" i="7" s="1"/>
  <c r="K1814" i="7"/>
  <c r="H1814" i="7"/>
  <c r="J1814" i="7" s="1"/>
  <c r="K1813" i="7"/>
  <c r="H1813" i="7"/>
  <c r="J1813" i="7" s="1"/>
  <c r="K1812" i="7"/>
  <c r="H1812" i="7"/>
  <c r="J1812" i="7" s="1"/>
  <c r="K1811" i="7"/>
  <c r="H1811" i="7"/>
  <c r="J1811" i="7" s="1"/>
  <c r="K1810" i="7"/>
  <c r="H1810" i="7"/>
  <c r="J1810" i="7" s="1"/>
  <c r="K1809" i="7"/>
  <c r="H1809" i="7"/>
  <c r="J1809" i="7" s="1"/>
  <c r="K1808" i="7"/>
  <c r="H1808" i="7"/>
  <c r="J1808" i="7" s="1"/>
  <c r="K1807" i="7"/>
  <c r="H1807" i="7"/>
  <c r="J1807" i="7" s="1"/>
  <c r="K1806" i="7"/>
  <c r="H1806" i="7"/>
  <c r="J1806" i="7" s="1"/>
  <c r="K1805" i="7"/>
  <c r="H1805" i="7"/>
  <c r="J1805" i="7" s="1"/>
  <c r="K1804" i="7"/>
  <c r="H1804" i="7"/>
  <c r="J1804" i="7" s="1"/>
  <c r="K1803" i="7"/>
  <c r="H1803" i="7"/>
  <c r="J1803" i="7" s="1"/>
  <c r="K1802" i="7"/>
  <c r="H1802" i="7"/>
  <c r="J1802" i="7" s="1"/>
  <c r="K1801" i="7"/>
  <c r="H1801" i="7"/>
  <c r="J1801" i="7" s="1"/>
  <c r="K1800" i="7"/>
  <c r="H1800" i="7"/>
  <c r="J1800" i="7" s="1"/>
  <c r="K1799" i="7"/>
  <c r="H1799" i="7"/>
  <c r="J1799" i="7" s="1"/>
  <c r="K1798" i="7"/>
  <c r="H1798" i="7"/>
  <c r="J1798" i="7" s="1"/>
  <c r="K1797" i="7"/>
  <c r="H1797" i="7"/>
  <c r="J1797" i="7" s="1"/>
  <c r="K1796" i="7"/>
  <c r="H1796" i="7"/>
  <c r="J1796" i="7" s="1"/>
  <c r="K1795" i="7"/>
  <c r="H1795" i="7"/>
  <c r="J1795" i="7" s="1"/>
  <c r="K1794" i="7"/>
  <c r="H1794" i="7"/>
  <c r="J1794" i="7" s="1"/>
  <c r="K1793" i="7"/>
  <c r="H1793" i="7"/>
  <c r="J1793" i="7" s="1"/>
  <c r="K1792" i="7"/>
  <c r="H1792" i="7"/>
  <c r="J1792" i="7" s="1"/>
  <c r="K1791" i="7"/>
  <c r="H1791" i="7"/>
  <c r="J1791" i="7" s="1"/>
  <c r="K1790" i="7"/>
  <c r="H1790" i="7"/>
  <c r="J1790" i="7" s="1"/>
  <c r="K1789" i="7"/>
  <c r="H1789" i="7"/>
  <c r="J1789" i="7" s="1"/>
  <c r="K1788" i="7"/>
  <c r="H1788" i="7"/>
  <c r="J1788" i="7" s="1"/>
  <c r="K1787" i="7"/>
  <c r="H1787" i="7"/>
  <c r="J1787" i="7" s="1"/>
  <c r="K1786" i="7"/>
  <c r="H1786" i="7"/>
  <c r="J1786" i="7" s="1"/>
  <c r="K1785" i="7"/>
  <c r="H1785" i="7"/>
  <c r="J1785" i="7" s="1"/>
  <c r="K1784" i="7"/>
  <c r="H1784" i="7"/>
  <c r="J1784" i="7" s="1"/>
  <c r="K1783" i="7"/>
  <c r="H1783" i="7"/>
  <c r="J1783" i="7" s="1"/>
  <c r="K1782" i="7"/>
  <c r="H1782" i="7"/>
  <c r="J1782" i="7" s="1"/>
  <c r="K1781" i="7"/>
  <c r="H1781" i="7"/>
  <c r="J1781" i="7" s="1"/>
  <c r="K1780" i="7"/>
  <c r="H1780" i="7"/>
  <c r="J1780" i="7" s="1"/>
  <c r="K1779" i="7"/>
  <c r="H1779" i="7"/>
  <c r="J1779" i="7" s="1"/>
  <c r="K1778" i="7"/>
  <c r="H1778" i="7"/>
  <c r="J1778" i="7" s="1"/>
  <c r="K1777" i="7"/>
  <c r="H1777" i="7"/>
  <c r="J1777" i="7" s="1"/>
  <c r="K1776" i="7"/>
  <c r="H1776" i="7"/>
  <c r="J1776" i="7" s="1"/>
  <c r="K1775" i="7"/>
  <c r="H1775" i="7"/>
  <c r="J1775" i="7" s="1"/>
  <c r="K1774" i="7"/>
  <c r="H1774" i="7"/>
  <c r="J1774" i="7" s="1"/>
  <c r="K1773" i="7"/>
  <c r="H1773" i="7"/>
  <c r="J1773" i="7" s="1"/>
  <c r="K1772" i="7"/>
  <c r="H1772" i="7"/>
  <c r="J1772" i="7" s="1"/>
  <c r="K1771" i="7"/>
  <c r="H1771" i="7"/>
  <c r="J1771" i="7" s="1"/>
  <c r="K1770" i="7"/>
  <c r="H1770" i="7"/>
  <c r="J1770" i="7" s="1"/>
  <c r="K1769" i="7"/>
  <c r="H1769" i="7"/>
  <c r="J1769" i="7" s="1"/>
  <c r="K1768" i="7"/>
  <c r="H1768" i="7"/>
  <c r="J1768" i="7" s="1"/>
  <c r="K1767" i="7"/>
  <c r="H1767" i="7"/>
  <c r="J1767" i="7" s="1"/>
  <c r="K1766" i="7"/>
  <c r="H1766" i="7"/>
  <c r="J1766" i="7" s="1"/>
  <c r="K1765" i="7"/>
  <c r="H1765" i="7"/>
  <c r="J1765" i="7" s="1"/>
  <c r="K1764" i="7"/>
  <c r="H1764" i="7"/>
  <c r="J1764" i="7" s="1"/>
  <c r="K1763" i="7"/>
  <c r="H1763" i="7"/>
  <c r="J1763" i="7" s="1"/>
  <c r="K1762" i="7"/>
  <c r="H1762" i="7"/>
  <c r="J1762" i="7" s="1"/>
  <c r="K1761" i="7"/>
  <c r="H1761" i="7"/>
  <c r="J1761" i="7" s="1"/>
  <c r="K1760" i="7"/>
  <c r="H1760" i="7"/>
  <c r="J1760" i="7" s="1"/>
  <c r="K1759" i="7"/>
  <c r="H1759" i="7"/>
  <c r="J1759" i="7" s="1"/>
  <c r="K1758" i="7"/>
  <c r="H1758" i="7"/>
  <c r="J1758" i="7" s="1"/>
  <c r="K1757" i="7"/>
  <c r="H1757" i="7"/>
  <c r="J1757" i="7" s="1"/>
  <c r="K1756" i="7"/>
  <c r="H1756" i="7"/>
  <c r="J1756" i="7" s="1"/>
  <c r="K1755" i="7"/>
  <c r="H1755" i="7"/>
  <c r="J1755" i="7" s="1"/>
  <c r="K1754" i="7"/>
  <c r="H1754" i="7"/>
  <c r="J1754" i="7" s="1"/>
  <c r="K1753" i="7"/>
  <c r="H1753" i="7"/>
  <c r="J1753" i="7" s="1"/>
  <c r="K1752" i="7"/>
  <c r="H1752" i="7"/>
  <c r="J1752" i="7" s="1"/>
  <c r="K1751" i="7"/>
  <c r="H1751" i="7"/>
  <c r="J1751" i="7" s="1"/>
  <c r="K1750" i="7"/>
  <c r="H1750" i="7"/>
  <c r="J1750" i="7" s="1"/>
  <c r="K1749" i="7"/>
  <c r="H1749" i="7"/>
  <c r="J1749" i="7" s="1"/>
  <c r="K1748" i="7"/>
  <c r="H1748" i="7"/>
  <c r="J1748" i="7" s="1"/>
  <c r="K1747" i="7"/>
  <c r="H1747" i="7"/>
  <c r="J1747" i="7" s="1"/>
  <c r="K1746" i="7"/>
  <c r="H1746" i="7"/>
  <c r="J1746" i="7" s="1"/>
  <c r="K1745" i="7"/>
  <c r="H1745" i="7"/>
  <c r="J1745" i="7" s="1"/>
  <c r="K1744" i="7"/>
  <c r="H1744" i="7"/>
  <c r="J1744" i="7" s="1"/>
  <c r="K1743" i="7"/>
  <c r="H1743" i="7"/>
  <c r="J1743" i="7" s="1"/>
  <c r="K1742" i="7"/>
  <c r="H1742" i="7"/>
  <c r="J1742" i="7" s="1"/>
  <c r="K1741" i="7"/>
  <c r="H1741" i="7"/>
  <c r="J1741" i="7" s="1"/>
  <c r="K1740" i="7"/>
  <c r="H1740" i="7"/>
  <c r="J1740" i="7" s="1"/>
  <c r="K1739" i="7"/>
  <c r="H1739" i="7"/>
  <c r="J1739" i="7" s="1"/>
  <c r="K1738" i="7"/>
  <c r="H1738" i="7"/>
  <c r="J1738" i="7" s="1"/>
  <c r="K1737" i="7"/>
  <c r="H1737" i="7"/>
  <c r="J1737" i="7" s="1"/>
  <c r="K1736" i="7"/>
  <c r="H1736" i="7"/>
  <c r="J1736" i="7" s="1"/>
  <c r="K1735" i="7"/>
  <c r="H1735" i="7"/>
  <c r="J1735" i="7" s="1"/>
  <c r="K1734" i="7"/>
  <c r="H1734" i="7"/>
  <c r="J1734" i="7" s="1"/>
  <c r="K1733" i="7"/>
  <c r="H1733" i="7"/>
  <c r="J1733" i="7" s="1"/>
  <c r="K1732" i="7"/>
  <c r="H1732" i="7"/>
  <c r="J1732" i="7" s="1"/>
  <c r="K1731" i="7"/>
  <c r="H1731" i="7"/>
  <c r="J1731" i="7" s="1"/>
  <c r="K1730" i="7"/>
  <c r="H1730" i="7"/>
  <c r="J1730" i="7" s="1"/>
  <c r="K1729" i="7"/>
  <c r="H1729" i="7"/>
  <c r="J1729" i="7" s="1"/>
  <c r="K1728" i="7"/>
  <c r="H1728" i="7"/>
  <c r="J1728" i="7" s="1"/>
  <c r="K1727" i="7"/>
  <c r="H1727" i="7"/>
  <c r="J1727" i="7" s="1"/>
  <c r="K1726" i="7"/>
  <c r="H1726" i="7"/>
  <c r="J1726" i="7" s="1"/>
  <c r="K1725" i="7"/>
  <c r="H1725" i="7"/>
  <c r="J1725" i="7" s="1"/>
  <c r="K1724" i="7"/>
  <c r="H1724" i="7"/>
  <c r="J1724" i="7" s="1"/>
  <c r="K1723" i="7"/>
  <c r="H1723" i="7"/>
  <c r="J1723" i="7" s="1"/>
  <c r="K1722" i="7"/>
  <c r="H1722" i="7"/>
  <c r="J1722" i="7" s="1"/>
  <c r="K1721" i="7"/>
  <c r="H1721" i="7"/>
  <c r="J1721" i="7" s="1"/>
  <c r="K1720" i="7"/>
  <c r="H1720" i="7"/>
  <c r="J1720" i="7" s="1"/>
  <c r="K1719" i="7"/>
  <c r="H1719" i="7"/>
  <c r="J1719" i="7" s="1"/>
  <c r="K1718" i="7"/>
  <c r="H1718" i="7"/>
  <c r="J1718" i="7" s="1"/>
  <c r="K1717" i="7"/>
  <c r="H1717" i="7"/>
  <c r="J1717" i="7" s="1"/>
  <c r="K1716" i="7"/>
  <c r="H1716" i="7"/>
  <c r="J1716" i="7" s="1"/>
  <c r="K1715" i="7"/>
  <c r="H1715" i="7"/>
  <c r="J1715" i="7" s="1"/>
  <c r="K1714" i="7"/>
  <c r="H1714" i="7"/>
  <c r="J1714" i="7" s="1"/>
  <c r="K1713" i="7"/>
  <c r="H1713" i="7"/>
  <c r="J1713" i="7" s="1"/>
  <c r="K1712" i="7"/>
  <c r="H1712" i="7"/>
  <c r="J1712" i="7" s="1"/>
  <c r="K1711" i="7"/>
  <c r="H1711" i="7"/>
  <c r="J1711" i="7" s="1"/>
  <c r="K1710" i="7"/>
  <c r="H1710" i="7"/>
  <c r="J1710" i="7" s="1"/>
  <c r="K1709" i="7"/>
  <c r="H1709" i="7"/>
  <c r="J1709" i="7" s="1"/>
  <c r="K1708" i="7"/>
  <c r="H1708" i="7"/>
  <c r="J1708" i="7" s="1"/>
  <c r="K1707" i="7"/>
  <c r="H1707" i="7"/>
  <c r="J1707" i="7" s="1"/>
  <c r="K1706" i="7"/>
  <c r="H1706" i="7"/>
  <c r="J1706" i="7" s="1"/>
  <c r="K1705" i="7"/>
  <c r="H1705" i="7"/>
  <c r="J1705" i="7" s="1"/>
  <c r="K1704" i="7"/>
  <c r="H1704" i="7"/>
  <c r="J1704" i="7" s="1"/>
  <c r="K1703" i="7"/>
  <c r="H1703" i="7"/>
  <c r="J1703" i="7" s="1"/>
  <c r="K1702" i="7"/>
  <c r="H1702" i="7"/>
  <c r="J1702" i="7" s="1"/>
  <c r="K1701" i="7"/>
  <c r="H1701" i="7"/>
  <c r="J1701" i="7" s="1"/>
  <c r="K1700" i="7"/>
  <c r="H1700" i="7"/>
  <c r="J1700" i="7" s="1"/>
  <c r="K1699" i="7"/>
  <c r="H1699" i="7"/>
  <c r="J1699" i="7" s="1"/>
  <c r="K1698" i="7"/>
  <c r="H1698" i="7"/>
  <c r="J1698" i="7" s="1"/>
  <c r="K1697" i="7"/>
  <c r="H1697" i="7"/>
  <c r="J1697" i="7" s="1"/>
  <c r="K1696" i="7"/>
  <c r="H1696" i="7"/>
  <c r="J1696" i="7" s="1"/>
  <c r="K1695" i="7"/>
  <c r="H1695" i="7"/>
  <c r="J1695" i="7" s="1"/>
  <c r="K1694" i="7"/>
  <c r="H1694" i="7"/>
  <c r="J1694" i="7" s="1"/>
  <c r="K1693" i="7"/>
  <c r="H1693" i="7"/>
  <c r="J1693" i="7" s="1"/>
  <c r="K1692" i="7"/>
  <c r="H1692" i="7"/>
  <c r="J1692" i="7" s="1"/>
  <c r="K1691" i="7"/>
  <c r="H1691" i="7"/>
  <c r="J1691" i="7" s="1"/>
  <c r="K1690" i="7"/>
  <c r="H1690" i="7"/>
  <c r="J1690" i="7" s="1"/>
  <c r="K1689" i="7"/>
  <c r="H1689" i="7"/>
  <c r="J1689" i="7" s="1"/>
  <c r="K1688" i="7"/>
  <c r="H1688" i="7"/>
  <c r="J1688" i="7" s="1"/>
  <c r="K1687" i="7"/>
  <c r="H1687" i="7"/>
  <c r="J1687" i="7" s="1"/>
  <c r="K1686" i="7"/>
  <c r="H1686" i="7"/>
  <c r="J1686" i="7" s="1"/>
  <c r="K1685" i="7"/>
  <c r="H1685" i="7"/>
  <c r="J1685" i="7" s="1"/>
  <c r="K1684" i="7"/>
  <c r="H1684" i="7"/>
  <c r="J1684" i="7" s="1"/>
  <c r="K1683" i="7"/>
  <c r="H1683" i="7"/>
  <c r="J1683" i="7" s="1"/>
  <c r="K1682" i="7"/>
  <c r="H1682" i="7"/>
  <c r="J1682" i="7" s="1"/>
  <c r="K1681" i="7"/>
  <c r="H1681" i="7"/>
  <c r="J1681" i="7" s="1"/>
  <c r="K1680" i="7"/>
  <c r="H1680" i="7"/>
  <c r="J1680" i="7" s="1"/>
  <c r="K1679" i="7"/>
  <c r="H1679" i="7"/>
  <c r="J1679" i="7" s="1"/>
  <c r="K1678" i="7"/>
  <c r="H1678" i="7"/>
  <c r="J1678" i="7" s="1"/>
  <c r="K1677" i="7"/>
  <c r="H1677" i="7"/>
  <c r="J1677" i="7" s="1"/>
  <c r="K1676" i="7"/>
  <c r="H1676" i="7"/>
  <c r="J1676" i="7" s="1"/>
  <c r="K1675" i="7"/>
  <c r="H1675" i="7"/>
  <c r="J1675" i="7" s="1"/>
  <c r="K1674" i="7"/>
  <c r="H1674" i="7"/>
  <c r="J1674" i="7" s="1"/>
  <c r="K1673" i="7"/>
  <c r="H1673" i="7"/>
  <c r="J1673" i="7" s="1"/>
  <c r="K1672" i="7"/>
  <c r="H1672" i="7"/>
  <c r="J1672" i="7" s="1"/>
  <c r="K1671" i="7"/>
  <c r="H1671" i="7"/>
  <c r="J1671" i="7" s="1"/>
  <c r="K1670" i="7"/>
  <c r="H1670" i="7"/>
  <c r="J1670" i="7" s="1"/>
  <c r="K1669" i="7"/>
  <c r="H1669" i="7"/>
  <c r="J1669" i="7" s="1"/>
  <c r="K1668" i="7"/>
  <c r="H1668" i="7"/>
  <c r="J1668" i="7" s="1"/>
  <c r="K1667" i="7"/>
  <c r="H1667" i="7"/>
  <c r="J1667" i="7" s="1"/>
  <c r="K1666" i="7"/>
  <c r="H1666" i="7"/>
  <c r="J1666" i="7" s="1"/>
  <c r="K1665" i="7"/>
  <c r="H1665" i="7"/>
  <c r="J1665" i="7" s="1"/>
  <c r="K1664" i="7"/>
  <c r="H1664" i="7"/>
  <c r="J1664" i="7" s="1"/>
  <c r="K1663" i="7"/>
  <c r="H1663" i="7"/>
  <c r="J1663" i="7" s="1"/>
  <c r="K1662" i="7"/>
  <c r="H1662" i="7"/>
  <c r="J1662" i="7" s="1"/>
  <c r="K1661" i="7"/>
  <c r="H1661" i="7"/>
  <c r="J1661" i="7" s="1"/>
  <c r="K1660" i="7"/>
  <c r="H1660" i="7"/>
  <c r="J1660" i="7" s="1"/>
  <c r="K1659" i="7"/>
  <c r="H1659" i="7"/>
  <c r="J1659" i="7" s="1"/>
  <c r="K1658" i="7"/>
  <c r="H1658" i="7"/>
  <c r="J1658" i="7" s="1"/>
  <c r="K1657" i="7"/>
  <c r="H1657" i="7"/>
  <c r="J1657" i="7" s="1"/>
  <c r="K1656" i="7"/>
  <c r="H1656" i="7"/>
  <c r="J1656" i="7" s="1"/>
  <c r="K1655" i="7"/>
  <c r="H1655" i="7"/>
  <c r="J1655" i="7" s="1"/>
  <c r="K1654" i="7"/>
  <c r="H1654" i="7"/>
  <c r="J1654" i="7" s="1"/>
  <c r="K1653" i="7"/>
  <c r="H1653" i="7"/>
  <c r="J1653" i="7" s="1"/>
  <c r="K1652" i="7"/>
  <c r="H1652" i="7"/>
  <c r="J1652" i="7" s="1"/>
  <c r="K1651" i="7"/>
  <c r="H1651" i="7"/>
  <c r="J1651" i="7" s="1"/>
  <c r="K1650" i="7"/>
  <c r="H1650" i="7"/>
  <c r="J1650" i="7" s="1"/>
  <c r="K1649" i="7"/>
  <c r="H1649" i="7"/>
  <c r="J1649" i="7" s="1"/>
  <c r="K1648" i="7"/>
  <c r="H1648" i="7"/>
  <c r="J1648" i="7" s="1"/>
  <c r="K1647" i="7"/>
  <c r="H1647" i="7"/>
  <c r="J1647" i="7" s="1"/>
  <c r="K1646" i="7"/>
  <c r="H1646" i="7"/>
  <c r="J1646" i="7" s="1"/>
  <c r="K1645" i="7"/>
  <c r="H1645" i="7"/>
  <c r="J1645" i="7" s="1"/>
  <c r="K1644" i="7"/>
  <c r="H1644" i="7"/>
  <c r="J1644" i="7" s="1"/>
  <c r="K1643" i="7"/>
  <c r="H1643" i="7"/>
  <c r="J1643" i="7" s="1"/>
  <c r="K1642" i="7"/>
  <c r="H1642" i="7"/>
  <c r="J1642" i="7" s="1"/>
  <c r="K1641" i="7"/>
  <c r="H1641" i="7"/>
  <c r="J1641" i="7" s="1"/>
  <c r="K1640" i="7"/>
  <c r="H1640" i="7"/>
  <c r="J1640" i="7" s="1"/>
  <c r="K1639" i="7"/>
  <c r="H1639" i="7"/>
  <c r="J1639" i="7" s="1"/>
  <c r="K1638" i="7"/>
  <c r="H1638" i="7"/>
  <c r="J1638" i="7" s="1"/>
  <c r="K1637" i="7"/>
  <c r="H1637" i="7"/>
  <c r="J1637" i="7" s="1"/>
  <c r="K1636" i="7"/>
  <c r="H1636" i="7"/>
  <c r="J1636" i="7" s="1"/>
  <c r="K1635" i="7"/>
  <c r="H1635" i="7"/>
  <c r="J1635" i="7" s="1"/>
  <c r="K1634" i="7"/>
  <c r="H1634" i="7"/>
  <c r="J1634" i="7" s="1"/>
  <c r="K1633" i="7"/>
  <c r="H1633" i="7"/>
  <c r="J1633" i="7" s="1"/>
  <c r="K1632" i="7"/>
  <c r="H1632" i="7"/>
  <c r="J1632" i="7" s="1"/>
  <c r="K1631" i="7"/>
  <c r="H1631" i="7"/>
  <c r="J1631" i="7" s="1"/>
  <c r="K1630" i="7"/>
  <c r="H1630" i="7"/>
  <c r="J1630" i="7" s="1"/>
  <c r="K1629" i="7"/>
  <c r="H1629" i="7"/>
  <c r="J1629" i="7" s="1"/>
  <c r="K1628" i="7"/>
  <c r="H1628" i="7"/>
  <c r="J1628" i="7" s="1"/>
  <c r="K1627" i="7"/>
  <c r="H1627" i="7"/>
  <c r="J1627" i="7" s="1"/>
  <c r="K1626" i="7"/>
  <c r="H1626" i="7"/>
  <c r="J1626" i="7" s="1"/>
  <c r="K1625" i="7"/>
  <c r="H1625" i="7"/>
  <c r="J1625" i="7" s="1"/>
  <c r="K1624" i="7"/>
  <c r="H1624" i="7"/>
  <c r="J1624" i="7" s="1"/>
  <c r="K1623" i="7"/>
  <c r="H1623" i="7"/>
  <c r="J1623" i="7" s="1"/>
  <c r="K1622" i="7"/>
  <c r="H1622" i="7"/>
  <c r="J1622" i="7" s="1"/>
  <c r="K1621" i="7"/>
  <c r="H1621" i="7"/>
  <c r="J1621" i="7" s="1"/>
  <c r="K1620" i="7"/>
  <c r="H1620" i="7"/>
  <c r="J1620" i="7" s="1"/>
  <c r="K1619" i="7"/>
  <c r="H1619" i="7"/>
  <c r="J1619" i="7" s="1"/>
  <c r="K1618" i="7"/>
  <c r="H1618" i="7"/>
  <c r="J1618" i="7" s="1"/>
  <c r="K1617" i="7"/>
  <c r="H1617" i="7"/>
  <c r="J1617" i="7" s="1"/>
  <c r="K1616" i="7"/>
  <c r="H1616" i="7"/>
  <c r="J1616" i="7" s="1"/>
  <c r="K1615" i="7"/>
  <c r="H1615" i="7"/>
  <c r="J1615" i="7" s="1"/>
  <c r="K1614" i="7"/>
  <c r="H1614" i="7"/>
  <c r="J1614" i="7" s="1"/>
  <c r="K1613" i="7"/>
  <c r="H1613" i="7"/>
  <c r="J1613" i="7" s="1"/>
  <c r="K1612" i="7"/>
  <c r="H1612" i="7"/>
  <c r="J1612" i="7" s="1"/>
  <c r="K1611" i="7"/>
  <c r="H1611" i="7"/>
  <c r="J1611" i="7" s="1"/>
  <c r="K1610" i="7"/>
  <c r="H1610" i="7"/>
  <c r="J1610" i="7" s="1"/>
  <c r="K1609" i="7"/>
  <c r="H1609" i="7"/>
  <c r="J1609" i="7" s="1"/>
  <c r="K1608" i="7"/>
  <c r="H1608" i="7"/>
  <c r="J1608" i="7" s="1"/>
  <c r="K1607" i="7"/>
  <c r="H1607" i="7"/>
  <c r="J1607" i="7" s="1"/>
  <c r="K1606" i="7"/>
  <c r="H1606" i="7"/>
  <c r="J1606" i="7" s="1"/>
  <c r="K1605" i="7"/>
  <c r="H1605" i="7"/>
  <c r="J1605" i="7" s="1"/>
  <c r="K1604" i="7"/>
  <c r="H1604" i="7"/>
  <c r="J1604" i="7" s="1"/>
  <c r="K1603" i="7"/>
  <c r="H1603" i="7"/>
  <c r="J1603" i="7" s="1"/>
  <c r="K1602" i="7"/>
  <c r="H1602" i="7"/>
  <c r="J1602" i="7" s="1"/>
  <c r="K1601" i="7"/>
  <c r="H1601" i="7"/>
  <c r="J1601" i="7" s="1"/>
  <c r="K1600" i="7"/>
  <c r="H1600" i="7"/>
  <c r="J1600" i="7" s="1"/>
  <c r="K1599" i="7"/>
  <c r="H1599" i="7"/>
  <c r="J1599" i="7" s="1"/>
  <c r="K1598" i="7"/>
  <c r="H1598" i="7"/>
  <c r="J1598" i="7" s="1"/>
  <c r="K1597" i="7"/>
  <c r="H1597" i="7"/>
  <c r="J1597" i="7" s="1"/>
  <c r="K1596" i="7"/>
  <c r="H1596" i="7"/>
  <c r="J1596" i="7" s="1"/>
  <c r="K1595" i="7"/>
  <c r="H1595" i="7"/>
  <c r="J1595" i="7" s="1"/>
  <c r="K1594" i="7"/>
  <c r="H1594" i="7"/>
  <c r="J1594" i="7" s="1"/>
  <c r="K1593" i="7"/>
  <c r="H1593" i="7"/>
  <c r="J1593" i="7" s="1"/>
  <c r="K1592" i="7"/>
  <c r="H1592" i="7"/>
  <c r="J1592" i="7" s="1"/>
  <c r="K1591" i="7"/>
  <c r="H1591" i="7"/>
  <c r="J1591" i="7" s="1"/>
  <c r="K1590" i="7"/>
  <c r="H1590" i="7"/>
  <c r="J1590" i="7" s="1"/>
  <c r="K1589" i="7"/>
  <c r="H1589" i="7"/>
  <c r="J1589" i="7" s="1"/>
  <c r="K1588" i="7"/>
  <c r="H1588" i="7"/>
  <c r="J1588" i="7" s="1"/>
  <c r="K1587" i="7"/>
  <c r="H1587" i="7"/>
  <c r="J1587" i="7" s="1"/>
  <c r="K1586" i="7"/>
  <c r="H1586" i="7"/>
  <c r="J1586" i="7" s="1"/>
  <c r="K1585" i="7"/>
  <c r="H1585" i="7"/>
  <c r="J1585" i="7" s="1"/>
  <c r="K1584" i="7"/>
  <c r="H1584" i="7"/>
  <c r="J1584" i="7" s="1"/>
  <c r="K1583" i="7"/>
  <c r="H1583" i="7"/>
  <c r="J1583" i="7" s="1"/>
  <c r="K1582" i="7"/>
  <c r="H1582" i="7"/>
  <c r="J1582" i="7" s="1"/>
  <c r="K1581" i="7"/>
  <c r="H1581" i="7"/>
  <c r="J1581" i="7" s="1"/>
  <c r="K1580" i="7"/>
  <c r="H1580" i="7"/>
  <c r="J1580" i="7" s="1"/>
  <c r="K1579" i="7"/>
  <c r="H1579" i="7"/>
  <c r="J1579" i="7" s="1"/>
  <c r="K1578" i="7"/>
  <c r="H1578" i="7"/>
  <c r="J1578" i="7" s="1"/>
  <c r="K1577" i="7"/>
  <c r="H1577" i="7"/>
  <c r="J1577" i="7" s="1"/>
  <c r="K1576" i="7"/>
  <c r="H1576" i="7"/>
  <c r="J1576" i="7" s="1"/>
  <c r="K1575" i="7"/>
  <c r="H1575" i="7"/>
  <c r="J1575" i="7" s="1"/>
  <c r="K1574" i="7"/>
  <c r="H1574" i="7"/>
  <c r="J1574" i="7" s="1"/>
  <c r="K1573" i="7"/>
  <c r="H1573" i="7"/>
  <c r="J1573" i="7" s="1"/>
  <c r="K1572" i="7"/>
  <c r="H1572" i="7"/>
  <c r="J1572" i="7" s="1"/>
  <c r="K1571" i="7"/>
  <c r="H1571" i="7"/>
  <c r="J1571" i="7" s="1"/>
  <c r="K1570" i="7"/>
  <c r="H1570" i="7"/>
  <c r="J1570" i="7" s="1"/>
  <c r="K1569" i="7"/>
  <c r="H1569" i="7"/>
  <c r="J1569" i="7" s="1"/>
  <c r="K1568" i="7"/>
  <c r="H1568" i="7"/>
  <c r="J1568" i="7" s="1"/>
  <c r="K1567" i="7"/>
  <c r="H1567" i="7"/>
  <c r="J1567" i="7" s="1"/>
  <c r="K1566" i="7"/>
  <c r="H1566" i="7"/>
  <c r="J1566" i="7" s="1"/>
  <c r="K1565" i="7"/>
  <c r="H1565" i="7"/>
  <c r="J1565" i="7" s="1"/>
  <c r="K1564" i="7"/>
  <c r="H1564" i="7"/>
  <c r="J1564" i="7" s="1"/>
  <c r="K1563" i="7"/>
  <c r="H1563" i="7"/>
  <c r="J1563" i="7" s="1"/>
  <c r="K1562" i="7"/>
  <c r="H1562" i="7"/>
  <c r="J1562" i="7" s="1"/>
  <c r="K1561" i="7"/>
  <c r="H1561" i="7"/>
  <c r="J1561" i="7" s="1"/>
  <c r="K1560" i="7"/>
  <c r="H1560" i="7"/>
  <c r="J1560" i="7" s="1"/>
  <c r="K1559" i="7"/>
  <c r="H1559" i="7"/>
  <c r="J1559" i="7" s="1"/>
  <c r="K1558" i="7"/>
  <c r="H1558" i="7"/>
  <c r="J1558" i="7" s="1"/>
  <c r="K1557" i="7"/>
  <c r="H1557" i="7"/>
  <c r="J1557" i="7" s="1"/>
  <c r="K1556" i="7"/>
  <c r="H1556" i="7"/>
  <c r="J1556" i="7" s="1"/>
  <c r="K1555" i="7"/>
  <c r="H1555" i="7"/>
  <c r="J1555" i="7" s="1"/>
  <c r="K1554" i="7"/>
  <c r="H1554" i="7"/>
  <c r="J1554" i="7" s="1"/>
  <c r="K1553" i="7"/>
  <c r="H1553" i="7"/>
  <c r="J1553" i="7" s="1"/>
  <c r="K1552" i="7"/>
  <c r="H1552" i="7"/>
  <c r="J1552" i="7" s="1"/>
  <c r="K1551" i="7"/>
  <c r="H1551" i="7"/>
  <c r="J1551" i="7" s="1"/>
  <c r="K1550" i="7"/>
  <c r="H1550" i="7"/>
  <c r="J1550" i="7" s="1"/>
  <c r="K1549" i="7"/>
  <c r="H1549" i="7"/>
  <c r="J1549" i="7" s="1"/>
  <c r="K1548" i="7"/>
  <c r="H1548" i="7"/>
  <c r="J1548" i="7" s="1"/>
  <c r="K1547" i="7"/>
  <c r="H1547" i="7"/>
  <c r="J1547" i="7" s="1"/>
  <c r="K1546" i="7"/>
  <c r="H1546" i="7"/>
  <c r="J1546" i="7" s="1"/>
  <c r="K1545" i="7"/>
  <c r="H1545" i="7"/>
  <c r="J1545" i="7" s="1"/>
  <c r="K1544" i="7"/>
  <c r="H1544" i="7"/>
  <c r="J1544" i="7" s="1"/>
  <c r="K1543" i="7"/>
  <c r="H1543" i="7"/>
  <c r="J1543" i="7" s="1"/>
  <c r="K1542" i="7"/>
  <c r="H1542" i="7"/>
  <c r="J1542" i="7" s="1"/>
  <c r="K1541" i="7"/>
  <c r="H1541" i="7"/>
  <c r="J1541" i="7" s="1"/>
  <c r="K1540" i="7"/>
  <c r="H1540" i="7"/>
  <c r="J1540" i="7" s="1"/>
  <c r="K1539" i="7"/>
  <c r="H1539" i="7"/>
  <c r="J1539" i="7" s="1"/>
  <c r="K1538" i="7"/>
  <c r="H1538" i="7"/>
  <c r="J1538" i="7" s="1"/>
  <c r="K1537" i="7"/>
  <c r="H1537" i="7"/>
  <c r="J1537" i="7" s="1"/>
  <c r="K1536" i="7"/>
  <c r="H1536" i="7"/>
  <c r="J1536" i="7" s="1"/>
  <c r="K1535" i="7"/>
  <c r="H1535" i="7"/>
  <c r="J1535" i="7" s="1"/>
  <c r="K1534" i="7"/>
  <c r="H1534" i="7"/>
  <c r="J1534" i="7" s="1"/>
  <c r="K1533" i="7"/>
  <c r="H1533" i="7"/>
  <c r="J1533" i="7" s="1"/>
  <c r="K1532" i="7"/>
  <c r="H1532" i="7"/>
  <c r="J1532" i="7" s="1"/>
  <c r="K1531" i="7"/>
  <c r="H1531" i="7"/>
  <c r="J1531" i="7" s="1"/>
  <c r="K1530" i="7"/>
  <c r="H1530" i="7"/>
  <c r="J1530" i="7" s="1"/>
  <c r="K1529" i="7"/>
  <c r="H1529" i="7"/>
  <c r="J1529" i="7" s="1"/>
  <c r="K1528" i="7"/>
  <c r="H1528" i="7"/>
  <c r="J1528" i="7" s="1"/>
  <c r="K1527" i="7"/>
  <c r="H1527" i="7"/>
  <c r="J1527" i="7" s="1"/>
  <c r="K1526" i="7"/>
  <c r="H1526" i="7"/>
  <c r="J1526" i="7" s="1"/>
  <c r="K1525" i="7"/>
  <c r="H1525" i="7"/>
  <c r="J1525" i="7" s="1"/>
  <c r="K1524" i="7"/>
  <c r="H1524" i="7"/>
  <c r="J1524" i="7" s="1"/>
  <c r="K1523" i="7"/>
  <c r="H1523" i="7"/>
  <c r="J1523" i="7" s="1"/>
  <c r="K1522" i="7"/>
  <c r="H1522" i="7"/>
  <c r="J1522" i="7" s="1"/>
  <c r="K1521" i="7"/>
  <c r="H1521" i="7"/>
  <c r="J1521" i="7" s="1"/>
  <c r="K1520" i="7"/>
  <c r="H1520" i="7"/>
  <c r="J1520" i="7" s="1"/>
  <c r="K1519" i="7"/>
  <c r="H1519" i="7"/>
  <c r="J1519" i="7" s="1"/>
  <c r="K1518" i="7"/>
  <c r="H1518" i="7"/>
  <c r="J1518" i="7" s="1"/>
  <c r="K1517" i="7"/>
  <c r="H1517" i="7"/>
  <c r="J1517" i="7" s="1"/>
  <c r="K1516" i="7"/>
  <c r="H1516" i="7"/>
  <c r="J1516" i="7" s="1"/>
  <c r="K1515" i="7"/>
  <c r="H1515" i="7"/>
  <c r="J1515" i="7" s="1"/>
  <c r="K1514" i="7"/>
  <c r="H1514" i="7"/>
  <c r="J1514" i="7" s="1"/>
  <c r="K1513" i="7"/>
  <c r="H1513" i="7"/>
  <c r="J1513" i="7" s="1"/>
  <c r="K1512" i="7"/>
  <c r="H1512" i="7"/>
  <c r="J1512" i="7" s="1"/>
  <c r="K1511" i="7"/>
  <c r="H1511" i="7"/>
  <c r="J1511" i="7" s="1"/>
  <c r="K1510" i="7"/>
  <c r="H1510" i="7"/>
  <c r="J1510" i="7" s="1"/>
  <c r="K1509" i="7"/>
  <c r="H1509" i="7"/>
  <c r="J1509" i="7" s="1"/>
  <c r="K1508" i="7"/>
  <c r="H1508" i="7"/>
  <c r="J1508" i="7" s="1"/>
  <c r="K1507" i="7"/>
  <c r="H1507" i="7"/>
  <c r="J1507" i="7" s="1"/>
  <c r="K1506" i="7"/>
  <c r="H1506" i="7"/>
  <c r="J1506" i="7" s="1"/>
  <c r="K1505" i="7"/>
  <c r="H1505" i="7"/>
  <c r="J1505" i="7" s="1"/>
  <c r="K1504" i="7"/>
  <c r="H1504" i="7"/>
  <c r="J1504" i="7" s="1"/>
  <c r="K1503" i="7"/>
  <c r="H1503" i="7"/>
  <c r="J1503" i="7" s="1"/>
  <c r="K1502" i="7"/>
  <c r="H1502" i="7"/>
  <c r="J1502" i="7" s="1"/>
  <c r="K1501" i="7"/>
  <c r="H1501" i="7"/>
  <c r="J1501" i="7" s="1"/>
  <c r="K1500" i="7"/>
  <c r="H1500" i="7"/>
  <c r="J1500" i="7" s="1"/>
  <c r="K1499" i="7"/>
  <c r="H1499" i="7"/>
  <c r="J1499" i="7" s="1"/>
  <c r="K1498" i="7"/>
  <c r="H1498" i="7"/>
  <c r="J1498" i="7" s="1"/>
  <c r="K1497" i="7"/>
  <c r="H1497" i="7"/>
  <c r="J1497" i="7" s="1"/>
  <c r="K1496" i="7"/>
  <c r="H1496" i="7"/>
  <c r="J1496" i="7" s="1"/>
  <c r="K1495" i="7"/>
  <c r="H1495" i="7"/>
  <c r="J1495" i="7" s="1"/>
  <c r="K1494" i="7"/>
  <c r="H1494" i="7"/>
  <c r="J1494" i="7" s="1"/>
  <c r="K1493" i="7"/>
  <c r="H1493" i="7"/>
  <c r="J1493" i="7" s="1"/>
  <c r="K1492" i="7"/>
  <c r="H1492" i="7"/>
  <c r="J1492" i="7" s="1"/>
  <c r="K1491" i="7"/>
  <c r="H1491" i="7"/>
  <c r="J1491" i="7" s="1"/>
  <c r="K1490" i="7"/>
  <c r="H1490" i="7"/>
  <c r="J1490" i="7" s="1"/>
  <c r="K1489" i="7"/>
  <c r="H1489" i="7"/>
  <c r="J1489" i="7" s="1"/>
  <c r="K1488" i="7"/>
  <c r="H1488" i="7"/>
  <c r="J1488" i="7" s="1"/>
  <c r="K1487" i="7"/>
  <c r="H1487" i="7"/>
  <c r="J1487" i="7" s="1"/>
  <c r="K1486" i="7"/>
  <c r="H1486" i="7"/>
  <c r="J1486" i="7" s="1"/>
  <c r="K1485" i="7"/>
  <c r="H1485" i="7"/>
  <c r="J1485" i="7" s="1"/>
  <c r="K1484" i="7"/>
  <c r="H1484" i="7"/>
  <c r="J1484" i="7" s="1"/>
  <c r="K1483" i="7"/>
  <c r="H1483" i="7"/>
  <c r="J1483" i="7" s="1"/>
  <c r="K1482" i="7"/>
  <c r="H1482" i="7"/>
  <c r="J1482" i="7" s="1"/>
  <c r="K1481" i="7"/>
  <c r="H1481" i="7"/>
  <c r="J1481" i="7" s="1"/>
  <c r="K1480" i="7"/>
  <c r="H1480" i="7"/>
  <c r="J1480" i="7" s="1"/>
  <c r="K1479" i="7"/>
  <c r="H1479" i="7"/>
  <c r="J1479" i="7" s="1"/>
  <c r="K1478" i="7"/>
  <c r="H1478" i="7"/>
  <c r="J1478" i="7" s="1"/>
  <c r="K1477" i="7"/>
  <c r="H1477" i="7"/>
  <c r="J1477" i="7" s="1"/>
  <c r="K1476" i="7"/>
  <c r="H1476" i="7"/>
  <c r="J1476" i="7" s="1"/>
  <c r="K1475" i="7"/>
  <c r="H1475" i="7"/>
  <c r="J1475" i="7" s="1"/>
  <c r="K1474" i="7"/>
  <c r="H1474" i="7"/>
  <c r="J1474" i="7" s="1"/>
  <c r="K1473" i="7"/>
  <c r="H1473" i="7"/>
  <c r="J1473" i="7" s="1"/>
  <c r="K1472" i="7"/>
  <c r="H1472" i="7"/>
  <c r="J1472" i="7" s="1"/>
  <c r="K1471" i="7"/>
  <c r="H1471" i="7"/>
  <c r="J1471" i="7" s="1"/>
  <c r="K1470" i="7"/>
  <c r="H1470" i="7"/>
  <c r="J1470" i="7" s="1"/>
  <c r="K1469" i="7"/>
  <c r="H1469" i="7"/>
  <c r="J1469" i="7" s="1"/>
  <c r="K1468" i="7"/>
  <c r="H1468" i="7"/>
  <c r="J1468" i="7" s="1"/>
  <c r="K1467" i="7"/>
  <c r="H1467" i="7"/>
  <c r="J1467" i="7" s="1"/>
  <c r="K1466" i="7"/>
  <c r="H1466" i="7"/>
  <c r="J1466" i="7" s="1"/>
  <c r="K1465" i="7"/>
  <c r="H1465" i="7"/>
  <c r="J1465" i="7" s="1"/>
  <c r="K1464" i="7"/>
  <c r="H1464" i="7"/>
  <c r="J1464" i="7" s="1"/>
  <c r="K1463" i="7"/>
  <c r="H1463" i="7"/>
  <c r="J1463" i="7" s="1"/>
  <c r="K1462" i="7"/>
  <c r="H1462" i="7"/>
  <c r="J1462" i="7" s="1"/>
  <c r="K1461" i="7"/>
  <c r="H1461" i="7"/>
  <c r="J1461" i="7" s="1"/>
  <c r="K1460" i="7"/>
  <c r="H1460" i="7"/>
  <c r="J1460" i="7" s="1"/>
  <c r="K1459" i="7"/>
  <c r="H1459" i="7"/>
  <c r="J1459" i="7" s="1"/>
  <c r="K1458" i="7"/>
  <c r="H1458" i="7"/>
  <c r="J1458" i="7" s="1"/>
  <c r="K1457" i="7"/>
  <c r="H1457" i="7"/>
  <c r="J1457" i="7" s="1"/>
  <c r="K1456" i="7"/>
  <c r="H1456" i="7"/>
  <c r="J1456" i="7" s="1"/>
  <c r="K1455" i="7"/>
  <c r="H1455" i="7"/>
  <c r="J1455" i="7" s="1"/>
  <c r="K1454" i="7"/>
  <c r="H1454" i="7"/>
  <c r="J1454" i="7" s="1"/>
  <c r="K1453" i="7"/>
  <c r="H1453" i="7"/>
  <c r="J1453" i="7" s="1"/>
  <c r="K1452" i="7"/>
  <c r="H1452" i="7"/>
  <c r="J1452" i="7" s="1"/>
  <c r="K1451" i="7"/>
  <c r="H1451" i="7"/>
  <c r="J1451" i="7" s="1"/>
  <c r="K1450" i="7"/>
  <c r="H1450" i="7"/>
  <c r="J1450" i="7" s="1"/>
  <c r="K1449" i="7"/>
  <c r="H1449" i="7"/>
  <c r="J1449" i="7" s="1"/>
  <c r="K1448" i="7"/>
  <c r="H1448" i="7"/>
  <c r="J1448" i="7" s="1"/>
  <c r="K1447" i="7"/>
  <c r="H1447" i="7"/>
  <c r="J1447" i="7" s="1"/>
  <c r="K1446" i="7"/>
  <c r="H1446" i="7"/>
  <c r="J1446" i="7" s="1"/>
  <c r="K1445" i="7"/>
  <c r="H1445" i="7"/>
  <c r="J1445" i="7" s="1"/>
  <c r="K1444" i="7"/>
  <c r="H1444" i="7"/>
  <c r="J1444" i="7" s="1"/>
  <c r="K1443" i="7"/>
  <c r="H1443" i="7"/>
  <c r="J1443" i="7" s="1"/>
  <c r="K1442" i="7"/>
  <c r="H1442" i="7"/>
  <c r="J1442" i="7" s="1"/>
  <c r="K1441" i="7"/>
  <c r="H1441" i="7"/>
  <c r="J1441" i="7" s="1"/>
  <c r="K1440" i="7"/>
  <c r="H1440" i="7"/>
  <c r="J1440" i="7" s="1"/>
  <c r="K1439" i="7"/>
  <c r="H1439" i="7"/>
  <c r="J1439" i="7" s="1"/>
  <c r="K1438" i="7"/>
  <c r="H1438" i="7"/>
  <c r="J1438" i="7" s="1"/>
  <c r="K1437" i="7"/>
  <c r="H1437" i="7"/>
  <c r="J1437" i="7" s="1"/>
  <c r="K1436" i="7"/>
  <c r="H1436" i="7"/>
  <c r="J1436" i="7" s="1"/>
  <c r="K1435" i="7"/>
  <c r="H1435" i="7"/>
  <c r="J1435" i="7" s="1"/>
  <c r="K1434" i="7"/>
  <c r="H1434" i="7"/>
  <c r="J1434" i="7" s="1"/>
  <c r="K1433" i="7"/>
  <c r="H1433" i="7"/>
  <c r="J1433" i="7" s="1"/>
  <c r="K1432" i="7"/>
  <c r="H1432" i="7"/>
  <c r="J1432" i="7" s="1"/>
  <c r="K1431" i="7"/>
  <c r="H1431" i="7"/>
  <c r="J1431" i="7" s="1"/>
  <c r="K1430" i="7"/>
  <c r="H1430" i="7"/>
  <c r="J1430" i="7" s="1"/>
  <c r="K1429" i="7"/>
  <c r="H1429" i="7"/>
  <c r="J1429" i="7" s="1"/>
  <c r="K1428" i="7"/>
  <c r="H1428" i="7"/>
  <c r="J1428" i="7" s="1"/>
  <c r="K1427" i="7"/>
  <c r="H1427" i="7"/>
  <c r="J1427" i="7" s="1"/>
  <c r="K1426" i="7"/>
  <c r="H1426" i="7"/>
  <c r="J1426" i="7" s="1"/>
  <c r="K1425" i="7"/>
  <c r="H1425" i="7"/>
  <c r="J1425" i="7" s="1"/>
  <c r="K1424" i="7"/>
  <c r="H1424" i="7"/>
  <c r="J1424" i="7" s="1"/>
  <c r="K1423" i="7"/>
  <c r="H1423" i="7"/>
  <c r="J1423" i="7" s="1"/>
  <c r="K1422" i="7"/>
  <c r="H1422" i="7"/>
  <c r="J1422" i="7" s="1"/>
  <c r="K1421" i="7"/>
  <c r="H1421" i="7"/>
  <c r="J1421" i="7" s="1"/>
  <c r="K1420" i="7"/>
  <c r="H1420" i="7"/>
  <c r="J1420" i="7" s="1"/>
  <c r="K1419" i="7"/>
  <c r="H1419" i="7"/>
  <c r="J1419" i="7" s="1"/>
  <c r="K1418" i="7"/>
  <c r="H1418" i="7"/>
  <c r="J1418" i="7" s="1"/>
  <c r="K1417" i="7"/>
  <c r="H1417" i="7"/>
  <c r="J1417" i="7" s="1"/>
  <c r="K1416" i="7"/>
  <c r="H1416" i="7"/>
  <c r="J1416" i="7" s="1"/>
  <c r="K1415" i="7"/>
  <c r="H1415" i="7"/>
  <c r="J1415" i="7" s="1"/>
  <c r="K1414" i="7"/>
  <c r="H1414" i="7"/>
  <c r="J1414" i="7" s="1"/>
  <c r="K1413" i="7"/>
  <c r="H1413" i="7"/>
  <c r="J1413" i="7" s="1"/>
  <c r="K1412" i="7"/>
  <c r="H1412" i="7"/>
  <c r="J1412" i="7" s="1"/>
  <c r="K1411" i="7"/>
  <c r="H1411" i="7"/>
  <c r="J1411" i="7" s="1"/>
  <c r="K1410" i="7"/>
  <c r="H1410" i="7"/>
  <c r="J1410" i="7" s="1"/>
  <c r="K1409" i="7"/>
  <c r="H1409" i="7"/>
  <c r="J1409" i="7" s="1"/>
  <c r="K1408" i="7"/>
  <c r="H1408" i="7"/>
  <c r="J1408" i="7" s="1"/>
  <c r="K1407" i="7"/>
  <c r="H1407" i="7"/>
  <c r="J1407" i="7" s="1"/>
  <c r="K1406" i="7"/>
  <c r="H1406" i="7"/>
  <c r="J1406" i="7" s="1"/>
  <c r="K1405" i="7"/>
  <c r="H1405" i="7"/>
  <c r="J1405" i="7" s="1"/>
  <c r="K1404" i="7"/>
  <c r="H1404" i="7"/>
  <c r="J1404" i="7" s="1"/>
  <c r="K1403" i="7"/>
  <c r="H1403" i="7"/>
  <c r="J1403" i="7" s="1"/>
  <c r="K1402" i="7"/>
  <c r="H1402" i="7"/>
  <c r="J1402" i="7" s="1"/>
  <c r="K1401" i="7"/>
  <c r="H1401" i="7"/>
  <c r="J1401" i="7" s="1"/>
  <c r="K1400" i="7"/>
  <c r="H1400" i="7"/>
  <c r="J1400" i="7" s="1"/>
  <c r="K1399" i="7"/>
  <c r="H1399" i="7"/>
  <c r="J1399" i="7" s="1"/>
  <c r="K1398" i="7"/>
  <c r="H1398" i="7"/>
  <c r="J1398" i="7" s="1"/>
  <c r="K1397" i="7"/>
  <c r="H1397" i="7"/>
  <c r="J1397" i="7" s="1"/>
  <c r="K1396" i="7"/>
  <c r="H1396" i="7"/>
  <c r="J1396" i="7" s="1"/>
  <c r="K1395" i="7"/>
  <c r="H1395" i="7"/>
  <c r="J1395" i="7" s="1"/>
  <c r="K1394" i="7"/>
  <c r="H1394" i="7"/>
  <c r="J1394" i="7" s="1"/>
  <c r="K1393" i="7"/>
  <c r="H1393" i="7"/>
  <c r="J1393" i="7" s="1"/>
  <c r="K1392" i="7"/>
  <c r="H1392" i="7"/>
  <c r="J1392" i="7" s="1"/>
  <c r="K1391" i="7"/>
  <c r="H1391" i="7"/>
  <c r="J1391" i="7" s="1"/>
  <c r="K1390" i="7"/>
  <c r="H1390" i="7"/>
  <c r="J1390" i="7" s="1"/>
  <c r="K1389" i="7"/>
  <c r="H1389" i="7"/>
  <c r="J1389" i="7" s="1"/>
  <c r="K1388" i="7"/>
  <c r="H1388" i="7"/>
  <c r="J1388" i="7" s="1"/>
  <c r="K1387" i="7"/>
  <c r="H1387" i="7"/>
  <c r="J1387" i="7" s="1"/>
  <c r="K1386" i="7"/>
  <c r="H1386" i="7"/>
  <c r="J1386" i="7" s="1"/>
  <c r="K1385" i="7"/>
  <c r="H1385" i="7"/>
  <c r="J1385" i="7" s="1"/>
  <c r="K1384" i="7"/>
  <c r="H1384" i="7"/>
  <c r="J1384" i="7" s="1"/>
  <c r="K1383" i="7"/>
  <c r="H1383" i="7"/>
  <c r="J1383" i="7" s="1"/>
  <c r="K1382" i="7"/>
  <c r="H1382" i="7"/>
  <c r="J1382" i="7" s="1"/>
  <c r="K1381" i="7"/>
  <c r="H1381" i="7"/>
  <c r="J1381" i="7" s="1"/>
  <c r="K1380" i="7"/>
  <c r="H1380" i="7"/>
  <c r="J1380" i="7" s="1"/>
  <c r="K1379" i="7"/>
  <c r="H1379" i="7"/>
  <c r="J1379" i="7" s="1"/>
  <c r="K1378" i="7"/>
  <c r="H1378" i="7"/>
  <c r="J1378" i="7" s="1"/>
  <c r="K1377" i="7"/>
  <c r="H1377" i="7"/>
  <c r="J1377" i="7" s="1"/>
  <c r="K1376" i="7"/>
  <c r="H1376" i="7"/>
  <c r="J1376" i="7" s="1"/>
  <c r="K1375" i="7"/>
  <c r="H1375" i="7"/>
  <c r="J1375" i="7" s="1"/>
  <c r="K1374" i="7"/>
  <c r="H1374" i="7"/>
  <c r="J1374" i="7" s="1"/>
  <c r="K1373" i="7"/>
  <c r="H1373" i="7"/>
  <c r="J1373" i="7" s="1"/>
  <c r="K1372" i="7"/>
  <c r="H1372" i="7"/>
  <c r="J1372" i="7" s="1"/>
  <c r="K1371" i="7"/>
  <c r="H1371" i="7"/>
  <c r="J1371" i="7" s="1"/>
  <c r="K1370" i="7"/>
  <c r="H1370" i="7"/>
  <c r="J1370" i="7" s="1"/>
  <c r="K1369" i="7"/>
  <c r="H1369" i="7"/>
  <c r="J1369" i="7" s="1"/>
  <c r="K1368" i="7"/>
  <c r="H1368" i="7"/>
  <c r="J1368" i="7" s="1"/>
  <c r="K1367" i="7"/>
  <c r="H1367" i="7"/>
  <c r="J1367" i="7" s="1"/>
  <c r="K1366" i="7"/>
  <c r="H1366" i="7"/>
  <c r="J1366" i="7" s="1"/>
  <c r="K1365" i="7"/>
  <c r="H1365" i="7"/>
  <c r="J1365" i="7" s="1"/>
  <c r="K1364" i="7"/>
  <c r="H1364" i="7"/>
  <c r="J1364" i="7" s="1"/>
  <c r="K1363" i="7"/>
  <c r="H1363" i="7"/>
  <c r="J1363" i="7" s="1"/>
  <c r="K1362" i="7"/>
  <c r="H1362" i="7"/>
  <c r="J1362" i="7" s="1"/>
  <c r="K1361" i="7"/>
  <c r="H1361" i="7"/>
  <c r="J1361" i="7" s="1"/>
  <c r="K1360" i="7"/>
  <c r="H1360" i="7"/>
  <c r="J1360" i="7" s="1"/>
  <c r="K1359" i="7"/>
  <c r="H1359" i="7"/>
  <c r="J1359" i="7" s="1"/>
  <c r="K1358" i="7"/>
  <c r="H1358" i="7"/>
  <c r="J1358" i="7" s="1"/>
  <c r="K1357" i="7"/>
  <c r="H1357" i="7"/>
  <c r="J1357" i="7" s="1"/>
  <c r="K1356" i="7"/>
  <c r="H1356" i="7"/>
  <c r="J1356" i="7" s="1"/>
  <c r="K1355" i="7"/>
  <c r="H1355" i="7"/>
  <c r="J1355" i="7" s="1"/>
  <c r="K1354" i="7"/>
  <c r="H1354" i="7"/>
  <c r="J1354" i="7" s="1"/>
  <c r="K1353" i="7"/>
  <c r="H1353" i="7"/>
  <c r="J1353" i="7" s="1"/>
  <c r="K1352" i="7"/>
  <c r="H1352" i="7"/>
  <c r="J1352" i="7" s="1"/>
  <c r="K1351" i="7"/>
  <c r="H1351" i="7"/>
  <c r="J1351" i="7" s="1"/>
  <c r="K1350" i="7"/>
  <c r="H1350" i="7"/>
  <c r="J1350" i="7" s="1"/>
  <c r="K1349" i="7"/>
  <c r="H1349" i="7"/>
  <c r="J1349" i="7" s="1"/>
  <c r="K1348" i="7"/>
  <c r="H1348" i="7"/>
  <c r="J1348" i="7" s="1"/>
  <c r="K1347" i="7"/>
  <c r="H1347" i="7"/>
  <c r="J1347" i="7" s="1"/>
  <c r="K1346" i="7"/>
  <c r="H1346" i="7"/>
  <c r="J1346" i="7" s="1"/>
  <c r="K1345" i="7"/>
  <c r="H1345" i="7"/>
  <c r="J1345" i="7" s="1"/>
  <c r="K1344" i="7"/>
  <c r="H1344" i="7"/>
  <c r="J1344" i="7" s="1"/>
  <c r="K1343" i="7"/>
  <c r="H1343" i="7"/>
  <c r="J1343" i="7" s="1"/>
  <c r="K1342" i="7"/>
  <c r="H1342" i="7"/>
  <c r="J1342" i="7" s="1"/>
  <c r="K1341" i="7"/>
  <c r="H1341" i="7"/>
  <c r="J1341" i="7" s="1"/>
  <c r="K1340" i="7"/>
  <c r="H1340" i="7"/>
  <c r="J1340" i="7" s="1"/>
  <c r="K1339" i="7"/>
  <c r="H1339" i="7"/>
  <c r="J1339" i="7" s="1"/>
  <c r="K1338" i="7"/>
  <c r="H1338" i="7"/>
  <c r="J1338" i="7" s="1"/>
  <c r="K1337" i="7"/>
  <c r="H1337" i="7"/>
  <c r="J1337" i="7" s="1"/>
  <c r="K1336" i="7"/>
  <c r="H1336" i="7"/>
  <c r="J1336" i="7" s="1"/>
  <c r="K1335" i="7"/>
  <c r="H1335" i="7"/>
  <c r="J1335" i="7" s="1"/>
  <c r="K1334" i="7"/>
  <c r="H1334" i="7"/>
  <c r="J1334" i="7" s="1"/>
  <c r="K1333" i="7"/>
  <c r="H1333" i="7"/>
  <c r="J1333" i="7" s="1"/>
  <c r="K1332" i="7"/>
  <c r="H1332" i="7"/>
  <c r="J1332" i="7" s="1"/>
  <c r="K1331" i="7"/>
  <c r="H1331" i="7"/>
  <c r="J1331" i="7" s="1"/>
  <c r="K1330" i="7"/>
  <c r="H1330" i="7"/>
  <c r="J1330" i="7" s="1"/>
  <c r="K1329" i="7"/>
  <c r="H1329" i="7"/>
  <c r="J1329" i="7" s="1"/>
  <c r="K1328" i="7"/>
  <c r="H1328" i="7"/>
  <c r="J1328" i="7" s="1"/>
  <c r="K1327" i="7"/>
  <c r="H1327" i="7"/>
  <c r="J1327" i="7" s="1"/>
  <c r="K1326" i="7"/>
  <c r="H1326" i="7"/>
  <c r="J1326" i="7" s="1"/>
  <c r="K1325" i="7"/>
  <c r="H1325" i="7"/>
  <c r="J1325" i="7" s="1"/>
  <c r="K1324" i="7"/>
  <c r="H1324" i="7"/>
  <c r="J1324" i="7" s="1"/>
  <c r="K1323" i="7"/>
  <c r="H1323" i="7"/>
  <c r="J1323" i="7" s="1"/>
  <c r="K1322" i="7"/>
  <c r="H1322" i="7"/>
  <c r="J1322" i="7" s="1"/>
  <c r="K1321" i="7"/>
  <c r="H1321" i="7"/>
  <c r="J1321" i="7" s="1"/>
  <c r="K1320" i="7"/>
  <c r="H1320" i="7"/>
  <c r="J1320" i="7" s="1"/>
  <c r="K1319" i="7"/>
  <c r="H1319" i="7"/>
  <c r="J1319" i="7" s="1"/>
  <c r="K1318" i="7"/>
  <c r="H1318" i="7"/>
  <c r="J1318" i="7" s="1"/>
  <c r="K1317" i="7"/>
  <c r="H1317" i="7"/>
  <c r="J1317" i="7" s="1"/>
  <c r="K1316" i="7"/>
  <c r="H1316" i="7"/>
  <c r="J1316" i="7" s="1"/>
  <c r="K1315" i="7"/>
  <c r="H1315" i="7"/>
  <c r="J1315" i="7" s="1"/>
  <c r="K1314" i="7"/>
  <c r="H1314" i="7"/>
  <c r="J1314" i="7" s="1"/>
  <c r="K1313" i="7"/>
  <c r="H1313" i="7"/>
  <c r="J1313" i="7" s="1"/>
  <c r="K1312" i="7"/>
  <c r="H1312" i="7"/>
  <c r="J1312" i="7" s="1"/>
  <c r="K1311" i="7"/>
  <c r="H1311" i="7"/>
  <c r="J1311" i="7" s="1"/>
  <c r="K1310" i="7"/>
  <c r="H1310" i="7"/>
  <c r="J1310" i="7" s="1"/>
  <c r="K1309" i="7"/>
  <c r="H1309" i="7"/>
  <c r="J1309" i="7" s="1"/>
  <c r="K1308" i="7"/>
  <c r="H1308" i="7"/>
  <c r="J1308" i="7" s="1"/>
  <c r="K1307" i="7"/>
  <c r="H1307" i="7"/>
  <c r="J1307" i="7" s="1"/>
  <c r="K1306" i="7"/>
  <c r="H1306" i="7"/>
  <c r="J1306" i="7" s="1"/>
  <c r="K1305" i="7"/>
  <c r="H1305" i="7"/>
  <c r="J1305" i="7" s="1"/>
  <c r="K1304" i="7"/>
  <c r="H1304" i="7"/>
  <c r="J1304" i="7" s="1"/>
  <c r="K1303" i="7"/>
  <c r="H1303" i="7"/>
  <c r="J1303" i="7" s="1"/>
  <c r="K1302" i="7"/>
  <c r="H1302" i="7"/>
  <c r="J1302" i="7" s="1"/>
  <c r="K1301" i="7"/>
  <c r="H1301" i="7"/>
  <c r="J1301" i="7" s="1"/>
  <c r="K1300" i="7"/>
  <c r="H1300" i="7"/>
  <c r="J1300" i="7" s="1"/>
  <c r="K1299" i="7"/>
  <c r="H1299" i="7"/>
  <c r="J1299" i="7" s="1"/>
  <c r="K1298" i="7"/>
  <c r="H1298" i="7"/>
  <c r="J1298" i="7" s="1"/>
  <c r="K1297" i="7"/>
  <c r="H1297" i="7"/>
  <c r="J1297" i="7" s="1"/>
  <c r="K1296" i="7"/>
  <c r="H1296" i="7"/>
  <c r="J1296" i="7" s="1"/>
  <c r="K1295" i="7"/>
  <c r="H1295" i="7"/>
  <c r="J1295" i="7" s="1"/>
  <c r="K1294" i="7"/>
  <c r="H1294" i="7"/>
  <c r="J1294" i="7" s="1"/>
  <c r="K1293" i="7"/>
  <c r="H1293" i="7"/>
  <c r="J1293" i="7" s="1"/>
  <c r="K1292" i="7"/>
  <c r="H1292" i="7"/>
  <c r="J1292" i="7" s="1"/>
  <c r="K1291" i="7"/>
  <c r="H1291" i="7"/>
  <c r="J1291" i="7" s="1"/>
  <c r="K1290" i="7"/>
  <c r="H1290" i="7"/>
  <c r="J1290" i="7" s="1"/>
  <c r="K1289" i="7"/>
  <c r="H1289" i="7"/>
  <c r="J1289" i="7" s="1"/>
  <c r="K1288" i="7"/>
  <c r="H1288" i="7"/>
  <c r="J1288" i="7" s="1"/>
  <c r="K1287" i="7"/>
  <c r="H1287" i="7"/>
  <c r="J1287" i="7" s="1"/>
  <c r="K1286" i="7"/>
  <c r="H1286" i="7"/>
  <c r="J1286" i="7" s="1"/>
  <c r="K1285" i="7"/>
  <c r="H1285" i="7"/>
  <c r="J1285" i="7" s="1"/>
  <c r="K1284" i="7"/>
  <c r="H1284" i="7"/>
  <c r="J1284" i="7" s="1"/>
  <c r="K1283" i="7"/>
  <c r="H1283" i="7"/>
  <c r="J1283" i="7" s="1"/>
  <c r="K1282" i="7"/>
  <c r="H1282" i="7"/>
  <c r="J1282" i="7" s="1"/>
  <c r="K1281" i="7"/>
  <c r="H1281" i="7"/>
  <c r="J1281" i="7" s="1"/>
  <c r="K1280" i="7"/>
  <c r="H1280" i="7"/>
  <c r="J1280" i="7" s="1"/>
  <c r="K1279" i="7"/>
  <c r="H1279" i="7"/>
  <c r="J1279" i="7" s="1"/>
  <c r="K1278" i="7"/>
  <c r="H1278" i="7"/>
  <c r="J1278" i="7" s="1"/>
  <c r="K1277" i="7"/>
  <c r="H1277" i="7"/>
  <c r="J1277" i="7" s="1"/>
  <c r="K1276" i="7"/>
  <c r="H1276" i="7"/>
  <c r="J1276" i="7" s="1"/>
  <c r="K1275" i="7"/>
  <c r="H1275" i="7"/>
  <c r="J1275" i="7" s="1"/>
  <c r="K1274" i="7"/>
  <c r="H1274" i="7"/>
  <c r="J1274" i="7" s="1"/>
  <c r="K1273" i="7"/>
  <c r="H1273" i="7"/>
  <c r="J1273" i="7" s="1"/>
  <c r="K1272" i="7"/>
  <c r="H1272" i="7"/>
  <c r="J1272" i="7" s="1"/>
  <c r="K1271" i="7"/>
  <c r="H1271" i="7"/>
  <c r="J1271" i="7" s="1"/>
  <c r="K1270" i="7"/>
  <c r="H1270" i="7"/>
  <c r="J1270" i="7" s="1"/>
  <c r="K1269" i="7"/>
  <c r="H1269" i="7"/>
  <c r="J1269" i="7" s="1"/>
  <c r="K1268" i="7"/>
  <c r="H1268" i="7"/>
  <c r="J1268" i="7" s="1"/>
  <c r="K1267" i="7"/>
  <c r="H1267" i="7"/>
  <c r="J1267" i="7" s="1"/>
  <c r="K1266" i="7"/>
  <c r="H1266" i="7"/>
  <c r="J1266" i="7" s="1"/>
  <c r="K1265" i="7"/>
  <c r="H1265" i="7"/>
  <c r="J1265" i="7" s="1"/>
  <c r="K1264" i="7"/>
  <c r="H1264" i="7"/>
  <c r="J1264" i="7" s="1"/>
  <c r="K1263" i="7"/>
  <c r="H1263" i="7"/>
  <c r="J1263" i="7" s="1"/>
  <c r="K1262" i="7"/>
  <c r="H1262" i="7"/>
  <c r="J1262" i="7" s="1"/>
  <c r="K1261" i="7"/>
  <c r="H1261" i="7"/>
  <c r="J1261" i="7" s="1"/>
  <c r="K1260" i="7"/>
  <c r="H1260" i="7"/>
  <c r="J1260" i="7" s="1"/>
  <c r="K1259" i="7"/>
  <c r="H1259" i="7"/>
  <c r="J1259" i="7" s="1"/>
  <c r="K1258" i="7"/>
  <c r="H1258" i="7"/>
  <c r="J1258" i="7" s="1"/>
  <c r="K1257" i="7"/>
  <c r="H1257" i="7"/>
  <c r="J1257" i="7" s="1"/>
  <c r="K1256" i="7"/>
  <c r="H1256" i="7"/>
  <c r="J1256" i="7" s="1"/>
  <c r="K1255" i="7"/>
  <c r="H1255" i="7"/>
  <c r="J1255" i="7" s="1"/>
  <c r="K1254" i="7"/>
  <c r="H1254" i="7"/>
  <c r="J1254" i="7" s="1"/>
  <c r="K1253" i="7"/>
  <c r="H1253" i="7"/>
  <c r="J1253" i="7" s="1"/>
  <c r="K1252" i="7"/>
  <c r="H1252" i="7"/>
  <c r="J1252" i="7" s="1"/>
  <c r="K1251" i="7"/>
  <c r="H1251" i="7"/>
  <c r="J1251" i="7" s="1"/>
  <c r="K1250" i="7"/>
  <c r="H1250" i="7"/>
  <c r="J1250" i="7" s="1"/>
  <c r="K1249" i="7"/>
  <c r="H1249" i="7"/>
  <c r="J1249" i="7" s="1"/>
  <c r="K1248" i="7"/>
  <c r="H1248" i="7"/>
  <c r="J1248" i="7" s="1"/>
  <c r="K1247" i="7"/>
  <c r="H1247" i="7"/>
  <c r="J1247" i="7" s="1"/>
  <c r="K1246" i="7"/>
  <c r="H1246" i="7"/>
  <c r="J1246" i="7" s="1"/>
  <c r="K1245" i="7"/>
  <c r="H1245" i="7"/>
  <c r="J1245" i="7" s="1"/>
  <c r="K1244" i="7"/>
  <c r="H1244" i="7"/>
  <c r="J1244" i="7" s="1"/>
  <c r="K1243" i="7"/>
  <c r="H1243" i="7"/>
  <c r="J1243" i="7" s="1"/>
  <c r="K1242" i="7"/>
  <c r="H1242" i="7"/>
  <c r="J1242" i="7" s="1"/>
  <c r="K1241" i="7"/>
  <c r="H1241" i="7"/>
  <c r="J1241" i="7" s="1"/>
  <c r="K1240" i="7"/>
  <c r="H1240" i="7"/>
  <c r="J1240" i="7" s="1"/>
  <c r="K1239" i="7"/>
  <c r="H1239" i="7"/>
  <c r="J1239" i="7" s="1"/>
  <c r="K1238" i="7"/>
  <c r="H1238" i="7"/>
  <c r="J1238" i="7" s="1"/>
  <c r="K1237" i="7"/>
  <c r="H1237" i="7"/>
  <c r="J1237" i="7" s="1"/>
  <c r="K1236" i="7"/>
  <c r="H1236" i="7"/>
  <c r="J1236" i="7" s="1"/>
  <c r="K1235" i="7"/>
  <c r="H1235" i="7"/>
  <c r="J1235" i="7" s="1"/>
  <c r="K1234" i="7"/>
  <c r="H1234" i="7"/>
  <c r="J1234" i="7" s="1"/>
  <c r="K1233" i="7"/>
  <c r="H1233" i="7"/>
  <c r="J1233" i="7" s="1"/>
  <c r="K1232" i="7"/>
  <c r="H1232" i="7"/>
  <c r="J1232" i="7" s="1"/>
  <c r="K1231" i="7"/>
  <c r="H1231" i="7"/>
  <c r="J1231" i="7" s="1"/>
  <c r="K1230" i="7"/>
  <c r="H1230" i="7"/>
  <c r="J1230" i="7" s="1"/>
  <c r="K1229" i="7"/>
  <c r="H1229" i="7"/>
  <c r="J1229" i="7" s="1"/>
  <c r="K1228" i="7"/>
  <c r="H1228" i="7"/>
  <c r="J1228" i="7" s="1"/>
  <c r="K1227" i="7"/>
  <c r="H1227" i="7"/>
  <c r="J1227" i="7" s="1"/>
  <c r="K1226" i="7"/>
  <c r="H1226" i="7"/>
  <c r="J1226" i="7" s="1"/>
  <c r="K1225" i="7"/>
  <c r="H1225" i="7"/>
  <c r="J1225" i="7" s="1"/>
  <c r="K1224" i="7"/>
  <c r="H1224" i="7"/>
  <c r="J1224" i="7" s="1"/>
  <c r="K1223" i="7"/>
  <c r="H1223" i="7"/>
  <c r="J1223" i="7" s="1"/>
  <c r="K1222" i="7"/>
  <c r="H1222" i="7"/>
  <c r="J1222" i="7" s="1"/>
  <c r="K1221" i="7"/>
  <c r="H1221" i="7"/>
  <c r="J1221" i="7" s="1"/>
  <c r="K1220" i="7"/>
  <c r="H1220" i="7"/>
  <c r="J1220" i="7" s="1"/>
  <c r="K1219" i="7"/>
  <c r="H1219" i="7"/>
  <c r="J1219" i="7" s="1"/>
  <c r="K1218" i="7"/>
  <c r="H1218" i="7"/>
  <c r="J1218" i="7" s="1"/>
  <c r="K1217" i="7"/>
  <c r="H1217" i="7"/>
  <c r="J1217" i="7" s="1"/>
  <c r="K1216" i="7"/>
  <c r="H1216" i="7"/>
  <c r="J1216" i="7" s="1"/>
  <c r="K1215" i="7"/>
  <c r="H1215" i="7"/>
  <c r="J1215" i="7" s="1"/>
  <c r="K1214" i="7"/>
  <c r="H1214" i="7"/>
  <c r="J1214" i="7" s="1"/>
  <c r="K1213" i="7"/>
  <c r="H1213" i="7"/>
  <c r="J1213" i="7" s="1"/>
  <c r="K1212" i="7"/>
  <c r="H1212" i="7"/>
  <c r="J1212" i="7" s="1"/>
  <c r="K1211" i="7"/>
  <c r="H1211" i="7"/>
  <c r="J1211" i="7" s="1"/>
  <c r="K1210" i="7"/>
  <c r="H1210" i="7"/>
  <c r="J1210" i="7" s="1"/>
  <c r="K1209" i="7"/>
  <c r="H1209" i="7"/>
  <c r="J1209" i="7" s="1"/>
  <c r="K1208" i="7"/>
  <c r="H1208" i="7"/>
  <c r="J1208" i="7" s="1"/>
  <c r="K1207" i="7"/>
  <c r="H1207" i="7"/>
  <c r="J1207" i="7" s="1"/>
  <c r="K1206" i="7"/>
  <c r="H1206" i="7"/>
  <c r="J1206" i="7" s="1"/>
  <c r="K1205" i="7"/>
  <c r="H1205" i="7"/>
  <c r="J1205" i="7" s="1"/>
  <c r="K1204" i="7"/>
  <c r="H1204" i="7"/>
  <c r="J1204" i="7" s="1"/>
  <c r="K1203" i="7"/>
  <c r="H1203" i="7"/>
  <c r="J1203" i="7" s="1"/>
  <c r="K1202" i="7"/>
  <c r="H1202" i="7"/>
  <c r="J1202" i="7" s="1"/>
  <c r="K1201" i="7"/>
  <c r="H1201" i="7"/>
  <c r="J1201" i="7" s="1"/>
  <c r="K1200" i="7"/>
  <c r="H1200" i="7"/>
  <c r="J1200" i="7" s="1"/>
  <c r="K1199" i="7"/>
  <c r="H1199" i="7"/>
  <c r="J1199" i="7" s="1"/>
  <c r="K1198" i="7"/>
  <c r="H1198" i="7"/>
  <c r="J1198" i="7" s="1"/>
  <c r="K1197" i="7"/>
  <c r="H1197" i="7"/>
  <c r="J1197" i="7" s="1"/>
  <c r="K1196" i="7"/>
  <c r="H1196" i="7"/>
  <c r="J1196" i="7" s="1"/>
  <c r="K1195" i="7"/>
  <c r="H1195" i="7"/>
  <c r="J1195" i="7" s="1"/>
  <c r="K1194" i="7"/>
  <c r="H1194" i="7"/>
  <c r="J1194" i="7" s="1"/>
  <c r="K1193" i="7"/>
  <c r="H1193" i="7"/>
  <c r="J1193" i="7" s="1"/>
  <c r="K1192" i="7"/>
  <c r="H1192" i="7"/>
  <c r="J1192" i="7" s="1"/>
  <c r="K1191" i="7"/>
  <c r="H1191" i="7"/>
  <c r="J1191" i="7" s="1"/>
  <c r="K1190" i="7"/>
  <c r="H1190" i="7"/>
  <c r="J1190" i="7" s="1"/>
  <c r="K1189" i="7"/>
  <c r="H1189" i="7"/>
  <c r="J1189" i="7" s="1"/>
  <c r="K1188" i="7"/>
  <c r="H1188" i="7"/>
  <c r="J1188" i="7" s="1"/>
  <c r="K1187" i="7"/>
  <c r="H1187" i="7"/>
  <c r="J1187" i="7" s="1"/>
  <c r="K1186" i="7"/>
  <c r="H1186" i="7"/>
  <c r="J1186" i="7" s="1"/>
  <c r="K1185" i="7"/>
  <c r="H1185" i="7"/>
  <c r="J1185" i="7" s="1"/>
  <c r="K1184" i="7"/>
  <c r="H1184" i="7"/>
  <c r="J1184" i="7" s="1"/>
  <c r="K1183" i="7"/>
  <c r="H1183" i="7"/>
  <c r="J1183" i="7" s="1"/>
  <c r="K1182" i="7"/>
  <c r="H1182" i="7"/>
  <c r="J1182" i="7" s="1"/>
  <c r="K1181" i="7"/>
  <c r="H1181" i="7"/>
  <c r="J1181" i="7" s="1"/>
  <c r="K1180" i="7"/>
  <c r="H1180" i="7"/>
  <c r="J1180" i="7" s="1"/>
  <c r="K1179" i="7"/>
  <c r="H1179" i="7"/>
  <c r="J1179" i="7" s="1"/>
  <c r="K1178" i="7"/>
  <c r="H1178" i="7"/>
  <c r="J1178" i="7" s="1"/>
  <c r="K1177" i="7"/>
  <c r="H1177" i="7"/>
  <c r="J1177" i="7" s="1"/>
  <c r="K1176" i="7"/>
  <c r="H1176" i="7"/>
  <c r="J1176" i="7" s="1"/>
  <c r="K1175" i="7"/>
  <c r="H1175" i="7"/>
  <c r="J1175" i="7" s="1"/>
  <c r="K1174" i="7"/>
  <c r="H1174" i="7"/>
  <c r="J1174" i="7" s="1"/>
  <c r="K1173" i="7"/>
  <c r="H1173" i="7"/>
  <c r="J1173" i="7" s="1"/>
  <c r="K1172" i="7"/>
  <c r="H1172" i="7"/>
  <c r="J1172" i="7" s="1"/>
  <c r="K1171" i="7"/>
  <c r="H1171" i="7"/>
  <c r="J1171" i="7" s="1"/>
  <c r="K1170" i="7"/>
  <c r="H1170" i="7"/>
  <c r="J1170" i="7" s="1"/>
  <c r="K1169" i="7"/>
  <c r="H1169" i="7"/>
  <c r="J1169" i="7" s="1"/>
  <c r="K1168" i="7"/>
  <c r="H1168" i="7"/>
  <c r="J1168" i="7" s="1"/>
  <c r="K1167" i="7"/>
  <c r="H1167" i="7"/>
  <c r="J1167" i="7" s="1"/>
  <c r="K1166" i="7"/>
  <c r="H1166" i="7"/>
  <c r="J1166" i="7" s="1"/>
  <c r="K1165" i="7"/>
  <c r="H1165" i="7"/>
  <c r="J1165" i="7" s="1"/>
  <c r="K1164" i="7"/>
  <c r="H1164" i="7"/>
  <c r="J1164" i="7" s="1"/>
  <c r="K1163" i="7"/>
  <c r="H1163" i="7"/>
  <c r="J1163" i="7" s="1"/>
  <c r="K1162" i="7"/>
  <c r="H1162" i="7"/>
  <c r="J1162" i="7" s="1"/>
  <c r="K1161" i="7"/>
  <c r="H1161" i="7"/>
  <c r="J1161" i="7" s="1"/>
  <c r="K1160" i="7"/>
  <c r="H1160" i="7"/>
  <c r="J1160" i="7" s="1"/>
  <c r="K1159" i="7"/>
  <c r="H1159" i="7"/>
  <c r="J1159" i="7" s="1"/>
  <c r="K1158" i="7"/>
  <c r="H1158" i="7"/>
  <c r="J1158" i="7" s="1"/>
  <c r="K1157" i="7"/>
  <c r="H1157" i="7"/>
  <c r="J1157" i="7" s="1"/>
  <c r="K1156" i="7"/>
  <c r="H1156" i="7"/>
  <c r="J1156" i="7" s="1"/>
  <c r="K1155" i="7"/>
  <c r="H1155" i="7"/>
  <c r="J1155" i="7" s="1"/>
  <c r="K1154" i="7"/>
  <c r="H1154" i="7"/>
  <c r="J1154" i="7" s="1"/>
  <c r="K1153" i="7"/>
  <c r="H1153" i="7"/>
  <c r="J1153" i="7" s="1"/>
  <c r="K1152" i="7"/>
  <c r="H1152" i="7"/>
  <c r="J1152" i="7" s="1"/>
  <c r="K1151" i="7"/>
  <c r="H1151" i="7"/>
  <c r="J1151" i="7" s="1"/>
  <c r="K1150" i="7"/>
  <c r="H1150" i="7"/>
  <c r="J1150" i="7" s="1"/>
  <c r="K1149" i="7"/>
  <c r="H1149" i="7"/>
  <c r="J1149" i="7" s="1"/>
  <c r="K1148" i="7"/>
  <c r="H1148" i="7"/>
  <c r="J1148" i="7" s="1"/>
  <c r="K1147" i="7"/>
  <c r="H1147" i="7"/>
  <c r="J1147" i="7" s="1"/>
  <c r="K1146" i="7"/>
  <c r="H1146" i="7"/>
  <c r="J1146" i="7" s="1"/>
  <c r="K1145" i="7"/>
  <c r="H1145" i="7"/>
  <c r="J1145" i="7" s="1"/>
  <c r="K1144" i="7"/>
  <c r="H1144" i="7"/>
  <c r="J1144" i="7" s="1"/>
  <c r="K1143" i="7"/>
  <c r="H1143" i="7"/>
  <c r="J1143" i="7" s="1"/>
  <c r="K1142" i="7"/>
  <c r="H1142" i="7"/>
  <c r="J1142" i="7" s="1"/>
  <c r="K1141" i="7"/>
  <c r="H1141" i="7"/>
  <c r="J1141" i="7" s="1"/>
  <c r="K1140" i="7"/>
  <c r="H1140" i="7"/>
  <c r="J1140" i="7" s="1"/>
  <c r="K1139" i="7"/>
  <c r="H1139" i="7"/>
  <c r="J1139" i="7" s="1"/>
  <c r="K1138" i="7"/>
  <c r="H1138" i="7"/>
  <c r="J1138" i="7" s="1"/>
  <c r="K1137" i="7"/>
  <c r="H1137" i="7"/>
  <c r="J1137" i="7" s="1"/>
  <c r="K1136" i="7"/>
  <c r="H1136" i="7"/>
  <c r="J1136" i="7" s="1"/>
  <c r="K1135" i="7"/>
  <c r="H1135" i="7"/>
  <c r="J1135" i="7" s="1"/>
  <c r="K1134" i="7"/>
  <c r="H1134" i="7"/>
  <c r="J1134" i="7" s="1"/>
  <c r="K1133" i="7"/>
  <c r="H1133" i="7"/>
  <c r="J1133" i="7" s="1"/>
  <c r="K1132" i="7"/>
  <c r="H1132" i="7"/>
  <c r="J1132" i="7" s="1"/>
  <c r="K1131" i="7"/>
  <c r="H1131" i="7"/>
  <c r="J1131" i="7" s="1"/>
  <c r="K1130" i="7"/>
  <c r="H1130" i="7"/>
  <c r="J1130" i="7" s="1"/>
  <c r="K1129" i="7"/>
  <c r="H1129" i="7"/>
  <c r="J1129" i="7" s="1"/>
  <c r="K1128" i="7"/>
  <c r="H1128" i="7"/>
  <c r="J1128" i="7" s="1"/>
  <c r="K1127" i="7"/>
  <c r="H1127" i="7"/>
  <c r="J1127" i="7" s="1"/>
  <c r="K1126" i="7"/>
  <c r="H1126" i="7"/>
  <c r="J1126" i="7" s="1"/>
  <c r="K1125" i="7"/>
  <c r="H1125" i="7"/>
  <c r="J1125" i="7" s="1"/>
  <c r="K1124" i="7"/>
  <c r="H1124" i="7"/>
  <c r="J1124" i="7" s="1"/>
  <c r="K1123" i="7"/>
  <c r="H1123" i="7"/>
  <c r="J1123" i="7" s="1"/>
  <c r="K1122" i="7"/>
  <c r="H1122" i="7"/>
  <c r="J1122" i="7" s="1"/>
  <c r="K1121" i="7"/>
  <c r="H1121" i="7"/>
  <c r="J1121" i="7" s="1"/>
  <c r="K1120" i="7"/>
  <c r="H1120" i="7"/>
  <c r="J1120" i="7" s="1"/>
  <c r="K1119" i="7"/>
  <c r="H1119" i="7"/>
  <c r="J1119" i="7" s="1"/>
  <c r="K1118" i="7"/>
  <c r="H1118" i="7"/>
  <c r="J1118" i="7" s="1"/>
  <c r="K1117" i="7"/>
  <c r="H1117" i="7"/>
  <c r="J1117" i="7" s="1"/>
  <c r="K1116" i="7"/>
  <c r="H1116" i="7"/>
  <c r="J1116" i="7" s="1"/>
  <c r="K1115" i="7"/>
  <c r="H1115" i="7"/>
  <c r="J1115" i="7" s="1"/>
  <c r="K1114" i="7"/>
  <c r="H1114" i="7"/>
  <c r="J1114" i="7" s="1"/>
  <c r="K1113" i="7"/>
  <c r="H1113" i="7"/>
  <c r="J1113" i="7" s="1"/>
  <c r="K1112" i="7"/>
  <c r="H1112" i="7"/>
  <c r="J1112" i="7" s="1"/>
  <c r="K1111" i="7"/>
  <c r="H1111" i="7"/>
  <c r="J1111" i="7" s="1"/>
  <c r="K1110" i="7"/>
  <c r="H1110" i="7"/>
  <c r="J1110" i="7" s="1"/>
  <c r="K1109" i="7"/>
  <c r="H1109" i="7"/>
  <c r="J1109" i="7" s="1"/>
  <c r="K1108" i="7"/>
  <c r="H1108" i="7"/>
  <c r="J1108" i="7" s="1"/>
  <c r="K1107" i="7"/>
  <c r="H1107" i="7"/>
  <c r="J1107" i="7" s="1"/>
  <c r="K1106" i="7"/>
  <c r="H1106" i="7"/>
  <c r="J1106" i="7" s="1"/>
  <c r="K1105" i="7"/>
  <c r="H1105" i="7"/>
  <c r="J1105" i="7" s="1"/>
  <c r="K1104" i="7"/>
  <c r="H1104" i="7"/>
  <c r="J1104" i="7" s="1"/>
  <c r="K1103" i="7"/>
  <c r="H1103" i="7"/>
  <c r="J1103" i="7" s="1"/>
  <c r="K1102" i="7"/>
  <c r="H1102" i="7"/>
  <c r="J1102" i="7" s="1"/>
  <c r="K1101" i="7"/>
  <c r="H1101" i="7"/>
  <c r="J1101" i="7" s="1"/>
  <c r="K1100" i="7"/>
  <c r="H1100" i="7"/>
  <c r="J1100" i="7" s="1"/>
  <c r="K1099" i="7"/>
  <c r="H1099" i="7"/>
  <c r="J1099" i="7" s="1"/>
  <c r="K1098" i="7"/>
  <c r="H1098" i="7"/>
  <c r="J1098" i="7" s="1"/>
  <c r="K1097" i="7"/>
  <c r="H1097" i="7"/>
  <c r="J1097" i="7" s="1"/>
  <c r="K1096" i="7"/>
  <c r="H1096" i="7"/>
  <c r="J1096" i="7" s="1"/>
  <c r="K1095" i="7"/>
  <c r="H1095" i="7"/>
  <c r="J1095" i="7" s="1"/>
  <c r="K1094" i="7"/>
  <c r="H1094" i="7"/>
  <c r="J1094" i="7" s="1"/>
  <c r="K1093" i="7"/>
  <c r="H1093" i="7"/>
  <c r="J1093" i="7" s="1"/>
  <c r="K1092" i="7"/>
  <c r="H1092" i="7"/>
  <c r="J1092" i="7" s="1"/>
  <c r="K1091" i="7"/>
  <c r="H1091" i="7"/>
  <c r="J1091" i="7" s="1"/>
  <c r="K1090" i="7"/>
  <c r="H1090" i="7"/>
  <c r="J1090" i="7" s="1"/>
  <c r="K1089" i="7"/>
  <c r="H1089" i="7"/>
  <c r="J1089" i="7" s="1"/>
  <c r="K1088" i="7"/>
  <c r="H1088" i="7"/>
  <c r="J1088" i="7" s="1"/>
  <c r="K1087" i="7"/>
  <c r="H1087" i="7"/>
  <c r="J1087" i="7" s="1"/>
  <c r="K1086" i="7"/>
  <c r="H1086" i="7"/>
  <c r="J1086" i="7" s="1"/>
  <c r="K1085" i="7"/>
  <c r="H1085" i="7"/>
  <c r="J1085" i="7" s="1"/>
  <c r="K1084" i="7"/>
  <c r="H1084" i="7"/>
  <c r="J1084" i="7" s="1"/>
  <c r="K1083" i="7"/>
  <c r="H1083" i="7"/>
  <c r="J1083" i="7" s="1"/>
  <c r="K1082" i="7"/>
  <c r="H1082" i="7"/>
  <c r="J1082" i="7" s="1"/>
  <c r="K1081" i="7"/>
  <c r="H1081" i="7"/>
  <c r="J1081" i="7" s="1"/>
  <c r="K1080" i="7"/>
  <c r="H1080" i="7"/>
  <c r="J1080" i="7" s="1"/>
  <c r="K1079" i="7"/>
  <c r="H1079" i="7"/>
  <c r="J1079" i="7" s="1"/>
  <c r="K1078" i="7"/>
  <c r="H1078" i="7"/>
  <c r="J1078" i="7" s="1"/>
  <c r="K1077" i="7"/>
  <c r="H1077" i="7"/>
  <c r="J1077" i="7" s="1"/>
  <c r="K1076" i="7"/>
  <c r="H1076" i="7"/>
  <c r="J1076" i="7" s="1"/>
  <c r="K1075" i="7"/>
  <c r="H1075" i="7"/>
  <c r="J1075" i="7" s="1"/>
  <c r="K1074" i="7"/>
  <c r="H1074" i="7"/>
  <c r="J1074" i="7" s="1"/>
  <c r="K1073" i="7"/>
  <c r="H1073" i="7"/>
  <c r="J1073" i="7" s="1"/>
  <c r="K1072" i="7"/>
  <c r="H1072" i="7"/>
  <c r="J1072" i="7" s="1"/>
  <c r="K1071" i="7"/>
  <c r="H1071" i="7"/>
  <c r="J1071" i="7" s="1"/>
  <c r="K1070" i="7"/>
  <c r="H1070" i="7"/>
  <c r="J1070" i="7" s="1"/>
  <c r="K1069" i="7"/>
  <c r="H1069" i="7"/>
  <c r="J1069" i="7" s="1"/>
  <c r="K1068" i="7"/>
  <c r="H1068" i="7"/>
  <c r="J1068" i="7" s="1"/>
  <c r="K1067" i="7"/>
  <c r="H1067" i="7"/>
  <c r="J1067" i="7" s="1"/>
  <c r="K1066" i="7"/>
  <c r="H1066" i="7"/>
  <c r="J1066" i="7" s="1"/>
  <c r="K1065" i="7"/>
  <c r="H1065" i="7"/>
  <c r="J1065" i="7" s="1"/>
  <c r="K1064" i="7"/>
  <c r="H1064" i="7"/>
  <c r="J1064" i="7" s="1"/>
  <c r="K1063" i="7"/>
  <c r="H1063" i="7"/>
  <c r="J1063" i="7" s="1"/>
  <c r="K1062" i="7"/>
  <c r="H1062" i="7"/>
  <c r="J1062" i="7" s="1"/>
  <c r="K1061" i="7"/>
  <c r="H1061" i="7"/>
  <c r="J1061" i="7" s="1"/>
  <c r="K1060" i="7"/>
  <c r="H1060" i="7"/>
  <c r="J1060" i="7" s="1"/>
  <c r="K1059" i="7"/>
  <c r="H1059" i="7"/>
  <c r="J1059" i="7" s="1"/>
  <c r="K1058" i="7"/>
  <c r="H1058" i="7"/>
  <c r="J1058" i="7" s="1"/>
  <c r="K1057" i="7"/>
  <c r="H1057" i="7"/>
  <c r="J1057" i="7" s="1"/>
  <c r="K1056" i="7"/>
  <c r="H1056" i="7"/>
  <c r="J1056" i="7" s="1"/>
  <c r="K1055" i="7"/>
  <c r="H1055" i="7"/>
  <c r="J1055" i="7" s="1"/>
  <c r="K1054" i="7"/>
  <c r="H1054" i="7"/>
  <c r="J1054" i="7" s="1"/>
  <c r="K1053" i="7"/>
  <c r="H1053" i="7"/>
  <c r="J1053" i="7" s="1"/>
  <c r="K1052" i="7"/>
  <c r="H1052" i="7"/>
  <c r="J1052" i="7" s="1"/>
  <c r="K1051" i="7"/>
  <c r="H1051" i="7"/>
  <c r="J1051" i="7" s="1"/>
  <c r="K1050" i="7"/>
  <c r="H1050" i="7"/>
  <c r="J1050" i="7" s="1"/>
  <c r="K1049" i="7"/>
  <c r="H1049" i="7"/>
  <c r="J1049" i="7" s="1"/>
  <c r="K1048" i="7"/>
  <c r="H1048" i="7"/>
  <c r="J1048" i="7" s="1"/>
  <c r="K1047" i="7"/>
  <c r="H1047" i="7"/>
  <c r="J1047" i="7" s="1"/>
  <c r="K1046" i="7"/>
  <c r="H1046" i="7"/>
  <c r="J1046" i="7" s="1"/>
  <c r="K1045" i="7"/>
  <c r="H1045" i="7"/>
  <c r="J1045" i="7" s="1"/>
  <c r="K1044" i="7"/>
  <c r="H1044" i="7"/>
  <c r="J1044" i="7" s="1"/>
  <c r="K1043" i="7"/>
  <c r="H1043" i="7"/>
  <c r="J1043" i="7" s="1"/>
  <c r="K1042" i="7"/>
  <c r="H1042" i="7"/>
  <c r="J1042" i="7" s="1"/>
  <c r="K1041" i="7"/>
  <c r="H1041" i="7"/>
  <c r="J1041" i="7" s="1"/>
  <c r="K1040" i="7"/>
  <c r="H1040" i="7"/>
  <c r="J1040" i="7" s="1"/>
  <c r="K1039" i="7"/>
  <c r="H1039" i="7"/>
  <c r="J1039" i="7" s="1"/>
  <c r="K1038" i="7"/>
  <c r="H1038" i="7"/>
  <c r="J1038" i="7" s="1"/>
  <c r="K1037" i="7"/>
  <c r="H1037" i="7"/>
  <c r="J1037" i="7" s="1"/>
  <c r="K1036" i="7"/>
  <c r="H1036" i="7"/>
  <c r="J1036" i="7" s="1"/>
  <c r="K1035" i="7"/>
  <c r="H1035" i="7"/>
  <c r="J1035" i="7" s="1"/>
  <c r="K1034" i="7"/>
  <c r="H1034" i="7"/>
  <c r="J1034" i="7" s="1"/>
  <c r="K1033" i="7"/>
  <c r="H1033" i="7"/>
  <c r="J1033" i="7" s="1"/>
  <c r="K1032" i="7"/>
  <c r="H1032" i="7"/>
  <c r="J1032" i="7" s="1"/>
  <c r="K1031" i="7"/>
  <c r="H1031" i="7"/>
  <c r="J1031" i="7" s="1"/>
  <c r="K1030" i="7"/>
  <c r="H1030" i="7"/>
  <c r="J1030" i="7" s="1"/>
  <c r="K1029" i="7"/>
  <c r="H1029" i="7"/>
  <c r="J1029" i="7" s="1"/>
  <c r="K1028" i="7"/>
  <c r="H1028" i="7"/>
  <c r="J1028" i="7" s="1"/>
  <c r="K1027" i="7"/>
  <c r="H1027" i="7"/>
  <c r="J1027" i="7" s="1"/>
  <c r="K1026" i="7"/>
  <c r="H1026" i="7"/>
  <c r="J1026" i="7" s="1"/>
  <c r="K1025" i="7"/>
  <c r="H1025" i="7"/>
  <c r="J1025" i="7" s="1"/>
  <c r="K1024" i="7"/>
  <c r="H1024" i="7"/>
  <c r="J1024" i="7" s="1"/>
  <c r="K1023" i="7"/>
  <c r="H1023" i="7"/>
  <c r="J1023" i="7" s="1"/>
  <c r="K1022" i="7"/>
  <c r="H1022" i="7"/>
  <c r="J1022" i="7" s="1"/>
  <c r="K1021" i="7"/>
  <c r="H1021" i="7"/>
  <c r="J1021" i="7" s="1"/>
  <c r="K1020" i="7"/>
  <c r="H1020" i="7"/>
  <c r="J1020" i="7" s="1"/>
  <c r="K1019" i="7"/>
  <c r="H1019" i="7"/>
  <c r="J1019" i="7" s="1"/>
  <c r="K1018" i="7"/>
  <c r="H1018" i="7"/>
  <c r="J1018" i="7" s="1"/>
  <c r="K1017" i="7"/>
  <c r="H1017" i="7"/>
  <c r="J1017" i="7" s="1"/>
  <c r="K1016" i="7"/>
  <c r="H1016" i="7"/>
  <c r="J1016" i="7" s="1"/>
  <c r="K1015" i="7"/>
  <c r="H1015" i="7"/>
  <c r="J1015" i="7" s="1"/>
  <c r="K1014" i="7"/>
  <c r="H1014" i="7"/>
  <c r="J1014" i="7" s="1"/>
  <c r="K1013" i="7"/>
  <c r="H1013" i="7"/>
  <c r="J1013" i="7" s="1"/>
  <c r="K1012" i="7"/>
  <c r="H1012" i="7"/>
  <c r="J1012" i="7" s="1"/>
  <c r="K1011" i="7"/>
  <c r="H1011" i="7"/>
  <c r="J1011" i="7" s="1"/>
  <c r="K1010" i="7"/>
  <c r="H1010" i="7"/>
  <c r="J1010" i="7" s="1"/>
  <c r="K1009" i="7"/>
  <c r="H1009" i="7"/>
  <c r="J1009" i="7" s="1"/>
  <c r="K1008" i="7"/>
  <c r="H1008" i="7"/>
  <c r="J1008" i="7" s="1"/>
  <c r="K1007" i="7"/>
  <c r="H1007" i="7"/>
  <c r="J1007" i="7" s="1"/>
  <c r="K1006" i="7"/>
  <c r="H1006" i="7"/>
  <c r="J1006" i="7" s="1"/>
  <c r="K1005" i="7"/>
  <c r="H1005" i="7"/>
  <c r="J1005" i="7" s="1"/>
  <c r="K1004" i="7"/>
  <c r="H1004" i="7"/>
  <c r="J1004" i="7" s="1"/>
  <c r="K1003" i="7"/>
  <c r="H1003" i="7"/>
  <c r="J1003" i="7" s="1"/>
  <c r="K1002" i="7"/>
  <c r="H1002" i="7"/>
  <c r="J1002" i="7" s="1"/>
  <c r="K1001" i="7"/>
  <c r="H1001" i="7"/>
  <c r="J1001" i="7" s="1"/>
  <c r="K1000" i="7"/>
  <c r="H1000" i="7"/>
  <c r="J1000" i="7" s="1"/>
  <c r="K999" i="7"/>
  <c r="H999" i="7"/>
  <c r="J999" i="7" s="1"/>
  <c r="K998" i="7"/>
  <c r="H998" i="7"/>
  <c r="J998" i="7" s="1"/>
  <c r="K997" i="7"/>
  <c r="H997" i="7"/>
  <c r="J997" i="7" s="1"/>
  <c r="K996" i="7"/>
  <c r="H996" i="7"/>
  <c r="J996" i="7" s="1"/>
  <c r="K995" i="7"/>
  <c r="H995" i="7"/>
  <c r="J995" i="7" s="1"/>
  <c r="K994" i="7"/>
  <c r="H994" i="7"/>
  <c r="J994" i="7" s="1"/>
  <c r="K993" i="7"/>
  <c r="H993" i="7"/>
  <c r="J993" i="7" s="1"/>
  <c r="K992" i="7"/>
  <c r="H992" i="7"/>
  <c r="J992" i="7" s="1"/>
  <c r="K991" i="7"/>
  <c r="H991" i="7"/>
  <c r="J991" i="7" s="1"/>
  <c r="K990" i="7"/>
  <c r="H990" i="7"/>
  <c r="J990" i="7" s="1"/>
  <c r="K989" i="7"/>
  <c r="H989" i="7"/>
  <c r="J989" i="7" s="1"/>
  <c r="K988" i="7"/>
  <c r="H988" i="7"/>
  <c r="J988" i="7" s="1"/>
  <c r="K987" i="7"/>
  <c r="H987" i="7"/>
  <c r="J987" i="7" s="1"/>
  <c r="K986" i="7"/>
  <c r="H986" i="7"/>
  <c r="J986" i="7" s="1"/>
  <c r="K985" i="7"/>
  <c r="H985" i="7"/>
  <c r="J985" i="7" s="1"/>
  <c r="K984" i="7"/>
  <c r="H984" i="7"/>
  <c r="J984" i="7" s="1"/>
  <c r="K983" i="7"/>
  <c r="H983" i="7"/>
  <c r="J983" i="7" s="1"/>
  <c r="K982" i="7"/>
  <c r="H982" i="7"/>
  <c r="J982" i="7" s="1"/>
  <c r="K981" i="7"/>
  <c r="H981" i="7"/>
  <c r="J981" i="7" s="1"/>
  <c r="K980" i="7"/>
  <c r="H980" i="7"/>
  <c r="J980" i="7" s="1"/>
  <c r="K979" i="7"/>
  <c r="H979" i="7"/>
  <c r="J979" i="7" s="1"/>
  <c r="K978" i="7"/>
  <c r="H978" i="7"/>
  <c r="J978" i="7" s="1"/>
  <c r="K977" i="7"/>
  <c r="H977" i="7"/>
  <c r="J977" i="7" s="1"/>
  <c r="K976" i="7"/>
  <c r="H976" i="7"/>
  <c r="J976" i="7" s="1"/>
  <c r="K975" i="7"/>
  <c r="H975" i="7"/>
  <c r="J975" i="7" s="1"/>
  <c r="K974" i="7"/>
  <c r="H974" i="7"/>
  <c r="J974" i="7" s="1"/>
  <c r="K973" i="7"/>
  <c r="H973" i="7"/>
  <c r="J973" i="7" s="1"/>
  <c r="K972" i="7"/>
  <c r="H972" i="7"/>
  <c r="J972" i="7" s="1"/>
  <c r="K971" i="7"/>
  <c r="H971" i="7"/>
  <c r="J971" i="7" s="1"/>
  <c r="K970" i="7"/>
  <c r="H970" i="7"/>
  <c r="J970" i="7" s="1"/>
  <c r="K969" i="7"/>
  <c r="H969" i="7"/>
  <c r="J969" i="7" s="1"/>
  <c r="K968" i="7"/>
  <c r="H968" i="7"/>
  <c r="J968" i="7" s="1"/>
  <c r="K967" i="7"/>
  <c r="H967" i="7"/>
  <c r="J967" i="7" s="1"/>
  <c r="K966" i="7"/>
  <c r="H966" i="7"/>
  <c r="J966" i="7" s="1"/>
  <c r="K965" i="7"/>
  <c r="H965" i="7"/>
  <c r="J965" i="7" s="1"/>
  <c r="K964" i="7"/>
  <c r="H964" i="7"/>
  <c r="J964" i="7" s="1"/>
  <c r="K963" i="7"/>
  <c r="H963" i="7"/>
  <c r="J963" i="7" s="1"/>
  <c r="K962" i="7"/>
  <c r="H962" i="7"/>
  <c r="J962" i="7" s="1"/>
  <c r="K961" i="7"/>
  <c r="H961" i="7"/>
  <c r="J961" i="7" s="1"/>
  <c r="K960" i="7"/>
  <c r="H960" i="7"/>
  <c r="J960" i="7" s="1"/>
  <c r="K959" i="7"/>
  <c r="H959" i="7"/>
  <c r="J959" i="7" s="1"/>
  <c r="K958" i="7"/>
  <c r="H958" i="7"/>
  <c r="J958" i="7" s="1"/>
  <c r="K957" i="7"/>
  <c r="H957" i="7"/>
  <c r="J957" i="7" s="1"/>
  <c r="K956" i="7"/>
  <c r="H956" i="7"/>
  <c r="J956" i="7" s="1"/>
  <c r="K955" i="7"/>
  <c r="H955" i="7"/>
  <c r="J955" i="7" s="1"/>
  <c r="K954" i="7"/>
  <c r="H954" i="7"/>
  <c r="J954" i="7" s="1"/>
  <c r="K953" i="7"/>
  <c r="H953" i="7"/>
  <c r="J953" i="7" s="1"/>
  <c r="K952" i="7"/>
  <c r="H952" i="7"/>
  <c r="J952" i="7" s="1"/>
  <c r="K951" i="7"/>
  <c r="H951" i="7"/>
  <c r="J951" i="7" s="1"/>
  <c r="K950" i="7"/>
  <c r="H950" i="7"/>
  <c r="J950" i="7" s="1"/>
  <c r="K949" i="7"/>
  <c r="H949" i="7"/>
  <c r="J949" i="7" s="1"/>
  <c r="K948" i="7"/>
  <c r="H948" i="7"/>
  <c r="J948" i="7" s="1"/>
  <c r="K947" i="7"/>
  <c r="H947" i="7"/>
  <c r="J947" i="7" s="1"/>
  <c r="K946" i="7"/>
  <c r="H946" i="7"/>
  <c r="J946" i="7" s="1"/>
  <c r="K945" i="7"/>
  <c r="H945" i="7"/>
  <c r="J945" i="7" s="1"/>
  <c r="K944" i="7"/>
  <c r="H944" i="7"/>
  <c r="J944" i="7" s="1"/>
  <c r="K943" i="7"/>
  <c r="H943" i="7"/>
  <c r="J943" i="7" s="1"/>
  <c r="K942" i="7"/>
  <c r="H942" i="7"/>
  <c r="J942" i="7" s="1"/>
  <c r="K941" i="7"/>
  <c r="H941" i="7"/>
  <c r="J941" i="7" s="1"/>
  <c r="K940" i="7"/>
  <c r="H940" i="7"/>
  <c r="J940" i="7" s="1"/>
  <c r="K939" i="7"/>
  <c r="H939" i="7"/>
  <c r="J939" i="7" s="1"/>
  <c r="K938" i="7"/>
  <c r="H938" i="7"/>
  <c r="J938" i="7" s="1"/>
  <c r="K937" i="7"/>
  <c r="H937" i="7"/>
  <c r="J937" i="7" s="1"/>
  <c r="K936" i="7"/>
  <c r="H936" i="7"/>
  <c r="J936" i="7" s="1"/>
  <c r="K935" i="7"/>
  <c r="H935" i="7"/>
  <c r="J935" i="7" s="1"/>
  <c r="K934" i="7"/>
  <c r="H934" i="7"/>
  <c r="J934" i="7" s="1"/>
  <c r="K933" i="7"/>
  <c r="H933" i="7"/>
  <c r="J933" i="7" s="1"/>
  <c r="K932" i="7"/>
  <c r="H932" i="7"/>
  <c r="J932" i="7" s="1"/>
  <c r="K931" i="7"/>
  <c r="H931" i="7"/>
  <c r="J931" i="7" s="1"/>
  <c r="K930" i="7"/>
  <c r="H930" i="7"/>
  <c r="J930" i="7" s="1"/>
  <c r="K929" i="7"/>
  <c r="H929" i="7"/>
  <c r="J929" i="7" s="1"/>
  <c r="K928" i="7"/>
  <c r="H928" i="7"/>
  <c r="J928" i="7" s="1"/>
  <c r="K927" i="7"/>
  <c r="H927" i="7"/>
  <c r="J927" i="7" s="1"/>
  <c r="K926" i="7"/>
  <c r="H926" i="7"/>
  <c r="J926" i="7" s="1"/>
  <c r="K925" i="7"/>
  <c r="H925" i="7"/>
  <c r="J925" i="7" s="1"/>
  <c r="K924" i="7"/>
  <c r="H924" i="7"/>
  <c r="J924" i="7" s="1"/>
  <c r="K923" i="7"/>
  <c r="H923" i="7"/>
  <c r="J923" i="7" s="1"/>
  <c r="K922" i="7"/>
  <c r="H922" i="7"/>
  <c r="J922" i="7" s="1"/>
  <c r="K921" i="7"/>
  <c r="H921" i="7"/>
  <c r="J921" i="7" s="1"/>
  <c r="K920" i="7"/>
  <c r="H920" i="7"/>
  <c r="J920" i="7" s="1"/>
  <c r="K919" i="7"/>
  <c r="H919" i="7"/>
  <c r="J919" i="7" s="1"/>
  <c r="K918" i="7"/>
  <c r="H918" i="7"/>
  <c r="J918" i="7" s="1"/>
  <c r="K917" i="7"/>
  <c r="H917" i="7"/>
  <c r="J917" i="7" s="1"/>
  <c r="K916" i="7"/>
  <c r="H916" i="7"/>
  <c r="J916" i="7" s="1"/>
  <c r="K915" i="7"/>
  <c r="H915" i="7"/>
  <c r="J915" i="7" s="1"/>
  <c r="K914" i="7"/>
  <c r="H914" i="7"/>
  <c r="J914" i="7" s="1"/>
  <c r="K913" i="7"/>
  <c r="H913" i="7"/>
  <c r="J913" i="7" s="1"/>
  <c r="K912" i="7"/>
  <c r="H912" i="7"/>
  <c r="J912" i="7" s="1"/>
  <c r="K911" i="7"/>
  <c r="H911" i="7"/>
  <c r="J911" i="7" s="1"/>
  <c r="K910" i="7"/>
  <c r="H910" i="7"/>
  <c r="J910" i="7" s="1"/>
  <c r="K909" i="7"/>
  <c r="H909" i="7"/>
  <c r="J909" i="7" s="1"/>
  <c r="K908" i="7"/>
  <c r="H908" i="7"/>
  <c r="J908" i="7" s="1"/>
  <c r="K907" i="7"/>
  <c r="H907" i="7"/>
  <c r="J907" i="7" s="1"/>
  <c r="K906" i="7"/>
  <c r="H906" i="7"/>
  <c r="J906" i="7" s="1"/>
  <c r="K905" i="7"/>
  <c r="H905" i="7"/>
  <c r="J905" i="7" s="1"/>
  <c r="K904" i="7"/>
  <c r="H904" i="7"/>
  <c r="J904" i="7" s="1"/>
  <c r="K903" i="7"/>
  <c r="H903" i="7"/>
  <c r="J903" i="7" s="1"/>
  <c r="K902" i="7"/>
  <c r="H902" i="7"/>
  <c r="J902" i="7" s="1"/>
  <c r="K901" i="7"/>
  <c r="H901" i="7"/>
  <c r="J901" i="7" s="1"/>
  <c r="K900" i="7"/>
  <c r="H900" i="7"/>
  <c r="J900" i="7" s="1"/>
  <c r="K899" i="7"/>
  <c r="H899" i="7"/>
  <c r="J899" i="7" s="1"/>
  <c r="K898" i="7"/>
  <c r="H898" i="7"/>
  <c r="J898" i="7" s="1"/>
  <c r="K897" i="7"/>
  <c r="H897" i="7"/>
  <c r="J897" i="7" s="1"/>
  <c r="K896" i="7"/>
  <c r="H896" i="7"/>
  <c r="J896" i="7" s="1"/>
  <c r="K895" i="7"/>
  <c r="H895" i="7"/>
  <c r="J895" i="7" s="1"/>
  <c r="K894" i="7"/>
  <c r="H894" i="7"/>
  <c r="J894" i="7" s="1"/>
  <c r="K893" i="7"/>
  <c r="H893" i="7"/>
  <c r="J893" i="7" s="1"/>
  <c r="K892" i="7"/>
  <c r="H892" i="7"/>
  <c r="J892" i="7" s="1"/>
  <c r="K891" i="7"/>
  <c r="H891" i="7"/>
  <c r="J891" i="7" s="1"/>
  <c r="K890" i="7"/>
  <c r="H890" i="7"/>
  <c r="J890" i="7" s="1"/>
  <c r="K889" i="7"/>
  <c r="H889" i="7"/>
  <c r="J889" i="7" s="1"/>
  <c r="K888" i="7"/>
  <c r="H888" i="7"/>
  <c r="J888" i="7" s="1"/>
  <c r="K887" i="7"/>
  <c r="H887" i="7"/>
  <c r="J887" i="7" s="1"/>
  <c r="K886" i="7"/>
  <c r="H886" i="7"/>
  <c r="J886" i="7" s="1"/>
  <c r="K885" i="7"/>
  <c r="H885" i="7"/>
  <c r="J885" i="7" s="1"/>
  <c r="K884" i="7"/>
  <c r="H884" i="7"/>
  <c r="J884" i="7" s="1"/>
  <c r="K883" i="7"/>
  <c r="H883" i="7"/>
  <c r="J883" i="7" s="1"/>
  <c r="K882" i="7"/>
  <c r="H882" i="7"/>
  <c r="J882" i="7" s="1"/>
  <c r="K881" i="7"/>
  <c r="H881" i="7"/>
  <c r="J881" i="7" s="1"/>
  <c r="K880" i="7"/>
  <c r="H880" i="7"/>
  <c r="J880" i="7" s="1"/>
  <c r="K879" i="7"/>
  <c r="H879" i="7"/>
  <c r="J879" i="7" s="1"/>
  <c r="K878" i="7"/>
  <c r="H878" i="7"/>
  <c r="J878" i="7" s="1"/>
  <c r="K877" i="7"/>
  <c r="H877" i="7"/>
  <c r="J877" i="7" s="1"/>
  <c r="K876" i="7"/>
  <c r="H876" i="7"/>
  <c r="J876" i="7" s="1"/>
  <c r="K875" i="7"/>
  <c r="H875" i="7"/>
  <c r="J875" i="7" s="1"/>
  <c r="K874" i="7"/>
  <c r="H874" i="7"/>
  <c r="J874" i="7" s="1"/>
  <c r="K873" i="7"/>
  <c r="H873" i="7"/>
  <c r="J873" i="7" s="1"/>
  <c r="K872" i="7"/>
  <c r="H872" i="7"/>
  <c r="J872" i="7" s="1"/>
  <c r="K871" i="7"/>
  <c r="H871" i="7"/>
  <c r="J871" i="7" s="1"/>
  <c r="K870" i="7"/>
  <c r="H870" i="7"/>
  <c r="J870" i="7" s="1"/>
  <c r="K869" i="7"/>
  <c r="H869" i="7"/>
  <c r="J869" i="7" s="1"/>
  <c r="K868" i="7"/>
  <c r="H868" i="7"/>
  <c r="J868" i="7" s="1"/>
  <c r="K867" i="7"/>
  <c r="H867" i="7"/>
  <c r="J867" i="7" s="1"/>
  <c r="K866" i="7"/>
  <c r="H866" i="7"/>
  <c r="J866" i="7" s="1"/>
  <c r="K865" i="7"/>
  <c r="H865" i="7"/>
  <c r="J865" i="7" s="1"/>
  <c r="K864" i="7"/>
  <c r="H864" i="7"/>
  <c r="J864" i="7" s="1"/>
  <c r="K863" i="7"/>
  <c r="H863" i="7"/>
  <c r="J863" i="7" s="1"/>
  <c r="K862" i="7"/>
  <c r="H862" i="7"/>
  <c r="J862" i="7" s="1"/>
  <c r="K861" i="7"/>
  <c r="H861" i="7"/>
  <c r="J861" i="7" s="1"/>
  <c r="K860" i="7"/>
  <c r="H860" i="7"/>
  <c r="J860" i="7" s="1"/>
  <c r="K859" i="7"/>
  <c r="H859" i="7"/>
  <c r="J859" i="7" s="1"/>
  <c r="K858" i="7"/>
  <c r="H858" i="7"/>
  <c r="J858" i="7" s="1"/>
  <c r="K857" i="7"/>
  <c r="H857" i="7"/>
  <c r="J857" i="7" s="1"/>
  <c r="K856" i="7"/>
  <c r="H856" i="7"/>
  <c r="J856" i="7" s="1"/>
  <c r="K855" i="7"/>
  <c r="H855" i="7"/>
  <c r="J855" i="7" s="1"/>
  <c r="K854" i="7"/>
  <c r="H854" i="7"/>
  <c r="J854" i="7" s="1"/>
  <c r="K853" i="7"/>
  <c r="H853" i="7"/>
  <c r="J853" i="7" s="1"/>
  <c r="K852" i="7"/>
  <c r="H852" i="7"/>
  <c r="J852" i="7" s="1"/>
  <c r="K851" i="7"/>
  <c r="H851" i="7"/>
  <c r="J851" i="7" s="1"/>
  <c r="K850" i="7"/>
  <c r="H850" i="7"/>
  <c r="J850" i="7" s="1"/>
  <c r="K849" i="7"/>
  <c r="H849" i="7"/>
  <c r="J849" i="7" s="1"/>
  <c r="K848" i="7"/>
  <c r="H848" i="7"/>
  <c r="J848" i="7" s="1"/>
  <c r="K847" i="7"/>
  <c r="H847" i="7"/>
  <c r="J847" i="7" s="1"/>
  <c r="K846" i="7"/>
  <c r="H846" i="7"/>
  <c r="J846" i="7" s="1"/>
  <c r="K845" i="7"/>
  <c r="H845" i="7"/>
  <c r="J845" i="7" s="1"/>
  <c r="K844" i="7"/>
  <c r="H844" i="7"/>
  <c r="J844" i="7" s="1"/>
  <c r="K843" i="7"/>
  <c r="H843" i="7"/>
  <c r="J843" i="7" s="1"/>
  <c r="K842" i="7"/>
  <c r="H842" i="7"/>
  <c r="J842" i="7" s="1"/>
  <c r="K841" i="7"/>
  <c r="H841" i="7"/>
  <c r="J841" i="7" s="1"/>
  <c r="K840" i="7"/>
  <c r="H840" i="7"/>
  <c r="J840" i="7" s="1"/>
  <c r="K839" i="7"/>
  <c r="H839" i="7"/>
  <c r="J839" i="7" s="1"/>
  <c r="K838" i="7"/>
  <c r="H838" i="7"/>
  <c r="J838" i="7" s="1"/>
  <c r="K837" i="7"/>
  <c r="H837" i="7"/>
  <c r="J837" i="7" s="1"/>
  <c r="K836" i="7"/>
  <c r="H836" i="7"/>
  <c r="J836" i="7" s="1"/>
  <c r="K835" i="7"/>
  <c r="H835" i="7"/>
  <c r="J835" i="7" s="1"/>
  <c r="K834" i="7"/>
  <c r="H834" i="7"/>
  <c r="J834" i="7" s="1"/>
  <c r="K833" i="7"/>
  <c r="H833" i="7"/>
  <c r="J833" i="7" s="1"/>
  <c r="K832" i="7"/>
  <c r="H832" i="7"/>
  <c r="J832" i="7" s="1"/>
  <c r="K831" i="7"/>
  <c r="H831" i="7"/>
  <c r="J831" i="7" s="1"/>
  <c r="K830" i="7"/>
  <c r="H830" i="7"/>
  <c r="J830" i="7" s="1"/>
  <c r="K829" i="7"/>
  <c r="H829" i="7"/>
  <c r="J829" i="7" s="1"/>
  <c r="K828" i="7"/>
  <c r="H828" i="7"/>
  <c r="J828" i="7" s="1"/>
  <c r="K827" i="7"/>
  <c r="H827" i="7"/>
  <c r="J827" i="7" s="1"/>
  <c r="K826" i="7"/>
  <c r="H826" i="7"/>
  <c r="J826" i="7" s="1"/>
  <c r="K825" i="7"/>
  <c r="H825" i="7"/>
  <c r="J825" i="7" s="1"/>
  <c r="K824" i="7"/>
  <c r="H824" i="7"/>
  <c r="J824" i="7" s="1"/>
  <c r="K823" i="7"/>
  <c r="H823" i="7"/>
  <c r="J823" i="7" s="1"/>
  <c r="K822" i="7"/>
  <c r="H822" i="7"/>
  <c r="J822" i="7" s="1"/>
  <c r="K821" i="7"/>
  <c r="H821" i="7"/>
  <c r="J821" i="7" s="1"/>
  <c r="K820" i="7"/>
  <c r="H820" i="7"/>
  <c r="J820" i="7" s="1"/>
  <c r="K819" i="7"/>
  <c r="H819" i="7"/>
  <c r="J819" i="7" s="1"/>
  <c r="K818" i="7"/>
  <c r="H818" i="7"/>
  <c r="J818" i="7" s="1"/>
  <c r="K817" i="7"/>
  <c r="H817" i="7"/>
  <c r="J817" i="7" s="1"/>
  <c r="K816" i="7"/>
  <c r="H816" i="7"/>
  <c r="J816" i="7" s="1"/>
  <c r="K815" i="7"/>
  <c r="H815" i="7"/>
  <c r="J815" i="7" s="1"/>
  <c r="K814" i="7"/>
  <c r="H814" i="7"/>
  <c r="J814" i="7" s="1"/>
  <c r="K813" i="7"/>
  <c r="H813" i="7"/>
  <c r="J813" i="7" s="1"/>
  <c r="K812" i="7"/>
  <c r="H812" i="7"/>
  <c r="J812" i="7" s="1"/>
  <c r="K811" i="7"/>
  <c r="H811" i="7"/>
  <c r="J811" i="7" s="1"/>
  <c r="K810" i="7"/>
  <c r="H810" i="7"/>
  <c r="J810" i="7" s="1"/>
  <c r="K809" i="7"/>
  <c r="H809" i="7"/>
  <c r="J809" i="7" s="1"/>
  <c r="K808" i="7"/>
  <c r="H808" i="7"/>
  <c r="J808" i="7" s="1"/>
  <c r="K807" i="7"/>
  <c r="H807" i="7"/>
  <c r="J807" i="7" s="1"/>
  <c r="K806" i="7"/>
  <c r="H806" i="7"/>
  <c r="J806" i="7" s="1"/>
  <c r="K805" i="7"/>
  <c r="H805" i="7"/>
  <c r="J805" i="7" s="1"/>
  <c r="K804" i="7"/>
  <c r="H804" i="7"/>
  <c r="J804" i="7" s="1"/>
  <c r="K803" i="7"/>
  <c r="H803" i="7"/>
  <c r="J803" i="7" s="1"/>
  <c r="K802" i="7"/>
  <c r="H802" i="7"/>
  <c r="J802" i="7" s="1"/>
  <c r="K801" i="7"/>
  <c r="H801" i="7"/>
  <c r="J801" i="7" s="1"/>
  <c r="K800" i="7"/>
  <c r="H800" i="7"/>
  <c r="J800" i="7" s="1"/>
  <c r="K799" i="7"/>
  <c r="H799" i="7"/>
  <c r="J799" i="7" s="1"/>
  <c r="K798" i="7"/>
  <c r="H798" i="7"/>
  <c r="J798" i="7" s="1"/>
  <c r="K797" i="7"/>
  <c r="H797" i="7"/>
  <c r="J797" i="7" s="1"/>
  <c r="K796" i="7"/>
  <c r="H796" i="7"/>
  <c r="J796" i="7" s="1"/>
  <c r="K795" i="7"/>
  <c r="H795" i="7"/>
  <c r="J795" i="7" s="1"/>
  <c r="K794" i="7"/>
  <c r="H794" i="7"/>
  <c r="J794" i="7" s="1"/>
  <c r="K793" i="7"/>
  <c r="H793" i="7"/>
  <c r="J793" i="7" s="1"/>
  <c r="K792" i="7"/>
  <c r="H792" i="7"/>
  <c r="J792" i="7" s="1"/>
  <c r="K791" i="7"/>
  <c r="H791" i="7"/>
  <c r="J791" i="7" s="1"/>
  <c r="K790" i="7"/>
  <c r="H790" i="7"/>
  <c r="J790" i="7" s="1"/>
  <c r="K789" i="7"/>
  <c r="H789" i="7"/>
  <c r="J789" i="7" s="1"/>
  <c r="K788" i="7"/>
  <c r="H788" i="7"/>
  <c r="J788" i="7" s="1"/>
  <c r="K787" i="7"/>
  <c r="H787" i="7"/>
  <c r="J787" i="7" s="1"/>
  <c r="K786" i="7"/>
  <c r="H786" i="7"/>
  <c r="J786" i="7" s="1"/>
  <c r="K785" i="7"/>
  <c r="H785" i="7"/>
  <c r="J785" i="7" s="1"/>
  <c r="K784" i="7"/>
  <c r="H784" i="7"/>
  <c r="J784" i="7" s="1"/>
  <c r="K783" i="7"/>
  <c r="H783" i="7"/>
  <c r="J783" i="7" s="1"/>
  <c r="K782" i="7"/>
  <c r="H782" i="7"/>
  <c r="J782" i="7" s="1"/>
  <c r="K781" i="7"/>
  <c r="H781" i="7"/>
  <c r="J781" i="7" s="1"/>
  <c r="K780" i="7"/>
  <c r="H780" i="7"/>
  <c r="J780" i="7" s="1"/>
  <c r="K779" i="7"/>
  <c r="H779" i="7"/>
  <c r="J779" i="7" s="1"/>
  <c r="K778" i="7"/>
  <c r="H778" i="7"/>
  <c r="J778" i="7" s="1"/>
  <c r="K777" i="7"/>
  <c r="H777" i="7"/>
  <c r="J777" i="7" s="1"/>
  <c r="K776" i="7"/>
  <c r="H776" i="7"/>
  <c r="J776" i="7" s="1"/>
  <c r="K775" i="7"/>
  <c r="H775" i="7"/>
  <c r="J775" i="7" s="1"/>
  <c r="K774" i="7"/>
  <c r="H774" i="7"/>
  <c r="J774" i="7" s="1"/>
  <c r="K773" i="7"/>
  <c r="H773" i="7"/>
  <c r="J773" i="7" s="1"/>
  <c r="K772" i="7"/>
  <c r="H772" i="7"/>
  <c r="J772" i="7" s="1"/>
  <c r="K771" i="7"/>
  <c r="H771" i="7"/>
  <c r="J771" i="7" s="1"/>
  <c r="K770" i="7"/>
  <c r="H770" i="7"/>
  <c r="J770" i="7" s="1"/>
  <c r="K769" i="7"/>
  <c r="H769" i="7"/>
  <c r="J769" i="7" s="1"/>
  <c r="K768" i="7"/>
  <c r="H768" i="7"/>
  <c r="J768" i="7" s="1"/>
  <c r="K767" i="7"/>
  <c r="H767" i="7"/>
  <c r="J767" i="7" s="1"/>
  <c r="K766" i="7"/>
  <c r="H766" i="7"/>
  <c r="J766" i="7" s="1"/>
  <c r="K765" i="7"/>
  <c r="H765" i="7"/>
  <c r="J765" i="7" s="1"/>
  <c r="K764" i="7"/>
  <c r="H764" i="7"/>
  <c r="J764" i="7" s="1"/>
  <c r="K763" i="7"/>
  <c r="H763" i="7"/>
  <c r="J763" i="7" s="1"/>
  <c r="K762" i="7"/>
  <c r="H762" i="7"/>
  <c r="J762" i="7" s="1"/>
  <c r="K761" i="7"/>
  <c r="H761" i="7"/>
  <c r="J761" i="7" s="1"/>
  <c r="K760" i="7"/>
  <c r="H760" i="7"/>
  <c r="J760" i="7" s="1"/>
  <c r="K759" i="7"/>
  <c r="H759" i="7"/>
  <c r="J759" i="7" s="1"/>
  <c r="K758" i="7"/>
  <c r="H758" i="7"/>
  <c r="J758" i="7" s="1"/>
  <c r="K757" i="7"/>
  <c r="H757" i="7"/>
  <c r="J757" i="7" s="1"/>
  <c r="K756" i="7"/>
  <c r="H756" i="7"/>
  <c r="J756" i="7" s="1"/>
  <c r="K755" i="7"/>
  <c r="H755" i="7"/>
  <c r="J755" i="7" s="1"/>
  <c r="K754" i="7"/>
  <c r="H754" i="7"/>
  <c r="J754" i="7" s="1"/>
  <c r="K753" i="7"/>
  <c r="H753" i="7"/>
  <c r="J753" i="7" s="1"/>
  <c r="K752" i="7"/>
  <c r="H752" i="7"/>
  <c r="J752" i="7" s="1"/>
  <c r="K751" i="7"/>
  <c r="H751" i="7"/>
  <c r="J751" i="7" s="1"/>
  <c r="K750" i="7"/>
  <c r="H750" i="7"/>
  <c r="J750" i="7" s="1"/>
  <c r="K749" i="7"/>
  <c r="H749" i="7"/>
  <c r="J749" i="7" s="1"/>
  <c r="K748" i="7"/>
  <c r="H748" i="7"/>
  <c r="J748" i="7" s="1"/>
  <c r="K747" i="7"/>
  <c r="H747" i="7"/>
  <c r="J747" i="7" s="1"/>
  <c r="K746" i="7"/>
  <c r="H746" i="7"/>
  <c r="J746" i="7" s="1"/>
  <c r="K745" i="7"/>
  <c r="H745" i="7"/>
  <c r="J745" i="7" s="1"/>
  <c r="K744" i="7"/>
  <c r="H744" i="7"/>
  <c r="J744" i="7" s="1"/>
  <c r="K743" i="7"/>
  <c r="H743" i="7"/>
  <c r="J743" i="7" s="1"/>
  <c r="K742" i="7"/>
  <c r="H742" i="7"/>
  <c r="J742" i="7" s="1"/>
  <c r="K741" i="7"/>
  <c r="H741" i="7"/>
  <c r="J741" i="7" s="1"/>
  <c r="K740" i="7"/>
  <c r="H740" i="7"/>
  <c r="J740" i="7" s="1"/>
  <c r="K739" i="7"/>
  <c r="H739" i="7"/>
  <c r="J739" i="7" s="1"/>
  <c r="K738" i="7"/>
  <c r="H738" i="7"/>
  <c r="J738" i="7" s="1"/>
  <c r="K737" i="7"/>
  <c r="H737" i="7"/>
  <c r="J737" i="7" s="1"/>
  <c r="K736" i="7"/>
  <c r="H736" i="7"/>
  <c r="J736" i="7" s="1"/>
  <c r="K735" i="7"/>
  <c r="H735" i="7"/>
  <c r="J735" i="7" s="1"/>
  <c r="K734" i="7"/>
  <c r="H734" i="7"/>
  <c r="J734" i="7" s="1"/>
  <c r="K733" i="7"/>
  <c r="H733" i="7"/>
  <c r="J733" i="7" s="1"/>
  <c r="K732" i="7"/>
  <c r="H732" i="7"/>
  <c r="J732" i="7" s="1"/>
  <c r="K731" i="7"/>
  <c r="H731" i="7"/>
  <c r="J731" i="7" s="1"/>
  <c r="K730" i="7"/>
  <c r="H730" i="7"/>
  <c r="J730" i="7" s="1"/>
  <c r="K729" i="7"/>
  <c r="H729" i="7"/>
  <c r="J729" i="7" s="1"/>
  <c r="K728" i="7"/>
  <c r="H728" i="7"/>
  <c r="J728" i="7" s="1"/>
  <c r="K727" i="7"/>
  <c r="H727" i="7"/>
  <c r="J727" i="7" s="1"/>
  <c r="K726" i="7"/>
  <c r="H726" i="7"/>
  <c r="J726" i="7" s="1"/>
  <c r="K725" i="7"/>
  <c r="H725" i="7"/>
  <c r="J725" i="7" s="1"/>
  <c r="K724" i="7"/>
  <c r="H724" i="7"/>
  <c r="J724" i="7" s="1"/>
  <c r="K723" i="7"/>
  <c r="H723" i="7"/>
  <c r="J723" i="7" s="1"/>
  <c r="K722" i="7"/>
  <c r="H722" i="7"/>
  <c r="J722" i="7" s="1"/>
  <c r="K721" i="7"/>
  <c r="H721" i="7"/>
  <c r="J721" i="7" s="1"/>
  <c r="K720" i="7"/>
  <c r="H720" i="7"/>
  <c r="J720" i="7" s="1"/>
  <c r="K719" i="7"/>
  <c r="H719" i="7"/>
  <c r="J719" i="7" s="1"/>
  <c r="K718" i="7"/>
  <c r="H718" i="7"/>
  <c r="J718" i="7" s="1"/>
  <c r="K717" i="7"/>
  <c r="H717" i="7"/>
  <c r="J717" i="7" s="1"/>
  <c r="K716" i="7"/>
  <c r="H716" i="7"/>
  <c r="J716" i="7" s="1"/>
  <c r="K715" i="7"/>
  <c r="H715" i="7"/>
  <c r="J715" i="7" s="1"/>
  <c r="K714" i="7"/>
  <c r="H714" i="7"/>
  <c r="J714" i="7" s="1"/>
  <c r="K713" i="7"/>
  <c r="H713" i="7"/>
  <c r="J713" i="7" s="1"/>
  <c r="K712" i="7"/>
  <c r="H712" i="7"/>
  <c r="J712" i="7" s="1"/>
  <c r="K711" i="7"/>
  <c r="H711" i="7"/>
  <c r="J711" i="7" s="1"/>
  <c r="K710" i="7"/>
  <c r="H710" i="7"/>
  <c r="J710" i="7" s="1"/>
  <c r="K709" i="7"/>
  <c r="H709" i="7"/>
  <c r="J709" i="7" s="1"/>
  <c r="K708" i="7"/>
  <c r="H708" i="7"/>
  <c r="J708" i="7" s="1"/>
  <c r="K707" i="7"/>
  <c r="H707" i="7"/>
  <c r="J707" i="7" s="1"/>
  <c r="K706" i="7"/>
  <c r="H706" i="7"/>
  <c r="J706" i="7" s="1"/>
  <c r="K705" i="7"/>
  <c r="H705" i="7"/>
  <c r="J705" i="7" s="1"/>
  <c r="K704" i="7"/>
  <c r="H704" i="7"/>
  <c r="J704" i="7" s="1"/>
  <c r="K703" i="7"/>
  <c r="H703" i="7"/>
  <c r="J703" i="7" s="1"/>
  <c r="K702" i="7"/>
  <c r="H702" i="7"/>
  <c r="J702" i="7" s="1"/>
  <c r="K701" i="7"/>
  <c r="H701" i="7"/>
  <c r="J701" i="7" s="1"/>
  <c r="K700" i="7"/>
  <c r="H700" i="7"/>
  <c r="J700" i="7" s="1"/>
  <c r="K699" i="7"/>
  <c r="H699" i="7"/>
  <c r="J699" i="7" s="1"/>
  <c r="K698" i="7"/>
  <c r="H698" i="7"/>
  <c r="J698" i="7" s="1"/>
  <c r="K697" i="7"/>
  <c r="H697" i="7"/>
  <c r="J697" i="7" s="1"/>
  <c r="K696" i="7"/>
  <c r="H696" i="7"/>
  <c r="J696" i="7" s="1"/>
  <c r="K695" i="7"/>
  <c r="H695" i="7"/>
  <c r="J695" i="7" s="1"/>
  <c r="K694" i="7"/>
  <c r="H694" i="7"/>
  <c r="J694" i="7" s="1"/>
  <c r="K693" i="7"/>
  <c r="H693" i="7"/>
  <c r="J693" i="7" s="1"/>
  <c r="K692" i="7"/>
  <c r="H692" i="7"/>
  <c r="J692" i="7" s="1"/>
  <c r="K691" i="7"/>
  <c r="H691" i="7"/>
  <c r="J691" i="7" s="1"/>
  <c r="K690" i="7"/>
  <c r="H690" i="7"/>
  <c r="J690" i="7" s="1"/>
  <c r="K689" i="7"/>
  <c r="H689" i="7"/>
  <c r="J689" i="7" s="1"/>
  <c r="K688" i="7"/>
  <c r="H688" i="7"/>
  <c r="J688" i="7" s="1"/>
  <c r="K687" i="7"/>
  <c r="H687" i="7"/>
  <c r="J687" i="7" s="1"/>
  <c r="K686" i="7"/>
  <c r="H686" i="7"/>
  <c r="J686" i="7" s="1"/>
  <c r="K685" i="7"/>
  <c r="H685" i="7"/>
  <c r="J685" i="7" s="1"/>
  <c r="K684" i="7"/>
  <c r="H684" i="7"/>
  <c r="J684" i="7" s="1"/>
  <c r="K683" i="7"/>
  <c r="H683" i="7"/>
  <c r="J683" i="7" s="1"/>
  <c r="K682" i="7"/>
  <c r="H682" i="7"/>
  <c r="J682" i="7" s="1"/>
  <c r="K681" i="7"/>
  <c r="H681" i="7"/>
  <c r="J681" i="7" s="1"/>
  <c r="K680" i="7"/>
  <c r="H680" i="7"/>
  <c r="J680" i="7" s="1"/>
  <c r="K679" i="7"/>
  <c r="H679" i="7"/>
  <c r="J679" i="7" s="1"/>
  <c r="K678" i="7"/>
  <c r="H678" i="7"/>
  <c r="J678" i="7" s="1"/>
  <c r="K677" i="7"/>
  <c r="H677" i="7"/>
  <c r="J677" i="7" s="1"/>
  <c r="K676" i="7"/>
  <c r="H676" i="7"/>
  <c r="J676" i="7" s="1"/>
  <c r="K675" i="7"/>
  <c r="H675" i="7"/>
  <c r="J675" i="7" s="1"/>
  <c r="K674" i="7"/>
  <c r="H674" i="7"/>
  <c r="J674" i="7" s="1"/>
  <c r="K673" i="7"/>
  <c r="H673" i="7"/>
  <c r="J673" i="7" s="1"/>
  <c r="K672" i="7"/>
  <c r="H672" i="7"/>
  <c r="J672" i="7" s="1"/>
  <c r="K671" i="7"/>
  <c r="H671" i="7"/>
  <c r="J671" i="7" s="1"/>
  <c r="K670" i="7"/>
  <c r="H670" i="7"/>
  <c r="J670" i="7" s="1"/>
  <c r="K669" i="7"/>
  <c r="H669" i="7"/>
  <c r="J669" i="7" s="1"/>
  <c r="K668" i="7"/>
  <c r="H668" i="7"/>
  <c r="J668" i="7" s="1"/>
  <c r="K667" i="7"/>
  <c r="H667" i="7"/>
  <c r="J667" i="7" s="1"/>
  <c r="K666" i="7"/>
  <c r="H666" i="7"/>
  <c r="J666" i="7" s="1"/>
  <c r="K665" i="7"/>
  <c r="H665" i="7"/>
  <c r="J665" i="7" s="1"/>
  <c r="K664" i="7"/>
  <c r="H664" i="7"/>
  <c r="J664" i="7" s="1"/>
  <c r="K663" i="7"/>
  <c r="H663" i="7"/>
  <c r="J663" i="7" s="1"/>
  <c r="K662" i="7"/>
  <c r="H662" i="7"/>
  <c r="J662" i="7" s="1"/>
  <c r="K661" i="7"/>
  <c r="H661" i="7"/>
  <c r="J661" i="7" s="1"/>
  <c r="K660" i="7"/>
  <c r="H660" i="7"/>
  <c r="J660" i="7" s="1"/>
  <c r="K659" i="7"/>
  <c r="H659" i="7"/>
  <c r="J659" i="7" s="1"/>
  <c r="K658" i="7"/>
  <c r="H658" i="7"/>
  <c r="J658" i="7" s="1"/>
  <c r="K657" i="7"/>
  <c r="H657" i="7"/>
  <c r="J657" i="7" s="1"/>
  <c r="K656" i="7"/>
  <c r="H656" i="7"/>
  <c r="J656" i="7" s="1"/>
  <c r="K655" i="7"/>
  <c r="H655" i="7"/>
  <c r="J655" i="7" s="1"/>
  <c r="K654" i="7"/>
  <c r="H654" i="7"/>
  <c r="J654" i="7" s="1"/>
  <c r="K653" i="7"/>
  <c r="H653" i="7"/>
  <c r="J653" i="7" s="1"/>
  <c r="K652" i="7"/>
  <c r="H652" i="7"/>
  <c r="J652" i="7" s="1"/>
  <c r="K651" i="7"/>
  <c r="H651" i="7"/>
  <c r="J651" i="7" s="1"/>
  <c r="K650" i="7"/>
  <c r="H650" i="7"/>
  <c r="J650" i="7" s="1"/>
  <c r="K649" i="7"/>
  <c r="H649" i="7"/>
  <c r="J649" i="7" s="1"/>
  <c r="K648" i="7"/>
  <c r="H648" i="7"/>
  <c r="J648" i="7" s="1"/>
  <c r="K647" i="7"/>
  <c r="H647" i="7"/>
  <c r="J647" i="7" s="1"/>
  <c r="K646" i="7"/>
  <c r="H646" i="7"/>
  <c r="J646" i="7" s="1"/>
  <c r="K645" i="7"/>
  <c r="H645" i="7"/>
  <c r="J645" i="7" s="1"/>
  <c r="K644" i="7"/>
  <c r="H644" i="7"/>
  <c r="J644" i="7" s="1"/>
  <c r="K643" i="7"/>
  <c r="H643" i="7"/>
  <c r="J643" i="7" s="1"/>
  <c r="K642" i="7"/>
  <c r="H642" i="7"/>
  <c r="J642" i="7" s="1"/>
  <c r="K641" i="7"/>
  <c r="H641" i="7"/>
  <c r="J641" i="7" s="1"/>
  <c r="K640" i="7"/>
  <c r="H640" i="7"/>
  <c r="J640" i="7" s="1"/>
  <c r="K639" i="7"/>
  <c r="H639" i="7"/>
  <c r="J639" i="7" s="1"/>
  <c r="K638" i="7"/>
  <c r="H638" i="7"/>
  <c r="J638" i="7" s="1"/>
  <c r="K637" i="7"/>
  <c r="H637" i="7"/>
  <c r="J637" i="7" s="1"/>
  <c r="K636" i="7"/>
  <c r="H636" i="7"/>
  <c r="J636" i="7" s="1"/>
  <c r="K635" i="7"/>
  <c r="H635" i="7"/>
  <c r="J635" i="7" s="1"/>
  <c r="K634" i="7"/>
  <c r="H634" i="7"/>
  <c r="J634" i="7" s="1"/>
  <c r="K633" i="7"/>
  <c r="H633" i="7"/>
  <c r="J633" i="7" s="1"/>
  <c r="K632" i="7"/>
  <c r="H632" i="7"/>
  <c r="J632" i="7" s="1"/>
  <c r="K631" i="7"/>
  <c r="H631" i="7"/>
  <c r="J631" i="7" s="1"/>
  <c r="K630" i="7"/>
  <c r="H630" i="7"/>
  <c r="J630" i="7" s="1"/>
  <c r="K629" i="7"/>
  <c r="H629" i="7"/>
  <c r="J629" i="7" s="1"/>
  <c r="K628" i="7"/>
  <c r="H628" i="7"/>
  <c r="J628" i="7" s="1"/>
  <c r="K627" i="7"/>
  <c r="H627" i="7"/>
  <c r="J627" i="7" s="1"/>
  <c r="K626" i="7"/>
  <c r="H626" i="7"/>
  <c r="J626" i="7" s="1"/>
  <c r="K625" i="7"/>
  <c r="H625" i="7"/>
  <c r="J625" i="7" s="1"/>
  <c r="K624" i="7"/>
  <c r="H624" i="7"/>
  <c r="J624" i="7" s="1"/>
  <c r="K623" i="7"/>
  <c r="H623" i="7"/>
  <c r="J623" i="7" s="1"/>
  <c r="K622" i="7"/>
  <c r="H622" i="7"/>
  <c r="J622" i="7" s="1"/>
  <c r="K621" i="7"/>
  <c r="H621" i="7"/>
  <c r="J621" i="7" s="1"/>
  <c r="K620" i="7"/>
  <c r="H620" i="7"/>
  <c r="J620" i="7" s="1"/>
  <c r="K619" i="7"/>
  <c r="H619" i="7"/>
  <c r="J619" i="7" s="1"/>
  <c r="K618" i="7"/>
  <c r="H618" i="7"/>
  <c r="J618" i="7" s="1"/>
  <c r="K617" i="7"/>
  <c r="H617" i="7"/>
  <c r="J617" i="7" s="1"/>
  <c r="K616" i="7"/>
  <c r="H616" i="7"/>
  <c r="J616" i="7" s="1"/>
  <c r="K615" i="7"/>
  <c r="H615" i="7"/>
  <c r="J615" i="7" s="1"/>
  <c r="K614" i="7"/>
  <c r="H614" i="7"/>
  <c r="J614" i="7" s="1"/>
  <c r="K613" i="7"/>
  <c r="H613" i="7"/>
  <c r="J613" i="7" s="1"/>
  <c r="K612" i="7"/>
  <c r="H612" i="7"/>
  <c r="J612" i="7" s="1"/>
  <c r="K611" i="7"/>
  <c r="H611" i="7"/>
  <c r="J611" i="7" s="1"/>
  <c r="K610" i="7"/>
  <c r="H610" i="7"/>
  <c r="J610" i="7" s="1"/>
  <c r="K609" i="7"/>
  <c r="H609" i="7"/>
  <c r="J609" i="7" s="1"/>
  <c r="K608" i="7"/>
  <c r="H608" i="7"/>
  <c r="J608" i="7" s="1"/>
  <c r="K607" i="7"/>
  <c r="H607" i="7"/>
  <c r="J607" i="7" s="1"/>
  <c r="K606" i="7"/>
  <c r="H606" i="7"/>
  <c r="J606" i="7" s="1"/>
  <c r="K605" i="7"/>
  <c r="H605" i="7"/>
  <c r="J605" i="7" s="1"/>
  <c r="K604" i="7"/>
  <c r="H604" i="7"/>
  <c r="J604" i="7" s="1"/>
  <c r="K603" i="7"/>
  <c r="H603" i="7"/>
  <c r="J603" i="7" s="1"/>
  <c r="K602" i="7"/>
  <c r="H602" i="7"/>
  <c r="J602" i="7" s="1"/>
  <c r="K601" i="7"/>
  <c r="H601" i="7"/>
  <c r="J601" i="7" s="1"/>
  <c r="K600" i="7"/>
  <c r="H600" i="7"/>
  <c r="J600" i="7" s="1"/>
  <c r="K599" i="7"/>
  <c r="H599" i="7"/>
  <c r="J599" i="7" s="1"/>
  <c r="K598" i="7"/>
  <c r="H598" i="7"/>
  <c r="J598" i="7" s="1"/>
  <c r="K597" i="7"/>
  <c r="H597" i="7"/>
  <c r="J597" i="7" s="1"/>
  <c r="K596" i="7"/>
  <c r="H596" i="7"/>
  <c r="J596" i="7" s="1"/>
  <c r="K595" i="7"/>
  <c r="H595" i="7"/>
  <c r="J595" i="7" s="1"/>
  <c r="K594" i="7"/>
  <c r="H594" i="7"/>
  <c r="J594" i="7" s="1"/>
  <c r="K593" i="7"/>
  <c r="H593" i="7"/>
  <c r="J593" i="7" s="1"/>
  <c r="K592" i="7"/>
  <c r="H592" i="7"/>
  <c r="J592" i="7" s="1"/>
  <c r="K591" i="7"/>
  <c r="H591" i="7"/>
  <c r="J591" i="7" s="1"/>
  <c r="K590" i="7"/>
  <c r="H590" i="7"/>
  <c r="J590" i="7" s="1"/>
  <c r="K589" i="7"/>
  <c r="H589" i="7"/>
  <c r="J589" i="7" s="1"/>
  <c r="K588" i="7"/>
  <c r="H588" i="7"/>
  <c r="J588" i="7" s="1"/>
  <c r="K587" i="7"/>
  <c r="H587" i="7"/>
  <c r="J587" i="7" s="1"/>
  <c r="K586" i="7"/>
  <c r="H586" i="7"/>
  <c r="J586" i="7" s="1"/>
  <c r="K585" i="7"/>
  <c r="H585" i="7"/>
  <c r="J585" i="7" s="1"/>
  <c r="K584" i="7"/>
  <c r="H584" i="7"/>
  <c r="J584" i="7" s="1"/>
  <c r="K583" i="7"/>
  <c r="H583" i="7"/>
  <c r="J583" i="7" s="1"/>
  <c r="K582" i="7"/>
  <c r="H582" i="7"/>
  <c r="J582" i="7" s="1"/>
  <c r="K581" i="7"/>
  <c r="H581" i="7"/>
  <c r="J581" i="7" s="1"/>
  <c r="K580" i="7"/>
  <c r="H580" i="7"/>
  <c r="J580" i="7" s="1"/>
  <c r="K579" i="7"/>
  <c r="H579" i="7"/>
  <c r="J579" i="7" s="1"/>
  <c r="K578" i="7"/>
  <c r="H578" i="7"/>
  <c r="J578" i="7" s="1"/>
  <c r="K577" i="7"/>
  <c r="H577" i="7"/>
  <c r="J577" i="7" s="1"/>
  <c r="K576" i="7"/>
  <c r="H576" i="7"/>
  <c r="J576" i="7" s="1"/>
  <c r="K575" i="7"/>
  <c r="H575" i="7"/>
  <c r="J575" i="7" s="1"/>
  <c r="K574" i="7"/>
  <c r="H574" i="7"/>
  <c r="J574" i="7" s="1"/>
  <c r="K573" i="7"/>
  <c r="H573" i="7"/>
  <c r="J573" i="7" s="1"/>
  <c r="K572" i="7"/>
  <c r="H572" i="7"/>
  <c r="J572" i="7" s="1"/>
  <c r="K571" i="7"/>
  <c r="H571" i="7"/>
  <c r="J571" i="7" s="1"/>
  <c r="K570" i="7"/>
  <c r="H570" i="7"/>
  <c r="J570" i="7" s="1"/>
  <c r="K569" i="7"/>
  <c r="H569" i="7"/>
  <c r="J569" i="7" s="1"/>
  <c r="K568" i="7"/>
  <c r="H568" i="7"/>
  <c r="J568" i="7" s="1"/>
  <c r="K567" i="7"/>
  <c r="H567" i="7"/>
  <c r="J567" i="7" s="1"/>
  <c r="K566" i="7"/>
  <c r="H566" i="7"/>
  <c r="J566" i="7" s="1"/>
  <c r="K565" i="7"/>
  <c r="H565" i="7"/>
  <c r="J565" i="7" s="1"/>
  <c r="K564" i="7"/>
  <c r="H564" i="7"/>
  <c r="J564" i="7" s="1"/>
  <c r="K563" i="7"/>
  <c r="H563" i="7"/>
  <c r="J563" i="7" s="1"/>
  <c r="K562" i="7"/>
  <c r="H562" i="7"/>
  <c r="J562" i="7" s="1"/>
  <c r="K561" i="7"/>
  <c r="H561" i="7"/>
  <c r="J561" i="7" s="1"/>
  <c r="K560" i="7"/>
  <c r="H560" i="7"/>
  <c r="J560" i="7" s="1"/>
  <c r="K559" i="7"/>
  <c r="H559" i="7"/>
  <c r="J559" i="7" s="1"/>
  <c r="K558" i="7"/>
  <c r="H558" i="7"/>
  <c r="J558" i="7" s="1"/>
  <c r="K557" i="7"/>
  <c r="H557" i="7"/>
  <c r="J557" i="7" s="1"/>
  <c r="K556" i="7"/>
  <c r="H556" i="7"/>
  <c r="J556" i="7" s="1"/>
  <c r="K555" i="7"/>
  <c r="H555" i="7"/>
  <c r="J555" i="7" s="1"/>
  <c r="K554" i="7"/>
  <c r="H554" i="7"/>
  <c r="J554" i="7" s="1"/>
  <c r="K553" i="7"/>
  <c r="H553" i="7"/>
  <c r="J553" i="7" s="1"/>
  <c r="K552" i="7"/>
  <c r="H552" i="7"/>
  <c r="J552" i="7" s="1"/>
  <c r="K551" i="7"/>
  <c r="H551" i="7"/>
  <c r="J551" i="7" s="1"/>
  <c r="K550" i="7"/>
  <c r="H550" i="7"/>
  <c r="J550" i="7" s="1"/>
  <c r="K549" i="7"/>
  <c r="H549" i="7"/>
  <c r="J549" i="7" s="1"/>
  <c r="K548" i="7"/>
  <c r="H548" i="7"/>
  <c r="J548" i="7" s="1"/>
  <c r="K547" i="7"/>
  <c r="H547" i="7"/>
  <c r="J547" i="7" s="1"/>
  <c r="K546" i="7"/>
  <c r="H546" i="7"/>
  <c r="J546" i="7" s="1"/>
  <c r="K545" i="7"/>
  <c r="H545" i="7"/>
  <c r="J545" i="7" s="1"/>
  <c r="K544" i="7"/>
  <c r="H544" i="7"/>
  <c r="J544" i="7" s="1"/>
  <c r="K543" i="7"/>
  <c r="H543" i="7"/>
  <c r="J543" i="7" s="1"/>
  <c r="K542" i="7"/>
  <c r="H542" i="7"/>
  <c r="J542" i="7" s="1"/>
  <c r="K541" i="7"/>
  <c r="H541" i="7"/>
  <c r="J541" i="7" s="1"/>
  <c r="K540" i="7"/>
  <c r="H540" i="7"/>
  <c r="J540" i="7" s="1"/>
  <c r="K539" i="7"/>
  <c r="H539" i="7"/>
  <c r="J539" i="7" s="1"/>
  <c r="K538" i="7"/>
  <c r="H538" i="7"/>
  <c r="J538" i="7" s="1"/>
  <c r="K537" i="7"/>
  <c r="H537" i="7"/>
  <c r="J537" i="7" s="1"/>
  <c r="K536" i="7"/>
  <c r="H536" i="7"/>
  <c r="J536" i="7" s="1"/>
  <c r="K535" i="7"/>
  <c r="H535" i="7"/>
  <c r="J535" i="7" s="1"/>
  <c r="K534" i="7"/>
  <c r="H534" i="7"/>
  <c r="J534" i="7" s="1"/>
  <c r="K533" i="7"/>
  <c r="H533" i="7"/>
  <c r="J533" i="7" s="1"/>
  <c r="K532" i="7"/>
  <c r="H532" i="7"/>
  <c r="J532" i="7" s="1"/>
  <c r="K531" i="7"/>
  <c r="H531" i="7"/>
  <c r="J531" i="7" s="1"/>
  <c r="K530" i="7"/>
  <c r="H530" i="7"/>
  <c r="J530" i="7" s="1"/>
  <c r="K529" i="7"/>
  <c r="H529" i="7"/>
  <c r="J529" i="7" s="1"/>
  <c r="K528" i="7"/>
  <c r="H528" i="7"/>
  <c r="J528" i="7" s="1"/>
  <c r="K527" i="7"/>
  <c r="H527" i="7"/>
  <c r="J527" i="7" s="1"/>
  <c r="K526" i="7"/>
  <c r="H526" i="7"/>
  <c r="J526" i="7" s="1"/>
  <c r="K525" i="7"/>
  <c r="H525" i="7"/>
  <c r="J525" i="7" s="1"/>
  <c r="K524" i="7"/>
  <c r="H524" i="7"/>
  <c r="J524" i="7" s="1"/>
  <c r="K523" i="7"/>
  <c r="H523" i="7"/>
  <c r="J523" i="7" s="1"/>
  <c r="K522" i="7"/>
  <c r="H522" i="7"/>
  <c r="J522" i="7" s="1"/>
  <c r="K521" i="7"/>
  <c r="H521" i="7"/>
  <c r="J521" i="7" s="1"/>
  <c r="K520" i="7"/>
  <c r="H520" i="7"/>
  <c r="J520" i="7" s="1"/>
  <c r="K519" i="7"/>
  <c r="H519" i="7"/>
  <c r="J519" i="7" s="1"/>
  <c r="K518" i="7"/>
  <c r="H518" i="7"/>
  <c r="J518" i="7" s="1"/>
  <c r="K517" i="7"/>
  <c r="H517" i="7"/>
  <c r="J517" i="7" s="1"/>
  <c r="K516" i="7"/>
  <c r="H516" i="7"/>
  <c r="J516" i="7" s="1"/>
  <c r="K515" i="7"/>
  <c r="H515" i="7"/>
  <c r="J515" i="7" s="1"/>
  <c r="K514" i="7"/>
  <c r="H514" i="7"/>
  <c r="J514" i="7" s="1"/>
  <c r="K513" i="7"/>
  <c r="H513" i="7"/>
  <c r="J513" i="7" s="1"/>
  <c r="K512" i="7"/>
  <c r="H512" i="7"/>
  <c r="J512" i="7" s="1"/>
  <c r="K511" i="7"/>
  <c r="H511" i="7"/>
  <c r="J511" i="7" s="1"/>
  <c r="K510" i="7"/>
  <c r="H510" i="7"/>
  <c r="J510" i="7" s="1"/>
  <c r="K509" i="7"/>
  <c r="H509" i="7"/>
  <c r="J509" i="7" s="1"/>
  <c r="K508" i="7"/>
  <c r="H508" i="7"/>
  <c r="J508" i="7" s="1"/>
  <c r="K507" i="7"/>
  <c r="H507" i="7"/>
  <c r="J507" i="7" s="1"/>
  <c r="K506" i="7"/>
  <c r="H506" i="7"/>
  <c r="J506" i="7" s="1"/>
  <c r="K505" i="7"/>
  <c r="H505" i="7"/>
  <c r="J505" i="7" s="1"/>
  <c r="K504" i="7"/>
  <c r="H504" i="7"/>
  <c r="J504" i="7" s="1"/>
  <c r="K503" i="7"/>
  <c r="H503" i="7"/>
  <c r="J503" i="7" s="1"/>
  <c r="K502" i="7"/>
  <c r="H502" i="7"/>
  <c r="J502" i="7" s="1"/>
  <c r="K501" i="7"/>
  <c r="H501" i="7"/>
  <c r="J501" i="7" s="1"/>
  <c r="K500" i="7"/>
  <c r="H500" i="7"/>
  <c r="J500" i="7" s="1"/>
  <c r="K499" i="7"/>
  <c r="H499" i="7"/>
  <c r="J499" i="7" s="1"/>
  <c r="K498" i="7"/>
  <c r="H498" i="7"/>
  <c r="J498" i="7" s="1"/>
  <c r="K497" i="7"/>
  <c r="H497" i="7"/>
  <c r="J497" i="7" s="1"/>
  <c r="K496" i="7"/>
  <c r="H496" i="7"/>
  <c r="J496" i="7" s="1"/>
  <c r="K495" i="7"/>
  <c r="H495" i="7"/>
  <c r="J495" i="7" s="1"/>
  <c r="K494" i="7"/>
  <c r="H494" i="7"/>
  <c r="J494" i="7" s="1"/>
  <c r="K493" i="7"/>
  <c r="H493" i="7"/>
  <c r="J493" i="7" s="1"/>
  <c r="K492" i="7"/>
  <c r="H492" i="7"/>
  <c r="J492" i="7" s="1"/>
  <c r="K491" i="7"/>
  <c r="H491" i="7"/>
  <c r="J491" i="7" s="1"/>
  <c r="K490" i="7"/>
  <c r="H490" i="7"/>
  <c r="J490" i="7" s="1"/>
  <c r="K489" i="7"/>
  <c r="H489" i="7"/>
  <c r="J489" i="7" s="1"/>
  <c r="K488" i="7"/>
  <c r="H488" i="7"/>
  <c r="J488" i="7" s="1"/>
  <c r="K487" i="7"/>
  <c r="H487" i="7"/>
  <c r="J487" i="7" s="1"/>
  <c r="K486" i="7"/>
  <c r="H486" i="7"/>
  <c r="J486" i="7" s="1"/>
  <c r="K485" i="7"/>
  <c r="H485" i="7"/>
  <c r="J485" i="7" s="1"/>
  <c r="K484" i="7"/>
  <c r="H484" i="7"/>
  <c r="J484" i="7" s="1"/>
  <c r="K483" i="7"/>
  <c r="H483" i="7"/>
  <c r="J483" i="7" s="1"/>
  <c r="K482" i="7"/>
  <c r="H482" i="7"/>
  <c r="J482" i="7" s="1"/>
  <c r="K481" i="7"/>
  <c r="H481" i="7"/>
  <c r="J481" i="7" s="1"/>
  <c r="K480" i="7"/>
  <c r="H480" i="7"/>
  <c r="J480" i="7" s="1"/>
  <c r="K479" i="7"/>
  <c r="H479" i="7"/>
  <c r="J479" i="7" s="1"/>
  <c r="K478" i="7"/>
  <c r="H478" i="7"/>
  <c r="J478" i="7" s="1"/>
  <c r="K477" i="7"/>
  <c r="H477" i="7"/>
  <c r="J477" i="7" s="1"/>
  <c r="K476" i="7"/>
  <c r="H476" i="7"/>
  <c r="J476" i="7" s="1"/>
  <c r="K475" i="7"/>
  <c r="H475" i="7"/>
  <c r="J475" i="7" s="1"/>
  <c r="K474" i="7"/>
  <c r="H474" i="7"/>
  <c r="J474" i="7" s="1"/>
  <c r="K473" i="7"/>
  <c r="H473" i="7"/>
  <c r="J473" i="7" s="1"/>
  <c r="K472" i="7"/>
  <c r="H472" i="7"/>
  <c r="J472" i="7" s="1"/>
  <c r="K471" i="7"/>
  <c r="H471" i="7"/>
  <c r="J471" i="7" s="1"/>
  <c r="K470" i="7"/>
  <c r="H470" i="7"/>
  <c r="J470" i="7" s="1"/>
  <c r="K469" i="7"/>
  <c r="H469" i="7"/>
  <c r="J469" i="7" s="1"/>
  <c r="K468" i="7"/>
  <c r="H468" i="7"/>
  <c r="J468" i="7" s="1"/>
  <c r="K467" i="7"/>
  <c r="H467" i="7"/>
  <c r="J467" i="7" s="1"/>
  <c r="K466" i="7"/>
  <c r="H466" i="7"/>
  <c r="J466" i="7" s="1"/>
  <c r="K465" i="7"/>
  <c r="H465" i="7"/>
  <c r="J465" i="7" s="1"/>
  <c r="K464" i="7"/>
  <c r="H464" i="7"/>
  <c r="J464" i="7" s="1"/>
  <c r="K463" i="7"/>
  <c r="H463" i="7"/>
  <c r="J463" i="7" s="1"/>
  <c r="K462" i="7"/>
  <c r="H462" i="7"/>
  <c r="J462" i="7" s="1"/>
  <c r="K461" i="7"/>
  <c r="H461" i="7"/>
  <c r="J461" i="7" s="1"/>
  <c r="K460" i="7"/>
  <c r="H460" i="7"/>
  <c r="J460" i="7" s="1"/>
  <c r="K459" i="7"/>
  <c r="H459" i="7"/>
  <c r="J459" i="7" s="1"/>
  <c r="K458" i="7"/>
  <c r="H458" i="7"/>
  <c r="J458" i="7" s="1"/>
  <c r="K457" i="7"/>
  <c r="H457" i="7"/>
  <c r="J457" i="7" s="1"/>
  <c r="K456" i="7"/>
  <c r="H456" i="7"/>
  <c r="J456" i="7" s="1"/>
  <c r="K455" i="7"/>
  <c r="H455" i="7"/>
  <c r="J455" i="7" s="1"/>
  <c r="K454" i="7"/>
  <c r="H454" i="7"/>
  <c r="J454" i="7" s="1"/>
  <c r="K453" i="7"/>
  <c r="H453" i="7"/>
  <c r="J453" i="7" s="1"/>
  <c r="K452" i="7"/>
  <c r="H452" i="7"/>
  <c r="J452" i="7" s="1"/>
  <c r="K451" i="7"/>
  <c r="H451" i="7"/>
  <c r="J451" i="7" s="1"/>
  <c r="K450" i="7"/>
  <c r="H450" i="7"/>
  <c r="J450" i="7" s="1"/>
  <c r="K449" i="7"/>
  <c r="H449" i="7"/>
  <c r="J449" i="7" s="1"/>
  <c r="K448" i="7"/>
  <c r="H448" i="7"/>
  <c r="J448" i="7" s="1"/>
  <c r="K447" i="7"/>
  <c r="H447" i="7"/>
  <c r="J447" i="7" s="1"/>
  <c r="K446" i="7"/>
  <c r="H446" i="7"/>
  <c r="J446" i="7" s="1"/>
  <c r="K445" i="7"/>
  <c r="H445" i="7"/>
  <c r="J445" i="7" s="1"/>
  <c r="K444" i="7"/>
  <c r="H444" i="7"/>
  <c r="J444" i="7" s="1"/>
  <c r="K443" i="7"/>
  <c r="H443" i="7"/>
  <c r="J443" i="7" s="1"/>
  <c r="K442" i="7"/>
  <c r="H442" i="7"/>
  <c r="J442" i="7" s="1"/>
  <c r="K441" i="7"/>
  <c r="H441" i="7"/>
  <c r="J441" i="7" s="1"/>
  <c r="K440" i="7"/>
  <c r="H440" i="7"/>
  <c r="J440" i="7" s="1"/>
  <c r="K439" i="7"/>
  <c r="H439" i="7"/>
  <c r="J439" i="7" s="1"/>
  <c r="K438" i="7"/>
  <c r="H438" i="7"/>
  <c r="J438" i="7" s="1"/>
  <c r="K437" i="7"/>
  <c r="H437" i="7"/>
  <c r="J437" i="7" s="1"/>
  <c r="K436" i="7"/>
  <c r="H436" i="7"/>
  <c r="J436" i="7" s="1"/>
  <c r="K435" i="7"/>
  <c r="H435" i="7"/>
  <c r="J435" i="7" s="1"/>
  <c r="K434" i="7"/>
  <c r="H434" i="7"/>
  <c r="J434" i="7" s="1"/>
  <c r="K433" i="7"/>
  <c r="H433" i="7"/>
  <c r="J433" i="7" s="1"/>
  <c r="K432" i="7"/>
  <c r="H432" i="7"/>
  <c r="J432" i="7" s="1"/>
  <c r="K431" i="7"/>
  <c r="H431" i="7"/>
  <c r="J431" i="7" s="1"/>
  <c r="K430" i="7"/>
  <c r="H430" i="7"/>
  <c r="J430" i="7" s="1"/>
  <c r="K429" i="7"/>
  <c r="H429" i="7"/>
  <c r="J429" i="7" s="1"/>
  <c r="K428" i="7"/>
  <c r="H428" i="7"/>
  <c r="J428" i="7" s="1"/>
  <c r="K427" i="7"/>
  <c r="H427" i="7"/>
  <c r="J427" i="7" s="1"/>
  <c r="K426" i="7"/>
  <c r="H426" i="7"/>
  <c r="J426" i="7" s="1"/>
  <c r="K425" i="7"/>
  <c r="H425" i="7"/>
  <c r="J425" i="7" s="1"/>
  <c r="K424" i="7"/>
  <c r="H424" i="7"/>
  <c r="J424" i="7" s="1"/>
  <c r="K423" i="7"/>
  <c r="H423" i="7"/>
  <c r="J423" i="7" s="1"/>
  <c r="K422" i="7"/>
  <c r="H422" i="7"/>
  <c r="J422" i="7" s="1"/>
  <c r="K421" i="7"/>
  <c r="H421" i="7"/>
  <c r="J421" i="7" s="1"/>
  <c r="K420" i="7"/>
  <c r="H420" i="7"/>
  <c r="J420" i="7" s="1"/>
  <c r="K419" i="7"/>
  <c r="H419" i="7"/>
  <c r="J419" i="7" s="1"/>
  <c r="K418" i="7"/>
  <c r="H418" i="7"/>
  <c r="J418" i="7" s="1"/>
  <c r="K417" i="7"/>
  <c r="H417" i="7"/>
  <c r="J417" i="7" s="1"/>
  <c r="K416" i="7"/>
  <c r="H416" i="7"/>
  <c r="J416" i="7" s="1"/>
  <c r="K415" i="7"/>
  <c r="H415" i="7"/>
  <c r="J415" i="7" s="1"/>
  <c r="K414" i="7"/>
  <c r="H414" i="7"/>
  <c r="J414" i="7" s="1"/>
  <c r="K413" i="7"/>
  <c r="H413" i="7"/>
  <c r="J413" i="7" s="1"/>
  <c r="K412" i="7"/>
  <c r="H412" i="7"/>
  <c r="J412" i="7" s="1"/>
  <c r="K411" i="7"/>
  <c r="H411" i="7"/>
  <c r="J411" i="7" s="1"/>
  <c r="K410" i="7"/>
  <c r="H410" i="7"/>
  <c r="J410" i="7" s="1"/>
  <c r="K409" i="7"/>
  <c r="H409" i="7"/>
  <c r="J409" i="7" s="1"/>
  <c r="K408" i="7"/>
  <c r="H408" i="7"/>
  <c r="J408" i="7" s="1"/>
  <c r="K407" i="7"/>
  <c r="H407" i="7"/>
  <c r="J407" i="7" s="1"/>
  <c r="K406" i="7"/>
  <c r="H406" i="7"/>
  <c r="J406" i="7" s="1"/>
  <c r="K405" i="7"/>
  <c r="H405" i="7"/>
  <c r="J405" i="7" s="1"/>
  <c r="K404" i="7"/>
  <c r="H404" i="7"/>
  <c r="J404" i="7" s="1"/>
  <c r="K403" i="7"/>
  <c r="H403" i="7"/>
  <c r="J403" i="7" s="1"/>
  <c r="K402" i="7"/>
  <c r="H402" i="7"/>
  <c r="J402" i="7" s="1"/>
  <c r="K401" i="7"/>
  <c r="H401" i="7"/>
  <c r="J401" i="7" s="1"/>
  <c r="K400" i="7"/>
  <c r="H400" i="7"/>
  <c r="J400" i="7" s="1"/>
  <c r="K399" i="7"/>
  <c r="H399" i="7"/>
  <c r="J399" i="7" s="1"/>
  <c r="K398" i="7"/>
  <c r="H398" i="7"/>
  <c r="J398" i="7" s="1"/>
  <c r="K397" i="7"/>
  <c r="H397" i="7"/>
  <c r="J397" i="7" s="1"/>
  <c r="K396" i="7"/>
  <c r="H396" i="7"/>
  <c r="J396" i="7" s="1"/>
  <c r="K395" i="7"/>
  <c r="H395" i="7"/>
  <c r="J395" i="7" s="1"/>
  <c r="K394" i="7"/>
  <c r="H394" i="7"/>
  <c r="J394" i="7" s="1"/>
  <c r="K393" i="7"/>
  <c r="H393" i="7"/>
  <c r="J393" i="7" s="1"/>
  <c r="K392" i="7"/>
  <c r="H392" i="7"/>
  <c r="J392" i="7" s="1"/>
  <c r="K391" i="7"/>
  <c r="H391" i="7"/>
  <c r="J391" i="7" s="1"/>
  <c r="K390" i="7"/>
  <c r="H390" i="7"/>
  <c r="J390" i="7" s="1"/>
  <c r="K389" i="7"/>
  <c r="H389" i="7"/>
  <c r="J389" i="7" s="1"/>
  <c r="K388" i="7"/>
  <c r="H388" i="7"/>
  <c r="J388" i="7" s="1"/>
  <c r="K387" i="7"/>
  <c r="H387" i="7"/>
  <c r="J387" i="7" s="1"/>
  <c r="K386" i="7"/>
  <c r="H386" i="7"/>
  <c r="J386" i="7" s="1"/>
  <c r="K385" i="7"/>
  <c r="H385" i="7"/>
  <c r="J385" i="7" s="1"/>
  <c r="K384" i="7"/>
  <c r="H384" i="7"/>
  <c r="J384" i="7" s="1"/>
  <c r="K383" i="7"/>
  <c r="H383" i="7"/>
  <c r="J383" i="7" s="1"/>
  <c r="K382" i="7"/>
  <c r="H382" i="7"/>
  <c r="J382" i="7" s="1"/>
  <c r="K381" i="7"/>
  <c r="H381" i="7"/>
  <c r="J381" i="7" s="1"/>
  <c r="K380" i="7"/>
  <c r="H380" i="7"/>
  <c r="J380" i="7" s="1"/>
  <c r="K379" i="7"/>
  <c r="H379" i="7"/>
  <c r="J379" i="7" s="1"/>
  <c r="K378" i="7"/>
  <c r="H378" i="7"/>
  <c r="J378" i="7" s="1"/>
  <c r="K377" i="7"/>
  <c r="H377" i="7"/>
  <c r="J377" i="7" s="1"/>
  <c r="K376" i="7"/>
  <c r="H376" i="7"/>
  <c r="J376" i="7" s="1"/>
  <c r="K375" i="7"/>
  <c r="H375" i="7"/>
  <c r="J375" i="7" s="1"/>
  <c r="K374" i="7"/>
  <c r="H374" i="7"/>
  <c r="J374" i="7" s="1"/>
  <c r="K373" i="7"/>
  <c r="H373" i="7"/>
  <c r="J373" i="7" s="1"/>
  <c r="K372" i="7"/>
  <c r="H372" i="7"/>
  <c r="J372" i="7" s="1"/>
  <c r="K371" i="7"/>
  <c r="H371" i="7"/>
  <c r="J371" i="7" s="1"/>
  <c r="K370" i="7"/>
  <c r="H370" i="7"/>
  <c r="J370" i="7" s="1"/>
  <c r="K369" i="7"/>
  <c r="H369" i="7"/>
  <c r="J369" i="7" s="1"/>
  <c r="K368" i="7"/>
  <c r="H368" i="7"/>
  <c r="J368" i="7" s="1"/>
  <c r="K367" i="7"/>
  <c r="H367" i="7"/>
  <c r="J367" i="7" s="1"/>
  <c r="K366" i="7"/>
  <c r="H366" i="7"/>
  <c r="J366" i="7" s="1"/>
  <c r="K365" i="7"/>
  <c r="H365" i="7"/>
  <c r="J365" i="7" s="1"/>
  <c r="K364" i="7"/>
  <c r="H364" i="7"/>
  <c r="J364" i="7" s="1"/>
  <c r="K363" i="7"/>
  <c r="H363" i="7"/>
  <c r="J363" i="7" s="1"/>
  <c r="K362" i="7"/>
  <c r="H362" i="7"/>
  <c r="J362" i="7" s="1"/>
  <c r="K361" i="7"/>
  <c r="H361" i="7"/>
  <c r="J361" i="7" s="1"/>
  <c r="K360" i="7"/>
  <c r="H360" i="7"/>
  <c r="J360" i="7" s="1"/>
  <c r="K359" i="7"/>
  <c r="H359" i="7"/>
  <c r="J359" i="7" s="1"/>
  <c r="K358" i="7"/>
  <c r="H358" i="7"/>
  <c r="J358" i="7" s="1"/>
  <c r="K357" i="7"/>
  <c r="H357" i="7"/>
  <c r="J357" i="7" s="1"/>
  <c r="K356" i="7"/>
  <c r="H356" i="7"/>
  <c r="J356" i="7" s="1"/>
  <c r="K355" i="7"/>
  <c r="H355" i="7"/>
  <c r="J355" i="7" s="1"/>
  <c r="K354" i="7"/>
  <c r="H354" i="7"/>
  <c r="J354" i="7" s="1"/>
  <c r="K353" i="7"/>
  <c r="H353" i="7"/>
  <c r="J353" i="7" s="1"/>
  <c r="K352" i="7"/>
  <c r="H352" i="7"/>
  <c r="J352" i="7" s="1"/>
  <c r="K351" i="7"/>
  <c r="H351" i="7"/>
  <c r="J351" i="7" s="1"/>
  <c r="K350" i="7"/>
  <c r="H350" i="7"/>
  <c r="J350" i="7" s="1"/>
  <c r="K349" i="7"/>
  <c r="H349" i="7"/>
  <c r="J349" i="7" s="1"/>
  <c r="K348" i="7"/>
  <c r="H348" i="7"/>
  <c r="J348" i="7" s="1"/>
  <c r="K347" i="7"/>
  <c r="H347" i="7"/>
  <c r="J347" i="7" s="1"/>
  <c r="K346" i="7"/>
  <c r="H346" i="7"/>
  <c r="J346" i="7" s="1"/>
  <c r="K345" i="7"/>
  <c r="H345" i="7"/>
  <c r="J345" i="7" s="1"/>
  <c r="K344" i="7"/>
  <c r="H344" i="7"/>
  <c r="J344" i="7" s="1"/>
  <c r="K343" i="7"/>
  <c r="H343" i="7"/>
  <c r="J343" i="7" s="1"/>
  <c r="K342" i="7"/>
  <c r="H342" i="7"/>
  <c r="J342" i="7" s="1"/>
  <c r="K341" i="7"/>
  <c r="H341" i="7"/>
  <c r="J341" i="7" s="1"/>
  <c r="K340" i="7"/>
  <c r="H340" i="7"/>
  <c r="J340" i="7" s="1"/>
  <c r="K339" i="7"/>
  <c r="H339" i="7"/>
  <c r="J339" i="7" s="1"/>
  <c r="K338" i="7"/>
  <c r="H338" i="7"/>
  <c r="J338" i="7" s="1"/>
  <c r="K337" i="7"/>
  <c r="H337" i="7"/>
  <c r="J337" i="7" s="1"/>
  <c r="K336" i="7"/>
  <c r="H336" i="7"/>
  <c r="J336" i="7" s="1"/>
  <c r="K335" i="7"/>
  <c r="H335" i="7"/>
  <c r="J335" i="7" s="1"/>
  <c r="K334" i="7"/>
  <c r="H334" i="7"/>
  <c r="J334" i="7" s="1"/>
  <c r="K333" i="7"/>
  <c r="H333" i="7"/>
  <c r="J333" i="7" s="1"/>
  <c r="K332" i="7"/>
  <c r="H332" i="7"/>
  <c r="J332" i="7" s="1"/>
  <c r="K331" i="7"/>
  <c r="H331" i="7"/>
  <c r="J331" i="7" s="1"/>
  <c r="K330" i="7"/>
  <c r="H330" i="7"/>
  <c r="J330" i="7" s="1"/>
  <c r="K329" i="7"/>
  <c r="H329" i="7"/>
  <c r="J329" i="7" s="1"/>
  <c r="K328" i="7"/>
  <c r="H328" i="7"/>
  <c r="J328" i="7" s="1"/>
  <c r="K327" i="7"/>
  <c r="H327" i="7"/>
  <c r="J327" i="7" s="1"/>
  <c r="K326" i="7"/>
  <c r="H326" i="7"/>
  <c r="J326" i="7" s="1"/>
  <c r="K325" i="7"/>
  <c r="H325" i="7"/>
  <c r="J325" i="7" s="1"/>
  <c r="K324" i="7"/>
  <c r="H324" i="7"/>
  <c r="J324" i="7" s="1"/>
  <c r="K323" i="7"/>
  <c r="H323" i="7"/>
  <c r="J323" i="7" s="1"/>
  <c r="K322" i="7"/>
  <c r="H322" i="7"/>
  <c r="J322" i="7" s="1"/>
  <c r="K321" i="7"/>
  <c r="H321" i="7"/>
  <c r="J321" i="7" s="1"/>
  <c r="K320" i="7"/>
  <c r="H320" i="7"/>
  <c r="J320" i="7" s="1"/>
  <c r="K319" i="7"/>
  <c r="H319" i="7"/>
  <c r="J319" i="7" s="1"/>
  <c r="K318" i="7"/>
  <c r="H318" i="7"/>
  <c r="J318" i="7" s="1"/>
  <c r="K317" i="7"/>
  <c r="H317" i="7"/>
  <c r="J317" i="7" s="1"/>
  <c r="K316" i="7"/>
  <c r="H316" i="7"/>
  <c r="J316" i="7" s="1"/>
  <c r="K315" i="7"/>
  <c r="H315" i="7"/>
  <c r="J315" i="7" s="1"/>
  <c r="K314" i="7"/>
  <c r="H314" i="7"/>
  <c r="J314" i="7" s="1"/>
  <c r="K313" i="7"/>
  <c r="H313" i="7"/>
  <c r="J313" i="7" s="1"/>
  <c r="K312" i="7"/>
  <c r="H312" i="7"/>
  <c r="J312" i="7" s="1"/>
  <c r="K311" i="7"/>
  <c r="H311" i="7"/>
  <c r="J311" i="7" s="1"/>
  <c r="K310" i="7"/>
  <c r="H310" i="7"/>
  <c r="J310" i="7" s="1"/>
  <c r="K309" i="7"/>
  <c r="H309" i="7"/>
  <c r="J309" i="7" s="1"/>
  <c r="K308" i="7"/>
  <c r="H308" i="7"/>
  <c r="J308" i="7" s="1"/>
  <c r="K307" i="7"/>
  <c r="H307" i="7"/>
  <c r="J307" i="7" s="1"/>
  <c r="K306" i="7"/>
  <c r="H306" i="7"/>
  <c r="J306" i="7" s="1"/>
  <c r="K305" i="7"/>
  <c r="H305" i="7"/>
  <c r="J305" i="7" s="1"/>
  <c r="K304" i="7"/>
  <c r="H304" i="7"/>
  <c r="J304" i="7" s="1"/>
  <c r="K303" i="7"/>
  <c r="H303" i="7"/>
  <c r="J303" i="7" s="1"/>
  <c r="K302" i="7"/>
  <c r="H302" i="7"/>
  <c r="J302" i="7" s="1"/>
  <c r="K301" i="7"/>
  <c r="H301" i="7"/>
  <c r="J301" i="7" s="1"/>
  <c r="K300" i="7"/>
  <c r="H300" i="7"/>
  <c r="J300" i="7" s="1"/>
  <c r="K299" i="7"/>
  <c r="H299" i="7"/>
  <c r="J299" i="7" s="1"/>
  <c r="K298" i="7"/>
  <c r="H298" i="7"/>
  <c r="J298" i="7" s="1"/>
  <c r="K297" i="7"/>
  <c r="H297" i="7"/>
  <c r="J297" i="7" s="1"/>
  <c r="K296" i="7"/>
  <c r="H296" i="7"/>
  <c r="J296" i="7" s="1"/>
  <c r="K295" i="7"/>
  <c r="H295" i="7"/>
  <c r="J295" i="7" s="1"/>
  <c r="K294" i="7"/>
  <c r="H294" i="7"/>
  <c r="J294" i="7" s="1"/>
  <c r="K293" i="7"/>
  <c r="H293" i="7"/>
  <c r="J293" i="7" s="1"/>
  <c r="K292" i="7"/>
  <c r="H292" i="7"/>
  <c r="J292" i="7" s="1"/>
  <c r="K291" i="7"/>
  <c r="H291" i="7"/>
  <c r="J291" i="7" s="1"/>
  <c r="K290" i="7"/>
  <c r="H290" i="7"/>
  <c r="J290" i="7" s="1"/>
  <c r="K289" i="7"/>
  <c r="H289" i="7"/>
  <c r="J289" i="7" s="1"/>
  <c r="K288" i="7"/>
  <c r="H288" i="7"/>
  <c r="J288" i="7" s="1"/>
  <c r="K287" i="7"/>
  <c r="H287" i="7"/>
  <c r="J287" i="7" s="1"/>
  <c r="K286" i="7"/>
  <c r="H286" i="7"/>
  <c r="J286" i="7" s="1"/>
  <c r="K285" i="7"/>
  <c r="H285" i="7"/>
  <c r="J285" i="7" s="1"/>
  <c r="K284" i="7"/>
  <c r="H284" i="7"/>
  <c r="J284" i="7" s="1"/>
  <c r="K283" i="7"/>
  <c r="H283" i="7"/>
  <c r="J283" i="7" s="1"/>
  <c r="K282" i="7"/>
  <c r="H282" i="7"/>
  <c r="J282" i="7" s="1"/>
  <c r="K281" i="7"/>
  <c r="H281" i="7"/>
  <c r="J281" i="7" s="1"/>
  <c r="K280" i="7"/>
  <c r="H280" i="7"/>
  <c r="J280" i="7" s="1"/>
  <c r="K279" i="7"/>
  <c r="H279" i="7"/>
  <c r="J279" i="7" s="1"/>
  <c r="K278" i="7"/>
  <c r="H278" i="7"/>
  <c r="J278" i="7" s="1"/>
  <c r="K277" i="7"/>
  <c r="H277" i="7"/>
  <c r="J277" i="7" s="1"/>
  <c r="K276" i="7"/>
  <c r="H276" i="7"/>
  <c r="J276" i="7" s="1"/>
  <c r="K275" i="7"/>
  <c r="H275" i="7"/>
  <c r="J275" i="7" s="1"/>
  <c r="K274" i="7"/>
  <c r="H274" i="7"/>
  <c r="J274" i="7" s="1"/>
  <c r="K273" i="7"/>
  <c r="H273" i="7"/>
  <c r="J273" i="7" s="1"/>
  <c r="K272" i="7"/>
  <c r="H272" i="7"/>
  <c r="J272" i="7" s="1"/>
  <c r="K271" i="7"/>
  <c r="H271" i="7"/>
  <c r="J271" i="7" s="1"/>
  <c r="K270" i="7"/>
  <c r="H270" i="7"/>
  <c r="J270" i="7" s="1"/>
  <c r="K269" i="7"/>
  <c r="H269" i="7"/>
  <c r="J269" i="7" s="1"/>
  <c r="K268" i="7"/>
  <c r="H268" i="7"/>
  <c r="J268" i="7" s="1"/>
  <c r="K267" i="7"/>
  <c r="H267" i="7"/>
  <c r="J267" i="7" s="1"/>
  <c r="K266" i="7"/>
  <c r="H266" i="7"/>
  <c r="J266" i="7" s="1"/>
  <c r="K265" i="7"/>
  <c r="H265" i="7"/>
  <c r="J265" i="7" s="1"/>
  <c r="K264" i="7"/>
  <c r="H264" i="7"/>
  <c r="J264" i="7" s="1"/>
  <c r="K263" i="7"/>
  <c r="H263" i="7"/>
  <c r="J263" i="7" s="1"/>
  <c r="K262" i="7"/>
  <c r="H262" i="7"/>
  <c r="J262" i="7" s="1"/>
  <c r="K261" i="7"/>
  <c r="H261" i="7"/>
  <c r="J261" i="7" s="1"/>
  <c r="K260" i="7"/>
  <c r="H260" i="7"/>
  <c r="J260" i="7" s="1"/>
  <c r="K259" i="7"/>
  <c r="H259" i="7"/>
  <c r="J259" i="7" s="1"/>
  <c r="K258" i="7"/>
  <c r="H258" i="7"/>
  <c r="J258" i="7" s="1"/>
  <c r="K257" i="7"/>
  <c r="H257" i="7"/>
  <c r="J257" i="7" s="1"/>
  <c r="K256" i="7"/>
  <c r="H256" i="7"/>
  <c r="J256" i="7" s="1"/>
  <c r="K255" i="7"/>
  <c r="H255" i="7"/>
  <c r="J255" i="7" s="1"/>
  <c r="K254" i="7"/>
  <c r="H254" i="7"/>
  <c r="J254" i="7" s="1"/>
  <c r="K253" i="7"/>
  <c r="H253" i="7"/>
  <c r="J253" i="7" s="1"/>
  <c r="K252" i="7"/>
  <c r="H252" i="7"/>
  <c r="J252" i="7" s="1"/>
  <c r="K251" i="7"/>
  <c r="H251" i="7"/>
  <c r="J251" i="7" s="1"/>
  <c r="K250" i="7"/>
  <c r="H250" i="7"/>
  <c r="J250" i="7" s="1"/>
  <c r="K249" i="7"/>
  <c r="H249" i="7"/>
  <c r="J249" i="7" s="1"/>
  <c r="K248" i="7"/>
  <c r="H248" i="7"/>
  <c r="J248" i="7" s="1"/>
  <c r="K247" i="7"/>
  <c r="H247" i="7"/>
  <c r="J247" i="7" s="1"/>
  <c r="K246" i="7"/>
  <c r="H246" i="7"/>
  <c r="J246" i="7" s="1"/>
  <c r="K245" i="7"/>
  <c r="H245" i="7"/>
  <c r="J245" i="7" s="1"/>
  <c r="K244" i="7"/>
  <c r="H244" i="7"/>
  <c r="J244" i="7" s="1"/>
  <c r="K243" i="7"/>
  <c r="H243" i="7"/>
  <c r="J243" i="7" s="1"/>
  <c r="K242" i="7"/>
  <c r="H242" i="7"/>
  <c r="J242" i="7" s="1"/>
  <c r="K241" i="7"/>
  <c r="H241" i="7"/>
  <c r="J241" i="7" s="1"/>
  <c r="K240" i="7"/>
  <c r="H240" i="7"/>
  <c r="J240" i="7" s="1"/>
  <c r="K239" i="7"/>
  <c r="H239" i="7"/>
  <c r="J239" i="7" s="1"/>
  <c r="K238" i="7"/>
  <c r="H238" i="7"/>
  <c r="J238" i="7" s="1"/>
  <c r="K237" i="7"/>
  <c r="H237" i="7"/>
  <c r="J237" i="7" s="1"/>
  <c r="K236" i="7"/>
  <c r="H236" i="7"/>
  <c r="J236" i="7" s="1"/>
  <c r="K235" i="7"/>
  <c r="H235" i="7"/>
  <c r="J235" i="7" s="1"/>
  <c r="K234" i="7"/>
  <c r="H234" i="7"/>
  <c r="J234" i="7" s="1"/>
  <c r="K233" i="7"/>
  <c r="H233" i="7"/>
  <c r="J233" i="7" s="1"/>
  <c r="K232" i="7"/>
  <c r="H232" i="7"/>
  <c r="J232" i="7" s="1"/>
  <c r="K231" i="7"/>
  <c r="H231" i="7"/>
  <c r="J231" i="7" s="1"/>
  <c r="K230" i="7"/>
  <c r="H230" i="7"/>
  <c r="J230" i="7" s="1"/>
  <c r="K229" i="7"/>
  <c r="H229" i="7"/>
  <c r="J229" i="7" s="1"/>
  <c r="K228" i="7"/>
  <c r="H228" i="7"/>
  <c r="J228" i="7" s="1"/>
  <c r="K227" i="7"/>
  <c r="H227" i="7"/>
  <c r="J227" i="7" s="1"/>
  <c r="K226" i="7"/>
  <c r="H226" i="7"/>
  <c r="J226" i="7" s="1"/>
  <c r="K225" i="7"/>
  <c r="H225" i="7"/>
  <c r="J225" i="7" s="1"/>
  <c r="K224" i="7"/>
  <c r="H224" i="7"/>
  <c r="J224" i="7" s="1"/>
  <c r="K223" i="7"/>
  <c r="H223" i="7"/>
  <c r="J223" i="7" s="1"/>
  <c r="K222" i="7"/>
  <c r="H222" i="7"/>
  <c r="J222" i="7" s="1"/>
  <c r="K221" i="7"/>
  <c r="H221" i="7"/>
  <c r="J221" i="7" s="1"/>
  <c r="K220" i="7"/>
  <c r="H220" i="7"/>
  <c r="J220" i="7" s="1"/>
  <c r="K219" i="7"/>
  <c r="H219" i="7"/>
  <c r="J219" i="7" s="1"/>
  <c r="K218" i="7"/>
  <c r="H218" i="7"/>
  <c r="J218" i="7" s="1"/>
  <c r="K217" i="7"/>
  <c r="H217" i="7"/>
  <c r="J217" i="7" s="1"/>
  <c r="K216" i="7"/>
  <c r="H216" i="7"/>
  <c r="J216" i="7" s="1"/>
  <c r="K215" i="7"/>
  <c r="H215" i="7"/>
  <c r="J215" i="7" s="1"/>
  <c r="K214" i="7"/>
  <c r="H214" i="7"/>
  <c r="J214" i="7" s="1"/>
  <c r="K213" i="7"/>
  <c r="H213" i="7"/>
  <c r="J213" i="7" s="1"/>
  <c r="K212" i="7"/>
  <c r="H212" i="7"/>
  <c r="J212" i="7" s="1"/>
  <c r="K211" i="7"/>
  <c r="H211" i="7"/>
  <c r="J211" i="7" s="1"/>
  <c r="K210" i="7"/>
  <c r="H210" i="7"/>
  <c r="J210" i="7" s="1"/>
  <c r="K209" i="7"/>
  <c r="H209" i="7"/>
  <c r="J209" i="7" s="1"/>
  <c r="K208" i="7"/>
  <c r="H208" i="7"/>
  <c r="J208" i="7" s="1"/>
  <c r="K207" i="7"/>
  <c r="H207" i="7"/>
  <c r="J207" i="7" s="1"/>
  <c r="K206" i="7"/>
  <c r="H206" i="7"/>
  <c r="J206" i="7" s="1"/>
  <c r="K205" i="7"/>
  <c r="H205" i="7"/>
  <c r="J205" i="7" s="1"/>
  <c r="K204" i="7"/>
  <c r="H204" i="7"/>
  <c r="J204" i="7" s="1"/>
  <c r="K203" i="7"/>
  <c r="H203" i="7"/>
  <c r="J203" i="7" s="1"/>
  <c r="K202" i="7"/>
  <c r="H202" i="7"/>
  <c r="J202" i="7" s="1"/>
  <c r="K201" i="7"/>
  <c r="H201" i="7"/>
  <c r="J201" i="7" s="1"/>
  <c r="K200" i="7"/>
  <c r="H200" i="7"/>
  <c r="J200" i="7" s="1"/>
  <c r="K199" i="7"/>
  <c r="H199" i="7"/>
  <c r="J199" i="7" s="1"/>
  <c r="K198" i="7"/>
  <c r="H198" i="7"/>
  <c r="J198" i="7" s="1"/>
  <c r="K197" i="7"/>
  <c r="H197" i="7"/>
  <c r="J197" i="7" s="1"/>
  <c r="K196" i="7"/>
  <c r="H196" i="7"/>
  <c r="J196" i="7" s="1"/>
  <c r="K195" i="7"/>
  <c r="H195" i="7"/>
  <c r="J195" i="7" s="1"/>
  <c r="K194" i="7"/>
  <c r="H194" i="7"/>
  <c r="J194" i="7" s="1"/>
  <c r="K193" i="7"/>
  <c r="H193" i="7"/>
  <c r="J193" i="7" s="1"/>
  <c r="K192" i="7"/>
  <c r="H192" i="7"/>
  <c r="J192" i="7" s="1"/>
  <c r="K191" i="7"/>
  <c r="H191" i="7"/>
  <c r="J191" i="7" s="1"/>
  <c r="K190" i="7"/>
  <c r="H190" i="7"/>
  <c r="J190" i="7" s="1"/>
  <c r="K189" i="7"/>
  <c r="H189" i="7"/>
  <c r="J189" i="7" s="1"/>
  <c r="K188" i="7"/>
  <c r="H188" i="7"/>
  <c r="J188" i="7" s="1"/>
  <c r="K187" i="7"/>
  <c r="H187" i="7"/>
  <c r="J187" i="7" s="1"/>
  <c r="K186" i="7"/>
  <c r="H186" i="7"/>
  <c r="J186" i="7" s="1"/>
  <c r="K185" i="7"/>
  <c r="H185" i="7"/>
  <c r="J185" i="7" s="1"/>
  <c r="K184" i="7"/>
  <c r="H184" i="7"/>
  <c r="J184" i="7" s="1"/>
  <c r="K183" i="7"/>
  <c r="H183" i="7"/>
  <c r="J183" i="7" s="1"/>
  <c r="K182" i="7"/>
  <c r="H182" i="7"/>
  <c r="J182" i="7" s="1"/>
  <c r="K181" i="7"/>
  <c r="H181" i="7"/>
  <c r="J181" i="7" s="1"/>
  <c r="K180" i="7"/>
  <c r="H180" i="7"/>
  <c r="J180" i="7" s="1"/>
  <c r="K179" i="7"/>
  <c r="H179" i="7"/>
  <c r="J179" i="7" s="1"/>
  <c r="K178" i="7"/>
  <c r="H178" i="7"/>
  <c r="J178" i="7" s="1"/>
  <c r="K177" i="7"/>
  <c r="H177" i="7"/>
  <c r="J177" i="7" s="1"/>
  <c r="K176" i="7"/>
  <c r="H176" i="7"/>
  <c r="J176" i="7" s="1"/>
  <c r="K175" i="7"/>
  <c r="H175" i="7"/>
  <c r="J175" i="7" s="1"/>
  <c r="K174" i="7"/>
  <c r="H174" i="7"/>
  <c r="J174" i="7" s="1"/>
  <c r="K173" i="7"/>
  <c r="H173" i="7"/>
  <c r="J173" i="7" s="1"/>
  <c r="K172" i="7"/>
  <c r="H172" i="7"/>
  <c r="J172" i="7" s="1"/>
  <c r="K171" i="7"/>
  <c r="H171" i="7"/>
  <c r="J171" i="7" s="1"/>
  <c r="K170" i="7"/>
  <c r="H170" i="7"/>
  <c r="J170" i="7" s="1"/>
  <c r="K169" i="7"/>
  <c r="H169" i="7"/>
  <c r="J169" i="7" s="1"/>
  <c r="K168" i="7"/>
  <c r="H168" i="7"/>
  <c r="J168" i="7" s="1"/>
  <c r="K167" i="7"/>
  <c r="H167" i="7"/>
  <c r="J167" i="7" s="1"/>
  <c r="K166" i="7"/>
  <c r="H166" i="7"/>
  <c r="J166" i="7" s="1"/>
  <c r="K165" i="7"/>
  <c r="H165" i="7"/>
  <c r="J165" i="7" s="1"/>
  <c r="K164" i="7"/>
  <c r="H164" i="7"/>
  <c r="J164" i="7" s="1"/>
  <c r="K163" i="7"/>
  <c r="H163" i="7"/>
  <c r="J163" i="7" s="1"/>
  <c r="K162" i="7"/>
  <c r="H162" i="7"/>
  <c r="J162" i="7" s="1"/>
  <c r="K161" i="7"/>
  <c r="H161" i="7"/>
  <c r="J161" i="7" s="1"/>
  <c r="K160" i="7"/>
  <c r="H160" i="7"/>
  <c r="J160" i="7" s="1"/>
  <c r="K159" i="7"/>
  <c r="H159" i="7"/>
  <c r="J159" i="7" s="1"/>
  <c r="K158" i="7"/>
  <c r="H158" i="7"/>
  <c r="J158" i="7" s="1"/>
  <c r="K157" i="7"/>
  <c r="H157" i="7"/>
  <c r="J157" i="7" s="1"/>
  <c r="K156" i="7"/>
  <c r="H156" i="7"/>
  <c r="J156" i="7" s="1"/>
  <c r="K155" i="7"/>
  <c r="H155" i="7"/>
  <c r="J155" i="7" s="1"/>
  <c r="K154" i="7"/>
  <c r="H154" i="7"/>
  <c r="J154" i="7" s="1"/>
  <c r="K153" i="7"/>
  <c r="H153" i="7"/>
  <c r="J153" i="7" s="1"/>
  <c r="K152" i="7"/>
  <c r="H152" i="7"/>
  <c r="J152" i="7" s="1"/>
  <c r="K151" i="7"/>
  <c r="H151" i="7"/>
  <c r="J151" i="7" s="1"/>
  <c r="K150" i="7"/>
  <c r="H150" i="7"/>
  <c r="J150" i="7" s="1"/>
  <c r="K149" i="7"/>
  <c r="H149" i="7"/>
  <c r="J149" i="7" s="1"/>
  <c r="K148" i="7"/>
  <c r="H148" i="7"/>
  <c r="J148" i="7" s="1"/>
  <c r="K147" i="7"/>
  <c r="H147" i="7"/>
  <c r="J147" i="7" s="1"/>
  <c r="K146" i="7"/>
  <c r="H146" i="7"/>
  <c r="J146" i="7" s="1"/>
  <c r="K145" i="7"/>
  <c r="H145" i="7"/>
  <c r="J145" i="7" s="1"/>
  <c r="K144" i="7"/>
  <c r="H144" i="7"/>
  <c r="J144" i="7" s="1"/>
  <c r="K143" i="7"/>
  <c r="H143" i="7"/>
  <c r="J143" i="7" s="1"/>
  <c r="K142" i="7"/>
  <c r="H142" i="7"/>
  <c r="J142" i="7" s="1"/>
  <c r="K141" i="7"/>
  <c r="H141" i="7"/>
  <c r="J141" i="7" s="1"/>
  <c r="K140" i="7"/>
  <c r="H140" i="7"/>
  <c r="J140" i="7" s="1"/>
  <c r="K139" i="7"/>
  <c r="H139" i="7"/>
  <c r="J139" i="7" s="1"/>
  <c r="K138" i="7"/>
  <c r="H138" i="7"/>
  <c r="J138" i="7" s="1"/>
  <c r="K137" i="7"/>
  <c r="H137" i="7"/>
  <c r="J137" i="7" s="1"/>
  <c r="K136" i="7"/>
  <c r="H136" i="7"/>
  <c r="J136" i="7" s="1"/>
  <c r="K135" i="7"/>
  <c r="H135" i="7"/>
  <c r="J135" i="7" s="1"/>
  <c r="K134" i="7"/>
  <c r="H134" i="7"/>
  <c r="J134" i="7" s="1"/>
  <c r="K133" i="7"/>
  <c r="H133" i="7"/>
  <c r="J133" i="7" s="1"/>
  <c r="K132" i="7"/>
  <c r="H132" i="7"/>
  <c r="J132" i="7" s="1"/>
  <c r="K131" i="7"/>
  <c r="H131" i="7"/>
  <c r="J131" i="7" s="1"/>
  <c r="K130" i="7"/>
  <c r="H130" i="7"/>
  <c r="J130" i="7" s="1"/>
  <c r="K129" i="7"/>
  <c r="H129" i="7"/>
  <c r="J129" i="7" s="1"/>
  <c r="K128" i="7"/>
  <c r="H128" i="7"/>
  <c r="J128" i="7" s="1"/>
  <c r="K127" i="7"/>
  <c r="H127" i="7"/>
  <c r="J127" i="7" s="1"/>
  <c r="K126" i="7"/>
  <c r="H126" i="7"/>
  <c r="J126" i="7" s="1"/>
  <c r="K125" i="7"/>
  <c r="H125" i="7"/>
  <c r="J125" i="7" s="1"/>
  <c r="K124" i="7"/>
  <c r="H124" i="7"/>
  <c r="J124" i="7" s="1"/>
  <c r="K123" i="7"/>
  <c r="H123" i="7"/>
  <c r="J123" i="7" s="1"/>
  <c r="K122" i="7"/>
  <c r="H122" i="7"/>
  <c r="J122" i="7" s="1"/>
  <c r="K121" i="7"/>
  <c r="H121" i="7"/>
  <c r="J121" i="7" s="1"/>
  <c r="K120" i="7"/>
  <c r="H120" i="7"/>
  <c r="J120" i="7" s="1"/>
  <c r="K119" i="7"/>
  <c r="H119" i="7"/>
  <c r="J119" i="7" s="1"/>
  <c r="K118" i="7"/>
  <c r="H118" i="7"/>
  <c r="J118" i="7" s="1"/>
  <c r="K117" i="7"/>
  <c r="H117" i="7"/>
  <c r="J117" i="7" s="1"/>
  <c r="K116" i="7"/>
  <c r="H116" i="7"/>
  <c r="J116" i="7" s="1"/>
  <c r="K115" i="7"/>
  <c r="H115" i="7"/>
  <c r="J115" i="7" s="1"/>
  <c r="K114" i="7"/>
  <c r="H114" i="7"/>
  <c r="J114" i="7" s="1"/>
  <c r="K113" i="7"/>
  <c r="H113" i="7"/>
  <c r="J113" i="7" s="1"/>
  <c r="K112" i="7"/>
  <c r="H112" i="7"/>
  <c r="J112" i="7" s="1"/>
  <c r="K111" i="7"/>
  <c r="H111" i="7"/>
  <c r="J111" i="7" s="1"/>
  <c r="K110" i="7"/>
  <c r="H110" i="7"/>
  <c r="J110" i="7" s="1"/>
  <c r="K109" i="7"/>
  <c r="H109" i="7"/>
  <c r="J109" i="7" s="1"/>
  <c r="K108" i="7"/>
  <c r="H108" i="7"/>
  <c r="J108" i="7" s="1"/>
  <c r="K107" i="7"/>
  <c r="H107" i="7"/>
  <c r="J107" i="7" s="1"/>
  <c r="K106" i="7"/>
  <c r="H106" i="7"/>
  <c r="J106" i="7" s="1"/>
  <c r="K105" i="7"/>
  <c r="H105" i="7"/>
  <c r="J105" i="7" s="1"/>
  <c r="K104" i="7"/>
  <c r="H104" i="7"/>
  <c r="J104" i="7" s="1"/>
  <c r="K103" i="7"/>
  <c r="H103" i="7"/>
  <c r="J103" i="7" s="1"/>
  <c r="K102" i="7"/>
  <c r="H102" i="7"/>
  <c r="J102" i="7" s="1"/>
  <c r="K101" i="7"/>
  <c r="H101" i="7"/>
  <c r="J101" i="7" s="1"/>
  <c r="K100" i="7"/>
  <c r="H100" i="7"/>
  <c r="J100" i="7" s="1"/>
  <c r="K99" i="7"/>
  <c r="H99" i="7"/>
  <c r="J99" i="7" s="1"/>
  <c r="K98" i="7"/>
  <c r="H98" i="7"/>
  <c r="J98" i="7" s="1"/>
  <c r="K97" i="7"/>
  <c r="H97" i="7"/>
  <c r="J97" i="7" s="1"/>
  <c r="K96" i="7"/>
  <c r="H96" i="7"/>
  <c r="J96" i="7" s="1"/>
  <c r="K95" i="7"/>
  <c r="H95" i="7"/>
  <c r="J95" i="7" s="1"/>
  <c r="K94" i="7"/>
  <c r="H94" i="7"/>
  <c r="J94" i="7" s="1"/>
  <c r="K93" i="7"/>
  <c r="H93" i="7"/>
  <c r="J93" i="7" s="1"/>
  <c r="K92" i="7"/>
  <c r="H92" i="7"/>
  <c r="J92" i="7" s="1"/>
  <c r="K91" i="7"/>
  <c r="H91" i="7"/>
  <c r="J91" i="7" s="1"/>
  <c r="K90" i="7"/>
  <c r="H90" i="7"/>
  <c r="J90" i="7" s="1"/>
  <c r="K89" i="7"/>
  <c r="H89" i="7"/>
  <c r="J89" i="7" s="1"/>
  <c r="K88" i="7"/>
  <c r="H88" i="7"/>
  <c r="J88" i="7" s="1"/>
  <c r="K87" i="7"/>
  <c r="H87" i="7"/>
  <c r="J87" i="7" s="1"/>
  <c r="K86" i="7"/>
  <c r="H86" i="7"/>
  <c r="J86" i="7" s="1"/>
  <c r="K85" i="7"/>
  <c r="H85" i="7"/>
  <c r="J85" i="7" s="1"/>
  <c r="K84" i="7"/>
  <c r="H84" i="7"/>
  <c r="J84" i="7" s="1"/>
  <c r="K83" i="7"/>
  <c r="H83" i="7"/>
  <c r="J83" i="7" s="1"/>
  <c r="K82" i="7"/>
  <c r="H82" i="7"/>
  <c r="J82" i="7" s="1"/>
  <c r="K81" i="7"/>
  <c r="H81" i="7"/>
  <c r="J81" i="7" s="1"/>
  <c r="K80" i="7"/>
  <c r="H80" i="7"/>
  <c r="J80" i="7" s="1"/>
  <c r="K79" i="7"/>
  <c r="H79" i="7"/>
  <c r="J79" i="7" s="1"/>
  <c r="K78" i="7"/>
  <c r="H78" i="7"/>
  <c r="J78" i="7" s="1"/>
  <c r="K77" i="7"/>
  <c r="H77" i="7"/>
  <c r="J77" i="7" s="1"/>
  <c r="K76" i="7"/>
  <c r="H76" i="7"/>
  <c r="J76" i="7" s="1"/>
  <c r="K75" i="7"/>
  <c r="H75" i="7"/>
  <c r="J75" i="7" s="1"/>
  <c r="K74" i="7"/>
  <c r="H74" i="7"/>
  <c r="J74" i="7" s="1"/>
  <c r="K73" i="7"/>
  <c r="H73" i="7"/>
  <c r="J73" i="7" s="1"/>
  <c r="K72" i="7"/>
  <c r="H72" i="7"/>
  <c r="J72" i="7" s="1"/>
  <c r="K71" i="7"/>
  <c r="H71" i="7"/>
  <c r="J71" i="7" s="1"/>
  <c r="K70" i="7"/>
  <c r="H70" i="7"/>
  <c r="J70" i="7" s="1"/>
  <c r="K69" i="7"/>
  <c r="H69" i="7"/>
  <c r="J69" i="7" s="1"/>
  <c r="K68" i="7"/>
  <c r="H68" i="7"/>
  <c r="J68" i="7" s="1"/>
  <c r="K67" i="7"/>
  <c r="H67" i="7"/>
  <c r="J67" i="7" s="1"/>
  <c r="K66" i="7"/>
  <c r="H66" i="7"/>
  <c r="J66" i="7" s="1"/>
  <c r="K65" i="7"/>
  <c r="H65" i="7"/>
  <c r="J65" i="7" s="1"/>
  <c r="K64" i="7"/>
  <c r="H64" i="7"/>
  <c r="J64" i="7" s="1"/>
  <c r="K63" i="7"/>
  <c r="H63" i="7"/>
  <c r="J63" i="7" s="1"/>
  <c r="K62" i="7"/>
  <c r="H62" i="7"/>
  <c r="J62" i="7" s="1"/>
  <c r="K61" i="7"/>
  <c r="H61" i="7"/>
  <c r="J61" i="7" s="1"/>
  <c r="K60" i="7"/>
  <c r="H60" i="7"/>
  <c r="J60" i="7" s="1"/>
  <c r="K59" i="7"/>
  <c r="H59" i="7"/>
  <c r="J59" i="7" s="1"/>
  <c r="K58" i="7"/>
  <c r="H58" i="7"/>
  <c r="J58" i="7" s="1"/>
  <c r="K57" i="7"/>
  <c r="H57" i="7"/>
  <c r="J57" i="7" s="1"/>
  <c r="K56" i="7"/>
  <c r="H56" i="7"/>
  <c r="J56" i="7" s="1"/>
  <c r="K55" i="7"/>
  <c r="H55" i="7"/>
  <c r="J55" i="7" s="1"/>
  <c r="K54" i="7"/>
  <c r="H54" i="7"/>
  <c r="J54" i="7" s="1"/>
  <c r="K53" i="7"/>
  <c r="H53" i="7"/>
  <c r="J53" i="7" s="1"/>
  <c r="K52" i="7"/>
  <c r="H52" i="7"/>
  <c r="J52" i="7" s="1"/>
  <c r="K51" i="7"/>
  <c r="H51" i="7"/>
  <c r="J51" i="7" s="1"/>
  <c r="K50" i="7"/>
  <c r="H50" i="7"/>
  <c r="J50" i="7" s="1"/>
  <c r="K49" i="7"/>
  <c r="H49" i="7"/>
  <c r="J49" i="7" s="1"/>
  <c r="K48" i="7"/>
  <c r="H48" i="7"/>
  <c r="J48" i="7" s="1"/>
  <c r="K47" i="7"/>
  <c r="H47" i="7"/>
  <c r="J47" i="7" s="1"/>
  <c r="K46" i="7"/>
  <c r="H46" i="7"/>
  <c r="J46" i="7" s="1"/>
  <c r="K45" i="7"/>
  <c r="H45" i="7"/>
  <c r="J45" i="7" s="1"/>
  <c r="G45" i="7"/>
  <c r="G54" i="7" s="1"/>
  <c r="G63" i="7" s="1"/>
  <c r="G72" i="7" s="1"/>
  <c r="G81" i="7" s="1"/>
  <c r="G90" i="7" s="1"/>
  <c r="G99" i="7" s="1"/>
  <c r="G108" i="7" s="1"/>
  <c r="G117" i="7" s="1"/>
  <c r="G126" i="7" s="1"/>
  <c r="G135" i="7" s="1"/>
  <c r="G144" i="7" s="1"/>
  <c r="G153" i="7" s="1"/>
  <c r="G162" i="7" s="1"/>
  <c r="G171" i="7" s="1"/>
  <c r="G180" i="7" s="1"/>
  <c r="G189" i="7" s="1"/>
  <c r="G198" i="7" s="1"/>
  <c r="G207" i="7" s="1"/>
  <c r="G216" i="7" s="1"/>
  <c r="G225" i="7" s="1"/>
  <c r="G234" i="7" s="1"/>
  <c r="G243" i="7" s="1"/>
  <c r="G252" i="7" s="1"/>
  <c r="G261" i="7" s="1"/>
  <c r="G270" i="7" s="1"/>
  <c r="G279" i="7" s="1"/>
  <c r="G288" i="7" s="1"/>
  <c r="G297" i="7" s="1"/>
  <c r="G306" i="7" s="1"/>
  <c r="G315" i="7" s="1"/>
  <c r="G324" i="7" s="1"/>
  <c r="G333" i="7" s="1"/>
  <c r="G342" i="7" s="1"/>
  <c r="G351" i="7" s="1"/>
  <c r="G360" i="7" s="1"/>
  <c r="G369" i="7" s="1"/>
  <c r="G378" i="7" s="1"/>
  <c r="G387" i="7" s="1"/>
  <c r="G396" i="7" s="1"/>
  <c r="G405" i="7" s="1"/>
  <c r="G414" i="7" s="1"/>
  <c r="G423" i="7" s="1"/>
  <c r="G432" i="7" s="1"/>
  <c r="G441" i="7" s="1"/>
  <c r="G450" i="7" s="1"/>
  <c r="G459" i="7" s="1"/>
  <c r="G468" i="7" s="1"/>
  <c r="G477" i="7" s="1"/>
  <c r="G486" i="7" s="1"/>
  <c r="G495" i="7" s="1"/>
  <c r="G504" i="7" s="1"/>
  <c r="G513" i="7" s="1"/>
  <c r="G522" i="7" s="1"/>
  <c r="G531" i="7" s="1"/>
  <c r="G540" i="7" s="1"/>
  <c r="G549" i="7" s="1"/>
  <c r="G558" i="7" s="1"/>
  <c r="G567" i="7" s="1"/>
  <c r="G576" i="7" s="1"/>
  <c r="G585" i="7" s="1"/>
  <c r="G594" i="7" s="1"/>
  <c r="G603" i="7" s="1"/>
  <c r="G612" i="7" s="1"/>
  <c r="G621" i="7" s="1"/>
  <c r="G630" i="7" s="1"/>
  <c r="G639" i="7" s="1"/>
  <c r="G648" i="7" s="1"/>
  <c r="G657" i="7" s="1"/>
  <c r="G666" i="7" s="1"/>
  <c r="G675" i="7" s="1"/>
  <c r="G684" i="7" s="1"/>
  <c r="G693" i="7" s="1"/>
  <c r="G702" i="7" s="1"/>
  <c r="G711" i="7" s="1"/>
  <c r="G720" i="7" s="1"/>
  <c r="G729" i="7" s="1"/>
  <c r="G738" i="7" s="1"/>
  <c r="G747" i="7" s="1"/>
  <c r="G756" i="7" s="1"/>
  <c r="G765" i="7" s="1"/>
  <c r="G774" i="7" s="1"/>
  <c r="G783" i="7" s="1"/>
  <c r="G792" i="7" s="1"/>
  <c r="G801" i="7" s="1"/>
  <c r="G810" i="7" s="1"/>
  <c r="G819" i="7" s="1"/>
  <c r="G828" i="7" s="1"/>
  <c r="G837" i="7" s="1"/>
  <c r="G846" i="7" s="1"/>
  <c r="G855" i="7" s="1"/>
  <c r="G864" i="7" s="1"/>
  <c r="G873" i="7" s="1"/>
  <c r="G882" i="7" s="1"/>
  <c r="G891" i="7" s="1"/>
  <c r="G900" i="7" s="1"/>
  <c r="G909" i="7" s="1"/>
  <c r="G918" i="7" s="1"/>
  <c r="G927" i="7" s="1"/>
  <c r="G936" i="7" s="1"/>
  <c r="G945" i="7" s="1"/>
  <c r="G954" i="7" s="1"/>
  <c r="G963" i="7" s="1"/>
  <c r="G972" i="7" s="1"/>
  <c r="G981" i="7" s="1"/>
  <c r="G990" i="7" s="1"/>
  <c r="G999" i="7" s="1"/>
  <c r="G1008" i="7" s="1"/>
  <c r="G1017" i="7" s="1"/>
  <c r="G1026" i="7" s="1"/>
  <c r="G1035" i="7" s="1"/>
  <c r="G1044" i="7" s="1"/>
  <c r="G1053" i="7" s="1"/>
  <c r="G1062" i="7" s="1"/>
  <c r="G1071" i="7" s="1"/>
  <c r="G1080" i="7" s="1"/>
  <c r="G1089" i="7" s="1"/>
  <c r="G1098" i="7" s="1"/>
  <c r="G1107" i="7" s="1"/>
  <c r="G1116" i="7" s="1"/>
  <c r="G1125" i="7" s="1"/>
  <c r="G1134" i="7" s="1"/>
  <c r="G1143" i="7" s="1"/>
  <c r="G1152" i="7" s="1"/>
  <c r="G1161" i="7" s="1"/>
  <c r="G1170" i="7" s="1"/>
  <c r="G1179" i="7" s="1"/>
  <c r="G1188" i="7" s="1"/>
  <c r="G1197" i="7" s="1"/>
  <c r="G1206" i="7" s="1"/>
  <c r="G1215" i="7" s="1"/>
  <c r="G1224" i="7" s="1"/>
  <c r="G1233" i="7" s="1"/>
  <c r="G1242" i="7" s="1"/>
  <c r="G1251" i="7" s="1"/>
  <c r="G1260" i="7" s="1"/>
  <c r="G1269" i="7" s="1"/>
  <c r="G1278" i="7" s="1"/>
  <c r="G1287" i="7" s="1"/>
  <c r="G1296" i="7" s="1"/>
  <c r="G1305" i="7" s="1"/>
  <c r="G1314" i="7" s="1"/>
  <c r="G1323" i="7" s="1"/>
  <c r="G1332" i="7" s="1"/>
  <c r="G1341" i="7" s="1"/>
  <c r="G1350" i="7" s="1"/>
  <c r="G1359" i="7" s="1"/>
  <c r="G1368" i="7" s="1"/>
  <c r="G1377" i="7" s="1"/>
  <c r="G1386" i="7" s="1"/>
  <c r="G1395" i="7" s="1"/>
  <c r="G1404" i="7" s="1"/>
  <c r="G1413" i="7" s="1"/>
  <c r="G1422" i="7" s="1"/>
  <c r="G1431" i="7" s="1"/>
  <c r="G1440" i="7" s="1"/>
  <c r="G1449" i="7" s="1"/>
  <c r="G1458" i="7" s="1"/>
  <c r="G1467" i="7" s="1"/>
  <c r="G1476" i="7" s="1"/>
  <c r="G1485" i="7" s="1"/>
  <c r="G1494" i="7" s="1"/>
  <c r="G1503" i="7" s="1"/>
  <c r="G1512" i="7" s="1"/>
  <c r="G1521" i="7" s="1"/>
  <c r="G1530" i="7" s="1"/>
  <c r="G1539" i="7" s="1"/>
  <c r="G1548" i="7" s="1"/>
  <c r="G1557" i="7" s="1"/>
  <c r="G1566" i="7" s="1"/>
  <c r="G1575" i="7" s="1"/>
  <c r="G1584" i="7" s="1"/>
  <c r="G1593" i="7" s="1"/>
  <c r="G1602" i="7" s="1"/>
  <c r="G1611" i="7" s="1"/>
  <c r="G1620" i="7" s="1"/>
  <c r="G1629" i="7" s="1"/>
  <c r="G1638" i="7" s="1"/>
  <c r="G1647" i="7" s="1"/>
  <c r="G1656" i="7" s="1"/>
  <c r="G1665" i="7" s="1"/>
  <c r="G1674" i="7" s="1"/>
  <c r="G1683" i="7" s="1"/>
  <c r="G1692" i="7" s="1"/>
  <c r="G1701" i="7" s="1"/>
  <c r="G1710" i="7" s="1"/>
  <c r="G1719" i="7" s="1"/>
  <c r="G1728" i="7" s="1"/>
  <c r="G1737" i="7" s="1"/>
  <c r="G1746" i="7" s="1"/>
  <c r="G1755" i="7" s="1"/>
  <c r="G1764" i="7" s="1"/>
  <c r="G1773" i="7" s="1"/>
  <c r="G1782" i="7" s="1"/>
  <c r="G1791" i="7" s="1"/>
  <c r="G1800" i="7" s="1"/>
  <c r="G1809" i="7" s="1"/>
  <c r="G1818" i="7" s="1"/>
  <c r="G1827" i="7" s="1"/>
  <c r="G1836" i="7" s="1"/>
  <c r="G1845" i="7" s="1"/>
  <c r="G1854" i="7" s="1"/>
  <c r="G1863" i="7" s="1"/>
  <c r="G1872" i="7" s="1"/>
  <c r="G1881" i="7" s="1"/>
  <c r="G1890" i="7" s="1"/>
  <c r="G1899" i="7" s="1"/>
  <c r="G1908" i="7" s="1"/>
  <c r="G1917" i="7" s="1"/>
  <c r="G1926" i="7" s="1"/>
  <c r="G1935" i="7" s="1"/>
  <c r="G1944" i="7" s="1"/>
  <c r="G1953" i="7" s="1"/>
  <c r="G1962" i="7" s="1"/>
  <c r="G1971" i="7" s="1"/>
  <c r="G1980" i="7" s="1"/>
  <c r="K44" i="7"/>
  <c r="H44" i="7"/>
  <c r="J44" i="7" s="1"/>
  <c r="K43" i="7"/>
  <c r="H43" i="7"/>
  <c r="J43" i="7" s="1"/>
  <c r="K42" i="7"/>
  <c r="H42" i="7"/>
  <c r="J42" i="7" s="1"/>
  <c r="K41" i="7"/>
  <c r="H41" i="7"/>
  <c r="J41" i="7" s="1"/>
  <c r="K40" i="7"/>
  <c r="H40" i="7"/>
  <c r="J40" i="7" s="1"/>
  <c r="K39" i="7"/>
  <c r="H39" i="7"/>
  <c r="J39" i="7" s="1"/>
  <c r="K38" i="7"/>
  <c r="H38" i="7"/>
  <c r="J38" i="7" s="1"/>
  <c r="K37" i="7"/>
  <c r="H37" i="7"/>
  <c r="J37" i="7" s="1"/>
  <c r="G37" i="7"/>
  <c r="G46" i="7" s="1"/>
  <c r="G55" i="7" s="1"/>
  <c r="G64" i="7" s="1"/>
  <c r="G73" i="7" s="1"/>
  <c r="G82" i="7" s="1"/>
  <c r="G91" i="7" s="1"/>
  <c r="G100" i="7" s="1"/>
  <c r="G109" i="7" s="1"/>
  <c r="G118" i="7" s="1"/>
  <c r="G127" i="7" s="1"/>
  <c r="G136" i="7" s="1"/>
  <c r="G145" i="7" s="1"/>
  <c r="G154" i="7" s="1"/>
  <c r="G163" i="7" s="1"/>
  <c r="G172" i="7" s="1"/>
  <c r="G181" i="7" s="1"/>
  <c r="G190" i="7" s="1"/>
  <c r="G199" i="7" s="1"/>
  <c r="G208" i="7" s="1"/>
  <c r="G217" i="7" s="1"/>
  <c r="G226" i="7" s="1"/>
  <c r="G235" i="7" s="1"/>
  <c r="G244" i="7" s="1"/>
  <c r="G253" i="7" s="1"/>
  <c r="G262" i="7" s="1"/>
  <c r="G271" i="7" s="1"/>
  <c r="G280" i="7" s="1"/>
  <c r="G289" i="7" s="1"/>
  <c r="G298" i="7" s="1"/>
  <c r="G307" i="7" s="1"/>
  <c r="G316" i="7" s="1"/>
  <c r="G325" i="7" s="1"/>
  <c r="G334" i="7" s="1"/>
  <c r="G343" i="7" s="1"/>
  <c r="G352" i="7" s="1"/>
  <c r="G361" i="7" s="1"/>
  <c r="G370" i="7" s="1"/>
  <c r="G379" i="7" s="1"/>
  <c r="G388" i="7" s="1"/>
  <c r="G397" i="7" s="1"/>
  <c r="G406" i="7" s="1"/>
  <c r="G415" i="7" s="1"/>
  <c r="G424" i="7" s="1"/>
  <c r="G433" i="7" s="1"/>
  <c r="G442" i="7" s="1"/>
  <c r="G451" i="7" s="1"/>
  <c r="G460" i="7" s="1"/>
  <c r="G469" i="7" s="1"/>
  <c r="G478" i="7" s="1"/>
  <c r="G487" i="7" s="1"/>
  <c r="G496" i="7" s="1"/>
  <c r="G505" i="7" s="1"/>
  <c r="G514" i="7" s="1"/>
  <c r="G523" i="7" s="1"/>
  <c r="G532" i="7" s="1"/>
  <c r="G541" i="7" s="1"/>
  <c r="G550" i="7" s="1"/>
  <c r="G559" i="7" s="1"/>
  <c r="G568" i="7" s="1"/>
  <c r="G577" i="7" s="1"/>
  <c r="G586" i="7" s="1"/>
  <c r="G595" i="7" s="1"/>
  <c r="G604" i="7" s="1"/>
  <c r="G613" i="7" s="1"/>
  <c r="G622" i="7" s="1"/>
  <c r="G631" i="7" s="1"/>
  <c r="G640" i="7" s="1"/>
  <c r="G649" i="7" s="1"/>
  <c r="G658" i="7" s="1"/>
  <c r="G667" i="7" s="1"/>
  <c r="G676" i="7" s="1"/>
  <c r="G685" i="7" s="1"/>
  <c r="G694" i="7" s="1"/>
  <c r="G703" i="7" s="1"/>
  <c r="G712" i="7" s="1"/>
  <c r="G721" i="7" s="1"/>
  <c r="G730" i="7" s="1"/>
  <c r="G739" i="7" s="1"/>
  <c r="G748" i="7" s="1"/>
  <c r="G757" i="7" s="1"/>
  <c r="G766" i="7" s="1"/>
  <c r="G775" i="7" s="1"/>
  <c r="G784" i="7" s="1"/>
  <c r="G793" i="7" s="1"/>
  <c r="G802" i="7" s="1"/>
  <c r="G811" i="7" s="1"/>
  <c r="G820" i="7" s="1"/>
  <c r="G829" i="7" s="1"/>
  <c r="G838" i="7" s="1"/>
  <c r="G847" i="7" s="1"/>
  <c r="G856" i="7" s="1"/>
  <c r="G865" i="7" s="1"/>
  <c r="G874" i="7" s="1"/>
  <c r="G883" i="7" s="1"/>
  <c r="G892" i="7" s="1"/>
  <c r="G901" i="7" s="1"/>
  <c r="G910" i="7" s="1"/>
  <c r="G919" i="7" s="1"/>
  <c r="G928" i="7" s="1"/>
  <c r="G937" i="7" s="1"/>
  <c r="G946" i="7" s="1"/>
  <c r="G955" i="7" s="1"/>
  <c r="G964" i="7" s="1"/>
  <c r="G973" i="7" s="1"/>
  <c r="G982" i="7" s="1"/>
  <c r="G991" i="7" s="1"/>
  <c r="G1000" i="7" s="1"/>
  <c r="G1009" i="7" s="1"/>
  <c r="G1018" i="7" s="1"/>
  <c r="G1027" i="7" s="1"/>
  <c r="G1036" i="7" s="1"/>
  <c r="G1045" i="7" s="1"/>
  <c r="G1054" i="7" s="1"/>
  <c r="G1063" i="7" s="1"/>
  <c r="G1072" i="7" s="1"/>
  <c r="G1081" i="7" s="1"/>
  <c r="G1090" i="7" s="1"/>
  <c r="G1099" i="7" s="1"/>
  <c r="G1108" i="7" s="1"/>
  <c r="G1117" i="7" s="1"/>
  <c r="G1126" i="7" s="1"/>
  <c r="G1135" i="7" s="1"/>
  <c r="G1144" i="7" s="1"/>
  <c r="G1153" i="7" s="1"/>
  <c r="G1162" i="7" s="1"/>
  <c r="G1171" i="7" s="1"/>
  <c r="G1180" i="7" s="1"/>
  <c r="G1189" i="7" s="1"/>
  <c r="G1198" i="7" s="1"/>
  <c r="G1207" i="7" s="1"/>
  <c r="G1216" i="7" s="1"/>
  <c r="G1225" i="7" s="1"/>
  <c r="G1234" i="7" s="1"/>
  <c r="G1243" i="7" s="1"/>
  <c r="G1252" i="7" s="1"/>
  <c r="G1261" i="7" s="1"/>
  <c r="G1270" i="7" s="1"/>
  <c r="G1279" i="7" s="1"/>
  <c r="G1288" i="7" s="1"/>
  <c r="G1297" i="7" s="1"/>
  <c r="G1306" i="7" s="1"/>
  <c r="G1315" i="7" s="1"/>
  <c r="G1324" i="7" s="1"/>
  <c r="G1333" i="7" s="1"/>
  <c r="G1342" i="7" s="1"/>
  <c r="G1351" i="7" s="1"/>
  <c r="G1360" i="7" s="1"/>
  <c r="G1369" i="7" s="1"/>
  <c r="G1378" i="7" s="1"/>
  <c r="G1387" i="7" s="1"/>
  <c r="G1396" i="7" s="1"/>
  <c r="G1405" i="7" s="1"/>
  <c r="G1414" i="7" s="1"/>
  <c r="G1423" i="7" s="1"/>
  <c r="G1432" i="7" s="1"/>
  <c r="G1441" i="7" s="1"/>
  <c r="G1450" i="7" s="1"/>
  <c r="G1459" i="7" s="1"/>
  <c r="G1468" i="7" s="1"/>
  <c r="G1477" i="7" s="1"/>
  <c r="G1486" i="7" s="1"/>
  <c r="G1495" i="7" s="1"/>
  <c r="G1504" i="7" s="1"/>
  <c r="G1513" i="7" s="1"/>
  <c r="G1522" i="7" s="1"/>
  <c r="G1531" i="7" s="1"/>
  <c r="G1540" i="7" s="1"/>
  <c r="G1549" i="7" s="1"/>
  <c r="G1558" i="7" s="1"/>
  <c r="G1567" i="7" s="1"/>
  <c r="G1576" i="7" s="1"/>
  <c r="G1585" i="7" s="1"/>
  <c r="G1594" i="7" s="1"/>
  <c r="G1603" i="7" s="1"/>
  <c r="G1612" i="7" s="1"/>
  <c r="G1621" i="7" s="1"/>
  <c r="G1630" i="7" s="1"/>
  <c r="G1639" i="7" s="1"/>
  <c r="G1648" i="7" s="1"/>
  <c r="G1657" i="7" s="1"/>
  <c r="G1666" i="7" s="1"/>
  <c r="G1675" i="7" s="1"/>
  <c r="G1684" i="7" s="1"/>
  <c r="G1693" i="7" s="1"/>
  <c r="G1702" i="7" s="1"/>
  <c r="G1711" i="7" s="1"/>
  <c r="G1720" i="7" s="1"/>
  <c r="G1729" i="7" s="1"/>
  <c r="G1738" i="7" s="1"/>
  <c r="G1747" i="7" s="1"/>
  <c r="G1756" i="7" s="1"/>
  <c r="G1765" i="7" s="1"/>
  <c r="G1774" i="7" s="1"/>
  <c r="G1783" i="7" s="1"/>
  <c r="G1792" i="7" s="1"/>
  <c r="G1801" i="7" s="1"/>
  <c r="G1810" i="7" s="1"/>
  <c r="G1819" i="7" s="1"/>
  <c r="G1828" i="7" s="1"/>
  <c r="G1837" i="7" s="1"/>
  <c r="G1846" i="7" s="1"/>
  <c r="G1855" i="7" s="1"/>
  <c r="G1864" i="7" s="1"/>
  <c r="G1873" i="7" s="1"/>
  <c r="G1882" i="7" s="1"/>
  <c r="G1891" i="7" s="1"/>
  <c r="G1900" i="7" s="1"/>
  <c r="G1909" i="7" s="1"/>
  <c r="G1918" i="7" s="1"/>
  <c r="G1927" i="7" s="1"/>
  <c r="G1936" i="7" s="1"/>
  <c r="G1945" i="7" s="1"/>
  <c r="G1954" i="7" s="1"/>
  <c r="G1963" i="7" s="1"/>
  <c r="G1972" i="7" s="1"/>
  <c r="G1981" i="7" s="1"/>
  <c r="K36" i="7"/>
  <c r="H36" i="7"/>
  <c r="J36" i="7" s="1"/>
  <c r="K35" i="7"/>
  <c r="H35" i="7"/>
  <c r="J35" i="7" s="1"/>
  <c r="K34" i="7"/>
  <c r="H34" i="7"/>
  <c r="J34" i="7" s="1"/>
  <c r="K33" i="7"/>
  <c r="H33" i="7"/>
  <c r="J33" i="7" s="1"/>
  <c r="G33" i="7"/>
  <c r="G42" i="7" s="1"/>
  <c r="G51" i="7" s="1"/>
  <c r="G60" i="7" s="1"/>
  <c r="G69" i="7" s="1"/>
  <c r="G78" i="7" s="1"/>
  <c r="G87" i="7" s="1"/>
  <c r="G96" i="7" s="1"/>
  <c r="G105" i="7" s="1"/>
  <c r="G114" i="7" s="1"/>
  <c r="G123" i="7" s="1"/>
  <c r="G132" i="7" s="1"/>
  <c r="G141" i="7" s="1"/>
  <c r="G150" i="7" s="1"/>
  <c r="G159" i="7" s="1"/>
  <c r="G168" i="7" s="1"/>
  <c r="G177" i="7" s="1"/>
  <c r="G186" i="7" s="1"/>
  <c r="G195" i="7" s="1"/>
  <c r="G204" i="7" s="1"/>
  <c r="G213" i="7" s="1"/>
  <c r="G222" i="7" s="1"/>
  <c r="G231" i="7" s="1"/>
  <c r="G240" i="7" s="1"/>
  <c r="G249" i="7" s="1"/>
  <c r="G258" i="7" s="1"/>
  <c r="G267" i="7" s="1"/>
  <c r="G276" i="7" s="1"/>
  <c r="G285" i="7" s="1"/>
  <c r="G294" i="7" s="1"/>
  <c r="G303" i="7" s="1"/>
  <c r="G312" i="7" s="1"/>
  <c r="G321" i="7" s="1"/>
  <c r="G330" i="7" s="1"/>
  <c r="G339" i="7" s="1"/>
  <c r="G348" i="7" s="1"/>
  <c r="G357" i="7" s="1"/>
  <c r="G366" i="7" s="1"/>
  <c r="G375" i="7" s="1"/>
  <c r="G384" i="7" s="1"/>
  <c r="G393" i="7" s="1"/>
  <c r="G402" i="7" s="1"/>
  <c r="G411" i="7" s="1"/>
  <c r="G420" i="7" s="1"/>
  <c r="G429" i="7" s="1"/>
  <c r="G438" i="7" s="1"/>
  <c r="G447" i="7" s="1"/>
  <c r="G456" i="7" s="1"/>
  <c r="G465" i="7" s="1"/>
  <c r="G474" i="7" s="1"/>
  <c r="G483" i="7" s="1"/>
  <c r="G492" i="7" s="1"/>
  <c r="G501" i="7" s="1"/>
  <c r="G510" i="7" s="1"/>
  <c r="G519" i="7" s="1"/>
  <c r="G528" i="7" s="1"/>
  <c r="G537" i="7" s="1"/>
  <c r="G546" i="7" s="1"/>
  <c r="G555" i="7" s="1"/>
  <c r="G564" i="7" s="1"/>
  <c r="G573" i="7" s="1"/>
  <c r="G582" i="7" s="1"/>
  <c r="G591" i="7" s="1"/>
  <c r="G600" i="7" s="1"/>
  <c r="G609" i="7" s="1"/>
  <c r="G618" i="7" s="1"/>
  <c r="G627" i="7" s="1"/>
  <c r="G636" i="7" s="1"/>
  <c r="G645" i="7" s="1"/>
  <c r="G654" i="7" s="1"/>
  <c r="G663" i="7" s="1"/>
  <c r="G672" i="7" s="1"/>
  <c r="G681" i="7" s="1"/>
  <c r="G690" i="7" s="1"/>
  <c r="G699" i="7" s="1"/>
  <c r="G708" i="7" s="1"/>
  <c r="G717" i="7" s="1"/>
  <c r="G726" i="7" s="1"/>
  <c r="G735" i="7" s="1"/>
  <c r="G744" i="7" s="1"/>
  <c r="G753" i="7" s="1"/>
  <c r="G762" i="7" s="1"/>
  <c r="G771" i="7" s="1"/>
  <c r="G780" i="7" s="1"/>
  <c r="G789" i="7" s="1"/>
  <c r="G798" i="7" s="1"/>
  <c r="G807" i="7" s="1"/>
  <c r="G816" i="7" s="1"/>
  <c r="G825" i="7" s="1"/>
  <c r="G834" i="7" s="1"/>
  <c r="G843" i="7" s="1"/>
  <c r="G852" i="7" s="1"/>
  <c r="G861" i="7" s="1"/>
  <c r="G870" i="7" s="1"/>
  <c r="G879" i="7" s="1"/>
  <c r="G888" i="7" s="1"/>
  <c r="G897" i="7" s="1"/>
  <c r="G906" i="7" s="1"/>
  <c r="G915" i="7" s="1"/>
  <c r="G924" i="7" s="1"/>
  <c r="G933" i="7" s="1"/>
  <c r="G942" i="7" s="1"/>
  <c r="G951" i="7" s="1"/>
  <c r="G960" i="7" s="1"/>
  <c r="G969" i="7" s="1"/>
  <c r="G978" i="7" s="1"/>
  <c r="G987" i="7" s="1"/>
  <c r="G996" i="7" s="1"/>
  <c r="G1005" i="7" s="1"/>
  <c r="G1014" i="7" s="1"/>
  <c r="G1023" i="7" s="1"/>
  <c r="G1032" i="7" s="1"/>
  <c r="G1041" i="7" s="1"/>
  <c r="G1050" i="7" s="1"/>
  <c r="G1059" i="7" s="1"/>
  <c r="G1068" i="7" s="1"/>
  <c r="G1077" i="7" s="1"/>
  <c r="G1086" i="7" s="1"/>
  <c r="G1095" i="7" s="1"/>
  <c r="G1104" i="7" s="1"/>
  <c r="G1113" i="7" s="1"/>
  <c r="G1122" i="7" s="1"/>
  <c r="G1131" i="7" s="1"/>
  <c r="G1140" i="7" s="1"/>
  <c r="G1149" i="7" s="1"/>
  <c r="G1158" i="7" s="1"/>
  <c r="G1167" i="7" s="1"/>
  <c r="G1176" i="7" s="1"/>
  <c r="G1185" i="7" s="1"/>
  <c r="G1194" i="7" s="1"/>
  <c r="G1203" i="7" s="1"/>
  <c r="G1212" i="7" s="1"/>
  <c r="G1221" i="7" s="1"/>
  <c r="G1230" i="7" s="1"/>
  <c r="G1239" i="7" s="1"/>
  <c r="G1248" i="7" s="1"/>
  <c r="G1257" i="7" s="1"/>
  <c r="G1266" i="7" s="1"/>
  <c r="G1275" i="7" s="1"/>
  <c r="G1284" i="7" s="1"/>
  <c r="G1293" i="7" s="1"/>
  <c r="G1302" i="7" s="1"/>
  <c r="G1311" i="7" s="1"/>
  <c r="G1320" i="7" s="1"/>
  <c r="G1329" i="7" s="1"/>
  <c r="G1338" i="7" s="1"/>
  <c r="G1347" i="7" s="1"/>
  <c r="G1356" i="7" s="1"/>
  <c r="G1365" i="7" s="1"/>
  <c r="G1374" i="7" s="1"/>
  <c r="G1383" i="7" s="1"/>
  <c r="G1392" i="7" s="1"/>
  <c r="G1401" i="7" s="1"/>
  <c r="G1410" i="7" s="1"/>
  <c r="G1419" i="7" s="1"/>
  <c r="G1428" i="7" s="1"/>
  <c r="G1437" i="7" s="1"/>
  <c r="G1446" i="7" s="1"/>
  <c r="G1455" i="7" s="1"/>
  <c r="G1464" i="7" s="1"/>
  <c r="G1473" i="7" s="1"/>
  <c r="G1482" i="7" s="1"/>
  <c r="G1491" i="7" s="1"/>
  <c r="G1500" i="7" s="1"/>
  <c r="G1509" i="7" s="1"/>
  <c r="G1518" i="7" s="1"/>
  <c r="G1527" i="7" s="1"/>
  <c r="G1536" i="7" s="1"/>
  <c r="G1545" i="7" s="1"/>
  <c r="G1554" i="7" s="1"/>
  <c r="G1563" i="7" s="1"/>
  <c r="G1572" i="7" s="1"/>
  <c r="G1581" i="7" s="1"/>
  <c r="G1590" i="7" s="1"/>
  <c r="G1599" i="7" s="1"/>
  <c r="G1608" i="7" s="1"/>
  <c r="G1617" i="7" s="1"/>
  <c r="G1626" i="7" s="1"/>
  <c r="G1635" i="7" s="1"/>
  <c r="G1644" i="7" s="1"/>
  <c r="G1653" i="7" s="1"/>
  <c r="G1662" i="7" s="1"/>
  <c r="G1671" i="7" s="1"/>
  <c r="G1680" i="7" s="1"/>
  <c r="G1689" i="7" s="1"/>
  <c r="G1698" i="7" s="1"/>
  <c r="G1707" i="7" s="1"/>
  <c r="G1716" i="7" s="1"/>
  <c r="G1725" i="7" s="1"/>
  <c r="G1734" i="7" s="1"/>
  <c r="G1743" i="7" s="1"/>
  <c r="G1752" i="7" s="1"/>
  <c r="G1761" i="7" s="1"/>
  <c r="G1770" i="7" s="1"/>
  <c r="G1779" i="7" s="1"/>
  <c r="G1788" i="7" s="1"/>
  <c r="G1797" i="7" s="1"/>
  <c r="G1806" i="7" s="1"/>
  <c r="G1815" i="7" s="1"/>
  <c r="G1824" i="7" s="1"/>
  <c r="G1833" i="7" s="1"/>
  <c r="G1842" i="7" s="1"/>
  <c r="G1851" i="7" s="1"/>
  <c r="G1860" i="7" s="1"/>
  <c r="G1869" i="7" s="1"/>
  <c r="G1878" i="7" s="1"/>
  <c r="G1887" i="7" s="1"/>
  <c r="G1896" i="7" s="1"/>
  <c r="G1905" i="7" s="1"/>
  <c r="G1914" i="7" s="1"/>
  <c r="G1923" i="7" s="1"/>
  <c r="G1932" i="7" s="1"/>
  <c r="G1941" i="7" s="1"/>
  <c r="G1950" i="7" s="1"/>
  <c r="G1959" i="7" s="1"/>
  <c r="G1968" i="7" s="1"/>
  <c r="G1977" i="7" s="1"/>
  <c r="K32" i="7"/>
  <c r="H32" i="7"/>
  <c r="J32" i="7" s="1"/>
  <c r="K31" i="7"/>
  <c r="H31" i="7"/>
  <c r="J31" i="7" s="1"/>
  <c r="K30" i="7"/>
  <c r="H30" i="7"/>
  <c r="J30" i="7" s="1"/>
  <c r="K29" i="7"/>
  <c r="H29" i="7"/>
  <c r="J29" i="7" s="1"/>
  <c r="K28" i="7"/>
  <c r="H28" i="7"/>
  <c r="J28" i="7" s="1"/>
  <c r="K27" i="7"/>
  <c r="H27" i="7"/>
  <c r="J27" i="7" s="1"/>
  <c r="G27" i="7"/>
  <c r="G36" i="7" s="1"/>
  <c r="K26" i="7"/>
  <c r="H26" i="7"/>
  <c r="J26" i="7" s="1"/>
  <c r="K25" i="7"/>
  <c r="H25" i="7"/>
  <c r="J25" i="7" s="1"/>
  <c r="G25" i="7"/>
  <c r="G34" i="7" s="1"/>
  <c r="G43" i="7" s="1"/>
  <c r="G52" i="7" s="1"/>
  <c r="G61" i="7" s="1"/>
  <c r="G70" i="7" s="1"/>
  <c r="G79" i="7" s="1"/>
  <c r="G88" i="7" s="1"/>
  <c r="G97" i="7" s="1"/>
  <c r="G106" i="7" s="1"/>
  <c r="G115" i="7" s="1"/>
  <c r="G124" i="7" s="1"/>
  <c r="G133" i="7" s="1"/>
  <c r="G142" i="7" s="1"/>
  <c r="G151" i="7" s="1"/>
  <c r="G160" i="7" s="1"/>
  <c r="G169" i="7" s="1"/>
  <c r="G178" i="7" s="1"/>
  <c r="G187" i="7" s="1"/>
  <c r="G196" i="7" s="1"/>
  <c r="G205" i="7" s="1"/>
  <c r="G214" i="7" s="1"/>
  <c r="G223" i="7" s="1"/>
  <c r="G232" i="7" s="1"/>
  <c r="G241" i="7" s="1"/>
  <c r="G250" i="7" s="1"/>
  <c r="G259" i="7" s="1"/>
  <c r="G268" i="7" s="1"/>
  <c r="G277" i="7" s="1"/>
  <c r="G286" i="7" s="1"/>
  <c r="G295" i="7" s="1"/>
  <c r="G304" i="7" s="1"/>
  <c r="G313" i="7" s="1"/>
  <c r="G322" i="7" s="1"/>
  <c r="G331" i="7" s="1"/>
  <c r="G340" i="7" s="1"/>
  <c r="G349" i="7" s="1"/>
  <c r="G358" i="7" s="1"/>
  <c r="G367" i="7" s="1"/>
  <c r="G376" i="7" s="1"/>
  <c r="G385" i="7" s="1"/>
  <c r="G394" i="7" s="1"/>
  <c r="G403" i="7" s="1"/>
  <c r="G412" i="7" s="1"/>
  <c r="G421" i="7" s="1"/>
  <c r="G430" i="7" s="1"/>
  <c r="G439" i="7" s="1"/>
  <c r="G448" i="7" s="1"/>
  <c r="G457" i="7" s="1"/>
  <c r="G466" i="7" s="1"/>
  <c r="G475" i="7" s="1"/>
  <c r="G484" i="7" s="1"/>
  <c r="G493" i="7" s="1"/>
  <c r="G502" i="7" s="1"/>
  <c r="G511" i="7" s="1"/>
  <c r="G520" i="7" s="1"/>
  <c r="G529" i="7" s="1"/>
  <c r="G538" i="7" s="1"/>
  <c r="G547" i="7" s="1"/>
  <c r="G556" i="7" s="1"/>
  <c r="G565" i="7" s="1"/>
  <c r="G574" i="7" s="1"/>
  <c r="G583" i="7" s="1"/>
  <c r="G592" i="7" s="1"/>
  <c r="G601" i="7" s="1"/>
  <c r="G610" i="7" s="1"/>
  <c r="G619" i="7" s="1"/>
  <c r="G628" i="7" s="1"/>
  <c r="G637" i="7" s="1"/>
  <c r="G646" i="7" s="1"/>
  <c r="G655" i="7" s="1"/>
  <c r="G664" i="7" s="1"/>
  <c r="G673" i="7" s="1"/>
  <c r="G682" i="7" s="1"/>
  <c r="G691" i="7" s="1"/>
  <c r="G700" i="7" s="1"/>
  <c r="G709" i="7" s="1"/>
  <c r="G718" i="7" s="1"/>
  <c r="G727" i="7" s="1"/>
  <c r="G736" i="7" s="1"/>
  <c r="G745" i="7" s="1"/>
  <c r="G754" i="7" s="1"/>
  <c r="G763" i="7" s="1"/>
  <c r="G772" i="7" s="1"/>
  <c r="G781" i="7" s="1"/>
  <c r="G790" i="7" s="1"/>
  <c r="G799" i="7" s="1"/>
  <c r="G808" i="7" s="1"/>
  <c r="G817" i="7" s="1"/>
  <c r="G826" i="7" s="1"/>
  <c r="G835" i="7" s="1"/>
  <c r="G844" i="7" s="1"/>
  <c r="G853" i="7" s="1"/>
  <c r="G862" i="7" s="1"/>
  <c r="G871" i="7" s="1"/>
  <c r="G880" i="7" s="1"/>
  <c r="G889" i="7" s="1"/>
  <c r="G898" i="7" s="1"/>
  <c r="G907" i="7" s="1"/>
  <c r="G916" i="7" s="1"/>
  <c r="G925" i="7" s="1"/>
  <c r="G934" i="7" s="1"/>
  <c r="G943" i="7" s="1"/>
  <c r="G952" i="7" s="1"/>
  <c r="G961" i="7" s="1"/>
  <c r="G970" i="7" s="1"/>
  <c r="G979" i="7" s="1"/>
  <c r="G988" i="7" s="1"/>
  <c r="G997" i="7" s="1"/>
  <c r="G1006" i="7" s="1"/>
  <c r="G1015" i="7" s="1"/>
  <c r="G1024" i="7" s="1"/>
  <c r="G1033" i="7" s="1"/>
  <c r="G1042" i="7" s="1"/>
  <c r="G1051" i="7" s="1"/>
  <c r="G1060" i="7" s="1"/>
  <c r="G1069" i="7" s="1"/>
  <c r="G1078" i="7" s="1"/>
  <c r="G1087" i="7" s="1"/>
  <c r="G1096" i="7" s="1"/>
  <c r="G1105" i="7" s="1"/>
  <c r="G1114" i="7" s="1"/>
  <c r="G1123" i="7" s="1"/>
  <c r="G1132" i="7" s="1"/>
  <c r="G1141" i="7" s="1"/>
  <c r="G1150" i="7" s="1"/>
  <c r="G1159" i="7" s="1"/>
  <c r="G1168" i="7" s="1"/>
  <c r="G1177" i="7" s="1"/>
  <c r="G1186" i="7" s="1"/>
  <c r="G1195" i="7" s="1"/>
  <c r="G1204" i="7" s="1"/>
  <c r="G1213" i="7" s="1"/>
  <c r="G1222" i="7" s="1"/>
  <c r="G1231" i="7" s="1"/>
  <c r="G1240" i="7" s="1"/>
  <c r="G1249" i="7" s="1"/>
  <c r="G1258" i="7" s="1"/>
  <c r="G1267" i="7" s="1"/>
  <c r="G1276" i="7" s="1"/>
  <c r="G1285" i="7" s="1"/>
  <c r="G1294" i="7" s="1"/>
  <c r="G1303" i="7" s="1"/>
  <c r="G1312" i="7" s="1"/>
  <c r="G1321" i="7" s="1"/>
  <c r="G1330" i="7" s="1"/>
  <c r="G1339" i="7" s="1"/>
  <c r="G1348" i="7" s="1"/>
  <c r="G1357" i="7" s="1"/>
  <c r="G1366" i="7" s="1"/>
  <c r="G1375" i="7" s="1"/>
  <c r="G1384" i="7" s="1"/>
  <c r="G1393" i="7" s="1"/>
  <c r="G1402" i="7" s="1"/>
  <c r="G1411" i="7" s="1"/>
  <c r="G1420" i="7" s="1"/>
  <c r="G1429" i="7" s="1"/>
  <c r="G1438" i="7" s="1"/>
  <c r="G1447" i="7" s="1"/>
  <c r="G1456" i="7" s="1"/>
  <c r="G1465" i="7" s="1"/>
  <c r="G1474" i="7" s="1"/>
  <c r="G1483" i="7" s="1"/>
  <c r="G1492" i="7" s="1"/>
  <c r="G1501" i="7" s="1"/>
  <c r="G1510" i="7" s="1"/>
  <c r="G1519" i="7" s="1"/>
  <c r="G1528" i="7" s="1"/>
  <c r="G1537" i="7" s="1"/>
  <c r="G1546" i="7" s="1"/>
  <c r="G1555" i="7" s="1"/>
  <c r="G1564" i="7" s="1"/>
  <c r="G1573" i="7" s="1"/>
  <c r="G1582" i="7" s="1"/>
  <c r="G1591" i="7" s="1"/>
  <c r="G1600" i="7" s="1"/>
  <c r="G1609" i="7" s="1"/>
  <c r="G1618" i="7" s="1"/>
  <c r="G1627" i="7" s="1"/>
  <c r="G1636" i="7" s="1"/>
  <c r="G1645" i="7" s="1"/>
  <c r="G1654" i="7" s="1"/>
  <c r="G1663" i="7" s="1"/>
  <c r="G1672" i="7" s="1"/>
  <c r="G1681" i="7" s="1"/>
  <c r="G1690" i="7" s="1"/>
  <c r="G1699" i="7" s="1"/>
  <c r="G1708" i="7" s="1"/>
  <c r="G1717" i="7" s="1"/>
  <c r="G1726" i="7" s="1"/>
  <c r="G1735" i="7" s="1"/>
  <c r="G1744" i="7" s="1"/>
  <c r="G1753" i="7" s="1"/>
  <c r="G1762" i="7" s="1"/>
  <c r="G1771" i="7" s="1"/>
  <c r="G1780" i="7" s="1"/>
  <c r="G1789" i="7" s="1"/>
  <c r="G1798" i="7" s="1"/>
  <c r="G1807" i="7" s="1"/>
  <c r="G1816" i="7" s="1"/>
  <c r="G1825" i="7" s="1"/>
  <c r="G1834" i="7" s="1"/>
  <c r="G1843" i="7" s="1"/>
  <c r="G1852" i="7" s="1"/>
  <c r="G1861" i="7" s="1"/>
  <c r="G1870" i="7" s="1"/>
  <c r="G1879" i="7" s="1"/>
  <c r="G1888" i="7" s="1"/>
  <c r="G1897" i="7" s="1"/>
  <c r="G1906" i="7" s="1"/>
  <c r="G1915" i="7" s="1"/>
  <c r="G1924" i="7" s="1"/>
  <c r="G1933" i="7" s="1"/>
  <c r="G1942" i="7" s="1"/>
  <c r="G1951" i="7" s="1"/>
  <c r="G1960" i="7" s="1"/>
  <c r="G1969" i="7" s="1"/>
  <c r="G1978" i="7" s="1"/>
  <c r="K24" i="7"/>
  <c r="H24" i="7"/>
  <c r="J24" i="7" s="1"/>
  <c r="K23" i="7"/>
  <c r="H23" i="7"/>
  <c r="J23" i="7" s="1"/>
  <c r="K22" i="7"/>
  <c r="H22" i="7"/>
  <c r="J22" i="7" s="1"/>
  <c r="K21" i="7"/>
  <c r="H21" i="7"/>
  <c r="J21" i="7" s="1"/>
  <c r="G21" i="7"/>
  <c r="G30" i="7" s="1"/>
  <c r="G39" i="7" s="1"/>
  <c r="G48" i="7" s="1"/>
  <c r="G57" i="7" s="1"/>
  <c r="G66" i="7" s="1"/>
  <c r="G75" i="7" s="1"/>
  <c r="G84" i="7" s="1"/>
  <c r="G93" i="7" s="1"/>
  <c r="G102" i="7" s="1"/>
  <c r="G111" i="7" s="1"/>
  <c r="G120" i="7" s="1"/>
  <c r="G129" i="7" s="1"/>
  <c r="G138" i="7" s="1"/>
  <c r="G147" i="7" s="1"/>
  <c r="G156" i="7" s="1"/>
  <c r="G165" i="7" s="1"/>
  <c r="G174" i="7" s="1"/>
  <c r="G183" i="7" s="1"/>
  <c r="G192" i="7" s="1"/>
  <c r="G201" i="7" s="1"/>
  <c r="G210" i="7" s="1"/>
  <c r="G219" i="7" s="1"/>
  <c r="G228" i="7" s="1"/>
  <c r="G237" i="7" s="1"/>
  <c r="G246" i="7" s="1"/>
  <c r="G255" i="7" s="1"/>
  <c r="G264" i="7" s="1"/>
  <c r="G273" i="7" s="1"/>
  <c r="G282" i="7" s="1"/>
  <c r="G291" i="7" s="1"/>
  <c r="G300" i="7" s="1"/>
  <c r="G309" i="7" s="1"/>
  <c r="G318" i="7" s="1"/>
  <c r="G327" i="7" s="1"/>
  <c r="G336" i="7" s="1"/>
  <c r="G345" i="7" s="1"/>
  <c r="G354" i="7" s="1"/>
  <c r="G363" i="7" s="1"/>
  <c r="G372" i="7" s="1"/>
  <c r="G381" i="7" s="1"/>
  <c r="G390" i="7" s="1"/>
  <c r="G399" i="7" s="1"/>
  <c r="G408" i="7" s="1"/>
  <c r="G417" i="7" s="1"/>
  <c r="G426" i="7" s="1"/>
  <c r="G435" i="7" s="1"/>
  <c r="G444" i="7" s="1"/>
  <c r="G453" i="7" s="1"/>
  <c r="G462" i="7" s="1"/>
  <c r="G471" i="7" s="1"/>
  <c r="G480" i="7" s="1"/>
  <c r="G489" i="7" s="1"/>
  <c r="G498" i="7" s="1"/>
  <c r="G507" i="7" s="1"/>
  <c r="G516" i="7" s="1"/>
  <c r="G525" i="7" s="1"/>
  <c r="G534" i="7" s="1"/>
  <c r="G543" i="7" s="1"/>
  <c r="G552" i="7" s="1"/>
  <c r="G561" i="7" s="1"/>
  <c r="G570" i="7" s="1"/>
  <c r="G579" i="7" s="1"/>
  <c r="G588" i="7" s="1"/>
  <c r="G597" i="7" s="1"/>
  <c r="G606" i="7" s="1"/>
  <c r="G615" i="7" s="1"/>
  <c r="G624" i="7" s="1"/>
  <c r="G633" i="7" s="1"/>
  <c r="G642" i="7" s="1"/>
  <c r="G651" i="7" s="1"/>
  <c r="G660" i="7" s="1"/>
  <c r="G669" i="7" s="1"/>
  <c r="G678" i="7" s="1"/>
  <c r="G687" i="7" s="1"/>
  <c r="G696" i="7" s="1"/>
  <c r="G705" i="7" s="1"/>
  <c r="G714" i="7" s="1"/>
  <c r="G723" i="7" s="1"/>
  <c r="G732" i="7" s="1"/>
  <c r="G741" i="7" s="1"/>
  <c r="G750" i="7" s="1"/>
  <c r="G759" i="7" s="1"/>
  <c r="G768" i="7" s="1"/>
  <c r="G777" i="7" s="1"/>
  <c r="G786" i="7" s="1"/>
  <c r="G795" i="7" s="1"/>
  <c r="G804" i="7" s="1"/>
  <c r="G813" i="7" s="1"/>
  <c r="G822" i="7" s="1"/>
  <c r="G831" i="7" s="1"/>
  <c r="G840" i="7" s="1"/>
  <c r="G849" i="7" s="1"/>
  <c r="G858" i="7" s="1"/>
  <c r="G867" i="7" s="1"/>
  <c r="G876" i="7" s="1"/>
  <c r="G885" i="7" s="1"/>
  <c r="G894" i="7" s="1"/>
  <c r="G903" i="7" s="1"/>
  <c r="G912" i="7" s="1"/>
  <c r="G921" i="7" s="1"/>
  <c r="G930" i="7" s="1"/>
  <c r="G939" i="7" s="1"/>
  <c r="G948" i="7" s="1"/>
  <c r="G957" i="7" s="1"/>
  <c r="G966" i="7" s="1"/>
  <c r="G975" i="7" s="1"/>
  <c r="G984" i="7" s="1"/>
  <c r="G993" i="7" s="1"/>
  <c r="G1002" i="7" s="1"/>
  <c r="G1011" i="7" s="1"/>
  <c r="G1020" i="7" s="1"/>
  <c r="G1029" i="7" s="1"/>
  <c r="G1038" i="7" s="1"/>
  <c r="G1047" i="7" s="1"/>
  <c r="G1056" i="7" s="1"/>
  <c r="G1065" i="7" s="1"/>
  <c r="G1074" i="7" s="1"/>
  <c r="G1083" i="7" s="1"/>
  <c r="G1092" i="7" s="1"/>
  <c r="G1101" i="7" s="1"/>
  <c r="G1110" i="7" s="1"/>
  <c r="G1119" i="7" s="1"/>
  <c r="G1128" i="7" s="1"/>
  <c r="G1137" i="7" s="1"/>
  <c r="G1146" i="7" s="1"/>
  <c r="G1155" i="7" s="1"/>
  <c r="G1164" i="7" s="1"/>
  <c r="G1173" i="7" s="1"/>
  <c r="G1182" i="7" s="1"/>
  <c r="G1191" i="7" s="1"/>
  <c r="G1200" i="7" s="1"/>
  <c r="G1209" i="7" s="1"/>
  <c r="G1218" i="7" s="1"/>
  <c r="G1227" i="7" s="1"/>
  <c r="G1236" i="7" s="1"/>
  <c r="G1245" i="7" s="1"/>
  <c r="G1254" i="7" s="1"/>
  <c r="G1263" i="7" s="1"/>
  <c r="G1272" i="7" s="1"/>
  <c r="G1281" i="7" s="1"/>
  <c r="G1290" i="7" s="1"/>
  <c r="G1299" i="7" s="1"/>
  <c r="G1308" i="7" s="1"/>
  <c r="G1317" i="7" s="1"/>
  <c r="G1326" i="7" s="1"/>
  <c r="G1335" i="7" s="1"/>
  <c r="G1344" i="7" s="1"/>
  <c r="G1353" i="7" s="1"/>
  <c r="G1362" i="7" s="1"/>
  <c r="G1371" i="7" s="1"/>
  <c r="G1380" i="7" s="1"/>
  <c r="G1389" i="7" s="1"/>
  <c r="G1398" i="7" s="1"/>
  <c r="G1407" i="7" s="1"/>
  <c r="G1416" i="7" s="1"/>
  <c r="G1425" i="7" s="1"/>
  <c r="G1434" i="7" s="1"/>
  <c r="G1443" i="7" s="1"/>
  <c r="G1452" i="7" s="1"/>
  <c r="G1461" i="7" s="1"/>
  <c r="G1470" i="7" s="1"/>
  <c r="G1479" i="7" s="1"/>
  <c r="G1488" i="7" s="1"/>
  <c r="G1497" i="7" s="1"/>
  <c r="G1506" i="7" s="1"/>
  <c r="G1515" i="7" s="1"/>
  <c r="G1524" i="7" s="1"/>
  <c r="G1533" i="7" s="1"/>
  <c r="G1542" i="7" s="1"/>
  <c r="G1551" i="7" s="1"/>
  <c r="G1560" i="7" s="1"/>
  <c r="G1569" i="7" s="1"/>
  <c r="G1578" i="7" s="1"/>
  <c r="G1587" i="7" s="1"/>
  <c r="G1596" i="7" s="1"/>
  <c r="G1605" i="7" s="1"/>
  <c r="G1614" i="7" s="1"/>
  <c r="G1623" i="7" s="1"/>
  <c r="G1632" i="7" s="1"/>
  <c r="G1641" i="7" s="1"/>
  <c r="G1650" i="7" s="1"/>
  <c r="G1659" i="7" s="1"/>
  <c r="G1668" i="7" s="1"/>
  <c r="G1677" i="7" s="1"/>
  <c r="G1686" i="7" s="1"/>
  <c r="G1695" i="7" s="1"/>
  <c r="G1704" i="7" s="1"/>
  <c r="G1713" i="7" s="1"/>
  <c r="G1722" i="7" s="1"/>
  <c r="G1731" i="7" s="1"/>
  <c r="G1740" i="7" s="1"/>
  <c r="G1749" i="7" s="1"/>
  <c r="G1758" i="7" s="1"/>
  <c r="G1767" i="7" s="1"/>
  <c r="G1776" i="7" s="1"/>
  <c r="G1785" i="7" s="1"/>
  <c r="G1794" i="7" s="1"/>
  <c r="G1803" i="7" s="1"/>
  <c r="G1812" i="7" s="1"/>
  <c r="G1821" i="7" s="1"/>
  <c r="G1830" i="7" s="1"/>
  <c r="G1839" i="7" s="1"/>
  <c r="G1848" i="7" s="1"/>
  <c r="G1857" i="7" s="1"/>
  <c r="G1866" i="7" s="1"/>
  <c r="G1875" i="7" s="1"/>
  <c r="G1884" i="7" s="1"/>
  <c r="G1893" i="7" s="1"/>
  <c r="G1902" i="7" s="1"/>
  <c r="G1911" i="7" s="1"/>
  <c r="G1920" i="7" s="1"/>
  <c r="G1929" i="7" s="1"/>
  <c r="G1938" i="7" s="1"/>
  <c r="G1947" i="7" s="1"/>
  <c r="G1956" i="7" s="1"/>
  <c r="G1965" i="7" s="1"/>
  <c r="G1974" i="7" s="1"/>
  <c r="K20" i="7"/>
  <c r="H20" i="7"/>
  <c r="J20" i="7" s="1"/>
  <c r="K19" i="7"/>
  <c r="H19" i="7"/>
  <c r="J19" i="7" s="1"/>
  <c r="G19" i="7"/>
  <c r="G28" i="7" s="1"/>
  <c r="K18" i="7"/>
  <c r="H18" i="7"/>
  <c r="J18" i="7" s="1"/>
  <c r="K17" i="7"/>
  <c r="H17" i="7"/>
  <c r="J17" i="7" s="1"/>
  <c r="K16" i="7"/>
  <c r="H16" i="7"/>
  <c r="J16" i="7" s="1"/>
  <c r="K15" i="7"/>
  <c r="H15" i="7"/>
  <c r="J15" i="7" s="1"/>
  <c r="G15" i="7"/>
  <c r="G24" i="7" s="1"/>
  <c r="K14" i="7"/>
  <c r="H14" i="7"/>
  <c r="J14" i="7" s="1"/>
  <c r="K13" i="7"/>
  <c r="H13" i="7"/>
  <c r="J13" i="7" s="1"/>
  <c r="G13" i="7"/>
  <c r="G22" i="7" s="1"/>
  <c r="G31" i="7" s="1"/>
  <c r="G40" i="7" s="1"/>
  <c r="G49" i="7" s="1"/>
  <c r="G58" i="7" s="1"/>
  <c r="G67" i="7" s="1"/>
  <c r="G76" i="7" s="1"/>
  <c r="G85" i="7" s="1"/>
  <c r="G94" i="7" s="1"/>
  <c r="G103" i="7" s="1"/>
  <c r="G112" i="7" s="1"/>
  <c r="G121" i="7" s="1"/>
  <c r="G130" i="7" s="1"/>
  <c r="G139" i="7" s="1"/>
  <c r="G148" i="7" s="1"/>
  <c r="G157" i="7" s="1"/>
  <c r="G166" i="7" s="1"/>
  <c r="G175" i="7" s="1"/>
  <c r="G184" i="7" s="1"/>
  <c r="G193" i="7" s="1"/>
  <c r="G202" i="7" s="1"/>
  <c r="G211" i="7" s="1"/>
  <c r="G220" i="7" s="1"/>
  <c r="G229" i="7" s="1"/>
  <c r="G238" i="7" s="1"/>
  <c r="G247" i="7" s="1"/>
  <c r="G256" i="7" s="1"/>
  <c r="G265" i="7" s="1"/>
  <c r="G274" i="7" s="1"/>
  <c r="G283" i="7" s="1"/>
  <c r="G292" i="7" s="1"/>
  <c r="G301" i="7" s="1"/>
  <c r="G310" i="7" s="1"/>
  <c r="G319" i="7" s="1"/>
  <c r="G328" i="7" s="1"/>
  <c r="G337" i="7" s="1"/>
  <c r="G346" i="7" s="1"/>
  <c r="G355" i="7" s="1"/>
  <c r="G364" i="7" s="1"/>
  <c r="G373" i="7" s="1"/>
  <c r="G382" i="7" s="1"/>
  <c r="G391" i="7" s="1"/>
  <c r="G400" i="7" s="1"/>
  <c r="G409" i="7" s="1"/>
  <c r="G418" i="7" s="1"/>
  <c r="G427" i="7" s="1"/>
  <c r="G436" i="7" s="1"/>
  <c r="G445" i="7" s="1"/>
  <c r="G454" i="7" s="1"/>
  <c r="G463" i="7" s="1"/>
  <c r="G472" i="7" s="1"/>
  <c r="G481" i="7" s="1"/>
  <c r="G490" i="7" s="1"/>
  <c r="G499" i="7" s="1"/>
  <c r="G508" i="7" s="1"/>
  <c r="G517" i="7" s="1"/>
  <c r="G526" i="7" s="1"/>
  <c r="G535" i="7" s="1"/>
  <c r="G544" i="7" s="1"/>
  <c r="G553" i="7" s="1"/>
  <c r="G562" i="7" s="1"/>
  <c r="G571" i="7" s="1"/>
  <c r="G580" i="7" s="1"/>
  <c r="G589" i="7" s="1"/>
  <c r="G598" i="7" s="1"/>
  <c r="G607" i="7" s="1"/>
  <c r="G616" i="7" s="1"/>
  <c r="G625" i="7" s="1"/>
  <c r="G634" i="7" s="1"/>
  <c r="G643" i="7" s="1"/>
  <c r="G652" i="7" s="1"/>
  <c r="G661" i="7" s="1"/>
  <c r="G670" i="7" s="1"/>
  <c r="G679" i="7" s="1"/>
  <c r="G688" i="7" s="1"/>
  <c r="G697" i="7" s="1"/>
  <c r="G706" i="7" s="1"/>
  <c r="G715" i="7" s="1"/>
  <c r="G724" i="7" s="1"/>
  <c r="G733" i="7" s="1"/>
  <c r="G742" i="7" s="1"/>
  <c r="G751" i="7" s="1"/>
  <c r="G760" i="7" s="1"/>
  <c r="G769" i="7" s="1"/>
  <c r="G778" i="7" s="1"/>
  <c r="G787" i="7" s="1"/>
  <c r="G796" i="7" s="1"/>
  <c r="G805" i="7" s="1"/>
  <c r="G814" i="7" s="1"/>
  <c r="G823" i="7" s="1"/>
  <c r="G832" i="7" s="1"/>
  <c r="G841" i="7" s="1"/>
  <c r="G850" i="7" s="1"/>
  <c r="G859" i="7" s="1"/>
  <c r="G868" i="7" s="1"/>
  <c r="G877" i="7" s="1"/>
  <c r="G886" i="7" s="1"/>
  <c r="G895" i="7" s="1"/>
  <c r="G904" i="7" s="1"/>
  <c r="G913" i="7" s="1"/>
  <c r="G922" i="7" s="1"/>
  <c r="G931" i="7" s="1"/>
  <c r="G940" i="7" s="1"/>
  <c r="G949" i="7" s="1"/>
  <c r="G958" i="7" s="1"/>
  <c r="G967" i="7" s="1"/>
  <c r="G976" i="7" s="1"/>
  <c r="G985" i="7" s="1"/>
  <c r="G994" i="7" s="1"/>
  <c r="G1003" i="7" s="1"/>
  <c r="G1012" i="7" s="1"/>
  <c r="G1021" i="7" s="1"/>
  <c r="G1030" i="7" s="1"/>
  <c r="G1039" i="7" s="1"/>
  <c r="G1048" i="7" s="1"/>
  <c r="G1057" i="7" s="1"/>
  <c r="G1066" i="7" s="1"/>
  <c r="G1075" i="7" s="1"/>
  <c r="G1084" i="7" s="1"/>
  <c r="G1093" i="7" s="1"/>
  <c r="G1102" i="7" s="1"/>
  <c r="G1111" i="7" s="1"/>
  <c r="G1120" i="7" s="1"/>
  <c r="G1129" i="7" s="1"/>
  <c r="G1138" i="7" s="1"/>
  <c r="G1147" i="7" s="1"/>
  <c r="G1156" i="7" s="1"/>
  <c r="G1165" i="7" s="1"/>
  <c r="G1174" i="7" s="1"/>
  <c r="G1183" i="7" s="1"/>
  <c r="G1192" i="7" s="1"/>
  <c r="G1201" i="7" s="1"/>
  <c r="G1210" i="7" s="1"/>
  <c r="G1219" i="7" s="1"/>
  <c r="G1228" i="7" s="1"/>
  <c r="G1237" i="7" s="1"/>
  <c r="G1246" i="7" s="1"/>
  <c r="G1255" i="7" s="1"/>
  <c r="G1264" i="7" s="1"/>
  <c r="G1273" i="7" s="1"/>
  <c r="G1282" i="7" s="1"/>
  <c r="G1291" i="7" s="1"/>
  <c r="G1300" i="7" s="1"/>
  <c r="G1309" i="7" s="1"/>
  <c r="G1318" i="7" s="1"/>
  <c r="G1327" i="7" s="1"/>
  <c r="G1336" i="7" s="1"/>
  <c r="G1345" i="7" s="1"/>
  <c r="G1354" i="7" s="1"/>
  <c r="G1363" i="7" s="1"/>
  <c r="G1372" i="7" s="1"/>
  <c r="G1381" i="7" s="1"/>
  <c r="G1390" i="7" s="1"/>
  <c r="G1399" i="7" s="1"/>
  <c r="G1408" i="7" s="1"/>
  <c r="G1417" i="7" s="1"/>
  <c r="G1426" i="7" s="1"/>
  <c r="G1435" i="7" s="1"/>
  <c r="G1444" i="7" s="1"/>
  <c r="G1453" i="7" s="1"/>
  <c r="G1462" i="7" s="1"/>
  <c r="G1471" i="7" s="1"/>
  <c r="G1480" i="7" s="1"/>
  <c r="G1489" i="7" s="1"/>
  <c r="G1498" i="7" s="1"/>
  <c r="G1507" i="7" s="1"/>
  <c r="G1516" i="7" s="1"/>
  <c r="G1525" i="7" s="1"/>
  <c r="G1534" i="7" s="1"/>
  <c r="G1543" i="7" s="1"/>
  <c r="G1552" i="7" s="1"/>
  <c r="G1561" i="7" s="1"/>
  <c r="G1570" i="7" s="1"/>
  <c r="G1579" i="7" s="1"/>
  <c r="G1588" i="7" s="1"/>
  <c r="G1597" i="7" s="1"/>
  <c r="G1606" i="7" s="1"/>
  <c r="G1615" i="7" s="1"/>
  <c r="G1624" i="7" s="1"/>
  <c r="G1633" i="7" s="1"/>
  <c r="G1642" i="7" s="1"/>
  <c r="G1651" i="7" s="1"/>
  <c r="G1660" i="7" s="1"/>
  <c r="G1669" i="7" s="1"/>
  <c r="G1678" i="7" s="1"/>
  <c r="G1687" i="7" s="1"/>
  <c r="G1696" i="7" s="1"/>
  <c r="G1705" i="7" s="1"/>
  <c r="G1714" i="7" s="1"/>
  <c r="G1723" i="7" s="1"/>
  <c r="G1732" i="7" s="1"/>
  <c r="G1741" i="7" s="1"/>
  <c r="G1750" i="7" s="1"/>
  <c r="G1759" i="7" s="1"/>
  <c r="G1768" i="7" s="1"/>
  <c r="G1777" i="7" s="1"/>
  <c r="G1786" i="7" s="1"/>
  <c r="G1795" i="7" s="1"/>
  <c r="G1804" i="7" s="1"/>
  <c r="G1813" i="7" s="1"/>
  <c r="G1822" i="7" s="1"/>
  <c r="G1831" i="7" s="1"/>
  <c r="G1840" i="7" s="1"/>
  <c r="G1849" i="7" s="1"/>
  <c r="G1858" i="7" s="1"/>
  <c r="G1867" i="7" s="1"/>
  <c r="G1876" i="7" s="1"/>
  <c r="G1885" i="7" s="1"/>
  <c r="G1894" i="7" s="1"/>
  <c r="G1903" i="7" s="1"/>
  <c r="G1912" i="7" s="1"/>
  <c r="G1921" i="7" s="1"/>
  <c r="G1930" i="7" s="1"/>
  <c r="G1939" i="7" s="1"/>
  <c r="G1948" i="7" s="1"/>
  <c r="G1957" i="7" s="1"/>
  <c r="G1966" i="7" s="1"/>
  <c r="G1975" i="7" s="1"/>
  <c r="K12" i="7"/>
  <c r="H12" i="7"/>
  <c r="J12" i="7" s="1"/>
  <c r="G12" i="7"/>
  <c r="K11" i="7"/>
  <c r="H11" i="7"/>
  <c r="J11" i="7" s="1"/>
  <c r="U10" i="7"/>
  <c r="K10" i="7"/>
  <c r="H10" i="7"/>
  <c r="J10" i="7" s="1"/>
  <c r="G10" i="7"/>
  <c r="U9" i="7"/>
  <c r="K9" i="7"/>
  <c r="H9" i="7"/>
  <c r="J9" i="7" s="1"/>
  <c r="G9" i="7"/>
  <c r="G18" i="7" s="1"/>
  <c r="U8" i="7"/>
  <c r="K8" i="7"/>
  <c r="H8" i="7"/>
  <c r="J8" i="7" s="1"/>
  <c r="G8" i="7"/>
  <c r="G17" i="7" s="1"/>
  <c r="G26" i="7" s="1"/>
  <c r="G35" i="7" s="1"/>
  <c r="G44" i="7" s="1"/>
  <c r="G53" i="7" s="1"/>
  <c r="G62" i="7" s="1"/>
  <c r="G71" i="7" s="1"/>
  <c r="G80" i="7" s="1"/>
  <c r="G89" i="7" s="1"/>
  <c r="G98" i="7" s="1"/>
  <c r="G107" i="7" s="1"/>
  <c r="G116" i="7" s="1"/>
  <c r="G125" i="7" s="1"/>
  <c r="G134" i="7" s="1"/>
  <c r="G143" i="7" s="1"/>
  <c r="G152" i="7" s="1"/>
  <c r="G161" i="7" s="1"/>
  <c r="G170" i="7" s="1"/>
  <c r="G179" i="7" s="1"/>
  <c r="G188" i="7" s="1"/>
  <c r="G197" i="7" s="1"/>
  <c r="G206" i="7" s="1"/>
  <c r="G215" i="7" s="1"/>
  <c r="G224" i="7" s="1"/>
  <c r="G233" i="7" s="1"/>
  <c r="G242" i="7" s="1"/>
  <c r="G251" i="7" s="1"/>
  <c r="G260" i="7" s="1"/>
  <c r="G269" i="7" s="1"/>
  <c r="G278" i="7" s="1"/>
  <c r="G287" i="7" s="1"/>
  <c r="G296" i="7" s="1"/>
  <c r="G305" i="7" s="1"/>
  <c r="G314" i="7" s="1"/>
  <c r="G323" i="7" s="1"/>
  <c r="G332" i="7" s="1"/>
  <c r="G341" i="7" s="1"/>
  <c r="G350" i="7" s="1"/>
  <c r="G359" i="7" s="1"/>
  <c r="G368" i="7" s="1"/>
  <c r="G377" i="7" s="1"/>
  <c r="G386" i="7" s="1"/>
  <c r="G395" i="7" s="1"/>
  <c r="G404" i="7" s="1"/>
  <c r="G413" i="7" s="1"/>
  <c r="G422" i="7" s="1"/>
  <c r="G431" i="7" s="1"/>
  <c r="G440" i="7" s="1"/>
  <c r="G449" i="7" s="1"/>
  <c r="G458" i="7" s="1"/>
  <c r="G467" i="7" s="1"/>
  <c r="G476" i="7" s="1"/>
  <c r="G485" i="7" s="1"/>
  <c r="G494" i="7" s="1"/>
  <c r="G503" i="7" s="1"/>
  <c r="G512" i="7" s="1"/>
  <c r="G521" i="7" s="1"/>
  <c r="G530" i="7" s="1"/>
  <c r="G539" i="7" s="1"/>
  <c r="G548" i="7" s="1"/>
  <c r="G557" i="7" s="1"/>
  <c r="G566" i="7" s="1"/>
  <c r="G575" i="7" s="1"/>
  <c r="G584" i="7" s="1"/>
  <c r="G593" i="7" s="1"/>
  <c r="G602" i="7" s="1"/>
  <c r="G611" i="7" s="1"/>
  <c r="G620" i="7" s="1"/>
  <c r="G629" i="7" s="1"/>
  <c r="G638" i="7" s="1"/>
  <c r="G647" i="7" s="1"/>
  <c r="G656" i="7" s="1"/>
  <c r="G665" i="7" s="1"/>
  <c r="G674" i="7" s="1"/>
  <c r="G683" i="7" s="1"/>
  <c r="G692" i="7" s="1"/>
  <c r="G701" i="7" s="1"/>
  <c r="G710" i="7" s="1"/>
  <c r="G719" i="7" s="1"/>
  <c r="G728" i="7" s="1"/>
  <c r="G737" i="7" s="1"/>
  <c r="G746" i="7" s="1"/>
  <c r="G755" i="7" s="1"/>
  <c r="G764" i="7" s="1"/>
  <c r="G773" i="7" s="1"/>
  <c r="G782" i="7" s="1"/>
  <c r="G791" i="7" s="1"/>
  <c r="G800" i="7" s="1"/>
  <c r="G809" i="7" s="1"/>
  <c r="G818" i="7" s="1"/>
  <c r="G827" i="7" s="1"/>
  <c r="G836" i="7" s="1"/>
  <c r="G845" i="7" s="1"/>
  <c r="G854" i="7" s="1"/>
  <c r="G863" i="7" s="1"/>
  <c r="G872" i="7" s="1"/>
  <c r="G881" i="7" s="1"/>
  <c r="G890" i="7" s="1"/>
  <c r="G899" i="7" s="1"/>
  <c r="G908" i="7" s="1"/>
  <c r="G917" i="7" s="1"/>
  <c r="G926" i="7" s="1"/>
  <c r="G935" i="7" s="1"/>
  <c r="G944" i="7" s="1"/>
  <c r="G953" i="7" s="1"/>
  <c r="G962" i="7" s="1"/>
  <c r="G971" i="7" s="1"/>
  <c r="G980" i="7" s="1"/>
  <c r="G989" i="7" s="1"/>
  <c r="G998" i="7" s="1"/>
  <c r="G1007" i="7" s="1"/>
  <c r="G1016" i="7" s="1"/>
  <c r="G1025" i="7" s="1"/>
  <c r="G1034" i="7" s="1"/>
  <c r="G1043" i="7" s="1"/>
  <c r="G1052" i="7" s="1"/>
  <c r="G1061" i="7" s="1"/>
  <c r="G1070" i="7" s="1"/>
  <c r="G1079" i="7" s="1"/>
  <c r="G1088" i="7" s="1"/>
  <c r="G1097" i="7" s="1"/>
  <c r="G1106" i="7" s="1"/>
  <c r="G1115" i="7" s="1"/>
  <c r="G1124" i="7" s="1"/>
  <c r="G1133" i="7" s="1"/>
  <c r="G1142" i="7" s="1"/>
  <c r="G1151" i="7" s="1"/>
  <c r="G1160" i="7" s="1"/>
  <c r="G1169" i="7" s="1"/>
  <c r="G1178" i="7" s="1"/>
  <c r="G1187" i="7" s="1"/>
  <c r="G1196" i="7" s="1"/>
  <c r="G1205" i="7" s="1"/>
  <c r="G1214" i="7" s="1"/>
  <c r="G1223" i="7" s="1"/>
  <c r="G1232" i="7" s="1"/>
  <c r="G1241" i="7" s="1"/>
  <c r="G1250" i="7" s="1"/>
  <c r="G1259" i="7" s="1"/>
  <c r="G1268" i="7" s="1"/>
  <c r="G1277" i="7" s="1"/>
  <c r="G1286" i="7" s="1"/>
  <c r="G1295" i="7" s="1"/>
  <c r="G1304" i="7" s="1"/>
  <c r="G1313" i="7" s="1"/>
  <c r="G1322" i="7" s="1"/>
  <c r="G1331" i="7" s="1"/>
  <c r="G1340" i="7" s="1"/>
  <c r="G1349" i="7" s="1"/>
  <c r="G1358" i="7" s="1"/>
  <c r="G1367" i="7" s="1"/>
  <c r="G1376" i="7" s="1"/>
  <c r="G1385" i="7" s="1"/>
  <c r="G1394" i="7" s="1"/>
  <c r="G1403" i="7" s="1"/>
  <c r="G1412" i="7" s="1"/>
  <c r="G1421" i="7" s="1"/>
  <c r="G1430" i="7" s="1"/>
  <c r="G1439" i="7" s="1"/>
  <c r="G1448" i="7" s="1"/>
  <c r="G1457" i="7" s="1"/>
  <c r="G1466" i="7" s="1"/>
  <c r="G1475" i="7" s="1"/>
  <c r="G1484" i="7" s="1"/>
  <c r="G1493" i="7" s="1"/>
  <c r="G1502" i="7" s="1"/>
  <c r="G1511" i="7" s="1"/>
  <c r="G1520" i="7" s="1"/>
  <c r="G1529" i="7" s="1"/>
  <c r="G1538" i="7" s="1"/>
  <c r="G1547" i="7" s="1"/>
  <c r="G1556" i="7" s="1"/>
  <c r="G1565" i="7" s="1"/>
  <c r="G1574" i="7" s="1"/>
  <c r="G1583" i="7" s="1"/>
  <c r="G1592" i="7" s="1"/>
  <c r="G1601" i="7" s="1"/>
  <c r="G1610" i="7" s="1"/>
  <c r="G1619" i="7" s="1"/>
  <c r="G1628" i="7" s="1"/>
  <c r="G1637" i="7" s="1"/>
  <c r="G1646" i="7" s="1"/>
  <c r="G1655" i="7" s="1"/>
  <c r="G1664" i="7" s="1"/>
  <c r="G1673" i="7" s="1"/>
  <c r="G1682" i="7" s="1"/>
  <c r="G1691" i="7" s="1"/>
  <c r="G1700" i="7" s="1"/>
  <c r="G1709" i="7" s="1"/>
  <c r="G1718" i="7" s="1"/>
  <c r="G1727" i="7" s="1"/>
  <c r="G1736" i="7" s="1"/>
  <c r="G1745" i="7" s="1"/>
  <c r="G1754" i="7" s="1"/>
  <c r="G1763" i="7" s="1"/>
  <c r="G1772" i="7" s="1"/>
  <c r="G1781" i="7" s="1"/>
  <c r="G1790" i="7" s="1"/>
  <c r="G1799" i="7" s="1"/>
  <c r="G1808" i="7" s="1"/>
  <c r="G1817" i="7" s="1"/>
  <c r="G1826" i="7" s="1"/>
  <c r="G1835" i="7" s="1"/>
  <c r="G1844" i="7" s="1"/>
  <c r="G1853" i="7" s="1"/>
  <c r="G1862" i="7" s="1"/>
  <c r="G1871" i="7" s="1"/>
  <c r="G1880" i="7" s="1"/>
  <c r="G1889" i="7" s="1"/>
  <c r="G1898" i="7" s="1"/>
  <c r="G1907" i="7" s="1"/>
  <c r="G1916" i="7" s="1"/>
  <c r="G1925" i="7" s="1"/>
  <c r="G1934" i="7" s="1"/>
  <c r="G1943" i="7" s="1"/>
  <c r="G1952" i="7" s="1"/>
  <c r="G1961" i="7" s="1"/>
  <c r="G1970" i="7" s="1"/>
  <c r="G1979" i="7" s="1"/>
  <c r="U7" i="7"/>
  <c r="K7" i="7"/>
  <c r="H7" i="7"/>
  <c r="J7" i="7" s="1"/>
  <c r="G7" i="7"/>
  <c r="G16" i="7" s="1"/>
  <c r="U6" i="7"/>
  <c r="K6" i="7"/>
  <c r="H6" i="7"/>
  <c r="J6" i="7" s="1"/>
  <c r="G6" i="7"/>
  <c r="U5" i="7"/>
  <c r="K5" i="7"/>
  <c r="H5" i="7"/>
  <c r="J5" i="7" s="1"/>
  <c r="G5" i="7"/>
  <c r="G14" i="7" s="1"/>
  <c r="G23" i="7" s="1"/>
  <c r="G32" i="7" s="1"/>
  <c r="G41" i="7" s="1"/>
  <c r="G50" i="7" s="1"/>
  <c r="G59" i="7" s="1"/>
  <c r="G68" i="7" s="1"/>
  <c r="G77" i="7" s="1"/>
  <c r="G86" i="7" s="1"/>
  <c r="G95" i="7" s="1"/>
  <c r="G104" i="7" s="1"/>
  <c r="G113" i="7" s="1"/>
  <c r="G122" i="7" s="1"/>
  <c r="G131" i="7" s="1"/>
  <c r="G140" i="7" s="1"/>
  <c r="G149" i="7" s="1"/>
  <c r="G158" i="7" s="1"/>
  <c r="G167" i="7" s="1"/>
  <c r="G176" i="7" s="1"/>
  <c r="G185" i="7" s="1"/>
  <c r="G194" i="7" s="1"/>
  <c r="G203" i="7" s="1"/>
  <c r="G212" i="7" s="1"/>
  <c r="G221" i="7" s="1"/>
  <c r="G230" i="7" s="1"/>
  <c r="G239" i="7" s="1"/>
  <c r="G248" i="7" s="1"/>
  <c r="G257" i="7" s="1"/>
  <c r="G266" i="7" s="1"/>
  <c r="G275" i="7" s="1"/>
  <c r="G284" i="7" s="1"/>
  <c r="G293" i="7" s="1"/>
  <c r="G302" i="7" s="1"/>
  <c r="G311" i="7" s="1"/>
  <c r="G320" i="7" s="1"/>
  <c r="G329" i="7" s="1"/>
  <c r="G338" i="7" s="1"/>
  <c r="G347" i="7" s="1"/>
  <c r="G356" i="7" s="1"/>
  <c r="G365" i="7" s="1"/>
  <c r="G374" i="7" s="1"/>
  <c r="G383" i="7" s="1"/>
  <c r="G392" i="7" s="1"/>
  <c r="G401" i="7" s="1"/>
  <c r="G410" i="7" s="1"/>
  <c r="G419" i="7" s="1"/>
  <c r="G428" i="7" s="1"/>
  <c r="G437" i="7" s="1"/>
  <c r="G446" i="7" s="1"/>
  <c r="G455" i="7" s="1"/>
  <c r="G464" i="7" s="1"/>
  <c r="G473" i="7" s="1"/>
  <c r="G482" i="7" s="1"/>
  <c r="G491" i="7" s="1"/>
  <c r="G500" i="7" s="1"/>
  <c r="G509" i="7" s="1"/>
  <c r="G518" i="7" s="1"/>
  <c r="G527" i="7" s="1"/>
  <c r="G536" i="7" s="1"/>
  <c r="G545" i="7" s="1"/>
  <c r="G554" i="7" s="1"/>
  <c r="G563" i="7" s="1"/>
  <c r="G572" i="7" s="1"/>
  <c r="G581" i="7" s="1"/>
  <c r="G590" i="7" s="1"/>
  <c r="G599" i="7" s="1"/>
  <c r="G608" i="7" s="1"/>
  <c r="G617" i="7" s="1"/>
  <c r="G626" i="7" s="1"/>
  <c r="G635" i="7" s="1"/>
  <c r="G644" i="7" s="1"/>
  <c r="G653" i="7" s="1"/>
  <c r="G662" i="7" s="1"/>
  <c r="G671" i="7" s="1"/>
  <c r="G680" i="7" s="1"/>
  <c r="G689" i="7" s="1"/>
  <c r="G698" i="7" s="1"/>
  <c r="G707" i="7" s="1"/>
  <c r="G716" i="7" s="1"/>
  <c r="G725" i="7" s="1"/>
  <c r="G734" i="7" s="1"/>
  <c r="G743" i="7" s="1"/>
  <c r="G752" i="7" s="1"/>
  <c r="G761" i="7" s="1"/>
  <c r="G770" i="7" s="1"/>
  <c r="G779" i="7" s="1"/>
  <c r="G788" i="7" s="1"/>
  <c r="G797" i="7" s="1"/>
  <c r="G806" i="7" s="1"/>
  <c r="G815" i="7" s="1"/>
  <c r="G824" i="7" s="1"/>
  <c r="G833" i="7" s="1"/>
  <c r="G842" i="7" s="1"/>
  <c r="G851" i="7" s="1"/>
  <c r="G860" i="7" s="1"/>
  <c r="G869" i="7" s="1"/>
  <c r="G878" i="7" s="1"/>
  <c r="G887" i="7" s="1"/>
  <c r="G896" i="7" s="1"/>
  <c r="G905" i="7" s="1"/>
  <c r="G914" i="7" s="1"/>
  <c r="G923" i="7" s="1"/>
  <c r="G932" i="7" s="1"/>
  <c r="G941" i="7" s="1"/>
  <c r="G950" i="7" s="1"/>
  <c r="G959" i="7" s="1"/>
  <c r="G968" i="7" s="1"/>
  <c r="G977" i="7" s="1"/>
  <c r="G986" i="7" s="1"/>
  <c r="G995" i="7" s="1"/>
  <c r="G1004" i="7" s="1"/>
  <c r="G1013" i="7" s="1"/>
  <c r="G1022" i="7" s="1"/>
  <c r="G1031" i="7" s="1"/>
  <c r="G1040" i="7" s="1"/>
  <c r="G1049" i="7" s="1"/>
  <c r="G1058" i="7" s="1"/>
  <c r="G1067" i="7" s="1"/>
  <c r="G1076" i="7" s="1"/>
  <c r="G1085" i="7" s="1"/>
  <c r="G1094" i="7" s="1"/>
  <c r="G1103" i="7" s="1"/>
  <c r="G1112" i="7" s="1"/>
  <c r="G1121" i="7" s="1"/>
  <c r="G1130" i="7" s="1"/>
  <c r="G1139" i="7" s="1"/>
  <c r="G1148" i="7" s="1"/>
  <c r="G1157" i="7" s="1"/>
  <c r="G1166" i="7" s="1"/>
  <c r="G1175" i="7" s="1"/>
  <c r="G1184" i="7" s="1"/>
  <c r="G1193" i="7" s="1"/>
  <c r="G1202" i="7" s="1"/>
  <c r="G1211" i="7" s="1"/>
  <c r="G1220" i="7" s="1"/>
  <c r="G1229" i="7" s="1"/>
  <c r="G1238" i="7" s="1"/>
  <c r="G1247" i="7" s="1"/>
  <c r="G1256" i="7" s="1"/>
  <c r="G1265" i="7" s="1"/>
  <c r="G1274" i="7" s="1"/>
  <c r="G1283" i="7" s="1"/>
  <c r="G1292" i="7" s="1"/>
  <c r="G1301" i="7" s="1"/>
  <c r="G1310" i="7" s="1"/>
  <c r="G1319" i="7" s="1"/>
  <c r="G1328" i="7" s="1"/>
  <c r="G1337" i="7" s="1"/>
  <c r="G1346" i="7" s="1"/>
  <c r="G1355" i="7" s="1"/>
  <c r="G1364" i="7" s="1"/>
  <c r="G1373" i="7" s="1"/>
  <c r="G1382" i="7" s="1"/>
  <c r="G1391" i="7" s="1"/>
  <c r="G1400" i="7" s="1"/>
  <c r="G1409" i="7" s="1"/>
  <c r="G1418" i="7" s="1"/>
  <c r="G1427" i="7" s="1"/>
  <c r="G1436" i="7" s="1"/>
  <c r="G1445" i="7" s="1"/>
  <c r="G1454" i="7" s="1"/>
  <c r="G1463" i="7" s="1"/>
  <c r="G1472" i="7" s="1"/>
  <c r="G1481" i="7" s="1"/>
  <c r="G1490" i="7" s="1"/>
  <c r="G1499" i="7" s="1"/>
  <c r="G1508" i="7" s="1"/>
  <c r="G1517" i="7" s="1"/>
  <c r="G1526" i="7" s="1"/>
  <c r="G1535" i="7" s="1"/>
  <c r="G1544" i="7" s="1"/>
  <c r="G1553" i="7" s="1"/>
  <c r="G1562" i="7" s="1"/>
  <c r="G1571" i="7" s="1"/>
  <c r="G1580" i="7" s="1"/>
  <c r="G1589" i="7" s="1"/>
  <c r="G1598" i="7" s="1"/>
  <c r="G1607" i="7" s="1"/>
  <c r="G1616" i="7" s="1"/>
  <c r="G1625" i="7" s="1"/>
  <c r="G1634" i="7" s="1"/>
  <c r="G1643" i="7" s="1"/>
  <c r="G1652" i="7" s="1"/>
  <c r="G1661" i="7" s="1"/>
  <c r="G1670" i="7" s="1"/>
  <c r="G1679" i="7" s="1"/>
  <c r="G1688" i="7" s="1"/>
  <c r="G1697" i="7" s="1"/>
  <c r="G1706" i="7" s="1"/>
  <c r="G1715" i="7" s="1"/>
  <c r="G1724" i="7" s="1"/>
  <c r="G1733" i="7" s="1"/>
  <c r="G1742" i="7" s="1"/>
  <c r="G1751" i="7" s="1"/>
  <c r="G1760" i="7" s="1"/>
  <c r="G1769" i="7" s="1"/>
  <c r="G1778" i="7" s="1"/>
  <c r="G1787" i="7" s="1"/>
  <c r="G1796" i="7" s="1"/>
  <c r="G1805" i="7" s="1"/>
  <c r="G1814" i="7" s="1"/>
  <c r="G1823" i="7" s="1"/>
  <c r="G1832" i="7" s="1"/>
  <c r="G1841" i="7" s="1"/>
  <c r="G1850" i="7" s="1"/>
  <c r="G1859" i="7" s="1"/>
  <c r="G1868" i="7" s="1"/>
  <c r="G1877" i="7" s="1"/>
  <c r="G1886" i="7" s="1"/>
  <c r="G1895" i="7" s="1"/>
  <c r="G1904" i="7" s="1"/>
  <c r="G1913" i="7" s="1"/>
  <c r="G1922" i="7" s="1"/>
  <c r="G1931" i="7" s="1"/>
  <c r="G1940" i="7" s="1"/>
  <c r="G1949" i="7" s="1"/>
  <c r="G1958" i="7" s="1"/>
  <c r="G1967" i="7" s="1"/>
  <c r="G1976" i="7" s="1"/>
  <c r="U4" i="7"/>
  <c r="K4" i="7"/>
  <c r="H4" i="7"/>
  <c r="J4" i="7" s="1"/>
  <c r="G4" i="7"/>
  <c r="U3" i="7"/>
  <c r="K3" i="7"/>
  <c r="H3" i="7"/>
  <c r="J3" i="7" s="1"/>
  <c r="G3" i="7"/>
  <c r="U2" i="7"/>
  <c r="K2" i="7"/>
  <c r="H2" i="7"/>
  <c r="J2" i="7" s="1"/>
  <c r="Q1" i="7" s="1"/>
  <c r="Q6" i="7" s="1"/>
  <c r="G2" i="7"/>
  <c r="G11" i="7" s="1"/>
  <c r="G20" i="7" s="1"/>
  <c r="G29" i="7" s="1"/>
  <c r="G38" i="7" s="1"/>
  <c r="G47" i="7" s="1"/>
  <c r="G56" i="7" s="1"/>
  <c r="G65" i="7" s="1"/>
  <c r="G74" i="7" s="1"/>
  <c r="G83" i="7" s="1"/>
  <c r="G92" i="7" s="1"/>
  <c r="G101" i="7" s="1"/>
  <c r="G110" i="7" s="1"/>
  <c r="G119" i="7" s="1"/>
  <c r="G128" i="7" s="1"/>
  <c r="G137" i="7" s="1"/>
  <c r="G146" i="7" s="1"/>
  <c r="G155" i="7" s="1"/>
  <c r="G164" i="7" s="1"/>
  <c r="G173" i="7" s="1"/>
  <c r="G182" i="7" s="1"/>
  <c r="G191" i="7" s="1"/>
  <c r="G200" i="7" s="1"/>
  <c r="G209" i="7" s="1"/>
  <c r="G218" i="7" s="1"/>
  <c r="G227" i="7" s="1"/>
  <c r="G236" i="7" s="1"/>
  <c r="G245" i="7" s="1"/>
  <c r="G254" i="7" s="1"/>
  <c r="G263" i="7" s="1"/>
  <c r="G272" i="7" s="1"/>
  <c r="G281" i="7" s="1"/>
  <c r="G290" i="7" s="1"/>
  <c r="G299" i="7" s="1"/>
  <c r="G308" i="7" s="1"/>
  <c r="G317" i="7" s="1"/>
  <c r="G326" i="7" s="1"/>
  <c r="G335" i="7" s="1"/>
  <c r="G344" i="7" s="1"/>
  <c r="G353" i="7" s="1"/>
  <c r="G362" i="7" s="1"/>
  <c r="G371" i="7" s="1"/>
  <c r="G380" i="7" s="1"/>
  <c r="G389" i="7" s="1"/>
  <c r="G398" i="7" s="1"/>
  <c r="G407" i="7" s="1"/>
  <c r="G416" i="7" s="1"/>
  <c r="G425" i="7" s="1"/>
  <c r="G434" i="7" s="1"/>
  <c r="G443" i="7" s="1"/>
  <c r="G452" i="7" s="1"/>
  <c r="G461" i="7" s="1"/>
  <c r="G470" i="7" s="1"/>
  <c r="G479" i="7" s="1"/>
  <c r="G488" i="7" s="1"/>
  <c r="G497" i="7" s="1"/>
  <c r="G506" i="7" s="1"/>
  <c r="G515" i="7" s="1"/>
  <c r="G524" i="7" s="1"/>
  <c r="G533" i="7" s="1"/>
  <c r="G542" i="7" s="1"/>
  <c r="G551" i="7" s="1"/>
  <c r="G560" i="7" s="1"/>
  <c r="G569" i="7" s="1"/>
  <c r="G578" i="7" s="1"/>
  <c r="G587" i="7" s="1"/>
  <c r="G596" i="7" s="1"/>
  <c r="G605" i="7" s="1"/>
  <c r="G614" i="7" s="1"/>
  <c r="G623" i="7" s="1"/>
  <c r="G632" i="7" s="1"/>
  <c r="G641" i="7" s="1"/>
  <c r="G650" i="7" s="1"/>
  <c r="G659" i="7" s="1"/>
  <c r="G668" i="7" s="1"/>
  <c r="G677" i="7" s="1"/>
  <c r="G686" i="7" s="1"/>
  <c r="G695" i="7" s="1"/>
  <c r="G704" i="7" s="1"/>
  <c r="G713" i="7" s="1"/>
  <c r="G722" i="7" s="1"/>
  <c r="G731" i="7" s="1"/>
  <c r="G740" i="7" s="1"/>
  <c r="G749" i="7" s="1"/>
  <c r="G758" i="7" s="1"/>
  <c r="G767" i="7" s="1"/>
  <c r="G776" i="7" s="1"/>
  <c r="G785" i="7" s="1"/>
  <c r="G794" i="7" s="1"/>
  <c r="G803" i="7" s="1"/>
  <c r="G812" i="7" s="1"/>
  <c r="G821" i="7" s="1"/>
  <c r="G830" i="7" s="1"/>
  <c r="G839" i="7" s="1"/>
  <c r="G848" i="7" s="1"/>
  <c r="G857" i="7" s="1"/>
  <c r="G866" i="7" s="1"/>
  <c r="G875" i="7" s="1"/>
  <c r="G884" i="7" s="1"/>
  <c r="G893" i="7" s="1"/>
  <c r="G902" i="7" s="1"/>
  <c r="G911" i="7" s="1"/>
  <c r="G920" i="7" s="1"/>
  <c r="G929" i="7" s="1"/>
  <c r="G938" i="7" s="1"/>
  <c r="G947" i="7" s="1"/>
  <c r="G956" i="7" s="1"/>
  <c r="G965" i="7" s="1"/>
  <c r="G974" i="7" s="1"/>
  <c r="G983" i="7" s="1"/>
  <c r="G992" i="7" s="1"/>
  <c r="G1001" i="7" s="1"/>
  <c r="G1010" i="7" s="1"/>
  <c r="G1019" i="7" s="1"/>
  <c r="G1028" i="7" s="1"/>
  <c r="G1037" i="7" s="1"/>
  <c r="G1046" i="7" s="1"/>
  <c r="G1055" i="7" s="1"/>
  <c r="G1064" i="7" s="1"/>
  <c r="G1073" i="7" s="1"/>
  <c r="G1082" i="7" s="1"/>
  <c r="G1091" i="7" s="1"/>
  <c r="G1100" i="7" s="1"/>
  <c r="G1109" i="7" s="1"/>
  <c r="G1118" i="7" s="1"/>
  <c r="G1127" i="7" s="1"/>
  <c r="G1136" i="7" s="1"/>
  <c r="G1145" i="7" s="1"/>
  <c r="G1154" i="7" s="1"/>
  <c r="G1163" i="7" s="1"/>
  <c r="G1172" i="7" s="1"/>
  <c r="G1181" i="7" s="1"/>
  <c r="G1190" i="7" s="1"/>
  <c r="G1199" i="7" s="1"/>
  <c r="G1208" i="7" s="1"/>
  <c r="G1217" i="7" s="1"/>
  <c r="G1226" i="7" s="1"/>
  <c r="G1235" i="7" s="1"/>
  <c r="G1244" i="7" s="1"/>
  <c r="G1253" i="7" s="1"/>
  <c r="G1262" i="7" s="1"/>
  <c r="G1271" i="7" s="1"/>
  <c r="G1280" i="7" s="1"/>
  <c r="G1289" i="7" s="1"/>
  <c r="G1298" i="7" s="1"/>
  <c r="G1307" i="7" s="1"/>
  <c r="G1316" i="7" s="1"/>
  <c r="G1325" i="7" s="1"/>
  <c r="G1334" i="7" s="1"/>
  <c r="G1343" i="7" s="1"/>
  <c r="G1352" i="7" s="1"/>
  <c r="G1361" i="7" s="1"/>
  <c r="G1370" i="7" s="1"/>
  <c r="G1379" i="7" s="1"/>
  <c r="G1388" i="7" s="1"/>
  <c r="G1397" i="7" s="1"/>
  <c r="G1406" i="7" s="1"/>
  <c r="G1415" i="7" s="1"/>
  <c r="G1424" i="7" s="1"/>
  <c r="G1433" i="7" s="1"/>
  <c r="G1442" i="7" s="1"/>
  <c r="G1451" i="7" s="1"/>
  <c r="G1460" i="7" s="1"/>
  <c r="G1469" i="7" s="1"/>
  <c r="G1478" i="7" s="1"/>
  <c r="G1487" i="7" s="1"/>
  <c r="G1496" i="7" s="1"/>
  <c r="G1505" i="7" s="1"/>
  <c r="G1514" i="7" s="1"/>
  <c r="G1523" i="7" s="1"/>
  <c r="G1532" i="7" s="1"/>
  <c r="G1541" i="7" s="1"/>
  <c r="G1550" i="7" s="1"/>
  <c r="G1559" i="7" s="1"/>
  <c r="G1568" i="7" s="1"/>
  <c r="G1577" i="7" s="1"/>
  <c r="G1586" i="7" s="1"/>
  <c r="G1595" i="7" s="1"/>
  <c r="G1604" i="7" s="1"/>
  <c r="G1613" i="7" s="1"/>
  <c r="G1622" i="7" s="1"/>
  <c r="G1631" i="7" s="1"/>
  <c r="G1640" i="7" s="1"/>
  <c r="G1649" i="7" s="1"/>
  <c r="G1658" i="7" s="1"/>
  <c r="G1667" i="7" s="1"/>
  <c r="G1676" i="7" s="1"/>
  <c r="G1685" i="7" s="1"/>
  <c r="G1694" i="7" s="1"/>
  <c r="G1703" i="7" s="1"/>
  <c r="G1712" i="7" s="1"/>
  <c r="G1721" i="7" s="1"/>
  <c r="G1730" i="7" s="1"/>
  <c r="G1739" i="7" s="1"/>
  <c r="G1748" i="7" s="1"/>
  <c r="G1757" i="7" s="1"/>
  <c r="G1766" i="7" s="1"/>
  <c r="G1775" i="7" s="1"/>
  <c r="G1784" i="7" s="1"/>
  <c r="G1793" i="7" s="1"/>
  <c r="G1802" i="7" s="1"/>
  <c r="G1811" i="7" s="1"/>
  <c r="G1820" i="7" s="1"/>
  <c r="G1829" i="7" s="1"/>
  <c r="G1838" i="7" s="1"/>
  <c r="G1847" i="7" s="1"/>
  <c r="G1856" i="7" s="1"/>
  <c r="G1865" i="7" s="1"/>
  <c r="G1874" i="7" s="1"/>
  <c r="G1883" i="7" s="1"/>
  <c r="G1892" i="7" s="1"/>
  <c r="G1901" i="7" s="1"/>
  <c r="G1910" i="7" s="1"/>
  <c r="G1919" i="7" s="1"/>
  <c r="G1928" i="7" s="1"/>
  <c r="G1937" i="7" s="1"/>
  <c r="G1946" i="7" s="1"/>
  <c r="G1955" i="7" s="1"/>
  <c r="G1964" i="7" s="1"/>
  <c r="G1973" i="7" s="1"/>
  <c r="J1167" i="6"/>
  <c r="J1166" i="6"/>
  <c r="J1165" i="6"/>
  <c r="J1164" i="6"/>
  <c r="J1163" i="6"/>
  <c r="J1162" i="6"/>
  <c r="J1161" i="6"/>
  <c r="J1160" i="6"/>
  <c r="J1159" i="6"/>
  <c r="J1158" i="6"/>
  <c r="V1154" i="6"/>
  <c r="U1154" i="6"/>
  <c r="T1154" i="6"/>
  <c r="B1152" i="6"/>
  <c r="V1152" i="6" s="1"/>
  <c r="B1151" i="6"/>
  <c r="D1151" i="6" s="1"/>
  <c r="B1150" i="6"/>
  <c r="B1149" i="6"/>
  <c r="V1149" i="6" s="1"/>
  <c r="B1148" i="6"/>
  <c r="V1148" i="6" s="1"/>
  <c r="B1147" i="6"/>
  <c r="B1146" i="6"/>
  <c r="D1146" i="6" s="1"/>
  <c r="B1145" i="6"/>
  <c r="B1144" i="6"/>
  <c r="Q1144" i="6" s="1"/>
  <c r="B1143" i="6"/>
  <c r="B1142" i="6"/>
  <c r="F1142" i="6" s="1"/>
  <c r="B1141" i="6"/>
  <c r="B1140" i="6"/>
  <c r="B1139" i="6"/>
  <c r="V1139" i="6" s="1"/>
  <c r="B1138" i="6"/>
  <c r="V1138" i="6" s="1"/>
  <c r="B1137" i="6"/>
  <c r="D1137" i="6" s="1"/>
  <c r="B1136" i="6"/>
  <c r="V1136" i="6" s="1"/>
  <c r="B1135" i="6"/>
  <c r="V1135" i="6" s="1"/>
  <c r="B1134" i="6"/>
  <c r="V1134" i="6" s="1"/>
  <c r="B1133" i="6"/>
  <c r="B1132" i="6"/>
  <c r="O1132" i="6" s="1"/>
  <c r="B1131" i="6"/>
  <c r="B1130" i="6"/>
  <c r="H1130" i="6" s="1"/>
  <c r="B1129" i="6"/>
  <c r="B1128" i="6"/>
  <c r="D1128" i="6" s="1"/>
  <c r="B1127" i="6"/>
  <c r="B1126" i="6"/>
  <c r="D1126" i="6" s="1"/>
  <c r="B1125" i="6"/>
  <c r="B1124" i="6"/>
  <c r="H1124" i="6" s="1"/>
  <c r="B1123" i="6"/>
  <c r="B1122" i="6"/>
  <c r="Q1122" i="6" s="1"/>
  <c r="B1121" i="6"/>
  <c r="V1121" i="6" s="1"/>
  <c r="B1120" i="6"/>
  <c r="V1120" i="6" s="1"/>
  <c r="B1119" i="6"/>
  <c r="V1119" i="6" s="1"/>
  <c r="B1118" i="6"/>
  <c r="B1117" i="6"/>
  <c r="Q1117" i="6" s="1"/>
  <c r="B1116" i="6"/>
  <c r="V1116" i="6" s="1"/>
  <c r="B1115" i="6"/>
  <c r="V1115" i="6" s="1"/>
  <c r="B1114" i="6"/>
  <c r="V1114" i="6" s="1"/>
  <c r="B1113" i="6"/>
  <c r="I1113" i="6" s="1"/>
  <c r="B1112" i="6"/>
  <c r="J1112" i="6" s="1"/>
  <c r="B1111" i="6"/>
  <c r="V1111" i="6" s="1"/>
  <c r="B1110" i="6"/>
  <c r="D1110" i="6" s="1"/>
  <c r="B1109" i="6"/>
  <c r="V1109" i="6" s="1"/>
  <c r="B1108" i="6"/>
  <c r="B1107" i="6"/>
  <c r="E1107" i="6" s="1"/>
  <c r="B1106" i="6"/>
  <c r="E1106" i="6" s="1"/>
  <c r="B1105" i="6"/>
  <c r="V1105" i="6" s="1"/>
  <c r="B1104" i="6"/>
  <c r="E1104" i="6" s="1"/>
  <c r="B1103" i="6"/>
  <c r="H1103" i="6" s="1"/>
  <c r="B1102" i="6"/>
  <c r="V1102" i="6" s="1"/>
  <c r="B1101" i="6"/>
  <c r="V1101" i="6" s="1"/>
  <c r="B1100" i="6"/>
  <c r="B1099" i="6"/>
  <c r="V1099" i="6" s="1"/>
  <c r="B1098" i="6"/>
  <c r="I1098" i="6" s="1"/>
  <c r="B1097" i="6"/>
  <c r="V1097" i="6" s="1"/>
  <c r="B1096" i="6"/>
  <c r="H1096" i="6" s="1"/>
  <c r="B1095" i="6"/>
  <c r="V1095" i="6" s="1"/>
  <c r="B1094" i="6"/>
  <c r="I1094" i="6" s="1"/>
  <c r="B1093" i="6"/>
  <c r="V1093" i="6" s="1"/>
  <c r="B1092" i="6"/>
  <c r="B1091" i="6"/>
  <c r="V1091" i="6" s="1"/>
  <c r="B1090" i="6"/>
  <c r="V1090" i="6" s="1"/>
  <c r="B1089" i="6"/>
  <c r="V1089" i="6" s="1"/>
  <c r="B1088" i="6"/>
  <c r="H1088" i="6" s="1"/>
  <c r="B1087" i="6"/>
  <c r="V1087" i="6" s="1"/>
  <c r="B1086" i="6"/>
  <c r="B1085" i="6"/>
  <c r="F1085" i="6" s="1"/>
  <c r="B1084" i="6"/>
  <c r="V1084" i="6" s="1"/>
  <c r="B1083" i="6"/>
  <c r="B1082" i="6"/>
  <c r="V1082" i="6" s="1"/>
  <c r="B1081" i="6"/>
  <c r="G1081" i="6" s="1"/>
  <c r="B1080" i="6"/>
  <c r="Q1080" i="6" s="1"/>
  <c r="B1079" i="6"/>
  <c r="V1079" i="6" s="1"/>
  <c r="B1078" i="6"/>
  <c r="B1077" i="6"/>
  <c r="B1076" i="6"/>
  <c r="G1076" i="6" s="1"/>
  <c r="B1075" i="6"/>
  <c r="V1075" i="6" s="1"/>
  <c r="B1074" i="6"/>
  <c r="D1074" i="6" s="1"/>
  <c r="B1073" i="6"/>
  <c r="V1073" i="6" s="1"/>
  <c r="B1072" i="6"/>
  <c r="B1071" i="6"/>
  <c r="V1071" i="6" s="1"/>
  <c r="B1070" i="6"/>
  <c r="B1069" i="6"/>
  <c r="V1069" i="6" s="1"/>
  <c r="B1068" i="6"/>
  <c r="V1068" i="6" s="1"/>
  <c r="B1067" i="6"/>
  <c r="V1067" i="6" s="1"/>
  <c r="B1066" i="6"/>
  <c r="J1066" i="6" s="1"/>
  <c r="B1065" i="6"/>
  <c r="K1065" i="6" s="1"/>
  <c r="B1064" i="6"/>
  <c r="V1064" i="6" s="1"/>
  <c r="B1063" i="6"/>
  <c r="V1063" i="6" s="1"/>
  <c r="B1062" i="6"/>
  <c r="B1061" i="6"/>
  <c r="D1061" i="6" s="1"/>
  <c r="B1060" i="6"/>
  <c r="H1060" i="6" s="1"/>
  <c r="B1059" i="6"/>
  <c r="B1058" i="6"/>
  <c r="I1058" i="6" s="1"/>
  <c r="B1057" i="6"/>
  <c r="B1056" i="6"/>
  <c r="B1055" i="6"/>
  <c r="V1055" i="6" s="1"/>
  <c r="B1051" i="6"/>
  <c r="V1051" i="6" s="1"/>
  <c r="B1046" i="6"/>
  <c r="B1043" i="6"/>
  <c r="V1043" i="6" s="1"/>
  <c r="B1040" i="6"/>
  <c r="V1040" i="6" s="1"/>
  <c r="B1035" i="6"/>
  <c r="B1030" i="6"/>
  <c r="B1027" i="6"/>
  <c r="V1027" i="6" s="1"/>
  <c r="B1025" i="6"/>
  <c r="B1022" i="6"/>
  <c r="B1020" i="6"/>
  <c r="B1017" i="6"/>
  <c r="V1017" i="6" s="1"/>
  <c r="B1012" i="6"/>
  <c r="B1004" i="6"/>
  <c r="D1004" i="6" s="1"/>
  <c r="B1002" i="6"/>
  <c r="B997" i="6"/>
  <c r="B994" i="6"/>
  <c r="B992" i="6"/>
  <c r="B984" i="6"/>
  <c r="B979" i="6"/>
  <c r="B976" i="6"/>
  <c r="V976" i="6" s="1"/>
  <c r="B974" i="6"/>
  <c r="B968" i="6"/>
  <c r="V968" i="6" s="1"/>
  <c r="B960" i="6"/>
  <c r="B955" i="6"/>
  <c r="B946" i="6"/>
  <c r="B931" i="6"/>
  <c r="V931" i="6" s="1"/>
  <c r="B927" i="6"/>
  <c r="V927" i="6" s="1"/>
  <c r="B910" i="6"/>
  <c r="B908" i="6"/>
  <c r="D908" i="6" s="1"/>
  <c r="B906" i="6"/>
  <c r="B899" i="6"/>
  <c r="B890" i="6"/>
  <c r="B874" i="6"/>
  <c r="Q874" i="6" s="1"/>
  <c r="B872" i="6"/>
  <c r="V872" i="6" s="1"/>
  <c r="B864" i="6"/>
  <c r="B862" i="6"/>
  <c r="D862" i="6" s="1"/>
  <c r="B860" i="6"/>
  <c r="B858" i="6"/>
  <c r="B854" i="6"/>
  <c r="B844" i="6"/>
  <c r="V844" i="6" s="1"/>
  <c r="B840" i="6"/>
  <c r="B838" i="6"/>
  <c r="B836" i="6"/>
  <c r="V836" i="6" s="1"/>
  <c r="B832" i="6"/>
  <c r="B829" i="6"/>
  <c r="B827" i="6"/>
  <c r="B822" i="6"/>
  <c r="J822" i="6" s="1"/>
  <c r="B821" i="6"/>
  <c r="R821" i="6" s="1"/>
  <c r="B818" i="6"/>
  <c r="B807" i="6"/>
  <c r="B805" i="6"/>
  <c r="I805" i="6" s="1"/>
  <c r="B800" i="6"/>
  <c r="B799" i="6"/>
  <c r="B798" i="6"/>
  <c r="E798" i="6" s="1"/>
  <c r="B797" i="6"/>
  <c r="B796" i="6"/>
  <c r="V796" i="6" s="1"/>
  <c r="B795" i="6"/>
  <c r="B794" i="6"/>
  <c r="B793" i="6"/>
  <c r="I793" i="6" s="1"/>
  <c r="B792" i="6"/>
  <c r="V792" i="6" s="1"/>
  <c r="B791" i="6"/>
  <c r="B790" i="6"/>
  <c r="I790" i="6" s="1"/>
  <c r="B789" i="6"/>
  <c r="G789" i="6" s="1"/>
  <c r="B788" i="6"/>
  <c r="V788" i="6" s="1"/>
  <c r="B787" i="6"/>
  <c r="B786" i="6"/>
  <c r="J786" i="6" s="1"/>
  <c r="B785" i="6"/>
  <c r="V785" i="6" s="1"/>
  <c r="B784" i="6"/>
  <c r="B783" i="6"/>
  <c r="J783" i="6" s="1"/>
  <c r="B782" i="6"/>
  <c r="V782" i="6" s="1"/>
  <c r="B781" i="6"/>
  <c r="V781" i="6" s="1"/>
  <c r="B780" i="6"/>
  <c r="V780" i="6" s="1"/>
  <c r="B779" i="6"/>
  <c r="B778" i="6"/>
  <c r="E778" i="6" s="1"/>
  <c r="B777" i="6"/>
  <c r="V777" i="6" s="1"/>
  <c r="B776" i="6"/>
  <c r="V776" i="6" s="1"/>
  <c r="B775" i="6"/>
  <c r="E775" i="6" s="1"/>
  <c r="B774" i="6"/>
  <c r="V774" i="6" s="1"/>
  <c r="B773" i="6"/>
  <c r="V773" i="6" s="1"/>
  <c r="B772" i="6"/>
  <c r="V772" i="6" s="1"/>
  <c r="B771" i="6"/>
  <c r="B770" i="6"/>
  <c r="V770" i="6" s="1"/>
  <c r="B769" i="6"/>
  <c r="I769" i="6" s="1"/>
  <c r="B768" i="6"/>
  <c r="B767" i="6"/>
  <c r="I767" i="6" s="1"/>
  <c r="B766" i="6"/>
  <c r="I766" i="6" s="1"/>
  <c r="B765" i="6"/>
  <c r="B764" i="6"/>
  <c r="V764" i="6" s="1"/>
  <c r="B763" i="6"/>
  <c r="B762" i="6"/>
  <c r="V762" i="6" s="1"/>
  <c r="B761" i="6"/>
  <c r="V761" i="6" s="1"/>
  <c r="B760" i="6"/>
  <c r="V760" i="6" s="1"/>
  <c r="B759" i="6"/>
  <c r="B758" i="6"/>
  <c r="J758" i="6" s="1"/>
  <c r="B757" i="6"/>
  <c r="V757" i="6" s="1"/>
  <c r="B756" i="6"/>
  <c r="V756" i="6" s="1"/>
  <c r="B755" i="6"/>
  <c r="B754" i="6"/>
  <c r="J754" i="6" s="1"/>
  <c r="B753" i="6"/>
  <c r="Q753" i="6" s="1"/>
  <c r="B752" i="6"/>
  <c r="V752" i="6" s="1"/>
  <c r="B751" i="6"/>
  <c r="S752" i="6" s="1"/>
  <c r="B750" i="6"/>
  <c r="S751" i="6" s="1"/>
  <c r="B749" i="6"/>
  <c r="S750" i="6" s="1"/>
  <c r="B748" i="6"/>
  <c r="V748" i="6" s="1"/>
  <c r="B747" i="6"/>
  <c r="B746" i="6"/>
  <c r="V746" i="6" s="1"/>
  <c r="B745" i="6"/>
  <c r="B744" i="6"/>
  <c r="V744" i="6" s="1"/>
  <c r="B743" i="6"/>
  <c r="Q743" i="6" s="1"/>
  <c r="B742" i="6"/>
  <c r="Q742" i="6" s="1"/>
  <c r="B741" i="6"/>
  <c r="Q741" i="6" s="1"/>
  <c r="B740" i="6"/>
  <c r="V740" i="6" s="1"/>
  <c r="B739" i="6"/>
  <c r="B738" i="6"/>
  <c r="V738" i="6" s="1"/>
  <c r="B737" i="6"/>
  <c r="Q737" i="6" s="1"/>
  <c r="B736" i="6"/>
  <c r="V736" i="6" s="1"/>
  <c r="B735" i="6"/>
  <c r="Q735" i="6" s="1"/>
  <c r="B734" i="6"/>
  <c r="Q734" i="6" s="1"/>
  <c r="B733" i="6"/>
  <c r="V733" i="6" s="1"/>
  <c r="B732" i="6"/>
  <c r="V732" i="6" s="1"/>
  <c r="B731" i="6"/>
  <c r="B730" i="6"/>
  <c r="V730" i="6" s="1"/>
  <c r="B729" i="6"/>
  <c r="V729" i="6" s="1"/>
  <c r="B728" i="6"/>
  <c r="V728" i="6" s="1"/>
  <c r="B727" i="6"/>
  <c r="G727" i="6" s="1"/>
  <c r="B726" i="6"/>
  <c r="H726" i="6" s="1"/>
  <c r="B725" i="6"/>
  <c r="B724" i="6"/>
  <c r="V724" i="6" s="1"/>
  <c r="B723" i="6"/>
  <c r="B722" i="6"/>
  <c r="I722" i="6" s="1"/>
  <c r="B721" i="6"/>
  <c r="V721" i="6" s="1"/>
  <c r="B720" i="6"/>
  <c r="V720" i="6" s="1"/>
  <c r="B719" i="6"/>
  <c r="J719" i="6" s="1"/>
  <c r="B718" i="6"/>
  <c r="V718" i="6" s="1"/>
  <c r="B717" i="6"/>
  <c r="V717" i="6" s="1"/>
  <c r="B716" i="6"/>
  <c r="V716" i="6" s="1"/>
  <c r="B715" i="6"/>
  <c r="B714" i="6"/>
  <c r="B713" i="6"/>
  <c r="I713" i="6" s="1"/>
  <c r="B712" i="6"/>
  <c r="V712" i="6" s="1"/>
  <c r="B711" i="6"/>
  <c r="V711" i="6" s="1"/>
  <c r="B710" i="6"/>
  <c r="B709" i="6"/>
  <c r="D709" i="6" s="1"/>
  <c r="B708" i="6"/>
  <c r="V708" i="6" s="1"/>
  <c r="B707" i="6"/>
  <c r="B706" i="6"/>
  <c r="Q706" i="6" s="1"/>
  <c r="B705" i="6"/>
  <c r="V705" i="6" s="1"/>
  <c r="B704" i="6"/>
  <c r="B703" i="6"/>
  <c r="B702" i="6"/>
  <c r="V702" i="6" s="1"/>
  <c r="B701" i="6"/>
  <c r="V701" i="6" s="1"/>
  <c r="B700" i="6"/>
  <c r="V700" i="6" s="1"/>
  <c r="B699" i="6"/>
  <c r="V699" i="6" s="1"/>
  <c r="B698" i="6"/>
  <c r="V698" i="6" s="1"/>
  <c r="B697" i="6"/>
  <c r="B696" i="6"/>
  <c r="B695" i="6"/>
  <c r="V695" i="6" s="1"/>
  <c r="B694" i="6"/>
  <c r="V694" i="6" s="1"/>
  <c r="B693" i="6"/>
  <c r="Q693" i="6" s="1"/>
  <c r="B692" i="6"/>
  <c r="V692" i="6" s="1"/>
  <c r="B691" i="6"/>
  <c r="V691" i="6" s="1"/>
  <c r="B690" i="6"/>
  <c r="B689" i="6"/>
  <c r="V689" i="6" s="1"/>
  <c r="B688" i="6"/>
  <c r="B687" i="6"/>
  <c r="V687" i="6" s="1"/>
  <c r="B686" i="6"/>
  <c r="B685" i="6"/>
  <c r="Q685" i="6" s="1"/>
  <c r="B684" i="6"/>
  <c r="B683" i="6"/>
  <c r="Q683" i="6" s="1"/>
  <c r="B682" i="6"/>
  <c r="B681" i="6"/>
  <c r="Q681" i="6" s="1"/>
  <c r="B680" i="6"/>
  <c r="B679" i="6"/>
  <c r="I679" i="6" s="1"/>
  <c r="B678" i="6"/>
  <c r="B677" i="6"/>
  <c r="D677" i="6" s="1"/>
  <c r="B676" i="6"/>
  <c r="B675" i="6"/>
  <c r="D675" i="6" s="1"/>
  <c r="B674" i="6"/>
  <c r="B673" i="6"/>
  <c r="D673" i="6" s="1"/>
  <c r="B672" i="6"/>
  <c r="B671" i="6"/>
  <c r="Q671" i="6" s="1"/>
  <c r="B670" i="6"/>
  <c r="B669" i="6"/>
  <c r="Q669" i="6" s="1"/>
  <c r="B668" i="6"/>
  <c r="B667" i="6"/>
  <c r="Q667" i="6" s="1"/>
  <c r="B666" i="6"/>
  <c r="B665" i="6"/>
  <c r="Q665" i="6" s="1"/>
  <c r="B664" i="6"/>
  <c r="B663" i="6"/>
  <c r="Q663" i="6" s="1"/>
  <c r="B662" i="6"/>
  <c r="B661" i="6"/>
  <c r="Q661" i="6" s="1"/>
  <c r="B660" i="6"/>
  <c r="B659" i="6"/>
  <c r="Q659" i="6" s="1"/>
  <c r="B658" i="6"/>
  <c r="B657" i="6"/>
  <c r="Q657" i="6" s="1"/>
  <c r="B656" i="6"/>
  <c r="B655" i="6"/>
  <c r="Q655" i="6" s="1"/>
  <c r="B654" i="6"/>
  <c r="B653" i="6"/>
  <c r="Q653" i="6" s="1"/>
  <c r="B652" i="6"/>
  <c r="B651" i="6"/>
  <c r="Q651" i="6" s="1"/>
  <c r="B650" i="6"/>
  <c r="B649" i="6"/>
  <c r="Q649" i="6" s="1"/>
  <c r="B648" i="6"/>
  <c r="B647" i="6"/>
  <c r="Q647" i="6" s="1"/>
  <c r="B646" i="6"/>
  <c r="B645" i="6"/>
  <c r="Q645" i="6" s="1"/>
  <c r="B644" i="6"/>
  <c r="B643" i="6"/>
  <c r="Q643" i="6" s="1"/>
  <c r="B642" i="6"/>
  <c r="B641" i="6"/>
  <c r="D641" i="6" s="1"/>
  <c r="B640" i="6"/>
  <c r="B639" i="6"/>
  <c r="B638" i="6"/>
  <c r="V638" i="6" s="1"/>
  <c r="B637" i="6"/>
  <c r="B636" i="6"/>
  <c r="V636" i="6" s="1"/>
  <c r="B635" i="6"/>
  <c r="B634" i="6"/>
  <c r="V634" i="6" s="1"/>
  <c r="B633" i="6"/>
  <c r="E633" i="6" s="1"/>
  <c r="B632" i="6"/>
  <c r="V632" i="6" s="1"/>
  <c r="B631" i="6"/>
  <c r="V631" i="6" s="1"/>
  <c r="B630" i="6"/>
  <c r="B629" i="6"/>
  <c r="V629" i="6" s="1"/>
  <c r="B628" i="6"/>
  <c r="V628" i="6" s="1"/>
  <c r="B627" i="6"/>
  <c r="V627" i="6" s="1"/>
  <c r="B626" i="6"/>
  <c r="G626" i="6" s="1"/>
  <c r="B625" i="6"/>
  <c r="I625" i="6" s="1"/>
  <c r="B624" i="6"/>
  <c r="K624" i="6" s="1"/>
  <c r="B623" i="6"/>
  <c r="V623" i="6" s="1"/>
  <c r="B622" i="6"/>
  <c r="V622" i="6" s="1"/>
  <c r="B621" i="6"/>
  <c r="V621" i="6" s="1"/>
  <c r="B620" i="6"/>
  <c r="V620" i="6" s="1"/>
  <c r="B619" i="6"/>
  <c r="K619" i="6" s="1"/>
  <c r="B618" i="6"/>
  <c r="B617" i="6"/>
  <c r="B616" i="6"/>
  <c r="M616" i="6" s="1"/>
  <c r="B615" i="6"/>
  <c r="V615" i="6" s="1"/>
  <c r="B614" i="6"/>
  <c r="Q614" i="6" s="1"/>
  <c r="B613" i="6"/>
  <c r="Q613" i="6" s="1"/>
  <c r="B612" i="6"/>
  <c r="Q612" i="6" s="1"/>
  <c r="B611" i="6"/>
  <c r="V611" i="6" s="1"/>
  <c r="B610" i="6"/>
  <c r="B609" i="6"/>
  <c r="Q609" i="6" s="1"/>
  <c r="B608" i="6"/>
  <c r="I608" i="6" s="1"/>
  <c r="B607" i="6"/>
  <c r="V607" i="6" s="1"/>
  <c r="B606" i="6"/>
  <c r="I606" i="6" s="1"/>
  <c r="B605" i="6"/>
  <c r="V605" i="6" s="1"/>
  <c r="B604" i="6"/>
  <c r="V604" i="6" s="1"/>
  <c r="B603" i="6"/>
  <c r="V603" i="6" s="1"/>
  <c r="B602" i="6"/>
  <c r="B601" i="6"/>
  <c r="V601" i="6" s="1"/>
  <c r="B600" i="6"/>
  <c r="V600" i="6" s="1"/>
  <c r="B599" i="6"/>
  <c r="V599" i="6" s="1"/>
  <c r="B598" i="6"/>
  <c r="I598" i="6" s="1"/>
  <c r="B597" i="6"/>
  <c r="I597" i="6" s="1"/>
  <c r="B596" i="6"/>
  <c r="I596" i="6" s="1"/>
  <c r="B595" i="6"/>
  <c r="V595" i="6" s="1"/>
  <c r="B594" i="6"/>
  <c r="B593" i="6"/>
  <c r="V593" i="6" s="1"/>
  <c r="B592" i="6"/>
  <c r="I592" i="6" s="1"/>
  <c r="B591" i="6"/>
  <c r="B590" i="6"/>
  <c r="I590" i="6" s="1"/>
  <c r="B589" i="6"/>
  <c r="B588" i="6"/>
  <c r="B587" i="6"/>
  <c r="V587" i="6" s="1"/>
  <c r="B586" i="6"/>
  <c r="B585" i="6"/>
  <c r="I585" i="6" s="1"/>
  <c r="B584" i="6"/>
  <c r="B583" i="6"/>
  <c r="V583" i="6" s="1"/>
  <c r="B582" i="6"/>
  <c r="I582" i="6" s="1"/>
  <c r="B581" i="6"/>
  <c r="I581" i="6" s="1"/>
  <c r="B580" i="6"/>
  <c r="V580" i="6" s="1"/>
  <c r="B579" i="6"/>
  <c r="V579" i="6" s="1"/>
  <c r="B578" i="6"/>
  <c r="B577" i="6"/>
  <c r="I577" i="6" s="1"/>
  <c r="B576" i="6"/>
  <c r="V576" i="6" s="1"/>
  <c r="B575" i="6"/>
  <c r="V575" i="6" s="1"/>
  <c r="B574" i="6"/>
  <c r="I574" i="6" s="1"/>
  <c r="B573" i="6"/>
  <c r="B572" i="6"/>
  <c r="V572" i="6" s="1"/>
  <c r="B571" i="6"/>
  <c r="V571" i="6" s="1"/>
  <c r="B570" i="6"/>
  <c r="B569" i="6"/>
  <c r="V569" i="6" s="1"/>
  <c r="B568" i="6"/>
  <c r="I568" i="6" s="1"/>
  <c r="B567" i="6"/>
  <c r="V567" i="6" s="1"/>
  <c r="B566" i="6"/>
  <c r="I566" i="6" s="1"/>
  <c r="B565" i="6"/>
  <c r="I565" i="6" s="1"/>
  <c r="B564" i="6"/>
  <c r="I564" i="6" s="1"/>
  <c r="B563" i="6"/>
  <c r="V563" i="6" s="1"/>
  <c r="B562" i="6"/>
  <c r="B561" i="6"/>
  <c r="V561" i="6" s="1"/>
  <c r="B560" i="6"/>
  <c r="I560" i="6" s="1"/>
  <c r="B559" i="6"/>
  <c r="B558" i="6"/>
  <c r="I558" i="6" s="1"/>
  <c r="B557" i="6"/>
  <c r="B556" i="6"/>
  <c r="B555" i="6"/>
  <c r="V555" i="6" s="1"/>
  <c r="B554" i="6"/>
  <c r="G554" i="6" s="1"/>
  <c r="B553" i="6"/>
  <c r="H553" i="6" s="1"/>
  <c r="B552" i="6"/>
  <c r="V552" i="6" s="1"/>
  <c r="B551" i="6"/>
  <c r="V551" i="6" s="1"/>
  <c r="B550" i="6"/>
  <c r="V550" i="6" s="1"/>
  <c r="B549" i="6"/>
  <c r="B548" i="6"/>
  <c r="V548" i="6" s="1"/>
  <c r="B547" i="6"/>
  <c r="V547" i="6" s="1"/>
  <c r="B546" i="6"/>
  <c r="V546" i="6" s="1"/>
  <c r="B545" i="6"/>
  <c r="K545" i="6" s="1"/>
  <c r="B544" i="6"/>
  <c r="V544" i="6" s="1"/>
  <c r="B543" i="6"/>
  <c r="V543" i="6" s="1"/>
  <c r="B542" i="6"/>
  <c r="V542" i="6" s="1"/>
  <c r="B541" i="6"/>
  <c r="B534" i="6"/>
  <c r="B521" i="6"/>
  <c r="B506" i="6"/>
  <c r="B484" i="6"/>
  <c r="B474" i="6"/>
  <c r="V474" i="6" s="1"/>
  <c r="B460" i="6"/>
  <c r="V460" i="6" s="1"/>
  <c r="B410" i="6"/>
  <c r="B407" i="6"/>
  <c r="V407" i="6" s="1"/>
  <c r="B405" i="6"/>
  <c r="B403" i="6"/>
  <c r="B389" i="6"/>
  <c r="B322" i="6"/>
  <c r="B312" i="6"/>
  <c r="E312" i="6" s="1"/>
  <c r="B297" i="6"/>
  <c r="B236" i="6"/>
  <c r="V236" i="6" s="1"/>
  <c r="B207" i="6"/>
  <c r="V207" i="6" s="1"/>
  <c r="B197" i="6"/>
  <c r="B194" i="6"/>
  <c r="V194" i="6" s="1"/>
  <c r="B173" i="6"/>
  <c r="V173" i="6" s="1"/>
  <c r="B139" i="6"/>
  <c r="B136" i="6"/>
  <c r="V136" i="6" s="1"/>
  <c r="E110" i="6"/>
  <c r="B97" i="6"/>
  <c r="B93" i="6"/>
  <c r="B92" i="6"/>
  <c r="B87" i="6"/>
  <c r="B82" i="6"/>
  <c r="V82" i="6" s="1"/>
  <c r="B54" i="6"/>
  <c r="B35" i="6"/>
  <c r="B32" i="6"/>
  <c r="V32" i="6" s="1"/>
  <c r="B31" i="6"/>
  <c r="B26" i="6"/>
  <c r="V26" i="6" s="1"/>
  <c r="H11" i="6"/>
  <c r="G11" i="6"/>
  <c r="B11" i="6"/>
  <c r="V11" i="6" s="1"/>
  <c r="B7" i="6"/>
  <c r="B6" i="6"/>
  <c r="B4" i="6"/>
  <c r="J21" i="5"/>
  <c r="J25" i="5" s="1"/>
  <c r="I21" i="5"/>
  <c r="I25" i="5" s="1"/>
  <c r="H21" i="5"/>
  <c r="G21" i="5"/>
  <c r="F21" i="5"/>
  <c r="E21" i="5"/>
  <c r="E27" i="5" s="1"/>
  <c r="D21" i="5"/>
  <c r="D25" i="5" s="1"/>
  <c r="C21" i="5"/>
  <c r="C25" i="5" s="1"/>
  <c r="B21" i="5"/>
  <c r="B27" i="5" s="1"/>
  <c r="C17" i="5"/>
  <c r="C14" i="5"/>
  <c r="C11" i="5"/>
  <c r="C10" i="5"/>
  <c r="C5" i="5"/>
  <c r="C4" i="5"/>
  <c r="C3" i="5"/>
  <c r="Z400" i="4"/>
  <c r="N1176" i="6" s="1"/>
  <c r="Z399" i="4"/>
  <c r="Z398" i="4"/>
  <c r="Z397" i="4"/>
  <c r="Z396" i="4"/>
  <c r="H1176" i="6" s="1"/>
  <c r="V391" i="4"/>
  <c r="U389" i="4"/>
  <c r="V389" i="4" s="1"/>
  <c r="V388" i="4"/>
  <c r="V390" i="4" s="1"/>
  <c r="V393" i="4" s="1"/>
  <c r="Z386" i="4"/>
  <c r="Z385" i="4"/>
  <c r="Z384" i="4"/>
  <c r="Z382" i="4"/>
  <c r="V377" i="4"/>
  <c r="U375" i="4"/>
  <c r="V375" i="4" s="1"/>
  <c r="V374" i="4"/>
  <c r="V362" i="4"/>
  <c r="U360" i="4"/>
  <c r="U357" i="4"/>
  <c r="T357" i="4"/>
  <c r="S357" i="4"/>
  <c r="R357" i="4"/>
  <c r="Q357" i="4"/>
  <c r="P357" i="4"/>
  <c r="O357" i="4"/>
  <c r="N357" i="4"/>
  <c r="M357" i="4"/>
  <c r="Y355" i="4"/>
  <c r="L355" i="4"/>
  <c r="J355" i="4"/>
  <c r="C354" i="4"/>
  <c r="Y353" i="4"/>
  <c r="W353" i="4"/>
  <c r="V353" i="4"/>
  <c r="L353" i="4"/>
  <c r="J353" i="4"/>
  <c r="V352" i="4"/>
  <c r="L352" i="4"/>
  <c r="W352" i="4" s="1"/>
  <c r="J352" i="4"/>
  <c r="L351" i="4"/>
  <c r="Y351" i="4" s="1"/>
  <c r="J351" i="4"/>
  <c r="C350" i="4"/>
  <c r="Y349" i="4"/>
  <c r="W349" i="4"/>
  <c r="V349" i="4"/>
  <c r="L349" i="4"/>
  <c r="B1052" i="6" s="1"/>
  <c r="J349" i="4"/>
  <c r="Y348" i="4"/>
  <c r="V348" i="4"/>
  <c r="L348" i="4"/>
  <c r="W348" i="4" s="1"/>
  <c r="J348" i="4"/>
  <c r="Y347" i="4"/>
  <c r="L347" i="4"/>
  <c r="J347" i="4"/>
  <c r="Y346" i="4"/>
  <c r="W346" i="4"/>
  <c r="V346" i="4"/>
  <c r="L346" i="4"/>
  <c r="B1049" i="6" s="1"/>
  <c r="J346" i="4"/>
  <c r="W345" i="4"/>
  <c r="L345" i="4"/>
  <c r="J345" i="4"/>
  <c r="Y344" i="4"/>
  <c r="W344" i="4"/>
  <c r="L344" i="4"/>
  <c r="V344" i="4" s="1"/>
  <c r="J344" i="4"/>
  <c r="V342" i="4"/>
  <c r="L342" i="4"/>
  <c r="J342" i="4"/>
  <c r="W341" i="4"/>
  <c r="V341" i="4"/>
  <c r="L341" i="4"/>
  <c r="Y341" i="4" s="1"/>
  <c r="J341" i="4"/>
  <c r="Y340" i="4"/>
  <c r="W340" i="4"/>
  <c r="V340" i="4"/>
  <c r="L340" i="4"/>
  <c r="B1045" i="6" s="1"/>
  <c r="V1045" i="6" s="1"/>
  <c r="J340" i="4"/>
  <c r="Y339" i="4"/>
  <c r="V339" i="4"/>
  <c r="L339" i="4"/>
  <c r="J339" i="4"/>
  <c r="Y338" i="4"/>
  <c r="L338" i="4"/>
  <c r="J338" i="4"/>
  <c r="Y337" i="4"/>
  <c r="W337" i="4"/>
  <c r="V337" i="4"/>
  <c r="L337" i="4"/>
  <c r="B1042" i="6" s="1"/>
  <c r="E1042" i="6" s="1"/>
  <c r="J337" i="4"/>
  <c r="W336" i="4"/>
  <c r="L336" i="4"/>
  <c r="J336" i="4"/>
  <c r="Y335" i="4"/>
  <c r="W335" i="4"/>
  <c r="L335" i="4"/>
  <c r="V335" i="4" s="1"/>
  <c r="J335" i="4"/>
  <c r="V334" i="4"/>
  <c r="L334" i="4"/>
  <c r="J334" i="4"/>
  <c r="W333" i="4"/>
  <c r="V333" i="4"/>
  <c r="L333" i="4"/>
  <c r="Y333" i="4" s="1"/>
  <c r="J333" i="4"/>
  <c r="Y331" i="4"/>
  <c r="W331" i="4"/>
  <c r="V331" i="4"/>
  <c r="L331" i="4"/>
  <c r="J331" i="4"/>
  <c r="Y330" i="4"/>
  <c r="V330" i="4"/>
  <c r="L330" i="4"/>
  <c r="J330" i="4"/>
  <c r="Y329" i="4"/>
  <c r="L329" i="4"/>
  <c r="J329" i="4"/>
  <c r="Y328" i="4"/>
  <c r="W328" i="4"/>
  <c r="V328" i="4"/>
  <c r="L328" i="4"/>
  <c r="B1032" i="6" s="1"/>
  <c r="J328" i="4"/>
  <c r="W327" i="4"/>
  <c r="L327" i="4"/>
  <c r="J327" i="4"/>
  <c r="Y326" i="4"/>
  <c r="W326" i="4"/>
  <c r="L326" i="4"/>
  <c r="V326" i="4" s="1"/>
  <c r="J326" i="4"/>
  <c r="V325" i="4"/>
  <c r="L325" i="4"/>
  <c r="J325" i="4"/>
  <c r="W324" i="4"/>
  <c r="V324" i="4"/>
  <c r="L324" i="4"/>
  <c r="Y324" i="4" s="1"/>
  <c r="J324" i="4"/>
  <c r="Y323" i="4"/>
  <c r="W323" i="4"/>
  <c r="V323" i="4"/>
  <c r="L323" i="4"/>
  <c r="J323" i="4"/>
  <c r="Y321" i="4"/>
  <c r="V321" i="4"/>
  <c r="L321" i="4"/>
  <c r="J321" i="4"/>
  <c r="Y320" i="4"/>
  <c r="L320" i="4"/>
  <c r="J320" i="4"/>
  <c r="Y319" i="4"/>
  <c r="W319" i="4"/>
  <c r="V319" i="4"/>
  <c r="L319" i="4"/>
  <c r="J319" i="4"/>
  <c r="W318" i="4"/>
  <c r="L318" i="4"/>
  <c r="J318" i="4"/>
  <c r="Y316" i="4"/>
  <c r="W316" i="4"/>
  <c r="L316" i="4"/>
  <c r="V316" i="4" s="1"/>
  <c r="J316" i="4"/>
  <c r="V314" i="4"/>
  <c r="L314" i="4"/>
  <c r="J314" i="4"/>
  <c r="W313" i="4"/>
  <c r="V313" i="4"/>
  <c r="L313" i="4"/>
  <c r="Y313" i="4" s="1"/>
  <c r="J313" i="4"/>
  <c r="Y311" i="4"/>
  <c r="W311" i="4"/>
  <c r="V311" i="4"/>
  <c r="L311" i="4"/>
  <c r="J311" i="4"/>
  <c r="Y310" i="4"/>
  <c r="V310" i="4"/>
  <c r="L310" i="4"/>
  <c r="J310" i="4"/>
  <c r="Y308" i="4"/>
  <c r="L308" i="4"/>
  <c r="J308" i="4"/>
  <c r="Y306" i="4"/>
  <c r="W306" i="4"/>
  <c r="V306" i="4"/>
  <c r="L306" i="4"/>
  <c r="B1014" i="6" s="1"/>
  <c r="V1014" i="6" s="1"/>
  <c r="J306" i="4"/>
  <c r="W305" i="4"/>
  <c r="L305" i="4"/>
  <c r="J305" i="4"/>
  <c r="Y303" i="4"/>
  <c r="W303" i="4"/>
  <c r="L303" i="4"/>
  <c r="V303" i="4" s="1"/>
  <c r="J303" i="4"/>
  <c r="W302" i="4"/>
  <c r="V302" i="4"/>
  <c r="L302" i="4"/>
  <c r="J302" i="4"/>
  <c r="W300" i="4"/>
  <c r="V300" i="4"/>
  <c r="L300" i="4"/>
  <c r="B1009" i="6" s="1"/>
  <c r="J300" i="4"/>
  <c r="Y299" i="4"/>
  <c r="W299" i="4"/>
  <c r="V299" i="4"/>
  <c r="L299" i="4"/>
  <c r="B1008" i="6" s="1"/>
  <c r="J299" i="4"/>
  <c r="Y297" i="4"/>
  <c r="V297" i="4"/>
  <c r="L297" i="4"/>
  <c r="W297" i="4" s="1"/>
  <c r="J297" i="4"/>
  <c r="Y296" i="4"/>
  <c r="L296" i="4"/>
  <c r="J296" i="4"/>
  <c r="Y294" i="4"/>
  <c r="W294" i="4"/>
  <c r="V294" i="4"/>
  <c r="L294" i="4"/>
  <c r="B831" i="6" s="1"/>
  <c r="J294" i="4"/>
  <c r="W293" i="4"/>
  <c r="L293" i="4"/>
  <c r="J293" i="4"/>
  <c r="Y292" i="4"/>
  <c r="W292" i="4"/>
  <c r="L292" i="4"/>
  <c r="V292" i="4" s="1"/>
  <c r="J292" i="4"/>
  <c r="W290" i="4"/>
  <c r="V290" i="4"/>
  <c r="L290" i="4"/>
  <c r="Y290" i="4" s="1"/>
  <c r="J290" i="4"/>
  <c r="W288" i="4"/>
  <c r="V288" i="4"/>
  <c r="L288" i="4"/>
  <c r="Y288" i="4" s="1"/>
  <c r="J288" i="4"/>
  <c r="Y287" i="4"/>
  <c r="W287" i="4"/>
  <c r="V287" i="4"/>
  <c r="L287" i="4"/>
  <c r="J287" i="4"/>
  <c r="Y286" i="4"/>
  <c r="V286" i="4"/>
  <c r="L286" i="4"/>
  <c r="W286" i="4" s="1"/>
  <c r="J286" i="4"/>
  <c r="Y285" i="4"/>
  <c r="L285" i="4"/>
  <c r="J285" i="4"/>
  <c r="Y283" i="4"/>
  <c r="W283" i="4"/>
  <c r="V283" i="4"/>
  <c r="L283" i="4"/>
  <c r="B922" i="6" s="1"/>
  <c r="J283" i="4"/>
  <c r="W282" i="4"/>
  <c r="L282" i="4"/>
  <c r="J282" i="4"/>
  <c r="Y281" i="4"/>
  <c r="W281" i="4"/>
  <c r="L281" i="4"/>
  <c r="V281" i="4" s="1"/>
  <c r="J281" i="4"/>
  <c r="V280" i="4"/>
  <c r="L280" i="4"/>
  <c r="J280" i="4"/>
  <c r="W279" i="4"/>
  <c r="V279" i="4"/>
  <c r="L279" i="4"/>
  <c r="Y279" i="4" s="1"/>
  <c r="J279" i="4"/>
  <c r="Y278" i="4"/>
  <c r="W278" i="4"/>
  <c r="V278" i="4"/>
  <c r="L278" i="4"/>
  <c r="B935" i="6" s="1"/>
  <c r="H935" i="6" s="1"/>
  <c r="J278" i="4"/>
  <c r="Y276" i="4"/>
  <c r="V276" i="4"/>
  <c r="L276" i="4"/>
  <c r="J276" i="4"/>
  <c r="Y275" i="4"/>
  <c r="L275" i="4"/>
  <c r="J275" i="4"/>
  <c r="Y274" i="4"/>
  <c r="W274" i="4"/>
  <c r="V274" i="4"/>
  <c r="L274" i="4"/>
  <c r="B825" i="6" s="1"/>
  <c r="J274" i="4"/>
  <c r="W272" i="4"/>
  <c r="L272" i="4"/>
  <c r="J272" i="4"/>
  <c r="Y271" i="4"/>
  <c r="W271" i="4"/>
  <c r="L271" i="4"/>
  <c r="B937" i="6" s="1"/>
  <c r="J271" i="4"/>
  <c r="V270" i="4"/>
  <c r="L270" i="4"/>
  <c r="Y270" i="4" s="1"/>
  <c r="J270" i="4"/>
  <c r="W268" i="4"/>
  <c r="V268" i="4"/>
  <c r="L268" i="4"/>
  <c r="Y268" i="4" s="1"/>
  <c r="J268" i="4"/>
  <c r="Y267" i="4"/>
  <c r="W267" i="4"/>
  <c r="V267" i="4"/>
  <c r="L267" i="4"/>
  <c r="J267" i="4"/>
  <c r="Y266" i="4"/>
  <c r="V266" i="4"/>
  <c r="L266" i="4"/>
  <c r="J266" i="4"/>
  <c r="Y264" i="4"/>
  <c r="L264" i="4"/>
  <c r="J264" i="4"/>
  <c r="Y263" i="4"/>
  <c r="W263" i="4"/>
  <c r="V263" i="4"/>
  <c r="L263" i="4"/>
  <c r="B884" i="6" s="1"/>
  <c r="J263" i="4"/>
  <c r="W262" i="4"/>
  <c r="L262" i="4"/>
  <c r="J262" i="4"/>
  <c r="Y261" i="4"/>
  <c r="W261" i="4"/>
  <c r="L261" i="4"/>
  <c r="V261" i="4" s="1"/>
  <c r="J261" i="4"/>
  <c r="V260" i="4"/>
  <c r="L260" i="4"/>
  <c r="J260" i="4"/>
  <c r="W259" i="4"/>
  <c r="V259" i="4"/>
  <c r="L259" i="4"/>
  <c r="Y259" i="4" s="1"/>
  <c r="J259" i="4"/>
  <c r="Y258" i="4"/>
  <c r="W258" i="4"/>
  <c r="V258" i="4"/>
  <c r="L258" i="4"/>
  <c r="B1003" i="6" s="1"/>
  <c r="J258" i="4"/>
  <c r="Y256" i="4"/>
  <c r="V256" i="4"/>
  <c r="L256" i="4"/>
  <c r="W256" i="4" s="1"/>
  <c r="J256" i="4"/>
  <c r="Y255" i="4"/>
  <c r="L255" i="4"/>
  <c r="J255" i="4"/>
  <c r="Y254" i="4"/>
  <c r="W254" i="4"/>
  <c r="V254" i="4"/>
  <c r="L254" i="4"/>
  <c r="B885" i="6" s="1"/>
  <c r="V885" i="6" s="1"/>
  <c r="J254" i="4"/>
  <c r="W253" i="4"/>
  <c r="L253" i="4"/>
  <c r="J253" i="4"/>
  <c r="Y252" i="4"/>
  <c r="W252" i="4"/>
  <c r="L252" i="4"/>
  <c r="V252" i="4" s="1"/>
  <c r="J252" i="4"/>
  <c r="V251" i="4"/>
  <c r="L251" i="4"/>
  <c r="J251" i="4"/>
  <c r="W250" i="4"/>
  <c r="V250" i="4"/>
  <c r="L250" i="4"/>
  <c r="Y250" i="4" s="1"/>
  <c r="J250" i="4"/>
  <c r="Y249" i="4"/>
  <c r="W249" i="4"/>
  <c r="V249" i="4"/>
  <c r="L249" i="4"/>
  <c r="B859" i="6" s="1"/>
  <c r="V859" i="6" s="1"/>
  <c r="J249" i="4"/>
  <c r="Y248" i="4"/>
  <c r="V248" i="4"/>
  <c r="L248" i="4"/>
  <c r="W248" i="4" s="1"/>
  <c r="J248" i="4"/>
  <c r="Y247" i="4"/>
  <c r="L247" i="4"/>
  <c r="J247" i="4"/>
  <c r="Y246" i="4"/>
  <c r="W246" i="4"/>
  <c r="V246" i="4"/>
  <c r="L246" i="4"/>
  <c r="B938" i="6" s="1"/>
  <c r="J246" i="4"/>
  <c r="Y245" i="4"/>
  <c r="L245" i="4"/>
  <c r="J245" i="4"/>
  <c r="Y244" i="4"/>
  <c r="W244" i="4"/>
  <c r="L244" i="4"/>
  <c r="V244" i="4" s="1"/>
  <c r="J244" i="4"/>
  <c r="W243" i="4"/>
  <c r="L243" i="4"/>
  <c r="J243" i="4"/>
  <c r="W242" i="4"/>
  <c r="V242" i="4"/>
  <c r="L242" i="4"/>
  <c r="Y242" i="4" s="1"/>
  <c r="J242" i="4"/>
  <c r="Y240" i="4"/>
  <c r="W240" i="4"/>
  <c r="V240" i="4"/>
  <c r="L240" i="4"/>
  <c r="B889" i="6" s="1"/>
  <c r="J240" i="4"/>
  <c r="Y239" i="4"/>
  <c r="V239" i="4"/>
  <c r="L239" i="4"/>
  <c r="J239" i="4"/>
  <c r="L238" i="4"/>
  <c r="J238" i="4"/>
  <c r="Y237" i="4"/>
  <c r="L237" i="4"/>
  <c r="J237" i="4"/>
  <c r="W236" i="4"/>
  <c r="L236" i="4"/>
  <c r="J236" i="4"/>
  <c r="L235" i="4"/>
  <c r="J235" i="4"/>
  <c r="V234" i="4"/>
  <c r="L234" i="4"/>
  <c r="J234" i="4"/>
  <c r="W233" i="4"/>
  <c r="V233" i="4"/>
  <c r="L233" i="4"/>
  <c r="Y233" i="4" s="1"/>
  <c r="J233" i="4"/>
  <c r="Y232" i="4"/>
  <c r="W232" i="4"/>
  <c r="V232" i="4"/>
  <c r="L232" i="4"/>
  <c r="J232" i="4"/>
  <c r="V231" i="4"/>
  <c r="L231" i="4"/>
  <c r="J231" i="4"/>
  <c r="Y230" i="4"/>
  <c r="V230" i="4"/>
  <c r="L230" i="4"/>
  <c r="J230" i="4"/>
  <c r="W229" i="4"/>
  <c r="L229" i="4"/>
  <c r="B817" i="6" s="1"/>
  <c r="D817" i="6" s="1"/>
  <c r="J229" i="4"/>
  <c r="Y228" i="4"/>
  <c r="W228" i="4"/>
  <c r="L228" i="4"/>
  <c r="V228" i="4" s="1"/>
  <c r="J228" i="4"/>
  <c r="Y227" i="4"/>
  <c r="L227" i="4"/>
  <c r="V227" i="4" s="1"/>
  <c r="J227" i="4"/>
  <c r="W226" i="4"/>
  <c r="V226" i="4"/>
  <c r="L226" i="4"/>
  <c r="J226" i="4"/>
  <c r="W225" i="4"/>
  <c r="V225" i="4"/>
  <c r="L225" i="4"/>
  <c r="Y225" i="4" s="1"/>
  <c r="J225" i="4"/>
  <c r="Y224" i="4"/>
  <c r="W224" i="4"/>
  <c r="V224" i="4"/>
  <c r="L224" i="4"/>
  <c r="B996" i="6" s="1"/>
  <c r="V996" i="6" s="1"/>
  <c r="J224" i="4"/>
  <c r="L223" i="4"/>
  <c r="J223" i="4"/>
  <c r="Y222" i="4"/>
  <c r="V222" i="4"/>
  <c r="L222" i="4"/>
  <c r="W222" i="4" s="1"/>
  <c r="J222" i="4"/>
  <c r="V221" i="4"/>
  <c r="L221" i="4"/>
  <c r="J221" i="4"/>
  <c r="L219" i="4"/>
  <c r="J219" i="4"/>
  <c r="L218" i="4"/>
  <c r="J218" i="4"/>
  <c r="L217" i="4"/>
  <c r="J217" i="4"/>
  <c r="W216" i="4"/>
  <c r="V216" i="4"/>
  <c r="L216" i="4"/>
  <c r="B880" i="6" s="1"/>
  <c r="F880" i="6" s="1"/>
  <c r="J216" i="4"/>
  <c r="Y215" i="4"/>
  <c r="W215" i="4"/>
  <c r="V215" i="4"/>
  <c r="L215" i="4"/>
  <c r="J215" i="4"/>
  <c r="Y214" i="4"/>
  <c r="L214" i="4"/>
  <c r="J214" i="4"/>
  <c r="Y213" i="4"/>
  <c r="V213" i="4"/>
  <c r="L213" i="4"/>
  <c r="W213" i="4" s="1"/>
  <c r="J213" i="4"/>
  <c r="Y212" i="4"/>
  <c r="W212" i="4"/>
  <c r="V212" i="4"/>
  <c r="L212" i="4"/>
  <c r="B866" i="6" s="1"/>
  <c r="J212" i="4"/>
  <c r="Y211" i="4"/>
  <c r="L211" i="4"/>
  <c r="J211" i="4"/>
  <c r="Y210" i="4"/>
  <c r="W210" i="4"/>
  <c r="L210" i="4"/>
  <c r="J210" i="4"/>
  <c r="W209" i="4"/>
  <c r="L209" i="4"/>
  <c r="J209" i="4"/>
  <c r="W208" i="4"/>
  <c r="V208" i="4"/>
  <c r="L208" i="4"/>
  <c r="Y208" i="4" s="1"/>
  <c r="J208" i="4"/>
  <c r="Y207" i="4"/>
  <c r="W207" i="4"/>
  <c r="V207" i="4"/>
  <c r="L207" i="4"/>
  <c r="J207" i="4"/>
  <c r="Y205" i="4"/>
  <c r="V205" i="4"/>
  <c r="L205" i="4"/>
  <c r="J205" i="4"/>
  <c r="L204" i="4"/>
  <c r="J204" i="4"/>
  <c r="Y202" i="4"/>
  <c r="L202" i="4"/>
  <c r="J202" i="4"/>
  <c r="L201" i="4"/>
  <c r="J201" i="4"/>
  <c r="L199" i="4"/>
  <c r="J199" i="4"/>
  <c r="V197" i="4"/>
  <c r="L197" i="4"/>
  <c r="J197" i="4"/>
  <c r="W195" i="4"/>
  <c r="V195" i="4"/>
  <c r="L195" i="4"/>
  <c r="B989" i="6" s="1"/>
  <c r="J195" i="4"/>
  <c r="Y194" i="4"/>
  <c r="W194" i="4"/>
  <c r="V194" i="4"/>
  <c r="L194" i="4"/>
  <c r="B988" i="6" s="1"/>
  <c r="J194" i="4"/>
  <c r="Y192" i="4"/>
  <c r="V192" i="4"/>
  <c r="L192" i="4"/>
  <c r="J192" i="4"/>
  <c r="L191" i="4"/>
  <c r="Y191" i="4" s="1"/>
  <c r="J191" i="4"/>
  <c r="W190" i="4"/>
  <c r="L190" i="4"/>
  <c r="B813" i="6" s="1"/>
  <c r="V813" i="6" s="1"/>
  <c r="J190" i="4"/>
  <c r="Y189" i="4"/>
  <c r="W189" i="4"/>
  <c r="L189" i="4"/>
  <c r="V189" i="4" s="1"/>
  <c r="J189" i="4"/>
  <c r="Y188" i="4"/>
  <c r="L188" i="4"/>
  <c r="J188" i="4"/>
  <c r="W186" i="4"/>
  <c r="V186" i="4"/>
  <c r="L186" i="4"/>
  <c r="J186" i="4"/>
  <c r="W185" i="4"/>
  <c r="V185" i="4"/>
  <c r="L185" i="4"/>
  <c r="Y185" i="4" s="1"/>
  <c r="J185" i="4"/>
  <c r="Y184" i="4"/>
  <c r="W184" i="4"/>
  <c r="V184" i="4"/>
  <c r="L184" i="4"/>
  <c r="B983" i="6" s="1"/>
  <c r="J184" i="4"/>
  <c r="L183" i="4"/>
  <c r="J183" i="4"/>
  <c r="Y181" i="4"/>
  <c r="V181" i="4"/>
  <c r="L181" i="4"/>
  <c r="J181" i="4"/>
  <c r="L180" i="4"/>
  <c r="V180" i="4" s="1"/>
  <c r="J180" i="4"/>
  <c r="L178" i="4"/>
  <c r="J178" i="4"/>
  <c r="L176" i="4"/>
  <c r="J176" i="4"/>
  <c r="L174" i="4"/>
  <c r="J174" i="4"/>
  <c r="W172" i="4"/>
  <c r="V172" i="4"/>
  <c r="L172" i="4"/>
  <c r="Y172" i="4" s="1"/>
  <c r="J172" i="4"/>
  <c r="Y170" i="4"/>
  <c r="W170" i="4"/>
  <c r="V170" i="4"/>
  <c r="L170" i="4"/>
  <c r="B857" i="6" s="1"/>
  <c r="J170" i="4"/>
  <c r="Y169" i="4"/>
  <c r="V169" i="4"/>
  <c r="L169" i="4"/>
  <c r="J169" i="4"/>
  <c r="Y168" i="4"/>
  <c r="V168" i="4"/>
  <c r="L168" i="4"/>
  <c r="J168" i="4"/>
  <c r="Y166" i="4"/>
  <c r="W166" i="4"/>
  <c r="V166" i="4"/>
  <c r="L166" i="4"/>
  <c r="B850" i="6" s="1"/>
  <c r="V850" i="6" s="1"/>
  <c r="J166" i="4"/>
  <c r="Y165" i="4"/>
  <c r="L165" i="4"/>
  <c r="V165" i="4" s="1"/>
  <c r="J165" i="4"/>
  <c r="Y164" i="4"/>
  <c r="W164" i="4"/>
  <c r="L164" i="4"/>
  <c r="V164" i="4" s="1"/>
  <c r="J164" i="4"/>
  <c r="W163" i="4"/>
  <c r="L163" i="4"/>
  <c r="J163" i="4"/>
  <c r="W162" i="4"/>
  <c r="V162" i="4"/>
  <c r="L162" i="4"/>
  <c r="Y162" i="4" s="1"/>
  <c r="J162" i="4"/>
  <c r="Y160" i="4"/>
  <c r="W160" i="4"/>
  <c r="V160" i="4"/>
  <c r="L160" i="4"/>
  <c r="J160" i="4"/>
  <c r="Y159" i="4"/>
  <c r="V159" i="4"/>
  <c r="L159" i="4"/>
  <c r="J159" i="4"/>
  <c r="L158" i="4"/>
  <c r="J158" i="4"/>
  <c r="Y157" i="4"/>
  <c r="L157" i="4"/>
  <c r="J157" i="4"/>
  <c r="W156" i="4"/>
  <c r="L156" i="4"/>
  <c r="J156" i="4"/>
  <c r="L154" i="4"/>
  <c r="J154" i="4"/>
  <c r="V153" i="4"/>
  <c r="L153" i="4"/>
  <c r="J153" i="4"/>
  <c r="W151" i="4"/>
  <c r="V151" i="4"/>
  <c r="L151" i="4"/>
  <c r="Y151" i="4" s="1"/>
  <c r="J151" i="4"/>
  <c r="Y149" i="4"/>
  <c r="W149" i="4"/>
  <c r="V149" i="4"/>
  <c r="L149" i="4"/>
  <c r="B975" i="6" s="1"/>
  <c r="J149" i="4"/>
  <c r="Y148" i="4"/>
  <c r="V148" i="4"/>
  <c r="L148" i="4"/>
  <c r="W148" i="4" s="1"/>
  <c r="J148" i="4"/>
  <c r="Y147" i="4"/>
  <c r="L147" i="4"/>
  <c r="J147" i="4"/>
  <c r="W145" i="4"/>
  <c r="L145" i="4"/>
  <c r="B972" i="6" s="1"/>
  <c r="J145" i="4"/>
  <c r="Y144" i="4"/>
  <c r="W144" i="4"/>
  <c r="L144" i="4"/>
  <c r="V144" i="4" s="1"/>
  <c r="J144" i="4"/>
  <c r="Y142" i="4"/>
  <c r="L142" i="4"/>
  <c r="J142" i="4"/>
  <c r="W141" i="4"/>
  <c r="V141" i="4"/>
  <c r="L141" i="4"/>
  <c r="J141" i="4"/>
  <c r="W139" i="4"/>
  <c r="V139" i="4"/>
  <c r="L139" i="4"/>
  <c r="Y139" i="4" s="1"/>
  <c r="J139" i="4"/>
  <c r="Y138" i="4"/>
  <c r="W138" i="4"/>
  <c r="V138" i="4"/>
  <c r="L138" i="4"/>
  <c r="B967" i="6" s="1"/>
  <c r="J138" i="4"/>
  <c r="L136" i="4"/>
  <c r="J136" i="4"/>
  <c r="Y134" i="4"/>
  <c r="V134" i="4"/>
  <c r="L134" i="4"/>
  <c r="J134" i="4"/>
  <c r="L133" i="4"/>
  <c r="J133" i="4"/>
  <c r="L132" i="4"/>
  <c r="J132" i="4"/>
  <c r="W130" i="4"/>
  <c r="L130" i="4"/>
  <c r="J130" i="4"/>
  <c r="L129" i="4"/>
  <c r="J129" i="4"/>
  <c r="W128" i="4"/>
  <c r="V128" i="4"/>
  <c r="L128" i="4"/>
  <c r="Y128" i="4" s="1"/>
  <c r="J128" i="4"/>
  <c r="Y126" i="4"/>
  <c r="W126" i="4"/>
  <c r="V126" i="4"/>
  <c r="L126" i="4"/>
  <c r="J126" i="4"/>
  <c r="Y125" i="4"/>
  <c r="V125" i="4"/>
  <c r="L125" i="4"/>
  <c r="J125" i="4"/>
  <c r="Y124" i="4"/>
  <c r="V124" i="4"/>
  <c r="L124" i="4"/>
  <c r="J124" i="4"/>
  <c r="Y123" i="4"/>
  <c r="W123" i="4"/>
  <c r="V123" i="4"/>
  <c r="L123" i="4"/>
  <c r="B961" i="6" s="1"/>
  <c r="J123" i="4"/>
  <c r="Y122" i="4"/>
  <c r="L122" i="4"/>
  <c r="V122" i="4" s="1"/>
  <c r="J122" i="4"/>
  <c r="Y120" i="4"/>
  <c r="W120" i="4"/>
  <c r="L120" i="4"/>
  <c r="J120" i="4"/>
  <c r="W119" i="4"/>
  <c r="L119" i="4"/>
  <c r="Y119" i="4" s="1"/>
  <c r="J119" i="4"/>
  <c r="W118" i="4"/>
  <c r="V118" i="4"/>
  <c r="L118" i="4"/>
  <c r="Y118" i="4" s="1"/>
  <c r="J118" i="4"/>
  <c r="Y117" i="4"/>
  <c r="W117" i="4"/>
  <c r="V117" i="4"/>
  <c r="L117" i="4"/>
  <c r="J117" i="4"/>
  <c r="Y116" i="4"/>
  <c r="V116" i="4"/>
  <c r="L116" i="4"/>
  <c r="J116" i="4"/>
  <c r="L115" i="4"/>
  <c r="J115" i="4"/>
  <c r="L114" i="4"/>
  <c r="J114" i="4"/>
  <c r="W113" i="4"/>
  <c r="L113" i="4"/>
  <c r="J113" i="4"/>
  <c r="L112" i="4"/>
  <c r="J112" i="4"/>
  <c r="L111" i="4"/>
  <c r="J111" i="4"/>
  <c r="W110" i="4"/>
  <c r="V110" i="4"/>
  <c r="L110" i="4"/>
  <c r="Y110" i="4" s="1"/>
  <c r="J110" i="4"/>
  <c r="Y109" i="4"/>
  <c r="W109" i="4"/>
  <c r="V109" i="4"/>
  <c r="L109" i="4"/>
  <c r="B959" i="6" s="1"/>
  <c r="J109" i="4"/>
  <c r="Y107" i="4"/>
  <c r="V107" i="4"/>
  <c r="L107" i="4"/>
  <c r="J107" i="4"/>
  <c r="Y106" i="4"/>
  <c r="V106" i="4"/>
  <c r="L106" i="4"/>
  <c r="J106" i="4"/>
  <c r="W105" i="4"/>
  <c r="L105" i="4"/>
  <c r="Y105" i="4" s="1"/>
  <c r="J105" i="4"/>
  <c r="Y104" i="4"/>
  <c r="W104" i="4"/>
  <c r="L104" i="4"/>
  <c r="V104" i="4" s="1"/>
  <c r="J104" i="4"/>
  <c r="Y103" i="4"/>
  <c r="L103" i="4"/>
  <c r="J103" i="4"/>
  <c r="W102" i="4"/>
  <c r="V102" i="4"/>
  <c r="L102" i="4"/>
  <c r="J102" i="4"/>
  <c r="W101" i="4"/>
  <c r="V101" i="4"/>
  <c r="L101" i="4"/>
  <c r="Y101" i="4" s="1"/>
  <c r="J101" i="4"/>
  <c r="Y100" i="4"/>
  <c r="W100" i="4"/>
  <c r="V100" i="4"/>
  <c r="L100" i="4"/>
  <c r="J100" i="4"/>
  <c r="L99" i="4"/>
  <c r="J99" i="4"/>
  <c r="Y98" i="4"/>
  <c r="V98" i="4"/>
  <c r="L98" i="4"/>
  <c r="J98" i="4"/>
  <c r="V96" i="4"/>
  <c r="L96" i="4"/>
  <c r="J96" i="4"/>
  <c r="L95" i="4"/>
  <c r="J95" i="4"/>
  <c r="W94" i="4"/>
  <c r="L94" i="4"/>
  <c r="J94" i="4"/>
  <c r="L93" i="4"/>
  <c r="J93" i="4"/>
  <c r="W92" i="4"/>
  <c r="V92" i="4"/>
  <c r="L92" i="4"/>
  <c r="Y92" i="4" s="1"/>
  <c r="J92" i="4"/>
  <c r="Y90" i="4"/>
  <c r="W90" i="4"/>
  <c r="V90" i="4"/>
  <c r="L90" i="4"/>
  <c r="J90" i="4"/>
  <c r="L89" i="4"/>
  <c r="Y89" i="4" s="1"/>
  <c r="J89" i="4"/>
  <c r="Y88" i="4"/>
  <c r="V88" i="4"/>
  <c r="L88" i="4"/>
  <c r="J88" i="4"/>
  <c r="Y87" i="4"/>
  <c r="W87" i="4"/>
  <c r="V87" i="4"/>
  <c r="L87" i="4"/>
  <c r="B907" i="6" s="1"/>
  <c r="V907" i="6" s="1"/>
  <c r="J87" i="4"/>
  <c r="Y86" i="4"/>
  <c r="L86" i="4"/>
  <c r="V86" i="4" s="1"/>
  <c r="J86" i="4"/>
  <c r="Y85" i="4"/>
  <c r="W85" i="4"/>
  <c r="L85" i="4"/>
  <c r="J85" i="4"/>
  <c r="W84" i="4"/>
  <c r="L84" i="4"/>
  <c r="J84" i="4"/>
  <c r="W83" i="4"/>
  <c r="V83" i="4"/>
  <c r="L83" i="4"/>
  <c r="Y83" i="4" s="1"/>
  <c r="J83" i="4"/>
  <c r="Y82" i="4"/>
  <c r="W82" i="4"/>
  <c r="V82" i="4"/>
  <c r="L82" i="4"/>
  <c r="J82" i="4"/>
  <c r="Y80" i="4"/>
  <c r="V80" i="4"/>
  <c r="L80" i="4"/>
  <c r="J80" i="4"/>
  <c r="L79" i="4"/>
  <c r="J79" i="4"/>
  <c r="L78" i="4"/>
  <c r="J78" i="4"/>
  <c r="L77" i="4"/>
  <c r="W77" i="4" s="1"/>
  <c r="J77" i="4"/>
  <c r="L76" i="4"/>
  <c r="J76" i="4"/>
  <c r="L74" i="4"/>
  <c r="J74" i="4"/>
  <c r="W72" i="4"/>
  <c r="V72" i="4"/>
  <c r="L72" i="4"/>
  <c r="Y72" i="4" s="1"/>
  <c r="J72" i="4"/>
  <c r="Y70" i="4"/>
  <c r="W70" i="4"/>
  <c r="V70" i="4"/>
  <c r="L70" i="4"/>
  <c r="B918" i="6" s="1"/>
  <c r="J70" i="4"/>
  <c r="Y69" i="4"/>
  <c r="V69" i="4"/>
  <c r="L69" i="4"/>
  <c r="J69" i="4"/>
  <c r="Y67" i="4"/>
  <c r="V67" i="4"/>
  <c r="L67" i="4"/>
  <c r="J67" i="4"/>
  <c r="W66" i="4"/>
  <c r="L66" i="4"/>
  <c r="B951" i="6" s="1"/>
  <c r="J66" i="4"/>
  <c r="Y65" i="4"/>
  <c r="W65" i="4"/>
  <c r="L65" i="4"/>
  <c r="J65" i="4"/>
  <c r="Y64" i="4"/>
  <c r="L64" i="4"/>
  <c r="J64" i="4"/>
  <c r="W62" i="4"/>
  <c r="V62" i="4"/>
  <c r="L62" i="4"/>
  <c r="Y62" i="4" s="1"/>
  <c r="J62" i="4"/>
  <c r="W61" i="4"/>
  <c r="V61" i="4"/>
  <c r="L61" i="4"/>
  <c r="Y61" i="4" s="1"/>
  <c r="J61" i="4"/>
  <c r="Y59" i="4"/>
  <c r="W59" i="4"/>
  <c r="V59" i="4"/>
  <c r="L59" i="4"/>
  <c r="J59" i="4"/>
  <c r="L57" i="4"/>
  <c r="J57" i="4"/>
  <c r="Y56" i="4"/>
  <c r="V56" i="4"/>
  <c r="L56" i="4"/>
  <c r="J56" i="4"/>
  <c r="V55" i="4"/>
  <c r="L55" i="4"/>
  <c r="J55" i="4"/>
  <c r="L54" i="4"/>
  <c r="B812" i="6" s="1"/>
  <c r="J54" i="4"/>
  <c r="L52" i="4"/>
  <c r="J52" i="4"/>
  <c r="L51" i="4"/>
  <c r="J51" i="4"/>
  <c r="W50" i="4"/>
  <c r="V50" i="4"/>
  <c r="L50" i="4"/>
  <c r="Y50" i="4" s="1"/>
  <c r="J50" i="4"/>
  <c r="Y49" i="4"/>
  <c r="W49" i="4"/>
  <c r="V49" i="4"/>
  <c r="L49" i="4"/>
  <c r="B811" i="6" s="1"/>
  <c r="V811" i="6" s="1"/>
  <c r="J49" i="4"/>
  <c r="Y48" i="4"/>
  <c r="L48" i="4"/>
  <c r="J48" i="4"/>
  <c r="Y47" i="4"/>
  <c r="V47" i="4"/>
  <c r="L47" i="4"/>
  <c r="W47" i="4" s="1"/>
  <c r="J47" i="4"/>
  <c r="Y46" i="4"/>
  <c r="W46" i="4"/>
  <c r="V46" i="4"/>
  <c r="L46" i="4"/>
  <c r="B808" i="6" s="1"/>
  <c r="J46" i="4"/>
  <c r="Y45" i="4"/>
  <c r="L45" i="4"/>
  <c r="V45" i="4" s="1"/>
  <c r="J45" i="4"/>
  <c r="Y44" i="4"/>
  <c r="W44" i="4"/>
  <c r="L44" i="4"/>
  <c r="J44" i="4"/>
  <c r="W42" i="4"/>
  <c r="L42" i="4"/>
  <c r="Y42" i="4" s="1"/>
  <c r="J42" i="4"/>
  <c r="W41" i="4"/>
  <c r="V41" i="4"/>
  <c r="L41" i="4"/>
  <c r="B802" i="6" s="1"/>
  <c r="V802" i="6" s="1"/>
  <c r="J41" i="4"/>
  <c r="Y40" i="4"/>
  <c r="W40" i="4"/>
  <c r="V40" i="4"/>
  <c r="L40" i="4"/>
  <c r="B801" i="6" s="1"/>
  <c r="J40" i="4"/>
  <c r="Y38" i="4"/>
  <c r="V38" i="4"/>
  <c r="L38" i="4"/>
  <c r="J38" i="4"/>
  <c r="AG707" i="3"/>
  <c r="N1173" i="6" s="1"/>
  <c r="AG706" i="3"/>
  <c r="AG705" i="3"/>
  <c r="AG704" i="3"/>
  <c r="AG703" i="3"/>
  <c r="H1173" i="6" s="1"/>
  <c r="AC698" i="3"/>
  <c r="AC696" i="3"/>
  <c r="AB696" i="3"/>
  <c r="AC695" i="3"/>
  <c r="AG693" i="3"/>
  <c r="N1172" i="6" s="1"/>
  <c r="AG692" i="3"/>
  <c r="AG691" i="3"/>
  <c r="AG689" i="3"/>
  <c r="AC689" i="3"/>
  <c r="AC684" i="3"/>
  <c r="AC682" i="3"/>
  <c r="AB682" i="3"/>
  <c r="AC681" i="3"/>
  <c r="AC669" i="3"/>
  <c r="AB667" i="3"/>
  <c r="AB664" i="3"/>
  <c r="AA664" i="3"/>
  <c r="Z664" i="3"/>
  <c r="Y664" i="3"/>
  <c r="X664" i="3"/>
  <c r="W664" i="3"/>
  <c r="V664" i="3"/>
  <c r="U664" i="3"/>
  <c r="T664" i="3"/>
  <c r="AC661" i="3"/>
  <c r="S661" i="3"/>
  <c r="Q661" i="3"/>
  <c r="AF660" i="3"/>
  <c r="AC660" i="3"/>
  <c r="S660" i="3"/>
  <c r="B467" i="6" s="1"/>
  <c r="Q660" i="3"/>
  <c r="AF659" i="3"/>
  <c r="AD659" i="3"/>
  <c r="AC659" i="3"/>
  <c r="S659" i="3"/>
  <c r="B466" i="6" s="1"/>
  <c r="Q659" i="3"/>
  <c r="S658" i="3"/>
  <c r="Q658" i="3"/>
  <c r="S657" i="3"/>
  <c r="AF657" i="3" s="1"/>
  <c r="Q657" i="3"/>
  <c r="AD656" i="3"/>
  <c r="AC656" i="3"/>
  <c r="S656" i="3"/>
  <c r="Q656" i="3"/>
  <c r="AD655" i="3"/>
  <c r="S655" i="3"/>
  <c r="B462" i="6" s="1"/>
  <c r="V462" i="6" s="1"/>
  <c r="Q655" i="3"/>
  <c r="C654" i="3"/>
  <c r="AF653" i="3"/>
  <c r="S653" i="3"/>
  <c r="Q653" i="3"/>
  <c r="AD651" i="3"/>
  <c r="S651" i="3"/>
  <c r="Q651" i="3"/>
  <c r="AD650" i="3"/>
  <c r="S650" i="3"/>
  <c r="AF650" i="3" s="1"/>
  <c r="Q650" i="3"/>
  <c r="AF649" i="3"/>
  <c r="AD649" i="3"/>
  <c r="AC649" i="3"/>
  <c r="S649" i="3"/>
  <c r="B348" i="6" s="1"/>
  <c r="Q649" i="3"/>
  <c r="C648" i="3"/>
  <c r="AD647" i="3"/>
  <c r="AC647" i="3"/>
  <c r="S647" i="3"/>
  <c r="Q647" i="3"/>
  <c r="AD646" i="3"/>
  <c r="S646" i="3"/>
  <c r="B317" i="6" s="1"/>
  <c r="D317" i="6" s="1"/>
  <c r="Q646" i="3"/>
  <c r="AF645" i="3"/>
  <c r="AD645" i="3"/>
  <c r="AC645" i="3"/>
  <c r="S645" i="3"/>
  <c r="Q645" i="3"/>
  <c r="S644" i="3"/>
  <c r="Q644" i="3"/>
  <c r="AF643" i="3"/>
  <c r="AC643" i="3"/>
  <c r="S643" i="3"/>
  <c r="AD643" i="3" s="1"/>
  <c r="Q643" i="3"/>
  <c r="C642" i="3"/>
  <c r="AF641" i="3"/>
  <c r="AD641" i="3"/>
  <c r="AC641" i="3"/>
  <c r="S641" i="3"/>
  <c r="B490" i="6" s="1"/>
  <c r="Q641" i="3"/>
  <c r="AC640" i="3"/>
  <c r="S640" i="3"/>
  <c r="Q640" i="3"/>
  <c r="AF639" i="3"/>
  <c r="AC639" i="3"/>
  <c r="S639" i="3"/>
  <c r="AD639" i="3" s="1"/>
  <c r="Q639" i="3"/>
  <c r="AF638" i="3"/>
  <c r="AD638" i="3"/>
  <c r="AC638" i="3"/>
  <c r="S638" i="3"/>
  <c r="B483" i="6" s="1"/>
  <c r="Q483" i="6" s="1"/>
  <c r="Q638" i="3"/>
  <c r="S637" i="3"/>
  <c r="AF637" i="3" s="1"/>
  <c r="Q637" i="3"/>
  <c r="AF636" i="3"/>
  <c r="S636" i="3"/>
  <c r="Q636" i="3"/>
  <c r="AD635" i="3"/>
  <c r="S635" i="3"/>
  <c r="Q635" i="3"/>
  <c r="AD634" i="3"/>
  <c r="S634" i="3"/>
  <c r="AF634" i="3" s="1"/>
  <c r="Q634" i="3"/>
  <c r="AF633" i="3"/>
  <c r="AD633" i="3"/>
  <c r="AC633" i="3"/>
  <c r="S633" i="3"/>
  <c r="B493" i="6" s="1"/>
  <c r="Q633" i="3"/>
  <c r="S632" i="3"/>
  <c r="Q632" i="3"/>
  <c r="AF631" i="3"/>
  <c r="AC631" i="3"/>
  <c r="S631" i="3"/>
  <c r="B487" i="6" s="1"/>
  <c r="Q631" i="3"/>
  <c r="C630" i="3"/>
  <c r="AF629" i="3"/>
  <c r="AD629" i="3"/>
  <c r="AC629" i="3"/>
  <c r="S629" i="3"/>
  <c r="Q629" i="3"/>
  <c r="S628" i="3"/>
  <c r="Q628" i="3"/>
  <c r="C627" i="3"/>
  <c r="AD626" i="3"/>
  <c r="S626" i="3"/>
  <c r="B128" i="6" s="1"/>
  <c r="Q626" i="3"/>
  <c r="AF625" i="3"/>
  <c r="AD625" i="3"/>
  <c r="AC625" i="3"/>
  <c r="S625" i="3"/>
  <c r="Q625" i="3"/>
  <c r="AC624" i="3"/>
  <c r="S624" i="3"/>
  <c r="B30" i="6" s="1"/>
  <c r="Q624" i="3"/>
  <c r="AF622" i="3"/>
  <c r="AC622" i="3"/>
  <c r="S622" i="3"/>
  <c r="B129" i="6" s="1"/>
  <c r="Q622" i="3"/>
  <c r="AF621" i="3"/>
  <c r="AD621" i="3"/>
  <c r="AC621" i="3"/>
  <c r="S621" i="3"/>
  <c r="B120" i="6" s="1"/>
  <c r="D120" i="6" s="1"/>
  <c r="Q621" i="3"/>
  <c r="S620" i="3"/>
  <c r="Q620" i="3"/>
  <c r="S619" i="3"/>
  <c r="Q619" i="3"/>
  <c r="AD618" i="3"/>
  <c r="AC618" i="3"/>
  <c r="S618" i="3"/>
  <c r="AF618" i="3" s="1"/>
  <c r="Q618" i="3"/>
  <c r="AD617" i="3"/>
  <c r="S617" i="3"/>
  <c r="B42" i="6" s="1"/>
  <c r="V42" i="6" s="1"/>
  <c r="Q617" i="3"/>
  <c r="AF616" i="3"/>
  <c r="AD616" i="3"/>
  <c r="AC616" i="3"/>
  <c r="S616" i="3"/>
  <c r="B20" i="6" s="1"/>
  <c r="V20" i="6" s="1"/>
  <c r="Q616" i="3"/>
  <c r="AC615" i="3"/>
  <c r="S615" i="3"/>
  <c r="Q615" i="3"/>
  <c r="AF614" i="3"/>
  <c r="AC614" i="3"/>
  <c r="S614" i="3"/>
  <c r="AD614" i="3" s="1"/>
  <c r="Q614" i="3"/>
  <c r="AF612" i="3"/>
  <c r="AD612" i="3"/>
  <c r="AC612" i="3"/>
  <c r="S612" i="3"/>
  <c r="Q612" i="3"/>
  <c r="S611" i="3"/>
  <c r="Q611" i="3"/>
  <c r="S610" i="3"/>
  <c r="B204" i="6" s="1"/>
  <c r="Q610" i="3"/>
  <c r="AD609" i="3"/>
  <c r="AC609" i="3"/>
  <c r="S609" i="3"/>
  <c r="Q609" i="3"/>
  <c r="AD608" i="3"/>
  <c r="S608" i="3"/>
  <c r="B144" i="6" s="1"/>
  <c r="Q608" i="3"/>
  <c r="AF607" i="3"/>
  <c r="AD607" i="3"/>
  <c r="AC607" i="3"/>
  <c r="S607" i="3"/>
  <c r="Q607" i="3"/>
  <c r="S606" i="3"/>
  <c r="Q606" i="3"/>
  <c r="AF605" i="3"/>
  <c r="AC605" i="3"/>
  <c r="S605" i="3"/>
  <c r="B127" i="6" s="1"/>
  <c r="Q605" i="3"/>
  <c r="AF604" i="3"/>
  <c r="AD604" i="3"/>
  <c r="AC604" i="3"/>
  <c r="S604" i="3"/>
  <c r="B121" i="6" s="1"/>
  <c r="Q604" i="3"/>
  <c r="AF603" i="3"/>
  <c r="S603" i="3"/>
  <c r="B111" i="6" s="1"/>
  <c r="Q603" i="3"/>
  <c r="AF602" i="3"/>
  <c r="S602" i="3"/>
  <c r="Q602" i="3"/>
  <c r="AD601" i="3"/>
  <c r="S601" i="3"/>
  <c r="Q601" i="3"/>
  <c r="AD600" i="3"/>
  <c r="S600" i="3"/>
  <c r="B72" i="6" s="1"/>
  <c r="E72" i="6" s="1"/>
  <c r="Q600" i="3"/>
  <c r="AF599" i="3"/>
  <c r="AD599" i="3"/>
  <c r="AC599" i="3"/>
  <c r="S599" i="3"/>
  <c r="B71" i="6" s="1"/>
  <c r="Q599" i="3"/>
  <c r="S598" i="3"/>
  <c r="Q598" i="3"/>
  <c r="AF597" i="3"/>
  <c r="AC597" i="3"/>
  <c r="S597" i="3"/>
  <c r="B62" i="6" s="1"/>
  <c r="D62" i="6" s="1"/>
  <c r="Q597" i="3"/>
  <c r="AF596" i="3"/>
  <c r="AD596" i="3"/>
  <c r="AC596" i="3"/>
  <c r="S596" i="3"/>
  <c r="Q596" i="3"/>
  <c r="AF595" i="3"/>
  <c r="S595" i="3"/>
  <c r="Q595" i="3"/>
  <c r="AF594" i="3"/>
  <c r="S594" i="3"/>
  <c r="Q594" i="3"/>
  <c r="S592" i="3"/>
  <c r="AF592" i="3" s="1"/>
  <c r="Q592" i="3"/>
  <c r="AD591" i="3"/>
  <c r="S591" i="3"/>
  <c r="B137" i="6" s="1"/>
  <c r="Q591" i="3"/>
  <c r="AF590" i="3"/>
  <c r="AD590" i="3"/>
  <c r="AC590" i="3"/>
  <c r="S590" i="3"/>
  <c r="B125" i="6" s="1"/>
  <c r="V125" i="6" s="1"/>
  <c r="Q590" i="3"/>
  <c r="AC589" i="3"/>
  <c r="S589" i="3"/>
  <c r="Q589" i="3"/>
  <c r="AF588" i="3"/>
  <c r="AC588" i="3"/>
  <c r="S588" i="3"/>
  <c r="B123" i="6" s="1"/>
  <c r="V123" i="6" s="1"/>
  <c r="Q588" i="3"/>
  <c r="AF587" i="3"/>
  <c r="AD587" i="3"/>
  <c r="AC587" i="3"/>
  <c r="S587" i="3"/>
  <c r="B116" i="6" s="1"/>
  <c r="Q587" i="3"/>
  <c r="S586" i="3"/>
  <c r="Q586" i="3"/>
  <c r="S585" i="3"/>
  <c r="B63" i="6" s="1"/>
  <c r="Q585" i="3"/>
  <c r="AD584" i="3"/>
  <c r="AC584" i="3"/>
  <c r="S584" i="3"/>
  <c r="AF584" i="3" s="1"/>
  <c r="Q584" i="3"/>
  <c r="AD583" i="3"/>
  <c r="S583" i="3"/>
  <c r="B33" i="6" s="1"/>
  <c r="E33" i="6" s="1"/>
  <c r="Q583" i="3"/>
  <c r="AF582" i="3"/>
  <c r="AD582" i="3"/>
  <c r="AC582" i="3"/>
  <c r="S582" i="3"/>
  <c r="B9" i="6" s="1"/>
  <c r="E9" i="6" s="1"/>
  <c r="Q582" i="3"/>
  <c r="AC581" i="3"/>
  <c r="S581" i="3"/>
  <c r="Q581" i="3"/>
  <c r="AF579" i="3"/>
  <c r="AC579" i="3"/>
  <c r="S579" i="3"/>
  <c r="B104" i="6" s="1"/>
  <c r="V104" i="6" s="1"/>
  <c r="Q579" i="3"/>
  <c r="AF577" i="3"/>
  <c r="AD577" i="3"/>
  <c r="AC577" i="3"/>
  <c r="S577" i="3"/>
  <c r="B152" i="6" s="1"/>
  <c r="V152" i="6" s="1"/>
  <c r="Q577" i="3"/>
  <c r="S575" i="3"/>
  <c r="Q575" i="3"/>
  <c r="S574" i="3"/>
  <c r="AF574" i="3" s="1"/>
  <c r="Q574" i="3"/>
  <c r="AD573" i="3"/>
  <c r="AC573" i="3"/>
  <c r="S573" i="3"/>
  <c r="Q573" i="3"/>
  <c r="AD572" i="3"/>
  <c r="S572" i="3"/>
  <c r="AF572" i="3" s="1"/>
  <c r="Q572" i="3"/>
  <c r="AF571" i="3"/>
  <c r="AD571" i="3"/>
  <c r="AC571" i="3"/>
  <c r="S571" i="3"/>
  <c r="Q571" i="3"/>
  <c r="S570" i="3"/>
  <c r="Q570" i="3"/>
  <c r="AF569" i="3"/>
  <c r="AC569" i="3"/>
  <c r="S569" i="3"/>
  <c r="B90" i="6" s="1"/>
  <c r="V90" i="6" s="1"/>
  <c r="Q569" i="3"/>
  <c r="AF568" i="3"/>
  <c r="AD568" i="3"/>
  <c r="AC568" i="3"/>
  <c r="S568" i="3"/>
  <c r="B89" i="6" s="1"/>
  <c r="Q568" i="3"/>
  <c r="AF567" i="3"/>
  <c r="S567" i="3"/>
  <c r="Q567" i="3"/>
  <c r="AF566" i="3"/>
  <c r="S566" i="3"/>
  <c r="Q566" i="3"/>
  <c r="AD565" i="3"/>
  <c r="S565" i="3"/>
  <c r="AF565" i="3" s="1"/>
  <c r="Q565" i="3"/>
  <c r="AD564" i="3"/>
  <c r="S564" i="3"/>
  <c r="B216" i="6" s="1"/>
  <c r="Q564" i="3"/>
  <c r="AF563" i="3"/>
  <c r="AD563" i="3"/>
  <c r="AC563" i="3"/>
  <c r="S563" i="3"/>
  <c r="B57" i="6" s="1"/>
  <c r="Q563" i="3"/>
  <c r="S562" i="3"/>
  <c r="Q562" i="3"/>
  <c r="AF561" i="3"/>
  <c r="AC561" i="3"/>
  <c r="S561" i="3"/>
  <c r="B55" i="6" s="1"/>
  <c r="V55" i="6" s="1"/>
  <c r="Q561" i="3"/>
  <c r="AF560" i="3"/>
  <c r="AD560" i="3"/>
  <c r="AC560" i="3"/>
  <c r="S560" i="3"/>
  <c r="Q560" i="3"/>
  <c r="C559" i="3"/>
  <c r="S558" i="3"/>
  <c r="Q558" i="3"/>
  <c r="AF556" i="3"/>
  <c r="AC556" i="3"/>
  <c r="S556" i="3"/>
  <c r="B293" i="6" s="1"/>
  <c r="Q556" i="3"/>
  <c r="AF555" i="3"/>
  <c r="AD555" i="3"/>
  <c r="AC555" i="3"/>
  <c r="S555" i="3"/>
  <c r="B43" i="6" s="1"/>
  <c r="D43" i="6" s="1"/>
  <c r="Q555" i="3"/>
  <c r="AF554" i="3"/>
  <c r="S554" i="3"/>
  <c r="Q554" i="3"/>
  <c r="AF553" i="3"/>
  <c r="S553" i="3"/>
  <c r="Q553" i="3"/>
  <c r="AD551" i="3"/>
  <c r="S551" i="3"/>
  <c r="Q551" i="3"/>
  <c r="AD550" i="3"/>
  <c r="S550" i="3"/>
  <c r="B291" i="6" s="1"/>
  <c r="Q550" i="3"/>
  <c r="AF549" i="3"/>
  <c r="AD549" i="3"/>
  <c r="AC549" i="3"/>
  <c r="S549" i="3"/>
  <c r="B284" i="6" s="1"/>
  <c r="Q284" i="6" s="1"/>
  <c r="Q549" i="3"/>
  <c r="S548" i="3"/>
  <c r="AC548" i="3" s="1"/>
  <c r="Q548" i="3"/>
  <c r="AF547" i="3"/>
  <c r="AC547" i="3"/>
  <c r="S547" i="3"/>
  <c r="B280" i="6" s="1"/>
  <c r="V280" i="6" s="1"/>
  <c r="Q547" i="3"/>
  <c r="AF546" i="3"/>
  <c r="AD546" i="3"/>
  <c r="AC546" i="3"/>
  <c r="S546" i="3"/>
  <c r="B279" i="6" s="1"/>
  <c r="Q546" i="3"/>
  <c r="AF545" i="3"/>
  <c r="S545" i="3"/>
  <c r="Q545" i="3"/>
  <c r="S544" i="3"/>
  <c r="Q544" i="3"/>
  <c r="AC543" i="3"/>
  <c r="S543" i="3"/>
  <c r="Q543" i="3"/>
  <c r="AD542" i="3"/>
  <c r="S542" i="3"/>
  <c r="AF542" i="3" s="1"/>
  <c r="Q542" i="3"/>
  <c r="AF541" i="3"/>
  <c r="AD541" i="3"/>
  <c r="AC541" i="3"/>
  <c r="S541" i="3"/>
  <c r="B119" i="6" s="1"/>
  <c r="Q541" i="3"/>
  <c r="AC540" i="3"/>
  <c r="S540" i="3"/>
  <c r="Q540" i="3"/>
  <c r="AF539" i="3"/>
  <c r="AC539" i="3"/>
  <c r="S539" i="3"/>
  <c r="B28" i="6" s="1"/>
  <c r="Q539" i="3"/>
  <c r="AF538" i="3"/>
  <c r="AD538" i="3"/>
  <c r="AC538" i="3"/>
  <c r="S538" i="3"/>
  <c r="B27" i="6" s="1"/>
  <c r="V27" i="6" s="1"/>
  <c r="Q538" i="3"/>
  <c r="S536" i="3"/>
  <c r="Q536" i="3"/>
  <c r="S535" i="3"/>
  <c r="Q535" i="3"/>
  <c r="AD534" i="3"/>
  <c r="AC534" i="3"/>
  <c r="S534" i="3"/>
  <c r="AF534" i="3" s="1"/>
  <c r="Q534" i="3"/>
  <c r="AD533" i="3"/>
  <c r="S533" i="3"/>
  <c r="AF533" i="3" s="1"/>
  <c r="Q533" i="3"/>
  <c r="AF532" i="3"/>
  <c r="AD532" i="3"/>
  <c r="AC532" i="3"/>
  <c r="S532" i="3"/>
  <c r="B185" i="6" s="1"/>
  <c r="Q532" i="3"/>
  <c r="AC531" i="3"/>
  <c r="S531" i="3"/>
  <c r="Q531" i="3"/>
  <c r="AF530" i="3"/>
  <c r="AC530" i="3"/>
  <c r="S530" i="3"/>
  <c r="B147" i="6" s="1"/>
  <c r="Q530" i="3"/>
  <c r="AF529" i="3"/>
  <c r="AD529" i="3"/>
  <c r="AC529" i="3"/>
  <c r="S529" i="3"/>
  <c r="B146" i="6" s="1"/>
  <c r="Q529" i="3"/>
  <c r="S528" i="3"/>
  <c r="AF528" i="3" s="1"/>
  <c r="Q528" i="3"/>
  <c r="AF527" i="3"/>
  <c r="S527" i="3"/>
  <c r="Q527" i="3"/>
  <c r="AD526" i="3"/>
  <c r="S526" i="3"/>
  <c r="Q526" i="3"/>
  <c r="AD525" i="3"/>
  <c r="S525" i="3"/>
  <c r="B115" i="6" s="1"/>
  <c r="D115" i="6" s="1"/>
  <c r="Q525" i="3"/>
  <c r="AF524" i="3"/>
  <c r="AD524" i="3"/>
  <c r="AC524" i="3"/>
  <c r="S524" i="3"/>
  <c r="B114" i="6" s="1"/>
  <c r="Q524" i="3"/>
  <c r="S523" i="3"/>
  <c r="Q523" i="3"/>
  <c r="AF522" i="3"/>
  <c r="AC522" i="3"/>
  <c r="S522" i="3"/>
  <c r="B112" i="6" s="1"/>
  <c r="Q522" i="3"/>
  <c r="AF521" i="3"/>
  <c r="AD521" i="3"/>
  <c r="AC521" i="3"/>
  <c r="S521" i="3"/>
  <c r="B109" i="6" s="1"/>
  <c r="D109" i="6" s="1"/>
  <c r="Q521" i="3"/>
  <c r="AF520" i="3"/>
  <c r="S520" i="3"/>
  <c r="Q520" i="3"/>
  <c r="AF519" i="3"/>
  <c r="S519" i="3"/>
  <c r="Q519" i="3"/>
  <c r="AD518" i="3"/>
  <c r="S518" i="3"/>
  <c r="Q518" i="3"/>
  <c r="AD517" i="3"/>
  <c r="S517" i="3"/>
  <c r="AF517" i="3" s="1"/>
  <c r="Q517" i="3"/>
  <c r="AF516" i="3"/>
  <c r="AD516" i="3"/>
  <c r="AC516" i="3"/>
  <c r="S516" i="3"/>
  <c r="B47" i="6" s="1"/>
  <c r="D47" i="6" s="1"/>
  <c r="Q516" i="3"/>
  <c r="S515" i="3"/>
  <c r="AC515" i="3" s="1"/>
  <c r="Q515" i="3"/>
  <c r="AF514" i="3"/>
  <c r="AC514" i="3"/>
  <c r="S514" i="3"/>
  <c r="AD514" i="3" s="1"/>
  <c r="Q514" i="3"/>
  <c r="AF513" i="3"/>
  <c r="AD513" i="3"/>
  <c r="AC513" i="3"/>
  <c r="S513" i="3"/>
  <c r="B40" i="6" s="1"/>
  <c r="D40" i="6" s="1"/>
  <c r="Q513" i="3"/>
  <c r="AF512" i="3"/>
  <c r="S512" i="3"/>
  <c r="Q512" i="3"/>
  <c r="S511" i="3"/>
  <c r="Q511" i="3"/>
  <c r="AC510" i="3"/>
  <c r="S510" i="3"/>
  <c r="Q510" i="3"/>
  <c r="AD509" i="3"/>
  <c r="S509" i="3"/>
  <c r="AF509" i="3" s="1"/>
  <c r="Q509" i="3"/>
  <c r="AF507" i="3"/>
  <c r="AD507" i="3"/>
  <c r="AC507" i="3"/>
  <c r="S507" i="3"/>
  <c r="B143" i="6" s="1"/>
  <c r="D143" i="6" s="1"/>
  <c r="Q507" i="3"/>
  <c r="AC506" i="3"/>
  <c r="S506" i="3"/>
  <c r="Q506" i="3"/>
  <c r="AF505" i="3"/>
  <c r="AC505" i="3"/>
  <c r="S505" i="3"/>
  <c r="AD505" i="3" s="1"/>
  <c r="Q505" i="3"/>
  <c r="AF504" i="3"/>
  <c r="AD504" i="3"/>
  <c r="AC504" i="3"/>
  <c r="S504" i="3"/>
  <c r="B75" i="6" s="1"/>
  <c r="Q504" i="3"/>
  <c r="S503" i="3"/>
  <c r="Q503" i="3"/>
  <c r="S502" i="3"/>
  <c r="Q502" i="3"/>
  <c r="AD501" i="3"/>
  <c r="AC501" i="3"/>
  <c r="S501" i="3"/>
  <c r="AF501" i="3" s="1"/>
  <c r="Q501" i="3"/>
  <c r="AD500" i="3"/>
  <c r="S500" i="3"/>
  <c r="B10" i="6" s="1"/>
  <c r="E10" i="6" s="1"/>
  <c r="Q500" i="3"/>
  <c r="AF499" i="3"/>
  <c r="AD499" i="3"/>
  <c r="AC499" i="3"/>
  <c r="S499" i="3"/>
  <c r="Q499" i="3"/>
  <c r="AC497" i="3"/>
  <c r="S497" i="3"/>
  <c r="Q497" i="3"/>
  <c r="AF496" i="3"/>
  <c r="AC496" i="3"/>
  <c r="S496" i="3"/>
  <c r="AD496" i="3" s="1"/>
  <c r="Q496" i="3"/>
  <c r="AF494" i="3"/>
  <c r="AD494" i="3"/>
  <c r="AC494" i="3"/>
  <c r="S494" i="3"/>
  <c r="B102" i="6" s="1"/>
  <c r="G102" i="6" s="1"/>
  <c r="Q494" i="3"/>
  <c r="S493" i="3"/>
  <c r="AF493" i="3" s="1"/>
  <c r="Q493" i="3"/>
  <c r="AF491" i="3"/>
  <c r="S491" i="3"/>
  <c r="Q491" i="3"/>
  <c r="AD490" i="3"/>
  <c r="S490" i="3"/>
  <c r="Q490" i="3"/>
  <c r="AD489" i="3"/>
  <c r="S489" i="3"/>
  <c r="B98" i="6" s="1"/>
  <c r="I98" i="6" s="1"/>
  <c r="Q489" i="3"/>
  <c r="AF488" i="3"/>
  <c r="AD488" i="3"/>
  <c r="AC488" i="3"/>
  <c r="S488" i="3"/>
  <c r="Q488" i="3"/>
  <c r="S487" i="3"/>
  <c r="Q487" i="3"/>
  <c r="AF486" i="3"/>
  <c r="AC486" i="3"/>
  <c r="S486" i="3"/>
  <c r="AD486" i="3" s="1"/>
  <c r="Q486" i="3"/>
  <c r="AF485" i="3"/>
  <c r="AD485" i="3"/>
  <c r="AC485" i="3"/>
  <c r="S485" i="3"/>
  <c r="B86" i="6" s="1"/>
  <c r="K86" i="6" s="1"/>
  <c r="Q485" i="3"/>
  <c r="AF484" i="3"/>
  <c r="S484" i="3"/>
  <c r="Q484" i="3"/>
  <c r="AF483" i="3"/>
  <c r="S483" i="3"/>
  <c r="Q483" i="3"/>
  <c r="AD482" i="3"/>
  <c r="S482" i="3"/>
  <c r="Q482" i="3"/>
  <c r="AD481" i="3"/>
  <c r="S481" i="3"/>
  <c r="AF481" i="3" s="1"/>
  <c r="Q481" i="3"/>
  <c r="AF480" i="3"/>
  <c r="AD480" i="3"/>
  <c r="AC480" i="3"/>
  <c r="S480" i="3"/>
  <c r="B81" i="6" s="1"/>
  <c r="Q480" i="3"/>
  <c r="S479" i="3"/>
  <c r="AC479" i="3" s="1"/>
  <c r="Q479" i="3"/>
  <c r="AF478" i="3"/>
  <c r="AC478" i="3"/>
  <c r="S478" i="3"/>
  <c r="B79" i="6" s="1"/>
  <c r="V79" i="6" s="1"/>
  <c r="Q478" i="3"/>
  <c r="AF477" i="3"/>
  <c r="AD477" i="3"/>
  <c r="AC477" i="3"/>
  <c r="S477" i="3"/>
  <c r="B78" i="6" s="1"/>
  <c r="V78" i="6" s="1"/>
  <c r="Q477" i="3"/>
  <c r="AF476" i="3"/>
  <c r="S476" i="3"/>
  <c r="Q476" i="3"/>
  <c r="S475" i="3"/>
  <c r="Q475" i="3"/>
  <c r="S474" i="3"/>
  <c r="Q474" i="3"/>
  <c r="AD473" i="3"/>
  <c r="S473" i="3"/>
  <c r="B66" i="6" s="1"/>
  <c r="M66" i="6" s="1"/>
  <c r="Q473" i="3"/>
  <c r="AF472" i="3"/>
  <c r="AD472" i="3"/>
  <c r="AC472" i="3"/>
  <c r="S472" i="3"/>
  <c r="B65" i="6" s="1"/>
  <c r="Q472" i="3"/>
  <c r="AD471" i="3"/>
  <c r="S471" i="3"/>
  <c r="Q471" i="3"/>
  <c r="AF470" i="3"/>
  <c r="AC470" i="3"/>
  <c r="S470" i="3"/>
  <c r="AD470" i="3" s="1"/>
  <c r="Q470" i="3"/>
  <c r="AF469" i="3"/>
  <c r="AD469" i="3"/>
  <c r="AC469" i="3"/>
  <c r="S469" i="3"/>
  <c r="B59" i="6" s="1"/>
  <c r="Q469" i="3"/>
  <c r="AF468" i="3"/>
  <c r="AC468" i="3"/>
  <c r="S468" i="3"/>
  <c r="Q468" i="3"/>
  <c r="S466" i="3"/>
  <c r="AF466" i="3" s="1"/>
  <c r="Q466" i="3"/>
  <c r="AF465" i="3"/>
  <c r="AD465" i="3"/>
  <c r="S465" i="3"/>
  <c r="B227" i="6" s="1"/>
  <c r="Q465" i="3"/>
  <c r="S464" i="3"/>
  <c r="AD464" i="3" s="1"/>
  <c r="Q464" i="3"/>
  <c r="C463" i="3"/>
  <c r="AF462" i="3"/>
  <c r="S462" i="3"/>
  <c r="Q462" i="3"/>
  <c r="AD461" i="3"/>
  <c r="S461" i="3"/>
  <c r="B346" i="6" s="1"/>
  <c r="Q461" i="3"/>
  <c r="S460" i="3"/>
  <c r="Q460" i="3"/>
  <c r="AF459" i="3"/>
  <c r="AD459" i="3"/>
  <c r="AC459" i="3"/>
  <c r="S459" i="3"/>
  <c r="B344" i="6" s="1"/>
  <c r="Q459" i="3"/>
  <c r="AD457" i="3"/>
  <c r="AC457" i="3"/>
  <c r="S457" i="3"/>
  <c r="Q457" i="3"/>
  <c r="AF455" i="3"/>
  <c r="AC455" i="3"/>
  <c r="S455" i="3"/>
  <c r="B472" i="6" s="1"/>
  <c r="D472" i="6" s="1"/>
  <c r="Q455" i="3"/>
  <c r="AD454" i="3"/>
  <c r="S454" i="3"/>
  <c r="B458" i="6" s="1"/>
  <c r="Q454" i="3"/>
  <c r="S453" i="3"/>
  <c r="AD453" i="3" s="1"/>
  <c r="Q453" i="3"/>
  <c r="AF451" i="3"/>
  <c r="S451" i="3"/>
  <c r="Q451" i="3"/>
  <c r="AD450" i="3"/>
  <c r="AC450" i="3"/>
  <c r="S450" i="3"/>
  <c r="B468" i="6" s="1"/>
  <c r="D468" i="6" s="1"/>
  <c r="Q450" i="3"/>
  <c r="S449" i="3"/>
  <c r="Q449" i="3"/>
  <c r="AF448" i="3"/>
  <c r="AD448" i="3"/>
  <c r="AC448" i="3"/>
  <c r="S448" i="3"/>
  <c r="Q448" i="3"/>
  <c r="S446" i="3"/>
  <c r="AF446" i="3" s="1"/>
  <c r="Q446" i="3"/>
  <c r="AF444" i="3"/>
  <c r="AC444" i="3"/>
  <c r="S444" i="3"/>
  <c r="B456" i="6" s="1"/>
  <c r="Q444" i="3"/>
  <c r="AF443" i="3"/>
  <c r="AD443" i="3"/>
  <c r="AC443" i="3"/>
  <c r="S443" i="3"/>
  <c r="B455" i="6" s="1"/>
  <c r="V455" i="6" s="1"/>
  <c r="Q443" i="3"/>
  <c r="AF441" i="3"/>
  <c r="S441" i="3"/>
  <c r="Q441" i="3"/>
  <c r="AF440" i="3"/>
  <c r="AD440" i="3"/>
  <c r="S440" i="3"/>
  <c r="Q440" i="3"/>
  <c r="AF439" i="3"/>
  <c r="AD439" i="3"/>
  <c r="AC439" i="3"/>
  <c r="S439" i="3"/>
  <c r="B473" i="6" s="1"/>
  <c r="V473" i="6" s="1"/>
  <c r="Q439" i="3"/>
  <c r="AD438" i="3"/>
  <c r="S438" i="3"/>
  <c r="Q438" i="3"/>
  <c r="AF436" i="3"/>
  <c r="AD436" i="3"/>
  <c r="AC436" i="3"/>
  <c r="S436" i="3"/>
  <c r="B480" i="6" s="1"/>
  <c r="Q436" i="3"/>
  <c r="AD435" i="3"/>
  <c r="S435" i="3"/>
  <c r="Q435" i="3"/>
  <c r="AF434" i="3"/>
  <c r="AC434" i="3"/>
  <c r="S434" i="3"/>
  <c r="B476" i="6" s="1"/>
  <c r="Q434" i="3"/>
  <c r="C433" i="3"/>
  <c r="AF432" i="3"/>
  <c r="AD432" i="3"/>
  <c r="AC432" i="3"/>
  <c r="S432" i="3"/>
  <c r="B385" i="6" s="1"/>
  <c r="V385" i="6" s="1"/>
  <c r="Q432" i="3"/>
  <c r="S431" i="3"/>
  <c r="AD431" i="3" s="1"/>
  <c r="Q431" i="3"/>
  <c r="AF429" i="3"/>
  <c r="AC429" i="3"/>
  <c r="S429" i="3"/>
  <c r="B402" i="6" s="1"/>
  <c r="V402" i="6" s="1"/>
  <c r="Q429" i="3"/>
  <c r="AF427" i="3"/>
  <c r="AD427" i="3"/>
  <c r="AC427" i="3"/>
  <c r="S427" i="3"/>
  <c r="B401" i="6" s="1"/>
  <c r="Q427" i="3"/>
  <c r="AF426" i="3"/>
  <c r="S426" i="3"/>
  <c r="AD426" i="3" s="1"/>
  <c r="Q426" i="3"/>
  <c r="AF425" i="3"/>
  <c r="AD425" i="3"/>
  <c r="S425" i="3"/>
  <c r="Q425" i="3"/>
  <c r="AF423" i="3"/>
  <c r="AD423" i="3"/>
  <c r="AC423" i="3"/>
  <c r="S423" i="3"/>
  <c r="B384" i="6" s="1"/>
  <c r="Q423" i="3"/>
  <c r="AD422" i="3"/>
  <c r="S422" i="3"/>
  <c r="Q422" i="3"/>
  <c r="AF421" i="3"/>
  <c r="AD421" i="3"/>
  <c r="AC421" i="3"/>
  <c r="S421" i="3"/>
  <c r="B380" i="6" s="1"/>
  <c r="Q380" i="6" s="1"/>
  <c r="Q421" i="3"/>
  <c r="AD419" i="3"/>
  <c r="S419" i="3"/>
  <c r="Q419" i="3"/>
  <c r="AF418" i="3"/>
  <c r="AC418" i="3"/>
  <c r="S418" i="3"/>
  <c r="B381" i="6" s="1"/>
  <c r="Q418" i="3"/>
  <c r="AF417" i="3"/>
  <c r="S417" i="3"/>
  <c r="B379" i="6" s="1"/>
  <c r="Q417" i="3"/>
  <c r="AF415" i="3"/>
  <c r="S415" i="3"/>
  <c r="AD415" i="3" s="1"/>
  <c r="Q415" i="3"/>
  <c r="S414" i="3"/>
  <c r="Q414" i="3"/>
  <c r="S412" i="3"/>
  <c r="AF412" i="3" s="1"/>
  <c r="Q412" i="3"/>
  <c r="S411" i="3"/>
  <c r="Q411" i="3"/>
  <c r="AF410" i="3"/>
  <c r="AD410" i="3"/>
  <c r="AC410" i="3"/>
  <c r="S410" i="3"/>
  <c r="B409" i="6" s="1"/>
  <c r="K409" i="6" s="1"/>
  <c r="Q410" i="3"/>
  <c r="C409" i="3"/>
  <c r="AF408" i="3"/>
  <c r="AD408" i="3"/>
  <c r="AC408" i="3"/>
  <c r="S408" i="3"/>
  <c r="B418" i="6" s="1"/>
  <c r="Q408" i="3"/>
  <c r="AD406" i="3"/>
  <c r="S406" i="3"/>
  <c r="Q406" i="3"/>
  <c r="AF405" i="3"/>
  <c r="AD405" i="3"/>
  <c r="AC405" i="3"/>
  <c r="S405" i="3"/>
  <c r="B416" i="6" s="1"/>
  <c r="Q405" i="3"/>
  <c r="AD404" i="3"/>
  <c r="S404" i="3"/>
  <c r="Q404" i="3"/>
  <c r="AF402" i="3"/>
  <c r="AC402" i="3"/>
  <c r="S402" i="3"/>
  <c r="B423" i="6" s="1"/>
  <c r="V423" i="6" s="1"/>
  <c r="Q402" i="3"/>
  <c r="AF401" i="3"/>
  <c r="S401" i="3"/>
  <c r="B422" i="6" s="1"/>
  <c r="Q401" i="3"/>
  <c r="AF400" i="3"/>
  <c r="S400" i="3"/>
  <c r="Q400" i="3"/>
  <c r="S398" i="3"/>
  <c r="Q398" i="3"/>
  <c r="S397" i="3"/>
  <c r="B417" i="6" s="1"/>
  <c r="K417" i="6" s="1"/>
  <c r="Q397" i="3"/>
  <c r="S396" i="3"/>
  <c r="Q396" i="3"/>
  <c r="AF394" i="3"/>
  <c r="AD394" i="3"/>
  <c r="AC394" i="3"/>
  <c r="S394" i="3"/>
  <c r="B420" i="6" s="1"/>
  <c r="V420" i="6" s="1"/>
  <c r="Q394" i="3"/>
  <c r="AD393" i="3"/>
  <c r="AC393" i="3"/>
  <c r="S393" i="3"/>
  <c r="Q393" i="3"/>
  <c r="AF392" i="3"/>
  <c r="AC392" i="3"/>
  <c r="S392" i="3"/>
  <c r="B413" i="6" s="1"/>
  <c r="V413" i="6" s="1"/>
  <c r="Q392" i="3"/>
  <c r="AF390" i="3"/>
  <c r="AD390" i="3"/>
  <c r="S390" i="3"/>
  <c r="B427" i="6" s="1"/>
  <c r="P427" i="6" s="1"/>
  <c r="Q390" i="3"/>
  <c r="AF389" i="3"/>
  <c r="AC389" i="3"/>
  <c r="S389" i="3"/>
  <c r="Q389" i="3"/>
  <c r="AF388" i="3"/>
  <c r="S388" i="3"/>
  <c r="Q388" i="3"/>
  <c r="AD387" i="3"/>
  <c r="S387" i="3"/>
  <c r="B424" i="6" s="1"/>
  <c r="Q387" i="3"/>
  <c r="S386" i="3"/>
  <c r="Q386" i="3"/>
  <c r="AF385" i="3"/>
  <c r="AD385" i="3"/>
  <c r="AC385" i="3"/>
  <c r="S385" i="3"/>
  <c r="Q385" i="3"/>
  <c r="AD384" i="3"/>
  <c r="AC384" i="3"/>
  <c r="S384" i="3"/>
  <c r="Q384" i="3"/>
  <c r="AF383" i="3"/>
  <c r="AC383" i="3"/>
  <c r="S383" i="3"/>
  <c r="AD383" i="3" s="1"/>
  <c r="Q383" i="3"/>
  <c r="C382" i="3"/>
  <c r="AF381" i="3"/>
  <c r="AD381" i="3"/>
  <c r="AC381" i="3"/>
  <c r="S381" i="3"/>
  <c r="B22" i="6" s="1"/>
  <c r="Q381" i="3"/>
  <c r="AD380" i="3"/>
  <c r="AC380" i="3"/>
  <c r="S380" i="3"/>
  <c r="Q380" i="3"/>
  <c r="AF378" i="3"/>
  <c r="AC378" i="3"/>
  <c r="S378" i="3"/>
  <c r="B48" i="6" s="1"/>
  <c r="D48" i="6" s="1"/>
  <c r="Q378" i="3"/>
  <c r="AF377" i="3"/>
  <c r="AD377" i="3"/>
  <c r="S377" i="3"/>
  <c r="B46" i="6" s="1"/>
  <c r="Q377" i="3"/>
  <c r="AF376" i="3"/>
  <c r="AC376" i="3"/>
  <c r="S376" i="3"/>
  <c r="AD376" i="3" s="1"/>
  <c r="Q376" i="3"/>
  <c r="AF375" i="3"/>
  <c r="S375" i="3"/>
  <c r="Q375" i="3"/>
  <c r="AD374" i="3"/>
  <c r="S374" i="3"/>
  <c r="B25" i="6" s="1"/>
  <c r="D25" i="6" s="1"/>
  <c r="Q374" i="3"/>
  <c r="S373" i="3"/>
  <c r="Q373" i="3"/>
  <c r="AF371" i="3"/>
  <c r="AD371" i="3"/>
  <c r="AC371" i="3"/>
  <c r="S371" i="3"/>
  <c r="B145" i="6" s="1"/>
  <c r="D145" i="6" s="1"/>
  <c r="Q371" i="3"/>
  <c r="AD370" i="3"/>
  <c r="AC370" i="3"/>
  <c r="S370" i="3"/>
  <c r="AF370" i="3" s="1"/>
  <c r="Q370" i="3"/>
  <c r="AF369" i="3"/>
  <c r="AC369" i="3"/>
  <c r="S369" i="3"/>
  <c r="B37" i="6" s="1"/>
  <c r="Q369" i="3"/>
  <c r="AD367" i="3"/>
  <c r="S367" i="3"/>
  <c r="B103" i="6" s="1"/>
  <c r="Q367" i="3"/>
  <c r="S365" i="3"/>
  <c r="Q365" i="3"/>
  <c r="AF364" i="3"/>
  <c r="S364" i="3"/>
  <c r="Q364" i="3"/>
  <c r="AD363" i="3"/>
  <c r="AC363" i="3"/>
  <c r="S363" i="3"/>
  <c r="B51" i="6" s="1"/>
  <c r="Q363" i="3"/>
  <c r="S362" i="3"/>
  <c r="Q362" i="3"/>
  <c r="C361" i="3"/>
  <c r="AF360" i="3"/>
  <c r="AD360" i="3"/>
  <c r="S360" i="3"/>
  <c r="Q360" i="3"/>
  <c r="AF359" i="3"/>
  <c r="AD359" i="3"/>
  <c r="AC359" i="3"/>
  <c r="S359" i="3"/>
  <c r="B434" i="6" s="1"/>
  <c r="Q359" i="3"/>
  <c r="AD357" i="3"/>
  <c r="S357" i="3"/>
  <c r="Q357" i="3"/>
  <c r="AF356" i="3"/>
  <c r="AD356" i="3"/>
  <c r="AC356" i="3"/>
  <c r="S356" i="3"/>
  <c r="B432" i="6" s="1"/>
  <c r="Q356" i="3"/>
  <c r="AD355" i="3"/>
  <c r="S355" i="3"/>
  <c r="Q355" i="3"/>
  <c r="AF353" i="3"/>
  <c r="AC353" i="3"/>
  <c r="S353" i="3"/>
  <c r="B444" i="6" s="1"/>
  <c r="Q353" i="3"/>
  <c r="AF352" i="3"/>
  <c r="AD352" i="3"/>
  <c r="AC352" i="3"/>
  <c r="S352" i="3"/>
  <c r="B443" i="6" s="1"/>
  <c r="Q352" i="3"/>
  <c r="AF351" i="3"/>
  <c r="S351" i="3"/>
  <c r="Q351" i="3"/>
  <c r="AF350" i="3"/>
  <c r="AD350" i="3"/>
  <c r="S350" i="3"/>
  <c r="Q350" i="3"/>
  <c r="AF348" i="3"/>
  <c r="S348" i="3"/>
  <c r="B445" i="6" s="1"/>
  <c r="G445" i="6" s="1"/>
  <c r="Q348" i="3"/>
  <c r="AD346" i="3"/>
  <c r="S346" i="3"/>
  <c r="Q346" i="3"/>
  <c r="AF345" i="3"/>
  <c r="AD345" i="3"/>
  <c r="AC345" i="3"/>
  <c r="S345" i="3"/>
  <c r="B436" i="6" s="1"/>
  <c r="Q345" i="3"/>
  <c r="AD343" i="3"/>
  <c r="S343" i="3"/>
  <c r="Q343" i="3"/>
  <c r="AF342" i="3"/>
  <c r="AC342" i="3"/>
  <c r="S342" i="3"/>
  <c r="B439" i="6" s="1"/>
  <c r="Q342" i="3"/>
  <c r="S341" i="3"/>
  <c r="B438" i="6" s="1"/>
  <c r="M438" i="6" s="1"/>
  <c r="Q341" i="3"/>
  <c r="AF340" i="3"/>
  <c r="AC340" i="3"/>
  <c r="S340" i="3"/>
  <c r="Q340" i="3"/>
  <c r="C339" i="3"/>
  <c r="AF338" i="3"/>
  <c r="AC338" i="3"/>
  <c r="S338" i="3"/>
  <c r="AD338" i="3" s="1"/>
  <c r="Q338" i="3"/>
  <c r="AF337" i="3"/>
  <c r="AD337" i="3"/>
  <c r="AC337" i="3"/>
  <c r="S337" i="3"/>
  <c r="B429" i="6" s="1"/>
  <c r="Q337" i="3"/>
  <c r="AF336" i="3"/>
  <c r="S336" i="3"/>
  <c r="Q336" i="3"/>
  <c r="AF335" i="3"/>
  <c r="AD335" i="3"/>
  <c r="S335" i="3"/>
  <c r="Q335" i="3"/>
  <c r="AF334" i="3"/>
  <c r="S334" i="3"/>
  <c r="B319" i="6" s="1"/>
  <c r="Q334" i="3"/>
  <c r="AD333" i="3"/>
  <c r="S333" i="3"/>
  <c r="Q333" i="3"/>
  <c r="AF332" i="3"/>
  <c r="AD332" i="3"/>
  <c r="AC332" i="3"/>
  <c r="S332" i="3"/>
  <c r="B315" i="6" s="1"/>
  <c r="Q315" i="6" s="1"/>
  <c r="Q332" i="3"/>
  <c r="AD331" i="3"/>
  <c r="S331" i="3"/>
  <c r="Q331" i="3"/>
  <c r="AF330" i="3"/>
  <c r="AC330" i="3"/>
  <c r="S330" i="3"/>
  <c r="B298" i="6" s="1"/>
  <c r="Q330" i="3"/>
  <c r="S329" i="3"/>
  <c r="B358" i="6" s="1"/>
  <c r="Q329" i="3"/>
  <c r="AF328" i="3"/>
  <c r="AC328" i="3"/>
  <c r="S328" i="3"/>
  <c r="Q328" i="3"/>
  <c r="S327" i="3"/>
  <c r="AF327" i="3" s="1"/>
  <c r="Q327" i="3"/>
  <c r="AF326" i="3"/>
  <c r="AD326" i="3"/>
  <c r="S326" i="3"/>
  <c r="B313" i="6" s="1"/>
  <c r="Q326" i="3"/>
  <c r="S325" i="3"/>
  <c r="AD325" i="3" s="1"/>
  <c r="Q325" i="3"/>
  <c r="AF324" i="3"/>
  <c r="AD324" i="3"/>
  <c r="AC324" i="3"/>
  <c r="S324" i="3"/>
  <c r="Q324" i="3"/>
  <c r="AD323" i="3"/>
  <c r="AC323" i="3"/>
  <c r="S323" i="3"/>
  <c r="Q323" i="3"/>
  <c r="AF322" i="3"/>
  <c r="AC322" i="3"/>
  <c r="S322" i="3"/>
  <c r="B179" i="6" s="1"/>
  <c r="Q322" i="3"/>
  <c r="AD321" i="3"/>
  <c r="S321" i="3"/>
  <c r="B269" i="6" s="1"/>
  <c r="Q321" i="3"/>
  <c r="AF320" i="3"/>
  <c r="AC320" i="3"/>
  <c r="S320" i="3"/>
  <c r="Q320" i="3"/>
  <c r="AF319" i="3"/>
  <c r="S319" i="3"/>
  <c r="Q319" i="3"/>
  <c r="AD318" i="3"/>
  <c r="S318" i="3"/>
  <c r="B200" i="6" s="1"/>
  <c r="Q318" i="3"/>
  <c r="S317" i="3"/>
  <c r="Q317" i="3"/>
  <c r="AF316" i="3"/>
  <c r="AD316" i="3"/>
  <c r="AC316" i="3"/>
  <c r="S316" i="3"/>
  <c r="B198" i="6" s="1"/>
  <c r="V198" i="6" s="1"/>
  <c r="Q316" i="3"/>
  <c r="S315" i="3"/>
  <c r="Q315" i="3"/>
  <c r="AF314" i="3"/>
  <c r="AC314" i="3"/>
  <c r="S314" i="3"/>
  <c r="AD314" i="3" s="1"/>
  <c r="Q314" i="3"/>
  <c r="AD313" i="3"/>
  <c r="AC313" i="3"/>
  <c r="S313" i="3"/>
  <c r="B196" i="6" s="1"/>
  <c r="G196" i="6" s="1"/>
  <c r="Q313" i="3"/>
  <c r="S312" i="3"/>
  <c r="AF312" i="3" s="1"/>
  <c r="Q312" i="3"/>
  <c r="AE311" i="3"/>
  <c r="AF311" i="3" s="1"/>
  <c r="AC311" i="3"/>
  <c r="S311" i="3"/>
  <c r="AD311" i="3" s="1"/>
  <c r="Q311" i="3"/>
  <c r="C310" i="3"/>
  <c r="AF309" i="3"/>
  <c r="AD309" i="3"/>
  <c r="AC309" i="3"/>
  <c r="S309" i="3"/>
  <c r="B361" i="6" s="1"/>
  <c r="Q309" i="3"/>
  <c r="AD308" i="3"/>
  <c r="S308" i="3"/>
  <c r="Q308" i="3"/>
  <c r="AF307" i="3"/>
  <c r="AC307" i="3"/>
  <c r="S307" i="3"/>
  <c r="B350" i="6" s="1"/>
  <c r="V350" i="6" s="1"/>
  <c r="Q307" i="3"/>
  <c r="S306" i="3"/>
  <c r="B470" i="6" s="1"/>
  <c r="Q306" i="3"/>
  <c r="AF304" i="3"/>
  <c r="AC304" i="3"/>
  <c r="S304" i="3"/>
  <c r="Q304" i="3"/>
  <c r="S303" i="3"/>
  <c r="AF303" i="3" s="1"/>
  <c r="Q303" i="3"/>
  <c r="AF302" i="3"/>
  <c r="AD302" i="3"/>
  <c r="S302" i="3"/>
  <c r="B360" i="6" s="1"/>
  <c r="Q302" i="3"/>
  <c r="S301" i="3"/>
  <c r="AD301" i="3" s="1"/>
  <c r="Q301" i="3"/>
  <c r="AF300" i="3"/>
  <c r="AD300" i="3"/>
  <c r="AC300" i="3"/>
  <c r="S300" i="3"/>
  <c r="B357" i="6" s="1"/>
  <c r="D357" i="6" s="1"/>
  <c r="Q300" i="3"/>
  <c r="AD298" i="3"/>
  <c r="AC298" i="3"/>
  <c r="S298" i="3"/>
  <c r="Q298" i="3"/>
  <c r="AF297" i="3"/>
  <c r="AC297" i="3"/>
  <c r="S297" i="3"/>
  <c r="AD297" i="3" s="1"/>
  <c r="Q297" i="3"/>
  <c r="AD296" i="3"/>
  <c r="S296" i="3"/>
  <c r="B308" i="6" s="1"/>
  <c r="Q296" i="3"/>
  <c r="AF295" i="3"/>
  <c r="AC295" i="3"/>
  <c r="S295" i="3"/>
  <c r="AD295" i="3" s="1"/>
  <c r="Q295" i="3"/>
  <c r="AF294" i="3"/>
  <c r="S294" i="3"/>
  <c r="Q294" i="3"/>
  <c r="AD293" i="3"/>
  <c r="S293" i="3"/>
  <c r="B305" i="6" s="1"/>
  <c r="Q293" i="3"/>
  <c r="S292" i="3"/>
  <c r="Q292" i="3"/>
  <c r="AF291" i="3"/>
  <c r="AD291" i="3"/>
  <c r="AC291" i="3"/>
  <c r="S291" i="3"/>
  <c r="B303" i="6" s="1"/>
  <c r="Q291" i="3"/>
  <c r="S290" i="3"/>
  <c r="Q290" i="3"/>
  <c r="AF289" i="3"/>
  <c r="AC289" i="3"/>
  <c r="S289" i="3"/>
  <c r="B503" i="6" s="1"/>
  <c r="V503" i="6" s="1"/>
  <c r="Q289" i="3"/>
  <c r="AD288" i="3"/>
  <c r="AC288" i="3"/>
  <c r="S288" i="3"/>
  <c r="B498" i="6" s="1"/>
  <c r="Q288" i="3"/>
  <c r="S286" i="3"/>
  <c r="AF286" i="3" s="1"/>
  <c r="Q286" i="3"/>
  <c r="AF285" i="3"/>
  <c r="AD285" i="3"/>
  <c r="S285" i="3"/>
  <c r="Q285" i="3"/>
  <c r="AF284" i="3"/>
  <c r="AD284" i="3"/>
  <c r="AC284" i="3"/>
  <c r="S284" i="3"/>
  <c r="B499" i="6" s="1"/>
  <c r="Q284" i="3"/>
  <c r="AD283" i="3"/>
  <c r="S283" i="3"/>
  <c r="Q283" i="3"/>
  <c r="AF282" i="3"/>
  <c r="AD282" i="3"/>
  <c r="AC282" i="3"/>
  <c r="S282" i="3"/>
  <c r="Q282" i="3"/>
  <c r="AD281" i="3"/>
  <c r="S281" i="3"/>
  <c r="Q281" i="3"/>
  <c r="AF280" i="3"/>
  <c r="AC280" i="3"/>
  <c r="S280" i="3"/>
  <c r="B369" i="6" s="1"/>
  <c r="V369" i="6" s="1"/>
  <c r="Q280" i="3"/>
  <c r="AF279" i="3"/>
  <c r="AD279" i="3"/>
  <c r="AC279" i="3"/>
  <c r="S279" i="3"/>
  <c r="B365" i="6" s="1"/>
  <c r="Q279" i="3"/>
  <c r="AF278" i="3"/>
  <c r="S278" i="3"/>
  <c r="Q278" i="3"/>
  <c r="AF276" i="3"/>
  <c r="AD276" i="3"/>
  <c r="S276" i="3"/>
  <c r="Q276" i="3"/>
  <c r="AF275" i="3"/>
  <c r="S275" i="3"/>
  <c r="B505" i="6" s="1"/>
  <c r="Q275" i="3"/>
  <c r="AD274" i="3"/>
  <c r="S274" i="3"/>
  <c r="Q274" i="3"/>
  <c r="AF273" i="3"/>
  <c r="AD273" i="3"/>
  <c r="AC273" i="3"/>
  <c r="S273" i="3"/>
  <c r="B502" i="6" s="1"/>
  <c r="Q273" i="3"/>
  <c r="AD272" i="3"/>
  <c r="S272" i="3"/>
  <c r="Q272" i="3"/>
  <c r="AF271" i="3"/>
  <c r="AC271" i="3"/>
  <c r="S271" i="3"/>
  <c r="B495" i="6" s="1"/>
  <c r="Q271" i="3"/>
  <c r="S270" i="3"/>
  <c r="B364" i="6" s="1"/>
  <c r="V364" i="6" s="1"/>
  <c r="Q270" i="3"/>
  <c r="AF269" i="3"/>
  <c r="AC269" i="3"/>
  <c r="S269" i="3"/>
  <c r="Q269" i="3"/>
  <c r="S267" i="3"/>
  <c r="AF267" i="3" s="1"/>
  <c r="Q267" i="3"/>
  <c r="AF266" i="3"/>
  <c r="AD266" i="3"/>
  <c r="S266" i="3"/>
  <c r="B515" i="6" s="1"/>
  <c r="Q266" i="3"/>
  <c r="S265" i="3"/>
  <c r="AD265" i="3" s="1"/>
  <c r="Q265" i="3"/>
  <c r="AF264" i="3"/>
  <c r="AD264" i="3"/>
  <c r="AC264" i="3"/>
  <c r="S264" i="3"/>
  <c r="Q264" i="3"/>
  <c r="AD263" i="3"/>
  <c r="AC263" i="3"/>
  <c r="S263" i="3"/>
  <c r="Q263" i="3"/>
  <c r="AF262" i="3"/>
  <c r="AC262" i="3"/>
  <c r="S262" i="3"/>
  <c r="AD262" i="3" s="1"/>
  <c r="Q262" i="3"/>
  <c r="AD261" i="3"/>
  <c r="S261" i="3"/>
  <c r="B366" i="6" s="1"/>
  <c r="Q261" i="3"/>
  <c r="AF259" i="3"/>
  <c r="AC259" i="3"/>
  <c r="S259" i="3"/>
  <c r="Q259" i="3"/>
  <c r="AF258" i="3"/>
  <c r="S258" i="3"/>
  <c r="Q258" i="3"/>
  <c r="AD257" i="3"/>
  <c r="S257" i="3"/>
  <c r="B507" i="6" s="1"/>
  <c r="Q257" i="3"/>
  <c r="S255" i="3"/>
  <c r="Q255" i="3"/>
  <c r="AF254" i="3"/>
  <c r="AD254" i="3"/>
  <c r="AC254" i="3"/>
  <c r="S254" i="3"/>
  <c r="B340" i="6" s="1"/>
  <c r="V340" i="6" s="1"/>
  <c r="Q254" i="3"/>
  <c r="S253" i="3"/>
  <c r="AF253" i="3" s="1"/>
  <c r="Q253" i="3"/>
  <c r="AF252" i="3"/>
  <c r="AC252" i="3"/>
  <c r="S252" i="3"/>
  <c r="B356" i="6" s="1"/>
  <c r="Q252" i="3"/>
  <c r="AD251" i="3"/>
  <c r="AC251" i="3"/>
  <c r="S251" i="3"/>
  <c r="B355" i="6" s="1"/>
  <c r="Q251" i="3"/>
  <c r="S250" i="3"/>
  <c r="AF250" i="3" s="1"/>
  <c r="Q250" i="3"/>
  <c r="AF249" i="3"/>
  <c r="AD249" i="3"/>
  <c r="S249" i="3"/>
  <c r="Q249" i="3"/>
  <c r="AF248" i="3"/>
  <c r="AD248" i="3"/>
  <c r="AC248" i="3"/>
  <c r="S248" i="3"/>
  <c r="B510" i="6" s="1"/>
  <c r="Q248" i="3"/>
  <c r="AD247" i="3"/>
  <c r="S247" i="3"/>
  <c r="Q247" i="3"/>
  <c r="AF246" i="3"/>
  <c r="AD246" i="3"/>
  <c r="AC246" i="3"/>
  <c r="S246" i="3"/>
  <c r="B508" i="6" s="1"/>
  <c r="Q246" i="3"/>
  <c r="AD244" i="3"/>
  <c r="S244" i="3"/>
  <c r="Q244" i="3"/>
  <c r="AF242" i="3"/>
  <c r="AC242" i="3"/>
  <c r="S242" i="3"/>
  <c r="AD242" i="3" s="1"/>
  <c r="Q242" i="3"/>
  <c r="AF241" i="3"/>
  <c r="AD241" i="3"/>
  <c r="AC241" i="3"/>
  <c r="S241" i="3"/>
  <c r="B371" i="6" s="1"/>
  <c r="Q241" i="3"/>
  <c r="AF240" i="3"/>
  <c r="S240" i="3"/>
  <c r="Q240" i="3"/>
  <c r="AD238" i="3"/>
  <c r="S238" i="3"/>
  <c r="AC238" i="3" s="1"/>
  <c r="Q238" i="3"/>
  <c r="AF237" i="3"/>
  <c r="S237" i="3"/>
  <c r="B325" i="6" s="1"/>
  <c r="Q237" i="3"/>
  <c r="AD236" i="3"/>
  <c r="S236" i="3"/>
  <c r="Q236" i="3"/>
  <c r="AF235" i="3"/>
  <c r="AD235" i="3"/>
  <c r="AC235" i="3"/>
  <c r="S235" i="3"/>
  <c r="B333" i="6" s="1"/>
  <c r="Q235" i="3"/>
  <c r="AD233" i="3"/>
  <c r="S233" i="3"/>
  <c r="AF233" i="3" s="1"/>
  <c r="Q233" i="3"/>
  <c r="AF232" i="3"/>
  <c r="AC232" i="3"/>
  <c r="S232" i="3"/>
  <c r="B334" i="6" s="1"/>
  <c r="Q334" i="6" s="1"/>
  <c r="Q232" i="3"/>
  <c r="S231" i="3"/>
  <c r="B324" i="6" s="1"/>
  <c r="Q231" i="3"/>
  <c r="AF230" i="3"/>
  <c r="AC230" i="3"/>
  <c r="S230" i="3"/>
  <c r="Q230" i="3"/>
  <c r="S229" i="3"/>
  <c r="AF229" i="3" s="1"/>
  <c r="Q229" i="3"/>
  <c r="AF228" i="3"/>
  <c r="AD228" i="3"/>
  <c r="S228" i="3"/>
  <c r="B323" i="6" s="1"/>
  <c r="Q228" i="3"/>
  <c r="S226" i="3"/>
  <c r="AD226" i="3" s="1"/>
  <c r="Q226" i="3"/>
  <c r="AF225" i="3"/>
  <c r="AD225" i="3"/>
  <c r="AC225" i="3"/>
  <c r="S225" i="3"/>
  <c r="B332" i="6" s="1"/>
  <c r="Q225" i="3"/>
  <c r="AD224" i="3"/>
  <c r="AC224" i="3"/>
  <c r="S224" i="3"/>
  <c r="Q224" i="3"/>
  <c r="AF223" i="3"/>
  <c r="AC223" i="3"/>
  <c r="S223" i="3"/>
  <c r="B397" i="6" s="1"/>
  <c r="Q223" i="3"/>
  <c r="AD222" i="3"/>
  <c r="S222" i="3"/>
  <c r="AC222" i="3" s="1"/>
  <c r="Q222" i="3"/>
  <c r="AC221" i="3"/>
  <c r="S221" i="3"/>
  <c r="Q221" i="3"/>
  <c r="AF220" i="3"/>
  <c r="S220" i="3"/>
  <c r="Q220" i="3"/>
  <c r="AD218" i="3"/>
  <c r="S218" i="3"/>
  <c r="B329" i="6" s="1"/>
  <c r="Q218" i="3"/>
  <c r="S217" i="3"/>
  <c r="Q217" i="3"/>
  <c r="AF216" i="3"/>
  <c r="AD216" i="3"/>
  <c r="AC216" i="3"/>
  <c r="S216" i="3"/>
  <c r="B327" i="6" s="1"/>
  <c r="N327" i="6" s="1"/>
  <c r="Q216" i="3"/>
  <c r="S215" i="3"/>
  <c r="AF215" i="3" s="1"/>
  <c r="Q215" i="3"/>
  <c r="AF214" i="3"/>
  <c r="AC214" i="3"/>
  <c r="S214" i="3"/>
  <c r="B337" i="6" s="1"/>
  <c r="Q214" i="3"/>
  <c r="AD213" i="3"/>
  <c r="AC213" i="3"/>
  <c r="S213" i="3"/>
  <c r="B336" i="6" s="1"/>
  <c r="Q213" i="3"/>
  <c r="S212" i="3"/>
  <c r="AD212" i="3" s="1"/>
  <c r="Q212" i="3"/>
  <c r="AF211" i="3"/>
  <c r="AD211" i="3"/>
  <c r="S211" i="3"/>
  <c r="Q211" i="3"/>
  <c r="AF210" i="3"/>
  <c r="AD210" i="3"/>
  <c r="AC210" i="3"/>
  <c r="S210" i="3"/>
  <c r="B391" i="6" s="1"/>
  <c r="Q210" i="3"/>
  <c r="AD209" i="3"/>
  <c r="S209" i="3"/>
  <c r="Q209" i="3"/>
  <c r="AF208" i="3"/>
  <c r="AD208" i="3"/>
  <c r="AC208" i="3"/>
  <c r="S208" i="3"/>
  <c r="Q208" i="3"/>
  <c r="AD207" i="3"/>
  <c r="S207" i="3"/>
  <c r="Q207" i="3"/>
  <c r="AF206" i="3"/>
  <c r="AC206" i="3"/>
  <c r="S206" i="3"/>
  <c r="B386" i="6" s="1"/>
  <c r="Q206" i="3"/>
  <c r="AF205" i="3"/>
  <c r="AD205" i="3"/>
  <c r="AC205" i="3"/>
  <c r="S205" i="3"/>
  <c r="B376" i="6" s="1"/>
  <c r="Q205" i="3"/>
  <c r="AF204" i="3"/>
  <c r="S204" i="3"/>
  <c r="Q204" i="3"/>
  <c r="S203" i="3"/>
  <c r="Q203" i="3"/>
  <c r="AF202" i="3"/>
  <c r="S202" i="3"/>
  <c r="B372" i="6" s="1"/>
  <c r="Q202" i="3"/>
  <c r="C201" i="3"/>
  <c r="S200" i="3"/>
  <c r="AF200" i="3" s="1"/>
  <c r="Q200" i="3"/>
  <c r="AF199" i="3"/>
  <c r="AD199" i="3"/>
  <c r="S199" i="3"/>
  <c r="AC199" i="3" s="1"/>
  <c r="Q199" i="3"/>
  <c r="AF198" i="3"/>
  <c r="AD198" i="3"/>
  <c r="AC198" i="3"/>
  <c r="S198" i="3"/>
  <c r="B520" i="6" s="1"/>
  <c r="Q520" i="6" s="1"/>
  <c r="Q198" i="3"/>
  <c r="AD196" i="3"/>
  <c r="S196" i="3"/>
  <c r="Q196" i="3"/>
  <c r="AF195" i="3"/>
  <c r="AD195" i="3"/>
  <c r="AC195" i="3"/>
  <c r="S195" i="3"/>
  <c r="Q195" i="3"/>
  <c r="AD194" i="3"/>
  <c r="S194" i="3"/>
  <c r="Q194" i="3"/>
  <c r="AF193" i="3"/>
  <c r="AC193" i="3"/>
  <c r="S193" i="3"/>
  <c r="B517" i="6" s="1"/>
  <c r="Q193" i="3"/>
  <c r="AF191" i="3"/>
  <c r="S191" i="3"/>
  <c r="B539" i="6" s="1"/>
  <c r="Q191" i="3"/>
  <c r="AF190" i="3"/>
  <c r="S190" i="3"/>
  <c r="Q190" i="3"/>
  <c r="S189" i="3"/>
  <c r="Q189" i="3"/>
  <c r="AF188" i="3"/>
  <c r="S188" i="3"/>
  <c r="B531" i="6" s="1"/>
  <c r="Q188" i="3"/>
  <c r="S187" i="3"/>
  <c r="Q187" i="3"/>
  <c r="AF186" i="3"/>
  <c r="AD186" i="3"/>
  <c r="AC186" i="3"/>
  <c r="S186" i="3"/>
  <c r="B519" i="6" s="1"/>
  <c r="Q186" i="3"/>
  <c r="AD185" i="3"/>
  <c r="AC185" i="3"/>
  <c r="S185" i="3"/>
  <c r="Q185" i="3"/>
  <c r="AF183" i="3"/>
  <c r="AC183" i="3"/>
  <c r="S183" i="3"/>
  <c r="B540" i="6" s="1"/>
  <c r="V540" i="6" s="1"/>
  <c r="Q183" i="3"/>
  <c r="S182" i="3"/>
  <c r="B538" i="6" s="1"/>
  <c r="Q182" i="3"/>
  <c r="AF181" i="3"/>
  <c r="AC181" i="3"/>
  <c r="S181" i="3"/>
  <c r="Q181" i="3"/>
  <c r="S180" i="3"/>
  <c r="AF180" i="3" s="1"/>
  <c r="Q180" i="3"/>
  <c r="AF179" i="3"/>
  <c r="AD179" i="3"/>
  <c r="S179" i="3"/>
  <c r="AC179" i="3" s="1"/>
  <c r="Q179" i="3"/>
  <c r="S178" i="3"/>
  <c r="AD178" i="3" s="1"/>
  <c r="Q178" i="3"/>
  <c r="AF177" i="3"/>
  <c r="AD177" i="3"/>
  <c r="AC177" i="3"/>
  <c r="S177" i="3"/>
  <c r="B523" i="6" s="1"/>
  <c r="Q177" i="3"/>
  <c r="AD176" i="3"/>
  <c r="AC176" i="3"/>
  <c r="S176" i="3"/>
  <c r="Q176" i="3"/>
  <c r="AF175" i="3"/>
  <c r="AC175" i="3"/>
  <c r="S175" i="3"/>
  <c r="AD175" i="3" s="1"/>
  <c r="Q175" i="3"/>
  <c r="AD173" i="3"/>
  <c r="S173" i="3"/>
  <c r="B535" i="6" s="1"/>
  <c r="Q173" i="3"/>
  <c r="C172" i="3"/>
  <c r="AD171" i="3"/>
  <c r="AC171" i="3"/>
  <c r="S171" i="3"/>
  <c r="Q171" i="3"/>
  <c r="AF170" i="3"/>
  <c r="AC170" i="3"/>
  <c r="S170" i="3"/>
  <c r="B452" i="6" s="1"/>
  <c r="Q170" i="3"/>
  <c r="S169" i="3"/>
  <c r="B449" i="6" s="1"/>
  <c r="Q169" i="3"/>
  <c r="AF168" i="3"/>
  <c r="AC168" i="3"/>
  <c r="S168" i="3"/>
  <c r="Q168" i="3"/>
  <c r="S167" i="3"/>
  <c r="AF167" i="3" s="1"/>
  <c r="Q167" i="3"/>
  <c r="AD166" i="3"/>
  <c r="S166" i="3"/>
  <c r="B447" i="6" s="1"/>
  <c r="Q166" i="3"/>
  <c r="C165" i="3"/>
  <c r="AF164" i="3"/>
  <c r="S164" i="3"/>
  <c r="Q164" i="3"/>
  <c r="AD163" i="3"/>
  <c r="S163" i="3"/>
  <c r="Q163" i="3"/>
  <c r="AF162" i="3"/>
  <c r="S162" i="3"/>
  <c r="B244" i="6" s="1"/>
  <c r="Q162" i="3"/>
  <c r="AD161" i="3"/>
  <c r="S161" i="3"/>
  <c r="Q161" i="3"/>
  <c r="AF160" i="3"/>
  <c r="AD160" i="3"/>
  <c r="AC160" i="3"/>
  <c r="S160" i="3"/>
  <c r="B229" i="6" s="1"/>
  <c r="Q229" i="6" s="1"/>
  <c r="Q160" i="3"/>
  <c r="AD159" i="3"/>
  <c r="AC159" i="3"/>
  <c r="S159" i="3"/>
  <c r="Q159" i="3"/>
  <c r="AF158" i="3"/>
  <c r="AC158" i="3"/>
  <c r="S158" i="3"/>
  <c r="B209" i="6" s="1"/>
  <c r="D209" i="6" s="1"/>
  <c r="Q158" i="3"/>
  <c r="S156" i="3"/>
  <c r="B223" i="6" s="1"/>
  <c r="Q156" i="3"/>
  <c r="AF155" i="3"/>
  <c r="AC155" i="3"/>
  <c r="S155" i="3"/>
  <c r="Q155" i="3"/>
  <c r="S154" i="3"/>
  <c r="AF154" i="3" s="1"/>
  <c r="Q154" i="3"/>
  <c r="AD153" i="3"/>
  <c r="S153" i="3"/>
  <c r="AF153" i="3" s="1"/>
  <c r="Q153" i="3"/>
  <c r="S151" i="3"/>
  <c r="AD151" i="3" s="1"/>
  <c r="Q151" i="3"/>
  <c r="AF150" i="3"/>
  <c r="AD150" i="3"/>
  <c r="AC150" i="3"/>
  <c r="S150" i="3"/>
  <c r="B290" i="6" s="1"/>
  <c r="D290" i="6" s="1"/>
  <c r="Q150" i="3"/>
  <c r="AD149" i="3"/>
  <c r="AC149" i="3"/>
  <c r="S149" i="3"/>
  <c r="Q149" i="3"/>
  <c r="AF148" i="3"/>
  <c r="AC148" i="3"/>
  <c r="S148" i="3"/>
  <c r="B288" i="6" s="1"/>
  <c r="V288" i="6" s="1"/>
  <c r="Q148" i="3"/>
  <c r="AD147" i="3"/>
  <c r="S147" i="3"/>
  <c r="AC147" i="3" s="1"/>
  <c r="Q147" i="3"/>
  <c r="AD146" i="3"/>
  <c r="AC146" i="3"/>
  <c r="S146" i="3"/>
  <c r="B249" i="6" s="1"/>
  <c r="Q146" i="3"/>
  <c r="S145" i="3"/>
  <c r="Q145" i="3"/>
  <c r="S144" i="3"/>
  <c r="B215" i="6" s="1"/>
  <c r="Q144" i="3"/>
  <c r="AD143" i="3"/>
  <c r="AC143" i="3"/>
  <c r="S143" i="3"/>
  <c r="Q143" i="3"/>
  <c r="AF142" i="3"/>
  <c r="AD142" i="3"/>
  <c r="AC142" i="3"/>
  <c r="S142" i="3"/>
  <c r="B213" i="6" s="1"/>
  <c r="Q142" i="3"/>
  <c r="AF141" i="3"/>
  <c r="AC141" i="3"/>
  <c r="S141" i="3"/>
  <c r="B188" i="6" s="1"/>
  <c r="Q141" i="3"/>
  <c r="AF140" i="3"/>
  <c r="S140" i="3"/>
  <c r="Q140" i="3"/>
  <c r="AD139" i="3"/>
  <c r="S139" i="3"/>
  <c r="B174" i="6" s="1"/>
  <c r="Q139" i="3"/>
  <c r="AD137" i="3"/>
  <c r="AC137" i="3"/>
  <c r="S137" i="3"/>
  <c r="B287" i="6" s="1"/>
  <c r="Q137" i="3"/>
  <c r="S136" i="3"/>
  <c r="AF136" i="3" s="1"/>
  <c r="Q136" i="3"/>
  <c r="AD135" i="3"/>
  <c r="S135" i="3"/>
  <c r="B285" i="6" s="1"/>
  <c r="Q135" i="3"/>
  <c r="AD134" i="3"/>
  <c r="AC134" i="3"/>
  <c r="S134" i="3"/>
  <c r="Q134" i="3"/>
  <c r="AF133" i="3"/>
  <c r="AD133" i="3"/>
  <c r="AC133" i="3"/>
  <c r="S133" i="3"/>
  <c r="B282" i="6" s="1"/>
  <c r="Q282" i="6" s="1"/>
  <c r="Q133" i="3"/>
  <c r="AF132" i="3"/>
  <c r="S132" i="3"/>
  <c r="B245" i="6" s="1"/>
  <c r="D245" i="6" s="1"/>
  <c r="Q132" i="3"/>
  <c r="AF131" i="3"/>
  <c r="S131" i="3"/>
  <c r="Q131" i="3"/>
  <c r="AD130" i="3"/>
  <c r="AC130" i="3"/>
  <c r="S130" i="3"/>
  <c r="B220" i="6" s="1"/>
  <c r="Q130" i="3"/>
  <c r="AF129" i="3"/>
  <c r="AD129" i="3"/>
  <c r="AC129" i="3"/>
  <c r="S129" i="3"/>
  <c r="B183" i="6" s="1"/>
  <c r="V183" i="6" s="1"/>
  <c r="Q129" i="3"/>
  <c r="AF128" i="3"/>
  <c r="S128" i="3"/>
  <c r="Q128" i="3"/>
  <c r="AF127" i="3"/>
  <c r="AD127" i="3"/>
  <c r="S127" i="3"/>
  <c r="B180" i="6" s="1"/>
  <c r="Q127" i="3"/>
  <c r="AC126" i="3"/>
  <c r="S126" i="3"/>
  <c r="Q126" i="3"/>
  <c r="AF125" i="3"/>
  <c r="AD125" i="3"/>
  <c r="AC125" i="3"/>
  <c r="S125" i="3"/>
  <c r="Q125" i="3"/>
  <c r="S124" i="3"/>
  <c r="B172" i="6" s="1"/>
  <c r="Q124" i="3"/>
  <c r="AF123" i="3"/>
  <c r="AC123" i="3"/>
  <c r="S123" i="3"/>
  <c r="Q123" i="3"/>
  <c r="AF122" i="3"/>
  <c r="AD122" i="3"/>
  <c r="AC122" i="3"/>
  <c r="S122" i="3"/>
  <c r="B170" i="6" s="1"/>
  <c r="Q122" i="3"/>
  <c r="AF121" i="3"/>
  <c r="AC121" i="3"/>
  <c r="S121" i="3"/>
  <c r="B167" i="6" s="1"/>
  <c r="Q121" i="3"/>
  <c r="AF120" i="3"/>
  <c r="S120" i="3"/>
  <c r="Q120" i="3"/>
  <c r="AD119" i="3"/>
  <c r="S119" i="3"/>
  <c r="B142" i="6" s="1"/>
  <c r="Q119" i="3"/>
  <c r="S118" i="3"/>
  <c r="Q118" i="3"/>
  <c r="AF117" i="3"/>
  <c r="AD117" i="3"/>
  <c r="AC117" i="3"/>
  <c r="S117" i="3"/>
  <c r="Q117" i="3"/>
  <c r="AD115" i="3"/>
  <c r="S115" i="3"/>
  <c r="B5" i="6" s="1"/>
  <c r="D5" i="6" s="1"/>
  <c r="Q115" i="3"/>
  <c r="AF113" i="3"/>
  <c r="AC113" i="3"/>
  <c r="S113" i="3"/>
  <c r="Q113" i="3"/>
  <c r="AF112" i="3"/>
  <c r="AC112" i="3"/>
  <c r="S112" i="3"/>
  <c r="B221" i="6" s="1"/>
  <c r="Q112" i="3"/>
  <c r="AF111" i="3"/>
  <c r="S111" i="3"/>
  <c r="AD111" i="3" s="1"/>
  <c r="Q111" i="3"/>
  <c r="AF110" i="3"/>
  <c r="S110" i="3"/>
  <c r="Q110" i="3"/>
  <c r="AD109" i="3"/>
  <c r="AC109" i="3"/>
  <c r="S109" i="3"/>
  <c r="B206" i="6" s="1"/>
  <c r="Q109" i="3"/>
  <c r="S108" i="3"/>
  <c r="AD108" i="3" s="1"/>
  <c r="Q108" i="3"/>
  <c r="AF107" i="3"/>
  <c r="AD107" i="3"/>
  <c r="AC107" i="3"/>
  <c r="S107" i="3"/>
  <c r="B177" i="6" s="1"/>
  <c r="Q107" i="3"/>
  <c r="AF106" i="3"/>
  <c r="AD106" i="3"/>
  <c r="S106" i="3"/>
  <c r="B166" i="6" s="1"/>
  <c r="Q106" i="3"/>
  <c r="AC105" i="3"/>
  <c r="S105" i="3"/>
  <c r="Q105" i="3"/>
  <c r="AF104" i="3"/>
  <c r="S104" i="3"/>
  <c r="B163" i="6" s="1"/>
  <c r="Q104" i="3"/>
  <c r="S103" i="3"/>
  <c r="B135" i="6" s="1"/>
  <c r="Q103" i="3"/>
  <c r="AF102" i="3"/>
  <c r="AD102" i="3"/>
  <c r="S102" i="3"/>
  <c r="Q102" i="3"/>
  <c r="AF101" i="3"/>
  <c r="AD101" i="3"/>
  <c r="AC101" i="3"/>
  <c r="S101" i="3"/>
  <c r="B38" i="6" s="1"/>
  <c r="E38" i="6" s="1"/>
  <c r="Q101" i="3"/>
  <c r="AD100" i="3"/>
  <c r="S100" i="3"/>
  <c r="Q100" i="3"/>
  <c r="AF98" i="3"/>
  <c r="AD98" i="3"/>
  <c r="AC98" i="3"/>
  <c r="S98" i="3"/>
  <c r="B274" i="6" s="1"/>
  <c r="V274" i="6" s="1"/>
  <c r="Q98" i="3"/>
  <c r="AD97" i="3"/>
  <c r="S97" i="3"/>
  <c r="B272" i="6" s="1"/>
  <c r="Q97" i="3"/>
  <c r="S96" i="3"/>
  <c r="Q96" i="3"/>
  <c r="S95" i="3"/>
  <c r="B267" i="6" s="1"/>
  <c r="Q95" i="3"/>
  <c r="AD94" i="3"/>
  <c r="S94" i="3"/>
  <c r="B246" i="6" s="1"/>
  <c r="Q94" i="3"/>
  <c r="AF93" i="3"/>
  <c r="AD93" i="3"/>
  <c r="S93" i="3"/>
  <c r="AC93" i="3" s="1"/>
  <c r="Q93" i="3"/>
  <c r="AF92" i="3"/>
  <c r="AC92" i="3"/>
  <c r="S92" i="3"/>
  <c r="B190" i="6" s="1"/>
  <c r="Q92" i="3"/>
  <c r="AD91" i="3"/>
  <c r="S91" i="3"/>
  <c r="Q91" i="3"/>
  <c r="AF90" i="3"/>
  <c r="AD90" i="3"/>
  <c r="AC90" i="3"/>
  <c r="S90" i="3"/>
  <c r="B168" i="6" s="1"/>
  <c r="D168" i="6" s="1"/>
  <c r="Q90" i="3"/>
  <c r="AD89" i="3"/>
  <c r="AC89" i="3"/>
  <c r="S89" i="3"/>
  <c r="B159" i="6" s="1"/>
  <c r="Q89" i="3"/>
  <c r="S88" i="3"/>
  <c r="AF88" i="3" s="1"/>
  <c r="Q88" i="3"/>
  <c r="AD87" i="3"/>
  <c r="S87" i="3"/>
  <c r="B76" i="6" s="1"/>
  <c r="Q87" i="3"/>
  <c r="AF85" i="3"/>
  <c r="AD85" i="3"/>
  <c r="S85" i="3"/>
  <c r="B277" i="6" s="1"/>
  <c r="Q85" i="3"/>
  <c r="AD84" i="3"/>
  <c r="S84" i="3"/>
  <c r="AC84" i="3" s="1"/>
  <c r="Q84" i="3"/>
  <c r="AF83" i="3"/>
  <c r="S83" i="3"/>
  <c r="B252" i="6" s="1"/>
  <c r="Q83" i="3"/>
  <c r="S82" i="3"/>
  <c r="AF82" i="3" s="1"/>
  <c r="Q82" i="3"/>
  <c r="AF81" i="3"/>
  <c r="AD81" i="3"/>
  <c r="AC81" i="3"/>
  <c r="S81" i="3"/>
  <c r="B158" i="6" s="1"/>
  <c r="V158" i="6" s="1"/>
  <c r="Q81" i="3"/>
  <c r="AF80" i="3"/>
  <c r="AD80" i="3"/>
  <c r="AC80" i="3"/>
  <c r="S80" i="3"/>
  <c r="B157" i="6" s="1"/>
  <c r="Q80" i="3"/>
  <c r="AF79" i="3"/>
  <c r="S79" i="3"/>
  <c r="AD79" i="3" s="1"/>
  <c r="Q79" i="3"/>
  <c r="AF78" i="3"/>
  <c r="AD78" i="3"/>
  <c r="S78" i="3"/>
  <c r="B150" i="6" s="1"/>
  <c r="K150" i="6" s="1"/>
  <c r="Q78" i="3"/>
  <c r="S76" i="3"/>
  <c r="B247" i="6" s="1"/>
  <c r="Q76" i="3"/>
  <c r="S75" i="3"/>
  <c r="Q75" i="3"/>
  <c r="S74" i="3"/>
  <c r="B241" i="6" s="1"/>
  <c r="H241" i="6" s="1"/>
  <c r="Q74" i="3"/>
  <c r="AD73" i="3"/>
  <c r="AC73" i="3"/>
  <c r="S73" i="3"/>
  <c r="Q73" i="3"/>
  <c r="AF72" i="3"/>
  <c r="AD72" i="3"/>
  <c r="AC72" i="3"/>
  <c r="S72" i="3"/>
  <c r="B193" i="6" s="1"/>
  <c r="Q72" i="3"/>
  <c r="AF71" i="3"/>
  <c r="AC71" i="3"/>
  <c r="S71" i="3"/>
  <c r="B192" i="6" s="1"/>
  <c r="Q71" i="3"/>
  <c r="AF70" i="3"/>
  <c r="S70" i="3"/>
  <c r="Q70" i="3"/>
  <c r="S69" i="3"/>
  <c r="B162" i="6" s="1"/>
  <c r="Q69" i="3"/>
  <c r="AD68" i="3"/>
  <c r="AC68" i="3"/>
  <c r="S68" i="3"/>
  <c r="B161" i="6" s="1"/>
  <c r="Q68" i="3"/>
  <c r="S67" i="3"/>
  <c r="AF67" i="3" s="1"/>
  <c r="Q67" i="3"/>
  <c r="AD66" i="3"/>
  <c r="AC66" i="3"/>
  <c r="S66" i="3"/>
  <c r="B156" i="6" s="1"/>
  <c r="Q66" i="3"/>
  <c r="S65" i="3"/>
  <c r="Q65" i="3"/>
  <c r="S64" i="3"/>
  <c r="B154" i="6" s="1"/>
  <c r="Q64" i="3"/>
  <c r="S63" i="3"/>
  <c r="Q63" i="3"/>
  <c r="AD61" i="3"/>
  <c r="AC61" i="3"/>
  <c r="S61" i="3"/>
  <c r="B259" i="6" s="1"/>
  <c r="V259" i="6" s="1"/>
  <c r="Q61" i="3"/>
  <c r="AF60" i="3"/>
  <c r="AD60" i="3"/>
  <c r="AC60" i="3"/>
  <c r="S60" i="3"/>
  <c r="B258" i="6" s="1"/>
  <c r="Q60" i="3"/>
  <c r="AF59" i="3"/>
  <c r="S59" i="3"/>
  <c r="Q59" i="3"/>
  <c r="AF58" i="3"/>
  <c r="AD58" i="3"/>
  <c r="S58" i="3"/>
  <c r="B240" i="6" s="1"/>
  <c r="Q58" i="3"/>
  <c r="AC57" i="3"/>
  <c r="S57" i="3"/>
  <c r="Q57" i="3"/>
  <c r="AF55" i="3"/>
  <c r="AD55" i="3"/>
  <c r="AC55" i="3"/>
  <c r="S55" i="3"/>
  <c r="B263" i="6" s="1"/>
  <c r="Q55" i="3"/>
  <c r="S54" i="3"/>
  <c r="B262" i="6" s="1"/>
  <c r="Q54" i="3"/>
  <c r="AF53" i="3"/>
  <c r="AC53" i="3"/>
  <c r="S53" i="3"/>
  <c r="Q53" i="3"/>
  <c r="AF52" i="3"/>
  <c r="AD52" i="3"/>
  <c r="AC52" i="3"/>
  <c r="S52" i="3"/>
  <c r="B264" i="6" s="1"/>
  <c r="Q52" i="3"/>
  <c r="AF51" i="3"/>
  <c r="AC51" i="3"/>
  <c r="S51" i="3"/>
  <c r="B261" i="6" s="1"/>
  <c r="Q51" i="3"/>
  <c r="AF50" i="3"/>
  <c r="S50" i="3"/>
  <c r="Q50" i="3"/>
  <c r="S48" i="3"/>
  <c r="B270" i="6" s="1"/>
  <c r="Q48" i="3"/>
  <c r="S47" i="3"/>
  <c r="AF47" i="3" s="1"/>
  <c r="Q47" i="3"/>
  <c r="AF46" i="3"/>
  <c r="AD46" i="3"/>
  <c r="AC46" i="3"/>
  <c r="S46" i="3"/>
  <c r="B253" i="6" s="1"/>
  <c r="Q46" i="3"/>
  <c r="AD44" i="3"/>
  <c r="S44" i="3"/>
  <c r="B257" i="6" s="1"/>
  <c r="Q44" i="3"/>
  <c r="AF43" i="3"/>
  <c r="AC43" i="3"/>
  <c r="S43" i="3"/>
  <c r="Q43" i="3"/>
  <c r="AD42" i="3"/>
  <c r="S42" i="3"/>
  <c r="S41" i="3"/>
  <c r="Q41" i="3"/>
  <c r="AD40" i="3"/>
  <c r="AC40" i="3"/>
  <c r="S40" i="3"/>
  <c r="B238" i="6" s="1"/>
  <c r="Q40" i="3"/>
  <c r="S39" i="3"/>
  <c r="AD39" i="3" s="1"/>
  <c r="Q39" i="3"/>
  <c r="AF38" i="3"/>
  <c r="AD38" i="3"/>
  <c r="AC38" i="3"/>
  <c r="S38" i="3"/>
  <c r="B233" i="6" s="1"/>
  <c r="Q233" i="6" s="1"/>
  <c r="Q38" i="3"/>
  <c r="C37" i="3"/>
  <c r="I67" i="2" a="1"/>
  <c r="I67" i="2" s="1"/>
  <c r="H67" i="2" a="1"/>
  <c r="H67" i="2" s="1"/>
  <c r="G67" i="2" a="1"/>
  <c r="G67" i="2" s="1"/>
  <c r="F67" i="2" a="1"/>
  <c r="F67" i="2" s="1"/>
  <c r="E67" i="2" a="1"/>
  <c r="E67" i="2" s="1"/>
  <c r="D67" i="2" a="1"/>
  <c r="D67" i="2" s="1"/>
  <c r="C67" i="2" a="1"/>
  <c r="C67" i="2" s="1"/>
  <c r="B67" i="2" a="1"/>
  <c r="B67" i="2" s="1"/>
  <c r="J66" i="2"/>
  <c r="I66" i="2"/>
  <c r="H66" i="2"/>
  <c r="H68" i="2" s="1"/>
  <c r="G66" i="2"/>
  <c r="F66" i="2"/>
  <c r="F68" i="2" s="1"/>
  <c r="E66" i="2"/>
  <c r="D66" i="2"/>
  <c r="D68" i="2" s="1"/>
  <c r="C66" i="2"/>
  <c r="C68" i="2" s="1"/>
  <c r="B66" i="2"/>
  <c r="K66" i="2" s="1"/>
  <c r="D62" i="2"/>
  <c r="I61" i="2"/>
  <c r="H61" i="2"/>
  <c r="G61" i="2"/>
  <c r="F61" i="2"/>
  <c r="E61" i="2"/>
  <c r="D61" i="2"/>
  <c r="C61" i="2"/>
  <c r="B61" i="2"/>
  <c r="I60" i="2"/>
  <c r="H60" i="2"/>
  <c r="G60" i="2"/>
  <c r="F60" i="2"/>
  <c r="F62" i="2" s="1"/>
  <c r="E60" i="2"/>
  <c r="D60" i="2"/>
  <c r="C60" i="2"/>
  <c r="B60" i="2"/>
  <c r="I59" i="2"/>
  <c r="I62" i="2" s="1"/>
  <c r="H59" i="2"/>
  <c r="H62" i="2" s="1"/>
  <c r="G59" i="2"/>
  <c r="G62" i="2" s="1"/>
  <c r="F59" i="2"/>
  <c r="E59" i="2"/>
  <c r="E62" i="2" s="1"/>
  <c r="D59" i="2"/>
  <c r="C59" i="2"/>
  <c r="C62" i="2" s="1"/>
  <c r="B59" i="2"/>
  <c r="B62" i="2" s="1"/>
  <c r="I54" i="2"/>
  <c r="H54" i="2"/>
  <c r="G54" i="2"/>
  <c r="F54" i="2"/>
  <c r="E54" i="2"/>
  <c r="D54" i="2"/>
  <c r="C54" i="2"/>
  <c r="B54" i="2"/>
  <c r="I53" i="2"/>
  <c r="H53" i="2"/>
  <c r="G53" i="2"/>
  <c r="F53" i="2"/>
  <c r="E53" i="2"/>
  <c r="D53" i="2"/>
  <c r="C53" i="2"/>
  <c r="B53" i="2"/>
  <c r="I52" i="2"/>
  <c r="H52" i="2"/>
  <c r="G52" i="2"/>
  <c r="F52" i="2"/>
  <c r="E52" i="2"/>
  <c r="D52" i="2"/>
  <c r="C52" i="2"/>
  <c r="B52" i="2"/>
  <c r="I51" i="2"/>
  <c r="H51" i="2"/>
  <c r="G51" i="2"/>
  <c r="F51" i="2"/>
  <c r="E51" i="2"/>
  <c r="D51" i="2"/>
  <c r="C51" i="2"/>
  <c r="B51" i="2"/>
  <c r="I50" i="2"/>
  <c r="H50" i="2"/>
  <c r="G50" i="2"/>
  <c r="F50" i="2"/>
  <c r="E50" i="2"/>
  <c r="D50" i="2"/>
  <c r="C50" i="2"/>
  <c r="B50" i="2"/>
  <c r="I49" i="2"/>
  <c r="H49" i="2"/>
  <c r="G49" i="2"/>
  <c r="F49" i="2"/>
  <c r="E49" i="2"/>
  <c r="D49" i="2"/>
  <c r="C49" i="2"/>
  <c r="B49" i="2"/>
  <c r="I48" i="2"/>
  <c r="H48" i="2"/>
  <c r="G48" i="2"/>
  <c r="F48" i="2"/>
  <c r="E48" i="2"/>
  <c r="D48" i="2"/>
  <c r="C48" i="2"/>
  <c r="B48" i="2"/>
  <c r="I47" i="2"/>
  <c r="H47" i="2"/>
  <c r="G47" i="2"/>
  <c r="F47" i="2"/>
  <c r="E47" i="2"/>
  <c r="D47" i="2"/>
  <c r="C47" i="2"/>
  <c r="B47" i="2"/>
  <c r="I46" i="2"/>
  <c r="I55" i="2" s="1"/>
  <c r="H46" i="2"/>
  <c r="H55" i="2" s="1"/>
  <c r="G46" i="2"/>
  <c r="G55" i="2" s="1"/>
  <c r="F46" i="2"/>
  <c r="F55" i="2" s="1"/>
  <c r="E46" i="2"/>
  <c r="E55" i="2" s="1"/>
  <c r="D46" i="2"/>
  <c r="D55" i="2" s="1"/>
  <c r="C46" i="2"/>
  <c r="C55" i="2" s="1"/>
  <c r="B46" i="2"/>
  <c r="I41" i="2"/>
  <c r="H41" i="2"/>
  <c r="G41" i="2"/>
  <c r="F41" i="2"/>
  <c r="E41" i="2"/>
  <c r="D41" i="2"/>
  <c r="C41" i="2"/>
  <c r="B41" i="2"/>
  <c r="I40" i="2"/>
  <c r="H40" i="2"/>
  <c r="G40" i="2"/>
  <c r="F40" i="2"/>
  <c r="E40" i="2"/>
  <c r="D40" i="2"/>
  <c r="C40" i="2"/>
  <c r="B40" i="2"/>
  <c r="I39" i="2"/>
  <c r="H39" i="2"/>
  <c r="G39" i="2"/>
  <c r="F39" i="2"/>
  <c r="E39" i="2"/>
  <c r="D39" i="2"/>
  <c r="C39" i="2"/>
  <c r="B39" i="2"/>
  <c r="I38" i="2"/>
  <c r="H38" i="2"/>
  <c r="H42" i="2" s="1"/>
  <c r="G38" i="2"/>
  <c r="F38" i="2"/>
  <c r="E38" i="2"/>
  <c r="D38" i="2"/>
  <c r="C38" i="2"/>
  <c r="B38" i="2"/>
  <c r="I37" i="2"/>
  <c r="H37" i="2"/>
  <c r="G37" i="2"/>
  <c r="F37" i="2"/>
  <c r="E37" i="2"/>
  <c r="D37" i="2"/>
  <c r="C37" i="2"/>
  <c r="B37" i="2"/>
  <c r="I36" i="2"/>
  <c r="H36" i="2"/>
  <c r="G36" i="2"/>
  <c r="F36" i="2"/>
  <c r="E36" i="2"/>
  <c r="D36" i="2"/>
  <c r="C36" i="2"/>
  <c r="B36" i="2"/>
  <c r="I35" i="2"/>
  <c r="H35" i="2"/>
  <c r="G35" i="2"/>
  <c r="F35" i="2"/>
  <c r="E35" i="2"/>
  <c r="D35" i="2"/>
  <c r="C35" i="2"/>
  <c r="B35" i="2"/>
  <c r="I34" i="2"/>
  <c r="I42" i="2" s="1"/>
  <c r="H34" i="2"/>
  <c r="G34" i="2"/>
  <c r="G42" i="2" s="1"/>
  <c r="F34" i="2"/>
  <c r="F42" i="2" s="1"/>
  <c r="E34" i="2"/>
  <c r="E42" i="2" s="1"/>
  <c r="D34" i="2"/>
  <c r="D42" i="2" s="1"/>
  <c r="C34" i="2"/>
  <c r="C42" i="2" s="1"/>
  <c r="B34" i="2"/>
  <c r="F29" i="2"/>
  <c r="B29" i="2"/>
  <c r="I28" i="2"/>
  <c r="H28" i="2"/>
  <c r="G28" i="2"/>
  <c r="F28" i="2"/>
  <c r="E28" i="2"/>
  <c r="D28" i="2"/>
  <c r="C28" i="2"/>
  <c r="B28" i="2"/>
  <c r="I27" i="2"/>
  <c r="H27" i="2"/>
  <c r="H29" i="2" s="1"/>
  <c r="G27" i="2"/>
  <c r="F27" i="2"/>
  <c r="E27" i="2"/>
  <c r="D27" i="2"/>
  <c r="D29" i="2" s="1"/>
  <c r="C27" i="2"/>
  <c r="B27" i="2"/>
  <c r="I26" i="2"/>
  <c r="I29" i="2" s="1"/>
  <c r="H26" i="2"/>
  <c r="G26" i="2"/>
  <c r="G29" i="2" s="1"/>
  <c r="F26" i="2"/>
  <c r="E26" i="2"/>
  <c r="E29" i="2" s="1"/>
  <c r="D26" i="2"/>
  <c r="C26" i="2"/>
  <c r="B26" i="2"/>
  <c r="D25" i="2"/>
  <c r="I17" i="2"/>
  <c r="H17" i="2"/>
  <c r="G17" i="2"/>
  <c r="F17" i="2"/>
  <c r="E17" i="2"/>
  <c r="D17" i="2"/>
  <c r="C17" i="2"/>
  <c r="B17" i="2"/>
  <c r="I16" i="2"/>
  <c r="H16" i="2"/>
  <c r="G16" i="2"/>
  <c r="F16" i="2"/>
  <c r="E16" i="2"/>
  <c r="D16" i="2"/>
  <c r="C16" i="2"/>
  <c r="B16" i="2"/>
  <c r="I15" i="2"/>
  <c r="H15" i="2"/>
  <c r="G15" i="2"/>
  <c r="F15" i="2"/>
  <c r="E15" i="2"/>
  <c r="D15" i="2"/>
  <c r="C15" i="2"/>
  <c r="B15" i="2"/>
  <c r="I14" i="2"/>
  <c r="H14" i="2"/>
  <c r="G14" i="2"/>
  <c r="F14" i="2"/>
  <c r="E14" i="2"/>
  <c r="D14" i="2"/>
  <c r="C14" i="2"/>
  <c r="B14" i="2"/>
  <c r="I13" i="2"/>
  <c r="H13" i="2"/>
  <c r="G13" i="2"/>
  <c r="F13" i="2"/>
  <c r="E13" i="2"/>
  <c r="D13" i="2"/>
  <c r="C13" i="2"/>
  <c r="B13" i="2"/>
  <c r="I12" i="2"/>
  <c r="H12" i="2"/>
  <c r="G12" i="2"/>
  <c r="F12" i="2"/>
  <c r="E12" i="2"/>
  <c r="D12" i="2"/>
  <c r="C12" i="2"/>
  <c r="B12" i="2"/>
  <c r="I11" i="2"/>
  <c r="H11" i="2"/>
  <c r="G11" i="2"/>
  <c r="F11" i="2"/>
  <c r="E11" i="2"/>
  <c r="D11" i="2"/>
  <c r="C11" i="2"/>
  <c r="B11" i="2"/>
  <c r="I10" i="2"/>
  <c r="H10" i="2"/>
  <c r="G10" i="2"/>
  <c r="F10" i="2"/>
  <c r="E10" i="2"/>
  <c r="D10" i="2"/>
  <c r="C10" i="2"/>
  <c r="B10" i="2"/>
  <c r="I9" i="2"/>
  <c r="H9" i="2"/>
  <c r="G9" i="2"/>
  <c r="F9" i="2"/>
  <c r="E9" i="2"/>
  <c r="D9" i="2"/>
  <c r="C9" i="2"/>
  <c r="B9" i="2"/>
  <c r="I8" i="2"/>
  <c r="H8" i="2"/>
  <c r="G8" i="2"/>
  <c r="F8" i="2"/>
  <c r="E8" i="2"/>
  <c r="D8" i="2"/>
  <c r="C8" i="2"/>
  <c r="B8" i="2"/>
  <c r="I7" i="2"/>
  <c r="H7" i="2"/>
  <c r="G7" i="2"/>
  <c r="F7" i="2"/>
  <c r="E7" i="2"/>
  <c r="D7" i="2"/>
  <c r="C7" i="2"/>
  <c r="B7" i="2"/>
  <c r="I6" i="2"/>
  <c r="H6" i="2"/>
  <c r="G6" i="2"/>
  <c r="F6" i="2"/>
  <c r="E6" i="2"/>
  <c r="D6" i="2"/>
  <c r="C6" i="2"/>
  <c r="B6" i="2"/>
  <c r="I5" i="2"/>
  <c r="H5" i="2"/>
  <c r="G5" i="2"/>
  <c r="F5" i="2"/>
  <c r="E5" i="2"/>
  <c r="D5" i="2"/>
  <c r="C5" i="2"/>
  <c r="B5" i="2"/>
  <c r="I4" i="2"/>
  <c r="H4" i="2"/>
  <c r="G4" i="2"/>
  <c r="F4" i="2"/>
  <c r="E4" i="2"/>
  <c r="D4" i="2"/>
  <c r="C4" i="2"/>
  <c r="B4" i="2"/>
  <c r="I3" i="2"/>
  <c r="I18" i="2" s="1"/>
  <c r="H3" i="2"/>
  <c r="H18" i="2" s="1"/>
  <c r="H19" i="2" s="1"/>
  <c r="G3" i="2"/>
  <c r="G18" i="2" s="1"/>
  <c r="F3" i="2"/>
  <c r="F18" i="2" s="1"/>
  <c r="E3" i="2"/>
  <c r="E18" i="2" s="1"/>
  <c r="D3" i="2"/>
  <c r="D18" i="2" s="1"/>
  <c r="D19" i="2" s="1"/>
  <c r="C3" i="2"/>
  <c r="C18" i="2" s="1"/>
  <c r="B3" i="2"/>
  <c r="B18" i="2" s="1"/>
  <c r="J2" i="2"/>
  <c r="J25" i="2" s="1"/>
  <c r="I2" i="2"/>
  <c r="I25" i="2" s="1"/>
  <c r="H2" i="2"/>
  <c r="H25" i="2" s="1"/>
  <c r="G2" i="2"/>
  <c r="G33" i="2" s="1"/>
  <c r="F2" i="2"/>
  <c r="F58" i="2" s="1"/>
  <c r="F65" i="2" s="1"/>
  <c r="E2" i="2"/>
  <c r="E45" i="2" s="1"/>
  <c r="D2" i="2"/>
  <c r="D45" i="2" s="1"/>
  <c r="C2" i="2"/>
  <c r="C25" i="2" s="1"/>
  <c r="B2" i="2"/>
  <c r="B25" i="2" s="1"/>
  <c r="H26" i="1"/>
  <c r="H22" i="1"/>
  <c r="H20" i="1"/>
  <c r="H18" i="1"/>
  <c r="Q701" i="6" l="1"/>
  <c r="D708" i="6"/>
  <c r="I721" i="6"/>
  <c r="F634" i="6"/>
  <c r="E1090" i="6"/>
  <c r="D32" i="6"/>
  <c r="V290" i="6"/>
  <c r="V727" i="6"/>
  <c r="K781" i="6"/>
  <c r="V669" i="6"/>
  <c r="J628" i="6"/>
  <c r="V1085" i="6"/>
  <c r="V1042" i="6"/>
  <c r="V817" i="6"/>
  <c r="F699" i="6"/>
  <c r="K718" i="6"/>
  <c r="V778" i="6"/>
  <c r="V1061" i="6"/>
  <c r="H1121" i="6"/>
  <c r="E1128" i="6"/>
  <c r="Q633" i="6"/>
  <c r="E700" i="6"/>
  <c r="V726" i="6"/>
  <c r="J785" i="6"/>
  <c r="Q1116" i="6"/>
  <c r="V713" i="6"/>
  <c r="R623" i="6"/>
  <c r="V643" i="6"/>
  <c r="J782" i="6"/>
  <c r="V874" i="6"/>
  <c r="V1060" i="6"/>
  <c r="V577" i="6"/>
  <c r="V655" i="6"/>
  <c r="V751" i="6"/>
  <c r="D1069" i="6"/>
  <c r="V1096" i="6"/>
  <c r="V1132" i="6"/>
  <c r="V616" i="6"/>
  <c r="V596" i="6"/>
  <c r="V735" i="6"/>
  <c r="V742" i="6"/>
  <c r="I770" i="6"/>
  <c r="V789" i="6"/>
  <c r="I552" i="6"/>
  <c r="V597" i="6"/>
  <c r="V619" i="6"/>
  <c r="V683" i="6"/>
  <c r="V743" i="6"/>
  <c r="V750" i="6"/>
  <c r="V790" i="6"/>
  <c r="V560" i="6"/>
  <c r="V585" i="6"/>
  <c r="V592" i="6"/>
  <c r="Q615" i="6"/>
  <c r="V1098" i="6"/>
  <c r="V1104" i="6"/>
  <c r="V1110" i="6"/>
  <c r="D1136" i="6"/>
  <c r="V62" i="6"/>
  <c r="I548" i="6"/>
  <c r="I561" i="6"/>
  <c r="V568" i="6"/>
  <c r="V581" i="6"/>
  <c r="V612" i="6"/>
  <c r="K621" i="6"/>
  <c r="V675" i="6"/>
  <c r="J757" i="6"/>
  <c r="V1094" i="6"/>
  <c r="V1151" i="6"/>
  <c r="E168" i="6"/>
  <c r="V483" i="6"/>
  <c r="K543" i="6"/>
  <c r="I569" i="6"/>
  <c r="V582" i="6"/>
  <c r="I601" i="6"/>
  <c r="V608" i="6"/>
  <c r="V613" i="6"/>
  <c r="V663" i="6"/>
  <c r="V709" i="6"/>
  <c r="V753" i="6"/>
  <c r="V758" i="6"/>
  <c r="Q836" i="6"/>
  <c r="V1107" i="6"/>
  <c r="V1146" i="6"/>
  <c r="V609" i="6"/>
  <c r="V614" i="6"/>
  <c r="V651" i="6"/>
  <c r="D729" i="6"/>
  <c r="V754" i="6"/>
  <c r="E774" i="6"/>
  <c r="V798" i="6"/>
  <c r="V1065" i="6"/>
  <c r="V1103" i="6"/>
  <c r="V1128" i="6"/>
  <c r="V1072" i="6"/>
  <c r="D1072" i="6"/>
  <c r="V284" i="6"/>
  <c r="V566" i="6"/>
  <c r="J759" i="6"/>
  <c r="V759" i="6"/>
  <c r="V1066" i="6"/>
  <c r="V584" i="6"/>
  <c r="I584" i="6"/>
  <c r="V725" i="6"/>
  <c r="H725" i="6"/>
  <c r="V28" i="6"/>
  <c r="D28" i="6"/>
  <c r="H27" i="5"/>
  <c r="H26" i="5"/>
  <c r="V145" i="6"/>
  <c r="V573" i="6"/>
  <c r="I573" i="6"/>
  <c r="V1081" i="6"/>
  <c r="Q1081" i="6"/>
  <c r="Q1086" i="6"/>
  <c r="V1086" i="6"/>
  <c r="I1139" i="6"/>
  <c r="K714" i="6"/>
  <c r="R714" i="6"/>
  <c r="V1140" i="6"/>
  <c r="I1140" i="6"/>
  <c r="K617" i="6"/>
  <c r="V617" i="6"/>
  <c r="I593" i="6"/>
  <c r="V598" i="6"/>
  <c r="F692" i="6"/>
  <c r="Q698" i="6"/>
  <c r="Q738" i="6"/>
  <c r="V769" i="6"/>
  <c r="V1004" i="6"/>
  <c r="I1057" i="6"/>
  <c r="V1057" i="6"/>
  <c r="D1135" i="6"/>
  <c r="D452" i="6"/>
  <c r="V452" i="6"/>
  <c r="F332" i="6"/>
  <c r="R332" i="6"/>
  <c r="D128" i="6"/>
  <c r="V128" i="6"/>
  <c r="I557" i="6"/>
  <c r="V557" i="6"/>
  <c r="V626" i="6"/>
  <c r="Q639" i="6"/>
  <c r="V639" i="6"/>
  <c r="R639" i="6"/>
  <c r="V679" i="6"/>
  <c r="K745" i="6"/>
  <c r="V745" i="6"/>
  <c r="F872" i="6"/>
  <c r="V979" i="6"/>
  <c r="D979" i="6"/>
  <c r="V1077" i="6"/>
  <c r="G1077" i="6"/>
  <c r="J1111" i="6"/>
  <c r="V1124" i="6"/>
  <c r="I436" i="6"/>
  <c r="V436" i="6"/>
  <c r="I589" i="6"/>
  <c r="V589" i="6"/>
  <c r="V667" i="6"/>
  <c r="G728" i="6"/>
  <c r="V734" i="6"/>
  <c r="V793" i="6"/>
  <c r="H1095" i="6"/>
  <c r="V794" i="6"/>
  <c r="H794" i="6"/>
  <c r="H1144" i="6"/>
  <c r="V1144" i="6"/>
  <c r="V1150" i="6"/>
  <c r="E1150" i="6"/>
  <c r="C26" i="5"/>
  <c r="D26" i="5"/>
  <c r="V72" i="6"/>
  <c r="V558" i="6"/>
  <c r="V590" i="6"/>
  <c r="I600" i="6"/>
  <c r="I605" i="6"/>
  <c r="D689" i="6"/>
  <c r="I705" i="6"/>
  <c r="J746" i="6"/>
  <c r="J760" i="6"/>
  <c r="V766" i="6"/>
  <c r="E777" i="6"/>
  <c r="V786" i="6"/>
  <c r="V1058" i="6"/>
  <c r="D1073" i="6"/>
  <c r="I1087" i="6"/>
  <c r="V1126" i="6"/>
  <c r="V357" i="6"/>
  <c r="Q689" i="6"/>
  <c r="I82" i="6"/>
  <c r="D280" i="6"/>
  <c r="V565" i="6"/>
  <c r="Q641" i="6"/>
  <c r="V647" i="6"/>
  <c r="V653" i="6"/>
  <c r="V659" i="6"/>
  <c r="V671" i="6"/>
  <c r="V722" i="6"/>
  <c r="V737" i="6"/>
  <c r="J761" i="6"/>
  <c r="V767" i="6"/>
  <c r="I792" i="6"/>
  <c r="D836" i="6"/>
  <c r="V1088" i="6"/>
  <c r="Q1138" i="6"/>
  <c r="V1142" i="6"/>
  <c r="C27" i="5"/>
  <c r="V86" i="6"/>
  <c r="Q280" i="6"/>
  <c r="V380" i="6"/>
  <c r="N413" i="6"/>
  <c r="G474" i="6"/>
  <c r="I547" i="6"/>
  <c r="H551" i="6"/>
  <c r="K622" i="6"/>
  <c r="J629" i="6"/>
  <c r="V633" i="6"/>
  <c r="F638" i="6"/>
  <c r="V641" i="6"/>
  <c r="V657" i="6"/>
  <c r="Q673" i="6"/>
  <c r="Q677" i="6"/>
  <c r="V681" i="6"/>
  <c r="F691" i="6"/>
  <c r="H695" i="6"/>
  <c r="V706" i="6"/>
  <c r="V714" i="6"/>
  <c r="V719" i="6"/>
  <c r="R730" i="6"/>
  <c r="J762" i="6"/>
  <c r="V775" i="6"/>
  <c r="V783" i="6"/>
  <c r="I791" i="6"/>
  <c r="V791" i="6"/>
  <c r="K802" i="6"/>
  <c r="V821" i="6"/>
  <c r="Q935" i="6"/>
  <c r="H1027" i="6"/>
  <c r="J1068" i="6"/>
  <c r="V1076" i="6"/>
  <c r="E1091" i="6"/>
  <c r="I1099" i="6"/>
  <c r="V1112" i="6"/>
  <c r="V1117" i="6"/>
  <c r="E25" i="5"/>
  <c r="D27" i="5"/>
  <c r="D20" i="6"/>
  <c r="Q317" i="6"/>
  <c r="H423" i="6"/>
  <c r="K544" i="6"/>
  <c r="I576" i="6"/>
  <c r="I580" i="6"/>
  <c r="I583" i="6"/>
  <c r="V673" i="6"/>
  <c r="V677" i="6"/>
  <c r="Q691" i="6"/>
  <c r="Q695" i="6"/>
  <c r="V703" i="6"/>
  <c r="H703" i="6"/>
  <c r="V784" i="6"/>
  <c r="J784" i="6"/>
  <c r="V935" i="6"/>
  <c r="V1137" i="6"/>
  <c r="I27" i="5"/>
  <c r="V43" i="6"/>
  <c r="V282" i="6"/>
  <c r="V317" i="6"/>
  <c r="D540" i="6"/>
  <c r="V564" i="6"/>
  <c r="Q699" i="6"/>
  <c r="G703" i="6"/>
  <c r="H984" i="6"/>
  <c r="V984" i="6"/>
  <c r="D1122" i="6"/>
  <c r="V1122" i="6"/>
  <c r="V697" i="6"/>
  <c r="I697" i="6"/>
  <c r="V209" i="6"/>
  <c r="F152" i="6"/>
  <c r="V229" i="6"/>
  <c r="Q290" i="6"/>
  <c r="V327" i="6"/>
  <c r="V545" i="6"/>
  <c r="V649" i="6"/>
  <c r="V665" i="6"/>
  <c r="Q675" i="6"/>
  <c r="Q679" i="6"/>
  <c r="V693" i="6"/>
  <c r="F693" i="6"/>
  <c r="S697" i="6"/>
  <c r="V741" i="6"/>
  <c r="V1074" i="6"/>
  <c r="G1082" i="6"/>
  <c r="D1086" i="6"/>
  <c r="V1106" i="6"/>
  <c r="Q1142" i="6"/>
  <c r="Q1146" i="6"/>
  <c r="D503" i="6"/>
  <c r="V690" i="6"/>
  <c r="D690" i="6"/>
  <c r="E996" i="6"/>
  <c r="V1083" i="6"/>
  <c r="F1083" i="6"/>
  <c r="I26" i="5"/>
  <c r="V168" i="6"/>
  <c r="V409" i="6"/>
  <c r="I546" i="6"/>
  <c r="V553" i="6"/>
  <c r="V574" i="6"/>
  <c r="V606" i="6"/>
  <c r="R621" i="6"/>
  <c r="V624" i="6"/>
  <c r="V645" i="6"/>
  <c r="V661" i="6"/>
  <c r="V685" i="6"/>
  <c r="Q690" i="6"/>
  <c r="F698" i="6"/>
  <c r="F701" i="6"/>
  <c r="S799" i="6"/>
  <c r="V799" i="6"/>
  <c r="Q927" i="6"/>
  <c r="E1075" i="6"/>
  <c r="V1080" i="6"/>
  <c r="H1080" i="6"/>
  <c r="Q1083" i="6"/>
  <c r="E1126" i="6"/>
  <c r="V1130" i="6"/>
  <c r="G1999" i="7"/>
  <c r="G2008" i="7" s="1"/>
  <c r="G2017" i="7" s="1"/>
  <c r="G2026" i="7" s="1"/>
  <c r="G2035" i="7" s="1"/>
  <c r="G2044" i="7" s="1"/>
  <c r="G2053" i="7" s="1"/>
  <c r="G2062" i="7" s="1"/>
  <c r="G2071" i="7" s="1"/>
  <c r="G2080" i="7" s="1"/>
  <c r="G2089" i="7" s="1"/>
  <c r="G2098" i="7" s="1"/>
  <c r="G2107" i="7" s="1"/>
  <c r="G2116" i="7" s="1"/>
  <c r="G2125" i="7" s="1"/>
  <c r="G2134" i="7" s="1"/>
  <c r="G2143" i="7" s="1"/>
  <c r="G2602" i="7"/>
  <c r="G2611" i="7" s="1"/>
  <c r="G2620" i="7" s="1"/>
  <c r="G2629" i="7" s="1"/>
  <c r="G2638" i="7" s="1"/>
  <c r="G2647" i="7" s="1"/>
  <c r="G2656" i="7" s="1"/>
  <c r="G2665" i="7" s="1"/>
  <c r="G2674" i="7" s="1"/>
  <c r="G2683" i="7" s="1"/>
  <c r="G2692" i="7" s="1"/>
  <c r="G2701" i="7" s="1"/>
  <c r="G2710" i="7" s="1"/>
  <c r="G2719" i="7" s="1"/>
  <c r="G2728" i="7" s="1"/>
  <c r="G2737" i="7" s="1"/>
  <c r="G2746" i="7" s="1"/>
  <c r="G2755" i="7" s="1"/>
  <c r="G2764" i="7" s="1"/>
  <c r="G2773" i="7" s="1"/>
  <c r="G2782" i="7" s="1"/>
  <c r="G2791" i="7" s="1"/>
  <c r="G2800" i="7" s="1"/>
  <c r="G2809" i="7" s="1"/>
  <c r="G2818" i="7" s="1"/>
  <c r="G2827" i="7" s="1"/>
  <c r="G2836" i="7" s="1"/>
  <c r="G2845" i="7" s="1"/>
  <c r="G2854" i="7" s="1"/>
  <c r="G2863" i="7" s="1"/>
  <c r="G2872" i="7" s="1"/>
  <c r="G2881" i="7" s="1"/>
  <c r="G2890" i="7" s="1"/>
  <c r="G2899" i="7" s="1"/>
  <c r="G2908" i="7" s="1"/>
  <c r="G2917" i="7" s="1"/>
  <c r="G2926" i="7" s="1"/>
  <c r="G2935" i="7" s="1"/>
  <c r="G2944" i="7" s="1"/>
  <c r="G2953" i="7" s="1"/>
  <c r="G2962" i="7" s="1"/>
  <c r="G2971" i="7" s="1"/>
  <c r="G2980" i="7" s="1"/>
  <c r="G2989" i="7" s="1"/>
  <c r="G2998" i="7" s="1"/>
  <c r="G3007" i="7" s="1"/>
  <c r="G3016" i="7" s="1"/>
  <c r="G1990" i="7"/>
  <c r="C19" i="2"/>
  <c r="V30" i="6"/>
  <c r="D30" i="6"/>
  <c r="G2597" i="7"/>
  <c r="G2606" i="7" s="1"/>
  <c r="G2615" i="7" s="1"/>
  <c r="G2624" i="7" s="1"/>
  <c r="G2633" i="7" s="1"/>
  <c r="G2642" i="7" s="1"/>
  <c r="G2651" i="7" s="1"/>
  <c r="G2660" i="7" s="1"/>
  <c r="G2669" i="7" s="1"/>
  <c r="G2678" i="7" s="1"/>
  <c r="G2687" i="7" s="1"/>
  <c r="G2696" i="7" s="1"/>
  <c r="G2705" i="7" s="1"/>
  <c r="G2714" i="7" s="1"/>
  <c r="G2723" i="7" s="1"/>
  <c r="G2732" i="7" s="1"/>
  <c r="G2741" i="7" s="1"/>
  <c r="G2750" i="7" s="1"/>
  <c r="G2759" i="7" s="1"/>
  <c r="G2768" i="7" s="1"/>
  <c r="G2777" i="7" s="1"/>
  <c r="G2786" i="7" s="1"/>
  <c r="G2795" i="7" s="1"/>
  <c r="G2804" i="7" s="1"/>
  <c r="G2813" i="7" s="1"/>
  <c r="G2822" i="7" s="1"/>
  <c r="G2831" i="7" s="1"/>
  <c r="G2840" i="7" s="1"/>
  <c r="G2849" i="7" s="1"/>
  <c r="G2858" i="7" s="1"/>
  <c r="G2867" i="7" s="1"/>
  <c r="G2876" i="7" s="1"/>
  <c r="G2885" i="7" s="1"/>
  <c r="G2894" i="7" s="1"/>
  <c r="G2903" i="7" s="1"/>
  <c r="G2912" i="7" s="1"/>
  <c r="G2921" i="7" s="1"/>
  <c r="G2930" i="7" s="1"/>
  <c r="G2939" i="7" s="1"/>
  <c r="G2948" i="7" s="1"/>
  <c r="G2957" i="7" s="1"/>
  <c r="G2966" i="7" s="1"/>
  <c r="G2975" i="7" s="1"/>
  <c r="G2984" i="7" s="1"/>
  <c r="G2993" i="7" s="1"/>
  <c r="G3002" i="7" s="1"/>
  <c r="G3011" i="7" s="1"/>
  <c r="G1985" i="7"/>
  <c r="G1994" i="7"/>
  <c r="G2003" i="7" s="1"/>
  <c r="G2012" i="7" s="1"/>
  <c r="G2021" i="7" s="1"/>
  <c r="G2030" i="7" s="1"/>
  <c r="G2039" i="7" s="1"/>
  <c r="G2048" i="7" s="1"/>
  <c r="G2057" i="7" s="1"/>
  <c r="G2066" i="7" s="1"/>
  <c r="G2075" i="7" s="1"/>
  <c r="G2084" i="7" s="1"/>
  <c r="G2093" i="7" s="1"/>
  <c r="G2102" i="7" s="1"/>
  <c r="G2111" i="7" s="1"/>
  <c r="G2120" i="7" s="1"/>
  <c r="G2129" i="7" s="1"/>
  <c r="G2138" i="7" s="1"/>
  <c r="V434" i="6"/>
  <c r="D434" i="6"/>
  <c r="D21" i="2"/>
  <c r="E19" i="2"/>
  <c r="I68" i="2"/>
  <c r="V163" i="6"/>
  <c r="D163" i="6"/>
  <c r="V223" i="6"/>
  <c r="D223" i="6"/>
  <c r="G2595" i="7"/>
  <c r="G2604" i="7" s="1"/>
  <c r="G2613" i="7" s="1"/>
  <c r="G2622" i="7" s="1"/>
  <c r="G2631" i="7" s="1"/>
  <c r="G2640" i="7" s="1"/>
  <c r="G2649" i="7" s="1"/>
  <c r="G2658" i="7" s="1"/>
  <c r="G2667" i="7" s="1"/>
  <c r="G2676" i="7" s="1"/>
  <c r="G2685" i="7" s="1"/>
  <c r="G2694" i="7" s="1"/>
  <c r="G2703" i="7" s="1"/>
  <c r="G2712" i="7" s="1"/>
  <c r="G2721" i="7" s="1"/>
  <c r="G2730" i="7" s="1"/>
  <c r="G2739" i="7" s="1"/>
  <c r="G2748" i="7" s="1"/>
  <c r="G2757" i="7" s="1"/>
  <c r="G2766" i="7" s="1"/>
  <c r="G2775" i="7" s="1"/>
  <c r="G2784" i="7" s="1"/>
  <c r="G2793" i="7" s="1"/>
  <c r="G2802" i="7" s="1"/>
  <c r="G2811" i="7" s="1"/>
  <c r="G2820" i="7" s="1"/>
  <c r="G2829" i="7" s="1"/>
  <c r="G2838" i="7" s="1"/>
  <c r="G2847" i="7" s="1"/>
  <c r="G2856" i="7" s="1"/>
  <c r="G2865" i="7" s="1"/>
  <c r="G2874" i="7" s="1"/>
  <c r="G2883" i="7" s="1"/>
  <c r="G2892" i="7" s="1"/>
  <c r="G2901" i="7" s="1"/>
  <c r="G2910" i="7" s="1"/>
  <c r="G2919" i="7" s="1"/>
  <c r="G2928" i="7" s="1"/>
  <c r="G2937" i="7" s="1"/>
  <c r="G2946" i="7" s="1"/>
  <c r="G2955" i="7" s="1"/>
  <c r="G2964" i="7" s="1"/>
  <c r="G2973" i="7" s="1"/>
  <c r="G2982" i="7" s="1"/>
  <c r="G2991" i="7" s="1"/>
  <c r="G3000" i="7" s="1"/>
  <c r="G3009" i="7" s="1"/>
  <c r="G1983" i="7"/>
  <c r="G1992" i="7"/>
  <c r="G2001" i="7" s="1"/>
  <c r="G2010" i="7" s="1"/>
  <c r="G2019" i="7" s="1"/>
  <c r="G2028" i="7" s="1"/>
  <c r="G2037" i="7" s="1"/>
  <c r="G2046" i="7" s="1"/>
  <c r="G2055" i="7" s="1"/>
  <c r="G2064" i="7" s="1"/>
  <c r="G2073" i="7" s="1"/>
  <c r="G2082" i="7" s="1"/>
  <c r="G2091" i="7" s="1"/>
  <c r="G2100" i="7" s="1"/>
  <c r="G2109" i="7" s="1"/>
  <c r="G2118" i="7" s="1"/>
  <c r="G2127" i="7" s="1"/>
  <c r="G2136" i="7" s="1"/>
  <c r="V812" i="6"/>
  <c r="I812" i="6"/>
  <c r="G1993" i="7"/>
  <c r="G2002" i="7" s="1"/>
  <c r="G2011" i="7" s="1"/>
  <c r="G2020" i="7" s="1"/>
  <c r="G2029" i="7" s="1"/>
  <c r="G2038" i="7" s="1"/>
  <c r="G2047" i="7" s="1"/>
  <c r="G2056" i="7" s="1"/>
  <c r="G2065" i="7" s="1"/>
  <c r="G2074" i="7" s="1"/>
  <c r="G2083" i="7" s="1"/>
  <c r="G2092" i="7" s="1"/>
  <c r="G2101" i="7" s="1"/>
  <c r="G2110" i="7" s="1"/>
  <c r="G2119" i="7" s="1"/>
  <c r="G2128" i="7" s="1"/>
  <c r="G2137" i="7" s="1"/>
  <c r="G2596" i="7"/>
  <c r="G2605" i="7" s="1"/>
  <c r="G2614" i="7" s="1"/>
  <c r="G2623" i="7" s="1"/>
  <c r="G2632" i="7" s="1"/>
  <c r="G2641" i="7" s="1"/>
  <c r="G2650" i="7" s="1"/>
  <c r="G2659" i="7" s="1"/>
  <c r="G2668" i="7" s="1"/>
  <c r="G2677" i="7" s="1"/>
  <c r="G2686" i="7" s="1"/>
  <c r="G2695" i="7" s="1"/>
  <c r="G2704" i="7" s="1"/>
  <c r="G2713" i="7" s="1"/>
  <c r="G2722" i="7" s="1"/>
  <c r="G2731" i="7" s="1"/>
  <c r="G2740" i="7" s="1"/>
  <c r="G2749" i="7" s="1"/>
  <c r="G2758" i="7" s="1"/>
  <c r="G2767" i="7" s="1"/>
  <c r="G2776" i="7" s="1"/>
  <c r="G2785" i="7" s="1"/>
  <c r="G2794" i="7" s="1"/>
  <c r="G2803" i="7" s="1"/>
  <c r="G2812" i="7" s="1"/>
  <c r="G2821" i="7" s="1"/>
  <c r="G2830" i="7" s="1"/>
  <c r="G2839" i="7" s="1"/>
  <c r="G2848" i="7" s="1"/>
  <c r="G2857" i="7" s="1"/>
  <c r="G2866" i="7" s="1"/>
  <c r="G2875" i="7" s="1"/>
  <c r="G2884" i="7" s="1"/>
  <c r="G2893" i="7" s="1"/>
  <c r="G2902" i="7" s="1"/>
  <c r="G2911" i="7" s="1"/>
  <c r="G2920" i="7" s="1"/>
  <c r="G2929" i="7" s="1"/>
  <c r="G2938" i="7" s="1"/>
  <c r="G2947" i="7" s="1"/>
  <c r="G2956" i="7" s="1"/>
  <c r="G2965" i="7" s="1"/>
  <c r="G2974" i="7" s="1"/>
  <c r="G2983" i="7" s="1"/>
  <c r="G2992" i="7" s="1"/>
  <c r="G3001" i="7" s="1"/>
  <c r="G3010" i="7" s="1"/>
  <c r="G1984" i="7"/>
  <c r="G2599" i="7"/>
  <c r="G2608" i="7" s="1"/>
  <c r="G2617" i="7" s="1"/>
  <c r="G2626" i="7" s="1"/>
  <c r="G2635" i="7" s="1"/>
  <c r="G2644" i="7" s="1"/>
  <c r="G2653" i="7" s="1"/>
  <c r="G2662" i="7" s="1"/>
  <c r="G2671" i="7" s="1"/>
  <c r="G2680" i="7" s="1"/>
  <c r="G2689" i="7" s="1"/>
  <c r="G2698" i="7" s="1"/>
  <c r="G2707" i="7" s="1"/>
  <c r="G2716" i="7" s="1"/>
  <c r="G2725" i="7" s="1"/>
  <c r="G2734" i="7" s="1"/>
  <c r="G2743" i="7" s="1"/>
  <c r="G2752" i="7" s="1"/>
  <c r="G2761" i="7" s="1"/>
  <c r="G2770" i="7" s="1"/>
  <c r="G2779" i="7" s="1"/>
  <c r="G2788" i="7" s="1"/>
  <c r="G2797" i="7" s="1"/>
  <c r="G2806" i="7" s="1"/>
  <c r="G2815" i="7" s="1"/>
  <c r="G2824" i="7" s="1"/>
  <c r="G2833" i="7" s="1"/>
  <c r="G2842" i="7" s="1"/>
  <c r="G2851" i="7" s="1"/>
  <c r="G2860" i="7" s="1"/>
  <c r="G2869" i="7" s="1"/>
  <c r="G2878" i="7" s="1"/>
  <c r="G2887" i="7" s="1"/>
  <c r="G2896" i="7" s="1"/>
  <c r="G2905" i="7" s="1"/>
  <c r="G2914" i="7" s="1"/>
  <c r="G2923" i="7" s="1"/>
  <c r="G2932" i="7" s="1"/>
  <c r="G2941" i="7" s="1"/>
  <c r="G2950" i="7" s="1"/>
  <c r="G2959" i="7" s="1"/>
  <c r="G2968" i="7" s="1"/>
  <c r="G2977" i="7" s="1"/>
  <c r="G2986" i="7" s="1"/>
  <c r="G2995" i="7" s="1"/>
  <c r="G3004" i="7" s="1"/>
  <c r="G3013" i="7" s="1"/>
  <c r="G1987" i="7"/>
  <c r="G1996" i="7"/>
  <c r="G2005" i="7" s="1"/>
  <c r="G2014" i="7" s="1"/>
  <c r="G2023" i="7" s="1"/>
  <c r="G2032" i="7" s="1"/>
  <c r="G2041" i="7" s="1"/>
  <c r="G2050" i="7" s="1"/>
  <c r="G2059" i="7" s="1"/>
  <c r="G2068" i="7" s="1"/>
  <c r="G2077" i="7" s="1"/>
  <c r="G2086" i="7" s="1"/>
  <c r="G2095" i="7" s="1"/>
  <c r="G2104" i="7" s="1"/>
  <c r="G2113" i="7" s="1"/>
  <c r="G2122" i="7" s="1"/>
  <c r="G2131" i="7" s="1"/>
  <c r="G2140" i="7" s="1"/>
  <c r="G1995" i="7"/>
  <c r="G2004" i="7" s="1"/>
  <c r="G2013" i="7" s="1"/>
  <c r="G2022" i="7" s="1"/>
  <c r="G2031" i="7" s="1"/>
  <c r="G2040" i="7" s="1"/>
  <c r="G2049" i="7" s="1"/>
  <c r="G2058" i="7" s="1"/>
  <c r="G2067" i="7" s="1"/>
  <c r="G2076" i="7" s="1"/>
  <c r="G2085" i="7" s="1"/>
  <c r="G2094" i="7" s="1"/>
  <c r="G2103" i="7" s="1"/>
  <c r="G2112" i="7" s="1"/>
  <c r="G2121" i="7" s="1"/>
  <c r="G2130" i="7" s="1"/>
  <c r="G2139" i="7" s="1"/>
  <c r="G1986" i="7"/>
  <c r="G2598" i="7"/>
  <c r="G2607" i="7" s="1"/>
  <c r="G2616" i="7" s="1"/>
  <c r="G2625" i="7" s="1"/>
  <c r="G2634" i="7" s="1"/>
  <c r="G2643" i="7" s="1"/>
  <c r="G2652" i="7" s="1"/>
  <c r="G2661" i="7" s="1"/>
  <c r="G2670" i="7" s="1"/>
  <c r="G2679" i="7" s="1"/>
  <c r="G2688" i="7" s="1"/>
  <c r="G2697" i="7" s="1"/>
  <c r="G2706" i="7" s="1"/>
  <c r="G2715" i="7" s="1"/>
  <c r="G2724" i="7" s="1"/>
  <c r="G2733" i="7" s="1"/>
  <c r="G2742" i="7" s="1"/>
  <c r="G2751" i="7" s="1"/>
  <c r="G2760" i="7" s="1"/>
  <c r="G2769" i="7" s="1"/>
  <c r="G2778" i="7" s="1"/>
  <c r="G2787" i="7" s="1"/>
  <c r="G2796" i="7" s="1"/>
  <c r="G2805" i="7" s="1"/>
  <c r="G2814" i="7" s="1"/>
  <c r="G2823" i="7" s="1"/>
  <c r="G2832" i="7" s="1"/>
  <c r="G2841" i="7" s="1"/>
  <c r="G2850" i="7" s="1"/>
  <c r="G2859" i="7" s="1"/>
  <c r="G2868" i="7" s="1"/>
  <c r="G2877" i="7" s="1"/>
  <c r="G2886" i="7" s="1"/>
  <c r="G2895" i="7" s="1"/>
  <c r="G2904" i="7" s="1"/>
  <c r="G2913" i="7" s="1"/>
  <c r="G2922" i="7" s="1"/>
  <c r="G2931" i="7" s="1"/>
  <c r="G2940" i="7" s="1"/>
  <c r="G2949" i="7" s="1"/>
  <c r="G2958" i="7" s="1"/>
  <c r="G2967" i="7" s="1"/>
  <c r="G2976" i="7" s="1"/>
  <c r="G2985" i="7" s="1"/>
  <c r="G2994" i="7" s="1"/>
  <c r="G3003" i="7" s="1"/>
  <c r="G3012" i="7" s="1"/>
  <c r="V270" i="6"/>
  <c r="R270" i="6"/>
  <c r="J270" i="6"/>
  <c r="H270" i="6"/>
  <c r="G1991" i="7"/>
  <c r="G2000" i="7" s="1"/>
  <c r="G2009" i="7" s="1"/>
  <c r="G2018" i="7" s="1"/>
  <c r="G2027" i="7" s="1"/>
  <c r="G2036" i="7" s="1"/>
  <c r="G2045" i="7" s="1"/>
  <c r="G2054" i="7" s="1"/>
  <c r="G2063" i="7" s="1"/>
  <c r="G2072" i="7" s="1"/>
  <c r="G2081" i="7" s="1"/>
  <c r="G2090" i="7" s="1"/>
  <c r="G2099" i="7" s="1"/>
  <c r="G2108" i="7" s="1"/>
  <c r="G2117" i="7" s="1"/>
  <c r="G2126" i="7" s="1"/>
  <c r="G2135" i="7" s="1"/>
  <c r="G1982" i="7"/>
  <c r="G2594" i="7"/>
  <c r="G2603" i="7" s="1"/>
  <c r="G2612" i="7" s="1"/>
  <c r="G2621" i="7" s="1"/>
  <c r="G2630" i="7" s="1"/>
  <c r="G2639" i="7" s="1"/>
  <c r="G2648" i="7" s="1"/>
  <c r="G2657" i="7" s="1"/>
  <c r="G2666" i="7" s="1"/>
  <c r="G2675" i="7" s="1"/>
  <c r="G2684" i="7" s="1"/>
  <c r="G2693" i="7" s="1"/>
  <c r="G2702" i="7" s="1"/>
  <c r="G2711" i="7" s="1"/>
  <c r="G2720" i="7" s="1"/>
  <c r="G2729" i="7" s="1"/>
  <c r="G2738" i="7" s="1"/>
  <c r="G2747" i="7" s="1"/>
  <c r="G2756" i="7" s="1"/>
  <c r="G2765" i="7" s="1"/>
  <c r="G2774" i="7" s="1"/>
  <c r="G2783" i="7" s="1"/>
  <c r="G2792" i="7" s="1"/>
  <c r="G2801" i="7" s="1"/>
  <c r="G2810" i="7" s="1"/>
  <c r="G2819" i="7" s="1"/>
  <c r="G2828" i="7" s="1"/>
  <c r="G2837" i="7" s="1"/>
  <c r="G2846" i="7" s="1"/>
  <c r="G2855" i="7" s="1"/>
  <c r="G2864" i="7" s="1"/>
  <c r="G2873" i="7" s="1"/>
  <c r="G2882" i="7" s="1"/>
  <c r="G2891" i="7" s="1"/>
  <c r="G2900" i="7" s="1"/>
  <c r="G2909" i="7" s="1"/>
  <c r="G2918" i="7" s="1"/>
  <c r="G2927" i="7" s="1"/>
  <c r="G2936" i="7" s="1"/>
  <c r="G2945" i="7" s="1"/>
  <c r="G2954" i="7" s="1"/>
  <c r="G2963" i="7" s="1"/>
  <c r="G2972" i="7" s="1"/>
  <c r="G2981" i="7" s="1"/>
  <c r="G2990" i="7" s="1"/>
  <c r="G2999" i="7" s="1"/>
  <c r="G3008" i="7" s="1"/>
  <c r="G3017" i="7" s="1"/>
  <c r="G3026" i="7" s="1"/>
  <c r="G3035" i="7" s="1"/>
  <c r="G3044" i="7" s="1"/>
  <c r="G3053" i="7" s="1"/>
  <c r="V418" i="6"/>
  <c r="D418" i="6"/>
  <c r="V204" i="6"/>
  <c r="D204" i="6"/>
  <c r="V379" i="6"/>
  <c r="Q379" i="6"/>
  <c r="G379" i="6"/>
  <c r="F379" i="6"/>
  <c r="B68" i="2"/>
  <c r="H21" i="2"/>
  <c r="V63" i="6"/>
  <c r="E63" i="6"/>
  <c r="G1997" i="7"/>
  <c r="G2006" i="7" s="1"/>
  <c r="G2015" i="7" s="1"/>
  <c r="G2024" i="7" s="1"/>
  <c r="G2033" i="7" s="1"/>
  <c r="G2042" i="7" s="1"/>
  <c r="G2051" i="7" s="1"/>
  <c r="G2060" i="7" s="1"/>
  <c r="G2069" i="7" s="1"/>
  <c r="G2078" i="7" s="1"/>
  <c r="G2087" i="7" s="1"/>
  <c r="G2096" i="7" s="1"/>
  <c r="G2105" i="7" s="1"/>
  <c r="G2114" i="7" s="1"/>
  <c r="G2123" i="7" s="1"/>
  <c r="G2132" i="7" s="1"/>
  <c r="G2141" i="7" s="1"/>
  <c r="G2600" i="7"/>
  <c r="G2609" i="7" s="1"/>
  <c r="G2618" i="7" s="1"/>
  <c r="G2627" i="7" s="1"/>
  <c r="G2636" i="7" s="1"/>
  <c r="G2645" i="7" s="1"/>
  <c r="G2654" i="7" s="1"/>
  <c r="G2663" i="7" s="1"/>
  <c r="G2672" i="7" s="1"/>
  <c r="G2681" i="7" s="1"/>
  <c r="G2690" i="7" s="1"/>
  <c r="G2699" i="7" s="1"/>
  <c r="G2708" i="7" s="1"/>
  <c r="G2717" i="7" s="1"/>
  <c r="G2726" i="7" s="1"/>
  <c r="G2735" i="7" s="1"/>
  <c r="G2744" i="7" s="1"/>
  <c r="G2753" i="7" s="1"/>
  <c r="G2762" i="7" s="1"/>
  <c r="G2771" i="7" s="1"/>
  <c r="G2780" i="7" s="1"/>
  <c r="G2789" i="7" s="1"/>
  <c r="G2798" i="7" s="1"/>
  <c r="G2807" i="7" s="1"/>
  <c r="G2816" i="7" s="1"/>
  <c r="G2825" i="7" s="1"/>
  <c r="G2834" i="7" s="1"/>
  <c r="G2843" i="7" s="1"/>
  <c r="G2852" i="7" s="1"/>
  <c r="G2861" i="7" s="1"/>
  <c r="G2870" i="7" s="1"/>
  <c r="G2879" i="7" s="1"/>
  <c r="G2888" i="7" s="1"/>
  <c r="G2897" i="7" s="1"/>
  <c r="G2906" i="7" s="1"/>
  <c r="G2915" i="7" s="1"/>
  <c r="G2924" i="7" s="1"/>
  <c r="G2933" i="7" s="1"/>
  <c r="G2942" i="7" s="1"/>
  <c r="G2951" i="7" s="1"/>
  <c r="G2960" i="7" s="1"/>
  <c r="G2969" i="7" s="1"/>
  <c r="G2978" i="7" s="1"/>
  <c r="G2987" i="7" s="1"/>
  <c r="G2996" i="7" s="1"/>
  <c r="G3005" i="7" s="1"/>
  <c r="G3014" i="7" s="1"/>
  <c r="G1988" i="7"/>
  <c r="F19" i="2"/>
  <c r="V161" i="6"/>
  <c r="M161" i="6"/>
  <c r="G19" i="2"/>
  <c r="I19" i="2"/>
  <c r="E68" i="2"/>
  <c r="V157" i="6"/>
  <c r="M157" i="6"/>
  <c r="K157" i="6"/>
  <c r="J157" i="6"/>
  <c r="V111" i="6"/>
  <c r="D111" i="6"/>
  <c r="F21" i="2"/>
  <c r="E25" i="2"/>
  <c r="C29" i="2"/>
  <c r="H33" i="2"/>
  <c r="F45" i="2"/>
  <c r="B55" i="2"/>
  <c r="G58" i="2"/>
  <c r="G65" i="2" s="1"/>
  <c r="AC39" i="3"/>
  <c r="AB665" i="3" s="1"/>
  <c r="AC41" i="3"/>
  <c r="B273" i="6"/>
  <c r="AC54" i="3"/>
  <c r="AD63" i="3"/>
  <c r="B153" i="6"/>
  <c r="B155" i="6"/>
  <c r="AC65" i="3"/>
  <c r="AD67" i="3"/>
  <c r="V162" i="6"/>
  <c r="M162" i="6"/>
  <c r="AC74" i="3"/>
  <c r="M247" i="6"/>
  <c r="V247" i="6"/>
  <c r="R247" i="6"/>
  <c r="Q247" i="6"/>
  <c r="P247" i="6"/>
  <c r="AC88" i="3"/>
  <c r="AC95" i="3"/>
  <c r="F272" i="6"/>
  <c r="E272" i="6"/>
  <c r="D272" i="6"/>
  <c r="V272" i="6"/>
  <c r="AC103" i="3"/>
  <c r="AC108" i="3"/>
  <c r="B208" i="6"/>
  <c r="AC110" i="3"/>
  <c r="V142" i="6"/>
  <c r="D142" i="6"/>
  <c r="AC124" i="3"/>
  <c r="AD131" i="3"/>
  <c r="B243" i="6"/>
  <c r="AD136" i="3"/>
  <c r="V174" i="6"/>
  <c r="D174" i="6"/>
  <c r="AC144" i="3"/>
  <c r="V249" i="6"/>
  <c r="Q249" i="6"/>
  <c r="D249" i="6"/>
  <c r="AF147" i="3"/>
  <c r="AD154" i="3"/>
  <c r="AC156" i="3"/>
  <c r="B224" i="6"/>
  <c r="AF159" i="3"/>
  <c r="AD167" i="3"/>
  <c r="AC169" i="3"/>
  <c r="B448" i="6"/>
  <c r="AF171" i="3"/>
  <c r="AF173" i="3"/>
  <c r="AD180" i="3"/>
  <c r="AC182" i="3"/>
  <c r="B518" i="6"/>
  <c r="AF185" i="3"/>
  <c r="AC200" i="3"/>
  <c r="AC212" i="3"/>
  <c r="Q329" i="6"/>
  <c r="J329" i="6"/>
  <c r="AF222" i="3"/>
  <c r="AD229" i="3"/>
  <c r="AC231" i="3"/>
  <c r="AC250" i="3"/>
  <c r="H507" i="6"/>
  <c r="K507" i="6"/>
  <c r="I507" i="6"/>
  <c r="AF261" i="3"/>
  <c r="AD267" i="3"/>
  <c r="AC270" i="3"/>
  <c r="B501" i="6"/>
  <c r="AF272" i="3"/>
  <c r="AC286" i="3"/>
  <c r="V303" i="6"/>
  <c r="Q303" i="6"/>
  <c r="D303" i="6"/>
  <c r="V305" i="6"/>
  <c r="Q305" i="6"/>
  <c r="D305" i="6"/>
  <c r="AF296" i="3"/>
  <c r="AD303" i="3"/>
  <c r="AC306" i="3"/>
  <c r="B352" i="6"/>
  <c r="AF308" i="3"/>
  <c r="AC312" i="3"/>
  <c r="V200" i="6"/>
  <c r="H200" i="6"/>
  <c r="AF321" i="3"/>
  <c r="AD327" i="3"/>
  <c r="AC329" i="3"/>
  <c r="B479" i="6"/>
  <c r="AF331" i="3"/>
  <c r="AC341" i="3"/>
  <c r="B440" i="6"/>
  <c r="AF343" i="3"/>
  <c r="B50" i="6"/>
  <c r="AF362" i="3"/>
  <c r="AC362" i="3"/>
  <c r="B52" i="6"/>
  <c r="AC364" i="3"/>
  <c r="V103" i="6"/>
  <c r="I103" i="6"/>
  <c r="H103" i="6"/>
  <c r="G103" i="6"/>
  <c r="AF374" i="3"/>
  <c r="AF387" i="3"/>
  <c r="AC397" i="3"/>
  <c r="B404" i="6"/>
  <c r="AD400" i="3"/>
  <c r="AC412" i="3"/>
  <c r="AC431" i="3"/>
  <c r="AC446" i="3"/>
  <c r="B461" i="6"/>
  <c r="AF449" i="3"/>
  <c r="AC449" i="3"/>
  <c r="AC451" i="3"/>
  <c r="B471" i="6"/>
  <c r="V458" i="6"/>
  <c r="D458" i="6"/>
  <c r="AF461" i="3"/>
  <c r="AD466" i="3"/>
  <c r="B61" i="6"/>
  <c r="AF471" i="3"/>
  <c r="AD475" i="3"/>
  <c r="AC475" i="3"/>
  <c r="B99" i="6"/>
  <c r="AF490" i="3"/>
  <c r="V75" i="6"/>
  <c r="E75" i="6"/>
  <c r="AD511" i="3"/>
  <c r="AC511" i="3"/>
  <c r="B122" i="6"/>
  <c r="AF526" i="3"/>
  <c r="B133" i="6"/>
  <c r="AD544" i="3"/>
  <c r="AC544" i="3"/>
  <c r="B91" i="6"/>
  <c r="AF570" i="3"/>
  <c r="AD570" i="3"/>
  <c r="AD586" i="3"/>
  <c r="AC586" i="3"/>
  <c r="AC592" i="3"/>
  <c r="B132" i="6"/>
  <c r="AF606" i="3"/>
  <c r="AD606" i="3"/>
  <c r="AF610" i="3"/>
  <c r="AD620" i="3"/>
  <c r="AC620" i="3"/>
  <c r="V129" i="6"/>
  <c r="D129" i="6"/>
  <c r="B321" i="6"/>
  <c r="AF628" i="3"/>
  <c r="AD628" i="3"/>
  <c r="B491" i="6"/>
  <c r="AF635" i="3"/>
  <c r="B482" i="6"/>
  <c r="AF644" i="3"/>
  <c r="AD644" i="3"/>
  <c r="V348" i="6"/>
  <c r="Q348" i="6"/>
  <c r="AF651" i="3"/>
  <c r="B453" i="6"/>
  <c r="S663" i="3"/>
  <c r="H1172" i="6"/>
  <c r="AG690" i="3"/>
  <c r="W57" i="4"/>
  <c r="B924" i="6"/>
  <c r="Y57" i="4"/>
  <c r="V57" i="4"/>
  <c r="V89" i="4"/>
  <c r="V130" i="4"/>
  <c r="B920" i="6"/>
  <c r="Y130" i="4"/>
  <c r="B846" i="6"/>
  <c r="Y174" i="4"/>
  <c r="W174" i="4"/>
  <c r="V174" i="4"/>
  <c r="V191" i="4"/>
  <c r="Y197" i="4"/>
  <c r="B856" i="6"/>
  <c r="W197" i="4"/>
  <c r="B923" i="6"/>
  <c r="W202" i="4"/>
  <c r="V202" i="4"/>
  <c r="B995" i="6"/>
  <c r="W223" i="4"/>
  <c r="Y223" i="4"/>
  <c r="V223" i="4"/>
  <c r="V54" i="6"/>
  <c r="K54" i="6"/>
  <c r="H54" i="6"/>
  <c r="M54" i="6"/>
  <c r="B73" i="6"/>
  <c r="V92" i="6"/>
  <c r="M92" i="6"/>
  <c r="B210" i="6"/>
  <c r="B254" i="6"/>
  <c r="V312" i="6"/>
  <c r="Q312" i="6"/>
  <c r="I312" i="6"/>
  <c r="D462" i="6"/>
  <c r="B478" i="6"/>
  <c r="V520" i="6"/>
  <c r="V644" i="6"/>
  <c r="Q644" i="6"/>
  <c r="F644" i="6"/>
  <c r="V696" i="6"/>
  <c r="Q696" i="6"/>
  <c r="F696" i="6"/>
  <c r="V710" i="6"/>
  <c r="D710" i="6"/>
  <c r="B19" i="2"/>
  <c r="B21" i="2" s="1"/>
  <c r="F25" i="2"/>
  <c r="I33" i="2"/>
  <c r="B42" i="2"/>
  <c r="G45" i="2"/>
  <c r="H58" i="2"/>
  <c r="H65" i="2" s="1"/>
  <c r="AD41" i="3"/>
  <c r="AG675" i="3" s="1"/>
  <c r="AC48" i="3"/>
  <c r="V261" i="6"/>
  <c r="Q261" i="6"/>
  <c r="D261" i="6"/>
  <c r="AD54" i="3"/>
  <c r="B231" i="6"/>
  <c r="AF57" i="3"/>
  <c r="AC63" i="3"/>
  <c r="AD65" i="3"/>
  <c r="AC69" i="3"/>
  <c r="V192" i="6"/>
  <c r="G192" i="6"/>
  <c r="AD74" i="3"/>
  <c r="AC76" i="3"/>
  <c r="AC82" i="3"/>
  <c r="V190" i="6"/>
  <c r="F190" i="6"/>
  <c r="AD95" i="3"/>
  <c r="AC97" i="3"/>
  <c r="AD103" i="3"/>
  <c r="B164" i="6"/>
  <c r="AD105" i="3"/>
  <c r="AD110" i="3"/>
  <c r="V221" i="6"/>
  <c r="D221" i="6"/>
  <c r="AC119" i="3"/>
  <c r="V167" i="6"/>
  <c r="D167" i="6"/>
  <c r="AD124" i="3"/>
  <c r="B175" i="6"/>
  <c r="AF126" i="3"/>
  <c r="AC131" i="3"/>
  <c r="AC139" i="3"/>
  <c r="D188" i="6"/>
  <c r="V188" i="6"/>
  <c r="AD144" i="3"/>
  <c r="AD156" i="3"/>
  <c r="B235" i="6"/>
  <c r="AF161" i="3"/>
  <c r="AC161" i="3"/>
  <c r="B349" i="6"/>
  <c r="AC163" i="3"/>
  <c r="AD169" i="3"/>
  <c r="AD182" i="3"/>
  <c r="B530" i="6"/>
  <c r="AF187" i="3"/>
  <c r="AC187" i="3"/>
  <c r="B532" i="6"/>
  <c r="AC189" i="3"/>
  <c r="V539" i="6"/>
  <c r="E539" i="6"/>
  <c r="D539" i="6"/>
  <c r="B373" i="6"/>
  <c r="AC203" i="3"/>
  <c r="V376" i="6"/>
  <c r="R376" i="6"/>
  <c r="Q376" i="6"/>
  <c r="I376" i="6"/>
  <c r="AF212" i="3"/>
  <c r="AC218" i="3"/>
  <c r="B388" i="6"/>
  <c r="AD221" i="3"/>
  <c r="AD231" i="3"/>
  <c r="AC233" i="3"/>
  <c r="B338" i="6"/>
  <c r="AF236" i="3"/>
  <c r="AC236" i="3"/>
  <c r="V371" i="6"/>
  <c r="Q371" i="6"/>
  <c r="E371" i="6"/>
  <c r="D371" i="6"/>
  <c r="AC257" i="3"/>
  <c r="B342" i="6"/>
  <c r="AD259" i="3"/>
  <c r="AD270" i="3"/>
  <c r="AC272" i="3"/>
  <c r="AF274" i="3"/>
  <c r="AC274" i="3"/>
  <c r="B504" i="6"/>
  <c r="B513" i="6"/>
  <c r="AC276" i="3"/>
  <c r="V365" i="6"/>
  <c r="E365" i="6"/>
  <c r="D365" i="6"/>
  <c r="AC293" i="3"/>
  <c r="AD306" i="3"/>
  <c r="AC308" i="3"/>
  <c r="AC318" i="3"/>
  <c r="B260" i="6"/>
  <c r="AD320" i="3"/>
  <c r="AD329" i="3"/>
  <c r="AC331" i="3"/>
  <c r="B316" i="6"/>
  <c r="AF333" i="3"/>
  <c r="AC333" i="3"/>
  <c r="AC335" i="3"/>
  <c r="B320" i="6"/>
  <c r="V429" i="6"/>
  <c r="Q429" i="6"/>
  <c r="AD341" i="3"/>
  <c r="AC343" i="3"/>
  <c r="AF346" i="3"/>
  <c r="AC346" i="3"/>
  <c r="B435" i="6"/>
  <c r="AC350" i="3"/>
  <c r="V443" i="6"/>
  <c r="F443" i="6"/>
  <c r="E443" i="6"/>
  <c r="AD362" i="3"/>
  <c r="AD364" i="3"/>
  <c r="AC367" i="3"/>
  <c r="B406" i="6"/>
  <c r="AF384" i="3"/>
  <c r="AD397" i="3"/>
  <c r="AC400" i="3"/>
  <c r="AD412" i="3"/>
  <c r="AC415" i="3"/>
  <c r="V381" i="6"/>
  <c r="Q381" i="6"/>
  <c r="F381" i="6"/>
  <c r="E381" i="6"/>
  <c r="V384" i="6"/>
  <c r="Q384" i="6"/>
  <c r="E384" i="6"/>
  <c r="V480" i="6"/>
  <c r="I480" i="6"/>
  <c r="AD446" i="3"/>
  <c r="AD449" i="3"/>
  <c r="AD451" i="3"/>
  <c r="AC454" i="3"/>
  <c r="B459" i="6"/>
  <c r="AF457" i="3"/>
  <c r="AC471" i="3"/>
  <c r="AF475" i="3"/>
  <c r="B85" i="6"/>
  <c r="AD484" i="3"/>
  <c r="AC484" i="3"/>
  <c r="AC490" i="3"/>
  <c r="B138" i="6"/>
  <c r="AF506" i="3"/>
  <c r="AD506" i="3"/>
  <c r="AF511" i="3"/>
  <c r="AD520" i="3"/>
  <c r="B108" i="6"/>
  <c r="AC520" i="3"/>
  <c r="AC526" i="3"/>
  <c r="B117" i="6"/>
  <c r="AF540" i="3"/>
  <c r="AD540" i="3"/>
  <c r="AF544" i="3"/>
  <c r="B24" i="6"/>
  <c r="AD554" i="3"/>
  <c r="AC554" i="3"/>
  <c r="B218" i="6"/>
  <c r="AD566" i="3"/>
  <c r="AC566" i="3"/>
  <c r="AC570" i="3"/>
  <c r="AF586" i="3"/>
  <c r="AD592" i="3"/>
  <c r="B110" i="6"/>
  <c r="AD602" i="3"/>
  <c r="AC602" i="3"/>
  <c r="AC606" i="3"/>
  <c r="AF620" i="3"/>
  <c r="AC628" i="3"/>
  <c r="AC635" i="3"/>
  <c r="AC644" i="3"/>
  <c r="AC651" i="3"/>
  <c r="V801" i="6"/>
  <c r="K801" i="6"/>
  <c r="B944" i="6"/>
  <c r="Y55" i="4"/>
  <c r="W55" i="4"/>
  <c r="B952" i="6"/>
  <c r="W67" i="4"/>
  <c r="V918" i="6"/>
  <c r="Q918" i="6"/>
  <c r="D918" i="6"/>
  <c r="B893" i="6"/>
  <c r="V95" i="4"/>
  <c r="Y95" i="4"/>
  <c r="W95" i="4"/>
  <c r="V113" i="4"/>
  <c r="B901" i="6"/>
  <c r="Y113" i="4"/>
  <c r="B833" i="6"/>
  <c r="W125" i="4"/>
  <c r="B852" i="6"/>
  <c r="V154" i="4"/>
  <c r="Y154" i="4"/>
  <c r="W154" i="4"/>
  <c r="W158" i="4"/>
  <c r="Y158" i="4"/>
  <c r="V158" i="4"/>
  <c r="B849" i="6"/>
  <c r="B993" i="6"/>
  <c r="Y221" i="4"/>
  <c r="W221" i="4"/>
  <c r="W230" i="4"/>
  <c r="B820" i="6"/>
  <c r="B869" i="6"/>
  <c r="Y234" i="4"/>
  <c r="W234" i="4"/>
  <c r="B876" i="6"/>
  <c r="W237" i="4"/>
  <c r="V237" i="4"/>
  <c r="V922" i="6"/>
  <c r="Q922" i="6"/>
  <c r="H922" i="6"/>
  <c r="G922" i="6"/>
  <c r="V394" i="4"/>
  <c r="V397" i="4" s="1"/>
  <c r="V400" i="4" s="1"/>
  <c r="V5" i="6"/>
  <c r="B15" i="6"/>
  <c r="V38" i="6"/>
  <c r="V150" i="6"/>
  <c r="B217" i="6"/>
  <c r="B255" i="6"/>
  <c r="B275" i="6"/>
  <c r="B343" i="6"/>
  <c r="D369" i="6"/>
  <c r="B395" i="6"/>
  <c r="V445" i="6"/>
  <c r="E462" i="6"/>
  <c r="V521" i="6"/>
  <c r="E521" i="6"/>
  <c r="D521" i="6"/>
  <c r="V707" i="6"/>
  <c r="D707" i="6"/>
  <c r="V771" i="6"/>
  <c r="I771" i="6"/>
  <c r="V899" i="6"/>
  <c r="Q899" i="6"/>
  <c r="H899" i="6"/>
  <c r="G899" i="6"/>
  <c r="V1062" i="6"/>
  <c r="D1062" i="6"/>
  <c r="G25" i="2"/>
  <c r="B33" i="2"/>
  <c r="J33" i="2"/>
  <c r="H45" i="2"/>
  <c r="I58" i="2"/>
  <c r="I65" i="2" s="1"/>
  <c r="AF41" i="3"/>
  <c r="V257" i="6"/>
  <c r="Q257" i="6"/>
  <c r="G257" i="6"/>
  <c r="F257" i="6"/>
  <c r="AD48" i="3"/>
  <c r="AF54" i="3"/>
  <c r="B256" i="6"/>
  <c r="AC59" i="3"/>
  <c r="AF63" i="3"/>
  <c r="AD69" i="3"/>
  <c r="AF74" i="3"/>
  <c r="AD76" i="3"/>
  <c r="AD82" i="3"/>
  <c r="V76" i="6"/>
  <c r="I76" i="6"/>
  <c r="G76" i="6"/>
  <c r="H76" i="6"/>
  <c r="V246" i="6"/>
  <c r="Q246" i="6"/>
  <c r="AF95" i="3"/>
  <c r="AF100" i="3"/>
  <c r="B36" i="6"/>
  <c r="AF103" i="3"/>
  <c r="AF124" i="3"/>
  <c r="B181" i="6"/>
  <c r="AC128" i="3"/>
  <c r="V285" i="6"/>
  <c r="Q285" i="6"/>
  <c r="D285" i="6"/>
  <c r="AF144" i="3"/>
  <c r="AF156" i="3"/>
  <c r="V447" i="6"/>
  <c r="D447" i="6"/>
  <c r="AF169" i="3"/>
  <c r="V523" i="6"/>
  <c r="E523" i="6"/>
  <c r="D523" i="6"/>
  <c r="AF182" i="3"/>
  <c r="AD187" i="3"/>
  <c r="AD189" i="3"/>
  <c r="AC191" i="3"/>
  <c r="B525" i="6"/>
  <c r="AF194" i="3"/>
  <c r="AD203" i="3"/>
  <c r="B387" i="6"/>
  <c r="AF207" i="3"/>
  <c r="F323" i="6"/>
  <c r="E323" i="6"/>
  <c r="V323" i="6"/>
  <c r="T323" i="6"/>
  <c r="T1153" i="6" s="1"/>
  <c r="T1156" i="6" s="1"/>
  <c r="R323" i="6"/>
  <c r="Q323" i="6"/>
  <c r="I323" i="6"/>
  <c r="G323" i="6"/>
  <c r="AF231" i="3"/>
  <c r="B394" i="6"/>
  <c r="AF244" i="3"/>
  <c r="E515" i="6"/>
  <c r="V515" i="6"/>
  <c r="F515" i="6"/>
  <c r="AF270" i="3"/>
  <c r="B370" i="6"/>
  <c r="AF281" i="3"/>
  <c r="V360" i="6"/>
  <c r="D360" i="6"/>
  <c r="AF306" i="3"/>
  <c r="F313" i="6"/>
  <c r="E313" i="6"/>
  <c r="V313" i="6"/>
  <c r="Q313" i="6"/>
  <c r="AF329" i="3"/>
  <c r="AF341" i="3"/>
  <c r="B431" i="6"/>
  <c r="AF355" i="3"/>
  <c r="B16" i="6"/>
  <c r="AF373" i="3"/>
  <c r="AC373" i="3"/>
  <c r="B29" i="6"/>
  <c r="AC375" i="3"/>
  <c r="V46" i="6"/>
  <c r="D46" i="6"/>
  <c r="B408" i="6"/>
  <c r="AF386" i="3"/>
  <c r="AC386" i="3"/>
  <c r="B425" i="6"/>
  <c r="AC388" i="3"/>
  <c r="AF397" i="3"/>
  <c r="B481" i="6"/>
  <c r="AD441" i="3"/>
  <c r="AF460" i="3"/>
  <c r="AC460" i="3"/>
  <c r="B347" i="6"/>
  <c r="AC462" i="3"/>
  <c r="V227" i="6"/>
  <c r="Q227" i="6"/>
  <c r="M81" i="6"/>
  <c r="I81" i="6"/>
  <c r="V81" i="6"/>
  <c r="B83" i="6"/>
  <c r="AF482" i="3"/>
  <c r="B14" i="6"/>
  <c r="AD502" i="3"/>
  <c r="AC502" i="3"/>
  <c r="AF518" i="3"/>
  <c r="B74" i="6"/>
  <c r="V146" i="6"/>
  <c r="D146" i="6"/>
  <c r="B211" i="6"/>
  <c r="AD535" i="3"/>
  <c r="AC535" i="3"/>
  <c r="B294" i="6"/>
  <c r="AF551" i="3"/>
  <c r="B56" i="6"/>
  <c r="AF562" i="3"/>
  <c r="AD562" i="3"/>
  <c r="B96" i="6"/>
  <c r="AD575" i="3"/>
  <c r="AC575" i="3"/>
  <c r="AF598" i="3"/>
  <c r="B70" i="6"/>
  <c r="AD598" i="3"/>
  <c r="B205" i="6"/>
  <c r="AD611" i="3"/>
  <c r="AC611" i="3"/>
  <c r="B465" i="6"/>
  <c r="AD658" i="3"/>
  <c r="AC658" i="3"/>
  <c r="AC683" i="3"/>
  <c r="AC686" i="3" s="1"/>
  <c r="B925" i="6"/>
  <c r="Y51" i="4"/>
  <c r="W51" i="4"/>
  <c r="V51" i="4"/>
  <c r="B895" i="6"/>
  <c r="Y74" i="4"/>
  <c r="W74" i="4"/>
  <c r="B894" i="6"/>
  <c r="W78" i="4"/>
  <c r="V78" i="4"/>
  <c r="W99" i="4"/>
  <c r="B958" i="6"/>
  <c r="Y99" i="4"/>
  <c r="V99" i="4"/>
  <c r="V176" i="4"/>
  <c r="B804" i="6"/>
  <c r="Y176" i="4"/>
  <c r="B883" i="6"/>
  <c r="Y217" i="4"/>
  <c r="W217" i="4"/>
  <c r="V217" i="4"/>
  <c r="Q889" i="6"/>
  <c r="D889" i="6"/>
  <c r="V889" i="6"/>
  <c r="V825" i="6"/>
  <c r="Q825" i="6"/>
  <c r="K825" i="6"/>
  <c r="I825" i="6"/>
  <c r="H825" i="6"/>
  <c r="V1009" i="6"/>
  <c r="E1009" i="6"/>
  <c r="V6" i="6"/>
  <c r="D6" i="6"/>
  <c r="V31" i="6"/>
  <c r="D31" i="6"/>
  <c r="B39" i="6"/>
  <c r="K97" i="6"/>
  <c r="J97" i="6"/>
  <c r="V97" i="6"/>
  <c r="B151" i="6"/>
  <c r="V196" i="6"/>
  <c r="Q259" i="6"/>
  <c r="V315" i="6"/>
  <c r="V329" i="6"/>
  <c r="B345" i="6"/>
  <c r="E369" i="6"/>
  <c r="B400" i="6"/>
  <c r="Q427" i="6"/>
  <c r="B446" i="6"/>
  <c r="B526" i="6"/>
  <c r="V637" i="6"/>
  <c r="G637" i="6"/>
  <c r="V768" i="6"/>
  <c r="I768" i="6"/>
  <c r="V946" i="6"/>
  <c r="D946" i="6"/>
  <c r="V994" i="6"/>
  <c r="E994" i="6"/>
  <c r="V1059" i="6"/>
  <c r="H1059" i="6"/>
  <c r="C33" i="2"/>
  <c r="I45" i="2"/>
  <c r="B58" i="2"/>
  <c r="B65" i="2" s="1"/>
  <c r="J58" i="2"/>
  <c r="J65" i="2" s="1"/>
  <c r="V238" i="6"/>
  <c r="R238" i="6"/>
  <c r="Q238" i="6"/>
  <c r="N238" i="6"/>
  <c r="AC44" i="3"/>
  <c r="AG678" i="3" s="1"/>
  <c r="AG715" i="3" s="1"/>
  <c r="AF48" i="3"/>
  <c r="AD51" i="3"/>
  <c r="B266" i="6"/>
  <c r="AD53" i="3"/>
  <c r="AD57" i="3"/>
  <c r="AD59" i="3"/>
  <c r="V156" i="6"/>
  <c r="K156" i="6"/>
  <c r="AF69" i="3"/>
  <c r="AD71" i="3"/>
  <c r="AF73" i="3"/>
  <c r="B232" i="6"/>
  <c r="AF76" i="3"/>
  <c r="AC79" i="3"/>
  <c r="AF84" i="3"/>
  <c r="AC87" i="3"/>
  <c r="V159" i="6"/>
  <c r="J159" i="6"/>
  <c r="I159" i="6"/>
  <c r="H159" i="6"/>
  <c r="AD92" i="3"/>
  <c r="AC94" i="3"/>
  <c r="AF97" i="3"/>
  <c r="AC100" i="3"/>
  <c r="AC102" i="3"/>
  <c r="B134" i="6"/>
  <c r="AF105" i="3"/>
  <c r="D206" i="6"/>
  <c r="V206" i="6"/>
  <c r="AD112" i="3"/>
  <c r="AC115" i="3"/>
  <c r="AF119" i="3"/>
  <c r="AD121" i="3"/>
  <c r="AD123" i="3"/>
  <c r="B171" i="6"/>
  <c r="AD126" i="3"/>
  <c r="AD128" i="3"/>
  <c r="V220" i="6"/>
  <c r="D220" i="6"/>
  <c r="AC135" i="3"/>
  <c r="V287" i="6"/>
  <c r="R287" i="6"/>
  <c r="D287" i="6"/>
  <c r="AF139" i="3"/>
  <c r="AD141" i="3"/>
  <c r="B214" i="6"/>
  <c r="AF143" i="3"/>
  <c r="AF146" i="3"/>
  <c r="AC153" i="3"/>
  <c r="B222" i="6"/>
  <c r="AD155" i="3"/>
  <c r="AF163" i="3"/>
  <c r="AC166" i="3"/>
  <c r="B451" i="6"/>
  <c r="AD168" i="3"/>
  <c r="AD181" i="3"/>
  <c r="B536" i="6"/>
  <c r="AF189" i="3"/>
  <c r="AD191" i="3"/>
  <c r="AC194" i="3"/>
  <c r="B537" i="6"/>
  <c r="AF196" i="3"/>
  <c r="AC196" i="3"/>
  <c r="AF203" i="3"/>
  <c r="AC207" i="3"/>
  <c r="B390" i="6"/>
  <c r="AF209" i="3"/>
  <c r="AC209" i="3"/>
  <c r="B392" i="6"/>
  <c r="AC211" i="3"/>
  <c r="V336" i="6"/>
  <c r="U336" i="6"/>
  <c r="T336" i="6"/>
  <c r="R336" i="6"/>
  <c r="Q336" i="6"/>
  <c r="I336" i="6"/>
  <c r="AF218" i="3"/>
  <c r="AF221" i="3"/>
  <c r="AC228" i="3"/>
  <c r="B250" i="6"/>
  <c r="AD230" i="3"/>
  <c r="AF238" i="3"/>
  <c r="AC244" i="3"/>
  <c r="B509" i="6"/>
  <c r="AF247" i="3"/>
  <c r="AC247" i="3"/>
  <c r="B511" i="6"/>
  <c r="AC249" i="3"/>
  <c r="V355" i="6"/>
  <c r="M355" i="6"/>
  <c r="AF257" i="3"/>
  <c r="AC266" i="3"/>
  <c r="B363" i="6"/>
  <c r="AD269" i="3"/>
  <c r="AC281" i="3"/>
  <c r="B496" i="6"/>
  <c r="AF283" i="3"/>
  <c r="AC283" i="3"/>
  <c r="B500" i="6"/>
  <c r="AC285" i="3"/>
  <c r="D498" i="6"/>
  <c r="V498" i="6"/>
  <c r="AF293" i="3"/>
  <c r="AC302" i="3"/>
  <c r="B497" i="6"/>
  <c r="AD304" i="3"/>
  <c r="AF318" i="3"/>
  <c r="AC326" i="3"/>
  <c r="AD328" i="3"/>
  <c r="B299" i="6"/>
  <c r="B437" i="6"/>
  <c r="AD340" i="3"/>
  <c r="AC355" i="3"/>
  <c r="B433" i="6"/>
  <c r="AF357" i="3"/>
  <c r="AC357" i="3"/>
  <c r="B442" i="6"/>
  <c r="AC360" i="3"/>
  <c r="V51" i="6"/>
  <c r="N51" i="6"/>
  <c r="AF367" i="3"/>
  <c r="AD373" i="3"/>
  <c r="AD375" i="3"/>
  <c r="AC377" i="3"/>
  <c r="AF380" i="3"/>
  <c r="B21" i="6"/>
  <c r="AD386" i="3"/>
  <c r="AD388" i="3"/>
  <c r="AC390" i="3"/>
  <c r="B414" i="6"/>
  <c r="AF393" i="3"/>
  <c r="AC426" i="3"/>
  <c r="AC441" i="3"/>
  <c r="V468" i="6"/>
  <c r="R468" i="6"/>
  <c r="AF454" i="3"/>
  <c r="AD460" i="3"/>
  <c r="AD462" i="3"/>
  <c r="AC465" i="3"/>
  <c r="B58" i="6"/>
  <c r="AD468" i="3"/>
  <c r="B77" i="6"/>
  <c r="AD476" i="3"/>
  <c r="AC476" i="3"/>
  <c r="AC482" i="3"/>
  <c r="AF497" i="3"/>
  <c r="AD497" i="3"/>
  <c r="AF502" i="3"/>
  <c r="B17" i="6"/>
  <c r="AD512" i="3"/>
  <c r="AC512" i="3"/>
  <c r="AC518" i="3"/>
  <c r="AF531" i="3"/>
  <c r="B184" i="6"/>
  <c r="AD531" i="3"/>
  <c r="AF535" i="3"/>
  <c r="AD545" i="3"/>
  <c r="AC545" i="3"/>
  <c r="B212" i="6"/>
  <c r="AC551" i="3"/>
  <c r="AC562" i="3"/>
  <c r="B94" i="6"/>
  <c r="AF573" i="3"/>
  <c r="AF575" i="3"/>
  <c r="V116" i="6"/>
  <c r="D116" i="6"/>
  <c r="AD594" i="3"/>
  <c r="B13" i="6"/>
  <c r="AC594" i="3"/>
  <c r="AC598" i="3"/>
  <c r="B203" i="6"/>
  <c r="AF609" i="3"/>
  <c r="AF611" i="3"/>
  <c r="B489" i="6"/>
  <c r="AF640" i="3"/>
  <c r="AD640" i="3"/>
  <c r="B318" i="6"/>
  <c r="AF647" i="3"/>
  <c r="B463" i="6"/>
  <c r="AF656" i="3"/>
  <c r="AF658" i="3"/>
  <c r="V74" i="4"/>
  <c r="Y78" i="4"/>
  <c r="B898" i="6"/>
  <c r="Y96" i="4"/>
  <c r="W96" i="4"/>
  <c r="W106" i="4"/>
  <c r="B929" i="6"/>
  <c r="V959" i="6"/>
  <c r="D959" i="6"/>
  <c r="V132" i="4"/>
  <c r="Y132" i="4"/>
  <c r="W132" i="4"/>
  <c r="B963" i="6"/>
  <c r="B843" i="6"/>
  <c r="V156" i="4"/>
  <c r="Y156" i="4"/>
  <c r="W169" i="4"/>
  <c r="B851" i="6"/>
  <c r="W176" i="4"/>
  <c r="V199" i="4"/>
  <c r="B928" i="6"/>
  <c r="Y199" i="4"/>
  <c r="W199" i="4"/>
  <c r="W204" i="4"/>
  <c r="Y204" i="4"/>
  <c r="B990" i="6"/>
  <c r="V204" i="4"/>
  <c r="V884" i="6"/>
  <c r="Q884" i="6"/>
  <c r="V937" i="6"/>
  <c r="Q937" i="6"/>
  <c r="P937" i="6"/>
  <c r="I97" i="6"/>
  <c r="B118" i="6"/>
  <c r="V197" i="6"/>
  <c r="G197" i="6"/>
  <c r="V297" i="6"/>
  <c r="Q297" i="6"/>
  <c r="D297" i="6"/>
  <c r="B331" i="6"/>
  <c r="Q350" i="6"/>
  <c r="V427" i="6"/>
  <c r="Q468" i="6"/>
  <c r="B528" i="6"/>
  <c r="V562" i="6"/>
  <c r="I562" i="6"/>
  <c r="V594" i="6"/>
  <c r="I594" i="6"/>
  <c r="V704" i="6"/>
  <c r="Q704" i="6"/>
  <c r="V800" i="6"/>
  <c r="Q800" i="6"/>
  <c r="E1014" i="6"/>
  <c r="V1143" i="6"/>
  <c r="Q1143" i="6"/>
  <c r="F1143" i="6"/>
  <c r="V1147" i="6"/>
  <c r="I1147" i="6"/>
  <c r="D33" i="2"/>
  <c r="B45" i="2"/>
  <c r="J45" i="2"/>
  <c r="C58" i="2"/>
  <c r="C65" i="2" s="1"/>
  <c r="V263" i="6"/>
  <c r="Q263" i="6"/>
  <c r="V154" i="6"/>
  <c r="I154" i="6"/>
  <c r="B242" i="6"/>
  <c r="AC75" i="3"/>
  <c r="V252" i="6"/>
  <c r="Q252" i="6"/>
  <c r="I252" i="6"/>
  <c r="H252" i="6"/>
  <c r="G252" i="6"/>
  <c r="B271" i="6"/>
  <c r="AD96" i="3"/>
  <c r="B131" i="6"/>
  <c r="AF118" i="3"/>
  <c r="B248" i="6"/>
  <c r="AC145" i="3"/>
  <c r="V244" i="6"/>
  <c r="Q244" i="6"/>
  <c r="V531" i="6"/>
  <c r="D531" i="6"/>
  <c r="Q372" i="6"/>
  <c r="O372" i="6"/>
  <c r="I372" i="6"/>
  <c r="V372" i="6"/>
  <c r="R372" i="6"/>
  <c r="V325" i="6"/>
  <c r="Q325" i="6"/>
  <c r="F325" i="6"/>
  <c r="E325" i="6"/>
  <c r="E505" i="6"/>
  <c r="V505" i="6"/>
  <c r="F505" i="6"/>
  <c r="B300" i="6"/>
  <c r="AF290" i="3"/>
  <c r="B268" i="6"/>
  <c r="AF315" i="3"/>
  <c r="Q319" i="6"/>
  <c r="D319" i="6"/>
  <c r="V319" i="6"/>
  <c r="B53" i="6"/>
  <c r="AD365" i="3"/>
  <c r="B412" i="6"/>
  <c r="AF396" i="3"/>
  <c r="AC396" i="3"/>
  <c r="AC398" i="3"/>
  <c r="B421" i="6"/>
  <c r="V422" i="6"/>
  <c r="H422" i="6"/>
  <c r="F422" i="6"/>
  <c r="E422" i="6"/>
  <c r="B411" i="6"/>
  <c r="AF411" i="3"/>
  <c r="AC411" i="3"/>
  <c r="B377" i="6"/>
  <c r="AC414" i="3"/>
  <c r="V65" i="6"/>
  <c r="M65" i="6"/>
  <c r="B67" i="6"/>
  <c r="AF474" i="3"/>
  <c r="B100" i="6"/>
  <c r="AD491" i="3"/>
  <c r="AC491" i="3"/>
  <c r="B12" i="6"/>
  <c r="AF510" i="3"/>
  <c r="B140" i="6"/>
  <c r="AD527" i="3"/>
  <c r="AC527" i="3"/>
  <c r="B130" i="6"/>
  <c r="AF543" i="3"/>
  <c r="B219" i="6"/>
  <c r="AD567" i="3"/>
  <c r="AC567" i="3"/>
  <c r="AF589" i="3"/>
  <c r="AD589" i="3"/>
  <c r="AD603" i="3"/>
  <c r="AC603" i="3"/>
  <c r="AF624" i="3"/>
  <c r="AD624" i="3"/>
  <c r="AD636" i="3"/>
  <c r="AC636" i="3"/>
  <c r="B492" i="6"/>
  <c r="AD653" i="3"/>
  <c r="AC653" i="3"/>
  <c r="V52" i="4"/>
  <c r="B926" i="6"/>
  <c r="Y52" i="4"/>
  <c r="Y93" i="4"/>
  <c r="W93" i="4"/>
  <c r="V93" i="4"/>
  <c r="B834" i="6"/>
  <c r="B839" i="6"/>
  <c r="Y111" i="4"/>
  <c r="W111" i="4"/>
  <c r="B902" i="6"/>
  <c r="W114" i="4"/>
  <c r="V114" i="4"/>
  <c r="W136" i="4"/>
  <c r="Y136" i="4"/>
  <c r="V136" i="4"/>
  <c r="V989" i="6"/>
  <c r="D989" i="6"/>
  <c r="V866" i="6"/>
  <c r="Q866" i="6"/>
  <c r="E866" i="6"/>
  <c r="V218" i="4"/>
  <c r="B915" i="6"/>
  <c r="Y218" i="4"/>
  <c r="V235" i="4"/>
  <c r="Y235" i="4"/>
  <c r="W235" i="4"/>
  <c r="B870" i="6"/>
  <c r="W238" i="4"/>
  <c r="B877" i="6"/>
  <c r="Y238" i="4"/>
  <c r="V238" i="4"/>
  <c r="B44" i="6"/>
  <c r="B176" i="6"/>
  <c r="B202" i="6"/>
  <c r="B225" i="6"/>
  <c r="Q245" i="6"/>
  <c r="R350" i="6"/>
  <c r="G473" i="6"/>
  <c r="V507" i="6"/>
  <c r="V559" i="6"/>
  <c r="I559" i="6"/>
  <c r="V591" i="6"/>
  <c r="I591" i="6"/>
  <c r="V765" i="6"/>
  <c r="I765" i="6"/>
  <c r="V832" i="6"/>
  <c r="Q832" i="6"/>
  <c r="F832" i="6"/>
  <c r="V1035" i="6"/>
  <c r="H1035" i="6"/>
  <c r="V1056" i="6"/>
  <c r="J1056" i="6"/>
  <c r="G2601" i="7"/>
  <c r="G2610" i="7" s="1"/>
  <c r="G2619" i="7" s="1"/>
  <c r="G2628" i="7" s="1"/>
  <c r="G2637" i="7" s="1"/>
  <c r="G2646" i="7" s="1"/>
  <c r="G2655" i="7" s="1"/>
  <c r="G2664" i="7" s="1"/>
  <c r="G2673" i="7" s="1"/>
  <c r="G2682" i="7" s="1"/>
  <c r="G2691" i="7" s="1"/>
  <c r="G2700" i="7" s="1"/>
  <c r="G2709" i="7" s="1"/>
  <c r="G2718" i="7" s="1"/>
  <c r="G2727" i="7" s="1"/>
  <c r="G2736" i="7" s="1"/>
  <c r="G2745" i="7" s="1"/>
  <c r="G2754" i="7" s="1"/>
  <c r="G2763" i="7" s="1"/>
  <c r="G2772" i="7" s="1"/>
  <c r="G2781" i="7" s="1"/>
  <c r="G2790" i="7" s="1"/>
  <c r="G2799" i="7" s="1"/>
  <c r="G2808" i="7" s="1"/>
  <c r="G2817" i="7" s="1"/>
  <c r="G2826" i="7" s="1"/>
  <c r="G2835" i="7" s="1"/>
  <c r="G2844" i="7" s="1"/>
  <c r="G2853" i="7" s="1"/>
  <c r="G2862" i="7" s="1"/>
  <c r="G2871" i="7" s="1"/>
  <c r="G2880" i="7" s="1"/>
  <c r="G2889" i="7" s="1"/>
  <c r="G2898" i="7" s="1"/>
  <c r="G2907" i="7" s="1"/>
  <c r="G2916" i="7" s="1"/>
  <c r="G2925" i="7" s="1"/>
  <c r="G2934" i="7" s="1"/>
  <c r="G2943" i="7" s="1"/>
  <c r="G2952" i="7" s="1"/>
  <c r="G2961" i="7" s="1"/>
  <c r="G2970" i="7" s="1"/>
  <c r="G2979" i="7" s="1"/>
  <c r="G2988" i="7" s="1"/>
  <c r="G2997" i="7" s="1"/>
  <c r="G3006" i="7" s="1"/>
  <c r="G3015" i="7" s="1"/>
  <c r="G1989" i="7"/>
  <c r="G1998" i="7"/>
  <c r="G2007" i="7" s="1"/>
  <c r="G2016" i="7" s="1"/>
  <c r="G2025" i="7" s="1"/>
  <c r="G2034" i="7" s="1"/>
  <c r="G2043" i="7" s="1"/>
  <c r="G2052" i="7" s="1"/>
  <c r="G2061" i="7" s="1"/>
  <c r="G2070" i="7" s="1"/>
  <c r="G2079" i="7" s="1"/>
  <c r="G2088" i="7" s="1"/>
  <c r="G2097" i="7" s="1"/>
  <c r="G2106" i="7" s="1"/>
  <c r="G2115" i="7" s="1"/>
  <c r="G2124" i="7" s="1"/>
  <c r="G2133" i="7" s="1"/>
  <c r="G2142" i="7" s="1"/>
  <c r="E33" i="2"/>
  <c r="C45" i="2"/>
  <c r="D58" i="2"/>
  <c r="D65" i="2" s="1"/>
  <c r="AF44" i="3"/>
  <c r="AC47" i="3"/>
  <c r="B265" i="6"/>
  <c r="AC50" i="3"/>
  <c r="V240" i="6"/>
  <c r="R240" i="6"/>
  <c r="Q240" i="6"/>
  <c r="AC64" i="3"/>
  <c r="B191" i="6"/>
  <c r="AD70" i="3"/>
  <c r="AD75" i="3"/>
  <c r="AC83" i="3"/>
  <c r="V277" i="6"/>
  <c r="Q277" i="6"/>
  <c r="J277" i="6"/>
  <c r="I277" i="6"/>
  <c r="AF87" i="3"/>
  <c r="B169" i="6"/>
  <c r="AF91" i="3"/>
  <c r="AF94" i="3"/>
  <c r="AC96" i="3"/>
  <c r="AC104" i="3"/>
  <c r="V166" i="6"/>
  <c r="E166" i="6"/>
  <c r="AC111" i="3"/>
  <c r="AF115" i="3"/>
  <c r="AC118" i="3"/>
  <c r="B165" i="6"/>
  <c r="AC120" i="3"/>
  <c r="D180" i="6"/>
  <c r="V180" i="6"/>
  <c r="AC132" i="3"/>
  <c r="AF135" i="3"/>
  <c r="B187" i="6"/>
  <c r="AD140" i="3"/>
  <c r="AD145" i="3"/>
  <c r="AC162" i="3"/>
  <c r="B351" i="6"/>
  <c r="AD164" i="3"/>
  <c r="AF166" i="3"/>
  <c r="F535" i="6"/>
  <c r="D535" i="6"/>
  <c r="V535" i="6"/>
  <c r="AC188" i="3"/>
  <c r="B533" i="6"/>
  <c r="AD190" i="3"/>
  <c r="AC202" i="3"/>
  <c r="B374" i="6"/>
  <c r="AD204" i="3"/>
  <c r="AC215" i="3"/>
  <c r="B328" i="6"/>
  <c r="AF217" i="3"/>
  <c r="AC217" i="3"/>
  <c r="B375" i="6"/>
  <c r="AC220" i="3"/>
  <c r="AC237" i="3"/>
  <c r="B237" i="6"/>
  <c r="AD240" i="3"/>
  <c r="AC253" i="3"/>
  <c r="AF255" i="3"/>
  <c r="B341" i="6"/>
  <c r="AC255" i="3"/>
  <c r="AC258" i="3"/>
  <c r="B512" i="6"/>
  <c r="V366" i="6"/>
  <c r="F366" i="6"/>
  <c r="AC275" i="3"/>
  <c r="B362" i="6"/>
  <c r="AD278" i="3"/>
  <c r="AC290" i="3"/>
  <c r="B304" i="6"/>
  <c r="AF292" i="3"/>
  <c r="AC292" i="3"/>
  <c r="B306" i="6"/>
  <c r="AC294" i="3"/>
  <c r="D308" i="6"/>
  <c r="V308" i="6"/>
  <c r="Q308" i="6"/>
  <c r="AC315" i="3"/>
  <c r="AF317" i="3"/>
  <c r="B199" i="6"/>
  <c r="AC317" i="3"/>
  <c r="B201" i="6"/>
  <c r="AC319" i="3"/>
  <c r="I269" i="6"/>
  <c r="V269" i="6"/>
  <c r="Q269" i="6"/>
  <c r="AC334" i="3"/>
  <c r="B428" i="6"/>
  <c r="AD336" i="3"/>
  <c r="AC348" i="3"/>
  <c r="AD351" i="3"/>
  <c r="B441" i="6"/>
  <c r="AC365" i="3"/>
  <c r="V424" i="6"/>
  <c r="Q424" i="6"/>
  <c r="P424" i="6"/>
  <c r="O424" i="6"/>
  <c r="AD396" i="3"/>
  <c r="AD398" i="3"/>
  <c r="AC401" i="3"/>
  <c r="B415" i="6"/>
  <c r="AF404" i="3"/>
  <c r="AD411" i="3"/>
  <c r="AD414" i="3"/>
  <c r="AC417" i="3"/>
  <c r="B382" i="6"/>
  <c r="AF419" i="3"/>
  <c r="B477" i="6"/>
  <c r="AF435" i="3"/>
  <c r="AC453" i="3"/>
  <c r="V346" i="6"/>
  <c r="Q346" i="6"/>
  <c r="AC474" i="3"/>
  <c r="AF487" i="3"/>
  <c r="AD487" i="3"/>
  <c r="B88" i="6"/>
  <c r="B69" i="6"/>
  <c r="AD503" i="3"/>
  <c r="AC503" i="3"/>
  <c r="AF523" i="3"/>
  <c r="AD523" i="3"/>
  <c r="B113" i="6"/>
  <c r="B278" i="6"/>
  <c r="AD536" i="3"/>
  <c r="AC536" i="3"/>
  <c r="B295" i="6"/>
  <c r="AF558" i="3"/>
  <c r="AD558" i="3"/>
  <c r="V57" i="6"/>
  <c r="M57" i="6"/>
  <c r="AD585" i="3"/>
  <c r="AC585" i="3"/>
  <c r="B105" i="6"/>
  <c r="AF601" i="3"/>
  <c r="AD619" i="3"/>
  <c r="AC619" i="3"/>
  <c r="B107" i="6"/>
  <c r="B488" i="6"/>
  <c r="AF632" i="3"/>
  <c r="AD632" i="3"/>
  <c r="V466" i="6"/>
  <c r="D466" i="6"/>
  <c r="AC697" i="3"/>
  <c r="AC700" i="3" s="1"/>
  <c r="B810" i="6"/>
  <c r="W48" i="4"/>
  <c r="Z370" i="4"/>
  <c r="Z407" i="4" s="1"/>
  <c r="W52" i="4"/>
  <c r="V76" i="4"/>
  <c r="B954" i="6"/>
  <c r="Y76" i="4"/>
  <c r="W76" i="4"/>
  <c r="W79" i="4"/>
  <c r="B896" i="6"/>
  <c r="Y79" i="4"/>
  <c r="V79" i="4"/>
  <c r="V111" i="4"/>
  <c r="Y114" i="4"/>
  <c r="B964" i="6"/>
  <c r="Y133" i="4"/>
  <c r="W133" i="4"/>
  <c r="B973" i="6"/>
  <c r="W147" i="4"/>
  <c r="V975" i="6"/>
  <c r="J975" i="6"/>
  <c r="B943" i="6"/>
  <c r="V178" i="4"/>
  <c r="Y178" i="4"/>
  <c r="W178" i="4"/>
  <c r="B823" i="6"/>
  <c r="V201" i="4"/>
  <c r="Y201" i="4"/>
  <c r="B871" i="6"/>
  <c r="W214" i="4"/>
  <c r="W218" i="4"/>
  <c r="L356" i="4"/>
  <c r="N1175" i="6"/>
  <c r="V382" i="4"/>
  <c r="F26" i="5"/>
  <c r="F25" i="5"/>
  <c r="F27" i="5"/>
  <c r="E11" i="6"/>
  <c r="B49" i="6"/>
  <c r="B68" i="6"/>
  <c r="B124" i="6"/>
  <c r="V245" i="6"/>
  <c r="V322" i="6"/>
  <c r="M322" i="6"/>
  <c r="B335" i="6"/>
  <c r="B378" i="6"/>
  <c r="V405" i="6"/>
  <c r="O405" i="6"/>
  <c r="N405" i="6"/>
  <c r="V417" i="6"/>
  <c r="V534" i="6"/>
  <c r="D534" i="6"/>
  <c r="V688" i="6"/>
  <c r="Q688" i="6"/>
  <c r="E688" i="6"/>
  <c r="V797" i="6"/>
  <c r="E797" i="6"/>
  <c r="D884" i="6"/>
  <c r="V960" i="6"/>
  <c r="D960" i="6"/>
  <c r="F33" i="2"/>
  <c r="E58" i="2"/>
  <c r="E65" i="2" s="1"/>
  <c r="G68" i="2"/>
  <c r="AF40" i="3"/>
  <c r="B239" i="6"/>
  <c r="AD43" i="3"/>
  <c r="AD47" i="3"/>
  <c r="AD50" i="3"/>
  <c r="V264" i="6"/>
  <c r="Q264" i="6"/>
  <c r="AC58" i="3"/>
  <c r="V258" i="6"/>
  <c r="Q258" i="6"/>
  <c r="AF61" i="3"/>
  <c r="AD64" i="3"/>
  <c r="AF68" i="3"/>
  <c r="AC70" i="3"/>
  <c r="AF75" i="3"/>
  <c r="AC78" i="3"/>
  <c r="AD83" i="3"/>
  <c r="AC85" i="3"/>
  <c r="AF89" i="3"/>
  <c r="AC91" i="3"/>
  <c r="AF96" i="3"/>
  <c r="AD104" i="3"/>
  <c r="AC106" i="3"/>
  <c r="AF109" i="3"/>
  <c r="B276" i="6"/>
  <c r="AD113" i="3"/>
  <c r="AD118" i="3"/>
  <c r="AD120" i="3"/>
  <c r="V170" i="6"/>
  <c r="D170" i="6"/>
  <c r="AC127" i="3"/>
  <c r="AF130" i="3"/>
  <c r="AD132" i="3"/>
  <c r="B283" i="6"/>
  <c r="AF134" i="3"/>
  <c r="AF137" i="3"/>
  <c r="AC140" i="3"/>
  <c r="AF145" i="3"/>
  <c r="B289" i="6"/>
  <c r="AF149" i="3"/>
  <c r="AD162" i="3"/>
  <c r="AC164" i="3"/>
  <c r="AC173" i="3"/>
  <c r="B522" i="6"/>
  <c r="AF176" i="3"/>
  <c r="AD188" i="3"/>
  <c r="AC190" i="3"/>
  <c r="AD202" i="3"/>
  <c r="AC204" i="3"/>
  <c r="V386" i="6"/>
  <c r="R386" i="6"/>
  <c r="Q386" i="6"/>
  <c r="I386" i="6"/>
  <c r="V391" i="6"/>
  <c r="K391" i="6"/>
  <c r="AF213" i="3"/>
  <c r="AD215" i="3"/>
  <c r="AD217" i="3"/>
  <c r="AD220" i="3"/>
  <c r="B330" i="6"/>
  <c r="AF224" i="3"/>
  <c r="AD237" i="3"/>
  <c r="AC240" i="3"/>
  <c r="V510" i="6"/>
  <c r="N510" i="6"/>
  <c r="AF251" i="3"/>
  <c r="AD253" i="3"/>
  <c r="AD255" i="3"/>
  <c r="AD258" i="3"/>
  <c r="AC261" i="3"/>
  <c r="B368" i="6"/>
  <c r="AF263" i="3"/>
  <c r="AD275" i="3"/>
  <c r="AC278" i="3"/>
  <c r="V499" i="6"/>
  <c r="E499" i="6"/>
  <c r="D499" i="6"/>
  <c r="AF288" i="3"/>
  <c r="AD290" i="3"/>
  <c r="AD292" i="3"/>
  <c r="AD294" i="3"/>
  <c r="AC296" i="3"/>
  <c r="B310" i="6"/>
  <c r="AF298" i="3"/>
  <c r="AF313" i="3"/>
  <c r="AD315" i="3"/>
  <c r="AD317" i="3"/>
  <c r="AD319" i="3"/>
  <c r="AC321" i="3"/>
  <c r="B296" i="6"/>
  <c r="AF323" i="3"/>
  <c r="AD334" i="3"/>
  <c r="AC336" i="3"/>
  <c r="AD348" i="3"/>
  <c r="AC351" i="3"/>
  <c r="V432" i="6"/>
  <c r="D432" i="6"/>
  <c r="AF363" i="3"/>
  <c r="AF365" i="3"/>
  <c r="AC374" i="3"/>
  <c r="AC387" i="3"/>
  <c r="B426" i="6"/>
  <c r="AD389" i="3"/>
  <c r="AF398" i="3"/>
  <c r="AD401" i="3"/>
  <c r="AC404" i="3"/>
  <c r="B419" i="6"/>
  <c r="AF406" i="3"/>
  <c r="AC406" i="3"/>
  <c r="AF414" i="3"/>
  <c r="AD417" i="3"/>
  <c r="AC419" i="3"/>
  <c r="B383" i="6"/>
  <c r="AF422" i="3"/>
  <c r="AC422" i="3"/>
  <c r="B399" i="6"/>
  <c r="AC425" i="3"/>
  <c r="V401" i="6"/>
  <c r="E401" i="6"/>
  <c r="D401" i="6"/>
  <c r="AC435" i="3"/>
  <c r="B454" i="6"/>
  <c r="AF438" i="3"/>
  <c r="AC438" i="3"/>
  <c r="B475" i="6"/>
  <c r="AC440" i="3"/>
  <c r="H455" i="6"/>
  <c r="G455" i="6"/>
  <c r="F455" i="6"/>
  <c r="R455" i="6"/>
  <c r="Q455" i="6"/>
  <c r="AF450" i="3"/>
  <c r="AF453" i="3"/>
  <c r="AC461" i="3"/>
  <c r="AD474" i="3"/>
  <c r="B84" i="6"/>
  <c r="AD483" i="3"/>
  <c r="AC483" i="3"/>
  <c r="AC487" i="3"/>
  <c r="AF503" i="3"/>
  <c r="AD510" i="3"/>
  <c r="AD519" i="3"/>
  <c r="AC519" i="3"/>
  <c r="AC523" i="3"/>
  <c r="AF536" i="3"/>
  <c r="AD543" i="3"/>
  <c r="AD553" i="3"/>
  <c r="AC553" i="3"/>
  <c r="B23" i="6"/>
  <c r="AC558" i="3"/>
  <c r="AC565" i="3"/>
  <c r="AF581" i="3"/>
  <c r="B8" i="6"/>
  <c r="AD581" i="3"/>
  <c r="AF585" i="3"/>
  <c r="B18" i="6"/>
  <c r="AD595" i="3"/>
  <c r="AC595" i="3"/>
  <c r="AC601" i="3"/>
  <c r="B19" i="6"/>
  <c r="AF615" i="3"/>
  <c r="AD615" i="3"/>
  <c r="AF619" i="3"/>
  <c r="AC632" i="3"/>
  <c r="B494" i="6"/>
  <c r="AF661" i="3"/>
  <c r="AD661" i="3"/>
  <c r="V48" i="4"/>
  <c r="V94" i="4"/>
  <c r="B841" i="6"/>
  <c r="Y94" i="4"/>
  <c r="Y129" i="4"/>
  <c r="W129" i="4"/>
  <c r="V129" i="4"/>
  <c r="B886" i="6"/>
  <c r="V133" i="4"/>
  <c r="V147" i="4"/>
  <c r="B848" i="6"/>
  <c r="Y153" i="4"/>
  <c r="W153" i="4"/>
  <c r="B845" i="6"/>
  <c r="W157" i="4"/>
  <c r="V157" i="4"/>
  <c r="W183" i="4"/>
  <c r="Y183" i="4"/>
  <c r="V183" i="4"/>
  <c r="B982" i="6"/>
  <c r="W201" i="4"/>
  <c r="V214" i="4"/>
  <c r="V880" i="6"/>
  <c r="Q880" i="6"/>
  <c r="V236" i="4"/>
  <c r="B875" i="6"/>
  <c r="Y236" i="4"/>
  <c r="G27" i="5"/>
  <c r="G26" i="5"/>
  <c r="G25" i="5"/>
  <c r="V25" i="6"/>
  <c r="B34" i="6"/>
  <c r="V87" i="6"/>
  <c r="J87" i="6"/>
  <c r="V143" i="6"/>
  <c r="D183" i="6"/>
  <c r="B230" i="6"/>
  <c r="H322" i="6"/>
  <c r="B457" i="6"/>
  <c r="V556" i="6"/>
  <c r="R556" i="6"/>
  <c r="V588" i="6"/>
  <c r="I588" i="6"/>
  <c r="B966" i="6"/>
  <c r="V1022" i="6"/>
  <c r="J1022" i="6"/>
  <c r="B234" i="6"/>
  <c r="AF39" i="3"/>
  <c r="AG679" i="3" s="1"/>
  <c r="Q262" i="6"/>
  <c r="D262" i="6"/>
  <c r="V262" i="6"/>
  <c r="B160" i="6"/>
  <c r="AC67" i="3"/>
  <c r="V241" i="6"/>
  <c r="Q241" i="6"/>
  <c r="M241" i="6"/>
  <c r="B149" i="6"/>
  <c r="AD88" i="3"/>
  <c r="V267" i="6"/>
  <c r="S267" i="6"/>
  <c r="S1153" i="6" s="1"/>
  <c r="S1156" i="6" s="1"/>
  <c r="V135" i="6"/>
  <c r="E135" i="6"/>
  <c r="D135" i="6"/>
  <c r="B182" i="6"/>
  <c r="AF108" i="3"/>
  <c r="V172" i="6"/>
  <c r="D172" i="6"/>
  <c r="B286" i="6"/>
  <c r="AC136" i="3"/>
  <c r="V215" i="6"/>
  <c r="D215" i="6"/>
  <c r="B292" i="6"/>
  <c r="AF151" i="3"/>
  <c r="AC151" i="3"/>
  <c r="AC154" i="3"/>
  <c r="B178" i="6"/>
  <c r="AC167" i="3"/>
  <c r="B450" i="6"/>
  <c r="V449" i="6"/>
  <c r="D449" i="6"/>
  <c r="B524" i="6"/>
  <c r="AF178" i="3"/>
  <c r="AC178" i="3"/>
  <c r="B527" i="6"/>
  <c r="AC180" i="3"/>
  <c r="V538" i="6"/>
  <c r="D538" i="6"/>
  <c r="B529" i="6"/>
  <c r="AD200" i="3"/>
  <c r="B301" i="6"/>
  <c r="AF226" i="3"/>
  <c r="AC226" i="3"/>
  <c r="B393" i="6"/>
  <c r="AC229" i="3"/>
  <c r="F324" i="6"/>
  <c r="V324" i="6"/>
  <c r="Q324" i="6"/>
  <c r="G324" i="6"/>
  <c r="B354" i="6"/>
  <c r="AD250" i="3"/>
  <c r="AF265" i="3"/>
  <c r="AC265" i="3"/>
  <c r="B302" i="6"/>
  <c r="AC267" i="3"/>
  <c r="E364" i="6"/>
  <c r="D364" i="6"/>
  <c r="B516" i="6"/>
  <c r="AD286" i="3"/>
  <c r="B359" i="6"/>
  <c r="AF301" i="3"/>
  <c r="AC301" i="3"/>
  <c r="B469" i="6"/>
  <c r="AC303" i="3"/>
  <c r="V470" i="6"/>
  <c r="Q470" i="6"/>
  <c r="B195" i="6"/>
  <c r="AD312" i="3"/>
  <c r="AF325" i="3"/>
  <c r="B314" i="6"/>
  <c r="AC325" i="3"/>
  <c r="B311" i="6"/>
  <c r="AC327" i="3"/>
  <c r="V358" i="6"/>
  <c r="D358" i="6"/>
  <c r="V22" i="6"/>
  <c r="D22" i="6"/>
  <c r="B398" i="6"/>
  <c r="AF431" i="3"/>
  <c r="B226" i="6"/>
  <c r="AF464" i="3"/>
  <c r="AC464" i="3"/>
  <c r="B228" i="6"/>
  <c r="AC466" i="3"/>
  <c r="V59" i="6"/>
  <c r="I59" i="6"/>
  <c r="B80" i="6"/>
  <c r="AF479" i="3"/>
  <c r="AD479" i="3"/>
  <c r="B101" i="6"/>
  <c r="AD493" i="3"/>
  <c r="AC493" i="3"/>
  <c r="AF515" i="3"/>
  <c r="AD515" i="3"/>
  <c r="B45" i="6"/>
  <c r="B141" i="6"/>
  <c r="AD528" i="3"/>
  <c r="AC528" i="3"/>
  <c r="B281" i="6"/>
  <c r="AF548" i="3"/>
  <c r="AD548" i="3"/>
  <c r="V89" i="6"/>
  <c r="M89" i="6"/>
  <c r="K89" i="6"/>
  <c r="B95" i="6"/>
  <c r="AD574" i="3"/>
  <c r="AC574" i="3"/>
  <c r="V121" i="6"/>
  <c r="D121" i="6"/>
  <c r="AD610" i="3"/>
  <c r="AC610" i="3"/>
  <c r="B485" i="6"/>
  <c r="AD637" i="3"/>
  <c r="AC637" i="3"/>
  <c r="AD657" i="3"/>
  <c r="AC657" i="3"/>
  <c r="B464" i="6"/>
  <c r="N6" i="12"/>
  <c r="N6" i="10"/>
  <c r="AC712" i="3"/>
  <c r="V54" i="4"/>
  <c r="Y54" i="4"/>
  <c r="W54" i="4"/>
  <c r="V77" i="4"/>
  <c r="B892" i="6"/>
  <c r="Y77" i="4"/>
  <c r="W89" i="4"/>
  <c r="B914" i="6"/>
  <c r="V112" i="4"/>
  <c r="Y112" i="4"/>
  <c r="W112" i="4"/>
  <c r="B897" i="6"/>
  <c r="W115" i="4"/>
  <c r="B903" i="6"/>
  <c r="Y115" i="4"/>
  <c r="V115" i="4"/>
  <c r="B980" i="6"/>
  <c r="Y180" i="4"/>
  <c r="W180" i="4"/>
  <c r="W191" i="4"/>
  <c r="B814" i="6"/>
  <c r="V988" i="6"/>
  <c r="D988" i="6"/>
  <c r="V219" i="4"/>
  <c r="Y219" i="4"/>
  <c r="W219" i="4"/>
  <c r="B916" i="6"/>
  <c r="V1032" i="6"/>
  <c r="H1032" i="6"/>
  <c r="B1053" i="6"/>
  <c r="W351" i="4"/>
  <c r="V351" i="4"/>
  <c r="B106" i="6"/>
  <c r="B189" i="6"/>
  <c r="B251" i="6"/>
  <c r="B307" i="6"/>
  <c r="B326" i="6"/>
  <c r="B339" i="6"/>
  <c r="G422" i="6"/>
  <c r="V438" i="6"/>
  <c r="B514" i="6"/>
  <c r="V858" i="6"/>
  <c r="Q858" i="6"/>
  <c r="D858" i="6"/>
  <c r="V890" i="6"/>
  <c r="Q890" i="6"/>
  <c r="D890" i="6"/>
  <c r="V648" i="6"/>
  <c r="Q648" i="6"/>
  <c r="V652" i="6"/>
  <c r="Q652" i="6"/>
  <c r="V656" i="6"/>
  <c r="Q656" i="6"/>
  <c r="V660" i="6"/>
  <c r="Q660" i="6"/>
  <c r="V664" i="6"/>
  <c r="Q664" i="6"/>
  <c r="V668" i="6"/>
  <c r="Q668" i="6"/>
  <c r="V672" i="6"/>
  <c r="Q672" i="6"/>
  <c r="G672" i="6"/>
  <c r="V684" i="6"/>
  <c r="Q684" i="6"/>
  <c r="V739" i="6"/>
  <c r="Q739" i="6"/>
  <c r="V818" i="6"/>
  <c r="D818" i="6"/>
  <c r="V827" i="6"/>
  <c r="Q827" i="6"/>
  <c r="F827" i="6"/>
  <c r="V864" i="6"/>
  <c r="Q864" i="6"/>
  <c r="V910" i="6"/>
  <c r="Q910" i="6"/>
  <c r="V974" i="6"/>
  <c r="J974" i="6"/>
  <c r="V1092" i="6"/>
  <c r="D1092" i="6"/>
  <c r="V1125" i="6"/>
  <c r="H1125" i="6"/>
  <c r="G1125" i="6"/>
  <c r="V1133" i="6"/>
  <c r="Q1133" i="6"/>
  <c r="V7" i="6"/>
  <c r="D7" i="6"/>
  <c r="V35" i="6"/>
  <c r="D35" i="6"/>
  <c r="B64" i="6"/>
  <c r="K78" i="6"/>
  <c r="V93" i="6"/>
  <c r="M93" i="6"/>
  <c r="B126" i="6"/>
  <c r="V139" i="6"/>
  <c r="D139" i="6"/>
  <c r="B396" i="6"/>
  <c r="V484" i="6"/>
  <c r="Q484" i="6"/>
  <c r="V541" i="6"/>
  <c r="Q541" i="6"/>
  <c r="V640" i="6"/>
  <c r="Q640" i="6"/>
  <c r="E640" i="6"/>
  <c r="E648" i="6"/>
  <c r="F652" i="6"/>
  <c r="F656" i="6"/>
  <c r="D660" i="6"/>
  <c r="G664" i="6"/>
  <c r="D668" i="6"/>
  <c r="F672" i="6"/>
  <c r="V676" i="6"/>
  <c r="Q676" i="6"/>
  <c r="D676" i="6"/>
  <c r="V680" i="6"/>
  <c r="Q680" i="6"/>
  <c r="K684" i="6"/>
  <c r="Q733" i="6"/>
  <c r="Q736" i="6"/>
  <c r="V779" i="6"/>
  <c r="K779" i="6"/>
  <c r="V807" i="6"/>
  <c r="J807" i="6"/>
  <c r="V838" i="6"/>
  <c r="Q838" i="6"/>
  <c r="V854" i="6"/>
  <c r="Q854" i="6"/>
  <c r="D864" i="6"/>
  <c r="V906" i="6"/>
  <c r="Q906" i="6"/>
  <c r="D910" i="6"/>
  <c r="M931" i="6"/>
  <c r="B948" i="6"/>
  <c r="H968" i="6"/>
  <c r="V1002" i="6"/>
  <c r="D1002" i="6"/>
  <c r="E1043" i="6"/>
  <c r="V1070" i="6"/>
  <c r="D1070" i="6"/>
  <c r="H1089" i="6"/>
  <c r="V1118" i="6"/>
  <c r="Q1118" i="6"/>
  <c r="F1125" i="6"/>
  <c r="V1129" i="6"/>
  <c r="E1129" i="6"/>
  <c r="D1133" i="6"/>
  <c r="V291" i="6"/>
  <c r="Q291" i="6"/>
  <c r="D291" i="6"/>
  <c r="V216" i="6"/>
  <c r="M216" i="6"/>
  <c r="K216" i="6"/>
  <c r="V137" i="6"/>
  <c r="E137" i="6"/>
  <c r="D137" i="6"/>
  <c r="V144" i="6"/>
  <c r="E144" i="6"/>
  <c r="D144" i="6"/>
  <c r="V64" i="4"/>
  <c r="B949" i="6"/>
  <c r="V951" i="6"/>
  <c r="E951" i="6"/>
  <c r="D951" i="6"/>
  <c r="Y84" i="4"/>
  <c r="B881" i="6"/>
  <c r="V103" i="4"/>
  <c r="B905" i="6"/>
  <c r="V142" i="4"/>
  <c r="B970" i="6"/>
  <c r="V972" i="6"/>
  <c r="D972" i="6"/>
  <c r="Y163" i="4"/>
  <c r="B977" i="6"/>
  <c r="V188" i="4"/>
  <c r="B986" i="6"/>
  <c r="Q813" i="6"/>
  <c r="D813" i="6"/>
  <c r="B941" i="6"/>
  <c r="Y209" i="4"/>
  <c r="B863" i="6"/>
  <c r="V211" i="4"/>
  <c r="B1001" i="6"/>
  <c r="Y243" i="4"/>
  <c r="B819" i="6"/>
  <c r="V245" i="4"/>
  <c r="Q859" i="6"/>
  <c r="D859" i="6"/>
  <c r="V1003" i="6"/>
  <c r="D1003" i="6"/>
  <c r="V1008" i="6"/>
  <c r="J1008" i="6"/>
  <c r="V1052" i="6"/>
  <c r="D1052" i="6"/>
  <c r="E26" i="5"/>
  <c r="D26" i="6"/>
  <c r="V40" i="6"/>
  <c r="K55" i="6"/>
  <c r="B60" i="6"/>
  <c r="J79" i="6"/>
  <c r="V98" i="6"/>
  <c r="V120" i="6"/>
  <c r="J158" i="6"/>
  <c r="D282" i="6"/>
  <c r="Q327" i="6"/>
  <c r="D402" i="6"/>
  <c r="N407" i="6"/>
  <c r="J420" i="6"/>
  <c r="H436" i="6"/>
  <c r="B486" i="6"/>
  <c r="V570" i="6"/>
  <c r="I570" i="6"/>
  <c r="V602" i="6"/>
  <c r="I602" i="6"/>
  <c r="R620" i="6"/>
  <c r="V630" i="6"/>
  <c r="J630" i="6"/>
  <c r="G694" i="6"/>
  <c r="G702" i="6"/>
  <c r="I712" i="6"/>
  <c r="V715" i="6"/>
  <c r="H715" i="6"/>
  <c r="V747" i="6"/>
  <c r="J747" i="6"/>
  <c r="H773" i="6"/>
  <c r="E776" i="6"/>
  <c r="B809" i="6"/>
  <c r="D838" i="6"/>
  <c r="Q844" i="6"/>
  <c r="E850" i="6"/>
  <c r="I854" i="6"/>
  <c r="V860" i="6"/>
  <c r="Q860" i="6"/>
  <c r="D906" i="6"/>
  <c r="Q931" i="6"/>
  <c r="I956" i="6"/>
  <c r="V955" i="6"/>
  <c r="H976" i="6"/>
  <c r="B1010" i="6"/>
  <c r="V1030" i="6"/>
  <c r="H1030" i="6"/>
  <c r="E1045" i="6"/>
  <c r="D1051" i="6"/>
  <c r="K1064" i="6"/>
  <c r="J1067" i="6"/>
  <c r="E1084" i="6"/>
  <c r="V1100" i="6"/>
  <c r="H1100" i="6"/>
  <c r="Q1115" i="6"/>
  <c r="F1118" i="6"/>
  <c r="H1149" i="6"/>
  <c r="D1152" i="6"/>
  <c r="V517" i="6"/>
  <c r="D517" i="6"/>
  <c r="I337" i="6"/>
  <c r="V337" i="6"/>
  <c r="U337" i="6"/>
  <c r="R397" i="6"/>
  <c r="Q397" i="6"/>
  <c r="J397" i="6"/>
  <c r="G397" i="6"/>
  <c r="V356" i="6"/>
  <c r="N356" i="6"/>
  <c r="V495" i="6"/>
  <c r="G495" i="6"/>
  <c r="F495" i="6"/>
  <c r="V179" i="6"/>
  <c r="D179" i="6"/>
  <c r="V298" i="6"/>
  <c r="Q298" i="6"/>
  <c r="V439" i="6"/>
  <c r="J439" i="6"/>
  <c r="V444" i="6"/>
  <c r="E444" i="6"/>
  <c r="V37" i="6"/>
  <c r="E37" i="6"/>
  <c r="M413" i="6"/>
  <c r="J413" i="6"/>
  <c r="F423" i="6"/>
  <c r="E423" i="6"/>
  <c r="V476" i="6"/>
  <c r="H476" i="6"/>
  <c r="V456" i="6"/>
  <c r="R456" i="6"/>
  <c r="Q456" i="6"/>
  <c r="E456" i="6"/>
  <c r="AC473" i="3"/>
  <c r="AC481" i="3"/>
  <c r="AC489" i="3"/>
  <c r="AC500" i="3"/>
  <c r="AC509" i="3"/>
  <c r="AC517" i="3"/>
  <c r="V112" i="6"/>
  <c r="D112" i="6"/>
  <c r="AC525" i="3"/>
  <c r="V147" i="6"/>
  <c r="D147" i="6"/>
  <c r="AC533" i="3"/>
  <c r="AC542" i="3"/>
  <c r="AC550" i="3"/>
  <c r="V293" i="6"/>
  <c r="Q293" i="6"/>
  <c r="D293" i="6"/>
  <c r="AC564" i="3"/>
  <c r="AC572" i="3"/>
  <c r="AC583" i="3"/>
  <c r="AC591" i="3"/>
  <c r="AC600" i="3"/>
  <c r="V127" i="6"/>
  <c r="D127" i="6"/>
  <c r="AC608" i="3"/>
  <c r="AC617" i="3"/>
  <c r="AC626" i="3"/>
  <c r="V487" i="6"/>
  <c r="D487" i="6"/>
  <c r="AC634" i="3"/>
  <c r="AC646" i="3"/>
  <c r="AC650" i="3"/>
  <c r="AC655" i="3"/>
  <c r="V467" i="6"/>
  <c r="D467" i="6"/>
  <c r="AG677" i="3"/>
  <c r="AG714" i="3" s="1"/>
  <c r="V42" i="4"/>
  <c r="Z371" i="4" s="1"/>
  <c r="Z408" i="4" s="1"/>
  <c r="W45" i="4"/>
  <c r="W64" i="4"/>
  <c r="V66" i="4"/>
  <c r="W69" i="4"/>
  <c r="B953" i="6"/>
  <c r="V84" i="4"/>
  <c r="W86" i="4"/>
  <c r="W88" i="4"/>
  <c r="B913" i="6"/>
  <c r="W103" i="4"/>
  <c r="V105" i="4"/>
  <c r="B930" i="6"/>
  <c r="W107" i="4"/>
  <c r="V119" i="4"/>
  <c r="W122" i="4"/>
  <c r="W124" i="4"/>
  <c r="B962" i="6"/>
  <c r="W142" i="4"/>
  <c r="V145" i="4"/>
  <c r="V163" i="4"/>
  <c r="W165" i="4"/>
  <c r="W168" i="4"/>
  <c r="B978" i="6"/>
  <c r="Q857" i="6"/>
  <c r="F857" i="6"/>
  <c r="E857" i="6"/>
  <c r="W188" i="4"/>
  <c r="V190" i="4"/>
  <c r="B815" i="6"/>
  <c r="W192" i="4"/>
  <c r="V209" i="4"/>
  <c r="W211" i="4"/>
  <c r="W227" i="4"/>
  <c r="V229" i="4"/>
  <c r="W231" i="4"/>
  <c r="B940" i="6"/>
  <c r="V243" i="4"/>
  <c r="W245" i="4"/>
  <c r="B939" i="6"/>
  <c r="W247" i="4"/>
  <c r="V247" i="4"/>
  <c r="B865" i="6"/>
  <c r="Y251" i="4"/>
  <c r="B878" i="6"/>
  <c r="Y253" i="4"/>
  <c r="V253" i="4"/>
  <c r="W255" i="4"/>
  <c r="V255" i="4"/>
  <c r="Y260" i="4"/>
  <c r="B1005" i="6"/>
  <c r="Y262" i="4"/>
  <c r="V262" i="4"/>
  <c r="W264" i="4"/>
  <c r="V264" i="4"/>
  <c r="B932" i="6"/>
  <c r="Y272" i="4"/>
  <c r="V272" i="4"/>
  <c r="B936" i="6"/>
  <c r="W275" i="4"/>
  <c r="B830" i="6"/>
  <c r="V275" i="4"/>
  <c r="Y280" i="4"/>
  <c r="B824" i="6"/>
  <c r="Y282" i="4"/>
  <c r="B837" i="6"/>
  <c r="V282" i="4"/>
  <c r="W285" i="4"/>
  <c r="V285" i="4"/>
  <c r="B828" i="6"/>
  <c r="Y293" i="4"/>
  <c r="V293" i="4"/>
  <c r="W296" i="4"/>
  <c r="B1006" i="6"/>
  <c r="V296" i="4"/>
  <c r="B1011" i="6"/>
  <c r="Y302" i="4"/>
  <c r="Y305" i="4"/>
  <c r="B1013" i="6"/>
  <c r="V305" i="4"/>
  <c r="W308" i="4"/>
  <c r="V308" i="4"/>
  <c r="B1015" i="6"/>
  <c r="B1019" i="6"/>
  <c r="Y314" i="4"/>
  <c r="Y318" i="4"/>
  <c r="B1021" i="6"/>
  <c r="V318" i="4"/>
  <c r="W320" i="4"/>
  <c r="V320" i="4"/>
  <c r="B1023" i="6"/>
  <c r="B1029" i="6"/>
  <c r="Y325" i="4"/>
  <c r="Y327" i="4"/>
  <c r="B1031" i="6"/>
  <c r="V327" i="4"/>
  <c r="W329" i="4"/>
  <c r="V329" i="4"/>
  <c r="B1033" i="6"/>
  <c r="B1037" i="6"/>
  <c r="Y334" i="4"/>
  <c r="Y336" i="4"/>
  <c r="V336" i="4"/>
  <c r="B1041" i="6"/>
  <c r="W338" i="4"/>
  <c r="V338" i="4"/>
  <c r="B921" i="6"/>
  <c r="Y342" i="4"/>
  <c r="Y345" i="4"/>
  <c r="V345" i="4"/>
  <c r="W347" i="4"/>
  <c r="B1050" i="6"/>
  <c r="V347" i="4"/>
  <c r="Z383" i="4"/>
  <c r="H1175" i="6"/>
  <c r="B26" i="5"/>
  <c r="K21" i="5"/>
  <c r="F22" i="5" s="1"/>
  <c r="J26" i="5"/>
  <c r="B25" i="5"/>
  <c r="L25" i="5" s="1"/>
  <c r="J27" i="5"/>
  <c r="D27" i="6"/>
  <c r="B41" i="6"/>
  <c r="B148" i="6"/>
  <c r="B186" i="6"/>
  <c r="D288" i="6"/>
  <c r="B309" i="6"/>
  <c r="R327" i="6"/>
  <c r="Q332" i="6"/>
  <c r="B353" i="6"/>
  <c r="B367" i="6"/>
  <c r="B430" i="6"/>
  <c r="V549" i="6"/>
  <c r="I549" i="6"/>
  <c r="I567" i="6"/>
  <c r="I599" i="6"/>
  <c r="I627" i="6"/>
  <c r="Q694" i="6"/>
  <c r="H702" i="6"/>
  <c r="K744" i="6"/>
  <c r="V755" i="6"/>
  <c r="I755" i="6"/>
  <c r="V787" i="6"/>
  <c r="J787" i="6"/>
  <c r="B803" i="6"/>
  <c r="V829" i="6"/>
  <c r="Q829" i="6"/>
  <c r="F829" i="6"/>
  <c r="Q850" i="6"/>
  <c r="E860" i="6"/>
  <c r="E906" i="6"/>
  <c r="B912" i="6"/>
  <c r="E927" i="6"/>
  <c r="B933" i="6"/>
  <c r="V997" i="6"/>
  <c r="F997" i="6"/>
  <c r="E997" i="6"/>
  <c r="E1017" i="6"/>
  <c r="B1038" i="6"/>
  <c r="V1078" i="6"/>
  <c r="D1078" i="6"/>
  <c r="Q1084" i="6"/>
  <c r="E1097" i="6"/>
  <c r="V1141" i="6"/>
  <c r="Q1141" i="6"/>
  <c r="E1141" i="6"/>
  <c r="V1145" i="6"/>
  <c r="Q1145" i="6"/>
  <c r="H1145" i="6"/>
  <c r="Q2" i="7"/>
  <c r="V4" i="6"/>
  <c r="B1153" i="6"/>
  <c r="V1153" i="6" s="1"/>
  <c r="F4" i="6"/>
  <c r="E4" i="6"/>
  <c r="E115" i="6"/>
  <c r="Q288" i="6"/>
  <c r="Q337" i="6"/>
  <c r="R389" i="6"/>
  <c r="Q389" i="6"/>
  <c r="P389" i="6"/>
  <c r="M389" i="6"/>
  <c r="K389" i="6"/>
  <c r="V397" i="6"/>
  <c r="V403" i="6"/>
  <c r="Q403" i="6"/>
  <c r="M403" i="6"/>
  <c r="K403" i="6"/>
  <c r="V506" i="6"/>
  <c r="G506" i="6"/>
  <c r="F506" i="6"/>
  <c r="V578" i="6"/>
  <c r="R578" i="6"/>
  <c r="V610" i="6"/>
  <c r="Q610" i="6"/>
  <c r="V646" i="6"/>
  <c r="Q646" i="6"/>
  <c r="V650" i="6"/>
  <c r="Q650" i="6"/>
  <c r="V654" i="6"/>
  <c r="Q654" i="6"/>
  <c r="V658" i="6"/>
  <c r="Q658" i="6"/>
  <c r="V662" i="6"/>
  <c r="Q662" i="6"/>
  <c r="V666" i="6"/>
  <c r="Q666" i="6"/>
  <c r="V670" i="6"/>
  <c r="Q670" i="6"/>
  <c r="V682" i="6"/>
  <c r="Q682" i="6"/>
  <c r="V686" i="6"/>
  <c r="Q686" i="6"/>
  <c r="V723" i="6"/>
  <c r="I723" i="6"/>
  <c r="V840" i="6"/>
  <c r="Q840" i="6"/>
  <c r="B888" i="6"/>
  <c r="B971" i="6"/>
  <c r="V1025" i="6"/>
  <c r="F1025" i="6"/>
  <c r="V1046" i="6"/>
  <c r="E1046" i="6"/>
  <c r="V1108" i="6"/>
  <c r="D1108" i="6"/>
  <c r="V1131" i="6"/>
  <c r="N1131" i="6"/>
  <c r="H233" i="6"/>
  <c r="G233" i="6"/>
  <c r="F253" i="6"/>
  <c r="E253" i="6"/>
  <c r="V193" i="6"/>
  <c r="G193" i="6"/>
  <c r="I158" i="6"/>
  <c r="H158" i="6"/>
  <c r="G274" i="6"/>
  <c r="F274" i="6"/>
  <c r="V177" i="6"/>
  <c r="E177" i="6"/>
  <c r="D177" i="6"/>
  <c r="V213" i="6"/>
  <c r="D213" i="6"/>
  <c r="AD148" i="3"/>
  <c r="AD158" i="3"/>
  <c r="AD170" i="3"/>
  <c r="AD183" i="3"/>
  <c r="V519" i="6"/>
  <c r="D519" i="6"/>
  <c r="AD193" i="3"/>
  <c r="AD206" i="3"/>
  <c r="AD214" i="3"/>
  <c r="AD223" i="3"/>
  <c r="AD232" i="3"/>
  <c r="V333" i="6"/>
  <c r="Q333" i="6"/>
  <c r="V508" i="6"/>
  <c r="N508" i="6"/>
  <c r="M508" i="6"/>
  <c r="AD252" i="3"/>
  <c r="Q340" i="6"/>
  <c r="N340" i="6"/>
  <c r="AD271" i="3"/>
  <c r="V502" i="6"/>
  <c r="E502" i="6"/>
  <c r="AD280" i="3"/>
  <c r="AD289" i="3"/>
  <c r="AD307" i="3"/>
  <c r="V361" i="6"/>
  <c r="R361" i="6"/>
  <c r="I198" i="6"/>
  <c r="H198" i="6"/>
  <c r="G198" i="6"/>
  <c r="AD322" i="3"/>
  <c r="AD330" i="3"/>
  <c r="AD342" i="3"/>
  <c r="AD353" i="3"/>
  <c r="AD369" i="3"/>
  <c r="AD378" i="3"/>
  <c r="AD392" i="3"/>
  <c r="AD402" i="3"/>
  <c r="V416" i="6"/>
  <c r="D416" i="6"/>
  <c r="AD418" i="3"/>
  <c r="G380" i="6"/>
  <c r="F380" i="6"/>
  <c r="AD429" i="3"/>
  <c r="Q385" i="6"/>
  <c r="E385" i="6"/>
  <c r="D385" i="6"/>
  <c r="AD434" i="3"/>
  <c r="AD444" i="3"/>
  <c r="AD455" i="3"/>
  <c r="V344" i="6"/>
  <c r="Q344" i="6"/>
  <c r="AF473" i="3"/>
  <c r="AD478" i="3"/>
  <c r="AF489" i="3"/>
  <c r="AF500" i="3"/>
  <c r="AD522" i="3"/>
  <c r="V114" i="6"/>
  <c r="D114" i="6"/>
  <c r="AF525" i="3"/>
  <c r="AD530" i="3"/>
  <c r="V185" i="6"/>
  <c r="D185" i="6"/>
  <c r="AD539" i="3"/>
  <c r="V119" i="6"/>
  <c r="D119" i="6"/>
  <c r="AD547" i="3"/>
  <c r="AF550" i="3"/>
  <c r="AD556" i="3"/>
  <c r="AD561" i="3"/>
  <c r="AF564" i="3"/>
  <c r="AD569" i="3"/>
  <c r="AD579" i="3"/>
  <c r="AF583" i="3"/>
  <c r="AD588" i="3"/>
  <c r="E125" i="6"/>
  <c r="D125" i="6"/>
  <c r="AF591" i="3"/>
  <c r="AD597" i="3"/>
  <c r="V71" i="6"/>
  <c r="D71" i="6"/>
  <c r="AF600" i="3"/>
  <c r="AD605" i="3"/>
  <c r="AF608" i="3"/>
  <c r="AF617" i="3"/>
  <c r="AD622" i="3"/>
  <c r="AF626" i="3"/>
  <c r="AD631" i="3"/>
  <c r="V493" i="6"/>
  <c r="D493" i="6"/>
  <c r="V490" i="6"/>
  <c r="Q490" i="6"/>
  <c r="AF646" i="3"/>
  <c r="AF655" i="3"/>
  <c r="AD660" i="3"/>
  <c r="B917" i="6"/>
  <c r="W38" i="4"/>
  <c r="B945" i="6"/>
  <c r="W56" i="4"/>
  <c r="Y66" i="4"/>
  <c r="B919" i="6"/>
  <c r="W80" i="4"/>
  <c r="B957" i="6"/>
  <c r="W98" i="4"/>
  <c r="B904" i="6"/>
  <c r="W116" i="4"/>
  <c r="B965" i="6"/>
  <c r="W134" i="4"/>
  <c r="V967" i="6"/>
  <c r="H967" i="6"/>
  <c r="Y145" i="4"/>
  <c r="B853" i="6"/>
  <c r="W159" i="4"/>
  <c r="B981" i="6"/>
  <c r="W181" i="4"/>
  <c r="V983" i="6"/>
  <c r="H983" i="6"/>
  <c r="Y190" i="4"/>
  <c r="B991" i="6"/>
  <c r="W205" i="4"/>
  <c r="Y229" i="4"/>
  <c r="Y231" i="4"/>
  <c r="W239" i="4"/>
  <c r="B879" i="6"/>
  <c r="W251" i="4"/>
  <c r="W260" i="4"/>
  <c r="W270" i="4"/>
  <c r="W280" i="4"/>
  <c r="W314" i="4"/>
  <c r="W325" i="4"/>
  <c r="W334" i="4"/>
  <c r="W342" i="4"/>
  <c r="Y352" i="4"/>
  <c r="W355" i="4"/>
  <c r="V355" i="4"/>
  <c r="V376" i="4"/>
  <c r="V379" i="4" s="1"/>
  <c r="G4" i="6"/>
  <c r="V9" i="6"/>
  <c r="F37" i="6"/>
  <c r="D42" i="6"/>
  <c r="V47" i="6"/>
  <c r="V66" i="6"/>
  <c r="E71" i="6"/>
  <c r="K90" i="6"/>
  <c r="G104" i="6"/>
  <c r="V109" i="6"/>
  <c r="V115" i="6"/>
  <c r="E123" i="6"/>
  <c r="D136" i="6"/>
  <c r="D173" i="6"/>
  <c r="G194" i="6"/>
  <c r="D207" i="6"/>
  <c r="V233" i="6"/>
  <c r="R253" i="6"/>
  <c r="D284" i="6"/>
  <c r="V332" i="6"/>
  <c r="R337" i="6"/>
  <c r="V389" i="6"/>
  <c r="V410" i="6"/>
  <c r="K410" i="6"/>
  <c r="D460" i="6"/>
  <c r="V472" i="6"/>
  <c r="V554" i="6"/>
  <c r="Q554" i="6"/>
  <c r="I572" i="6"/>
  <c r="I575" i="6"/>
  <c r="I604" i="6"/>
  <c r="I607" i="6"/>
  <c r="Q632" i="6"/>
  <c r="V642" i="6"/>
  <c r="Q642" i="6"/>
  <c r="F646" i="6"/>
  <c r="D650" i="6"/>
  <c r="D654" i="6"/>
  <c r="D658" i="6"/>
  <c r="E662" i="6"/>
  <c r="G666" i="6"/>
  <c r="K670" i="6"/>
  <c r="V674" i="6"/>
  <c r="Q674" i="6"/>
  <c r="D674" i="6"/>
  <c r="V678" i="6"/>
  <c r="Q678" i="6"/>
  <c r="D678" i="6"/>
  <c r="I682" i="6"/>
  <c r="F686" i="6"/>
  <c r="Q692" i="6"/>
  <c r="Q700" i="6"/>
  <c r="R717" i="6"/>
  <c r="J720" i="6"/>
  <c r="I749" i="6"/>
  <c r="V763" i="6"/>
  <c r="I763" i="6"/>
  <c r="V795" i="6"/>
  <c r="H795" i="6"/>
  <c r="V805" i="6"/>
  <c r="M805" i="6"/>
  <c r="K805" i="6"/>
  <c r="J805" i="6"/>
  <c r="J811" i="6"/>
  <c r="B816" i="6"/>
  <c r="F840" i="6"/>
  <c r="V862" i="6"/>
  <c r="Q862" i="6"/>
  <c r="B868" i="6"/>
  <c r="Q872" i="6"/>
  <c r="V908" i="6"/>
  <c r="Q908" i="6"/>
  <c r="V992" i="6"/>
  <c r="Q992" i="6"/>
  <c r="G992" i="6"/>
  <c r="B999" i="6"/>
  <c r="V1012" i="6"/>
  <c r="H1012" i="6"/>
  <c r="E1040" i="6"/>
  <c r="B1048" i="6"/>
  <c r="B1054" i="6"/>
  <c r="Q1082" i="6"/>
  <c r="H1102" i="6"/>
  <c r="E1105" i="6"/>
  <c r="H1120" i="6"/>
  <c r="V1123" i="6"/>
  <c r="Q1123" i="6"/>
  <c r="D1123" i="6"/>
  <c r="V1127" i="6"/>
  <c r="E1127" i="6"/>
  <c r="D1127" i="6"/>
  <c r="L1131" i="6"/>
  <c r="V102" i="6"/>
  <c r="F102" i="6"/>
  <c r="V279" i="6"/>
  <c r="Q279" i="6"/>
  <c r="D279" i="6"/>
  <c r="J1173" i="6"/>
  <c r="AC702" i="3" s="1"/>
  <c r="I1173" i="6"/>
  <c r="B806" i="6"/>
  <c r="V44" i="4"/>
  <c r="U358" i="4" s="1"/>
  <c r="V808" i="6"/>
  <c r="J808" i="6"/>
  <c r="B950" i="6"/>
  <c r="V65" i="4"/>
  <c r="B882" i="6"/>
  <c r="V85" i="4"/>
  <c r="Q907" i="6"/>
  <c r="F907" i="6"/>
  <c r="B900" i="6"/>
  <c r="Y102" i="4"/>
  <c r="V120" i="4"/>
  <c r="B911" i="6"/>
  <c r="V961" i="6"/>
  <c r="D961" i="6"/>
  <c r="Y141" i="4"/>
  <c r="B969" i="6"/>
  <c r="Y186" i="4"/>
  <c r="B985" i="6"/>
  <c r="V210" i="4"/>
  <c r="B942" i="6"/>
  <c r="B998" i="6"/>
  <c r="Y226" i="4"/>
  <c r="V938" i="6"/>
  <c r="Q938" i="6"/>
  <c r="D938" i="6"/>
  <c r="Q885" i="6"/>
  <c r="D885" i="6"/>
  <c r="B867" i="6"/>
  <c r="W266" i="4"/>
  <c r="B855" i="6"/>
  <c r="W276" i="4"/>
  <c r="V831" i="6"/>
  <c r="Q831" i="6"/>
  <c r="D831" i="6"/>
  <c r="B1016" i="6"/>
  <c r="W310" i="4"/>
  <c r="B1026" i="6"/>
  <c r="W321" i="4"/>
  <c r="B1034" i="6"/>
  <c r="W330" i="4"/>
  <c r="B1044" i="6"/>
  <c r="W339" i="4"/>
  <c r="V1049" i="6"/>
  <c r="D1049" i="6"/>
  <c r="J1176" i="6"/>
  <c r="V395" i="4" s="1"/>
  <c r="I1176" i="6"/>
  <c r="V10" i="6"/>
  <c r="V33" i="6"/>
  <c r="V48" i="6"/>
  <c r="E62" i="6"/>
  <c r="V253" i="6"/>
  <c r="Q274" i="6"/>
  <c r="V334" i="6"/>
  <c r="T337" i="6"/>
  <c r="V586" i="6"/>
  <c r="I586" i="6"/>
  <c r="V618" i="6"/>
  <c r="R618" i="6"/>
  <c r="K618" i="6"/>
  <c r="V625" i="6"/>
  <c r="U625" i="6"/>
  <c r="T625" i="6"/>
  <c r="V635" i="6"/>
  <c r="I635" i="6"/>
  <c r="V731" i="6"/>
  <c r="Q731" i="6"/>
  <c r="V749" i="6"/>
  <c r="Q817" i="6"/>
  <c r="V822" i="6"/>
  <c r="Q822" i="6"/>
  <c r="B842" i="6"/>
  <c r="B847" i="6"/>
  <c r="V857" i="6"/>
  <c r="B987" i="6"/>
  <c r="B1007" i="6"/>
  <c r="V1020" i="6"/>
  <c r="K1020" i="6"/>
  <c r="V1113" i="6"/>
  <c r="Q1113" i="6"/>
  <c r="H25" i="5"/>
  <c r="B1028" i="6"/>
  <c r="B835" i="6"/>
  <c r="B873" i="6"/>
  <c r="B887" i="6"/>
  <c r="B934" i="6"/>
  <c r="B956" i="6"/>
  <c r="V956" i="6" s="1"/>
  <c r="B1000" i="6"/>
  <c r="B1018" i="6"/>
  <c r="B1036" i="6"/>
  <c r="B861" i="6"/>
  <c r="B891" i="6"/>
  <c r="B909" i="6"/>
  <c r="B947" i="6"/>
  <c r="B1039" i="6"/>
  <c r="B1047" i="6"/>
  <c r="D542" i="6"/>
  <c r="H550" i="6"/>
  <c r="R555" i="6"/>
  <c r="I563" i="6"/>
  <c r="I571" i="6"/>
  <c r="I579" i="6"/>
  <c r="I587" i="6"/>
  <c r="I595" i="6"/>
  <c r="I603" i="6"/>
  <c r="Q611" i="6"/>
  <c r="E631" i="6"/>
  <c r="I636" i="6"/>
  <c r="D643" i="6"/>
  <c r="F645" i="6"/>
  <c r="D647" i="6"/>
  <c r="E649" i="6"/>
  <c r="D651" i="6"/>
  <c r="F653" i="6"/>
  <c r="D655" i="6"/>
  <c r="D657" i="6"/>
  <c r="D659" i="6"/>
  <c r="D661" i="6"/>
  <c r="E663" i="6"/>
  <c r="G665" i="6"/>
  <c r="G667" i="6"/>
  <c r="I669" i="6"/>
  <c r="G671" i="6"/>
  <c r="I681" i="6"/>
  <c r="F683" i="6"/>
  <c r="K685" i="6"/>
  <c r="R687" i="6"/>
  <c r="I711" i="6"/>
  <c r="I716" i="6"/>
  <c r="I724" i="6"/>
  <c r="Q732" i="6"/>
  <c r="Q740" i="6"/>
  <c r="I748" i="6"/>
  <c r="K756" i="6"/>
  <c r="I764" i="6"/>
  <c r="H772" i="6"/>
  <c r="K780" i="6"/>
  <c r="I788" i="6"/>
  <c r="H796" i="6"/>
  <c r="Q821" i="6"/>
  <c r="B826" i="6"/>
  <c r="B1024" i="6"/>
  <c r="J1055" i="6"/>
  <c r="K1063" i="6"/>
  <c r="D1071" i="6"/>
  <c r="F1079" i="6"/>
  <c r="D1093" i="6"/>
  <c r="H1101" i="6"/>
  <c r="D1109" i="6"/>
  <c r="Q1114" i="6"/>
  <c r="J1119" i="6"/>
  <c r="G1130" i="6"/>
  <c r="N1132" i="6"/>
  <c r="E1134" i="6"/>
  <c r="H1148" i="6"/>
  <c r="Y41" i="4"/>
  <c r="Y356" i="4" s="1"/>
  <c r="Y195" i="4"/>
  <c r="Y216" i="4"/>
  <c r="V271" i="4"/>
  <c r="Y300" i="4"/>
  <c r="D467" i="10"/>
  <c r="D476" i="10" s="1"/>
  <c r="D485" i="10" s="1"/>
  <c r="D494" i="10" s="1"/>
  <c r="D503" i="10" s="1"/>
  <c r="D512" i="10" s="1"/>
  <c r="D521" i="10" s="1"/>
  <c r="D530" i="10" s="1"/>
  <c r="D539" i="10" s="1"/>
  <c r="D449" i="10"/>
  <c r="D458" i="10" s="1"/>
  <c r="D446" i="10"/>
  <c r="D455" i="10" s="1"/>
  <c r="D464" i="10"/>
  <c r="D473" i="10" s="1"/>
  <c r="D482" i="10" s="1"/>
  <c r="D491" i="10" s="1"/>
  <c r="D500" i="10" s="1"/>
  <c r="D509" i="10" s="1"/>
  <c r="D518" i="10" s="1"/>
  <c r="D527" i="10" s="1"/>
  <c r="D536" i="10" s="1"/>
  <c r="D463" i="10"/>
  <c r="D472" i="10" s="1"/>
  <c r="D481" i="10" s="1"/>
  <c r="D490" i="10" s="1"/>
  <c r="D499" i="10" s="1"/>
  <c r="D508" i="10" s="1"/>
  <c r="D517" i="10" s="1"/>
  <c r="D526" i="10" s="1"/>
  <c r="D535" i="10" s="1"/>
  <c r="D445" i="10"/>
  <c r="D454" i="10" s="1"/>
  <c r="D447" i="10"/>
  <c r="D456" i="10" s="1"/>
  <c r="D465" i="10"/>
  <c r="D474" i="10" s="1"/>
  <c r="D483" i="10" s="1"/>
  <c r="D492" i="10" s="1"/>
  <c r="D501" i="10" s="1"/>
  <c r="D510" i="10" s="1"/>
  <c r="D519" i="10" s="1"/>
  <c r="D528" i="10" s="1"/>
  <c r="D537" i="10" s="1"/>
  <c r="D443" i="10"/>
  <c r="D452" i="10" s="1"/>
  <c r="D461" i="10"/>
  <c r="D470" i="10" s="1"/>
  <c r="D479" i="10" s="1"/>
  <c r="D488" i="10" s="1"/>
  <c r="D497" i="10" s="1"/>
  <c r="D506" i="10" s="1"/>
  <c r="D515" i="10" s="1"/>
  <c r="D524" i="10" s="1"/>
  <c r="D533" i="10" s="1"/>
  <c r="D468" i="10"/>
  <c r="D477" i="10" s="1"/>
  <c r="D486" i="10" s="1"/>
  <c r="D495" i="10" s="1"/>
  <c r="D504" i="10" s="1"/>
  <c r="D513" i="10" s="1"/>
  <c r="D522" i="10" s="1"/>
  <c r="D531" i="10" s="1"/>
  <c r="D540" i="10" s="1"/>
  <c r="D450" i="10"/>
  <c r="D459" i="10" s="1"/>
  <c r="D462" i="10"/>
  <c r="D471" i="10" s="1"/>
  <c r="D480" i="10" s="1"/>
  <c r="D489" i="10" s="1"/>
  <c r="D498" i="10" s="1"/>
  <c r="D507" i="10" s="1"/>
  <c r="D516" i="10" s="1"/>
  <c r="D525" i="10" s="1"/>
  <c r="D534" i="10" s="1"/>
  <c r="D444" i="10"/>
  <c r="D453" i="10" s="1"/>
  <c r="D466" i="10"/>
  <c r="D475" i="10" s="1"/>
  <c r="D484" i="10" s="1"/>
  <c r="D493" i="10" s="1"/>
  <c r="D502" i="10" s="1"/>
  <c r="D511" i="10" s="1"/>
  <c r="D520" i="10" s="1"/>
  <c r="D529" i="10" s="1"/>
  <c r="D538" i="10" s="1"/>
  <c r="D451" i="10"/>
  <c r="D460" i="10" s="1"/>
  <c r="D469" i="10"/>
  <c r="D478" i="10" s="1"/>
  <c r="D487" i="10" s="1"/>
  <c r="D496" i="10" s="1"/>
  <c r="D505" i="10" s="1"/>
  <c r="D514" i="10" s="1"/>
  <c r="D523" i="10" s="1"/>
  <c r="D532" i="10" s="1"/>
  <c r="D541" i="10" s="1"/>
  <c r="N3" i="10"/>
  <c r="D585" i="12"/>
  <c r="D558" i="12"/>
  <c r="D557" i="12"/>
  <c r="D584" i="12"/>
  <c r="D581" i="12"/>
  <c r="D554" i="12"/>
  <c r="D555" i="12"/>
  <c r="D582" i="12"/>
  <c r="D579" i="12"/>
  <c r="D552" i="12"/>
  <c r="D583" i="12"/>
  <c r="D556" i="12"/>
  <c r="D559" i="12"/>
  <c r="D586" i="12"/>
  <c r="D551" i="12"/>
  <c r="D578" i="12"/>
  <c r="N3" i="12"/>
  <c r="D553" i="12"/>
  <c r="D580" i="12"/>
  <c r="N1" i="11"/>
  <c r="J22" i="5" l="1"/>
  <c r="E22" i="5"/>
  <c r="E23" i="5" s="1"/>
  <c r="H1171" i="6"/>
  <c r="AG676" i="3"/>
  <c r="AG713" i="3" s="1"/>
  <c r="AG712" i="3"/>
  <c r="N1171" i="6"/>
  <c r="AG716" i="3"/>
  <c r="J60" i="2"/>
  <c r="K60" i="2" s="1"/>
  <c r="J52" i="2"/>
  <c r="K52" i="2" s="1"/>
  <c r="J35" i="2"/>
  <c r="K35" i="2" s="1"/>
  <c r="J16" i="2"/>
  <c r="K16" i="2" s="1"/>
  <c r="J49" i="2"/>
  <c r="K49" i="2" s="1"/>
  <c r="J26" i="2"/>
  <c r="J54" i="2"/>
  <c r="K54" i="2" s="1"/>
  <c r="J46" i="2"/>
  <c r="J41" i="2"/>
  <c r="K41" i="2" s="1"/>
  <c r="J39" i="2"/>
  <c r="K39" i="2" s="1"/>
  <c r="J37" i="2"/>
  <c r="K37" i="2" s="1"/>
  <c r="J13" i="2"/>
  <c r="K13" i="2" s="1"/>
  <c r="J8" i="2"/>
  <c r="K8" i="2" s="1"/>
  <c r="J3" i="2"/>
  <c r="J59" i="2"/>
  <c r="J51" i="2"/>
  <c r="K51" i="2" s="1"/>
  <c r="J28" i="2"/>
  <c r="K28" i="2" s="1"/>
  <c r="J10" i="2"/>
  <c r="K10" i="2" s="1"/>
  <c r="J5" i="2"/>
  <c r="K5" i="2" s="1"/>
  <c r="J11" i="2"/>
  <c r="K11" i="2" s="1"/>
  <c r="J6" i="2"/>
  <c r="K6" i="2" s="1"/>
  <c r="J48" i="2"/>
  <c r="K48" i="2" s="1"/>
  <c r="J34" i="2"/>
  <c r="J17" i="2"/>
  <c r="K17" i="2" s="1"/>
  <c r="J15" i="2"/>
  <c r="J61" i="2"/>
  <c r="K61" i="2" s="1"/>
  <c r="J53" i="2"/>
  <c r="K53" i="2" s="1"/>
  <c r="J36" i="2"/>
  <c r="K36" i="2" s="1"/>
  <c r="J12" i="2"/>
  <c r="K12" i="2" s="1"/>
  <c r="J7" i="2"/>
  <c r="K7" i="2" s="1"/>
  <c r="J50" i="2"/>
  <c r="K50" i="2" s="1"/>
  <c r="J40" i="2"/>
  <c r="K40" i="2" s="1"/>
  <c r="J38" i="2"/>
  <c r="K38" i="2" s="1"/>
  <c r="J27" i="2"/>
  <c r="K27" i="2" s="1"/>
  <c r="J9" i="2"/>
  <c r="K9" i="2" s="1"/>
  <c r="J4" i="2"/>
  <c r="K4" i="2" s="1"/>
  <c r="J47" i="2"/>
  <c r="K47" i="2" s="1"/>
  <c r="J14" i="2"/>
  <c r="K14" i="2" s="1"/>
  <c r="J67" i="2" a="1"/>
  <c r="J67" i="2" s="1"/>
  <c r="F24" i="5"/>
  <c r="F23" i="5"/>
  <c r="V933" i="6"/>
  <c r="Q933" i="6"/>
  <c r="D933" i="6"/>
  <c r="V353" i="6"/>
  <c r="Q353" i="6"/>
  <c r="I1175" i="6"/>
  <c r="J1175" i="6"/>
  <c r="V381" i="4" s="1"/>
  <c r="E921" i="6"/>
  <c r="V921" i="6"/>
  <c r="Q921" i="6"/>
  <c r="V1033" i="6"/>
  <c r="H1033" i="6"/>
  <c r="V1023" i="6"/>
  <c r="J1023" i="6"/>
  <c r="V1015" i="6"/>
  <c r="E1015" i="6"/>
  <c r="V936" i="6"/>
  <c r="Q936" i="6"/>
  <c r="J936" i="6"/>
  <c r="V1005" i="6"/>
  <c r="D1005" i="6"/>
  <c r="Q865" i="6"/>
  <c r="D865" i="6"/>
  <c r="V865" i="6"/>
  <c r="Q863" i="6"/>
  <c r="G863" i="6"/>
  <c r="V863" i="6"/>
  <c r="V251" i="6"/>
  <c r="Q251" i="6"/>
  <c r="I251" i="6"/>
  <c r="H251" i="6"/>
  <c r="G251" i="6"/>
  <c r="V897" i="6"/>
  <c r="Q897" i="6"/>
  <c r="D897" i="6"/>
  <c r="V359" i="6"/>
  <c r="D359" i="6"/>
  <c r="I393" i="6"/>
  <c r="G393" i="6"/>
  <c r="V393" i="6"/>
  <c r="F393" i="6"/>
  <c r="T393" i="6"/>
  <c r="S393" i="6"/>
  <c r="R393" i="6"/>
  <c r="Q393" i="6"/>
  <c r="J393" i="6"/>
  <c r="V230" i="6"/>
  <c r="E230" i="6"/>
  <c r="G22" i="5"/>
  <c r="V845" i="6"/>
  <c r="Q845" i="6"/>
  <c r="G845" i="6"/>
  <c r="V426" i="6"/>
  <c r="Q426" i="6"/>
  <c r="P426" i="6"/>
  <c r="V378" i="6"/>
  <c r="Q378" i="6"/>
  <c r="M378" i="6"/>
  <c r="I378" i="6"/>
  <c r="H378" i="6"/>
  <c r="Z372" i="4"/>
  <c r="V810" i="6"/>
  <c r="J810" i="6"/>
  <c r="V428" i="6"/>
  <c r="Q428" i="6"/>
  <c r="M428" i="6"/>
  <c r="V199" i="6"/>
  <c r="G199" i="6"/>
  <c r="V237" i="6"/>
  <c r="Q237" i="6"/>
  <c r="D237" i="6"/>
  <c r="V191" i="6"/>
  <c r="G191" i="6"/>
  <c r="H915" i="6"/>
  <c r="G915" i="6"/>
  <c r="V915" i="6"/>
  <c r="Q915" i="6"/>
  <c r="V834" i="6"/>
  <c r="Q834" i="6"/>
  <c r="F834" i="6"/>
  <c r="M67" i="6"/>
  <c r="V67" i="6"/>
  <c r="V412" i="6"/>
  <c r="I412" i="6"/>
  <c r="H412" i="6"/>
  <c r="G412" i="6"/>
  <c r="V118" i="6"/>
  <c r="D118" i="6"/>
  <c r="V990" i="6"/>
  <c r="I990" i="6"/>
  <c r="V851" i="6"/>
  <c r="Q851" i="6"/>
  <c r="D851" i="6"/>
  <c r="V212" i="6"/>
  <c r="D212" i="6"/>
  <c r="V437" i="6"/>
  <c r="M437" i="6"/>
  <c r="K437" i="6"/>
  <c r="J437" i="6"/>
  <c r="V511" i="6"/>
  <c r="M511" i="6"/>
  <c r="F39" i="6"/>
  <c r="E39" i="6"/>
  <c r="V39" i="6"/>
  <c r="V958" i="6"/>
  <c r="E958" i="6"/>
  <c r="M96" i="6"/>
  <c r="V96" i="6"/>
  <c r="V211" i="6"/>
  <c r="D211" i="6"/>
  <c r="Q347" i="6"/>
  <c r="V347" i="6"/>
  <c r="R347" i="6"/>
  <c r="D110" i="6"/>
  <c r="V110" i="6"/>
  <c r="V108" i="6"/>
  <c r="D108" i="6"/>
  <c r="O406" i="6"/>
  <c r="V406" i="6"/>
  <c r="V435" i="6"/>
  <c r="E435" i="6"/>
  <c r="D435" i="6"/>
  <c r="E513" i="6"/>
  <c r="D513" i="6"/>
  <c r="F513" i="6"/>
  <c r="V513" i="6"/>
  <c r="V532" i="6"/>
  <c r="D532" i="6"/>
  <c r="V478" i="6"/>
  <c r="R478" i="6"/>
  <c r="G478" i="6"/>
  <c r="V453" i="6"/>
  <c r="Q453" i="6"/>
  <c r="V491" i="6"/>
  <c r="D491" i="6"/>
  <c r="M61" i="6"/>
  <c r="V61" i="6"/>
  <c r="V448" i="6"/>
  <c r="D448" i="6"/>
  <c r="V155" i="6"/>
  <c r="N155" i="6"/>
  <c r="G3562" i="7"/>
  <c r="G3022" i="7"/>
  <c r="AC666" i="3"/>
  <c r="C21" i="2"/>
  <c r="V985" i="6"/>
  <c r="H985" i="6"/>
  <c r="V816" i="6"/>
  <c r="Q816" i="6"/>
  <c r="D816" i="6"/>
  <c r="D904" i="6"/>
  <c r="V904" i="6"/>
  <c r="Q904" i="6"/>
  <c r="V359" i="4"/>
  <c r="Z368" i="4"/>
  <c r="V971" i="6"/>
  <c r="D971" i="6"/>
  <c r="D1024" i="6"/>
  <c r="V1024" i="6"/>
  <c r="E1024" i="6"/>
  <c r="V934" i="6"/>
  <c r="Q934" i="6"/>
  <c r="V1044" i="6"/>
  <c r="E1044" i="6"/>
  <c r="V383" i="4"/>
  <c r="V386" i="4" s="1"/>
  <c r="V380" i="4"/>
  <c r="V917" i="6"/>
  <c r="Q917" i="6"/>
  <c r="M917" i="6"/>
  <c r="V888" i="6"/>
  <c r="Q888" i="6"/>
  <c r="F888" i="6"/>
  <c r="V803" i="6"/>
  <c r="K803" i="6"/>
  <c r="I1006" i="6"/>
  <c r="V1006" i="6"/>
  <c r="Q837" i="6"/>
  <c r="H837" i="6"/>
  <c r="G837" i="6"/>
  <c r="V837" i="6"/>
  <c r="D962" i="6"/>
  <c r="V962" i="6"/>
  <c r="Q913" i="6"/>
  <c r="G913" i="6"/>
  <c r="V913" i="6"/>
  <c r="V189" i="6"/>
  <c r="D189" i="6"/>
  <c r="V916" i="6"/>
  <c r="Q916" i="6"/>
  <c r="H916" i="6"/>
  <c r="G916" i="6"/>
  <c r="V281" i="6"/>
  <c r="Q281" i="6"/>
  <c r="D281" i="6"/>
  <c r="V228" i="6"/>
  <c r="E228" i="6"/>
  <c r="D228" i="6"/>
  <c r="V195" i="6"/>
  <c r="G195" i="6"/>
  <c r="V527" i="6"/>
  <c r="D527" i="6"/>
  <c r="V178" i="6"/>
  <c r="D178" i="6"/>
  <c r="V286" i="6"/>
  <c r="Q286" i="6"/>
  <c r="D286" i="6"/>
  <c r="V160" i="6"/>
  <c r="M160" i="6"/>
  <c r="V966" i="6"/>
  <c r="I966" i="6"/>
  <c r="V494" i="6"/>
  <c r="D494" i="6"/>
  <c r="V23" i="6"/>
  <c r="D23" i="6"/>
  <c r="V475" i="6"/>
  <c r="F475" i="6"/>
  <c r="E475" i="6"/>
  <c r="V335" i="6"/>
  <c r="R335" i="6"/>
  <c r="Q335" i="6"/>
  <c r="I335" i="6"/>
  <c r="H335" i="6"/>
  <c r="AC701" i="3"/>
  <c r="AC704" i="3" s="1"/>
  <c r="AC707" i="3" s="1"/>
  <c r="V512" i="6"/>
  <c r="J512" i="6"/>
  <c r="I512" i="6"/>
  <c r="H512" i="6"/>
  <c r="V374" i="6"/>
  <c r="R374" i="6"/>
  <c r="Q374" i="6"/>
  <c r="O374" i="6"/>
  <c r="I374" i="6"/>
  <c r="AF663" i="3"/>
  <c r="G3564" i="7"/>
  <c r="G3024" i="7"/>
  <c r="V877" i="6"/>
  <c r="Q877" i="6"/>
  <c r="F877" i="6"/>
  <c r="V492" i="6"/>
  <c r="D492" i="6"/>
  <c r="E140" i="6"/>
  <c r="D140" i="6"/>
  <c r="V140" i="6"/>
  <c r="V300" i="6"/>
  <c r="Q300" i="6"/>
  <c r="D300" i="6"/>
  <c r="V489" i="6"/>
  <c r="Q489" i="6"/>
  <c r="V77" i="6"/>
  <c r="K77" i="6"/>
  <c r="J77" i="6"/>
  <c r="V21" i="6"/>
  <c r="D21" i="6"/>
  <c r="V299" i="6"/>
  <c r="Q299" i="6"/>
  <c r="F299" i="6"/>
  <c r="V451" i="6"/>
  <c r="E451" i="6"/>
  <c r="D451" i="6"/>
  <c r="D214" i="6"/>
  <c r="V214" i="6"/>
  <c r="V83" i="6"/>
  <c r="I83" i="6"/>
  <c r="D16" i="6"/>
  <c r="V16" i="6"/>
  <c r="D952" i="6"/>
  <c r="V952" i="6"/>
  <c r="E952" i="6"/>
  <c r="D24" i="6"/>
  <c r="V24" i="6"/>
  <c r="V85" i="6"/>
  <c r="K85" i="6"/>
  <c r="J85" i="6"/>
  <c r="M85" i="6"/>
  <c r="V504" i="6"/>
  <c r="E504" i="6"/>
  <c r="D504" i="6"/>
  <c r="V73" i="6"/>
  <c r="E73" i="6"/>
  <c r="V995" i="6"/>
  <c r="E995" i="6"/>
  <c r="M91" i="6"/>
  <c r="V91" i="6"/>
  <c r="V461" i="6"/>
  <c r="Q461" i="6"/>
  <c r="D461" i="6"/>
  <c r="V153" i="6"/>
  <c r="N153" i="6"/>
  <c r="K153" i="6"/>
  <c r="I153" i="6"/>
  <c r="I21" i="2"/>
  <c r="G3023" i="7"/>
  <c r="G3563" i="7"/>
  <c r="G3018" i="7"/>
  <c r="G3558" i="7"/>
  <c r="D653" i="12"/>
  <c r="D617" i="12"/>
  <c r="D734" i="12"/>
  <c r="D626" i="12"/>
  <c r="D788" i="12"/>
  <c r="N2" i="11"/>
  <c r="N7" i="11" s="1"/>
  <c r="D565" i="12"/>
  <c r="D592" i="12"/>
  <c r="D737" i="12"/>
  <c r="D629" i="12"/>
  <c r="D791" i="12"/>
  <c r="D656" i="12"/>
  <c r="D620" i="12"/>
  <c r="F947" i="6"/>
  <c r="E947" i="6"/>
  <c r="V947" i="6"/>
  <c r="E24" i="5"/>
  <c r="V900" i="6"/>
  <c r="Q900" i="6"/>
  <c r="D900" i="6"/>
  <c r="D1048" i="6"/>
  <c r="V1048" i="6"/>
  <c r="Q853" i="6"/>
  <c r="I853" i="6"/>
  <c r="H853" i="6"/>
  <c r="V853" i="6"/>
  <c r="D787" i="12"/>
  <c r="D625" i="12"/>
  <c r="D616" i="12"/>
  <c r="D733" i="12"/>
  <c r="D652" i="12"/>
  <c r="D655" i="12"/>
  <c r="D619" i="12"/>
  <c r="D736" i="12"/>
  <c r="D790" i="12"/>
  <c r="D628" i="12"/>
  <c r="D593" i="12"/>
  <c r="D566" i="12"/>
  <c r="D543" i="10"/>
  <c r="D1200" i="10" s="1"/>
  <c r="D552" i="10"/>
  <c r="D544" i="10"/>
  <c r="D1201" i="10" s="1"/>
  <c r="D553" i="10"/>
  <c r="E826" i="6"/>
  <c r="Q826" i="6"/>
  <c r="V826" i="6"/>
  <c r="Q909" i="6"/>
  <c r="D909" i="6"/>
  <c r="V909" i="6"/>
  <c r="Q887" i="6"/>
  <c r="F887" i="6"/>
  <c r="E887" i="6"/>
  <c r="V887" i="6"/>
  <c r="V969" i="6"/>
  <c r="F969" i="6"/>
  <c r="I991" i="6"/>
  <c r="H991" i="6"/>
  <c r="V991" i="6"/>
  <c r="J991" i="6"/>
  <c r="V957" i="6"/>
  <c r="E957" i="6"/>
  <c r="V912" i="6"/>
  <c r="Q912" i="6"/>
  <c r="D912" i="6"/>
  <c r="V809" i="6"/>
  <c r="I809" i="6"/>
  <c r="H809" i="6"/>
  <c r="V941" i="6"/>
  <c r="Q941" i="6"/>
  <c r="E941" i="6"/>
  <c r="V64" i="6"/>
  <c r="D64" i="6"/>
  <c r="V514" i="6"/>
  <c r="F514" i="6"/>
  <c r="E514" i="6"/>
  <c r="V106" i="6"/>
  <c r="D106" i="6"/>
  <c r="F101" i="6"/>
  <c r="V101" i="6"/>
  <c r="G101" i="6"/>
  <c r="V516" i="6"/>
  <c r="E516" i="6"/>
  <c r="N354" i="6"/>
  <c r="M354" i="6"/>
  <c r="V354" i="6"/>
  <c r="V982" i="6"/>
  <c r="H982" i="6"/>
  <c r="V18" i="6"/>
  <c r="D18" i="6"/>
  <c r="V399" i="6"/>
  <c r="D399" i="6"/>
  <c r="V330" i="6"/>
  <c r="Q330" i="6"/>
  <c r="H330" i="6"/>
  <c r="G330" i="6"/>
  <c r="V522" i="6"/>
  <c r="D522" i="6"/>
  <c r="V964" i="6"/>
  <c r="J964" i="6"/>
  <c r="V295" i="6"/>
  <c r="Q295" i="6"/>
  <c r="D304" i="6"/>
  <c r="V304" i="6"/>
  <c r="Q304" i="6"/>
  <c r="I53" i="6"/>
  <c r="V53" i="6"/>
  <c r="V331" i="6"/>
  <c r="R331" i="6"/>
  <c r="Q331" i="6"/>
  <c r="F331" i="6"/>
  <c r="E331" i="6"/>
  <c r="D17" i="6"/>
  <c r="V17" i="6"/>
  <c r="V442" i="6"/>
  <c r="D442" i="6"/>
  <c r="V363" i="6"/>
  <c r="E363" i="6"/>
  <c r="D363" i="6"/>
  <c r="V392" i="6"/>
  <c r="R392" i="6"/>
  <c r="Q392" i="6"/>
  <c r="M392" i="6"/>
  <c r="V537" i="6"/>
  <c r="D537" i="6"/>
  <c r="V526" i="6"/>
  <c r="D526" i="6"/>
  <c r="Q883" i="6"/>
  <c r="H883" i="6"/>
  <c r="G883" i="6"/>
  <c r="V883" i="6"/>
  <c r="V205" i="6"/>
  <c r="D205" i="6"/>
  <c r="V408" i="6"/>
  <c r="O408" i="6"/>
  <c r="V525" i="6"/>
  <c r="D525" i="6"/>
  <c r="V395" i="6"/>
  <c r="R395" i="6"/>
  <c r="Q395" i="6"/>
  <c r="H395" i="6"/>
  <c r="G395" i="6"/>
  <c r="V15" i="6"/>
  <c r="D15" i="6"/>
  <c r="Q235" i="6"/>
  <c r="V235" i="6"/>
  <c r="D175" i="6"/>
  <c r="V175" i="6"/>
  <c r="Q231" i="6"/>
  <c r="D231" i="6"/>
  <c r="V231" i="6"/>
  <c r="N50" i="6"/>
  <c r="M50" i="6"/>
  <c r="V50" i="6"/>
  <c r="I50" i="6"/>
  <c r="G2168" i="7"/>
  <c r="G2150" i="7"/>
  <c r="G3062" i="7"/>
  <c r="G3080" i="7" s="1"/>
  <c r="G3071" i="7"/>
  <c r="G3089" i="7" s="1"/>
  <c r="G3559" i="7"/>
  <c r="G3019" i="7"/>
  <c r="V1039" i="6"/>
  <c r="E1039" i="6"/>
  <c r="V1054" i="6"/>
  <c r="U1054" i="6"/>
  <c r="D589" i="12"/>
  <c r="D562" i="12"/>
  <c r="H1034" i="6"/>
  <c r="V1034" i="6"/>
  <c r="J24" i="5"/>
  <c r="J23" i="5"/>
  <c r="D1050" i="6"/>
  <c r="V1050" i="6"/>
  <c r="V1041" i="6"/>
  <c r="E1041" i="6"/>
  <c r="V824" i="6"/>
  <c r="Q824" i="6"/>
  <c r="G824" i="6"/>
  <c r="F824" i="6"/>
  <c r="V932" i="6"/>
  <c r="Q932" i="6"/>
  <c r="D932" i="6"/>
  <c r="V939" i="6"/>
  <c r="Q939" i="6"/>
  <c r="D939" i="6"/>
  <c r="E978" i="6"/>
  <c r="V978" i="6"/>
  <c r="V486" i="6"/>
  <c r="D486" i="6"/>
  <c r="F970" i="6"/>
  <c r="V970" i="6"/>
  <c r="V396" i="6"/>
  <c r="Q396" i="6"/>
  <c r="V980" i="6"/>
  <c r="I980" i="6"/>
  <c r="M95" i="6"/>
  <c r="V95" i="6"/>
  <c r="V301" i="6"/>
  <c r="Q301" i="6"/>
  <c r="G301" i="6"/>
  <c r="N301" i="6"/>
  <c r="G848" i="6"/>
  <c r="V848" i="6"/>
  <c r="Q848" i="6"/>
  <c r="V841" i="6"/>
  <c r="H841" i="6"/>
  <c r="V419" i="6"/>
  <c r="D419" i="6"/>
  <c r="D310" i="6"/>
  <c r="V310" i="6"/>
  <c r="Q310" i="6"/>
  <c r="V943" i="6"/>
  <c r="Q943" i="6"/>
  <c r="K943" i="6"/>
  <c r="H943" i="6"/>
  <c r="J954" i="6"/>
  <c r="I955" i="6"/>
  <c r="V954" i="6"/>
  <c r="E105" i="6"/>
  <c r="V105" i="6"/>
  <c r="V69" i="6"/>
  <c r="E69" i="6"/>
  <c r="D69" i="6"/>
  <c r="V415" i="6"/>
  <c r="D415" i="6"/>
  <c r="J375" i="6"/>
  <c r="I375" i="6"/>
  <c r="V375" i="6"/>
  <c r="Q375" i="6"/>
  <c r="V351" i="6"/>
  <c r="Q351" i="6"/>
  <c r="V225" i="6"/>
  <c r="D225" i="6"/>
  <c r="V870" i="6"/>
  <c r="Q870" i="6"/>
  <c r="D870" i="6"/>
  <c r="D12" i="6"/>
  <c r="V12" i="6"/>
  <c r="V248" i="6"/>
  <c r="Q248" i="6"/>
  <c r="D248" i="6"/>
  <c r="V929" i="6"/>
  <c r="D929" i="6"/>
  <c r="Q929" i="6"/>
  <c r="V58" i="6"/>
  <c r="M58" i="6"/>
  <c r="J58" i="6"/>
  <c r="I58" i="6"/>
  <c r="V509" i="6"/>
  <c r="M509" i="6"/>
  <c r="V232" i="6"/>
  <c r="H232" i="6"/>
  <c r="G232" i="6"/>
  <c r="V446" i="6"/>
  <c r="H446" i="6"/>
  <c r="G446" i="6"/>
  <c r="F446" i="6"/>
  <c r="V925" i="6"/>
  <c r="Q925" i="6"/>
  <c r="F925" i="6"/>
  <c r="V56" i="6"/>
  <c r="H56" i="6"/>
  <c r="V74" i="6"/>
  <c r="E74" i="6"/>
  <c r="V431" i="6"/>
  <c r="D431" i="6"/>
  <c r="V181" i="6"/>
  <c r="D181" i="6"/>
  <c r="V876" i="6"/>
  <c r="Q876" i="6"/>
  <c r="D876" i="6"/>
  <c r="E993" i="6"/>
  <c r="V993" i="6"/>
  <c r="V852" i="6"/>
  <c r="J852" i="6"/>
  <c r="H852" i="6"/>
  <c r="Q852" i="6"/>
  <c r="V316" i="6"/>
  <c r="Q316" i="6"/>
  <c r="R388" i="6"/>
  <c r="Q388" i="6"/>
  <c r="I388" i="6"/>
  <c r="G388" i="6"/>
  <c r="V388" i="6"/>
  <c r="S388" i="6"/>
  <c r="V373" i="6"/>
  <c r="R373" i="6"/>
  <c r="Q373" i="6"/>
  <c r="I373" i="6"/>
  <c r="D530" i="6"/>
  <c r="V530" i="6"/>
  <c r="V164" i="6"/>
  <c r="D164" i="6"/>
  <c r="V924" i="6"/>
  <c r="Q924" i="6"/>
  <c r="H924" i="6"/>
  <c r="M321" i="6"/>
  <c r="J321" i="6"/>
  <c r="I321" i="6"/>
  <c r="V321" i="6"/>
  <c r="V132" i="6"/>
  <c r="D132" i="6"/>
  <c r="V501" i="6"/>
  <c r="E501" i="6"/>
  <c r="V518" i="6"/>
  <c r="D518" i="6"/>
  <c r="G3021" i="7"/>
  <c r="G3561" i="7"/>
  <c r="G2146" i="7"/>
  <c r="G2164" i="7"/>
  <c r="G2165" i="7"/>
  <c r="G2147" i="7"/>
  <c r="D547" i="10"/>
  <c r="D1204" i="10" s="1"/>
  <c r="D556" i="10"/>
  <c r="D561" i="12"/>
  <c r="D588" i="12"/>
  <c r="Q891" i="6"/>
  <c r="L891" i="6"/>
  <c r="L1153" i="6" s="1"/>
  <c r="L1156" i="6" s="1"/>
  <c r="V891" i="6"/>
  <c r="V1038" i="6"/>
  <c r="E1038" i="6"/>
  <c r="V309" i="6"/>
  <c r="Q309" i="6"/>
  <c r="D309" i="6"/>
  <c r="D732" i="12"/>
  <c r="D651" i="12"/>
  <c r="D615" i="12"/>
  <c r="D786" i="12"/>
  <c r="D624" i="12"/>
  <c r="D657" i="12"/>
  <c r="D621" i="12"/>
  <c r="D738" i="12"/>
  <c r="D792" i="12"/>
  <c r="D630" i="12"/>
  <c r="D549" i="10"/>
  <c r="D1206" i="10" s="1"/>
  <c r="D558" i="10"/>
  <c r="Q861" i="6"/>
  <c r="D861" i="6"/>
  <c r="V861" i="6"/>
  <c r="V835" i="6"/>
  <c r="R835" i="6"/>
  <c r="J835" i="6"/>
  <c r="V987" i="6"/>
  <c r="E987" i="6"/>
  <c r="Q855" i="6"/>
  <c r="I855" i="6"/>
  <c r="V855" i="6"/>
  <c r="V868" i="6"/>
  <c r="G868" i="6"/>
  <c r="Q868" i="6"/>
  <c r="I919" i="6"/>
  <c r="V919" i="6"/>
  <c r="Q919" i="6"/>
  <c r="V1031" i="6"/>
  <c r="H1031" i="6"/>
  <c r="V1021" i="6"/>
  <c r="J1021" i="6"/>
  <c r="V1013" i="6"/>
  <c r="E1013" i="6"/>
  <c r="V819" i="6"/>
  <c r="E819" i="6"/>
  <c r="V949" i="6"/>
  <c r="D949" i="6"/>
  <c r="V914" i="6"/>
  <c r="Q914" i="6"/>
  <c r="H914" i="6"/>
  <c r="V485" i="6"/>
  <c r="D485" i="6"/>
  <c r="V141" i="6"/>
  <c r="E141" i="6"/>
  <c r="D141" i="6"/>
  <c r="V226" i="6"/>
  <c r="Q226" i="6"/>
  <c r="E226" i="6"/>
  <c r="D226" i="6"/>
  <c r="V311" i="6"/>
  <c r="Q311" i="6"/>
  <c r="J311" i="6"/>
  <c r="I311" i="6"/>
  <c r="G311" i="6"/>
  <c r="V524" i="6"/>
  <c r="D524" i="6"/>
  <c r="V149" i="6"/>
  <c r="J149" i="6"/>
  <c r="I149" i="6"/>
  <c r="V875" i="6"/>
  <c r="Q875" i="6"/>
  <c r="D875" i="6"/>
  <c r="H454" i="6"/>
  <c r="G454" i="6"/>
  <c r="V454" i="6"/>
  <c r="S454" i="6"/>
  <c r="R454" i="6"/>
  <c r="Q454" i="6"/>
  <c r="Q296" i="6"/>
  <c r="V296" i="6"/>
  <c r="V283" i="6"/>
  <c r="Q283" i="6"/>
  <c r="D283" i="6"/>
  <c r="M239" i="6"/>
  <c r="J239" i="6"/>
  <c r="R239" i="6"/>
  <c r="Q239" i="6"/>
  <c r="V239" i="6"/>
  <c r="V871" i="6"/>
  <c r="Q871" i="6"/>
  <c r="F871" i="6"/>
  <c r="V88" i="6"/>
  <c r="M88" i="6"/>
  <c r="I477" i="6"/>
  <c r="V477" i="6"/>
  <c r="V441" i="6"/>
  <c r="F441" i="6"/>
  <c r="E441" i="6"/>
  <c r="V341" i="6"/>
  <c r="Q341" i="6"/>
  <c r="J341" i="6"/>
  <c r="D533" i="6"/>
  <c r="V533" i="6"/>
  <c r="V202" i="6"/>
  <c r="E202" i="6"/>
  <c r="V902" i="6"/>
  <c r="Q902" i="6"/>
  <c r="D902" i="6"/>
  <c r="M219" i="6"/>
  <c r="V219" i="6"/>
  <c r="V377" i="6"/>
  <c r="K377" i="6"/>
  <c r="V421" i="6"/>
  <c r="I421" i="6"/>
  <c r="G421" i="6"/>
  <c r="F421" i="6"/>
  <c r="V843" i="6"/>
  <c r="Q843" i="6"/>
  <c r="I843" i="6"/>
  <c r="V463" i="6"/>
  <c r="E463" i="6"/>
  <c r="D463" i="6"/>
  <c r="V203" i="6"/>
  <c r="D203" i="6"/>
  <c r="E500" i="6"/>
  <c r="D500" i="6"/>
  <c r="V500" i="6"/>
  <c r="V171" i="6"/>
  <c r="D171" i="6"/>
  <c r="V266" i="6"/>
  <c r="Q266" i="6"/>
  <c r="D266" i="6"/>
  <c r="V151" i="6"/>
  <c r="K151" i="6"/>
  <c r="J151" i="6"/>
  <c r="I151" i="6"/>
  <c r="J804" i="6"/>
  <c r="I804" i="6"/>
  <c r="V804" i="6"/>
  <c r="V894" i="6"/>
  <c r="Q894" i="6"/>
  <c r="G894" i="6"/>
  <c r="AC687" i="3"/>
  <c r="AC690" i="3"/>
  <c r="AC693" i="3" s="1"/>
  <c r="V70" i="6"/>
  <c r="D70" i="6"/>
  <c r="U480" i="6"/>
  <c r="T480" i="6"/>
  <c r="V481" i="6"/>
  <c r="J481" i="6"/>
  <c r="I481" i="6"/>
  <c r="H481" i="6"/>
  <c r="D394" i="6"/>
  <c r="Q394" i="6"/>
  <c r="V394" i="6"/>
  <c r="V343" i="6"/>
  <c r="Q343" i="6"/>
  <c r="V849" i="6"/>
  <c r="Q849" i="6"/>
  <c r="G849" i="6"/>
  <c r="F849" i="6"/>
  <c r="E893" i="6"/>
  <c r="V893" i="6"/>
  <c r="Q893" i="6"/>
  <c r="V944" i="6"/>
  <c r="I944" i="6"/>
  <c r="V923" i="6"/>
  <c r="Q923" i="6"/>
  <c r="J923" i="6"/>
  <c r="V846" i="6"/>
  <c r="D846" i="6"/>
  <c r="D133" i="6"/>
  <c r="V133" i="6"/>
  <c r="V99" i="6"/>
  <c r="J99" i="6"/>
  <c r="K440" i="6"/>
  <c r="V440" i="6"/>
  <c r="V224" i="6"/>
  <c r="Q224" i="6"/>
  <c r="V273" i="6"/>
  <c r="Q273" i="6"/>
  <c r="J273" i="6"/>
  <c r="G21" i="2"/>
  <c r="G2162" i="7"/>
  <c r="G2144" i="7"/>
  <c r="E21" i="2"/>
  <c r="D554" i="10"/>
  <c r="D545" i="10"/>
  <c r="D1202" i="10" s="1"/>
  <c r="V1007" i="6"/>
  <c r="I1007" i="6"/>
  <c r="V806" i="6"/>
  <c r="J806" i="6"/>
  <c r="D785" i="12"/>
  <c r="D623" i="12"/>
  <c r="D614" i="12"/>
  <c r="D731" i="12"/>
  <c r="D650" i="12"/>
  <c r="D627" i="12"/>
  <c r="D789" i="12"/>
  <c r="D735" i="12"/>
  <c r="D654" i="12"/>
  <c r="D618" i="12"/>
  <c r="D542" i="10"/>
  <c r="D1199" i="10" s="1"/>
  <c r="D551" i="10"/>
  <c r="V882" i="6"/>
  <c r="Q882" i="6"/>
  <c r="G882" i="6"/>
  <c r="F882" i="6"/>
  <c r="V879" i="6"/>
  <c r="Q879" i="6"/>
  <c r="D879" i="6"/>
  <c r="V186" i="6"/>
  <c r="D186" i="6"/>
  <c r="I22" i="5"/>
  <c r="L26" i="5"/>
  <c r="D22" i="5"/>
  <c r="C22" i="5"/>
  <c r="H22" i="5"/>
  <c r="E828" i="6"/>
  <c r="V828" i="6"/>
  <c r="Q828" i="6"/>
  <c r="E815" i="6"/>
  <c r="D815" i="6"/>
  <c r="V815" i="6"/>
  <c r="Q815" i="6"/>
  <c r="V953" i="6"/>
  <c r="D953" i="6"/>
  <c r="E986" i="6"/>
  <c r="V986" i="6"/>
  <c r="V905" i="6"/>
  <c r="Q905" i="6"/>
  <c r="E905" i="6"/>
  <c r="D905" i="6"/>
  <c r="V339" i="6"/>
  <c r="Q339" i="6"/>
  <c r="N339" i="6"/>
  <c r="J339" i="6"/>
  <c r="V45" i="6"/>
  <c r="D45" i="6"/>
  <c r="V80" i="6"/>
  <c r="K80" i="6"/>
  <c r="V469" i="6"/>
  <c r="Q469" i="6"/>
  <c r="V529" i="6"/>
  <c r="Q529" i="6"/>
  <c r="V292" i="6"/>
  <c r="Q292" i="6"/>
  <c r="D292" i="6"/>
  <c r="V182" i="6"/>
  <c r="D182" i="6"/>
  <c r="V34" i="6"/>
  <c r="F34" i="6"/>
  <c r="E34" i="6"/>
  <c r="V8" i="6"/>
  <c r="E8" i="6"/>
  <c r="V383" i="6"/>
  <c r="Q383" i="6"/>
  <c r="E383" i="6"/>
  <c r="E276" i="6"/>
  <c r="V276" i="6"/>
  <c r="Q276" i="6"/>
  <c r="V124" i="6"/>
  <c r="D124" i="6"/>
  <c r="V278" i="6"/>
  <c r="Q278" i="6"/>
  <c r="D278" i="6"/>
  <c r="D362" i="6"/>
  <c r="V362" i="6"/>
  <c r="D165" i="6"/>
  <c r="V165" i="6"/>
  <c r="V176" i="6"/>
  <c r="D176" i="6"/>
  <c r="V926" i="6"/>
  <c r="Q926" i="6"/>
  <c r="J926" i="6"/>
  <c r="I926" i="6"/>
  <c r="V131" i="6"/>
  <c r="D131" i="6"/>
  <c r="V928" i="6"/>
  <c r="Q928" i="6"/>
  <c r="K928" i="6"/>
  <c r="V963" i="6"/>
  <c r="J963" i="6"/>
  <c r="V94" i="6"/>
  <c r="M94" i="6"/>
  <c r="V184" i="6"/>
  <c r="D184" i="6"/>
  <c r="V414" i="6"/>
  <c r="J414" i="6"/>
  <c r="I414" i="6"/>
  <c r="H414" i="6"/>
  <c r="G414" i="6"/>
  <c r="V433" i="6"/>
  <c r="D433" i="6"/>
  <c r="V390" i="6"/>
  <c r="P390" i="6"/>
  <c r="V222" i="6"/>
  <c r="D222" i="6"/>
  <c r="V134" i="6"/>
  <c r="D134" i="6"/>
  <c r="V400" i="6"/>
  <c r="D400" i="6"/>
  <c r="V294" i="6"/>
  <c r="Q294" i="6"/>
  <c r="D294" i="6"/>
  <c r="V275" i="6"/>
  <c r="Q275" i="6"/>
  <c r="D275" i="6"/>
  <c r="V833" i="6"/>
  <c r="Q833" i="6"/>
  <c r="D833" i="6"/>
  <c r="V117" i="6"/>
  <c r="D117" i="6"/>
  <c r="V138" i="6"/>
  <c r="D138" i="6"/>
  <c r="Q459" i="6"/>
  <c r="V459" i="6"/>
  <c r="V254" i="6"/>
  <c r="R254" i="6"/>
  <c r="Q254" i="6"/>
  <c r="I254" i="6"/>
  <c r="H254" i="6"/>
  <c r="V471" i="6"/>
  <c r="Q471" i="6"/>
  <c r="D471" i="6"/>
  <c r="V208" i="6"/>
  <c r="D208" i="6"/>
  <c r="G2166" i="7"/>
  <c r="G2148" i="7"/>
  <c r="G3560" i="7"/>
  <c r="G3020" i="7"/>
  <c r="D595" i="12"/>
  <c r="D568" i="12"/>
  <c r="V1028" i="6"/>
  <c r="F1028" i="6"/>
  <c r="E1028" i="6"/>
  <c r="E998" i="6"/>
  <c r="V998" i="6"/>
  <c r="D587" i="12"/>
  <c r="D560" i="12"/>
  <c r="D548" i="10"/>
  <c r="D1205" i="10" s="1"/>
  <c r="D557" i="10"/>
  <c r="V1018" i="6"/>
  <c r="J1018" i="6"/>
  <c r="V847" i="6"/>
  <c r="Q847" i="6"/>
  <c r="E847" i="6"/>
  <c r="V867" i="6"/>
  <c r="Q867" i="6"/>
  <c r="V965" i="6"/>
  <c r="J965" i="6"/>
  <c r="V148" i="6"/>
  <c r="E148" i="6"/>
  <c r="G830" i="6"/>
  <c r="V830" i="6"/>
  <c r="Q830" i="6"/>
  <c r="I830" i="6"/>
  <c r="H830" i="6"/>
  <c r="V940" i="6"/>
  <c r="Q940" i="6"/>
  <c r="D940" i="6"/>
  <c r="V1010" i="6"/>
  <c r="Q1010" i="6"/>
  <c r="H1010" i="6"/>
  <c r="G1010" i="6"/>
  <c r="V60" i="6"/>
  <c r="J60" i="6"/>
  <c r="V1001" i="6"/>
  <c r="D1001" i="6"/>
  <c r="V126" i="6"/>
  <c r="D126" i="6"/>
  <c r="V326" i="6"/>
  <c r="R326" i="6"/>
  <c r="Q326" i="6"/>
  <c r="N326" i="6"/>
  <c r="J326" i="6"/>
  <c r="V1053" i="6"/>
  <c r="S1053" i="6"/>
  <c r="V903" i="6"/>
  <c r="Q903" i="6"/>
  <c r="D903" i="6"/>
  <c r="V398" i="6"/>
  <c r="F398" i="6"/>
  <c r="E398" i="6"/>
  <c r="V314" i="6"/>
  <c r="Q314" i="6"/>
  <c r="I314" i="6"/>
  <c r="H314" i="6"/>
  <c r="G314" i="6"/>
  <c r="I302" i="6"/>
  <c r="H302" i="6"/>
  <c r="V302" i="6"/>
  <c r="Q302" i="6"/>
  <c r="V234" i="6"/>
  <c r="R234" i="6"/>
  <c r="Q234" i="6"/>
  <c r="N234" i="6"/>
  <c r="V457" i="6"/>
  <c r="D457" i="6"/>
  <c r="V886" i="6"/>
  <c r="Q886" i="6"/>
  <c r="V19" i="6"/>
  <c r="D19" i="6"/>
  <c r="V84" i="6"/>
  <c r="M84" i="6"/>
  <c r="V68" i="6"/>
  <c r="M68" i="6"/>
  <c r="V405" i="4"/>
  <c r="H21" i="1"/>
  <c r="Q488" i="6"/>
  <c r="V488" i="6"/>
  <c r="V113" i="6"/>
  <c r="D113" i="6"/>
  <c r="V382" i="6"/>
  <c r="G382" i="6"/>
  <c r="Q382" i="6"/>
  <c r="H382" i="6"/>
  <c r="V201" i="6"/>
  <c r="I201" i="6"/>
  <c r="V328" i="6"/>
  <c r="Q328" i="6"/>
  <c r="J328" i="6"/>
  <c r="V265" i="6"/>
  <c r="Q265" i="6"/>
  <c r="D265" i="6"/>
  <c r="V44" i="6"/>
  <c r="D44" i="6"/>
  <c r="V130" i="6"/>
  <c r="D130" i="6"/>
  <c r="V100" i="6"/>
  <c r="K100" i="6"/>
  <c r="V242" i="6"/>
  <c r="Q242" i="6"/>
  <c r="P242" i="6"/>
  <c r="P1153" i="6" s="1"/>
  <c r="P1156" i="6" s="1"/>
  <c r="V528" i="6"/>
  <c r="Q528" i="6"/>
  <c r="V318" i="6"/>
  <c r="Q318" i="6"/>
  <c r="V497" i="6"/>
  <c r="D497" i="6"/>
  <c r="V536" i="6"/>
  <c r="E536" i="6"/>
  <c r="D536" i="6"/>
  <c r="V29" i="6"/>
  <c r="D29" i="6"/>
  <c r="V370" i="6"/>
  <c r="D370" i="6"/>
  <c r="V256" i="6"/>
  <c r="Q256" i="6"/>
  <c r="V255" i="6"/>
  <c r="Q255" i="6"/>
  <c r="F255" i="6"/>
  <c r="E255" i="6"/>
  <c r="V869" i="6"/>
  <c r="Q869" i="6"/>
  <c r="D869" i="6"/>
  <c r="V218" i="6"/>
  <c r="K218" i="6"/>
  <c r="V210" i="6"/>
  <c r="E210" i="6"/>
  <c r="V856" i="6"/>
  <c r="Q856" i="6"/>
  <c r="V920" i="6"/>
  <c r="Q920" i="6"/>
  <c r="I1172" i="6"/>
  <c r="J1172" i="6"/>
  <c r="AC688" i="3" s="1"/>
  <c r="V482" i="6"/>
  <c r="Q482" i="6"/>
  <c r="V122" i="6"/>
  <c r="D122" i="6"/>
  <c r="V404" i="6"/>
  <c r="D404" i="6"/>
  <c r="G2167" i="7"/>
  <c r="G2149" i="7"/>
  <c r="G3565" i="7"/>
  <c r="G3025" i="7"/>
  <c r="D567" i="12"/>
  <c r="D594" i="12"/>
  <c r="V873" i="6"/>
  <c r="Q873" i="6"/>
  <c r="D873" i="6"/>
  <c r="V1036" i="6"/>
  <c r="E1036" i="6"/>
  <c r="V1026" i="6"/>
  <c r="J1026" i="6"/>
  <c r="V999" i="6"/>
  <c r="E999" i="6"/>
  <c r="D591" i="12"/>
  <c r="D564" i="12"/>
  <c r="D559" i="10"/>
  <c r="D550" i="10"/>
  <c r="D1207" i="10" s="1"/>
  <c r="V942" i="6"/>
  <c r="Q942" i="6"/>
  <c r="E942" i="6"/>
  <c r="Q911" i="6"/>
  <c r="D911" i="6"/>
  <c r="V911" i="6"/>
  <c r="V430" i="6"/>
  <c r="Q430" i="6"/>
  <c r="J430" i="6"/>
  <c r="H430" i="6"/>
  <c r="B22" i="5"/>
  <c r="V878" i="6"/>
  <c r="Q878" i="6"/>
  <c r="D878" i="6"/>
  <c r="V930" i="6"/>
  <c r="Q930" i="6"/>
  <c r="D930" i="6"/>
  <c r="D739" i="12"/>
  <c r="D631" i="12"/>
  <c r="D622" i="12"/>
  <c r="D793" i="12"/>
  <c r="D658" i="12"/>
  <c r="D563" i="12"/>
  <c r="D590" i="12"/>
  <c r="D546" i="10"/>
  <c r="D1203" i="10" s="1"/>
  <c r="D555" i="10"/>
  <c r="V1047" i="6"/>
  <c r="D1047" i="6"/>
  <c r="V1000" i="6"/>
  <c r="D1000" i="6"/>
  <c r="V842" i="6"/>
  <c r="Q842" i="6"/>
  <c r="G842" i="6"/>
  <c r="J1016" i="6"/>
  <c r="V1016" i="6"/>
  <c r="V950" i="6"/>
  <c r="E950" i="6"/>
  <c r="D950" i="6"/>
  <c r="V981" i="6"/>
  <c r="I981" i="6"/>
  <c r="V945" i="6"/>
  <c r="D945" i="6"/>
  <c r="V367" i="6"/>
  <c r="G367" i="6"/>
  <c r="F367" i="6"/>
  <c r="V41" i="6"/>
  <c r="D41" i="6"/>
  <c r="V1037" i="6"/>
  <c r="E1037" i="6"/>
  <c r="V1029" i="6"/>
  <c r="H1029" i="6"/>
  <c r="V1019" i="6"/>
  <c r="H1019" i="6"/>
  <c r="V1011" i="6"/>
  <c r="J1011" i="6"/>
  <c r="V977" i="6"/>
  <c r="H977" i="6"/>
  <c r="V881" i="6"/>
  <c r="Q881" i="6"/>
  <c r="K881" i="6"/>
  <c r="V948" i="6"/>
  <c r="E948" i="6"/>
  <c r="V307" i="6"/>
  <c r="Q307" i="6"/>
  <c r="D307" i="6"/>
  <c r="V814" i="6"/>
  <c r="Q814" i="6"/>
  <c r="D814" i="6"/>
  <c r="V892" i="6"/>
  <c r="Q892" i="6"/>
  <c r="L892" i="6"/>
  <c r="K892" i="6"/>
  <c r="V464" i="6"/>
  <c r="G464" i="6"/>
  <c r="F464" i="6"/>
  <c r="E464" i="6"/>
  <c r="D464" i="6"/>
  <c r="V450" i="6"/>
  <c r="D450" i="6"/>
  <c r="V368" i="6"/>
  <c r="G368" i="6"/>
  <c r="E368" i="6"/>
  <c r="V289" i="6"/>
  <c r="Q289" i="6"/>
  <c r="D289" i="6"/>
  <c r="V49" i="6"/>
  <c r="D49" i="6"/>
  <c r="G823" i="6"/>
  <c r="F823" i="6"/>
  <c r="V823" i="6"/>
  <c r="Q823" i="6"/>
  <c r="H823" i="6"/>
  <c r="K973" i="6"/>
  <c r="V973" i="6"/>
  <c r="K896" i="6"/>
  <c r="J896" i="6"/>
  <c r="I896" i="6"/>
  <c r="V896" i="6"/>
  <c r="Q896" i="6"/>
  <c r="V107" i="6"/>
  <c r="D107" i="6"/>
  <c r="D306" i="6"/>
  <c r="Q306" i="6"/>
  <c r="V306" i="6"/>
  <c r="V187" i="6"/>
  <c r="D187" i="6"/>
  <c r="V169" i="6"/>
  <c r="E169" i="6"/>
  <c r="D169" i="6"/>
  <c r="G2169" i="7"/>
  <c r="G2151" i="7"/>
  <c r="Q839" i="6"/>
  <c r="E839" i="6"/>
  <c r="V839" i="6"/>
  <c r="V411" i="6"/>
  <c r="K411" i="6"/>
  <c r="V268" i="6"/>
  <c r="Q268" i="6"/>
  <c r="I268" i="6"/>
  <c r="V271" i="6"/>
  <c r="Q271" i="6"/>
  <c r="G271" i="6"/>
  <c r="E271" i="6"/>
  <c r="G898" i="6"/>
  <c r="V898" i="6"/>
  <c r="Q898" i="6"/>
  <c r="V13" i="6"/>
  <c r="D13" i="6"/>
  <c r="D496" i="6"/>
  <c r="E496" i="6"/>
  <c r="V496" i="6"/>
  <c r="Q250" i="6"/>
  <c r="H250" i="6"/>
  <c r="G250" i="6"/>
  <c r="V250" i="6"/>
  <c r="V345" i="6"/>
  <c r="Q345" i="6"/>
  <c r="E895" i="6"/>
  <c r="V895" i="6"/>
  <c r="Q895" i="6"/>
  <c r="I895" i="6"/>
  <c r="F895" i="6"/>
  <c r="D465" i="6"/>
  <c r="V465" i="6"/>
  <c r="V14" i="6"/>
  <c r="F14" i="6"/>
  <c r="F1153" i="6" s="1"/>
  <c r="F1156" i="6" s="1"/>
  <c r="E14" i="6"/>
  <c r="V425" i="6"/>
  <c r="Q425" i="6"/>
  <c r="P425" i="6"/>
  <c r="I387" i="6"/>
  <c r="V387" i="6"/>
  <c r="R387" i="6"/>
  <c r="Q387" i="6"/>
  <c r="V36" i="6"/>
  <c r="D36" i="6"/>
  <c r="V217" i="6"/>
  <c r="K217" i="6"/>
  <c r="V820" i="6"/>
  <c r="Q820" i="6"/>
  <c r="E820" i="6"/>
  <c r="D820" i="6"/>
  <c r="V901" i="6"/>
  <c r="Q901" i="6"/>
  <c r="D901" i="6"/>
  <c r="V320" i="6"/>
  <c r="Q320" i="6"/>
  <c r="I260" i="6"/>
  <c r="G260" i="6"/>
  <c r="F260" i="6"/>
  <c r="E260" i="6"/>
  <c r="V260" i="6"/>
  <c r="O342" i="6"/>
  <c r="O1153" i="6" s="1"/>
  <c r="O1156" i="6" s="1"/>
  <c r="M342" i="6"/>
  <c r="V342" i="6"/>
  <c r="Q342" i="6"/>
  <c r="V338" i="6"/>
  <c r="Q338" i="6"/>
  <c r="V349" i="6"/>
  <c r="R349" i="6"/>
  <c r="V52" i="6"/>
  <c r="M52" i="6"/>
  <c r="E479" i="6"/>
  <c r="D479" i="6"/>
  <c r="V479" i="6"/>
  <c r="Q479" i="6"/>
  <c r="V352" i="6"/>
  <c r="Q352" i="6"/>
  <c r="V243" i="6"/>
  <c r="Q243" i="6"/>
  <c r="D243" i="6"/>
  <c r="G2163" i="7"/>
  <c r="G2145" i="7"/>
  <c r="G2170" i="7"/>
  <c r="G2152" i="7"/>
  <c r="U1153" i="6" l="1"/>
  <c r="U1156" i="6" s="1"/>
  <c r="G1153" i="6"/>
  <c r="G1156" i="6" s="1"/>
  <c r="D1153" i="6"/>
  <c r="D1156" i="6" s="1"/>
  <c r="D1168" i="6" s="1"/>
  <c r="M1153" i="6"/>
  <c r="M1156" i="6" s="1"/>
  <c r="H1153" i="6"/>
  <c r="H1156" i="6" s="1"/>
  <c r="R1153" i="6"/>
  <c r="R1156" i="6" s="1"/>
  <c r="E1153" i="6"/>
  <c r="E1156" i="6" s="1"/>
  <c r="K1153" i="6"/>
  <c r="K1156" i="6" s="1"/>
  <c r="G3569" i="7"/>
  <c r="G3029" i="7"/>
  <c r="D875" i="12"/>
  <c r="D767" i="12"/>
  <c r="D876" i="12"/>
  <c r="D768" i="12"/>
  <c r="G3568" i="7"/>
  <c r="G3028" i="7"/>
  <c r="D1558" i="10"/>
  <c r="D1216" i="10"/>
  <c r="D568" i="10"/>
  <c r="D1556" i="10"/>
  <c r="D566" i="10"/>
  <c r="D1214" i="10"/>
  <c r="Q1153" i="6"/>
  <c r="Q1156" i="6" s="1"/>
  <c r="D851" i="12"/>
  <c r="D698" i="12"/>
  <c r="D694" i="12"/>
  <c r="D847" i="12"/>
  <c r="D794" i="12"/>
  <c r="D812" i="12"/>
  <c r="D659" i="12"/>
  <c r="D884" i="12" s="1"/>
  <c r="D740" i="12"/>
  <c r="D632" i="12"/>
  <c r="G2178" i="7"/>
  <c r="G2187" i="7" s="1"/>
  <c r="G2196" i="7" s="1"/>
  <c r="G2205" i="7" s="1"/>
  <c r="G2214" i="7" s="1"/>
  <c r="G2223" i="7" s="1"/>
  <c r="G2232" i="7" s="1"/>
  <c r="G2241" i="7" s="1"/>
  <c r="G2250" i="7" s="1"/>
  <c r="G2259" i="7" s="1"/>
  <c r="G2268" i="7" s="1"/>
  <c r="G2277" i="7" s="1"/>
  <c r="G2286" i="7" s="1"/>
  <c r="G2295" i="7" s="1"/>
  <c r="G2304" i="7" s="1"/>
  <c r="G2313" i="7" s="1"/>
  <c r="G2322" i="7" s="1"/>
  <c r="G2331" i="7" s="1"/>
  <c r="G2340" i="7" s="1"/>
  <c r="G2349" i="7" s="1"/>
  <c r="G2358" i="7" s="1"/>
  <c r="G2367" i="7" s="1"/>
  <c r="G2376" i="7" s="1"/>
  <c r="G2385" i="7" s="1"/>
  <c r="G2394" i="7" s="1"/>
  <c r="G2403" i="7" s="1"/>
  <c r="G2412" i="7" s="1"/>
  <c r="G2421" i="7" s="1"/>
  <c r="G2430" i="7" s="1"/>
  <c r="G2439" i="7" s="1"/>
  <c r="G2448" i="7" s="1"/>
  <c r="G2457" i="7" s="1"/>
  <c r="G2466" i="7" s="1"/>
  <c r="G2475" i="7" s="1"/>
  <c r="G2484" i="7" s="1"/>
  <c r="G2493" i="7" s="1"/>
  <c r="G2502" i="7" s="1"/>
  <c r="G2511" i="7" s="1"/>
  <c r="G2520" i="7" s="1"/>
  <c r="G2529" i="7" s="1"/>
  <c r="G2538" i="7" s="1"/>
  <c r="G2547" i="7" s="1"/>
  <c r="G2556" i="7" s="1"/>
  <c r="G2565" i="7" s="1"/>
  <c r="G2574" i="7" s="1"/>
  <c r="G2583" i="7" s="1"/>
  <c r="G2592" i="7" s="1"/>
  <c r="G2160" i="7"/>
  <c r="D599" i="12"/>
  <c r="D716" i="12"/>
  <c r="D572" i="12"/>
  <c r="G2176" i="7"/>
  <c r="G2185" i="7" s="1"/>
  <c r="G2194" i="7" s="1"/>
  <c r="G2203" i="7" s="1"/>
  <c r="G2212" i="7" s="1"/>
  <c r="G2221" i="7" s="1"/>
  <c r="G2230" i="7" s="1"/>
  <c r="G2239" i="7" s="1"/>
  <c r="G2248" i="7" s="1"/>
  <c r="G2257" i="7" s="1"/>
  <c r="G2266" i="7" s="1"/>
  <c r="G2275" i="7" s="1"/>
  <c r="G2284" i="7" s="1"/>
  <c r="G2293" i="7" s="1"/>
  <c r="G2302" i="7" s="1"/>
  <c r="G2311" i="7" s="1"/>
  <c r="G2320" i="7" s="1"/>
  <c r="G2329" i="7" s="1"/>
  <c r="G2338" i="7" s="1"/>
  <c r="G2347" i="7" s="1"/>
  <c r="G2356" i="7" s="1"/>
  <c r="G2365" i="7" s="1"/>
  <c r="G2374" i="7" s="1"/>
  <c r="G2383" i="7" s="1"/>
  <c r="G2392" i="7" s="1"/>
  <c r="G2401" i="7" s="1"/>
  <c r="G2410" i="7" s="1"/>
  <c r="G2419" i="7" s="1"/>
  <c r="G2428" i="7" s="1"/>
  <c r="G2437" i="7" s="1"/>
  <c r="G2446" i="7" s="1"/>
  <c r="G2455" i="7" s="1"/>
  <c r="G2464" i="7" s="1"/>
  <c r="G2473" i="7" s="1"/>
  <c r="G2482" i="7" s="1"/>
  <c r="G2491" i="7" s="1"/>
  <c r="G2500" i="7" s="1"/>
  <c r="G2509" i="7" s="1"/>
  <c r="G2518" i="7" s="1"/>
  <c r="G2527" i="7" s="1"/>
  <c r="G2536" i="7" s="1"/>
  <c r="G2545" i="7" s="1"/>
  <c r="G2554" i="7" s="1"/>
  <c r="G2563" i="7" s="1"/>
  <c r="G2572" i="7" s="1"/>
  <c r="G2581" i="7" s="1"/>
  <c r="G2590" i="7" s="1"/>
  <c r="G2158" i="7"/>
  <c r="G2171" i="7"/>
  <c r="G2180" i="7" s="1"/>
  <c r="G2189" i="7" s="1"/>
  <c r="G2198" i="7" s="1"/>
  <c r="G2207" i="7" s="1"/>
  <c r="G2216" i="7" s="1"/>
  <c r="G2225" i="7" s="1"/>
  <c r="G2234" i="7" s="1"/>
  <c r="G2243" i="7" s="1"/>
  <c r="G2252" i="7" s="1"/>
  <c r="G2261" i="7" s="1"/>
  <c r="G2270" i="7" s="1"/>
  <c r="G2279" i="7" s="1"/>
  <c r="G2288" i="7" s="1"/>
  <c r="G2297" i="7" s="1"/>
  <c r="G2306" i="7" s="1"/>
  <c r="G2315" i="7" s="1"/>
  <c r="G2324" i="7" s="1"/>
  <c r="G2333" i="7" s="1"/>
  <c r="G2342" i="7" s="1"/>
  <c r="G2351" i="7" s="1"/>
  <c r="G2360" i="7" s="1"/>
  <c r="G2369" i="7" s="1"/>
  <c r="G2378" i="7" s="1"/>
  <c r="G2387" i="7" s="1"/>
  <c r="G2396" i="7" s="1"/>
  <c r="G2405" i="7" s="1"/>
  <c r="G2414" i="7" s="1"/>
  <c r="G2423" i="7" s="1"/>
  <c r="G2432" i="7" s="1"/>
  <c r="G2441" i="7" s="1"/>
  <c r="G2450" i="7" s="1"/>
  <c r="G2459" i="7" s="1"/>
  <c r="G2468" i="7" s="1"/>
  <c r="G2477" i="7" s="1"/>
  <c r="G2486" i="7" s="1"/>
  <c r="G2495" i="7" s="1"/>
  <c r="G2504" i="7" s="1"/>
  <c r="G2513" i="7" s="1"/>
  <c r="G2522" i="7" s="1"/>
  <c r="G2531" i="7" s="1"/>
  <c r="G2540" i="7" s="1"/>
  <c r="G2549" i="7" s="1"/>
  <c r="G2558" i="7" s="1"/>
  <c r="G2567" i="7" s="1"/>
  <c r="G2576" i="7" s="1"/>
  <c r="G2585" i="7" s="1"/>
  <c r="G2153" i="7"/>
  <c r="D849" i="12"/>
  <c r="D696" i="12"/>
  <c r="D1552" i="10"/>
  <c r="D1210" i="10"/>
  <c r="D562" i="10"/>
  <c r="G3571" i="7"/>
  <c r="G3031" i="7"/>
  <c r="D883" i="12"/>
  <c r="D775" i="12"/>
  <c r="D717" i="12"/>
  <c r="D573" i="12"/>
  <c r="D600" i="12"/>
  <c r="N5" i="12"/>
  <c r="N5" i="10"/>
  <c r="D721" i="12"/>
  <c r="D577" i="12"/>
  <c r="D604" i="12"/>
  <c r="I23" i="5"/>
  <c r="I24" i="5"/>
  <c r="D1215" i="10"/>
  <c r="D1557" i="10"/>
  <c r="D567" i="10"/>
  <c r="G2156" i="7"/>
  <c r="G2174" i="7"/>
  <c r="G2183" i="7" s="1"/>
  <c r="G2192" i="7" s="1"/>
  <c r="G2201" i="7" s="1"/>
  <c r="G2210" i="7" s="1"/>
  <c r="G2219" i="7" s="1"/>
  <c r="G2228" i="7" s="1"/>
  <c r="G2237" i="7" s="1"/>
  <c r="G2246" i="7" s="1"/>
  <c r="G2255" i="7" s="1"/>
  <c r="G2264" i="7" s="1"/>
  <c r="G2273" i="7" s="1"/>
  <c r="G2282" i="7" s="1"/>
  <c r="G2291" i="7" s="1"/>
  <c r="G2300" i="7" s="1"/>
  <c r="G2309" i="7" s="1"/>
  <c r="G2318" i="7" s="1"/>
  <c r="G2327" i="7" s="1"/>
  <c r="G2336" i="7" s="1"/>
  <c r="G2345" i="7" s="1"/>
  <c r="G2354" i="7" s="1"/>
  <c r="G2363" i="7" s="1"/>
  <c r="G2372" i="7" s="1"/>
  <c r="G2381" i="7" s="1"/>
  <c r="G2390" i="7" s="1"/>
  <c r="G2399" i="7" s="1"/>
  <c r="G2408" i="7" s="1"/>
  <c r="G2417" i="7" s="1"/>
  <c r="G2426" i="7" s="1"/>
  <c r="G2435" i="7" s="1"/>
  <c r="G2444" i="7" s="1"/>
  <c r="G2453" i="7" s="1"/>
  <c r="G2462" i="7" s="1"/>
  <c r="G2471" i="7" s="1"/>
  <c r="G2480" i="7" s="1"/>
  <c r="G2489" i="7" s="1"/>
  <c r="G2498" i="7" s="1"/>
  <c r="G2507" i="7" s="1"/>
  <c r="G2516" i="7" s="1"/>
  <c r="G2525" i="7" s="1"/>
  <c r="G2534" i="7" s="1"/>
  <c r="G2543" i="7" s="1"/>
  <c r="G2552" i="7" s="1"/>
  <c r="G2561" i="7" s="1"/>
  <c r="G2570" i="7" s="1"/>
  <c r="G2579" i="7" s="1"/>
  <c r="G2588" i="7" s="1"/>
  <c r="I1153" i="6"/>
  <c r="I1156" i="6" s="1"/>
  <c r="D844" i="12"/>
  <c r="D691" i="12"/>
  <c r="D701" i="12"/>
  <c r="D854" i="12"/>
  <c r="G3573" i="7"/>
  <c r="G3033" i="7"/>
  <c r="G2179" i="7"/>
  <c r="G2188" i="7" s="1"/>
  <c r="G2197" i="7" s="1"/>
  <c r="G2206" i="7" s="1"/>
  <c r="G2215" i="7" s="1"/>
  <c r="G2224" i="7" s="1"/>
  <c r="G2233" i="7" s="1"/>
  <c r="G2242" i="7" s="1"/>
  <c r="G2251" i="7" s="1"/>
  <c r="G2260" i="7" s="1"/>
  <c r="G2269" i="7" s="1"/>
  <c r="G2278" i="7" s="1"/>
  <c r="G2287" i="7" s="1"/>
  <c r="G2296" i="7" s="1"/>
  <c r="G2305" i="7" s="1"/>
  <c r="G2314" i="7" s="1"/>
  <c r="G2323" i="7" s="1"/>
  <c r="G2332" i="7" s="1"/>
  <c r="G2341" i="7" s="1"/>
  <c r="G2350" i="7" s="1"/>
  <c r="G2359" i="7" s="1"/>
  <c r="G2368" i="7" s="1"/>
  <c r="G2377" i="7" s="1"/>
  <c r="G2386" i="7" s="1"/>
  <c r="G2395" i="7" s="1"/>
  <c r="G2404" i="7" s="1"/>
  <c r="G2413" i="7" s="1"/>
  <c r="G2422" i="7" s="1"/>
  <c r="G2431" i="7" s="1"/>
  <c r="G2440" i="7" s="1"/>
  <c r="G2449" i="7" s="1"/>
  <c r="G2458" i="7" s="1"/>
  <c r="G2467" i="7" s="1"/>
  <c r="G2476" i="7" s="1"/>
  <c r="G2485" i="7" s="1"/>
  <c r="G2494" i="7" s="1"/>
  <c r="G2503" i="7" s="1"/>
  <c r="G2512" i="7" s="1"/>
  <c r="G2521" i="7" s="1"/>
  <c r="G2530" i="7" s="1"/>
  <c r="G2539" i="7" s="1"/>
  <c r="G2548" i="7" s="1"/>
  <c r="G2557" i="7" s="1"/>
  <c r="G2566" i="7" s="1"/>
  <c r="G2575" i="7" s="1"/>
  <c r="G2584" i="7" s="1"/>
  <c r="G2593" i="7" s="1"/>
  <c r="G2161" i="7"/>
  <c r="D663" i="12"/>
  <c r="D888" i="12" s="1"/>
  <c r="D798" i="12"/>
  <c r="D816" i="12"/>
  <c r="D744" i="12"/>
  <c r="D636" i="12"/>
  <c r="D713" i="12"/>
  <c r="D569" i="12"/>
  <c r="D596" i="12"/>
  <c r="D748" i="12"/>
  <c r="D667" i="12"/>
  <c r="D892" i="12" s="1"/>
  <c r="D820" i="12"/>
  <c r="D640" i="12"/>
  <c r="D802" i="12"/>
  <c r="D699" i="12"/>
  <c r="D852" i="12"/>
  <c r="D687" i="12"/>
  <c r="D840" i="12"/>
  <c r="D1551" i="10"/>
  <c r="D1209" i="10"/>
  <c r="D561" i="10"/>
  <c r="D880" i="12"/>
  <c r="D772" i="12"/>
  <c r="D842" i="12"/>
  <c r="D689" i="12"/>
  <c r="Z405" i="4"/>
  <c r="Z369" i="4"/>
  <c r="Z406" i="4" s="1"/>
  <c r="H1174" i="6"/>
  <c r="J19" i="2"/>
  <c r="K15" i="2"/>
  <c r="J55" i="2"/>
  <c r="K46" i="2"/>
  <c r="V360" i="4"/>
  <c r="V361" i="4"/>
  <c r="V365" i="4" s="1"/>
  <c r="D703" i="12"/>
  <c r="D856" i="12"/>
  <c r="D1550" i="10"/>
  <c r="D1208" i="10"/>
  <c r="D560" i="10"/>
  <c r="G2173" i="7"/>
  <c r="G2182" i="7" s="1"/>
  <c r="G2191" i="7" s="1"/>
  <c r="G2200" i="7" s="1"/>
  <c r="G2209" i="7" s="1"/>
  <c r="G2218" i="7" s="1"/>
  <c r="G2227" i="7" s="1"/>
  <c r="G2236" i="7" s="1"/>
  <c r="G2245" i="7" s="1"/>
  <c r="G2254" i="7" s="1"/>
  <c r="G2263" i="7" s="1"/>
  <c r="G2272" i="7" s="1"/>
  <c r="G2281" i="7" s="1"/>
  <c r="G2290" i="7" s="1"/>
  <c r="G2299" i="7" s="1"/>
  <c r="G2308" i="7" s="1"/>
  <c r="G2317" i="7" s="1"/>
  <c r="G2326" i="7" s="1"/>
  <c r="G2335" i="7" s="1"/>
  <c r="G2344" i="7" s="1"/>
  <c r="G2353" i="7" s="1"/>
  <c r="G2362" i="7" s="1"/>
  <c r="G2371" i="7" s="1"/>
  <c r="G2380" i="7" s="1"/>
  <c r="G2389" i="7" s="1"/>
  <c r="G2398" i="7" s="1"/>
  <c r="G2407" i="7" s="1"/>
  <c r="G2416" i="7" s="1"/>
  <c r="G2425" i="7" s="1"/>
  <c r="G2434" i="7" s="1"/>
  <c r="G2443" i="7" s="1"/>
  <c r="G2452" i="7" s="1"/>
  <c r="G2461" i="7" s="1"/>
  <c r="G2470" i="7" s="1"/>
  <c r="G2479" i="7" s="1"/>
  <c r="G2488" i="7" s="1"/>
  <c r="G2497" i="7" s="1"/>
  <c r="G2506" i="7" s="1"/>
  <c r="G2515" i="7" s="1"/>
  <c r="G2524" i="7" s="1"/>
  <c r="G2533" i="7" s="1"/>
  <c r="G2542" i="7" s="1"/>
  <c r="G2551" i="7" s="1"/>
  <c r="G2560" i="7" s="1"/>
  <c r="G2569" i="7" s="1"/>
  <c r="G2578" i="7" s="1"/>
  <c r="G2587" i="7" s="1"/>
  <c r="G2155" i="7"/>
  <c r="N1153" i="6"/>
  <c r="N1156" i="6" s="1"/>
  <c r="D719" i="12"/>
  <c r="D575" i="12"/>
  <c r="D602" i="12"/>
  <c r="D601" i="12"/>
  <c r="D718" i="12"/>
  <c r="D574" i="12"/>
  <c r="K67" i="2"/>
  <c r="J68" i="2"/>
  <c r="J42" i="2"/>
  <c r="K34" i="2"/>
  <c r="J62" i="2"/>
  <c r="K59" i="2"/>
  <c r="N1174" i="6"/>
  <c r="N1177" i="6" s="1"/>
  <c r="Z409" i="4"/>
  <c r="D801" i="12"/>
  <c r="D819" i="12"/>
  <c r="D639" i="12"/>
  <c r="D747" i="12"/>
  <c r="D666" i="12"/>
  <c r="D891" i="12" s="1"/>
  <c r="G2175" i="7"/>
  <c r="G2184" i="7" s="1"/>
  <c r="G2193" i="7" s="1"/>
  <c r="G2202" i="7" s="1"/>
  <c r="G2211" i="7" s="1"/>
  <c r="G2220" i="7" s="1"/>
  <c r="G2229" i="7" s="1"/>
  <c r="G2238" i="7" s="1"/>
  <c r="G2247" i="7" s="1"/>
  <c r="G2256" i="7" s="1"/>
  <c r="G2265" i="7" s="1"/>
  <c r="G2274" i="7" s="1"/>
  <c r="G2283" i="7" s="1"/>
  <c r="G2292" i="7" s="1"/>
  <c r="G2301" i="7" s="1"/>
  <c r="G2310" i="7" s="1"/>
  <c r="G2319" i="7" s="1"/>
  <c r="G2328" i="7" s="1"/>
  <c r="G2337" i="7" s="1"/>
  <c r="G2346" i="7" s="1"/>
  <c r="G2355" i="7" s="1"/>
  <c r="G2364" i="7" s="1"/>
  <c r="G2373" i="7" s="1"/>
  <c r="G2382" i="7" s="1"/>
  <c r="G2391" i="7" s="1"/>
  <c r="G2400" i="7" s="1"/>
  <c r="G2409" i="7" s="1"/>
  <c r="G2418" i="7" s="1"/>
  <c r="G2427" i="7" s="1"/>
  <c r="G2436" i="7" s="1"/>
  <c r="G2445" i="7" s="1"/>
  <c r="G2454" i="7" s="1"/>
  <c r="G2463" i="7" s="1"/>
  <c r="G2472" i="7" s="1"/>
  <c r="G2481" i="7" s="1"/>
  <c r="G2490" i="7" s="1"/>
  <c r="G2499" i="7" s="1"/>
  <c r="G2508" i="7" s="1"/>
  <c r="G2517" i="7" s="1"/>
  <c r="G2526" i="7" s="1"/>
  <c r="G2535" i="7" s="1"/>
  <c r="G2544" i="7" s="1"/>
  <c r="G2553" i="7" s="1"/>
  <c r="G2562" i="7" s="1"/>
  <c r="G2571" i="7" s="1"/>
  <c r="G2580" i="7" s="1"/>
  <c r="G2589" i="7" s="1"/>
  <c r="G2157" i="7"/>
  <c r="D839" i="12"/>
  <c r="D686" i="12"/>
  <c r="D633" i="12"/>
  <c r="D741" i="12"/>
  <c r="D795" i="12"/>
  <c r="D660" i="12"/>
  <c r="D885" i="12" s="1"/>
  <c r="D813" i="12"/>
  <c r="J18" i="2"/>
  <c r="K3" i="2"/>
  <c r="J29" i="2"/>
  <c r="K26" i="2"/>
  <c r="G2172" i="7"/>
  <c r="G2181" i="7" s="1"/>
  <c r="G2190" i="7" s="1"/>
  <c r="G2199" i="7" s="1"/>
  <c r="G2208" i="7" s="1"/>
  <c r="G2217" i="7" s="1"/>
  <c r="G2226" i="7" s="1"/>
  <c r="G2235" i="7" s="1"/>
  <c r="G2244" i="7" s="1"/>
  <c r="G2253" i="7" s="1"/>
  <c r="G2262" i="7" s="1"/>
  <c r="G2271" i="7" s="1"/>
  <c r="G2280" i="7" s="1"/>
  <c r="G2289" i="7" s="1"/>
  <c r="G2298" i="7" s="1"/>
  <c r="G2307" i="7" s="1"/>
  <c r="G2316" i="7" s="1"/>
  <c r="G2325" i="7" s="1"/>
  <c r="G2334" i="7" s="1"/>
  <c r="G2343" i="7" s="1"/>
  <c r="G2352" i="7" s="1"/>
  <c r="G2361" i="7" s="1"/>
  <c r="G2370" i="7" s="1"/>
  <c r="G2379" i="7" s="1"/>
  <c r="G2388" i="7" s="1"/>
  <c r="G2397" i="7" s="1"/>
  <c r="G2406" i="7" s="1"/>
  <c r="G2415" i="7" s="1"/>
  <c r="G2424" i="7" s="1"/>
  <c r="G2433" i="7" s="1"/>
  <c r="G2442" i="7" s="1"/>
  <c r="G2451" i="7" s="1"/>
  <c r="G2460" i="7" s="1"/>
  <c r="G2469" i="7" s="1"/>
  <c r="G2478" i="7" s="1"/>
  <c r="G2487" i="7" s="1"/>
  <c r="G2496" i="7" s="1"/>
  <c r="G2505" i="7" s="1"/>
  <c r="G2514" i="7" s="1"/>
  <c r="G2523" i="7" s="1"/>
  <c r="G2532" i="7" s="1"/>
  <c r="G2541" i="7" s="1"/>
  <c r="G2550" i="7" s="1"/>
  <c r="G2559" i="7" s="1"/>
  <c r="G2568" i="7" s="1"/>
  <c r="G2577" i="7" s="1"/>
  <c r="G2586" i="7" s="1"/>
  <c r="G2154" i="7"/>
  <c r="D855" i="12"/>
  <c r="D702" i="12"/>
  <c r="D769" i="12"/>
  <c r="D877" i="12"/>
  <c r="D817" i="12"/>
  <c r="D637" i="12"/>
  <c r="D664" i="12"/>
  <c r="D889" i="12" s="1"/>
  <c r="D799" i="12"/>
  <c r="D745" i="12"/>
  <c r="D878" i="12"/>
  <c r="D770" i="12"/>
  <c r="B24" i="5"/>
  <c r="B23" i="5"/>
  <c r="L22" i="5"/>
  <c r="D1554" i="10"/>
  <c r="D564" i="10"/>
  <c r="D1212" i="10"/>
  <c r="D603" i="12"/>
  <c r="D576" i="12"/>
  <c r="D720" i="12"/>
  <c r="H23" i="5"/>
  <c r="H24" i="5"/>
  <c r="D1553" i="10"/>
  <c r="D1211" i="10"/>
  <c r="D563" i="10"/>
  <c r="J1153" i="6"/>
  <c r="J1156" i="6" s="1"/>
  <c r="D715" i="12"/>
  <c r="D571" i="12"/>
  <c r="D598" i="12"/>
  <c r="G3107" i="7"/>
  <c r="G3143" i="7" s="1"/>
  <c r="G3125" i="7"/>
  <c r="D746" i="12"/>
  <c r="D665" i="12"/>
  <c r="D890" i="12" s="1"/>
  <c r="D800" i="12"/>
  <c r="D818" i="12"/>
  <c r="D638" i="12"/>
  <c r="D688" i="12"/>
  <c r="D841" i="12"/>
  <c r="G3567" i="7"/>
  <c r="G3027" i="7"/>
  <c r="G3574" i="7"/>
  <c r="G3034" i="7"/>
  <c r="C24" i="5"/>
  <c r="C23" i="5"/>
  <c r="D843" i="12"/>
  <c r="D690" i="12"/>
  <c r="D695" i="12"/>
  <c r="D848" i="12"/>
  <c r="D693" i="12"/>
  <c r="D846" i="12"/>
  <c r="D597" i="12"/>
  <c r="D714" i="12"/>
  <c r="D570" i="12"/>
  <c r="G3030" i="7"/>
  <c r="G3570" i="7"/>
  <c r="D796" i="12"/>
  <c r="D661" i="12"/>
  <c r="D886" i="12" s="1"/>
  <c r="D814" i="12"/>
  <c r="D742" i="12"/>
  <c r="D634" i="12"/>
  <c r="G3098" i="7"/>
  <c r="G3134" i="7" s="1"/>
  <c r="G3116" i="7"/>
  <c r="G3152" i="7" s="1"/>
  <c r="D853" i="12"/>
  <c r="D700" i="12"/>
  <c r="D697" i="12"/>
  <c r="D850" i="12"/>
  <c r="D845" i="12"/>
  <c r="D692" i="12"/>
  <c r="D635" i="12"/>
  <c r="D743" i="12"/>
  <c r="D815" i="12"/>
  <c r="D662" i="12"/>
  <c r="D887" i="12" s="1"/>
  <c r="D797" i="12"/>
  <c r="D23" i="5"/>
  <c r="D24" i="5"/>
  <c r="D771" i="12"/>
  <c r="D879" i="12"/>
  <c r="D774" i="12"/>
  <c r="D882" i="12"/>
  <c r="D1555" i="10"/>
  <c r="D1213" i="10"/>
  <c r="D565" i="10"/>
  <c r="G2177" i="7"/>
  <c r="G2186" i="7" s="1"/>
  <c r="G2195" i="7" s="1"/>
  <c r="G2204" i="7" s="1"/>
  <c r="G2213" i="7" s="1"/>
  <c r="G2222" i="7" s="1"/>
  <c r="G2231" i="7" s="1"/>
  <c r="G2240" i="7" s="1"/>
  <c r="G2249" i="7" s="1"/>
  <c r="G2258" i="7" s="1"/>
  <c r="G2267" i="7" s="1"/>
  <c r="G2276" i="7" s="1"/>
  <c r="G2285" i="7" s="1"/>
  <c r="G2294" i="7" s="1"/>
  <c r="G2303" i="7" s="1"/>
  <c r="G2312" i="7" s="1"/>
  <c r="G2321" i="7" s="1"/>
  <c r="G2330" i="7" s="1"/>
  <c r="G2339" i="7" s="1"/>
  <c r="G2348" i="7" s="1"/>
  <c r="G2357" i="7" s="1"/>
  <c r="G2366" i="7" s="1"/>
  <c r="G2375" i="7" s="1"/>
  <c r="G2384" i="7" s="1"/>
  <c r="G2393" i="7" s="1"/>
  <c r="G2402" i="7" s="1"/>
  <c r="G2411" i="7" s="1"/>
  <c r="G2420" i="7" s="1"/>
  <c r="G2429" i="7" s="1"/>
  <c r="G2438" i="7" s="1"/>
  <c r="G2447" i="7" s="1"/>
  <c r="G2456" i="7" s="1"/>
  <c r="G2465" i="7" s="1"/>
  <c r="G2474" i="7" s="1"/>
  <c r="G2483" i="7" s="1"/>
  <c r="G2492" i="7" s="1"/>
  <c r="G2501" i="7" s="1"/>
  <c r="G2510" i="7" s="1"/>
  <c r="G2519" i="7" s="1"/>
  <c r="G2528" i="7" s="1"/>
  <c r="G2537" i="7" s="1"/>
  <c r="G2546" i="7" s="1"/>
  <c r="G2555" i="7" s="1"/>
  <c r="G2564" i="7" s="1"/>
  <c r="G2573" i="7" s="1"/>
  <c r="G2582" i="7" s="1"/>
  <c r="G2591" i="7" s="1"/>
  <c r="G2159" i="7"/>
  <c r="D881" i="12"/>
  <c r="D773" i="12"/>
  <c r="G3032" i="7"/>
  <c r="G3572" i="7"/>
  <c r="AC667" i="3"/>
  <c r="AC668" i="3" s="1"/>
  <c r="AC672" i="3" s="1"/>
  <c r="G23" i="5"/>
  <c r="G24" i="5"/>
  <c r="B1178" i="6"/>
  <c r="B1184" i="6"/>
  <c r="H1177" i="6"/>
  <c r="B1183" i="6"/>
  <c r="B1182" i="6"/>
  <c r="B1181" i="6"/>
  <c r="B1175" i="6"/>
  <c r="B1172" i="6"/>
  <c r="B1180" i="6"/>
  <c r="K1171" i="6"/>
  <c r="V367" i="4"/>
  <c r="V404" i="4" s="1"/>
  <c r="B1179" i="6"/>
  <c r="B1173" i="6"/>
  <c r="J1171" i="6"/>
  <c r="I1171" i="6"/>
  <c r="B1171" i="6"/>
  <c r="B1174" i="6"/>
  <c r="B1177" i="6"/>
  <c r="AC674" i="3"/>
  <c r="AC711" i="3" s="1"/>
  <c r="H19" i="1" s="1"/>
  <c r="B1176" i="6"/>
  <c r="AC673" i="3" l="1"/>
  <c r="AC710" i="3" s="1"/>
  <c r="AC709" i="3"/>
  <c r="AC676" i="3"/>
  <c r="AC679" i="3" s="1"/>
  <c r="G3041" i="7"/>
  <c r="G3581" i="7"/>
  <c r="G3584" i="7"/>
  <c r="G3188" i="7"/>
  <c r="G3602" i="7"/>
  <c r="G3611" i="7" s="1"/>
  <c r="G3620" i="7" s="1"/>
  <c r="G3629" i="7" s="1"/>
  <c r="G3197" i="7"/>
  <c r="G3242" i="7" s="1"/>
  <c r="G3323" i="7" s="1"/>
  <c r="G3368" i="7" s="1"/>
  <c r="G3413" i="7" s="1"/>
  <c r="G3458" i="7" s="1"/>
  <c r="G3503" i="7" s="1"/>
  <c r="G3206" i="7"/>
  <c r="G3575" i="7"/>
  <c r="G3179" i="7"/>
  <c r="G3233" i="7" s="1"/>
  <c r="D709" i="12"/>
  <c r="D862" i="12"/>
  <c r="D858" i="12"/>
  <c r="D705" i="12"/>
  <c r="L34" i="2"/>
  <c r="K42" i="2"/>
  <c r="D755" i="12"/>
  <c r="D809" i="12"/>
  <c r="D674" i="12"/>
  <c r="D827" i="12"/>
  <c r="D1560" i="10"/>
  <c r="D1569" i="10"/>
  <c r="D1578" i="10" s="1"/>
  <c r="D1587" i="10" s="1"/>
  <c r="D1596" i="10" s="1"/>
  <c r="D1605" i="10" s="1"/>
  <c r="D1614" i="10" s="1"/>
  <c r="D1623" i="10" s="1"/>
  <c r="D1632" i="10" s="1"/>
  <c r="D1641" i="10" s="1"/>
  <c r="D1650" i="10" s="1"/>
  <c r="D1659" i="10" s="1"/>
  <c r="D795" i="10"/>
  <c r="D570" i="10"/>
  <c r="D1218" i="10"/>
  <c r="D597" i="10"/>
  <c r="D660" i="10"/>
  <c r="D865" i="12"/>
  <c r="D712" i="12"/>
  <c r="D1566" i="10"/>
  <c r="D1224" i="10"/>
  <c r="D801" i="10"/>
  <c r="D1575" i="10"/>
  <c r="D1584" i="10" s="1"/>
  <c r="D1593" i="10" s="1"/>
  <c r="D1602" i="10" s="1"/>
  <c r="D1611" i="10" s="1"/>
  <c r="D1620" i="10" s="1"/>
  <c r="D1629" i="10" s="1"/>
  <c r="D1638" i="10" s="1"/>
  <c r="D1647" i="10" s="1"/>
  <c r="D1656" i="10" s="1"/>
  <c r="D1665" i="10" s="1"/>
  <c r="D603" i="10"/>
  <c r="D576" i="10"/>
  <c r="D666" i="10"/>
  <c r="G3577" i="7"/>
  <c r="G3037" i="7"/>
  <c r="G3579" i="7"/>
  <c r="G3039" i="7"/>
  <c r="D860" i="12"/>
  <c r="D707" i="12"/>
  <c r="G3566" i="7"/>
  <c r="G3170" i="7"/>
  <c r="G3224" i="7" s="1"/>
  <c r="D723" i="12"/>
  <c r="D777" i="12"/>
  <c r="D642" i="12"/>
  <c r="D606" i="12"/>
  <c r="D805" i="12"/>
  <c r="D823" i="12"/>
  <c r="D670" i="12"/>
  <c r="D751" i="12"/>
  <c r="L23" i="5"/>
  <c r="D647" i="12"/>
  <c r="D611" i="12"/>
  <c r="D782" i="12"/>
  <c r="D728" i="12"/>
  <c r="J1174" i="6"/>
  <c r="K1174" i="6"/>
  <c r="I1174" i="6"/>
  <c r="I1177" i="6" s="1"/>
  <c r="D671" i="12"/>
  <c r="D752" i="12"/>
  <c r="D806" i="12"/>
  <c r="D824" i="12"/>
  <c r="D669" i="12"/>
  <c r="D750" i="12"/>
  <c r="D822" i="12"/>
  <c r="D804" i="12"/>
  <c r="D1564" i="10"/>
  <c r="D1222" i="10"/>
  <c r="D799" i="10"/>
  <c r="D1573" i="10"/>
  <c r="D1582" i="10" s="1"/>
  <c r="D1591" i="10" s="1"/>
  <c r="D1600" i="10" s="1"/>
  <c r="D1609" i="10" s="1"/>
  <c r="D1618" i="10" s="1"/>
  <c r="D1627" i="10" s="1"/>
  <c r="D1636" i="10" s="1"/>
  <c r="D1645" i="10" s="1"/>
  <c r="D1654" i="10" s="1"/>
  <c r="D1663" i="10" s="1"/>
  <c r="D601" i="10"/>
  <c r="D574" i="10"/>
  <c r="D664" i="10"/>
  <c r="G3043" i="7"/>
  <c r="G3583" i="7"/>
  <c r="K1173" i="6"/>
  <c r="K1176" i="6"/>
  <c r="K1175" i="6"/>
  <c r="K1172" i="6"/>
  <c r="D859" i="12"/>
  <c r="D706" i="12"/>
  <c r="D710" i="12"/>
  <c r="D863" i="12"/>
  <c r="D778" i="12"/>
  <c r="D643" i="12"/>
  <c r="D607" i="12"/>
  <c r="D724" i="12"/>
  <c r="L24" i="5"/>
  <c r="D753" i="12"/>
  <c r="D807" i="12"/>
  <c r="D672" i="12"/>
  <c r="D825" i="12"/>
  <c r="V369" i="4"/>
  <c r="V372" i="4" s="1"/>
  <c r="V402" i="4"/>
  <c r="V406" i="4" s="1"/>
  <c r="V409" i="4" s="1"/>
  <c r="V366" i="4"/>
  <c r="V403" i="4" s="1"/>
  <c r="D780" i="12"/>
  <c r="D645" i="12"/>
  <c r="D609" i="12"/>
  <c r="D726" i="12"/>
  <c r="D1574" i="10"/>
  <c r="D1583" i="10" s="1"/>
  <c r="D1592" i="10" s="1"/>
  <c r="D1601" i="10" s="1"/>
  <c r="D1610" i="10" s="1"/>
  <c r="D1619" i="10" s="1"/>
  <c r="D1628" i="10" s="1"/>
  <c r="D1637" i="10" s="1"/>
  <c r="D1646" i="10" s="1"/>
  <c r="D1655" i="10" s="1"/>
  <c r="D1664" i="10" s="1"/>
  <c r="D665" i="10"/>
  <c r="D1565" i="10"/>
  <c r="D1223" i="10"/>
  <c r="D575" i="10"/>
  <c r="D602" i="10"/>
  <c r="D800" i="10"/>
  <c r="D803" i="12"/>
  <c r="D821" i="12"/>
  <c r="D749" i="12"/>
  <c r="D668" i="12"/>
  <c r="G3580" i="7"/>
  <c r="G3040" i="7"/>
  <c r="D857" i="12"/>
  <c r="D704" i="12"/>
  <c r="K68" i="2"/>
  <c r="B1185" i="6"/>
  <c r="D1562" i="10"/>
  <c r="D1220" i="10"/>
  <c r="D1571" i="10"/>
  <c r="D1580" i="10" s="1"/>
  <c r="D1589" i="10" s="1"/>
  <c r="D1598" i="10" s="1"/>
  <c r="D1607" i="10" s="1"/>
  <c r="D1616" i="10" s="1"/>
  <c r="D1625" i="10" s="1"/>
  <c r="D1634" i="10" s="1"/>
  <c r="D1643" i="10" s="1"/>
  <c r="D1652" i="10" s="1"/>
  <c r="D1661" i="10" s="1"/>
  <c r="D797" i="10"/>
  <c r="D662" i="10"/>
  <c r="D572" i="10"/>
  <c r="D599" i="10"/>
  <c r="K29" i="2"/>
  <c r="L26" i="2"/>
  <c r="D727" i="12"/>
  <c r="D781" i="12"/>
  <c r="D646" i="12"/>
  <c r="D610" i="12"/>
  <c r="K55" i="2"/>
  <c r="K19" i="2"/>
  <c r="J43" i="2" s="1"/>
  <c r="D641" i="12"/>
  <c r="D605" i="12"/>
  <c r="D722" i="12"/>
  <c r="D776" i="12"/>
  <c r="D757" i="12"/>
  <c r="D829" i="12"/>
  <c r="D811" i="12"/>
  <c r="D676" i="12"/>
  <c r="D1576" i="10"/>
  <c r="D1585" i="10" s="1"/>
  <c r="D1594" i="10" s="1"/>
  <c r="D1603" i="10" s="1"/>
  <c r="D1612" i="10" s="1"/>
  <c r="D1621" i="10" s="1"/>
  <c r="D1630" i="10" s="1"/>
  <c r="D1639" i="10" s="1"/>
  <c r="D1648" i="10" s="1"/>
  <c r="D1657" i="10" s="1"/>
  <c r="D1666" i="10" s="1"/>
  <c r="D1567" i="10"/>
  <c r="D667" i="10"/>
  <c r="D1225" i="10"/>
  <c r="D802" i="10"/>
  <c r="D604" i="10"/>
  <c r="D577" i="10"/>
  <c r="D810" i="12"/>
  <c r="D828" i="12"/>
  <c r="D675" i="12"/>
  <c r="D756" i="12"/>
  <c r="G3576" i="7"/>
  <c r="G3036" i="7"/>
  <c r="D1572" i="10"/>
  <c r="D1581" i="10" s="1"/>
  <c r="D1590" i="10" s="1"/>
  <c r="D1599" i="10" s="1"/>
  <c r="D1608" i="10" s="1"/>
  <c r="D1617" i="10" s="1"/>
  <c r="D1626" i="10" s="1"/>
  <c r="D1635" i="10" s="1"/>
  <c r="D1644" i="10" s="1"/>
  <c r="D1653" i="10" s="1"/>
  <c r="D1662" i="10" s="1"/>
  <c r="D1563" i="10"/>
  <c r="D663" i="10"/>
  <c r="D1221" i="10"/>
  <c r="D798" i="10"/>
  <c r="D573" i="10"/>
  <c r="D600" i="10"/>
  <c r="K62" i="2"/>
  <c r="D1568" i="10"/>
  <c r="D1577" i="10" s="1"/>
  <c r="D1586" i="10" s="1"/>
  <c r="D1595" i="10" s="1"/>
  <c r="D1604" i="10" s="1"/>
  <c r="D1613" i="10" s="1"/>
  <c r="D1622" i="10" s="1"/>
  <c r="D1631" i="10" s="1"/>
  <c r="D1640" i="10" s="1"/>
  <c r="D1649" i="10" s="1"/>
  <c r="D1658" i="10" s="1"/>
  <c r="D1217" i="10"/>
  <c r="D659" i="10"/>
  <c r="D1559" i="10"/>
  <c r="D569" i="10"/>
  <c r="D794" i="10"/>
  <c r="D596" i="10"/>
  <c r="J20" i="2"/>
  <c r="D730" i="12"/>
  <c r="D649" i="12"/>
  <c r="D613" i="12"/>
  <c r="D784" i="12"/>
  <c r="D1570" i="10"/>
  <c r="D1579" i="10" s="1"/>
  <c r="D1588" i="10" s="1"/>
  <c r="D1597" i="10" s="1"/>
  <c r="D1606" i="10" s="1"/>
  <c r="D1615" i="10" s="1"/>
  <c r="D1624" i="10" s="1"/>
  <c r="D1633" i="10" s="1"/>
  <c r="D1642" i="10" s="1"/>
  <c r="D1651" i="10" s="1"/>
  <c r="D1660" i="10" s="1"/>
  <c r="D1561" i="10"/>
  <c r="D1219" i="10"/>
  <c r="D661" i="10"/>
  <c r="D598" i="10"/>
  <c r="D571" i="10"/>
  <c r="D796" i="10"/>
  <c r="G3578" i="7"/>
  <c r="G3038" i="7"/>
  <c r="D729" i="12"/>
  <c r="D783" i="12"/>
  <c r="D648" i="12"/>
  <c r="D612" i="12"/>
  <c r="G3557" i="7"/>
  <c r="G3161" i="7"/>
  <c r="K18" i="2"/>
  <c r="D711" i="12"/>
  <c r="D864" i="12"/>
  <c r="J63" i="2"/>
  <c r="D826" i="12"/>
  <c r="D673" i="12"/>
  <c r="D754" i="12"/>
  <c r="D808" i="12"/>
  <c r="J21" i="2"/>
  <c r="D861" i="12"/>
  <c r="D708" i="12"/>
  <c r="G3582" i="7"/>
  <c r="G3042" i="7"/>
  <c r="D725" i="12"/>
  <c r="D608" i="12"/>
  <c r="D779" i="12"/>
  <c r="D644" i="12"/>
  <c r="H17" i="1" l="1"/>
  <c r="H27" i="1"/>
  <c r="D833" i="12"/>
  <c r="D680" i="12"/>
  <c r="G3593" i="7"/>
  <c r="G3215" i="7"/>
  <c r="D1230" i="10"/>
  <c r="D825" i="10"/>
  <c r="D897" i="10" s="1"/>
  <c r="D807" i="10"/>
  <c r="D879" i="10" s="1"/>
  <c r="D582" i="10"/>
  <c r="D1228" i="10"/>
  <c r="D823" i="10"/>
  <c r="D895" i="10" s="1"/>
  <c r="D805" i="10"/>
  <c r="D877" i="10" s="1"/>
  <c r="D580" i="10"/>
  <c r="D874" i="12"/>
  <c r="D766" i="12"/>
  <c r="D1316" i="10"/>
  <c r="D1127" i="10"/>
  <c r="D974" i="10"/>
  <c r="D992" i="10"/>
  <c r="D677" i="12"/>
  <c r="D830" i="12"/>
  <c r="D1868" i="10"/>
  <c r="D1796" i="10"/>
  <c r="D1670" i="10"/>
  <c r="D1679" i="10"/>
  <c r="D1787" i="10"/>
  <c r="D1814" i="10" s="1"/>
  <c r="D1886" i="10" s="1"/>
  <c r="G3589" i="7"/>
  <c r="G3607" i="7"/>
  <c r="G3616" i="7" s="1"/>
  <c r="G3625" i="7" s="1"/>
  <c r="G3634" i="7" s="1"/>
  <c r="G3049" i="7"/>
  <c r="D1232" i="10"/>
  <c r="D827" i="10"/>
  <c r="D899" i="10" s="1"/>
  <c r="D809" i="10"/>
  <c r="D881" i="10" s="1"/>
  <c r="D584" i="10"/>
  <c r="G3046" i="7"/>
  <c r="G3604" i="7"/>
  <c r="G3613" i="7" s="1"/>
  <c r="G3622" i="7" s="1"/>
  <c r="G3631" i="7" s="1"/>
  <c r="G3586" i="7"/>
  <c r="D1866" i="10"/>
  <c r="D1794" i="10"/>
  <c r="D1668" i="10"/>
  <c r="D1677" i="10"/>
  <c r="D1785" i="10"/>
  <c r="D1812" i="10" s="1"/>
  <c r="D1884" i="10" s="1"/>
  <c r="G3773" i="7"/>
  <c r="G3782" i="7" s="1"/>
  <c r="G3791" i="7" s="1"/>
  <c r="G3800" i="7" s="1"/>
  <c r="G3809" i="7" s="1"/>
  <c r="G3818" i="7" s="1"/>
  <c r="G3827" i="7" s="1"/>
  <c r="G3836" i="7" s="1"/>
  <c r="G3845" i="7" s="1"/>
  <c r="G3854" i="7" s="1"/>
  <c r="G3863" i="7" s="1"/>
  <c r="G3872" i="7" s="1"/>
  <c r="G3881" i="7" s="1"/>
  <c r="G3890" i="7" s="1"/>
  <c r="G3899" i="7" s="1"/>
  <c r="G3908" i="7" s="1"/>
  <c r="G3917" i="7" s="1"/>
  <c r="G3638" i="7"/>
  <c r="G3647" i="7" s="1"/>
  <c r="G3656" i="7" s="1"/>
  <c r="G3665" i="7" s="1"/>
  <c r="G3674" i="7" s="1"/>
  <c r="G3683" i="7" s="1"/>
  <c r="G3692" i="7" s="1"/>
  <c r="G3701" i="7" s="1"/>
  <c r="G3710" i="7" s="1"/>
  <c r="G3719" i="7" s="1"/>
  <c r="G3728" i="7" s="1"/>
  <c r="G3737" i="7" s="1"/>
  <c r="G3746" i="7" s="1"/>
  <c r="G3755" i="7" s="1"/>
  <c r="G3764" i="7" s="1"/>
  <c r="G3591" i="7"/>
  <c r="G3051" i="7"/>
  <c r="G3609" i="7"/>
  <c r="G3618" i="7" s="1"/>
  <c r="G3627" i="7" s="1"/>
  <c r="G3636" i="7" s="1"/>
  <c r="D837" i="12"/>
  <c r="D684" i="12"/>
  <c r="D859" i="10"/>
  <c r="D1255" i="10"/>
  <c r="D607" i="10"/>
  <c r="D670" i="10"/>
  <c r="D1792" i="10"/>
  <c r="D1819" i="10" s="1"/>
  <c r="D1891" i="10" s="1"/>
  <c r="D1684" i="10"/>
  <c r="D1873" i="10"/>
  <c r="D1801" i="10"/>
  <c r="D1675" i="10"/>
  <c r="D758" i="12"/>
  <c r="D866" i="12"/>
  <c r="G3610" i="7"/>
  <c r="G3619" i="7" s="1"/>
  <c r="G3628" i="7" s="1"/>
  <c r="G3637" i="7" s="1"/>
  <c r="G3052" i="7"/>
  <c r="G3592" i="7"/>
  <c r="D685" i="12"/>
  <c r="D838" i="12"/>
  <c r="D997" i="10"/>
  <c r="D979" i="10"/>
  <c r="D1321" i="10"/>
  <c r="D1132" i="10"/>
  <c r="G3269" i="7"/>
  <c r="G3305" i="7"/>
  <c r="G3350" i="7" s="1"/>
  <c r="G3395" i="7" s="1"/>
  <c r="G3440" i="7" s="1"/>
  <c r="G3485" i="7" s="1"/>
  <c r="G3530" i="7" s="1"/>
  <c r="D999" i="10"/>
  <c r="D981" i="10"/>
  <c r="D1134" i="10"/>
  <c r="D1323" i="10"/>
  <c r="D1322" i="10"/>
  <c r="D1133" i="10"/>
  <c r="D998" i="10"/>
  <c r="D980" i="10"/>
  <c r="D679" i="12"/>
  <c r="D832" i="12"/>
  <c r="D1231" i="10"/>
  <c r="D808" i="10"/>
  <c r="D880" i="10" s="1"/>
  <c r="D826" i="10"/>
  <c r="D898" i="10" s="1"/>
  <c r="D583" i="10"/>
  <c r="D1233" i="10"/>
  <c r="D828" i="10"/>
  <c r="D900" i="10" s="1"/>
  <c r="D585" i="10"/>
  <c r="D810" i="10"/>
  <c r="D882" i="10" s="1"/>
  <c r="D993" i="10"/>
  <c r="D975" i="10"/>
  <c r="D1317" i="10"/>
  <c r="D1128" i="10"/>
  <c r="D1784" i="10"/>
  <c r="D1811" i="10" s="1"/>
  <c r="D1883" i="10" s="1"/>
  <c r="D1676" i="10"/>
  <c r="D1667" i="10"/>
  <c r="D1865" i="10"/>
  <c r="D1793" i="10"/>
  <c r="B30" i="2"/>
  <c r="G43" i="2"/>
  <c r="D56" i="2"/>
  <c r="E63" i="2"/>
  <c r="L66" i="2"/>
  <c r="F43" i="2"/>
  <c r="H43" i="2"/>
  <c r="F30" i="2"/>
  <c r="G56" i="2"/>
  <c r="C43" i="2"/>
  <c r="D69" i="2"/>
  <c r="H63" i="2"/>
  <c r="F56" i="2"/>
  <c r="H56" i="2"/>
  <c r="I63" i="2"/>
  <c r="G63" i="2"/>
  <c r="F63" i="2"/>
  <c r="D20" i="2"/>
  <c r="F69" i="2"/>
  <c r="H20" i="2"/>
  <c r="E30" i="2"/>
  <c r="D30" i="2"/>
  <c r="B63" i="2"/>
  <c r="D43" i="2"/>
  <c r="I43" i="2"/>
  <c r="G30" i="2"/>
  <c r="C56" i="2"/>
  <c r="C69" i="2"/>
  <c r="I56" i="2"/>
  <c r="E43" i="2"/>
  <c r="C63" i="2"/>
  <c r="H69" i="2"/>
  <c r="D63" i="2"/>
  <c r="I30" i="2"/>
  <c r="E56" i="2"/>
  <c r="H30" i="2"/>
  <c r="C30" i="2"/>
  <c r="F20" i="2"/>
  <c r="B43" i="2"/>
  <c r="E20" i="2"/>
  <c r="C20" i="2"/>
  <c r="E69" i="2"/>
  <c r="I69" i="2"/>
  <c r="B56" i="2"/>
  <c r="G20" i="2"/>
  <c r="B20" i="2"/>
  <c r="B69" i="2"/>
  <c r="I20" i="2"/>
  <c r="G69" i="2"/>
  <c r="L9" i="2"/>
  <c r="L51" i="2"/>
  <c r="L8" i="2"/>
  <c r="L53" i="2"/>
  <c r="L61" i="2"/>
  <c r="L49" i="2"/>
  <c r="L13" i="2"/>
  <c r="L14" i="2"/>
  <c r="L5" i="2"/>
  <c r="L54" i="2"/>
  <c r="L16" i="2"/>
  <c r="M16" i="2" s="1"/>
  <c r="L10" i="2"/>
  <c r="L60" i="2"/>
  <c r="L50" i="2"/>
  <c r="L7" i="2"/>
  <c r="L47" i="2"/>
  <c r="L11" i="2"/>
  <c r="L48" i="2"/>
  <c r="L12" i="2"/>
  <c r="L4" i="2"/>
  <c r="L52" i="2"/>
  <c r="L17" i="2"/>
  <c r="M17" i="2" s="1"/>
  <c r="L6" i="2"/>
  <c r="L28" i="2"/>
  <c r="L27" i="2"/>
  <c r="D857" i="10"/>
  <c r="D1253" i="10"/>
  <c r="D605" i="10"/>
  <c r="D668" i="10"/>
  <c r="D1256" i="10"/>
  <c r="D671" i="10"/>
  <c r="D608" i="10"/>
  <c r="D860" i="10"/>
  <c r="D1790" i="10"/>
  <c r="D1817" i="10" s="1"/>
  <c r="D1889" i="10" s="1"/>
  <c r="D1682" i="10"/>
  <c r="D1673" i="10"/>
  <c r="D1871" i="10"/>
  <c r="D1799" i="10"/>
  <c r="J69" i="2"/>
  <c r="D760" i="12"/>
  <c r="D868" i="12"/>
  <c r="D1258" i="10"/>
  <c r="D673" i="10"/>
  <c r="D862" i="10"/>
  <c r="D610" i="10"/>
  <c r="D1260" i="10"/>
  <c r="D675" i="10"/>
  <c r="D864" i="10"/>
  <c r="D612" i="10"/>
  <c r="D1254" i="10"/>
  <c r="D669" i="10"/>
  <c r="D606" i="10"/>
  <c r="D858" i="10"/>
  <c r="G3278" i="7"/>
  <c r="G3314" i="7"/>
  <c r="G3359" i="7" s="1"/>
  <c r="G3404" i="7" s="1"/>
  <c r="G3449" i="7" s="1"/>
  <c r="G3494" i="7" s="1"/>
  <c r="G3608" i="7"/>
  <c r="G3617" i="7" s="1"/>
  <c r="G3626" i="7" s="1"/>
  <c r="G3635" i="7" s="1"/>
  <c r="G3590" i="7"/>
  <c r="G3050" i="7"/>
  <c r="D873" i="12"/>
  <c r="D765" i="12"/>
  <c r="D1318" i="10"/>
  <c r="D1129" i="10"/>
  <c r="D976" i="10"/>
  <c r="D994" i="10"/>
  <c r="D1320" i="10"/>
  <c r="D1131" i="10"/>
  <c r="D996" i="10"/>
  <c r="D978" i="10"/>
  <c r="J56" i="2"/>
  <c r="L59" i="2"/>
  <c r="D1234" i="10"/>
  <c r="D829" i="10"/>
  <c r="D901" i="10" s="1"/>
  <c r="D811" i="10"/>
  <c r="D883" i="10" s="1"/>
  <c r="D586" i="10"/>
  <c r="L15" i="2"/>
  <c r="M15" i="2" s="1"/>
  <c r="N5" i="11"/>
  <c r="Q4" i="7"/>
  <c r="D1788" i="10"/>
  <c r="D1815" i="10" s="1"/>
  <c r="D1887" i="10" s="1"/>
  <c r="D1680" i="10"/>
  <c r="D1869" i="10"/>
  <c r="D1797" i="10"/>
  <c r="D1671" i="10"/>
  <c r="G3587" i="7"/>
  <c r="G3605" i="7"/>
  <c r="G3614" i="7" s="1"/>
  <c r="G3623" i="7" s="1"/>
  <c r="G3632" i="7" s="1"/>
  <c r="G3047" i="7"/>
  <c r="D1786" i="10"/>
  <c r="D1813" i="10" s="1"/>
  <c r="D1885" i="10" s="1"/>
  <c r="D1678" i="10"/>
  <c r="D1795" i="10"/>
  <c r="D1867" i="10"/>
  <c r="D1669" i="10"/>
  <c r="J30" i="2"/>
  <c r="G3585" i="7"/>
  <c r="G3603" i="7"/>
  <c r="G3612" i="7" s="1"/>
  <c r="G3621" i="7" s="1"/>
  <c r="G3630" i="7" s="1"/>
  <c r="G3045" i="7"/>
  <c r="L46" i="2"/>
  <c r="D1229" i="10"/>
  <c r="D806" i="10"/>
  <c r="D878" i="10" s="1"/>
  <c r="D824" i="10"/>
  <c r="D896" i="10" s="1"/>
  <c r="D581" i="10"/>
  <c r="D1870" i="10"/>
  <c r="D1798" i="10"/>
  <c r="D1672" i="10"/>
  <c r="D1789" i="10"/>
  <c r="D1816" i="10" s="1"/>
  <c r="D1888" i="10" s="1"/>
  <c r="D1681" i="10"/>
  <c r="D1872" i="10"/>
  <c r="D1800" i="10"/>
  <c r="D1674" i="10"/>
  <c r="D1791" i="10"/>
  <c r="D1818" i="10" s="1"/>
  <c r="D1890" i="10" s="1"/>
  <c r="D1683" i="10"/>
  <c r="D1261" i="10"/>
  <c r="D865" i="10"/>
  <c r="D676" i="10"/>
  <c r="D613" i="10"/>
  <c r="D869" i="12"/>
  <c r="D761" i="12"/>
  <c r="L67" i="2"/>
  <c r="L3" i="2"/>
  <c r="D1226" i="10"/>
  <c r="D821" i="10"/>
  <c r="D893" i="10" s="1"/>
  <c r="D803" i="10"/>
  <c r="D875" i="10" s="1"/>
  <c r="D578" i="10"/>
  <c r="D861" i="10"/>
  <c r="D1257" i="10"/>
  <c r="D672" i="10"/>
  <c r="D609" i="10"/>
  <c r="D835" i="12"/>
  <c r="D682" i="12"/>
  <c r="D995" i="10"/>
  <c r="D977" i="10"/>
  <c r="D1319" i="10"/>
  <c r="D1130" i="10"/>
  <c r="D681" i="12"/>
  <c r="D834" i="12"/>
  <c r="D683" i="12"/>
  <c r="D836" i="12"/>
  <c r="D678" i="12"/>
  <c r="D831" i="12"/>
  <c r="G3588" i="7"/>
  <c r="G3048" i="7"/>
  <c r="G3606" i="7"/>
  <c r="G3615" i="7" s="1"/>
  <c r="G3624" i="7" s="1"/>
  <c r="G3633" i="7" s="1"/>
  <c r="D822" i="10"/>
  <c r="D894" i="10" s="1"/>
  <c r="D579" i="10"/>
  <c r="D1227" i="10"/>
  <c r="D804" i="10"/>
  <c r="D876" i="10" s="1"/>
  <c r="L37" i="2"/>
  <c r="M37" i="2" s="1"/>
  <c r="L35" i="2"/>
  <c r="L41" i="2"/>
  <c r="M41" i="2" s="1"/>
  <c r="L39" i="2"/>
  <c r="M39" i="2" s="1"/>
  <c r="L40" i="2"/>
  <c r="M40" i="2" s="1"/>
  <c r="L36" i="2"/>
  <c r="L38" i="2"/>
  <c r="M38" i="2" s="1"/>
  <c r="G3251" i="7"/>
  <c r="G3287" i="7"/>
  <c r="G3332" i="7" s="1"/>
  <c r="G3377" i="7" s="1"/>
  <c r="G3422" i="7" s="1"/>
  <c r="G3467" i="7" s="1"/>
  <c r="G3512" i="7" s="1"/>
  <c r="AC713" i="3"/>
  <c r="AC716" i="3" s="1"/>
  <c r="D1324" i="10"/>
  <c r="D1135" i="10"/>
  <c r="D982" i="10"/>
  <c r="D1000" i="10"/>
  <c r="D871" i="12"/>
  <c r="D763" i="12"/>
  <c r="D863" i="10"/>
  <c r="D611" i="10"/>
  <c r="D674" i="10"/>
  <c r="D1259" i="10"/>
  <c r="D762" i="12"/>
  <c r="D870" i="12"/>
  <c r="D764" i="12"/>
  <c r="D872" i="12"/>
  <c r="D867" i="12"/>
  <c r="D759" i="12"/>
  <c r="M34" i="2"/>
  <c r="H23" i="1"/>
  <c r="D1879" i="10" l="1"/>
  <c r="D1825" i="10"/>
  <c r="G3774" i="7"/>
  <c r="G3783" i="7" s="1"/>
  <c r="G3792" i="7" s="1"/>
  <c r="G3801" i="7" s="1"/>
  <c r="G3810" i="7" s="1"/>
  <c r="G3819" i="7" s="1"/>
  <c r="G3828" i="7" s="1"/>
  <c r="G3837" i="7" s="1"/>
  <c r="G3846" i="7" s="1"/>
  <c r="G3855" i="7" s="1"/>
  <c r="G3864" i="7" s="1"/>
  <c r="G3873" i="7" s="1"/>
  <c r="G3882" i="7" s="1"/>
  <c r="G3891" i="7" s="1"/>
  <c r="G3900" i="7" s="1"/>
  <c r="G3909" i="7" s="1"/>
  <c r="G3918" i="7" s="1"/>
  <c r="G3639" i="7"/>
  <c r="G3648" i="7" s="1"/>
  <c r="G3657" i="7" s="1"/>
  <c r="G3666" i="7" s="1"/>
  <c r="G3675" i="7" s="1"/>
  <c r="G3684" i="7" s="1"/>
  <c r="G3693" i="7" s="1"/>
  <c r="G3702" i="7" s="1"/>
  <c r="G3711" i="7" s="1"/>
  <c r="G3720" i="7" s="1"/>
  <c r="G3729" i="7" s="1"/>
  <c r="G3738" i="7" s="1"/>
  <c r="G3747" i="7" s="1"/>
  <c r="G3756" i="7" s="1"/>
  <c r="G3765" i="7" s="1"/>
  <c r="G3596" i="7"/>
  <c r="G3056" i="7"/>
  <c r="D1267" i="10"/>
  <c r="D871" i="10"/>
  <c r="D619" i="10"/>
  <c r="D682" i="10"/>
  <c r="D2024" i="10"/>
  <c r="D2114" i="10" s="1"/>
  <c r="D2132" i="10" s="1"/>
  <c r="D1997" i="10"/>
  <c r="D2015" i="10"/>
  <c r="D1334" i="10"/>
  <c r="D1325" i="10"/>
  <c r="D1343" i="10"/>
  <c r="D1181" i="10"/>
  <c r="D1001" i="10"/>
  <c r="D1136" i="10"/>
  <c r="D1451" i="10"/>
  <c r="D1242" i="10"/>
  <c r="D837" i="10"/>
  <c r="D909" i="10" s="1"/>
  <c r="D819" i="10"/>
  <c r="D891" i="10" s="1"/>
  <c r="D594" i="10"/>
  <c r="D2026" i="10"/>
  <c r="D2116" i="10" s="1"/>
  <c r="D2134" i="10" s="1"/>
  <c r="D1999" i="10"/>
  <c r="D2017" i="10"/>
  <c r="D1877" i="10"/>
  <c r="D1823" i="10"/>
  <c r="D1266" i="10"/>
  <c r="D681" i="10"/>
  <c r="D870" i="10"/>
  <c r="D618" i="10"/>
  <c r="G3777" i="7"/>
  <c r="G3786" i="7" s="1"/>
  <c r="G3795" i="7" s="1"/>
  <c r="G3804" i="7" s="1"/>
  <c r="G3813" i="7" s="1"/>
  <c r="G3822" i="7" s="1"/>
  <c r="G3831" i="7" s="1"/>
  <c r="G3840" i="7" s="1"/>
  <c r="G3849" i="7" s="1"/>
  <c r="G3858" i="7" s="1"/>
  <c r="G3867" i="7" s="1"/>
  <c r="G3876" i="7" s="1"/>
  <c r="G3885" i="7" s="1"/>
  <c r="G3894" i="7" s="1"/>
  <c r="G3903" i="7" s="1"/>
  <c r="G3912" i="7" s="1"/>
  <c r="G3921" i="7" s="1"/>
  <c r="G3642" i="7"/>
  <c r="G3651" i="7" s="1"/>
  <c r="G3660" i="7" s="1"/>
  <c r="G3669" i="7" s="1"/>
  <c r="G3678" i="7" s="1"/>
  <c r="G3687" i="7" s="1"/>
  <c r="G3696" i="7" s="1"/>
  <c r="G3705" i="7" s="1"/>
  <c r="G3714" i="7" s="1"/>
  <c r="G3723" i="7" s="1"/>
  <c r="G3732" i="7" s="1"/>
  <c r="G3741" i="7" s="1"/>
  <c r="G3750" i="7" s="1"/>
  <c r="G3759" i="7" s="1"/>
  <c r="G3768" i="7" s="1"/>
  <c r="D1338" i="10"/>
  <c r="D1455" i="10"/>
  <c r="D1329" i="10"/>
  <c r="D1347" i="10"/>
  <c r="D1185" i="10"/>
  <c r="D1005" i="10"/>
  <c r="D1140" i="10"/>
  <c r="D2014" i="10"/>
  <c r="D1996" i="10"/>
  <c r="D2023" i="10"/>
  <c r="D2113" i="10" s="1"/>
  <c r="D2131" i="10" s="1"/>
  <c r="G3776" i="7"/>
  <c r="G3785" i="7" s="1"/>
  <c r="G3794" i="7" s="1"/>
  <c r="G3803" i="7" s="1"/>
  <c r="G3812" i="7" s="1"/>
  <c r="G3821" i="7" s="1"/>
  <c r="G3830" i="7" s="1"/>
  <c r="G3839" i="7" s="1"/>
  <c r="G3848" i="7" s="1"/>
  <c r="G3857" i="7" s="1"/>
  <c r="G3866" i="7" s="1"/>
  <c r="G3875" i="7" s="1"/>
  <c r="G3884" i="7" s="1"/>
  <c r="G3893" i="7" s="1"/>
  <c r="G3902" i="7" s="1"/>
  <c r="G3911" i="7" s="1"/>
  <c r="G3920" i="7" s="1"/>
  <c r="G3641" i="7"/>
  <c r="G3650" i="7" s="1"/>
  <c r="G3659" i="7" s="1"/>
  <c r="G3668" i="7" s="1"/>
  <c r="G3677" i="7" s="1"/>
  <c r="G3686" i="7" s="1"/>
  <c r="G3695" i="7" s="1"/>
  <c r="G3704" i="7" s="1"/>
  <c r="G3713" i="7" s="1"/>
  <c r="G3722" i="7" s="1"/>
  <c r="G3731" i="7" s="1"/>
  <c r="G3740" i="7" s="1"/>
  <c r="G3749" i="7" s="1"/>
  <c r="G3758" i="7" s="1"/>
  <c r="G3767" i="7" s="1"/>
  <c r="D1263" i="10"/>
  <c r="D867" i="10"/>
  <c r="D678" i="10"/>
  <c r="D615" i="10"/>
  <c r="D1262" i="10"/>
  <c r="D677" i="10"/>
  <c r="D614" i="10"/>
  <c r="D866" i="10"/>
  <c r="M3" i="2"/>
  <c r="D1802" i="10"/>
  <c r="D1685" i="10"/>
  <c r="D1810" i="10"/>
  <c r="D1693" i="10"/>
  <c r="G3645" i="7"/>
  <c r="G3654" i="7" s="1"/>
  <c r="G3663" i="7" s="1"/>
  <c r="G3672" i="7" s="1"/>
  <c r="G3681" i="7" s="1"/>
  <c r="G3690" i="7" s="1"/>
  <c r="G3699" i="7" s="1"/>
  <c r="G3708" i="7" s="1"/>
  <c r="G3717" i="7" s="1"/>
  <c r="G3726" i="7" s="1"/>
  <c r="G3735" i="7" s="1"/>
  <c r="G3744" i="7" s="1"/>
  <c r="G3753" i="7" s="1"/>
  <c r="G3762" i="7" s="1"/>
  <c r="G3771" i="7" s="1"/>
  <c r="G3780" i="7"/>
  <c r="G3789" i="7" s="1"/>
  <c r="G3798" i="7" s="1"/>
  <c r="G3807" i="7" s="1"/>
  <c r="G3816" i="7" s="1"/>
  <c r="G3825" i="7" s="1"/>
  <c r="G3834" i="7" s="1"/>
  <c r="G3843" i="7" s="1"/>
  <c r="G3852" i="7" s="1"/>
  <c r="G3861" i="7" s="1"/>
  <c r="G3870" i="7" s="1"/>
  <c r="G3879" i="7" s="1"/>
  <c r="G3888" i="7" s="1"/>
  <c r="G3897" i="7" s="1"/>
  <c r="G3906" i="7" s="1"/>
  <c r="G3915" i="7" s="1"/>
  <c r="G3924" i="7" s="1"/>
  <c r="D1821" i="10"/>
  <c r="D1875" i="10"/>
  <c r="D2012" i="10"/>
  <c r="D1994" i="10"/>
  <c r="D2021" i="10"/>
  <c r="D2111" i="10" s="1"/>
  <c r="D2129" i="10" s="1"/>
  <c r="D1238" i="10"/>
  <c r="D833" i="10"/>
  <c r="D905" i="10" s="1"/>
  <c r="D815" i="10"/>
  <c r="D887" i="10" s="1"/>
  <c r="D590" i="10"/>
  <c r="D1452" i="10"/>
  <c r="D1344" i="10"/>
  <c r="D1326" i="10"/>
  <c r="D1137" i="10"/>
  <c r="D1335" i="10"/>
  <c r="D1182" i="10"/>
  <c r="D1002" i="10"/>
  <c r="D1456" i="10"/>
  <c r="D1348" i="10"/>
  <c r="D1330" i="10"/>
  <c r="D1141" i="10"/>
  <c r="D1339" i="10"/>
  <c r="D1006" i="10"/>
  <c r="D1186" i="10"/>
  <c r="D1808" i="10"/>
  <c r="D1691" i="10"/>
  <c r="M8" i="2"/>
  <c r="G3601" i="7"/>
  <c r="G3061" i="7"/>
  <c r="G3600" i="7"/>
  <c r="G3060" i="7"/>
  <c r="D2010" i="10"/>
  <c r="D1992" i="10"/>
  <c r="D2019" i="10"/>
  <c r="D2109" i="10" s="1"/>
  <c r="D2127" i="10" s="1"/>
  <c r="G3598" i="7"/>
  <c r="G3058" i="7"/>
  <c r="D1237" i="10"/>
  <c r="D814" i="10"/>
  <c r="D886" i="10" s="1"/>
  <c r="D832" i="10"/>
  <c r="D904" i="10" s="1"/>
  <c r="D589" i="10"/>
  <c r="G3260" i="7"/>
  <c r="G3296" i="7"/>
  <c r="G3341" i="7" s="1"/>
  <c r="G3386" i="7" s="1"/>
  <c r="G3431" i="7" s="1"/>
  <c r="G3476" i="7" s="1"/>
  <c r="G3521" i="7" s="1"/>
  <c r="G3597" i="7"/>
  <c r="G3057" i="7"/>
  <c r="D1881" i="10"/>
  <c r="D1827" i="10"/>
  <c r="D1243" i="10"/>
  <c r="D838" i="10"/>
  <c r="D910" i="10" s="1"/>
  <c r="D595" i="10"/>
  <c r="D820" i="10"/>
  <c r="D892" i="10" s="1"/>
  <c r="G3599" i="7"/>
  <c r="G3059" i="7"/>
  <c r="D1240" i="10"/>
  <c r="D835" i="10"/>
  <c r="D907" i="10" s="1"/>
  <c r="D817" i="10"/>
  <c r="D889" i="10" s="1"/>
  <c r="D592" i="10"/>
  <c r="G3781" i="7"/>
  <c r="G3790" i="7" s="1"/>
  <c r="G3799" i="7" s="1"/>
  <c r="G3808" i="7" s="1"/>
  <c r="G3817" i="7" s="1"/>
  <c r="G3826" i="7" s="1"/>
  <c r="G3835" i="7" s="1"/>
  <c r="G3844" i="7" s="1"/>
  <c r="G3853" i="7" s="1"/>
  <c r="G3862" i="7" s="1"/>
  <c r="G3871" i="7" s="1"/>
  <c r="G3880" i="7" s="1"/>
  <c r="G3889" i="7" s="1"/>
  <c r="G3898" i="7" s="1"/>
  <c r="G3907" i="7" s="1"/>
  <c r="G3916" i="7" s="1"/>
  <c r="G3925" i="7" s="1"/>
  <c r="G3646" i="7"/>
  <c r="G3655" i="7" s="1"/>
  <c r="G3664" i="7" s="1"/>
  <c r="G3673" i="7" s="1"/>
  <c r="G3682" i="7" s="1"/>
  <c r="G3691" i="7" s="1"/>
  <c r="G3700" i="7" s="1"/>
  <c r="G3709" i="7" s="1"/>
  <c r="G3718" i="7" s="1"/>
  <c r="G3727" i="7" s="1"/>
  <c r="G3736" i="7" s="1"/>
  <c r="G3745" i="7" s="1"/>
  <c r="G3754" i="7" s="1"/>
  <c r="G3763" i="7" s="1"/>
  <c r="G3772" i="7" s="1"/>
  <c r="D1336" i="10"/>
  <c r="D1453" i="10"/>
  <c r="D1327" i="10"/>
  <c r="D1345" i="10"/>
  <c r="D1183" i="10"/>
  <c r="D1003" i="10"/>
  <c r="D1138" i="10"/>
  <c r="G3778" i="7"/>
  <c r="G3787" i="7" s="1"/>
  <c r="G3796" i="7" s="1"/>
  <c r="G3805" i="7" s="1"/>
  <c r="G3814" i="7" s="1"/>
  <c r="G3823" i="7" s="1"/>
  <c r="G3832" i="7" s="1"/>
  <c r="G3841" i="7" s="1"/>
  <c r="G3850" i="7" s="1"/>
  <c r="G3859" i="7" s="1"/>
  <c r="G3868" i="7" s="1"/>
  <c r="G3877" i="7" s="1"/>
  <c r="G3886" i="7" s="1"/>
  <c r="G3895" i="7" s="1"/>
  <c r="G3904" i="7" s="1"/>
  <c r="G3913" i="7" s="1"/>
  <c r="G3922" i="7" s="1"/>
  <c r="G3643" i="7"/>
  <c r="G3652" i="7" s="1"/>
  <c r="G3661" i="7" s="1"/>
  <c r="G3670" i="7" s="1"/>
  <c r="G3679" i="7" s="1"/>
  <c r="G3688" i="7" s="1"/>
  <c r="G3697" i="7" s="1"/>
  <c r="G3706" i="7" s="1"/>
  <c r="G3715" i="7" s="1"/>
  <c r="G3724" i="7" s="1"/>
  <c r="G3733" i="7" s="1"/>
  <c r="G3742" i="7" s="1"/>
  <c r="G3751" i="7" s="1"/>
  <c r="G3760" i="7" s="1"/>
  <c r="G3769" i="7" s="1"/>
  <c r="D1268" i="10"/>
  <c r="D683" i="10"/>
  <c r="D872" i="10"/>
  <c r="D620" i="10"/>
  <c r="D1235" i="10"/>
  <c r="D830" i="10"/>
  <c r="D902" i="10" s="1"/>
  <c r="D587" i="10"/>
  <c r="D812" i="10"/>
  <c r="D884" i="10" s="1"/>
  <c r="D1270" i="10"/>
  <c r="D685" i="10"/>
  <c r="D622" i="10"/>
  <c r="D874" i="10"/>
  <c r="D2016" i="10"/>
  <c r="D1998" i="10"/>
  <c r="D2025" i="10"/>
  <c r="D2115" i="10" s="1"/>
  <c r="D2133" i="10" s="1"/>
  <c r="D2020" i="10"/>
  <c r="D2110" i="10" s="1"/>
  <c r="D2128" i="10" s="1"/>
  <c r="D1993" i="10"/>
  <c r="D2011" i="10"/>
  <c r="D1878" i="10"/>
  <c r="D1824" i="10"/>
  <c r="D873" i="10"/>
  <c r="D1269" i="10"/>
  <c r="D684" i="10"/>
  <c r="D621" i="10"/>
  <c r="D1264" i="10"/>
  <c r="D679" i="10"/>
  <c r="D616" i="10"/>
  <c r="D868" i="10"/>
  <c r="G3775" i="7"/>
  <c r="G3784" i="7" s="1"/>
  <c r="G3793" i="7" s="1"/>
  <c r="G3802" i="7" s="1"/>
  <c r="G3811" i="7" s="1"/>
  <c r="G3820" i="7" s="1"/>
  <c r="G3829" i="7" s="1"/>
  <c r="G3838" i="7" s="1"/>
  <c r="G3847" i="7" s="1"/>
  <c r="G3856" i="7" s="1"/>
  <c r="G3865" i="7" s="1"/>
  <c r="G3874" i="7" s="1"/>
  <c r="G3883" i="7" s="1"/>
  <c r="G3892" i="7" s="1"/>
  <c r="G3901" i="7" s="1"/>
  <c r="G3910" i="7" s="1"/>
  <c r="G3919" i="7" s="1"/>
  <c r="G3640" i="7"/>
  <c r="G3649" i="7" s="1"/>
  <c r="G3658" i="7" s="1"/>
  <c r="G3667" i="7" s="1"/>
  <c r="G3676" i="7" s="1"/>
  <c r="G3685" i="7" s="1"/>
  <c r="G3694" i="7" s="1"/>
  <c r="G3703" i="7" s="1"/>
  <c r="G3712" i="7" s="1"/>
  <c r="G3721" i="7" s="1"/>
  <c r="G3730" i="7" s="1"/>
  <c r="G3739" i="7" s="1"/>
  <c r="G3748" i="7" s="1"/>
  <c r="G3757" i="7" s="1"/>
  <c r="G3766" i="7" s="1"/>
  <c r="D1342" i="10"/>
  <c r="D1459" i="10"/>
  <c r="D1189" i="10"/>
  <c r="D1009" i="10"/>
  <c r="D1333" i="10"/>
  <c r="D1351" i="10"/>
  <c r="D1144" i="10"/>
  <c r="D1690" i="10"/>
  <c r="D1807" i="10"/>
  <c r="D1876" i="10"/>
  <c r="D1822" i="10"/>
  <c r="D2022" i="10"/>
  <c r="D2112" i="10" s="1"/>
  <c r="D2130" i="10" s="1"/>
  <c r="D2013" i="10"/>
  <c r="D1995" i="10"/>
  <c r="D1265" i="10"/>
  <c r="D869" i="10"/>
  <c r="D617" i="10"/>
  <c r="D680" i="10"/>
  <c r="G3989" i="7"/>
  <c r="G3998" i="7" s="1"/>
  <c r="G4007" i="7" s="1"/>
  <c r="G4016" i="7" s="1"/>
  <c r="G4025" i="7" s="1"/>
  <c r="G4034" i="7" s="1"/>
  <c r="G4043" i="7" s="1"/>
  <c r="G4052" i="7" s="1"/>
  <c r="G4061" i="7" s="1"/>
  <c r="G4070" i="7" s="1"/>
  <c r="G4079" i="7" s="1"/>
  <c r="G4088" i="7" s="1"/>
  <c r="G4097" i="7" s="1"/>
  <c r="G4106" i="7" s="1"/>
  <c r="G4115" i="7" s="1"/>
  <c r="G4124" i="7" s="1"/>
  <c r="G4133" i="7" s="1"/>
  <c r="G4142" i="7" s="1"/>
  <c r="G4151" i="7" s="1"/>
  <c r="G4160" i="7" s="1"/>
  <c r="G4169" i="7" s="1"/>
  <c r="G4178" i="7" s="1"/>
  <c r="G4187" i="7" s="1"/>
  <c r="G4196" i="7" s="1"/>
  <c r="G4205" i="7" s="1"/>
  <c r="G3926" i="7"/>
  <c r="G3935" i="7" s="1"/>
  <c r="G3944" i="7" s="1"/>
  <c r="G3953" i="7" s="1"/>
  <c r="G3962" i="7" s="1"/>
  <c r="G3971" i="7" s="1"/>
  <c r="G3980" i="7" s="1"/>
  <c r="G3055" i="7"/>
  <c r="G3595" i="7"/>
  <c r="D1692" i="10"/>
  <c r="D1809" i="10"/>
  <c r="D1340" i="10"/>
  <c r="D1457" i="10"/>
  <c r="D1331" i="10"/>
  <c r="D1187" i="10"/>
  <c r="D1007" i="10"/>
  <c r="D1349" i="10"/>
  <c r="D1142" i="10"/>
  <c r="G3779" i="7"/>
  <c r="G3788" i="7" s="1"/>
  <c r="G3797" i="7" s="1"/>
  <c r="G3806" i="7" s="1"/>
  <c r="G3815" i="7" s="1"/>
  <c r="G3824" i="7" s="1"/>
  <c r="G3833" i="7" s="1"/>
  <c r="G3842" i="7" s="1"/>
  <c r="G3851" i="7" s="1"/>
  <c r="G3860" i="7" s="1"/>
  <c r="G3869" i="7" s="1"/>
  <c r="G3878" i="7" s="1"/>
  <c r="G3887" i="7" s="1"/>
  <c r="G3896" i="7" s="1"/>
  <c r="G3905" i="7" s="1"/>
  <c r="G3914" i="7" s="1"/>
  <c r="G3923" i="7" s="1"/>
  <c r="G3644" i="7"/>
  <c r="G3653" i="7" s="1"/>
  <c r="G3662" i="7" s="1"/>
  <c r="G3671" i="7" s="1"/>
  <c r="G3680" i="7" s="1"/>
  <c r="G3689" i="7" s="1"/>
  <c r="G3698" i="7" s="1"/>
  <c r="G3707" i="7" s="1"/>
  <c r="G3716" i="7" s="1"/>
  <c r="G3725" i="7" s="1"/>
  <c r="G3734" i="7" s="1"/>
  <c r="G3743" i="7" s="1"/>
  <c r="G3752" i="7" s="1"/>
  <c r="G3761" i="7" s="1"/>
  <c r="G3770" i="7" s="1"/>
  <c r="D1804" i="10"/>
  <c r="D1687" i="10"/>
  <c r="D1806" i="10"/>
  <c r="D1689" i="10"/>
  <c r="G3548" i="7"/>
  <c r="G3539" i="7"/>
  <c r="D1458" i="10"/>
  <c r="D1350" i="10"/>
  <c r="D1332" i="10"/>
  <c r="D1341" i="10"/>
  <c r="D1143" i="10"/>
  <c r="D1008" i="10"/>
  <c r="D1188" i="10"/>
  <c r="D1454" i="10"/>
  <c r="D1346" i="10"/>
  <c r="D1328" i="10"/>
  <c r="D1139" i="10"/>
  <c r="D1184" i="10"/>
  <c r="D1337" i="10"/>
  <c r="D1004" i="10"/>
  <c r="D1874" i="10"/>
  <c r="D1820" i="10"/>
  <c r="D593" i="10"/>
  <c r="D1241" i="10"/>
  <c r="D836" i="10"/>
  <c r="D908" i="10" s="1"/>
  <c r="D818" i="10"/>
  <c r="D890" i="10" s="1"/>
  <c r="D1688" i="10"/>
  <c r="D1805" i="10"/>
  <c r="D1239" i="10"/>
  <c r="D591" i="10"/>
  <c r="D816" i="10"/>
  <c r="D888" i="10" s="1"/>
  <c r="D834" i="10"/>
  <c r="D906" i="10" s="1"/>
  <c r="D1236" i="10"/>
  <c r="D831" i="10"/>
  <c r="D903" i="10" s="1"/>
  <c r="D813" i="10"/>
  <c r="D885" i="10" s="1"/>
  <c r="D588" i="10"/>
  <c r="G3594" i="7"/>
  <c r="G3054" i="7"/>
  <c r="D1880" i="10"/>
  <c r="D1826" i="10"/>
  <c r="D2018" i="10"/>
  <c r="D2108" i="10" s="1"/>
  <c r="D2126" i="10" s="1"/>
  <c r="D1991" i="10"/>
  <c r="D2009" i="10"/>
  <c r="D1882" i="10"/>
  <c r="D1828" i="10"/>
  <c r="D1686" i="10"/>
  <c r="D1803" i="10"/>
  <c r="H28" i="1"/>
  <c r="H24" i="1"/>
  <c r="G3994" i="7" l="1"/>
  <c r="G4003" i="7" s="1"/>
  <c r="G4012" i="7" s="1"/>
  <c r="G4021" i="7" s="1"/>
  <c r="G4030" i="7" s="1"/>
  <c r="G4039" i="7" s="1"/>
  <c r="G4048" i="7" s="1"/>
  <c r="G4057" i="7" s="1"/>
  <c r="G4066" i="7" s="1"/>
  <c r="G4075" i="7" s="1"/>
  <c r="G4084" i="7" s="1"/>
  <c r="G4093" i="7" s="1"/>
  <c r="G4102" i="7" s="1"/>
  <c r="G4111" i="7" s="1"/>
  <c r="G4120" i="7" s="1"/>
  <c r="G4129" i="7" s="1"/>
  <c r="G4138" i="7" s="1"/>
  <c r="G4147" i="7" s="1"/>
  <c r="G4156" i="7" s="1"/>
  <c r="G4165" i="7" s="1"/>
  <c r="G4174" i="7" s="1"/>
  <c r="G4183" i="7" s="1"/>
  <c r="G4192" i="7" s="1"/>
  <c r="G4201" i="7" s="1"/>
  <c r="G4210" i="7" s="1"/>
  <c r="G3931" i="7"/>
  <c r="G3940" i="7" s="1"/>
  <c r="G3949" i="7" s="1"/>
  <c r="G3958" i="7" s="1"/>
  <c r="G3967" i="7" s="1"/>
  <c r="G3976" i="7" s="1"/>
  <c r="G3985" i="7" s="1"/>
  <c r="D1464" i="10"/>
  <c r="D1356" i="10"/>
  <c r="D1149" i="10"/>
  <c r="D1014" i="10"/>
  <c r="D1194" i="10"/>
  <c r="D1274" i="10"/>
  <c r="D689" i="10"/>
  <c r="D635" i="10"/>
  <c r="D626" i="10"/>
  <c r="D644" i="10"/>
  <c r="D1359" i="10"/>
  <c r="D1197" i="10"/>
  <c r="D1017" i="10"/>
  <c r="D1467" i="10"/>
  <c r="D1152" i="10"/>
  <c r="D2136" i="10"/>
  <c r="D2172" i="10"/>
  <c r="D1974" i="10"/>
  <c r="D2073" i="10" s="1"/>
  <c r="D1920" i="10"/>
  <c r="D1902" i="10"/>
  <c r="D1830" i="10"/>
  <c r="D1893" i="10"/>
  <c r="D1911" i="10"/>
  <c r="D2037" i="10" s="1"/>
  <c r="D2006" i="10"/>
  <c r="D2033" i="10"/>
  <c r="D2123" i="10" s="1"/>
  <c r="D2096" i="10"/>
  <c r="G3929" i="7"/>
  <c r="G3938" i="7" s="1"/>
  <c r="G3947" i="7" s="1"/>
  <c r="G3956" i="7" s="1"/>
  <c r="G3965" i="7" s="1"/>
  <c r="G3974" i="7" s="1"/>
  <c r="G3983" i="7" s="1"/>
  <c r="G3992" i="7"/>
  <c r="G4001" i="7" s="1"/>
  <c r="G4010" i="7" s="1"/>
  <c r="G4019" i="7" s="1"/>
  <c r="G4028" i="7" s="1"/>
  <c r="G4037" i="7" s="1"/>
  <c r="G4046" i="7" s="1"/>
  <c r="G4055" i="7" s="1"/>
  <c r="G4064" i="7" s="1"/>
  <c r="G4073" i="7" s="1"/>
  <c r="G4082" i="7" s="1"/>
  <c r="G4091" i="7" s="1"/>
  <c r="G4100" i="7" s="1"/>
  <c r="G4109" i="7" s="1"/>
  <c r="G4118" i="7" s="1"/>
  <c r="G4127" i="7" s="1"/>
  <c r="G4136" i="7" s="1"/>
  <c r="G4145" i="7" s="1"/>
  <c r="G4154" i="7" s="1"/>
  <c r="G4163" i="7" s="1"/>
  <c r="G4172" i="7" s="1"/>
  <c r="G4181" i="7" s="1"/>
  <c r="G4190" i="7" s="1"/>
  <c r="G4199" i="7" s="1"/>
  <c r="G4208" i="7" s="1"/>
  <c r="G3065" i="7"/>
  <c r="G3083" i="7" s="1"/>
  <c r="G3074" i="7"/>
  <c r="G3092" i="7" s="1"/>
  <c r="D2173" i="10"/>
  <c r="D2137" i="10"/>
  <c r="D1247" i="10"/>
  <c r="D851" i="10"/>
  <c r="D842" i="10"/>
  <c r="G3934" i="7"/>
  <c r="G3943" i="7" s="1"/>
  <c r="G3952" i="7" s="1"/>
  <c r="G3961" i="7" s="1"/>
  <c r="G3970" i="7" s="1"/>
  <c r="G3979" i="7" s="1"/>
  <c r="G3988" i="7" s="1"/>
  <c r="G3997" i="7"/>
  <c r="G4006" i="7" s="1"/>
  <c r="G4015" i="7" s="1"/>
  <c r="G4024" i="7" s="1"/>
  <c r="G4033" i="7" s="1"/>
  <c r="G4042" i="7" s="1"/>
  <c r="G4051" i="7" s="1"/>
  <c r="G4060" i="7" s="1"/>
  <c r="G4069" i="7" s="1"/>
  <c r="G4078" i="7" s="1"/>
  <c r="G4087" i="7" s="1"/>
  <c r="G4096" i="7" s="1"/>
  <c r="G4105" i="7" s="1"/>
  <c r="G4114" i="7" s="1"/>
  <c r="G4123" i="7" s="1"/>
  <c r="G4132" i="7" s="1"/>
  <c r="G4141" i="7" s="1"/>
  <c r="G4150" i="7" s="1"/>
  <c r="G4159" i="7" s="1"/>
  <c r="G4168" i="7" s="1"/>
  <c r="G4177" i="7" s="1"/>
  <c r="G4186" i="7" s="1"/>
  <c r="G4195" i="7" s="1"/>
  <c r="G4204" i="7" s="1"/>
  <c r="G4213" i="7" s="1"/>
  <c r="G3991" i="7"/>
  <c r="G4000" i="7" s="1"/>
  <c r="G4009" i="7" s="1"/>
  <c r="G4018" i="7" s="1"/>
  <c r="G4027" i="7" s="1"/>
  <c r="G4036" i="7" s="1"/>
  <c r="G4045" i="7" s="1"/>
  <c r="G4054" i="7" s="1"/>
  <c r="G4063" i="7" s="1"/>
  <c r="G4072" i="7" s="1"/>
  <c r="G4081" i="7" s="1"/>
  <c r="G4090" i="7" s="1"/>
  <c r="G4099" i="7" s="1"/>
  <c r="G4108" i="7" s="1"/>
  <c r="G4117" i="7" s="1"/>
  <c r="G4126" i="7" s="1"/>
  <c r="G4135" i="7" s="1"/>
  <c r="G4144" i="7" s="1"/>
  <c r="G4153" i="7" s="1"/>
  <c r="G4162" i="7" s="1"/>
  <c r="G4171" i="7" s="1"/>
  <c r="G4180" i="7" s="1"/>
  <c r="G4189" i="7" s="1"/>
  <c r="G4198" i="7" s="1"/>
  <c r="G4207" i="7" s="1"/>
  <c r="G3928" i="7"/>
  <c r="G3937" i="7" s="1"/>
  <c r="G3946" i="7" s="1"/>
  <c r="G3955" i="7" s="1"/>
  <c r="G3964" i="7" s="1"/>
  <c r="G3973" i="7" s="1"/>
  <c r="G3982" i="7" s="1"/>
  <c r="D1249" i="10"/>
  <c r="D853" i="10"/>
  <c r="D844" i="10"/>
  <c r="D1246" i="10"/>
  <c r="D841" i="10"/>
  <c r="D850" i="10"/>
  <c r="D1460" i="10"/>
  <c r="D1352" i="10"/>
  <c r="D1145" i="10"/>
  <c r="D1190" i="10"/>
  <c r="D1010" i="10"/>
  <c r="D2140" i="10"/>
  <c r="D2176" i="10"/>
  <c r="D1976" i="10"/>
  <c r="D2075" i="10" s="1"/>
  <c r="D1922" i="10"/>
  <c r="D1904" i="10"/>
  <c r="D1832" i="10"/>
  <c r="D1895" i="10"/>
  <c r="D1913" i="10"/>
  <c r="D2039" i="10" s="1"/>
  <c r="D2002" i="10"/>
  <c r="D2029" i="10"/>
  <c r="D2119" i="10" s="1"/>
  <c r="D2092" i="10"/>
  <c r="D1278" i="10"/>
  <c r="D693" i="10"/>
  <c r="D639" i="10"/>
  <c r="D630" i="10"/>
  <c r="D648" i="10"/>
  <c r="D1244" i="10"/>
  <c r="D839" i="10"/>
  <c r="D848" i="10"/>
  <c r="D1252" i="10"/>
  <c r="D847" i="10"/>
  <c r="D856" i="10"/>
  <c r="D641" i="10"/>
  <c r="D1271" i="10"/>
  <c r="D623" i="10"/>
  <c r="D686" i="10"/>
  <c r="D632" i="10"/>
  <c r="D1914" i="10"/>
  <c r="D2040" i="10" s="1"/>
  <c r="D1896" i="10"/>
  <c r="D1977" i="10"/>
  <c r="D2076" i="10" s="1"/>
  <c r="D1905" i="10"/>
  <c r="D1833" i="10"/>
  <c r="D1923" i="10"/>
  <c r="D1277" i="10"/>
  <c r="D647" i="10"/>
  <c r="D629" i="10"/>
  <c r="D638" i="10"/>
  <c r="D692" i="10"/>
  <c r="G3078" i="7"/>
  <c r="G3096" i="7" s="1"/>
  <c r="G3069" i="7"/>
  <c r="G3087" i="7" s="1"/>
  <c r="D1702" i="10"/>
  <c r="D1783" i="10"/>
  <c r="D2093" i="10"/>
  <c r="D2030" i="10"/>
  <c r="D2120" i="10" s="1"/>
  <c r="D2003" i="10"/>
  <c r="D1193" i="10"/>
  <c r="D1013" i="10"/>
  <c r="D1463" i="10"/>
  <c r="D1148" i="10"/>
  <c r="D1355" i="10"/>
  <c r="D2091" i="10"/>
  <c r="D2028" i="10"/>
  <c r="D2118" i="10" s="1"/>
  <c r="D2001" i="10"/>
  <c r="D1251" i="10"/>
  <c r="D855" i="10"/>
  <c r="D846" i="10"/>
  <c r="D1916" i="10"/>
  <c r="D2042" i="10" s="1"/>
  <c r="D1898" i="10"/>
  <c r="D1925" i="10"/>
  <c r="D1907" i="10"/>
  <c r="D1979" i="10"/>
  <c r="D2078" i="10" s="1"/>
  <c r="D1835" i="10"/>
  <c r="D2178" i="10"/>
  <c r="D2142" i="10"/>
  <c r="G3932" i="7"/>
  <c r="G3941" i="7" s="1"/>
  <c r="G3950" i="7" s="1"/>
  <c r="G3959" i="7" s="1"/>
  <c r="G3968" i="7" s="1"/>
  <c r="G3977" i="7" s="1"/>
  <c r="G3986" i="7" s="1"/>
  <c r="G3995" i="7"/>
  <c r="G4004" i="7" s="1"/>
  <c r="G4013" i="7" s="1"/>
  <c r="G4022" i="7" s="1"/>
  <c r="G4031" i="7" s="1"/>
  <c r="G4040" i="7" s="1"/>
  <c r="G4049" i="7" s="1"/>
  <c r="G4058" i="7" s="1"/>
  <c r="G4067" i="7" s="1"/>
  <c r="G4076" i="7" s="1"/>
  <c r="G4085" i="7" s="1"/>
  <c r="G4094" i="7" s="1"/>
  <c r="G4103" i="7" s="1"/>
  <c r="G4112" i="7" s="1"/>
  <c r="G4121" i="7" s="1"/>
  <c r="G4130" i="7" s="1"/>
  <c r="G4139" i="7" s="1"/>
  <c r="G4148" i="7" s="1"/>
  <c r="G4157" i="7" s="1"/>
  <c r="G4166" i="7" s="1"/>
  <c r="G4175" i="7" s="1"/>
  <c r="G4184" i="7" s="1"/>
  <c r="G4193" i="7" s="1"/>
  <c r="G4202" i="7" s="1"/>
  <c r="G4211" i="7" s="1"/>
  <c r="D1780" i="10"/>
  <c r="D1699" i="10"/>
  <c r="G3063" i="7"/>
  <c r="G3081" i="7" s="1"/>
  <c r="G3072" i="7"/>
  <c r="G3090" i="7" s="1"/>
  <c r="D1910" i="10"/>
  <c r="D2036" i="10" s="1"/>
  <c r="D1892" i="10"/>
  <c r="D1973" i="10"/>
  <c r="D2072" i="10" s="1"/>
  <c r="D1901" i="10"/>
  <c r="D1829" i="10"/>
  <c r="D1919" i="10"/>
  <c r="D2000" i="10"/>
  <c r="D2090" i="10"/>
  <c r="D2027" i="10"/>
  <c r="D2117" i="10" s="1"/>
  <c r="D1279" i="10"/>
  <c r="D649" i="10"/>
  <c r="D631" i="10"/>
  <c r="D694" i="10"/>
  <c r="D640" i="10"/>
  <c r="D2174" i="10"/>
  <c r="D2138" i="10"/>
  <c r="D1272" i="10"/>
  <c r="D687" i="10"/>
  <c r="D633" i="10"/>
  <c r="D642" i="10"/>
  <c r="D624" i="10"/>
  <c r="D2177" i="10"/>
  <c r="D2141" i="10"/>
  <c r="G3927" i="7"/>
  <c r="G3936" i="7" s="1"/>
  <c r="G3945" i="7" s="1"/>
  <c r="G3954" i="7" s="1"/>
  <c r="G3963" i="7" s="1"/>
  <c r="G3972" i="7" s="1"/>
  <c r="G3981" i="7" s="1"/>
  <c r="G3990" i="7"/>
  <c r="G3999" i="7" s="1"/>
  <c r="G4008" i="7" s="1"/>
  <c r="G4017" i="7" s="1"/>
  <c r="G4026" i="7" s="1"/>
  <c r="G4035" i="7" s="1"/>
  <c r="G4044" i="7" s="1"/>
  <c r="G4053" i="7" s="1"/>
  <c r="G4062" i="7" s="1"/>
  <c r="G4071" i="7" s="1"/>
  <c r="G4080" i="7" s="1"/>
  <c r="G4089" i="7" s="1"/>
  <c r="G4098" i="7" s="1"/>
  <c r="G4107" i="7" s="1"/>
  <c r="G4116" i="7" s="1"/>
  <c r="G4125" i="7" s="1"/>
  <c r="G4134" i="7" s="1"/>
  <c r="G4143" i="7" s="1"/>
  <c r="G4152" i="7" s="1"/>
  <c r="G4161" i="7" s="1"/>
  <c r="G4170" i="7" s="1"/>
  <c r="G4179" i="7" s="1"/>
  <c r="G4188" i="7" s="1"/>
  <c r="G4197" i="7" s="1"/>
  <c r="G4206" i="7" s="1"/>
  <c r="D2171" i="10"/>
  <c r="D2135" i="10"/>
  <c r="D1700" i="10"/>
  <c r="D1781" i="10"/>
  <c r="D1250" i="10"/>
  <c r="D845" i="10"/>
  <c r="D854" i="10"/>
  <c r="G3996" i="7"/>
  <c r="G4005" i="7" s="1"/>
  <c r="G4014" i="7" s="1"/>
  <c r="G4023" i="7" s="1"/>
  <c r="G4032" i="7" s="1"/>
  <c r="G4041" i="7" s="1"/>
  <c r="G4050" i="7" s="1"/>
  <c r="G4059" i="7" s="1"/>
  <c r="G4068" i="7" s="1"/>
  <c r="G4077" i="7" s="1"/>
  <c r="G4086" i="7" s="1"/>
  <c r="G4095" i="7" s="1"/>
  <c r="G4104" i="7" s="1"/>
  <c r="G4113" i="7" s="1"/>
  <c r="G4122" i="7" s="1"/>
  <c r="G4131" i="7" s="1"/>
  <c r="G4140" i="7" s="1"/>
  <c r="G4149" i="7" s="1"/>
  <c r="G4158" i="7" s="1"/>
  <c r="G4167" i="7" s="1"/>
  <c r="G4176" i="7" s="1"/>
  <c r="G4185" i="7" s="1"/>
  <c r="G4194" i="7" s="1"/>
  <c r="G4203" i="7" s="1"/>
  <c r="G4212" i="7" s="1"/>
  <c r="G3933" i="7"/>
  <c r="G3942" i="7" s="1"/>
  <c r="G3951" i="7" s="1"/>
  <c r="G3960" i="7" s="1"/>
  <c r="G3969" i="7" s="1"/>
  <c r="G3978" i="7" s="1"/>
  <c r="G3987" i="7" s="1"/>
  <c r="D1776" i="10"/>
  <c r="D1695" i="10"/>
  <c r="D1248" i="10"/>
  <c r="D843" i="10"/>
  <c r="D852" i="10"/>
  <c r="D1782" i="10"/>
  <c r="D1701" i="10"/>
  <c r="D1918" i="10"/>
  <c r="D2044" i="10" s="1"/>
  <c r="D1900" i="10"/>
  <c r="D1981" i="10"/>
  <c r="D2080" i="10" s="1"/>
  <c r="D1909" i="10"/>
  <c r="D1837" i="10"/>
  <c r="D1927" i="10"/>
  <c r="D2098" i="10"/>
  <c r="D2008" i="10"/>
  <c r="D2035" i="10"/>
  <c r="D2125" i="10" s="1"/>
  <c r="G3064" i="7"/>
  <c r="G3082" i="7" s="1"/>
  <c r="G3073" i="7"/>
  <c r="G3091" i="7" s="1"/>
  <c r="D643" i="10"/>
  <c r="D625" i="10"/>
  <c r="D1273" i="10"/>
  <c r="D634" i="10"/>
  <c r="D688" i="10"/>
  <c r="D1980" i="10"/>
  <c r="D2079" i="10" s="1"/>
  <c r="D1926" i="10"/>
  <c r="D1908" i="10"/>
  <c r="D1836" i="10"/>
  <c r="D1917" i="10"/>
  <c r="D2043" i="10" s="1"/>
  <c r="D1899" i="10"/>
  <c r="D1778" i="10"/>
  <c r="D1697" i="10"/>
  <c r="G3930" i="7"/>
  <c r="G3939" i="7" s="1"/>
  <c r="G3948" i="7" s="1"/>
  <c r="G3957" i="7" s="1"/>
  <c r="G3966" i="7" s="1"/>
  <c r="G3975" i="7" s="1"/>
  <c r="G3984" i="7" s="1"/>
  <c r="G3993" i="7"/>
  <c r="G4002" i="7" s="1"/>
  <c r="G4011" i="7" s="1"/>
  <c r="G4020" i="7" s="1"/>
  <c r="G4029" i="7" s="1"/>
  <c r="G4038" i="7" s="1"/>
  <c r="G4047" i="7" s="1"/>
  <c r="G4056" i="7" s="1"/>
  <c r="G4065" i="7" s="1"/>
  <c r="G4074" i="7" s="1"/>
  <c r="G4083" i="7" s="1"/>
  <c r="G4092" i="7" s="1"/>
  <c r="G4101" i="7" s="1"/>
  <c r="G4110" i="7" s="1"/>
  <c r="G4119" i="7" s="1"/>
  <c r="G4128" i="7" s="1"/>
  <c r="G4137" i="7" s="1"/>
  <c r="G4146" i="7" s="1"/>
  <c r="G4155" i="7" s="1"/>
  <c r="G4164" i="7" s="1"/>
  <c r="G4173" i="7" s="1"/>
  <c r="G4182" i="7" s="1"/>
  <c r="G4191" i="7" s="1"/>
  <c r="G4200" i="7" s="1"/>
  <c r="G4209" i="7" s="1"/>
  <c r="D1357" i="10"/>
  <c r="D1195" i="10"/>
  <c r="D1015" i="10"/>
  <c r="D1150" i="10"/>
  <c r="D1465" i="10"/>
  <c r="D1978" i="10"/>
  <c r="D2077" i="10" s="1"/>
  <c r="D1924" i="10"/>
  <c r="D1906" i="10"/>
  <c r="D1834" i="10"/>
  <c r="D1897" i="10"/>
  <c r="D1915" i="10"/>
  <c r="D2041" i="10" s="1"/>
  <c r="D1245" i="10"/>
  <c r="D849" i="10"/>
  <c r="D840" i="10"/>
  <c r="D1698" i="10"/>
  <c r="D1779" i="10"/>
  <c r="D2004" i="10"/>
  <c r="D2031" i="10"/>
  <c r="D2121" i="10" s="1"/>
  <c r="D2094" i="10"/>
  <c r="D2175" i="10"/>
  <c r="D2139" i="10"/>
  <c r="D1462" i="10"/>
  <c r="D1354" i="10"/>
  <c r="D1147" i="10"/>
  <c r="D1192" i="10"/>
  <c r="D1012" i="10"/>
  <c r="D1468" i="10"/>
  <c r="D1360" i="10"/>
  <c r="D1153" i="10"/>
  <c r="D1198" i="10"/>
  <c r="D1018" i="10"/>
  <c r="D1466" i="10"/>
  <c r="D1358" i="10"/>
  <c r="D1151" i="10"/>
  <c r="D1016" i="10"/>
  <c r="D1196" i="10"/>
  <c r="D2097" i="10"/>
  <c r="D2034" i="10"/>
  <c r="D2124" i="10" s="1"/>
  <c r="D2007" i="10"/>
  <c r="G3070" i="7"/>
  <c r="G3088" i="7" s="1"/>
  <c r="G3079" i="7"/>
  <c r="G3097" i="7" s="1"/>
  <c r="D1694" i="10"/>
  <c r="D1775" i="10"/>
  <c r="D1191" i="10"/>
  <c r="D1011" i="10"/>
  <c r="D1461" i="10"/>
  <c r="D1353" i="10"/>
  <c r="D1146" i="10"/>
  <c r="D1696" i="10"/>
  <c r="D1777" i="10"/>
  <c r="G4214" i="7"/>
  <c r="G4403" i="7"/>
  <c r="G4412" i="7" s="1"/>
  <c r="G4421" i="7" s="1"/>
  <c r="G4430" i="7" s="1"/>
  <c r="G4439" i="7" s="1"/>
  <c r="G4448" i="7" s="1"/>
  <c r="G4457" i="7" s="1"/>
  <c r="G4466" i="7" s="1"/>
  <c r="G4475" i="7" s="1"/>
  <c r="G4484" i="7" s="1"/>
  <c r="G4493" i="7" s="1"/>
  <c r="G4502" i="7" s="1"/>
  <c r="G4511" i="7" s="1"/>
  <c r="G4520" i="7" s="1"/>
  <c r="G4529" i="7" s="1"/>
  <c r="G4538" i="7" s="1"/>
  <c r="G4547" i="7" s="1"/>
  <c r="G4556" i="7" s="1"/>
  <c r="G4565" i="7" s="1"/>
  <c r="G4574" i="7" s="1"/>
  <c r="G4583" i="7" s="1"/>
  <c r="G4592" i="7" s="1"/>
  <c r="G4601" i="7" s="1"/>
  <c r="G4610" i="7" s="1"/>
  <c r="G4619" i="7" s="1"/>
  <c r="G4628" i="7" s="1"/>
  <c r="G4637" i="7" s="1"/>
  <c r="G4646" i="7" s="1"/>
  <c r="G4655" i="7" s="1"/>
  <c r="G4664" i="7" s="1"/>
  <c r="G4673" i="7" s="1"/>
  <c r="G4682" i="7" s="1"/>
  <c r="G4691" i="7" s="1"/>
  <c r="G4700" i="7" s="1"/>
  <c r="G4709" i="7" s="1"/>
  <c r="G4718" i="7" s="1"/>
  <c r="G4286" i="7"/>
  <c r="G4376" i="7" s="1"/>
  <c r="D1912" i="10"/>
  <c r="D2038" i="10" s="1"/>
  <c r="D1894" i="10"/>
  <c r="D1975" i="10"/>
  <c r="D2074" i="10" s="1"/>
  <c r="D1903" i="10"/>
  <c r="D1831" i="10"/>
  <c r="D1921" i="10"/>
  <c r="G3068" i="7"/>
  <c r="G3086" i="7" s="1"/>
  <c r="G3077" i="7"/>
  <c r="G3095" i="7" s="1"/>
  <c r="G3066" i="7"/>
  <c r="G3084" i="7" s="1"/>
  <c r="G3075" i="7"/>
  <c r="G3093" i="7" s="1"/>
  <c r="G3076" i="7"/>
  <c r="G3094" i="7" s="1"/>
  <c r="G3067" i="7"/>
  <c r="G3085" i="7" s="1"/>
  <c r="D645" i="10"/>
  <c r="D1275" i="10"/>
  <c r="D627" i="10"/>
  <c r="D690" i="10"/>
  <c r="D636" i="10"/>
  <c r="D2179" i="10"/>
  <c r="D2143" i="10"/>
  <c r="D1276" i="10"/>
  <c r="D691" i="10"/>
  <c r="D637" i="10"/>
  <c r="D646" i="10"/>
  <c r="D628" i="10"/>
  <c r="D2095" i="10"/>
  <c r="D2032" i="10"/>
  <c r="D2122" i="10" s="1"/>
  <c r="D2005" i="10"/>
  <c r="D1285" i="10" l="1"/>
  <c r="D916" i="10"/>
  <c r="D700" i="10"/>
  <c r="D1988" i="10"/>
  <c r="D2087" i="10" s="1"/>
  <c r="D1934" i="10"/>
  <c r="D2060" i="10" s="1"/>
  <c r="D1844" i="10"/>
  <c r="D1520" i="10"/>
  <c r="D1475" i="10"/>
  <c r="D1025" i="10"/>
  <c r="D1367" i="10"/>
  <c r="D710" i="10"/>
  <c r="D1160" i="10"/>
  <c r="D1493" i="10"/>
  <c r="D1296" i="10"/>
  <c r="D927" i="10"/>
  <c r="D1292" i="10"/>
  <c r="D923" i="10"/>
  <c r="G4295" i="7"/>
  <c r="G4385" i="7" s="1"/>
  <c r="G4223" i="7"/>
  <c r="D1282" i="10"/>
  <c r="D913" i="10"/>
  <c r="D697" i="10"/>
  <c r="G4288" i="7"/>
  <c r="G4378" i="7" s="1"/>
  <c r="G4216" i="7"/>
  <c r="G4405" i="7"/>
  <c r="G4414" i="7" s="1"/>
  <c r="G4423" i="7" s="1"/>
  <c r="G4432" i="7" s="1"/>
  <c r="G4441" i="7" s="1"/>
  <c r="G4450" i="7" s="1"/>
  <c r="G4459" i="7" s="1"/>
  <c r="G4468" i="7" s="1"/>
  <c r="G4477" i="7" s="1"/>
  <c r="G4486" i="7" s="1"/>
  <c r="G4495" i="7" s="1"/>
  <c r="G4504" i="7" s="1"/>
  <c r="G4513" i="7" s="1"/>
  <c r="G4522" i="7" s="1"/>
  <c r="G4531" i="7" s="1"/>
  <c r="G4540" i="7" s="1"/>
  <c r="G4549" i="7" s="1"/>
  <c r="G4558" i="7" s="1"/>
  <c r="G4567" i="7" s="1"/>
  <c r="G4576" i="7" s="1"/>
  <c r="G4585" i="7" s="1"/>
  <c r="G4594" i="7" s="1"/>
  <c r="G4603" i="7" s="1"/>
  <c r="G4612" i="7" s="1"/>
  <c r="G4621" i="7" s="1"/>
  <c r="G4630" i="7" s="1"/>
  <c r="G4639" i="7" s="1"/>
  <c r="G4648" i="7" s="1"/>
  <c r="G4657" i="7" s="1"/>
  <c r="G4666" i="7" s="1"/>
  <c r="G4675" i="7" s="1"/>
  <c r="G4684" i="7" s="1"/>
  <c r="G4693" i="7" s="1"/>
  <c r="G4702" i="7" s="1"/>
  <c r="G4711" i="7" s="1"/>
  <c r="G4720" i="7" s="1"/>
  <c r="G3110" i="7"/>
  <c r="G3146" i="7" s="1"/>
  <c r="G3182" i="7" s="1"/>
  <c r="G3236" i="7" s="1"/>
  <c r="G3128" i="7"/>
  <c r="G3164" i="7" s="1"/>
  <c r="G3218" i="7" s="1"/>
  <c r="D2183" i="10"/>
  <c r="D2165" i="10"/>
  <c r="D2147" i="10"/>
  <c r="D2146" i="10"/>
  <c r="D2164" i="10"/>
  <c r="D2182" i="10"/>
  <c r="D2181" i="10"/>
  <c r="D2163" i="10"/>
  <c r="D2145" i="10"/>
  <c r="D961" i="10"/>
  <c r="D943" i="10"/>
  <c r="D655" i="10"/>
  <c r="D1303" i="10"/>
  <c r="D934" i="10"/>
  <c r="D1294" i="10"/>
  <c r="D925" i="10"/>
  <c r="D2101" i="10"/>
  <c r="D2047" i="10"/>
  <c r="D1990" i="10"/>
  <c r="D2089" i="10" s="1"/>
  <c r="D1936" i="10"/>
  <c r="D2062" i="10" s="1"/>
  <c r="D1846" i="10"/>
  <c r="D2276" i="10"/>
  <c r="D2303" i="10"/>
  <c r="D2213" i="10"/>
  <c r="D2339" i="10"/>
  <c r="D2285" i="10"/>
  <c r="D2222" i="10"/>
  <c r="D1297" i="10"/>
  <c r="D928" i="10"/>
  <c r="D2099" i="10"/>
  <c r="D2045" i="10"/>
  <c r="D1708" i="10"/>
  <c r="D1717" i="10" s="1"/>
  <c r="D1726" i="10" s="1"/>
  <c r="D1735" i="10" s="1"/>
  <c r="D1744" i="10" s="1"/>
  <c r="D1753" i="10" s="1"/>
  <c r="D1762" i="10" s="1"/>
  <c r="D1771" i="10"/>
  <c r="D1286" i="10"/>
  <c r="D917" i="10"/>
  <c r="D701" i="10"/>
  <c r="D2102" i="10"/>
  <c r="D2048" i="10"/>
  <c r="D1492" i="10"/>
  <c r="D1474" i="10"/>
  <c r="D1366" i="10"/>
  <c r="D1519" i="10"/>
  <c r="D1159" i="10"/>
  <c r="D709" i="10"/>
  <c r="D1024" i="10"/>
  <c r="D1302" i="10"/>
  <c r="D933" i="10"/>
  <c r="D942" i="10"/>
  <c r="D654" i="10"/>
  <c r="D960" i="10"/>
  <c r="D1984" i="10"/>
  <c r="D2083" i="10" s="1"/>
  <c r="D1930" i="10"/>
  <c r="D2056" i="10" s="1"/>
  <c r="D1840" i="10"/>
  <c r="D1766" i="10"/>
  <c r="D1703" i="10"/>
  <c r="D1712" i="10" s="1"/>
  <c r="D1721" i="10" s="1"/>
  <c r="D1730" i="10" s="1"/>
  <c r="D1739" i="10" s="1"/>
  <c r="D1748" i="10" s="1"/>
  <c r="D1757" i="10" s="1"/>
  <c r="D1989" i="10"/>
  <c r="D2088" i="10" s="1"/>
  <c r="D1845" i="10"/>
  <c r="D1935" i="10"/>
  <c r="D2061" i="10" s="1"/>
  <c r="D1300" i="10"/>
  <c r="D931" i="10"/>
  <c r="D958" i="10"/>
  <c r="D652" i="10"/>
  <c r="D940" i="10"/>
  <c r="D1281" i="10"/>
  <c r="D912" i="10"/>
  <c r="D696" i="10"/>
  <c r="D1522" i="10"/>
  <c r="D1027" i="10"/>
  <c r="D1477" i="10"/>
  <c r="D712" i="10"/>
  <c r="D1369" i="10"/>
  <c r="D1162" i="10"/>
  <c r="D1495" i="10"/>
  <c r="D1982" i="10"/>
  <c r="D2081" i="10" s="1"/>
  <c r="D1928" i="10"/>
  <c r="D2054" i="10" s="1"/>
  <c r="D1838" i="10"/>
  <c r="D2105" i="10"/>
  <c r="D2051" i="10"/>
  <c r="D1304" i="10"/>
  <c r="D935" i="10"/>
  <c r="D944" i="10"/>
  <c r="D656" i="10"/>
  <c r="D962" i="10"/>
  <c r="D1289" i="10"/>
  <c r="D920" i="10"/>
  <c r="G4294" i="7"/>
  <c r="G4384" i="7" s="1"/>
  <c r="G4411" i="7"/>
  <c r="G4420" i="7" s="1"/>
  <c r="G4429" i="7" s="1"/>
  <c r="G4438" i="7" s="1"/>
  <c r="G4447" i="7" s="1"/>
  <c r="G4456" i="7" s="1"/>
  <c r="G4465" i="7" s="1"/>
  <c r="G4474" i="7" s="1"/>
  <c r="G4483" i="7" s="1"/>
  <c r="G4492" i="7" s="1"/>
  <c r="G4501" i="7" s="1"/>
  <c r="G4510" i="7" s="1"/>
  <c r="G4519" i="7" s="1"/>
  <c r="G4528" i="7" s="1"/>
  <c r="G4537" i="7" s="1"/>
  <c r="G4546" i="7" s="1"/>
  <c r="G4555" i="7" s="1"/>
  <c r="G4564" i="7" s="1"/>
  <c r="G4573" i="7" s="1"/>
  <c r="G4582" i="7" s="1"/>
  <c r="G4591" i="7" s="1"/>
  <c r="G4600" i="7" s="1"/>
  <c r="G4609" i="7" s="1"/>
  <c r="G4618" i="7" s="1"/>
  <c r="G4627" i="7" s="1"/>
  <c r="G4636" i="7" s="1"/>
  <c r="G4645" i="7" s="1"/>
  <c r="G4654" i="7" s="1"/>
  <c r="G4663" i="7" s="1"/>
  <c r="G4672" i="7" s="1"/>
  <c r="G4681" i="7" s="1"/>
  <c r="G4690" i="7" s="1"/>
  <c r="G4699" i="7" s="1"/>
  <c r="G4708" i="7" s="1"/>
  <c r="G4717" i="7" s="1"/>
  <c r="G4726" i="7" s="1"/>
  <c r="G4222" i="7"/>
  <c r="G3101" i="7"/>
  <c r="G3137" i="7" s="1"/>
  <c r="G3173" i="7" s="1"/>
  <c r="G3227" i="7" s="1"/>
  <c r="G3119" i="7"/>
  <c r="G3155" i="7" s="1"/>
  <c r="D1983" i="10"/>
  <c r="D2082" i="10" s="1"/>
  <c r="D1839" i="10"/>
  <c r="D1929" i="10"/>
  <c r="D2055" i="10" s="1"/>
  <c r="G3108" i="7"/>
  <c r="G3144" i="7" s="1"/>
  <c r="G3180" i="7" s="1"/>
  <c r="G3234" i="7" s="1"/>
  <c r="G3126" i="7"/>
  <c r="G3162" i="7" s="1"/>
  <c r="G3216" i="7" s="1"/>
  <c r="G3115" i="7"/>
  <c r="G3151" i="7" s="1"/>
  <c r="G3187" i="7" s="1"/>
  <c r="G3241" i="7" s="1"/>
  <c r="G3133" i="7"/>
  <c r="G3169" i="7" s="1"/>
  <c r="G3223" i="7" s="1"/>
  <c r="D1933" i="10"/>
  <c r="D2059" i="10" s="1"/>
  <c r="D1987" i="10"/>
  <c r="D2086" i="10" s="1"/>
  <c r="D1843" i="10"/>
  <c r="D1772" i="10"/>
  <c r="D1709" i="10"/>
  <c r="D1718" i="10" s="1"/>
  <c r="D1727" i="10" s="1"/>
  <c r="D1736" i="10" s="1"/>
  <c r="D1745" i="10" s="1"/>
  <c r="D1754" i="10" s="1"/>
  <c r="D1763" i="10" s="1"/>
  <c r="G4292" i="7"/>
  <c r="G4382" i="7" s="1"/>
  <c r="G4220" i="7"/>
  <c r="G4409" i="7"/>
  <c r="G4418" i="7" s="1"/>
  <c r="G4427" i="7" s="1"/>
  <c r="G4436" i="7" s="1"/>
  <c r="G4445" i="7" s="1"/>
  <c r="G4454" i="7" s="1"/>
  <c r="G4463" i="7" s="1"/>
  <c r="G4472" i="7" s="1"/>
  <c r="G4481" i="7" s="1"/>
  <c r="G4490" i="7" s="1"/>
  <c r="G4499" i="7" s="1"/>
  <c r="G4508" i="7" s="1"/>
  <c r="G4517" i="7" s="1"/>
  <c r="G4526" i="7" s="1"/>
  <c r="G4535" i="7" s="1"/>
  <c r="G4544" i="7" s="1"/>
  <c r="G4553" i="7" s="1"/>
  <c r="G4562" i="7" s="1"/>
  <c r="G4571" i="7" s="1"/>
  <c r="G4580" i="7" s="1"/>
  <c r="G4589" i="7" s="1"/>
  <c r="G4598" i="7" s="1"/>
  <c r="G4607" i="7" s="1"/>
  <c r="G4616" i="7" s="1"/>
  <c r="G4625" i="7" s="1"/>
  <c r="G4634" i="7" s="1"/>
  <c r="G4643" i="7" s="1"/>
  <c r="G4652" i="7" s="1"/>
  <c r="G4661" i="7" s="1"/>
  <c r="G4670" i="7" s="1"/>
  <c r="G4679" i="7" s="1"/>
  <c r="G4688" i="7" s="1"/>
  <c r="G4697" i="7" s="1"/>
  <c r="G4706" i="7" s="1"/>
  <c r="G4715" i="7" s="1"/>
  <c r="G4724" i="7" s="1"/>
  <c r="D1514" i="10"/>
  <c r="D1469" i="10"/>
  <c r="D1487" i="10"/>
  <c r="D1361" i="10"/>
  <c r="D1019" i="10"/>
  <c r="D704" i="10"/>
  <c r="D1154" i="10"/>
  <c r="D2338" i="10"/>
  <c r="D2302" i="10"/>
  <c r="D2284" i="10"/>
  <c r="D2221" i="10"/>
  <c r="D2275" i="10"/>
  <c r="D2212" i="10"/>
  <c r="G4406" i="7"/>
  <c r="G4415" i="7" s="1"/>
  <c r="G4424" i="7" s="1"/>
  <c r="G4433" i="7" s="1"/>
  <c r="G4442" i="7" s="1"/>
  <c r="G4451" i="7" s="1"/>
  <c r="G4460" i="7" s="1"/>
  <c r="G4469" i="7" s="1"/>
  <c r="G4478" i="7" s="1"/>
  <c r="G4487" i="7" s="1"/>
  <c r="G4496" i="7" s="1"/>
  <c r="G4505" i="7" s="1"/>
  <c r="G4514" i="7" s="1"/>
  <c r="G4523" i="7" s="1"/>
  <c r="G4532" i="7" s="1"/>
  <c r="G4541" i="7" s="1"/>
  <c r="G4550" i="7" s="1"/>
  <c r="G4559" i="7" s="1"/>
  <c r="G4568" i="7" s="1"/>
  <c r="G4577" i="7" s="1"/>
  <c r="G4586" i="7" s="1"/>
  <c r="G4595" i="7" s="1"/>
  <c r="G4604" i="7" s="1"/>
  <c r="G4613" i="7" s="1"/>
  <c r="G4622" i="7" s="1"/>
  <c r="G4631" i="7" s="1"/>
  <c r="G4640" i="7" s="1"/>
  <c r="G4649" i="7" s="1"/>
  <c r="G4658" i="7" s="1"/>
  <c r="G4667" i="7" s="1"/>
  <c r="G4676" i="7" s="1"/>
  <c r="G4685" i="7" s="1"/>
  <c r="G4694" i="7" s="1"/>
  <c r="G4703" i="7" s="1"/>
  <c r="G4712" i="7" s="1"/>
  <c r="G4721" i="7" s="1"/>
  <c r="G4289" i="7"/>
  <c r="G4379" i="7" s="1"/>
  <c r="G4217" i="7"/>
  <c r="G3131" i="7"/>
  <c r="G3167" i="7" s="1"/>
  <c r="G3221" i="7" s="1"/>
  <c r="G3113" i="7"/>
  <c r="G3149" i="7" s="1"/>
  <c r="G3185" i="7" s="1"/>
  <c r="G3239" i="7" s="1"/>
  <c r="D1291" i="10"/>
  <c r="D922" i="10"/>
  <c r="D1768" i="10"/>
  <c r="D1705" i="10"/>
  <c r="D1714" i="10" s="1"/>
  <c r="D1723" i="10" s="1"/>
  <c r="D1732" i="10" s="1"/>
  <c r="D1741" i="10" s="1"/>
  <c r="D1750" i="10" s="1"/>
  <c r="D1759" i="10" s="1"/>
  <c r="D1299" i="10"/>
  <c r="D957" i="10"/>
  <c r="D939" i="10"/>
  <c r="D651" i="10"/>
  <c r="D930" i="10"/>
  <c r="G3112" i="7"/>
  <c r="G3148" i="7" s="1"/>
  <c r="G3184" i="7" s="1"/>
  <c r="G3238" i="7" s="1"/>
  <c r="G3130" i="7"/>
  <c r="G3166" i="7" s="1"/>
  <c r="G3220" i="7" s="1"/>
  <c r="G3124" i="7"/>
  <c r="G3160" i="7" s="1"/>
  <c r="G3106" i="7"/>
  <c r="G3142" i="7" s="1"/>
  <c r="G3178" i="7" s="1"/>
  <c r="G3232" i="7" s="1"/>
  <c r="G4407" i="7"/>
  <c r="G4416" i="7" s="1"/>
  <c r="G4425" i="7" s="1"/>
  <c r="G4434" i="7" s="1"/>
  <c r="G4443" i="7" s="1"/>
  <c r="G4452" i="7" s="1"/>
  <c r="G4461" i="7" s="1"/>
  <c r="G4470" i="7" s="1"/>
  <c r="G4479" i="7" s="1"/>
  <c r="G4488" i="7" s="1"/>
  <c r="G4497" i="7" s="1"/>
  <c r="G4506" i="7" s="1"/>
  <c r="G4515" i="7" s="1"/>
  <c r="G4524" i="7" s="1"/>
  <c r="G4533" i="7" s="1"/>
  <c r="G4542" i="7" s="1"/>
  <c r="G4551" i="7" s="1"/>
  <c r="G4560" i="7" s="1"/>
  <c r="G4569" i="7" s="1"/>
  <c r="G4578" i="7" s="1"/>
  <c r="G4587" i="7" s="1"/>
  <c r="G4596" i="7" s="1"/>
  <c r="G4605" i="7" s="1"/>
  <c r="G4614" i="7" s="1"/>
  <c r="G4623" i="7" s="1"/>
  <c r="G4632" i="7" s="1"/>
  <c r="G4641" i="7" s="1"/>
  <c r="G4650" i="7" s="1"/>
  <c r="G4659" i="7" s="1"/>
  <c r="G4668" i="7" s="1"/>
  <c r="G4677" i="7" s="1"/>
  <c r="G4686" i="7" s="1"/>
  <c r="G4695" i="7" s="1"/>
  <c r="G4704" i="7" s="1"/>
  <c r="G4713" i="7" s="1"/>
  <c r="G4722" i="7" s="1"/>
  <c r="G4290" i="7"/>
  <c r="G4380" i="7" s="1"/>
  <c r="G4218" i="7"/>
  <c r="D2052" i="10"/>
  <c r="D2106" i="10"/>
  <c r="G3100" i="7"/>
  <c r="G3136" i="7" s="1"/>
  <c r="G3172" i="7" s="1"/>
  <c r="G3226" i="7" s="1"/>
  <c r="G3118" i="7"/>
  <c r="G3154" i="7" s="1"/>
  <c r="D2162" i="10"/>
  <c r="D2180" i="10"/>
  <c r="D2144" i="10"/>
  <c r="D1290" i="10"/>
  <c r="D921" i="10"/>
  <c r="D1306" i="10"/>
  <c r="D937" i="10"/>
  <c r="D658" i="10"/>
  <c r="D964" i="10"/>
  <c r="D946" i="10"/>
  <c r="D1774" i="10"/>
  <c r="D1711" i="10"/>
  <c r="D1720" i="10" s="1"/>
  <c r="D1729" i="10" s="1"/>
  <c r="D1738" i="10" s="1"/>
  <c r="D1747" i="10" s="1"/>
  <c r="D1756" i="10" s="1"/>
  <c r="D1765" i="10" s="1"/>
  <c r="D2103" i="10"/>
  <c r="D2049" i="10"/>
  <c r="D1280" i="10"/>
  <c r="D911" i="10"/>
  <c r="D695" i="10"/>
  <c r="D2185" i="10"/>
  <c r="D2167" i="10"/>
  <c r="D2149" i="10"/>
  <c r="D2100" i="10"/>
  <c r="D2046" i="10"/>
  <c r="D1518" i="10"/>
  <c r="D1491" i="10"/>
  <c r="D1473" i="10"/>
  <c r="D1023" i="10"/>
  <c r="D1365" i="10"/>
  <c r="D1158" i="10"/>
  <c r="D708" i="10"/>
  <c r="D2148" i="10"/>
  <c r="D2166" i="10"/>
  <c r="D2184" i="10"/>
  <c r="D1985" i="10"/>
  <c r="D2084" i="10" s="1"/>
  <c r="D1841" i="10"/>
  <c r="D1931" i="10"/>
  <c r="D2057" i="10" s="1"/>
  <c r="G3103" i="7"/>
  <c r="G3139" i="7" s="1"/>
  <c r="G3175" i="7" s="1"/>
  <c r="G3229" i="7" s="1"/>
  <c r="G3121" i="7"/>
  <c r="G3157" i="7" s="1"/>
  <c r="G3109" i="7"/>
  <c r="G3145" i="7" s="1"/>
  <c r="G3181" i="7" s="1"/>
  <c r="G3235" i="7" s="1"/>
  <c r="G3127" i="7"/>
  <c r="G3163" i="7" s="1"/>
  <c r="G3217" i="7" s="1"/>
  <c r="D1704" i="10"/>
  <c r="D1713" i="10" s="1"/>
  <c r="D1722" i="10" s="1"/>
  <c r="D1731" i="10" s="1"/>
  <c r="D1740" i="10" s="1"/>
  <c r="D1749" i="10" s="1"/>
  <c r="D1758" i="10" s="1"/>
  <c r="D1767" i="10"/>
  <c r="D1288" i="10"/>
  <c r="D919" i="10"/>
  <c r="D703" i="10"/>
  <c r="D2152" i="10"/>
  <c r="D2188" i="10"/>
  <c r="D2170" i="10"/>
  <c r="D2278" i="10"/>
  <c r="D2287" i="10"/>
  <c r="D2305" i="10"/>
  <c r="D2215" i="10"/>
  <c r="D2341" i="10"/>
  <c r="D2224" i="10"/>
  <c r="G3129" i="7"/>
  <c r="G3165" i="7" s="1"/>
  <c r="G3219" i="7" s="1"/>
  <c r="G3111" i="7"/>
  <c r="G3147" i="7" s="1"/>
  <c r="G3183" i="7" s="1"/>
  <c r="G3237" i="7" s="1"/>
  <c r="D1770" i="10"/>
  <c r="D1707" i="10"/>
  <c r="D1716" i="10" s="1"/>
  <c r="D1725" i="10" s="1"/>
  <c r="D1734" i="10" s="1"/>
  <c r="D1743" i="10" s="1"/>
  <c r="D1752" i="10" s="1"/>
  <c r="D1761" i="10" s="1"/>
  <c r="D2050" i="10"/>
  <c r="D2104" i="10"/>
  <c r="D2207" i="10"/>
  <c r="D2279" i="10"/>
  <c r="D2333" i="10"/>
  <c r="D2216" i="10"/>
  <c r="D2297" i="10"/>
  <c r="D2270" i="10"/>
  <c r="D1488" i="10"/>
  <c r="D1470" i="10"/>
  <c r="D1362" i="10"/>
  <c r="D1515" i="10"/>
  <c r="D1155" i="10"/>
  <c r="D705" i="10"/>
  <c r="D1020" i="10"/>
  <c r="D2187" i="10"/>
  <c r="D2169" i="10"/>
  <c r="D2151" i="10"/>
  <c r="G3105" i="7"/>
  <c r="G3141" i="7" s="1"/>
  <c r="G3177" i="7" s="1"/>
  <c r="G3231" i="7" s="1"/>
  <c r="G3123" i="7"/>
  <c r="G3159" i="7" s="1"/>
  <c r="D1986" i="10"/>
  <c r="D2085" i="10" s="1"/>
  <c r="D1932" i="10"/>
  <c r="D2058" i="10" s="1"/>
  <c r="D1842" i="10"/>
  <c r="D963" i="10"/>
  <c r="D945" i="10"/>
  <c r="D657" i="10"/>
  <c r="D936" i="10"/>
  <c r="D1305" i="10"/>
  <c r="D959" i="10"/>
  <c r="D941" i="10"/>
  <c r="D653" i="10"/>
  <c r="D1301" i="10"/>
  <c r="D932" i="10"/>
  <c r="D1293" i="10"/>
  <c r="D924" i="10"/>
  <c r="G3120" i="7"/>
  <c r="G3156" i="7" s="1"/>
  <c r="G3102" i="7"/>
  <c r="G3138" i="7" s="1"/>
  <c r="G3174" i="7" s="1"/>
  <c r="G3228" i="7" s="1"/>
  <c r="D1706" i="10"/>
  <c r="D1715" i="10" s="1"/>
  <c r="D1724" i="10" s="1"/>
  <c r="D1733" i="10" s="1"/>
  <c r="D1742" i="10" s="1"/>
  <c r="D1751" i="10" s="1"/>
  <c r="D1760" i="10" s="1"/>
  <c r="D1769" i="10"/>
  <c r="D1516" i="10"/>
  <c r="D1471" i="10"/>
  <c r="D1489" i="10"/>
  <c r="D1363" i="10"/>
  <c r="D1021" i="10"/>
  <c r="D706" i="10"/>
  <c r="D1156" i="10"/>
  <c r="D1710" i="10"/>
  <c r="D1719" i="10" s="1"/>
  <c r="D1728" i="10" s="1"/>
  <c r="D1737" i="10" s="1"/>
  <c r="D1746" i="10" s="1"/>
  <c r="D1755" i="10" s="1"/>
  <c r="D1764" i="10" s="1"/>
  <c r="D1773" i="10"/>
  <c r="G4221" i="7"/>
  <c r="G4410" i="7"/>
  <c r="G4419" i="7" s="1"/>
  <c r="G4428" i="7" s="1"/>
  <c r="G4437" i="7" s="1"/>
  <c r="G4446" i="7" s="1"/>
  <c r="G4455" i="7" s="1"/>
  <c r="G4464" i="7" s="1"/>
  <c r="G4473" i="7" s="1"/>
  <c r="G4482" i="7" s="1"/>
  <c r="G4491" i="7" s="1"/>
  <c r="G4500" i="7" s="1"/>
  <c r="G4509" i="7" s="1"/>
  <c r="G4518" i="7" s="1"/>
  <c r="G4527" i="7" s="1"/>
  <c r="G4536" i="7" s="1"/>
  <c r="G4545" i="7" s="1"/>
  <c r="G4554" i="7" s="1"/>
  <c r="G4563" i="7" s="1"/>
  <c r="G4572" i="7" s="1"/>
  <c r="G4581" i="7" s="1"/>
  <c r="G4590" i="7" s="1"/>
  <c r="G4599" i="7" s="1"/>
  <c r="G4608" i="7" s="1"/>
  <c r="G4617" i="7" s="1"/>
  <c r="G4626" i="7" s="1"/>
  <c r="G4635" i="7" s="1"/>
  <c r="G4644" i="7" s="1"/>
  <c r="G4653" i="7" s="1"/>
  <c r="G4662" i="7" s="1"/>
  <c r="G4671" i="7" s="1"/>
  <c r="G4680" i="7" s="1"/>
  <c r="G4689" i="7" s="1"/>
  <c r="G4698" i="7" s="1"/>
  <c r="G4707" i="7" s="1"/>
  <c r="G4716" i="7" s="1"/>
  <c r="G4725" i="7" s="1"/>
  <c r="G4293" i="7"/>
  <c r="G4383" i="7" s="1"/>
  <c r="G4215" i="7"/>
  <c r="G4287" i="7"/>
  <c r="G4377" i="7" s="1"/>
  <c r="G4404" i="7"/>
  <c r="G4413" i="7" s="1"/>
  <c r="G4422" i="7" s="1"/>
  <c r="G4431" i="7" s="1"/>
  <c r="G4440" i="7" s="1"/>
  <c r="G4449" i="7" s="1"/>
  <c r="G4458" i="7" s="1"/>
  <c r="G4467" i="7" s="1"/>
  <c r="G4476" i="7" s="1"/>
  <c r="G4485" i="7" s="1"/>
  <c r="G4494" i="7" s="1"/>
  <c r="G4503" i="7" s="1"/>
  <c r="G4512" i="7" s="1"/>
  <c r="G4521" i="7" s="1"/>
  <c r="G4530" i="7" s="1"/>
  <c r="G4539" i="7" s="1"/>
  <c r="G4548" i="7" s="1"/>
  <c r="G4557" i="7" s="1"/>
  <c r="G4566" i="7" s="1"/>
  <c r="G4575" i="7" s="1"/>
  <c r="G4584" i="7" s="1"/>
  <c r="G4593" i="7" s="1"/>
  <c r="G4602" i="7" s="1"/>
  <c r="G4611" i="7" s="1"/>
  <c r="G4620" i="7" s="1"/>
  <c r="G4629" i="7" s="1"/>
  <c r="G4638" i="7" s="1"/>
  <c r="G4647" i="7" s="1"/>
  <c r="G4656" i="7" s="1"/>
  <c r="G4665" i="7" s="1"/>
  <c r="G4674" i="7" s="1"/>
  <c r="G4683" i="7" s="1"/>
  <c r="G4692" i="7" s="1"/>
  <c r="G4701" i="7" s="1"/>
  <c r="G4710" i="7" s="1"/>
  <c r="G4719" i="7" s="1"/>
  <c r="D2340" i="10"/>
  <c r="D2304" i="10"/>
  <c r="D2286" i="10"/>
  <c r="D2223" i="10"/>
  <c r="D2277" i="10"/>
  <c r="D2214" i="10"/>
  <c r="G3114" i="7"/>
  <c r="G3150" i="7" s="1"/>
  <c r="G3186" i="7" s="1"/>
  <c r="G3240" i="7" s="1"/>
  <c r="G3132" i="7"/>
  <c r="G3168" i="7" s="1"/>
  <c r="G3222" i="7" s="1"/>
  <c r="D1298" i="10"/>
  <c r="D929" i="10"/>
  <c r="D956" i="10"/>
  <c r="D650" i="10"/>
  <c r="D938" i="10"/>
  <c r="D1287" i="10"/>
  <c r="D918" i="10"/>
  <c r="D702" i="10"/>
  <c r="D2334" i="10"/>
  <c r="D2298" i="10"/>
  <c r="D2280" i="10"/>
  <c r="D2271" i="10"/>
  <c r="D2217" i="10"/>
  <c r="D2208" i="10"/>
  <c r="D1283" i="10"/>
  <c r="D698" i="10"/>
  <c r="D914" i="10"/>
  <c r="D1284" i="10"/>
  <c r="D915" i="10"/>
  <c r="D699" i="10"/>
  <c r="G3122" i="7"/>
  <c r="G3158" i="7" s="1"/>
  <c r="G3104" i="7"/>
  <c r="G3140" i="7" s="1"/>
  <c r="G3176" i="7" s="1"/>
  <c r="G3230" i="7" s="1"/>
  <c r="G4736" i="7"/>
  <c r="G4754" i="7" s="1"/>
  <c r="G4772" i="7" s="1"/>
  <c r="G4727" i="7"/>
  <c r="G4745" i="7" s="1"/>
  <c r="G4763" i="7" s="1"/>
  <c r="G4781" i="7"/>
  <c r="G4790" i="7" s="1"/>
  <c r="G4799" i="7" s="1"/>
  <c r="G4808" i="7" s="1"/>
  <c r="G4817" i="7" s="1"/>
  <c r="G4826" i="7" s="1"/>
  <c r="G4835" i="7" s="1"/>
  <c r="G4844" i="7" s="1"/>
  <c r="G4853" i="7" s="1"/>
  <c r="G4862" i="7" s="1"/>
  <c r="G4871" i="7" s="1"/>
  <c r="G4880" i="7" s="1"/>
  <c r="G4889" i="7" s="1"/>
  <c r="G4898" i="7" s="1"/>
  <c r="G4907" i="7" s="1"/>
  <c r="G4916" i="7" s="1"/>
  <c r="G4925" i="7" s="1"/>
  <c r="G4934" i="7" s="1"/>
  <c r="G4943" i="7" s="1"/>
  <c r="G4952" i="7" s="1"/>
  <c r="G4961" i="7" s="1"/>
  <c r="G4970" i="7" s="1"/>
  <c r="G4979" i="7" s="1"/>
  <c r="G4988" i="7" s="1"/>
  <c r="G4997" i="7" s="1"/>
  <c r="G5006" i="7" s="1"/>
  <c r="G5015" i="7" s="1"/>
  <c r="G5024" i="7" s="1"/>
  <c r="G5033" i="7" s="1"/>
  <c r="G5042" i="7" s="1"/>
  <c r="G5051" i="7" s="1"/>
  <c r="G5060" i="7" s="1"/>
  <c r="G5069" i="7" s="1"/>
  <c r="G5078" i="7" s="1"/>
  <c r="G5087" i="7" s="1"/>
  <c r="G5096" i="7" s="1"/>
  <c r="G5105" i="7" s="1"/>
  <c r="G5114" i="7" s="1"/>
  <c r="G5123" i="7" s="1"/>
  <c r="G5132" i="7" s="1"/>
  <c r="G5141" i="7" s="1"/>
  <c r="G5150" i="7" s="1"/>
  <c r="G5159" i="7" s="1"/>
  <c r="G5168" i="7" s="1"/>
  <c r="G5177" i="7" s="1"/>
  <c r="G5186" i="7" s="1"/>
  <c r="G5195" i="7" s="1"/>
  <c r="G5204" i="7" s="1"/>
  <c r="G5213" i="7" s="1"/>
  <c r="G5222" i="7" s="1"/>
  <c r="G5231" i="7" s="1"/>
  <c r="G5240" i="7" s="1"/>
  <c r="G5249" i="7" s="1"/>
  <c r="G5258" i="7" s="1"/>
  <c r="G5267" i="7" s="1"/>
  <c r="G5276" i="7" s="1"/>
  <c r="G5285" i="7" s="1"/>
  <c r="G5294" i="7" s="1"/>
  <c r="G5303" i="7" s="1"/>
  <c r="G5312" i="7" s="1"/>
  <c r="G5321" i="7" s="1"/>
  <c r="G5330" i="7" s="1"/>
  <c r="G5339" i="7" s="1"/>
  <c r="G5348" i="7" s="1"/>
  <c r="G5357" i="7" s="1"/>
  <c r="G5366" i="7" s="1"/>
  <c r="G5375" i="7" s="1"/>
  <c r="G5384" i="7" s="1"/>
  <c r="G5393" i="7" s="1"/>
  <c r="G5402" i="7" s="1"/>
  <c r="G5411" i="7" s="1"/>
  <c r="G5420" i="7" s="1"/>
  <c r="G5429" i="7" s="1"/>
  <c r="G5438" i="7" s="1"/>
  <c r="G5447" i="7" s="1"/>
  <c r="G5456" i="7" s="1"/>
  <c r="G5465" i="7" s="1"/>
  <c r="G5474" i="7" s="1"/>
  <c r="G5483" i="7" s="1"/>
  <c r="G5492" i="7" s="1"/>
  <c r="G5501" i="7" s="1"/>
  <c r="G5510" i="7" s="1"/>
  <c r="G5519" i="7" s="1"/>
  <c r="G5528" i="7" s="1"/>
  <c r="G5537" i="7" s="1"/>
  <c r="G5546" i="7" s="1"/>
  <c r="G5555" i="7" s="1"/>
  <c r="G5564" i="7" s="1"/>
  <c r="G5573" i="7" s="1"/>
  <c r="G5582" i="7" s="1"/>
  <c r="G5591" i="7" s="1"/>
  <c r="G5600" i="7" s="1"/>
  <c r="G5609" i="7" s="1"/>
  <c r="G5618" i="7" s="1"/>
  <c r="G5627" i="7" s="1"/>
  <c r="G5636" i="7" s="1"/>
  <c r="G5645" i="7" s="1"/>
  <c r="G5654" i="7" s="1"/>
  <c r="G5663" i="7" s="1"/>
  <c r="G5672" i="7" s="1"/>
  <c r="G5681" i="7" s="1"/>
  <c r="G5690" i="7" s="1"/>
  <c r="G5699" i="7" s="1"/>
  <c r="G5708" i="7" s="1"/>
  <c r="G5717" i="7" s="1"/>
  <c r="G5726" i="7" s="1"/>
  <c r="G5735" i="7" s="1"/>
  <c r="G5744" i="7" s="1"/>
  <c r="D2274" i="10"/>
  <c r="D2337" i="10"/>
  <c r="D2211" i="10"/>
  <c r="D2301" i="10"/>
  <c r="D2220" i="10"/>
  <c r="D2283" i="10"/>
  <c r="D2107" i="10"/>
  <c r="D2053" i="10"/>
  <c r="D2150" i="10"/>
  <c r="D2168" i="10"/>
  <c r="D2186" i="10"/>
  <c r="D2336" i="10"/>
  <c r="D2300" i="10"/>
  <c r="D2282" i="10"/>
  <c r="D2273" i="10"/>
  <c r="D2219" i="10"/>
  <c r="D2210" i="10"/>
  <c r="G3099" i="7"/>
  <c r="G3135" i="7" s="1"/>
  <c r="G3171" i="7" s="1"/>
  <c r="G3225" i="7" s="1"/>
  <c r="G3117" i="7"/>
  <c r="G3153" i="7" s="1"/>
  <c r="D1295" i="10"/>
  <c r="D926" i="10"/>
  <c r="D1494" i="10"/>
  <c r="D1476" i="10"/>
  <c r="D1368" i="10"/>
  <c r="D1161" i="10"/>
  <c r="D711" i="10"/>
  <c r="D1026" i="10"/>
  <c r="D1521" i="10"/>
  <c r="D2335" i="10"/>
  <c r="D2209" i="10"/>
  <c r="D2281" i="10"/>
  <c r="D2218" i="10"/>
  <c r="D2299" i="10"/>
  <c r="D2272" i="10"/>
  <c r="D1490" i="10"/>
  <c r="D1472" i="10"/>
  <c r="D1364" i="10"/>
  <c r="D1517" i="10"/>
  <c r="D1157" i="10"/>
  <c r="D707" i="10"/>
  <c r="D1022" i="10"/>
  <c r="G4408" i="7"/>
  <c r="G4417" i="7" s="1"/>
  <c r="G4426" i="7" s="1"/>
  <c r="G4435" i="7" s="1"/>
  <c r="G4444" i="7" s="1"/>
  <c r="G4453" i="7" s="1"/>
  <c r="G4462" i="7" s="1"/>
  <c r="G4471" i="7" s="1"/>
  <c r="G4480" i="7" s="1"/>
  <c r="G4489" i="7" s="1"/>
  <c r="G4498" i="7" s="1"/>
  <c r="G4507" i="7" s="1"/>
  <c r="G4516" i="7" s="1"/>
  <c r="G4525" i="7" s="1"/>
  <c r="G4534" i="7" s="1"/>
  <c r="G4543" i="7" s="1"/>
  <c r="G4552" i="7" s="1"/>
  <c r="G4561" i="7" s="1"/>
  <c r="G4570" i="7" s="1"/>
  <c r="G4579" i="7" s="1"/>
  <c r="G4588" i="7" s="1"/>
  <c r="G4597" i="7" s="1"/>
  <c r="G4606" i="7" s="1"/>
  <c r="G4615" i="7" s="1"/>
  <c r="G4624" i="7" s="1"/>
  <c r="G4633" i="7" s="1"/>
  <c r="G4642" i="7" s="1"/>
  <c r="G4651" i="7" s="1"/>
  <c r="G4660" i="7" s="1"/>
  <c r="G4669" i="7" s="1"/>
  <c r="G4678" i="7" s="1"/>
  <c r="G4687" i="7" s="1"/>
  <c r="G4696" i="7" s="1"/>
  <c r="G4705" i="7" s="1"/>
  <c r="G4714" i="7" s="1"/>
  <c r="G4723" i="7" s="1"/>
  <c r="G4219" i="7"/>
  <c r="G4291" i="7"/>
  <c r="G4381" i="7" s="1"/>
  <c r="G3267" i="7" l="1"/>
  <c r="G3303" i="7"/>
  <c r="G3348" i="7" s="1"/>
  <c r="G3393" i="7" s="1"/>
  <c r="G3438" i="7" s="1"/>
  <c r="G3483" i="7" s="1"/>
  <c r="G3528" i="7" s="1"/>
  <c r="G3280" i="7"/>
  <c r="G3316" i="7"/>
  <c r="G3361" i="7" s="1"/>
  <c r="G3406" i="7" s="1"/>
  <c r="G3451" i="7" s="1"/>
  <c r="G3496" i="7" s="1"/>
  <c r="D2247" i="10"/>
  <c r="D2193" i="10"/>
  <c r="D2157" i="10"/>
  <c r="D2256" i="10" s="1"/>
  <c r="G3283" i="7"/>
  <c r="G3319" i="7"/>
  <c r="G3364" i="7" s="1"/>
  <c r="G3409" i="7" s="1"/>
  <c r="G3454" i="7" s="1"/>
  <c r="G3499" i="7" s="1"/>
  <c r="D1849" i="10"/>
  <c r="D1939" i="10"/>
  <c r="D2065" i="10" s="1"/>
  <c r="D1855" i="10"/>
  <c r="D1945" i="10"/>
  <c r="D2071" i="10" s="1"/>
  <c r="D2263" i="10"/>
  <c r="D2200" i="10"/>
  <c r="G4297" i="7"/>
  <c r="G4387" i="7" s="1"/>
  <c r="G4225" i="7"/>
  <c r="G4728" i="7"/>
  <c r="G4746" i="7" s="1"/>
  <c r="G4764" i="7" s="1"/>
  <c r="G4737" i="7"/>
  <c r="G4755" i="7" s="1"/>
  <c r="G4773" i="7" s="1"/>
  <c r="G4782" i="7"/>
  <c r="G4791" i="7" s="1"/>
  <c r="G4800" i="7" s="1"/>
  <c r="G4809" i="7" s="1"/>
  <c r="G4818" i="7" s="1"/>
  <c r="G4827" i="7" s="1"/>
  <c r="G4836" i="7" s="1"/>
  <c r="G4845" i="7" s="1"/>
  <c r="G4854" i="7" s="1"/>
  <c r="G4863" i="7" s="1"/>
  <c r="G4872" i="7" s="1"/>
  <c r="G4881" i="7" s="1"/>
  <c r="G4890" i="7" s="1"/>
  <c r="G4899" i="7" s="1"/>
  <c r="G4908" i="7" s="1"/>
  <c r="G4917" i="7" s="1"/>
  <c r="G4926" i="7" s="1"/>
  <c r="G4935" i="7" s="1"/>
  <c r="G4944" i="7" s="1"/>
  <c r="G4953" i="7" s="1"/>
  <c r="G4962" i="7" s="1"/>
  <c r="G4971" i="7" s="1"/>
  <c r="G4980" i="7" s="1"/>
  <c r="G4989" i="7" s="1"/>
  <c r="G4998" i="7" s="1"/>
  <c r="G5007" i="7" s="1"/>
  <c r="G5016" i="7" s="1"/>
  <c r="G5025" i="7" s="1"/>
  <c r="G5034" i="7" s="1"/>
  <c r="G5043" i="7" s="1"/>
  <c r="G5052" i="7" s="1"/>
  <c r="G5061" i="7" s="1"/>
  <c r="G5070" i="7" s="1"/>
  <c r="G5079" i="7" s="1"/>
  <c r="G5088" i="7" s="1"/>
  <c r="G5097" i="7" s="1"/>
  <c r="G5106" i="7" s="1"/>
  <c r="G5115" i="7" s="1"/>
  <c r="G5124" i="7" s="1"/>
  <c r="G5133" i="7" s="1"/>
  <c r="G5142" i="7" s="1"/>
  <c r="G5151" i="7" s="1"/>
  <c r="G5160" i="7" s="1"/>
  <c r="G5169" i="7" s="1"/>
  <c r="G5178" i="7" s="1"/>
  <c r="G5187" i="7" s="1"/>
  <c r="G5196" i="7" s="1"/>
  <c r="G5205" i="7" s="1"/>
  <c r="G5214" i="7" s="1"/>
  <c r="G5223" i="7" s="1"/>
  <c r="G5232" i="7" s="1"/>
  <c r="G5241" i="7" s="1"/>
  <c r="G5250" i="7" s="1"/>
  <c r="G5259" i="7" s="1"/>
  <c r="G5268" i="7" s="1"/>
  <c r="G5277" i="7" s="1"/>
  <c r="G5286" i="7" s="1"/>
  <c r="G5295" i="7" s="1"/>
  <c r="G5304" i="7" s="1"/>
  <c r="G5313" i="7" s="1"/>
  <c r="G5322" i="7" s="1"/>
  <c r="G5331" i="7" s="1"/>
  <c r="G5340" i="7" s="1"/>
  <c r="G5349" i="7" s="1"/>
  <c r="G5358" i="7" s="1"/>
  <c r="G5367" i="7" s="1"/>
  <c r="G5376" i="7" s="1"/>
  <c r="G5385" i="7" s="1"/>
  <c r="G5394" i="7" s="1"/>
  <c r="G5403" i="7" s="1"/>
  <c r="G5412" i="7" s="1"/>
  <c r="G5421" i="7" s="1"/>
  <c r="G5430" i="7" s="1"/>
  <c r="G5439" i="7" s="1"/>
  <c r="G5448" i="7" s="1"/>
  <c r="G5457" i="7" s="1"/>
  <c r="G5466" i="7" s="1"/>
  <c r="G5475" i="7" s="1"/>
  <c r="G5484" i="7" s="1"/>
  <c r="G5493" i="7" s="1"/>
  <c r="G5502" i="7" s="1"/>
  <c r="G5511" i="7" s="1"/>
  <c r="G5520" i="7" s="1"/>
  <c r="G5529" i="7" s="1"/>
  <c r="G5538" i="7" s="1"/>
  <c r="G5547" i="7" s="1"/>
  <c r="G5556" i="7" s="1"/>
  <c r="G5565" i="7" s="1"/>
  <c r="G5574" i="7" s="1"/>
  <c r="G5583" i="7" s="1"/>
  <c r="G5592" i="7" s="1"/>
  <c r="G5601" i="7" s="1"/>
  <c r="G5610" i="7" s="1"/>
  <c r="G5619" i="7" s="1"/>
  <c r="G5628" i="7" s="1"/>
  <c r="G5637" i="7" s="1"/>
  <c r="G5646" i="7" s="1"/>
  <c r="G5655" i="7" s="1"/>
  <c r="G5664" i="7" s="1"/>
  <c r="G5673" i="7" s="1"/>
  <c r="G5682" i="7" s="1"/>
  <c r="G5691" i="7" s="1"/>
  <c r="G5700" i="7" s="1"/>
  <c r="G5709" i="7" s="1"/>
  <c r="G5718" i="7" s="1"/>
  <c r="G5727" i="7" s="1"/>
  <c r="G5736" i="7" s="1"/>
  <c r="G5745" i="7" s="1"/>
  <c r="G3285" i="7"/>
  <c r="G3321" i="7"/>
  <c r="G3366" i="7" s="1"/>
  <c r="G3411" i="7" s="1"/>
  <c r="G3456" i="7" s="1"/>
  <c r="G3501" i="7" s="1"/>
  <c r="D1534" i="10"/>
  <c r="D1408" i="10"/>
  <c r="D1390" i="10"/>
  <c r="D1507" i="10"/>
  <c r="D1165" i="10"/>
  <c r="D1039" i="10"/>
  <c r="D769" i="10"/>
  <c r="D1102" i="10" s="1"/>
  <c r="D1399" i="10"/>
  <c r="D724" i="10"/>
  <c r="G3264" i="7"/>
  <c r="G3300" i="7"/>
  <c r="G3345" i="7" s="1"/>
  <c r="G3390" i="7" s="1"/>
  <c r="G3435" i="7" s="1"/>
  <c r="G3480" i="7" s="1"/>
  <c r="G3525" i="7" s="1"/>
  <c r="D2332" i="10"/>
  <c r="D2314" i="10"/>
  <c r="D2296" i="10"/>
  <c r="D2233" i="10"/>
  <c r="D2323" i="10"/>
  <c r="D2242" i="10"/>
  <c r="G3275" i="7"/>
  <c r="G3311" i="7"/>
  <c r="G3356" i="7" s="1"/>
  <c r="G3401" i="7" s="1"/>
  <c r="G3446" i="7" s="1"/>
  <c r="G3491" i="7" s="1"/>
  <c r="G3536" i="7" s="1"/>
  <c r="G4224" i="7"/>
  <c r="G4296" i="7"/>
  <c r="G4386" i="7" s="1"/>
  <c r="G3210" i="7"/>
  <c r="G3192" i="7"/>
  <c r="G3201" i="7"/>
  <c r="G3246" i="7" s="1"/>
  <c r="G3327" i="7" s="1"/>
  <c r="G3372" i="7" s="1"/>
  <c r="G3417" i="7" s="1"/>
  <c r="G3462" i="7" s="1"/>
  <c r="G3507" i="7" s="1"/>
  <c r="G3204" i="7"/>
  <c r="G3249" i="7" s="1"/>
  <c r="G3330" i="7" s="1"/>
  <c r="G3375" i="7" s="1"/>
  <c r="G3420" i="7" s="1"/>
  <c r="G3465" i="7" s="1"/>
  <c r="G3510" i="7" s="1"/>
  <c r="G3195" i="7"/>
  <c r="G3213" i="7"/>
  <c r="D2251" i="10"/>
  <c r="D2197" i="10"/>
  <c r="D2161" i="10"/>
  <c r="D2260" i="10" s="1"/>
  <c r="G3211" i="7"/>
  <c r="G3193" i="7"/>
  <c r="G3202" i="7"/>
  <c r="G3247" i="7" s="1"/>
  <c r="G3328" i="7" s="1"/>
  <c r="G3373" i="7" s="1"/>
  <c r="G3418" i="7" s="1"/>
  <c r="G3463" i="7" s="1"/>
  <c r="G3508" i="7" s="1"/>
  <c r="D1536" i="10"/>
  <c r="D1410" i="10"/>
  <c r="D1392" i="10"/>
  <c r="D1167" i="10"/>
  <c r="D1041" i="10"/>
  <c r="D771" i="10"/>
  <c r="D1104" i="10" s="1"/>
  <c r="D1509" i="10"/>
  <c r="D726" i="10"/>
  <c r="D1401" i="10"/>
  <c r="D1942" i="10"/>
  <c r="D2068" i="10" s="1"/>
  <c r="D1852" i="10"/>
  <c r="D1938" i="10"/>
  <c r="D2064" i="10" s="1"/>
  <c r="D1848" i="10"/>
  <c r="D1847" i="10"/>
  <c r="D1937" i="10"/>
  <c r="D2063" i="10" s="1"/>
  <c r="D1510" i="10"/>
  <c r="D1402" i="10"/>
  <c r="D1393" i="10"/>
  <c r="D1411" i="10"/>
  <c r="D727" i="10"/>
  <c r="D1537" i="10"/>
  <c r="D1168" i="10"/>
  <c r="D772" i="10"/>
  <c r="D1105" i="10" s="1"/>
  <c r="D1042" i="10"/>
  <c r="D1502" i="10"/>
  <c r="D1529" i="10"/>
  <c r="D1484" i="10"/>
  <c r="D1376" i="10"/>
  <c r="D737" i="10"/>
  <c r="D719" i="10"/>
  <c r="D782" i="10"/>
  <c r="D1385" i="10"/>
  <c r="D764" i="10"/>
  <c r="D1097" i="10" s="1"/>
  <c r="D1034" i="10"/>
  <c r="D746" i="10"/>
  <c r="D1079" i="10" s="1"/>
  <c r="D1312" i="10"/>
  <c r="D952" i="10"/>
  <c r="D988" i="10"/>
  <c r="D970" i="10"/>
  <c r="D2245" i="10"/>
  <c r="D2191" i="10"/>
  <c r="D2155" i="10"/>
  <c r="D2254" i="10" s="1"/>
  <c r="G3273" i="7"/>
  <c r="G3309" i="7"/>
  <c r="G3354" i="7" s="1"/>
  <c r="G3399" i="7" s="1"/>
  <c r="G3444" i="7" s="1"/>
  <c r="G3489" i="7" s="1"/>
  <c r="G3534" i="7" s="1"/>
  <c r="G3194" i="7"/>
  <c r="G3203" i="7"/>
  <c r="G3248" i="7" s="1"/>
  <c r="G3329" i="7" s="1"/>
  <c r="G3374" i="7" s="1"/>
  <c r="G3419" i="7" s="1"/>
  <c r="G3464" i="7" s="1"/>
  <c r="G3509" i="7" s="1"/>
  <c r="G3212" i="7"/>
  <c r="G3276" i="7"/>
  <c r="G3312" i="7"/>
  <c r="G3357" i="7" s="1"/>
  <c r="G3402" i="7" s="1"/>
  <c r="G3447" i="7" s="1"/>
  <c r="G3492" i="7" s="1"/>
  <c r="G3537" i="7" s="1"/>
  <c r="D1504" i="10"/>
  <c r="D1486" i="10"/>
  <c r="D1378" i="10"/>
  <c r="D739" i="10"/>
  <c r="D721" i="10"/>
  <c r="D766" i="10"/>
  <c r="D1099" i="10" s="1"/>
  <c r="D1531" i="10"/>
  <c r="D784" i="10"/>
  <c r="D1387" i="10"/>
  <c r="D1036" i="10"/>
  <c r="D748" i="10"/>
  <c r="D1081" i="10" s="1"/>
  <c r="G3274" i="7"/>
  <c r="G3310" i="7"/>
  <c r="G3355" i="7" s="1"/>
  <c r="G3400" i="7" s="1"/>
  <c r="G3445" i="7" s="1"/>
  <c r="G3490" i="7" s="1"/>
  <c r="G3535" i="7" s="1"/>
  <c r="D2194" i="10"/>
  <c r="D2248" i="10"/>
  <c r="D2158" i="10"/>
  <c r="D2257" i="10" s="1"/>
  <c r="G4299" i="7"/>
  <c r="G4389" i="7" s="1"/>
  <c r="G4227" i="7"/>
  <c r="D1308" i="10"/>
  <c r="D966" i="10"/>
  <c r="D984" i="10"/>
  <c r="D948" i="10"/>
  <c r="G3284" i="7"/>
  <c r="G3320" i="7"/>
  <c r="G3365" i="7" s="1"/>
  <c r="G3410" i="7" s="1"/>
  <c r="G3455" i="7" s="1"/>
  <c r="G3500" i="7" s="1"/>
  <c r="D2246" i="10"/>
  <c r="D2192" i="10"/>
  <c r="D2156" i="10"/>
  <c r="D2255" i="10" s="1"/>
  <c r="D1498" i="10"/>
  <c r="D1480" i="10"/>
  <c r="D1372" i="10"/>
  <c r="D1525" i="10"/>
  <c r="D733" i="10"/>
  <c r="D715" i="10"/>
  <c r="D1381" i="10"/>
  <c r="D1030" i="10"/>
  <c r="D742" i="10"/>
  <c r="D1075" i="10" s="1"/>
  <c r="D760" i="10"/>
  <c r="D1093" i="10" s="1"/>
  <c r="D778" i="10"/>
  <c r="D1853" i="10"/>
  <c r="D1943" i="10"/>
  <c r="D2069" i="10" s="1"/>
  <c r="G4300" i="7"/>
  <c r="G4390" i="7" s="1"/>
  <c r="G4228" i="7"/>
  <c r="G3207" i="7"/>
  <c r="G3198" i="7"/>
  <c r="G3243" i="7" s="1"/>
  <c r="G3324" i="7" s="1"/>
  <c r="G3369" i="7" s="1"/>
  <c r="G3414" i="7" s="1"/>
  <c r="G3459" i="7" s="1"/>
  <c r="G3504" i="7" s="1"/>
  <c r="G3189" i="7"/>
  <c r="D2330" i="10"/>
  <c r="D2312" i="10"/>
  <c r="D2294" i="10"/>
  <c r="D2321" i="10"/>
  <c r="D2231" i="10"/>
  <c r="D2240" i="10"/>
  <c r="D1500" i="10"/>
  <c r="D1482" i="10"/>
  <c r="D1374" i="10"/>
  <c r="D1527" i="10"/>
  <c r="D735" i="10"/>
  <c r="D717" i="10"/>
  <c r="D1383" i="10"/>
  <c r="D1032" i="10"/>
  <c r="D744" i="10"/>
  <c r="D1077" i="10" s="1"/>
  <c r="D762" i="10"/>
  <c r="D1095" i="10" s="1"/>
  <c r="D780" i="10"/>
  <c r="D983" i="10"/>
  <c r="D965" i="10"/>
  <c r="D947" i="10"/>
  <c r="D1307" i="10"/>
  <c r="D2196" i="10"/>
  <c r="D2250" i="10"/>
  <c r="D2160" i="10"/>
  <c r="D2259" i="10" s="1"/>
  <c r="D2243" i="10"/>
  <c r="D2189" i="10"/>
  <c r="D2153" i="10"/>
  <c r="D2252" i="10" s="1"/>
  <c r="G3266" i="7"/>
  <c r="G3302" i="7"/>
  <c r="G3347" i="7" s="1"/>
  <c r="G3392" i="7" s="1"/>
  <c r="G3437" i="7" s="1"/>
  <c r="G3482" i="7" s="1"/>
  <c r="G3527" i="7" s="1"/>
  <c r="G3209" i="7"/>
  <c r="G3191" i="7"/>
  <c r="G3200" i="7"/>
  <c r="G3245" i="7" s="1"/>
  <c r="G3326" i="7" s="1"/>
  <c r="G3371" i="7" s="1"/>
  <c r="G3416" i="7" s="1"/>
  <c r="G3461" i="7" s="1"/>
  <c r="G3506" i="7" s="1"/>
  <c r="D1313" i="10"/>
  <c r="D989" i="10"/>
  <c r="D971" i="10"/>
  <c r="D953" i="10"/>
  <c r="D1524" i="10"/>
  <c r="D1497" i="10"/>
  <c r="D1380" i="10"/>
  <c r="D1029" i="10"/>
  <c r="D777" i="10"/>
  <c r="D759" i="10"/>
  <c r="D1092" i="10" s="1"/>
  <c r="D741" i="10"/>
  <c r="D1074" i="10" s="1"/>
  <c r="D1479" i="10"/>
  <c r="D1371" i="10"/>
  <c r="D732" i="10"/>
  <c r="D714" i="10"/>
  <c r="D2201" i="10"/>
  <c r="D2264" i="10"/>
  <c r="D1508" i="10"/>
  <c r="D1400" i="10"/>
  <c r="D1535" i="10"/>
  <c r="D1391" i="10"/>
  <c r="D1409" i="10"/>
  <c r="D725" i="10"/>
  <c r="D1166" i="10"/>
  <c r="D1040" i="10"/>
  <c r="D770" i="10"/>
  <c r="D1103" i="10" s="1"/>
  <c r="G4786" i="7"/>
  <c r="G4795" i="7" s="1"/>
  <c r="G4804" i="7" s="1"/>
  <c r="G4813" i="7" s="1"/>
  <c r="G4822" i="7" s="1"/>
  <c r="G4831" i="7" s="1"/>
  <c r="G4840" i="7" s="1"/>
  <c r="G4849" i="7" s="1"/>
  <c r="G4858" i="7" s="1"/>
  <c r="G4867" i="7" s="1"/>
  <c r="G4876" i="7" s="1"/>
  <c r="G4885" i="7" s="1"/>
  <c r="G4894" i="7" s="1"/>
  <c r="G4903" i="7" s="1"/>
  <c r="G4912" i="7" s="1"/>
  <c r="G4921" i="7" s="1"/>
  <c r="G4930" i="7" s="1"/>
  <c r="G4939" i="7" s="1"/>
  <c r="G4948" i="7" s="1"/>
  <c r="G4957" i="7" s="1"/>
  <c r="G4966" i="7" s="1"/>
  <c r="G4975" i="7" s="1"/>
  <c r="G4984" i="7" s="1"/>
  <c r="G4993" i="7" s="1"/>
  <c r="G5002" i="7" s="1"/>
  <c r="G5011" i="7" s="1"/>
  <c r="G5020" i="7" s="1"/>
  <c r="G5029" i="7" s="1"/>
  <c r="G5038" i="7" s="1"/>
  <c r="G5047" i="7" s="1"/>
  <c r="G5056" i="7" s="1"/>
  <c r="G5065" i="7" s="1"/>
  <c r="G5074" i="7" s="1"/>
  <c r="G5083" i="7" s="1"/>
  <c r="G5092" i="7" s="1"/>
  <c r="G5101" i="7" s="1"/>
  <c r="G5110" i="7" s="1"/>
  <c r="G5119" i="7" s="1"/>
  <c r="G5128" i="7" s="1"/>
  <c r="G5137" i="7" s="1"/>
  <c r="G5146" i="7" s="1"/>
  <c r="G5155" i="7" s="1"/>
  <c r="G5164" i="7" s="1"/>
  <c r="G5173" i="7" s="1"/>
  <c r="G5182" i="7" s="1"/>
  <c r="G5191" i="7" s="1"/>
  <c r="G5200" i="7" s="1"/>
  <c r="G5209" i="7" s="1"/>
  <c r="G5218" i="7" s="1"/>
  <c r="G5227" i="7" s="1"/>
  <c r="G5236" i="7" s="1"/>
  <c r="G5245" i="7" s="1"/>
  <c r="G5254" i="7" s="1"/>
  <c r="G5263" i="7" s="1"/>
  <c r="G5272" i="7" s="1"/>
  <c r="G5281" i="7" s="1"/>
  <c r="G5290" i="7" s="1"/>
  <c r="G5299" i="7" s="1"/>
  <c r="G5308" i="7" s="1"/>
  <c r="G5317" i="7" s="1"/>
  <c r="G5326" i="7" s="1"/>
  <c r="G5335" i="7" s="1"/>
  <c r="G5344" i="7" s="1"/>
  <c r="G5353" i="7" s="1"/>
  <c r="G5362" i="7" s="1"/>
  <c r="G5371" i="7" s="1"/>
  <c r="G5380" i="7" s="1"/>
  <c r="G5389" i="7" s="1"/>
  <c r="G5398" i="7" s="1"/>
  <c r="G5407" i="7" s="1"/>
  <c r="G5416" i="7" s="1"/>
  <c r="G5425" i="7" s="1"/>
  <c r="G5434" i="7" s="1"/>
  <c r="G5443" i="7" s="1"/>
  <c r="G5452" i="7" s="1"/>
  <c r="G5461" i="7" s="1"/>
  <c r="G5470" i="7" s="1"/>
  <c r="G5479" i="7" s="1"/>
  <c r="G5488" i="7" s="1"/>
  <c r="G5497" i="7" s="1"/>
  <c r="G5506" i="7" s="1"/>
  <c r="G5515" i="7" s="1"/>
  <c r="G5524" i="7" s="1"/>
  <c r="G5533" i="7" s="1"/>
  <c r="G5542" i="7" s="1"/>
  <c r="G5551" i="7" s="1"/>
  <c r="G5560" i="7" s="1"/>
  <c r="G5569" i="7" s="1"/>
  <c r="G5578" i="7" s="1"/>
  <c r="G5587" i="7" s="1"/>
  <c r="G5596" i="7" s="1"/>
  <c r="G5605" i="7" s="1"/>
  <c r="G5614" i="7" s="1"/>
  <c r="G5623" i="7" s="1"/>
  <c r="G5632" i="7" s="1"/>
  <c r="G5641" i="7" s="1"/>
  <c r="G5650" i="7" s="1"/>
  <c r="G5659" i="7" s="1"/>
  <c r="G5668" i="7" s="1"/>
  <c r="G5677" i="7" s="1"/>
  <c r="G5686" i="7" s="1"/>
  <c r="G5695" i="7" s="1"/>
  <c r="G5704" i="7" s="1"/>
  <c r="G5713" i="7" s="1"/>
  <c r="G5722" i="7" s="1"/>
  <c r="G5731" i="7" s="1"/>
  <c r="G5740" i="7" s="1"/>
  <c r="G5749" i="7" s="1"/>
  <c r="G4741" i="7"/>
  <c r="G4759" i="7" s="1"/>
  <c r="G4777" i="7" s="1"/>
  <c r="G4732" i="7"/>
  <c r="G4750" i="7" s="1"/>
  <c r="G4768" i="7" s="1"/>
  <c r="D1512" i="10"/>
  <c r="D1404" i="10"/>
  <c r="D1539" i="10"/>
  <c r="D1395" i="10"/>
  <c r="D729" i="10"/>
  <c r="D1413" i="10"/>
  <c r="D774" i="10"/>
  <c r="D1107" i="10" s="1"/>
  <c r="D1044" i="10"/>
  <c r="D1170" i="10"/>
  <c r="D2267" i="10"/>
  <c r="D2204" i="10"/>
  <c r="G4226" i="7"/>
  <c r="G4298" i="7"/>
  <c r="G4388" i="7" s="1"/>
  <c r="G4742" i="7"/>
  <c r="G4760" i="7" s="1"/>
  <c r="G4778" i="7" s="1"/>
  <c r="G4733" i="7"/>
  <c r="G4751" i="7" s="1"/>
  <c r="G4769" i="7" s="1"/>
  <c r="G4787" i="7"/>
  <c r="G4796" i="7" s="1"/>
  <c r="G4805" i="7" s="1"/>
  <c r="G4814" i="7" s="1"/>
  <c r="G4823" i="7" s="1"/>
  <c r="G4832" i="7" s="1"/>
  <c r="G4841" i="7" s="1"/>
  <c r="G4850" i="7" s="1"/>
  <c r="G4859" i="7" s="1"/>
  <c r="G4868" i="7" s="1"/>
  <c r="G4877" i="7" s="1"/>
  <c r="G4886" i="7" s="1"/>
  <c r="G4895" i="7" s="1"/>
  <c r="G4904" i="7" s="1"/>
  <c r="G4913" i="7" s="1"/>
  <c r="G4922" i="7" s="1"/>
  <c r="G4931" i="7" s="1"/>
  <c r="G4940" i="7" s="1"/>
  <c r="G4949" i="7" s="1"/>
  <c r="G4958" i="7" s="1"/>
  <c r="G4967" i="7" s="1"/>
  <c r="G4976" i="7" s="1"/>
  <c r="G4985" i="7" s="1"/>
  <c r="G4994" i="7" s="1"/>
  <c r="G5003" i="7" s="1"/>
  <c r="G5012" i="7" s="1"/>
  <c r="G5021" i="7" s="1"/>
  <c r="G5030" i="7" s="1"/>
  <c r="G5039" i="7" s="1"/>
  <c r="G5048" i="7" s="1"/>
  <c r="G5057" i="7" s="1"/>
  <c r="G5066" i="7" s="1"/>
  <c r="G5075" i="7" s="1"/>
  <c r="G5084" i="7" s="1"/>
  <c r="G5093" i="7" s="1"/>
  <c r="G5102" i="7" s="1"/>
  <c r="G5111" i="7" s="1"/>
  <c r="G5120" i="7" s="1"/>
  <c r="G5129" i="7" s="1"/>
  <c r="G5138" i="7" s="1"/>
  <c r="G5147" i="7" s="1"/>
  <c r="G5156" i="7" s="1"/>
  <c r="G5165" i="7" s="1"/>
  <c r="G5174" i="7" s="1"/>
  <c r="G5183" i="7" s="1"/>
  <c r="G5192" i="7" s="1"/>
  <c r="G5201" i="7" s="1"/>
  <c r="G5210" i="7" s="1"/>
  <c r="G5219" i="7" s="1"/>
  <c r="G5228" i="7" s="1"/>
  <c r="G5237" i="7" s="1"/>
  <c r="G5246" i="7" s="1"/>
  <c r="G5255" i="7" s="1"/>
  <c r="G5264" i="7" s="1"/>
  <c r="G5273" i="7" s="1"/>
  <c r="G5282" i="7" s="1"/>
  <c r="G5291" i="7" s="1"/>
  <c r="G5300" i="7" s="1"/>
  <c r="G5309" i="7" s="1"/>
  <c r="G5318" i="7" s="1"/>
  <c r="G5327" i="7" s="1"/>
  <c r="G5336" i="7" s="1"/>
  <c r="G5345" i="7" s="1"/>
  <c r="G5354" i="7" s="1"/>
  <c r="G5363" i="7" s="1"/>
  <c r="G5372" i="7" s="1"/>
  <c r="G5381" i="7" s="1"/>
  <c r="G5390" i="7" s="1"/>
  <c r="G5399" i="7" s="1"/>
  <c r="G5408" i="7" s="1"/>
  <c r="G5417" i="7" s="1"/>
  <c r="G5426" i="7" s="1"/>
  <c r="G5435" i="7" s="1"/>
  <c r="G5444" i="7" s="1"/>
  <c r="G5453" i="7" s="1"/>
  <c r="G5462" i="7" s="1"/>
  <c r="G5471" i="7" s="1"/>
  <c r="G5480" i="7" s="1"/>
  <c r="G5489" i="7" s="1"/>
  <c r="G5498" i="7" s="1"/>
  <c r="G5507" i="7" s="1"/>
  <c r="G5516" i="7" s="1"/>
  <c r="G5525" i="7" s="1"/>
  <c r="G5534" i="7" s="1"/>
  <c r="G5543" i="7" s="1"/>
  <c r="G5552" i="7" s="1"/>
  <c r="G5561" i="7" s="1"/>
  <c r="G5570" i="7" s="1"/>
  <c r="G5579" i="7" s="1"/>
  <c r="G5588" i="7" s="1"/>
  <c r="G5597" i="7" s="1"/>
  <c r="G5606" i="7" s="1"/>
  <c r="G5615" i="7" s="1"/>
  <c r="G5624" i="7" s="1"/>
  <c r="G5633" i="7" s="1"/>
  <c r="G5642" i="7" s="1"/>
  <c r="G5651" i="7" s="1"/>
  <c r="G5660" i="7" s="1"/>
  <c r="G5669" i="7" s="1"/>
  <c r="G5678" i="7" s="1"/>
  <c r="G5687" i="7" s="1"/>
  <c r="G5696" i="7" s="1"/>
  <c r="G5705" i="7" s="1"/>
  <c r="G5714" i="7" s="1"/>
  <c r="G5723" i="7" s="1"/>
  <c r="G5732" i="7" s="1"/>
  <c r="G5741" i="7" s="1"/>
  <c r="G5750" i="7" s="1"/>
  <c r="G3304" i="7"/>
  <c r="G3349" i="7" s="1"/>
  <c r="G3394" i="7" s="1"/>
  <c r="G3439" i="7" s="1"/>
  <c r="G3484" i="7" s="1"/>
  <c r="G3529" i="7" s="1"/>
  <c r="G3268" i="7"/>
  <c r="G3308" i="7"/>
  <c r="G3353" i="7" s="1"/>
  <c r="G3398" i="7" s="1"/>
  <c r="G3443" i="7" s="1"/>
  <c r="G3488" i="7" s="1"/>
  <c r="G3533" i="7" s="1"/>
  <c r="G3272" i="7"/>
  <c r="D1944" i="10"/>
  <c r="D2070" i="10" s="1"/>
  <c r="D1854" i="10"/>
  <c r="D1311" i="10"/>
  <c r="D987" i="10"/>
  <c r="D969" i="10"/>
  <c r="D951" i="10"/>
  <c r="D2244" i="10"/>
  <c r="D2154" i="10"/>
  <c r="D2253" i="10" s="1"/>
  <c r="D2190" i="10"/>
  <c r="D2318" i="10"/>
  <c r="D2237" i="10"/>
  <c r="D2291" i="10"/>
  <c r="D2228" i="10"/>
  <c r="D2309" i="10"/>
  <c r="D2327" i="10"/>
  <c r="G4743" i="7"/>
  <c r="G4761" i="7" s="1"/>
  <c r="G4779" i="7" s="1"/>
  <c r="G4788" i="7"/>
  <c r="G4797" i="7" s="1"/>
  <c r="G4806" i="7" s="1"/>
  <c r="G4815" i="7" s="1"/>
  <c r="G4824" i="7" s="1"/>
  <c r="G4833" i="7" s="1"/>
  <c r="G4842" i="7" s="1"/>
  <c r="G4851" i="7" s="1"/>
  <c r="G4860" i="7" s="1"/>
  <c r="G4869" i="7" s="1"/>
  <c r="G4878" i="7" s="1"/>
  <c r="G4887" i="7" s="1"/>
  <c r="G4896" i="7" s="1"/>
  <c r="G4905" i="7" s="1"/>
  <c r="G4914" i="7" s="1"/>
  <c r="G4923" i="7" s="1"/>
  <c r="G4932" i="7" s="1"/>
  <c r="G4941" i="7" s="1"/>
  <c r="G4950" i="7" s="1"/>
  <c r="G4959" i="7" s="1"/>
  <c r="G4968" i="7" s="1"/>
  <c r="G4977" i="7" s="1"/>
  <c r="G4986" i="7" s="1"/>
  <c r="G4995" i="7" s="1"/>
  <c r="G5004" i="7" s="1"/>
  <c r="G5013" i="7" s="1"/>
  <c r="G5022" i="7" s="1"/>
  <c r="G5031" i="7" s="1"/>
  <c r="G5040" i="7" s="1"/>
  <c r="G5049" i="7" s="1"/>
  <c r="G5058" i="7" s="1"/>
  <c r="G5067" i="7" s="1"/>
  <c r="G5076" i="7" s="1"/>
  <c r="G5085" i="7" s="1"/>
  <c r="G5094" i="7" s="1"/>
  <c r="G5103" i="7" s="1"/>
  <c r="G5112" i="7" s="1"/>
  <c r="G5121" i="7" s="1"/>
  <c r="G5130" i="7" s="1"/>
  <c r="G5139" i="7" s="1"/>
  <c r="G5148" i="7" s="1"/>
  <c r="G5157" i="7" s="1"/>
  <c r="G5166" i="7" s="1"/>
  <c r="G5175" i="7" s="1"/>
  <c r="G5184" i="7" s="1"/>
  <c r="G5193" i="7" s="1"/>
  <c r="G5202" i="7" s="1"/>
  <c r="G5211" i="7" s="1"/>
  <c r="G5220" i="7" s="1"/>
  <c r="G5229" i="7" s="1"/>
  <c r="G5238" i="7" s="1"/>
  <c r="G5247" i="7" s="1"/>
  <c r="G5256" i="7" s="1"/>
  <c r="G5265" i="7" s="1"/>
  <c r="G5274" i="7" s="1"/>
  <c r="G5283" i="7" s="1"/>
  <c r="G5292" i="7" s="1"/>
  <c r="G5301" i="7" s="1"/>
  <c r="G5310" i="7" s="1"/>
  <c r="G5319" i="7" s="1"/>
  <c r="G5328" i="7" s="1"/>
  <c r="G5337" i="7" s="1"/>
  <c r="G5346" i="7" s="1"/>
  <c r="G5355" i="7" s="1"/>
  <c r="G5364" i="7" s="1"/>
  <c r="G5373" i="7" s="1"/>
  <c r="G5382" i="7" s="1"/>
  <c r="G5391" i="7" s="1"/>
  <c r="G5400" i="7" s="1"/>
  <c r="G5409" i="7" s="1"/>
  <c r="G5418" i="7" s="1"/>
  <c r="G5427" i="7" s="1"/>
  <c r="G5436" i="7" s="1"/>
  <c r="G5445" i="7" s="1"/>
  <c r="G5454" i="7" s="1"/>
  <c r="G5463" i="7" s="1"/>
  <c r="G5472" i="7" s="1"/>
  <c r="G5481" i="7" s="1"/>
  <c r="G5490" i="7" s="1"/>
  <c r="G5499" i="7" s="1"/>
  <c r="G5508" i="7" s="1"/>
  <c r="G5517" i="7" s="1"/>
  <c r="G5526" i="7" s="1"/>
  <c r="G5535" i="7" s="1"/>
  <c r="G5544" i="7" s="1"/>
  <c r="G5553" i="7" s="1"/>
  <c r="G5562" i="7" s="1"/>
  <c r="G5571" i="7" s="1"/>
  <c r="G5580" i="7" s="1"/>
  <c r="G5589" i="7" s="1"/>
  <c r="G5598" i="7" s="1"/>
  <c r="G5607" i="7" s="1"/>
  <c r="G5616" i="7" s="1"/>
  <c r="G5625" i="7" s="1"/>
  <c r="G5634" i="7" s="1"/>
  <c r="G5643" i="7" s="1"/>
  <c r="G5652" i="7" s="1"/>
  <c r="G5661" i="7" s="1"/>
  <c r="G5670" i="7" s="1"/>
  <c r="G5679" i="7" s="1"/>
  <c r="G5688" i="7" s="1"/>
  <c r="G5697" i="7" s="1"/>
  <c r="G5706" i="7" s="1"/>
  <c r="G5715" i="7" s="1"/>
  <c r="G5724" i="7" s="1"/>
  <c r="G5733" i="7" s="1"/>
  <c r="G5742" i="7" s="1"/>
  <c r="G5751" i="7" s="1"/>
  <c r="G4734" i="7"/>
  <c r="G4752" i="7" s="1"/>
  <c r="G4770" i="7" s="1"/>
  <c r="D1314" i="10"/>
  <c r="D990" i="10"/>
  <c r="D954" i="10"/>
  <c r="D972" i="10"/>
  <c r="D2203" i="10"/>
  <c r="D2266" i="10"/>
  <c r="G3306" i="7"/>
  <c r="G3351" i="7" s="1"/>
  <c r="G3396" i="7" s="1"/>
  <c r="G3441" i="7" s="1"/>
  <c r="G3486" i="7" s="1"/>
  <c r="G3531" i="7" s="1"/>
  <c r="G3270" i="7"/>
  <c r="G4230" i="7"/>
  <c r="G4302" i="7"/>
  <c r="G4392" i="7" s="1"/>
  <c r="D2205" i="10"/>
  <c r="D2268" i="10"/>
  <c r="D1940" i="10"/>
  <c r="D2066" i="10" s="1"/>
  <c r="D1850" i="10"/>
  <c r="D2320" i="10"/>
  <c r="D2239" i="10"/>
  <c r="D2293" i="10"/>
  <c r="D2230" i="10"/>
  <c r="D2311" i="10"/>
  <c r="D2329" i="10"/>
  <c r="D2324" i="10"/>
  <c r="D2306" i="10"/>
  <c r="D2288" i="10"/>
  <c r="D2225" i="10"/>
  <c r="D2315" i="10"/>
  <c r="D2234" i="10"/>
  <c r="G4785" i="7"/>
  <c r="G4794" i="7" s="1"/>
  <c r="G4803" i="7" s="1"/>
  <c r="G4812" i="7" s="1"/>
  <c r="G4821" i="7" s="1"/>
  <c r="G4830" i="7" s="1"/>
  <c r="G4839" i="7" s="1"/>
  <c r="G4848" i="7" s="1"/>
  <c r="G4857" i="7" s="1"/>
  <c r="G4866" i="7" s="1"/>
  <c r="G4875" i="7" s="1"/>
  <c r="G4884" i="7" s="1"/>
  <c r="G4893" i="7" s="1"/>
  <c r="G4902" i="7" s="1"/>
  <c r="G4911" i="7" s="1"/>
  <c r="G4920" i="7" s="1"/>
  <c r="G4929" i="7" s="1"/>
  <c r="G4938" i="7" s="1"/>
  <c r="G4947" i="7" s="1"/>
  <c r="G4956" i="7" s="1"/>
  <c r="G4965" i="7" s="1"/>
  <c r="G4974" i="7" s="1"/>
  <c r="G4983" i="7" s="1"/>
  <c r="G4992" i="7" s="1"/>
  <c r="G5001" i="7" s="1"/>
  <c r="G5010" i="7" s="1"/>
  <c r="G5019" i="7" s="1"/>
  <c r="G5028" i="7" s="1"/>
  <c r="G5037" i="7" s="1"/>
  <c r="G5046" i="7" s="1"/>
  <c r="G5055" i="7" s="1"/>
  <c r="G5064" i="7" s="1"/>
  <c r="G5073" i="7" s="1"/>
  <c r="G5082" i="7" s="1"/>
  <c r="G5091" i="7" s="1"/>
  <c r="G5100" i="7" s="1"/>
  <c r="G5109" i="7" s="1"/>
  <c r="G5118" i="7" s="1"/>
  <c r="G5127" i="7" s="1"/>
  <c r="G5136" i="7" s="1"/>
  <c r="G5145" i="7" s="1"/>
  <c r="G5154" i="7" s="1"/>
  <c r="G5163" i="7" s="1"/>
  <c r="G5172" i="7" s="1"/>
  <c r="G5181" i="7" s="1"/>
  <c r="G5190" i="7" s="1"/>
  <c r="G5199" i="7" s="1"/>
  <c r="G5208" i="7" s="1"/>
  <c r="G5217" i="7" s="1"/>
  <c r="G5226" i="7" s="1"/>
  <c r="G5235" i="7" s="1"/>
  <c r="G5244" i="7" s="1"/>
  <c r="G5253" i="7" s="1"/>
  <c r="G5262" i="7" s="1"/>
  <c r="G5271" i="7" s="1"/>
  <c r="G5280" i="7" s="1"/>
  <c r="G5289" i="7" s="1"/>
  <c r="G5298" i="7" s="1"/>
  <c r="G5307" i="7" s="1"/>
  <c r="G5316" i="7" s="1"/>
  <c r="G5325" i="7" s="1"/>
  <c r="G5334" i="7" s="1"/>
  <c r="G5343" i="7" s="1"/>
  <c r="G5352" i="7" s="1"/>
  <c r="G5361" i="7" s="1"/>
  <c r="G5370" i="7" s="1"/>
  <c r="G5379" i="7" s="1"/>
  <c r="G5388" i="7" s="1"/>
  <c r="G5397" i="7" s="1"/>
  <c r="G5406" i="7" s="1"/>
  <c r="G5415" i="7" s="1"/>
  <c r="G5424" i="7" s="1"/>
  <c r="G5433" i="7" s="1"/>
  <c r="G5442" i="7" s="1"/>
  <c r="G5451" i="7" s="1"/>
  <c r="G5460" i="7" s="1"/>
  <c r="G5469" i="7" s="1"/>
  <c r="G5478" i="7" s="1"/>
  <c r="G5487" i="7" s="1"/>
  <c r="G5496" i="7" s="1"/>
  <c r="G5505" i="7" s="1"/>
  <c r="G5514" i="7" s="1"/>
  <c r="G5523" i="7" s="1"/>
  <c r="G5532" i="7" s="1"/>
  <c r="G5541" i="7" s="1"/>
  <c r="G5550" i="7" s="1"/>
  <c r="G5559" i="7" s="1"/>
  <c r="G5568" i="7" s="1"/>
  <c r="G5577" i="7" s="1"/>
  <c r="G5586" i="7" s="1"/>
  <c r="G5595" i="7" s="1"/>
  <c r="G5604" i="7" s="1"/>
  <c r="G5613" i="7" s="1"/>
  <c r="G5622" i="7" s="1"/>
  <c r="G5631" i="7" s="1"/>
  <c r="G5640" i="7" s="1"/>
  <c r="G5649" i="7" s="1"/>
  <c r="G5658" i="7" s="1"/>
  <c r="G5667" i="7" s="1"/>
  <c r="G5676" i="7" s="1"/>
  <c r="G5685" i="7" s="1"/>
  <c r="G5694" i="7" s="1"/>
  <c r="G5703" i="7" s="1"/>
  <c r="G5712" i="7" s="1"/>
  <c r="G5721" i="7" s="1"/>
  <c r="G5730" i="7" s="1"/>
  <c r="G5739" i="7" s="1"/>
  <c r="G5748" i="7" s="1"/>
  <c r="G4731" i="7"/>
  <c r="G4749" i="7" s="1"/>
  <c r="G4767" i="7" s="1"/>
  <c r="G4740" i="7"/>
  <c r="G4758" i="7" s="1"/>
  <c r="G4776" i="7" s="1"/>
  <c r="D2249" i="10"/>
  <c r="D2195" i="10"/>
  <c r="D2159" i="10"/>
  <c r="D2258" i="10" s="1"/>
  <c r="D2322" i="10"/>
  <c r="D2241" i="10"/>
  <c r="D2331" i="10"/>
  <c r="D2295" i="10"/>
  <c r="D2232" i="10"/>
  <c r="D2313" i="10"/>
  <c r="D1496" i="10"/>
  <c r="D1478" i="10"/>
  <c r="D1370" i="10"/>
  <c r="D1523" i="10"/>
  <c r="D1379" i="10"/>
  <c r="D731" i="10"/>
  <c r="D713" i="10"/>
  <c r="D758" i="10"/>
  <c r="D1091" i="10" s="1"/>
  <c r="D776" i="10"/>
  <c r="D1028" i="10"/>
  <c r="D740" i="10"/>
  <c r="D1073" i="10" s="1"/>
  <c r="D2261" i="10"/>
  <c r="D2198" i="10"/>
  <c r="G3313" i="7"/>
  <c r="G3358" i="7" s="1"/>
  <c r="G3403" i="7" s="1"/>
  <c r="G3448" i="7" s="1"/>
  <c r="G3493" i="7" s="1"/>
  <c r="G3538" i="7" s="1"/>
  <c r="G3277" i="7"/>
  <c r="G4301" i="7"/>
  <c r="G4391" i="7" s="1"/>
  <c r="G4229" i="7"/>
  <c r="G3322" i="7"/>
  <c r="G3367" i="7" s="1"/>
  <c r="G3412" i="7" s="1"/>
  <c r="G3457" i="7" s="1"/>
  <c r="G3502" i="7" s="1"/>
  <c r="G3286" i="7"/>
  <c r="G4231" i="7"/>
  <c r="G4303" i="7"/>
  <c r="G4393" i="7" s="1"/>
  <c r="D2199" i="10"/>
  <c r="D2262" i="10"/>
  <c r="G3299" i="7"/>
  <c r="G3344" i="7" s="1"/>
  <c r="G3389" i="7" s="1"/>
  <c r="G3434" i="7" s="1"/>
  <c r="G3479" i="7" s="1"/>
  <c r="G3524" i="7" s="1"/>
  <c r="G3263" i="7"/>
  <c r="G4304" i="7"/>
  <c r="G4394" i="7" s="1"/>
  <c r="G4232" i="7"/>
  <c r="D1538" i="10"/>
  <c r="D1412" i="10"/>
  <c r="D1394" i="10"/>
  <c r="D1169" i="10"/>
  <c r="D1043" i="10"/>
  <c r="D773" i="10"/>
  <c r="D1106" i="10" s="1"/>
  <c r="D1511" i="10"/>
  <c r="D1403" i="10"/>
  <c r="D728" i="10"/>
  <c r="D1528" i="10"/>
  <c r="D1384" i="10"/>
  <c r="D1375" i="10"/>
  <c r="D1033" i="10"/>
  <c r="D781" i="10"/>
  <c r="D763" i="10"/>
  <c r="D1096" i="10" s="1"/>
  <c r="D745" i="10"/>
  <c r="D1078" i="10" s="1"/>
  <c r="D1501" i="10"/>
  <c r="D718" i="10"/>
  <c r="D1483" i="10"/>
  <c r="D736" i="10"/>
  <c r="G5753" i="7"/>
  <c r="G5771" i="7"/>
  <c r="G5798" i="7" s="1"/>
  <c r="G5825" i="7" s="1"/>
  <c r="G5852" i="7" s="1"/>
  <c r="G5879" i="7" s="1"/>
  <c r="G5906" i="7" s="1"/>
  <c r="G5933" i="7" s="1"/>
  <c r="G5960" i="7" s="1"/>
  <c r="G5987" i="7" s="1"/>
  <c r="G6014" i="7" s="1"/>
  <c r="G6041" i="7" s="1"/>
  <c r="D1310" i="10"/>
  <c r="D950" i="10"/>
  <c r="D968" i="10"/>
  <c r="D986" i="10"/>
  <c r="D1941" i="10"/>
  <c r="D2067" i="10" s="1"/>
  <c r="D1851" i="10"/>
  <c r="D2328" i="10"/>
  <c r="D2310" i="10"/>
  <c r="D2292" i="10"/>
  <c r="D2319" i="10"/>
  <c r="D2229" i="10"/>
  <c r="D2238" i="10"/>
  <c r="D1315" i="10"/>
  <c r="D991" i="10"/>
  <c r="D973" i="10"/>
  <c r="D955" i="10"/>
  <c r="G3190" i="7"/>
  <c r="G3199" i="7"/>
  <c r="G3244" i="7" s="1"/>
  <c r="G3325" i="7" s="1"/>
  <c r="G3370" i="7" s="1"/>
  <c r="G3415" i="7" s="1"/>
  <c r="G3460" i="7" s="1"/>
  <c r="G3505" i="7" s="1"/>
  <c r="G3208" i="7"/>
  <c r="G3196" i="7"/>
  <c r="G3205" i="7"/>
  <c r="G3250" i="7" s="1"/>
  <c r="G3331" i="7" s="1"/>
  <c r="G3376" i="7" s="1"/>
  <c r="G3421" i="7" s="1"/>
  <c r="G3466" i="7" s="1"/>
  <c r="G3511" i="7" s="1"/>
  <c r="G3214" i="7"/>
  <c r="G4784" i="7"/>
  <c r="G4793" i="7" s="1"/>
  <c r="G4802" i="7" s="1"/>
  <c r="G4811" i="7" s="1"/>
  <c r="G4820" i="7" s="1"/>
  <c r="G4829" i="7" s="1"/>
  <c r="G4838" i="7" s="1"/>
  <c r="G4847" i="7" s="1"/>
  <c r="G4856" i="7" s="1"/>
  <c r="G4865" i="7" s="1"/>
  <c r="G4874" i="7" s="1"/>
  <c r="G4883" i="7" s="1"/>
  <c r="G4892" i="7" s="1"/>
  <c r="G4901" i="7" s="1"/>
  <c r="G4910" i="7" s="1"/>
  <c r="G4919" i="7" s="1"/>
  <c r="G4928" i="7" s="1"/>
  <c r="G4937" i="7" s="1"/>
  <c r="G4946" i="7" s="1"/>
  <c r="G4955" i="7" s="1"/>
  <c r="G4964" i="7" s="1"/>
  <c r="G4973" i="7" s="1"/>
  <c r="G4982" i="7" s="1"/>
  <c r="G4991" i="7" s="1"/>
  <c r="G5000" i="7" s="1"/>
  <c r="G5009" i="7" s="1"/>
  <c r="G5018" i="7" s="1"/>
  <c r="G5027" i="7" s="1"/>
  <c r="G5036" i="7" s="1"/>
  <c r="G5045" i="7" s="1"/>
  <c r="G5054" i="7" s="1"/>
  <c r="G5063" i="7" s="1"/>
  <c r="G5072" i="7" s="1"/>
  <c r="G5081" i="7" s="1"/>
  <c r="G5090" i="7" s="1"/>
  <c r="G5099" i="7" s="1"/>
  <c r="G5108" i="7" s="1"/>
  <c r="G5117" i="7" s="1"/>
  <c r="G5126" i="7" s="1"/>
  <c r="G5135" i="7" s="1"/>
  <c r="G5144" i="7" s="1"/>
  <c r="G5153" i="7" s="1"/>
  <c r="G5162" i="7" s="1"/>
  <c r="G5171" i="7" s="1"/>
  <c r="G5180" i="7" s="1"/>
  <c r="G5189" i="7" s="1"/>
  <c r="G5198" i="7" s="1"/>
  <c r="G5207" i="7" s="1"/>
  <c r="G5216" i="7" s="1"/>
  <c r="G5225" i="7" s="1"/>
  <c r="G5234" i="7" s="1"/>
  <c r="G5243" i="7" s="1"/>
  <c r="G5252" i="7" s="1"/>
  <c r="G5261" i="7" s="1"/>
  <c r="G5270" i="7" s="1"/>
  <c r="G5279" i="7" s="1"/>
  <c r="G5288" i="7" s="1"/>
  <c r="G5297" i="7" s="1"/>
  <c r="G5306" i="7" s="1"/>
  <c r="G5315" i="7" s="1"/>
  <c r="G5324" i="7" s="1"/>
  <c r="G5333" i="7" s="1"/>
  <c r="G5342" i="7" s="1"/>
  <c r="G5351" i="7" s="1"/>
  <c r="G5360" i="7" s="1"/>
  <c r="G5369" i="7" s="1"/>
  <c r="G5378" i="7" s="1"/>
  <c r="G5387" i="7" s="1"/>
  <c r="G5396" i="7" s="1"/>
  <c r="G5405" i="7" s="1"/>
  <c r="G5414" i="7" s="1"/>
  <c r="G5423" i="7" s="1"/>
  <c r="G5432" i="7" s="1"/>
  <c r="G5441" i="7" s="1"/>
  <c r="G5450" i="7" s="1"/>
  <c r="G5459" i="7" s="1"/>
  <c r="G5468" i="7" s="1"/>
  <c r="G5477" i="7" s="1"/>
  <c r="G5486" i="7" s="1"/>
  <c r="G5495" i="7" s="1"/>
  <c r="G5504" i="7" s="1"/>
  <c r="G5513" i="7" s="1"/>
  <c r="G5522" i="7" s="1"/>
  <c r="G5531" i="7" s="1"/>
  <c r="G5540" i="7" s="1"/>
  <c r="G5549" i="7" s="1"/>
  <c r="G5558" i="7" s="1"/>
  <c r="G5567" i="7" s="1"/>
  <c r="G5576" i="7" s="1"/>
  <c r="G5585" i="7" s="1"/>
  <c r="G5594" i="7" s="1"/>
  <c r="G5603" i="7" s="1"/>
  <c r="G5612" i="7" s="1"/>
  <c r="G5621" i="7" s="1"/>
  <c r="G5630" i="7" s="1"/>
  <c r="G5639" i="7" s="1"/>
  <c r="G5648" i="7" s="1"/>
  <c r="G5657" i="7" s="1"/>
  <c r="G5666" i="7" s="1"/>
  <c r="G5675" i="7" s="1"/>
  <c r="G5684" i="7" s="1"/>
  <c r="G5693" i="7" s="1"/>
  <c r="G5702" i="7" s="1"/>
  <c r="G5711" i="7" s="1"/>
  <c r="G5720" i="7" s="1"/>
  <c r="G5729" i="7" s="1"/>
  <c r="G5738" i="7" s="1"/>
  <c r="G5747" i="7" s="1"/>
  <c r="G4730" i="7"/>
  <c r="G4748" i="7" s="1"/>
  <c r="G4766" i="7" s="1"/>
  <c r="G4739" i="7"/>
  <c r="G4757" i="7" s="1"/>
  <c r="G4775" i="7" s="1"/>
  <c r="D1532" i="10"/>
  <c r="D1406" i="10"/>
  <c r="D1388" i="10"/>
  <c r="D1505" i="10"/>
  <c r="D1163" i="10"/>
  <c r="D1037" i="10"/>
  <c r="D767" i="10"/>
  <c r="D1100" i="10" s="1"/>
  <c r="D1397" i="10"/>
  <c r="D722" i="10"/>
  <c r="G3297" i="7"/>
  <c r="G3342" i="7" s="1"/>
  <c r="G3387" i="7" s="1"/>
  <c r="G3432" i="7" s="1"/>
  <c r="G3477" i="7" s="1"/>
  <c r="G3522" i="7" s="1"/>
  <c r="G3261" i="7"/>
  <c r="G4744" i="7"/>
  <c r="G4762" i="7" s="1"/>
  <c r="G4780" i="7" s="1"/>
  <c r="G4735" i="7"/>
  <c r="G4753" i="7" s="1"/>
  <c r="G4771" i="7" s="1"/>
  <c r="G4789" i="7"/>
  <c r="G4798" i="7" s="1"/>
  <c r="G4807" i="7" s="1"/>
  <c r="G4816" i="7" s="1"/>
  <c r="G4825" i="7" s="1"/>
  <c r="G4834" i="7" s="1"/>
  <c r="G4843" i="7" s="1"/>
  <c r="G4852" i="7" s="1"/>
  <c r="G4861" i="7" s="1"/>
  <c r="G4870" i="7" s="1"/>
  <c r="G4879" i="7" s="1"/>
  <c r="G4888" i="7" s="1"/>
  <c r="G4897" i="7" s="1"/>
  <c r="G4906" i="7" s="1"/>
  <c r="G4915" i="7" s="1"/>
  <c r="G4924" i="7" s="1"/>
  <c r="G4933" i="7" s="1"/>
  <c r="G4942" i="7" s="1"/>
  <c r="G4951" i="7" s="1"/>
  <c r="G4960" i="7" s="1"/>
  <c r="G4969" i="7" s="1"/>
  <c r="G4978" i="7" s="1"/>
  <c r="G4987" i="7" s="1"/>
  <c r="G4996" i="7" s="1"/>
  <c r="G5005" i="7" s="1"/>
  <c r="G5014" i="7" s="1"/>
  <c r="G5023" i="7" s="1"/>
  <c r="G5032" i="7" s="1"/>
  <c r="G5041" i="7" s="1"/>
  <c r="G5050" i="7" s="1"/>
  <c r="G5059" i="7" s="1"/>
  <c r="G5068" i="7" s="1"/>
  <c r="G5077" i="7" s="1"/>
  <c r="G5086" i="7" s="1"/>
  <c r="G5095" i="7" s="1"/>
  <c r="G5104" i="7" s="1"/>
  <c r="G5113" i="7" s="1"/>
  <c r="G5122" i="7" s="1"/>
  <c r="G5131" i="7" s="1"/>
  <c r="G5140" i="7" s="1"/>
  <c r="G5149" i="7" s="1"/>
  <c r="G5158" i="7" s="1"/>
  <c r="G5167" i="7" s="1"/>
  <c r="G5176" i="7" s="1"/>
  <c r="G5185" i="7" s="1"/>
  <c r="G5194" i="7" s="1"/>
  <c r="G5203" i="7" s="1"/>
  <c r="G5212" i="7" s="1"/>
  <c r="G5221" i="7" s="1"/>
  <c r="G5230" i="7" s="1"/>
  <c r="G5239" i="7" s="1"/>
  <c r="G5248" i="7" s="1"/>
  <c r="G5257" i="7" s="1"/>
  <c r="G5266" i="7" s="1"/>
  <c r="G5275" i="7" s="1"/>
  <c r="G5284" i="7" s="1"/>
  <c r="G5293" i="7" s="1"/>
  <c r="G5302" i="7" s="1"/>
  <c r="G5311" i="7" s="1"/>
  <c r="G5320" i="7" s="1"/>
  <c r="G5329" i="7" s="1"/>
  <c r="G5338" i="7" s="1"/>
  <c r="G5347" i="7" s="1"/>
  <c r="G5356" i="7" s="1"/>
  <c r="G5365" i="7" s="1"/>
  <c r="G5374" i="7" s="1"/>
  <c r="G5383" i="7" s="1"/>
  <c r="G5392" i="7" s="1"/>
  <c r="G5401" i="7" s="1"/>
  <c r="G5410" i="7" s="1"/>
  <c r="G5419" i="7" s="1"/>
  <c r="G5428" i="7" s="1"/>
  <c r="G5437" i="7" s="1"/>
  <c r="G5446" i="7" s="1"/>
  <c r="G5455" i="7" s="1"/>
  <c r="G5464" i="7" s="1"/>
  <c r="G5473" i="7" s="1"/>
  <c r="G5482" i="7" s="1"/>
  <c r="G5491" i="7" s="1"/>
  <c r="G5500" i="7" s="1"/>
  <c r="G5509" i="7" s="1"/>
  <c r="G5518" i="7" s="1"/>
  <c r="G5527" i="7" s="1"/>
  <c r="G5536" i="7" s="1"/>
  <c r="G5545" i="7" s="1"/>
  <c r="G5554" i="7" s="1"/>
  <c r="G5563" i="7" s="1"/>
  <c r="G5572" i="7" s="1"/>
  <c r="G5581" i="7" s="1"/>
  <c r="G5590" i="7" s="1"/>
  <c r="G5599" i="7" s="1"/>
  <c r="G5608" i="7" s="1"/>
  <c r="G5617" i="7" s="1"/>
  <c r="G5626" i="7" s="1"/>
  <c r="G5635" i="7" s="1"/>
  <c r="G5644" i="7" s="1"/>
  <c r="G5653" i="7" s="1"/>
  <c r="G5662" i="7" s="1"/>
  <c r="G5671" i="7" s="1"/>
  <c r="G5680" i="7" s="1"/>
  <c r="G5689" i="7" s="1"/>
  <c r="G5698" i="7" s="1"/>
  <c r="G5707" i="7" s="1"/>
  <c r="G5716" i="7" s="1"/>
  <c r="G5725" i="7" s="1"/>
  <c r="G5734" i="7" s="1"/>
  <c r="G5743" i="7" s="1"/>
  <c r="G5752" i="7" s="1"/>
  <c r="D2316" i="10"/>
  <c r="D2289" i="10"/>
  <c r="D2235" i="10"/>
  <c r="D2307" i="10"/>
  <c r="D2226" i="10"/>
  <c r="D2325" i="10"/>
  <c r="G3281" i="7"/>
  <c r="G3317" i="7"/>
  <c r="G3362" i="7" s="1"/>
  <c r="G3407" i="7" s="1"/>
  <c r="G3452" i="7" s="1"/>
  <c r="G3497" i="7" s="1"/>
  <c r="D1526" i="10"/>
  <c r="D1382" i="10"/>
  <c r="D1373" i="10"/>
  <c r="D1499" i="10"/>
  <c r="D1031" i="10"/>
  <c r="D779" i="10"/>
  <c r="D761" i="10"/>
  <c r="D1094" i="10" s="1"/>
  <c r="D743" i="10"/>
  <c r="D1076" i="10" s="1"/>
  <c r="D734" i="10"/>
  <c r="D1481" i="10"/>
  <c r="D716" i="10"/>
  <c r="D1530" i="10"/>
  <c r="D1386" i="10"/>
  <c r="D1503" i="10"/>
  <c r="D1485" i="10"/>
  <c r="D1377" i="10"/>
  <c r="D1035" i="10"/>
  <c r="D783" i="10"/>
  <c r="D765" i="10"/>
  <c r="D1098" i="10" s="1"/>
  <c r="D747" i="10"/>
  <c r="D1080" i="10" s="1"/>
  <c r="D720" i="10"/>
  <c r="D738" i="10"/>
  <c r="D1506" i="10"/>
  <c r="D1398" i="10"/>
  <c r="D1533" i="10"/>
  <c r="D1389" i="10"/>
  <c r="D1407" i="10"/>
  <c r="D723" i="10"/>
  <c r="D1038" i="10"/>
  <c r="D768" i="10"/>
  <c r="D1101" i="10" s="1"/>
  <c r="D1164" i="10"/>
  <c r="G3318" i="7"/>
  <c r="G3363" i="7" s="1"/>
  <c r="G3408" i="7" s="1"/>
  <c r="G3453" i="7" s="1"/>
  <c r="G3498" i="7" s="1"/>
  <c r="G3282" i="7"/>
  <c r="D2269" i="10"/>
  <c r="D2206" i="10"/>
  <c r="G3262" i="7"/>
  <c r="G3298" i="7"/>
  <c r="G3343" i="7" s="1"/>
  <c r="G3388" i="7" s="1"/>
  <c r="G3433" i="7" s="1"/>
  <c r="G3478" i="7" s="1"/>
  <c r="G3523" i="7" s="1"/>
  <c r="D2265" i="10"/>
  <c r="D2202" i="10"/>
  <c r="G3271" i="7"/>
  <c r="G3307" i="7"/>
  <c r="G3352" i="7" s="1"/>
  <c r="G3397" i="7" s="1"/>
  <c r="G3442" i="7" s="1"/>
  <c r="G3487" i="7" s="1"/>
  <c r="G3532" i="7" s="1"/>
  <c r="G3265" i="7"/>
  <c r="G3301" i="7"/>
  <c r="G3346" i="7" s="1"/>
  <c r="G3391" i="7" s="1"/>
  <c r="G3436" i="7" s="1"/>
  <c r="G3481" i="7" s="1"/>
  <c r="G3526" i="7" s="1"/>
  <c r="G3315" i="7"/>
  <c r="G3360" i="7" s="1"/>
  <c r="G3405" i="7" s="1"/>
  <c r="G3450" i="7" s="1"/>
  <c r="G3495" i="7" s="1"/>
  <c r="G3279" i="7"/>
  <c r="D1540" i="10"/>
  <c r="D1513" i="10"/>
  <c r="D1414" i="10"/>
  <c r="D1396" i="10"/>
  <c r="D1405" i="10"/>
  <c r="D1171" i="10"/>
  <c r="D1045" i="10"/>
  <c r="D775" i="10"/>
  <c r="D1108" i="10" s="1"/>
  <c r="D730" i="10"/>
  <c r="D1309" i="10"/>
  <c r="D985" i="10"/>
  <c r="D967" i="10"/>
  <c r="D949" i="10"/>
  <c r="D2326" i="10"/>
  <c r="D2308" i="10"/>
  <c r="D2290" i="10"/>
  <c r="D2227" i="10"/>
  <c r="D2317" i="10"/>
  <c r="D2236" i="10"/>
  <c r="G4783" i="7"/>
  <c r="G4792" i="7" s="1"/>
  <c r="G4801" i="7" s="1"/>
  <c r="G4810" i="7" s="1"/>
  <c r="G4819" i="7" s="1"/>
  <c r="G4828" i="7" s="1"/>
  <c r="G4837" i="7" s="1"/>
  <c r="G4846" i="7" s="1"/>
  <c r="G4855" i="7" s="1"/>
  <c r="G4864" i="7" s="1"/>
  <c r="G4873" i="7" s="1"/>
  <c r="G4882" i="7" s="1"/>
  <c r="G4891" i="7" s="1"/>
  <c r="G4900" i="7" s="1"/>
  <c r="G4909" i="7" s="1"/>
  <c r="G4918" i="7" s="1"/>
  <c r="G4927" i="7" s="1"/>
  <c r="G4936" i="7" s="1"/>
  <c r="G4945" i="7" s="1"/>
  <c r="G4954" i="7" s="1"/>
  <c r="G4963" i="7" s="1"/>
  <c r="G4972" i="7" s="1"/>
  <c r="G4981" i="7" s="1"/>
  <c r="G4990" i="7" s="1"/>
  <c r="G4999" i="7" s="1"/>
  <c r="G5008" i="7" s="1"/>
  <c r="G5017" i="7" s="1"/>
  <c r="G5026" i="7" s="1"/>
  <c r="G5035" i="7" s="1"/>
  <c r="G5044" i="7" s="1"/>
  <c r="G5053" i="7" s="1"/>
  <c r="G5062" i="7" s="1"/>
  <c r="G5071" i="7" s="1"/>
  <c r="G5080" i="7" s="1"/>
  <c r="G5089" i="7" s="1"/>
  <c r="G5098" i="7" s="1"/>
  <c r="G5107" i="7" s="1"/>
  <c r="G5116" i="7" s="1"/>
  <c r="G5125" i="7" s="1"/>
  <c r="G5134" i="7" s="1"/>
  <c r="G5143" i="7" s="1"/>
  <c r="G5152" i="7" s="1"/>
  <c r="G5161" i="7" s="1"/>
  <c r="G5170" i="7" s="1"/>
  <c r="G5179" i="7" s="1"/>
  <c r="G5188" i="7" s="1"/>
  <c r="G5197" i="7" s="1"/>
  <c r="G5206" i="7" s="1"/>
  <c r="G5215" i="7" s="1"/>
  <c r="G5224" i="7" s="1"/>
  <c r="G5233" i="7" s="1"/>
  <c r="G5242" i="7" s="1"/>
  <c r="G5251" i="7" s="1"/>
  <c r="G5260" i="7" s="1"/>
  <c r="G5269" i="7" s="1"/>
  <c r="G5278" i="7" s="1"/>
  <c r="G5287" i="7" s="1"/>
  <c r="G5296" i="7" s="1"/>
  <c r="G5305" i="7" s="1"/>
  <c r="G5314" i="7" s="1"/>
  <c r="G5323" i="7" s="1"/>
  <c r="G5332" i="7" s="1"/>
  <c r="G5341" i="7" s="1"/>
  <c r="G5350" i="7" s="1"/>
  <c r="G5359" i="7" s="1"/>
  <c r="G5368" i="7" s="1"/>
  <c r="G5377" i="7" s="1"/>
  <c r="G5386" i="7" s="1"/>
  <c r="G5395" i="7" s="1"/>
  <c r="G5404" i="7" s="1"/>
  <c r="G5413" i="7" s="1"/>
  <c r="G5422" i="7" s="1"/>
  <c r="G5431" i="7" s="1"/>
  <c r="G5440" i="7" s="1"/>
  <c r="G5449" i="7" s="1"/>
  <c r="G5458" i="7" s="1"/>
  <c r="G5467" i="7" s="1"/>
  <c r="G5476" i="7" s="1"/>
  <c r="G5485" i="7" s="1"/>
  <c r="G5494" i="7" s="1"/>
  <c r="G5503" i="7" s="1"/>
  <c r="G5512" i="7" s="1"/>
  <c r="G5521" i="7" s="1"/>
  <c r="G5530" i="7" s="1"/>
  <c r="G5539" i="7" s="1"/>
  <c r="G5548" i="7" s="1"/>
  <c r="G5557" i="7" s="1"/>
  <c r="G5566" i="7" s="1"/>
  <c r="G5575" i="7" s="1"/>
  <c r="G5584" i="7" s="1"/>
  <c r="G5593" i="7" s="1"/>
  <c r="G5602" i="7" s="1"/>
  <c r="G5611" i="7" s="1"/>
  <c r="G5620" i="7" s="1"/>
  <c r="G5629" i="7" s="1"/>
  <c r="G5638" i="7" s="1"/>
  <c r="G5647" i="7" s="1"/>
  <c r="G5656" i="7" s="1"/>
  <c r="G5665" i="7" s="1"/>
  <c r="G5674" i="7" s="1"/>
  <c r="G5683" i="7" s="1"/>
  <c r="G5692" i="7" s="1"/>
  <c r="G5701" i="7" s="1"/>
  <c r="G5710" i="7" s="1"/>
  <c r="G5719" i="7" s="1"/>
  <c r="G5728" i="7" s="1"/>
  <c r="G5737" i="7" s="1"/>
  <c r="G5746" i="7" s="1"/>
  <c r="G4738" i="7"/>
  <c r="G4756" i="7" s="1"/>
  <c r="G4774" i="7" s="1"/>
  <c r="G4729" i="7"/>
  <c r="G4747" i="7" s="1"/>
  <c r="G4765" i="7" s="1"/>
  <c r="D792" i="10" l="1"/>
  <c r="D1125" i="10" s="1"/>
  <c r="D1116" i="10"/>
  <c r="G3556" i="7"/>
  <c r="G3547" i="7"/>
  <c r="D1863" i="10"/>
  <c r="D1962" i="10" s="1"/>
  <c r="D1953" i="10"/>
  <c r="D1971" i="10"/>
  <c r="G5776" i="7"/>
  <c r="G5803" i="7" s="1"/>
  <c r="G5830" i="7" s="1"/>
  <c r="G5857" i="7" s="1"/>
  <c r="G5884" i="7" s="1"/>
  <c r="G5911" i="7" s="1"/>
  <c r="G5938" i="7" s="1"/>
  <c r="G5965" i="7" s="1"/>
  <c r="G5992" i="7" s="1"/>
  <c r="G6019" i="7" s="1"/>
  <c r="G6046" i="7" s="1"/>
  <c r="G5758" i="7"/>
  <c r="D753" i="10"/>
  <c r="D1086" i="10" s="1"/>
  <c r="D1068" i="10"/>
  <c r="D751" i="10"/>
  <c r="D1084" i="10" s="1"/>
  <c r="D1066" i="10"/>
  <c r="G3554" i="7"/>
  <c r="G3545" i="7"/>
  <c r="D1117" i="10"/>
  <c r="D793" i="10"/>
  <c r="D1126" i="10" s="1"/>
  <c r="D1067" i="10"/>
  <c r="D752" i="10"/>
  <c r="D1085" i="10" s="1"/>
  <c r="D790" i="10"/>
  <c r="D1123" i="10" s="1"/>
  <c r="D1114" i="10"/>
  <c r="G4310" i="7"/>
  <c r="G4400" i="7" s="1"/>
  <c r="G4238" i="7"/>
  <c r="D1109" i="10"/>
  <c r="D785" i="10"/>
  <c r="D1118" i="10" s="1"/>
  <c r="G5778" i="7"/>
  <c r="G5805" i="7" s="1"/>
  <c r="G5832" i="7" s="1"/>
  <c r="G5859" i="7" s="1"/>
  <c r="G5886" i="7" s="1"/>
  <c r="G5913" i="7" s="1"/>
  <c r="G5940" i="7" s="1"/>
  <c r="G5967" i="7" s="1"/>
  <c r="G5994" i="7" s="1"/>
  <c r="G6021" i="7" s="1"/>
  <c r="G6048" i="7" s="1"/>
  <c r="G5760" i="7"/>
  <c r="D1431" i="10"/>
  <c r="D1062" i="10"/>
  <c r="D1449" i="10"/>
  <c r="D1970" i="10"/>
  <c r="D1952" i="10"/>
  <c r="D1862" i="10"/>
  <c r="D1961" i="10" s="1"/>
  <c r="D1446" i="10"/>
  <c r="D1428" i="10"/>
  <c r="D1059" i="10"/>
  <c r="D1444" i="10"/>
  <c r="D1426" i="10"/>
  <c r="D1057" i="10"/>
  <c r="G5761" i="7"/>
  <c r="G5779" i="7"/>
  <c r="G5806" i="7" s="1"/>
  <c r="G5833" i="7" s="1"/>
  <c r="G5860" i="7" s="1"/>
  <c r="G5887" i="7" s="1"/>
  <c r="G5914" i="7" s="1"/>
  <c r="G5941" i="7" s="1"/>
  <c r="G5968" i="7" s="1"/>
  <c r="G5995" i="7" s="1"/>
  <c r="G6022" i="7" s="1"/>
  <c r="G6049" i="7" s="1"/>
  <c r="G5774" i="7"/>
  <c r="G5801" i="7" s="1"/>
  <c r="G5828" i="7" s="1"/>
  <c r="G5855" i="7" s="1"/>
  <c r="G5882" i="7" s="1"/>
  <c r="G5909" i="7" s="1"/>
  <c r="G5936" i="7" s="1"/>
  <c r="G5963" i="7" s="1"/>
  <c r="G5990" i="7" s="1"/>
  <c r="G6017" i="7" s="1"/>
  <c r="G6044" i="7" s="1"/>
  <c r="G5756" i="7"/>
  <c r="G5780" i="7"/>
  <c r="G5807" i="7" s="1"/>
  <c r="G5834" i="7" s="1"/>
  <c r="G5861" i="7" s="1"/>
  <c r="G5888" i="7" s="1"/>
  <c r="G5915" i="7" s="1"/>
  <c r="G5942" i="7" s="1"/>
  <c r="G5969" i="7" s="1"/>
  <c r="G5996" i="7" s="1"/>
  <c r="G6023" i="7" s="1"/>
  <c r="G6050" i="7" s="1"/>
  <c r="G5762" i="7"/>
  <c r="G5789" i="7" s="1"/>
  <c r="G5816" i="7" s="1"/>
  <c r="G5843" i="7" s="1"/>
  <c r="G5870" i="7" s="1"/>
  <c r="G5897" i="7" s="1"/>
  <c r="D1949" i="10"/>
  <c r="D1967" i="10"/>
  <c r="D1859" i="10"/>
  <c r="D1958" i="10" s="1"/>
  <c r="G4307" i="7"/>
  <c r="G4397" i="7" s="1"/>
  <c r="G4235" i="7"/>
  <c r="D1110" i="10"/>
  <c r="D786" i="10"/>
  <c r="D1119" i="10" s="1"/>
  <c r="D1113" i="10"/>
  <c r="D789" i="10"/>
  <c r="D1122" i="10" s="1"/>
  <c r="D1111" i="10"/>
  <c r="D787" i="10"/>
  <c r="D1120" i="10" s="1"/>
  <c r="G3293" i="7"/>
  <c r="G3338" i="7" s="1"/>
  <c r="G3383" i="7" s="1"/>
  <c r="G3428" i="7" s="1"/>
  <c r="G3473" i="7" s="1"/>
  <c r="G3518" i="7" s="1"/>
  <c r="G3257" i="7"/>
  <c r="D1115" i="10"/>
  <c r="D791" i="10"/>
  <c r="D1124" i="10" s="1"/>
  <c r="G3546" i="7"/>
  <c r="G3555" i="7"/>
  <c r="G5755" i="7"/>
  <c r="G5773" i="7"/>
  <c r="G5800" i="7" s="1"/>
  <c r="G5827" i="7" s="1"/>
  <c r="G5854" i="7" s="1"/>
  <c r="G5881" i="7" s="1"/>
  <c r="G5908" i="7" s="1"/>
  <c r="G5935" i="7" s="1"/>
  <c r="G5962" i="7" s="1"/>
  <c r="G5989" i="7" s="1"/>
  <c r="G6016" i="7" s="1"/>
  <c r="G6043" i="7" s="1"/>
  <c r="G6068" i="7"/>
  <c r="G6140" i="7" s="1"/>
  <c r="G6185" i="7" s="1"/>
  <c r="G6248" i="7" s="1"/>
  <c r="G6311" i="7" s="1"/>
  <c r="G6374" i="7" s="1"/>
  <c r="G6437" i="7" s="1"/>
  <c r="G6500" i="7" s="1"/>
  <c r="G6563" i="7" s="1"/>
  <c r="G6626" i="7" s="1"/>
  <c r="G6689" i="7" s="1"/>
  <c r="G6752" i="7" s="1"/>
  <c r="G6815" i="7" s="1"/>
  <c r="G6878" i="7" s="1"/>
  <c r="G6941" i="7" s="1"/>
  <c r="G7004" i="7" s="1"/>
  <c r="G7067" i="7" s="1"/>
  <c r="G7130" i="7" s="1"/>
  <c r="G6113" i="7"/>
  <c r="G6158" i="7" s="1"/>
  <c r="G3295" i="7"/>
  <c r="G3340" i="7" s="1"/>
  <c r="G3385" i="7" s="1"/>
  <c r="G3430" i="7" s="1"/>
  <c r="G3475" i="7" s="1"/>
  <c r="G3520" i="7" s="1"/>
  <c r="G3259" i="7"/>
  <c r="D1968" i="10"/>
  <c r="D1950" i="10"/>
  <c r="D1860" i="10"/>
  <c r="D1959" i="10" s="1"/>
  <c r="D1069" i="10"/>
  <c r="D754" i="10"/>
  <c r="D1087" i="10" s="1"/>
  <c r="D1541" i="10"/>
  <c r="D1415" i="10"/>
  <c r="D1046" i="10"/>
  <c r="D1172" i="10"/>
  <c r="D1433" i="10"/>
  <c r="D1423" i="10"/>
  <c r="D1441" i="10"/>
  <c r="D1549" i="10"/>
  <c r="D1054" i="10"/>
  <c r="D1180" i="10"/>
  <c r="D1421" i="10"/>
  <c r="D1439" i="10"/>
  <c r="D1547" i="10"/>
  <c r="D1178" i="10"/>
  <c r="D1052" i="10"/>
  <c r="D1964" i="10"/>
  <c r="D1946" i="10"/>
  <c r="D1856" i="10"/>
  <c r="D1955" i="10" s="1"/>
  <c r="G3292" i="7"/>
  <c r="G3337" i="7" s="1"/>
  <c r="G3382" i="7" s="1"/>
  <c r="G3427" i="7" s="1"/>
  <c r="G3472" i="7" s="1"/>
  <c r="G3517" i="7" s="1"/>
  <c r="G3256" i="7"/>
  <c r="G3551" i="7"/>
  <c r="G3542" i="7"/>
  <c r="D1450" i="10"/>
  <c r="D1432" i="10"/>
  <c r="D1063" i="10"/>
  <c r="D1071" i="10"/>
  <c r="D756" i="10"/>
  <c r="D1089" i="10" s="1"/>
  <c r="D757" i="10"/>
  <c r="D1090" i="10" s="1"/>
  <c r="D1072" i="10"/>
  <c r="D755" i="10"/>
  <c r="D1088" i="10" s="1"/>
  <c r="D1070" i="10"/>
  <c r="D1965" i="10"/>
  <c r="D1857" i="10"/>
  <c r="D1956" i="10" s="1"/>
  <c r="D1947" i="10"/>
  <c r="G3255" i="7"/>
  <c r="G3291" i="7"/>
  <c r="G3336" i="7" s="1"/>
  <c r="G3381" i="7" s="1"/>
  <c r="G3426" i="7" s="1"/>
  <c r="G3471" i="7" s="1"/>
  <c r="G3516" i="7" s="1"/>
  <c r="G5772" i="7"/>
  <c r="G5799" i="7" s="1"/>
  <c r="G5826" i="7" s="1"/>
  <c r="G5853" i="7" s="1"/>
  <c r="G5880" i="7" s="1"/>
  <c r="G5907" i="7" s="1"/>
  <c r="G5934" i="7" s="1"/>
  <c r="G5961" i="7" s="1"/>
  <c r="G5988" i="7" s="1"/>
  <c r="G6015" i="7" s="1"/>
  <c r="G6042" i="7" s="1"/>
  <c r="G5754" i="7"/>
  <c r="D1972" i="10"/>
  <c r="D1954" i="10"/>
  <c r="D1864" i="10"/>
  <c r="D1963" i="10" s="1"/>
  <c r="G3550" i="7"/>
  <c r="G3541" i="7"/>
  <c r="G3552" i="7"/>
  <c r="G3543" i="7"/>
  <c r="D1112" i="10"/>
  <c r="D788" i="10"/>
  <c r="D1121" i="10" s="1"/>
  <c r="D749" i="10"/>
  <c r="D1082" i="10" s="1"/>
  <c r="D1064" i="10"/>
  <c r="D1427" i="10"/>
  <c r="D1445" i="10"/>
  <c r="D1058" i="10"/>
  <c r="D1542" i="10"/>
  <c r="D1434" i="10"/>
  <c r="D1416" i="10"/>
  <c r="D1173" i="10"/>
  <c r="D1047" i="10"/>
  <c r="D1548" i="10"/>
  <c r="D1440" i="10"/>
  <c r="D1422" i="10"/>
  <c r="D1179" i="10"/>
  <c r="D1053" i="10"/>
  <c r="D1546" i="10"/>
  <c r="D1438" i="10"/>
  <c r="D1420" i="10"/>
  <c r="D1177" i="10"/>
  <c r="D1051" i="10"/>
  <c r="G5757" i="7"/>
  <c r="G5775" i="7"/>
  <c r="G5802" i="7" s="1"/>
  <c r="G5829" i="7" s="1"/>
  <c r="G5856" i="7" s="1"/>
  <c r="G5883" i="7" s="1"/>
  <c r="G5910" i="7" s="1"/>
  <c r="G5937" i="7" s="1"/>
  <c r="G5964" i="7" s="1"/>
  <c r="G5991" i="7" s="1"/>
  <c r="G6018" i="7" s="1"/>
  <c r="G6045" i="7" s="1"/>
  <c r="D1065" i="10"/>
  <c r="D750" i="10"/>
  <c r="D1083" i="10" s="1"/>
  <c r="G3290" i="7"/>
  <c r="G3335" i="7" s="1"/>
  <c r="G3380" i="7" s="1"/>
  <c r="G3425" i="7" s="1"/>
  <c r="G3470" i="7" s="1"/>
  <c r="G3515" i="7" s="1"/>
  <c r="G3254" i="7"/>
  <c r="G3252" i="7"/>
  <c r="G3288" i="7"/>
  <c r="G3333" i="7" s="1"/>
  <c r="G3378" i="7" s="1"/>
  <c r="G3423" i="7" s="1"/>
  <c r="G3468" i="7" s="1"/>
  <c r="G3513" i="7" s="1"/>
  <c r="D1429" i="10"/>
  <c r="D1447" i="10"/>
  <c r="D1060" i="10"/>
  <c r="G3253" i="7"/>
  <c r="G3289" i="7"/>
  <c r="G3334" i="7" s="1"/>
  <c r="G3379" i="7" s="1"/>
  <c r="G3424" i="7" s="1"/>
  <c r="G3469" i="7" s="1"/>
  <c r="G3514" i="7" s="1"/>
  <c r="D1448" i="10"/>
  <c r="D1430" i="10"/>
  <c r="D1061" i="10"/>
  <c r="G5777" i="7"/>
  <c r="G5804" i="7" s="1"/>
  <c r="G5831" i="7" s="1"/>
  <c r="G5858" i="7" s="1"/>
  <c r="G5885" i="7" s="1"/>
  <c r="G5912" i="7" s="1"/>
  <c r="G5939" i="7" s="1"/>
  <c r="G5966" i="7" s="1"/>
  <c r="G5993" i="7" s="1"/>
  <c r="G6020" i="7" s="1"/>
  <c r="G6047" i="7" s="1"/>
  <c r="G5759" i="7"/>
  <c r="G4237" i="7"/>
  <c r="G4309" i="7"/>
  <c r="G4399" i="7" s="1"/>
  <c r="G4308" i="7"/>
  <c r="G4398" i="7" s="1"/>
  <c r="G4236" i="7"/>
  <c r="D1861" i="10"/>
  <c r="D1960" i="10" s="1"/>
  <c r="D1951" i="10"/>
  <c r="D1969" i="10"/>
  <c r="G4305" i="7"/>
  <c r="G4395" i="7" s="1"/>
  <c r="G4233" i="7"/>
  <c r="D1966" i="10"/>
  <c r="D1948" i="10"/>
  <c r="D1858" i="10"/>
  <c r="D1957" i="10" s="1"/>
  <c r="G3540" i="7"/>
  <c r="G3549" i="7"/>
  <c r="D1425" i="10"/>
  <c r="D1443" i="10"/>
  <c r="D1056" i="10"/>
  <c r="G4240" i="7"/>
  <c r="G4312" i="7"/>
  <c r="G4402" i="7" s="1"/>
  <c r="D1544" i="10"/>
  <c r="D1436" i="10"/>
  <c r="D1418" i="10"/>
  <c r="D1175" i="10"/>
  <c r="D1049" i="10"/>
  <c r="D1442" i="10"/>
  <c r="D1424" i="10"/>
  <c r="D1055" i="10"/>
  <c r="G4313" i="7"/>
  <c r="G4241" i="7"/>
  <c r="G4311" i="7"/>
  <c r="G4401" i="7" s="1"/>
  <c r="G4239" i="7"/>
  <c r="D1545" i="10"/>
  <c r="D1437" i="10"/>
  <c r="D1176" i="10"/>
  <c r="D1050" i="10"/>
  <c r="D1419" i="10"/>
  <c r="D1543" i="10"/>
  <c r="D1435" i="10"/>
  <c r="D1174" i="10"/>
  <c r="D1417" i="10"/>
  <c r="D1048" i="10"/>
  <c r="G3258" i="7"/>
  <c r="G3294" i="7"/>
  <c r="G3339" i="7" s="1"/>
  <c r="G3384" i="7" s="1"/>
  <c r="G3429" i="7" s="1"/>
  <c r="G3474" i="7" s="1"/>
  <c r="G3519" i="7" s="1"/>
  <c r="G4306" i="7"/>
  <c r="G4396" i="7" s="1"/>
  <c r="G4234" i="7"/>
  <c r="G3553" i="7"/>
  <c r="G3544" i="7"/>
  <c r="G6070" i="7" l="1"/>
  <c r="G6142" i="7" s="1"/>
  <c r="G6187" i="7" s="1"/>
  <c r="G6250" i="7" s="1"/>
  <c r="G6313" i="7" s="1"/>
  <c r="G6376" i="7" s="1"/>
  <c r="G6439" i="7" s="1"/>
  <c r="G6502" i="7" s="1"/>
  <c r="G6565" i="7" s="1"/>
  <c r="G6628" i="7" s="1"/>
  <c r="G6691" i="7" s="1"/>
  <c r="G6754" i="7" s="1"/>
  <c r="G6817" i="7" s="1"/>
  <c r="G6880" i="7" s="1"/>
  <c r="G6943" i="7" s="1"/>
  <c r="G7006" i="7" s="1"/>
  <c r="G7069" i="7" s="1"/>
  <c r="G7132" i="7" s="1"/>
  <c r="G6115" i="7"/>
  <c r="G6160" i="7" s="1"/>
  <c r="G5788" i="7"/>
  <c r="G5815" i="7" s="1"/>
  <c r="G5842" i="7" s="1"/>
  <c r="G5869" i="7" s="1"/>
  <c r="G5896" i="7" s="1"/>
  <c r="G5923" i="7" s="1"/>
  <c r="G5950" i="7" s="1"/>
  <c r="G5977" i="7" s="1"/>
  <c r="G6004" i="7" s="1"/>
  <c r="G6031" i="7" s="1"/>
  <c r="G6058" i="7" s="1"/>
  <c r="G5770" i="7"/>
  <c r="G5797" i="7" s="1"/>
  <c r="G5824" i="7" s="1"/>
  <c r="G5851" i="7" s="1"/>
  <c r="G5878" i="7" s="1"/>
  <c r="G5905" i="7" s="1"/>
  <c r="G6118" i="7"/>
  <c r="G6163" i="7" s="1"/>
  <c r="G6073" i="7"/>
  <c r="G6145" i="7" s="1"/>
  <c r="G6190" i="7" s="1"/>
  <c r="G6253" i="7" s="1"/>
  <c r="G6316" i="7" s="1"/>
  <c r="G6379" i="7" s="1"/>
  <c r="G6442" i="7" s="1"/>
  <c r="G6505" i="7" s="1"/>
  <c r="G6568" i="7" s="1"/>
  <c r="G6631" i="7" s="1"/>
  <c r="G6694" i="7" s="1"/>
  <c r="G6757" i="7" s="1"/>
  <c r="G6820" i="7" s="1"/>
  <c r="G6883" i="7" s="1"/>
  <c r="G6946" i="7" s="1"/>
  <c r="G7009" i="7" s="1"/>
  <c r="G7072" i="7" s="1"/>
  <c r="G7135" i="7" s="1"/>
  <c r="G4321" i="7"/>
  <c r="G4249" i="7"/>
  <c r="G4314" i="7"/>
  <c r="G4242" i="7"/>
  <c r="G4246" i="7"/>
  <c r="G4318" i="7"/>
  <c r="G5763" i="7"/>
  <c r="G5790" i="7" s="1"/>
  <c r="G5817" i="7" s="1"/>
  <c r="G5844" i="7" s="1"/>
  <c r="G5871" i="7" s="1"/>
  <c r="G5898" i="7" s="1"/>
  <c r="G5781" i="7"/>
  <c r="G5808" i="7" s="1"/>
  <c r="G5835" i="7" s="1"/>
  <c r="G5862" i="7" s="1"/>
  <c r="G5889" i="7" s="1"/>
  <c r="G5916" i="7" s="1"/>
  <c r="G5943" i="7" s="1"/>
  <c r="G5970" i="7" s="1"/>
  <c r="G5997" i="7" s="1"/>
  <c r="G6024" i="7" s="1"/>
  <c r="G6051" i="7" s="1"/>
  <c r="G5782" i="7"/>
  <c r="G5809" i="7" s="1"/>
  <c r="G5836" i="7" s="1"/>
  <c r="G5863" i="7" s="1"/>
  <c r="G5890" i="7" s="1"/>
  <c r="G5917" i="7" s="1"/>
  <c r="G5944" i="7" s="1"/>
  <c r="G5971" i="7" s="1"/>
  <c r="G5998" i="7" s="1"/>
  <c r="G6025" i="7" s="1"/>
  <c r="G6052" i="7" s="1"/>
  <c r="G5764" i="7"/>
  <c r="G5791" i="7" s="1"/>
  <c r="G5818" i="7" s="1"/>
  <c r="G5845" i="7" s="1"/>
  <c r="G5872" i="7" s="1"/>
  <c r="G5899" i="7" s="1"/>
  <c r="G4247" i="7"/>
  <c r="G4319" i="7"/>
  <c r="G5786" i="7"/>
  <c r="G5813" i="7" s="1"/>
  <c r="G5840" i="7" s="1"/>
  <c r="G5867" i="7" s="1"/>
  <c r="G5894" i="7" s="1"/>
  <c r="G5921" i="7" s="1"/>
  <c r="G5948" i="7" s="1"/>
  <c r="G5975" i="7" s="1"/>
  <c r="G6002" i="7" s="1"/>
  <c r="G6029" i="7" s="1"/>
  <c r="G6056" i="7" s="1"/>
  <c r="G5768" i="7"/>
  <c r="G5795" i="7" s="1"/>
  <c r="G5822" i="7" s="1"/>
  <c r="G5849" i="7" s="1"/>
  <c r="G5876" i="7" s="1"/>
  <c r="G5903" i="7" s="1"/>
  <c r="G6072" i="7"/>
  <c r="G6144" i="7" s="1"/>
  <c r="G6189" i="7" s="1"/>
  <c r="G6252" i="7" s="1"/>
  <c r="G6315" i="7" s="1"/>
  <c r="G6378" i="7" s="1"/>
  <c r="G6441" i="7" s="1"/>
  <c r="G6504" i="7" s="1"/>
  <c r="G6567" i="7" s="1"/>
  <c r="G6630" i="7" s="1"/>
  <c r="G6693" i="7" s="1"/>
  <c r="G6756" i="7" s="1"/>
  <c r="G6819" i="7" s="1"/>
  <c r="G6882" i="7" s="1"/>
  <c r="G6945" i="7" s="1"/>
  <c r="G7008" i="7" s="1"/>
  <c r="G7071" i="7" s="1"/>
  <c r="G7134" i="7" s="1"/>
  <c r="G6117" i="7"/>
  <c r="G6162" i="7" s="1"/>
  <c r="G6114" i="7"/>
  <c r="G6159" i="7" s="1"/>
  <c r="G6069" i="7"/>
  <c r="G6141" i="7" s="1"/>
  <c r="G6186" i="7" s="1"/>
  <c r="G6249" i="7" s="1"/>
  <c r="G6312" i="7" s="1"/>
  <c r="G6375" i="7" s="1"/>
  <c r="G6438" i="7" s="1"/>
  <c r="G6501" i="7" s="1"/>
  <c r="G6564" i="7" s="1"/>
  <c r="G6627" i="7" s="1"/>
  <c r="G6690" i="7" s="1"/>
  <c r="G6753" i="7" s="1"/>
  <c r="G6816" i="7" s="1"/>
  <c r="G6879" i="7" s="1"/>
  <c r="G6942" i="7" s="1"/>
  <c r="G7005" i="7" s="1"/>
  <c r="G7068" i="7" s="1"/>
  <c r="G7131" i="7" s="1"/>
  <c r="G6074" i="7"/>
  <c r="G6146" i="7" s="1"/>
  <c r="G6191" i="7" s="1"/>
  <c r="G6254" i="7" s="1"/>
  <c r="G6317" i="7" s="1"/>
  <c r="G6380" i="7" s="1"/>
  <c r="G6443" i="7" s="1"/>
  <c r="G6506" i="7" s="1"/>
  <c r="G6569" i="7" s="1"/>
  <c r="G6632" i="7" s="1"/>
  <c r="G6695" i="7" s="1"/>
  <c r="G6758" i="7" s="1"/>
  <c r="G6821" i="7" s="1"/>
  <c r="G6884" i="7" s="1"/>
  <c r="G6947" i="7" s="1"/>
  <c r="G7010" i="7" s="1"/>
  <c r="G7073" i="7" s="1"/>
  <c r="G7136" i="7" s="1"/>
  <c r="G6119" i="7"/>
  <c r="G6164" i="7" s="1"/>
  <c r="G5784" i="7"/>
  <c r="G5811" i="7" s="1"/>
  <c r="G5838" i="7" s="1"/>
  <c r="G5865" i="7" s="1"/>
  <c r="G5892" i="7" s="1"/>
  <c r="G5919" i="7" s="1"/>
  <c r="G5946" i="7" s="1"/>
  <c r="G5973" i="7" s="1"/>
  <c r="G6000" i="7" s="1"/>
  <c r="G6027" i="7" s="1"/>
  <c r="G6054" i="7" s="1"/>
  <c r="G5766" i="7"/>
  <c r="G5793" i="7" s="1"/>
  <c r="G5820" i="7" s="1"/>
  <c r="G5847" i="7" s="1"/>
  <c r="G5874" i="7" s="1"/>
  <c r="G5901" i="7" s="1"/>
  <c r="G7193" i="7"/>
  <c r="G5924" i="7"/>
  <c r="G5951" i="7" s="1"/>
  <c r="G5978" i="7" s="1"/>
  <c r="G6005" i="7" s="1"/>
  <c r="G6032" i="7" s="1"/>
  <c r="G6122" i="7"/>
  <c r="G6167" i="7" s="1"/>
  <c r="G6095" i="7"/>
  <c r="G6077" i="7"/>
  <c r="G4322" i="7"/>
  <c r="G4250" i="7"/>
  <c r="G5765" i="7"/>
  <c r="G5792" i="7" s="1"/>
  <c r="G5819" i="7" s="1"/>
  <c r="G5846" i="7" s="1"/>
  <c r="G5873" i="7" s="1"/>
  <c r="G5900" i="7" s="1"/>
  <c r="G5783" i="7"/>
  <c r="G5810" i="7" s="1"/>
  <c r="G5837" i="7" s="1"/>
  <c r="G5864" i="7" s="1"/>
  <c r="G5891" i="7" s="1"/>
  <c r="G5918" i="7" s="1"/>
  <c r="G5945" i="7" s="1"/>
  <c r="G5972" i="7" s="1"/>
  <c r="G5999" i="7" s="1"/>
  <c r="G6026" i="7" s="1"/>
  <c r="G6053" i="7" s="1"/>
  <c r="G5769" i="7"/>
  <c r="G5796" i="7" s="1"/>
  <c r="G5823" i="7" s="1"/>
  <c r="G5850" i="7" s="1"/>
  <c r="G5877" i="7" s="1"/>
  <c r="G5904" i="7" s="1"/>
  <c r="G5787" i="7"/>
  <c r="G5814" i="7" s="1"/>
  <c r="G5841" i="7" s="1"/>
  <c r="G5868" i="7" s="1"/>
  <c r="G5895" i="7" s="1"/>
  <c r="G5922" i="7" s="1"/>
  <c r="G5949" i="7" s="1"/>
  <c r="G5976" i="7" s="1"/>
  <c r="G6003" i="7" s="1"/>
  <c r="G6030" i="7" s="1"/>
  <c r="G6057" i="7" s="1"/>
  <c r="G4320" i="7"/>
  <c r="G4248" i="7"/>
  <c r="G4317" i="7"/>
  <c r="G4245" i="7"/>
  <c r="G6203" i="7"/>
  <c r="G6266" i="7" s="1"/>
  <c r="G6329" i="7" s="1"/>
  <c r="G6392" i="7" s="1"/>
  <c r="G6455" i="7" s="1"/>
  <c r="G6518" i="7" s="1"/>
  <c r="G6581" i="7" s="1"/>
  <c r="G6644" i="7" s="1"/>
  <c r="G6707" i="7" s="1"/>
  <c r="G6770" i="7" s="1"/>
  <c r="G6833" i="7" s="1"/>
  <c r="G6896" i="7" s="1"/>
  <c r="G6959" i="7" s="1"/>
  <c r="G7022" i="7" s="1"/>
  <c r="G7085" i="7" s="1"/>
  <c r="G7148" i="7" s="1"/>
  <c r="G6221" i="7"/>
  <c r="G6284" i="7" s="1"/>
  <c r="G6347" i="7" s="1"/>
  <c r="G6410" i="7" s="1"/>
  <c r="G6473" i="7" s="1"/>
  <c r="G6536" i="7" s="1"/>
  <c r="G6599" i="7" s="1"/>
  <c r="G6662" i="7" s="1"/>
  <c r="G6725" i="7" s="1"/>
  <c r="G6788" i="7" s="1"/>
  <c r="G6851" i="7" s="1"/>
  <c r="G6914" i="7" s="1"/>
  <c r="G6977" i="7" s="1"/>
  <c r="G7040" i="7" s="1"/>
  <c r="G7103" i="7" s="1"/>
  <c r="G7166" i="7" s="1"/>
  <c r="G4244" i="7"/>
  <c r="G4316" i="7"/>
  <c r="G6116" i="7"/>
  <c r="G6161" i="7" s="1"/>
  <c r="G6071" i="7"/>
  <c r="G6143" i="7" s="1"/>
  <c r="G6188" i="7" s="1"/>
  <c r="G6251" i="7" s="1"/>
  <c r="G6314" i="7" s="1"/>
  <c r="G6377" i="7" s="1"/>
  <c r="G6440" i="7" s="1"/>
  <c r="G6503" i="7" s="1"/>
  <c r="G6566" i="7" s="1"/>
  <c r="G6629" i="7" s="1"/>
  <c r="G6692" i="7" s="1"/>
  <c r="G6755" i="7" s="1"/>
  <c r="G6818" i="7" s="1"/>
  <c r="G6881" i="7" s="1"/>
  <c r="G6944" i="7" s="1"/>
  <c r="G7007" i="7" s="1"/>
  <c r="G7070" i="7" s="1"/>
  <c r="G7133" i="7" s="1"/>
  <c r="G6120" i="7"/>
  <c r="G6165" i="7" s="1"/>
  <c r="G6075" i="7"/>
  <c r="G6147" i="7" s="1"/>
  <c r="G6192" i="7" s="1"/>
  <c r="G6255" i="7" s="1"/>
  <c r="G6318" i="7" s="1"/>
  <c r="G6381" i="7" s="1"/>
  <c r="G6444" i="7" s="1"/>
  <c r="G6507" i="7" s="1"/>
  <c r="G6570" i="7" s="1"/>
  <c r="G6633" i="7" s="1"/>
  <c r="G6696" i="7" s="1"/>
  <c r="G6759" i="7" s="1"/>
  <c r="G6822" i="7" s="1"/>
  <c r="G6885" i="7" s="1"/>
  <c r="G6948" i="7" s="1"/>
  <c r="G7011" i="7" s="1"/>
  <c r="G7074" i="7" s="1"/>
  <c r="G7137" i="7" s="1"/>
  <c r="G4315" i="7"/>
  <c r="G4243" i="7"/>
  <c r="G6076" i="7"/>
  <c r="G6148" i="7" s="1"/>
  <c r="G6193" i="7" s="1"/>
  <c r="G6256" i="7" s="1"/>
  <c r="G6319" i="7" s="1"/>
  <c r="G6382" i="7" s="1"/>
  <c r="G6445" i="7" s="1"/>
  <c r="G6508" i="7" s="1"/>
  <c r="G6571" i="7" s="1"/>
  <c r="G6634" i="7" s="1"/>
  <c r="G6697" i="7" s="1"/>
  <c r="G6760" i="7" s="1"/>
  <c r="G6823" i="7" s="1"/>
  <c r="G6886" i="7" s="1"/>
  <c r="G6949" i="7" s="1"/>
  <c r="G7012" i="7" s="1"/>
  <c r="G7075" i="7" s="1"/>
  <c r="G7138" i="7" s="1"/>
  <c r="G6121" i="7"/>
  <c r="G6166" i="7" s="1"/>
  <c r="G5767" i="7"/>
  <c r="G5794" i="7" s="1"/>
  <c r="G5821" i="7" s="1"/>
  <c r="G5848" i="7" s="1"/>
  <c r="G5875" i="7" s="1"/>
  <c r="G5902" i="7" s="1"/>
  <c r="G5785" i="7"/>
  <c r="G5812" i="7" s="1"/>
  <c r="G5839" i="7" s="1"/>
  <c r="G5866" i="7" s="1"/>
  <c r="G5893" i="7" s="1"/>
  <c r="G5920" i="7" s="1"/>
  <c r="G5947" i="7" s="1"/>
  <c r="G5974" i="7" s="1"/>
  <c r="G6001" i="7" s="1"/>
  <c r="G6028" i="7" s="1"/>
  <c r="G6055" i="7" s="1"/>
  <c r="G7198" i="7" l="1"/>
  <c r="G5929" i="7"/>
  <c r="G5956" i="7" s="1"/>
  <c r="G5983" i="7" s="1"/>
  <c r="G6010" i="7" s="1"/>
  <c r="G6037" i="7" s="1"/>
  <c r="G6124" i="7"/>
  <c r="G6169" i="7" s="1"/>
  <c r="G6079" i="7"/>
  <c r="G6097" i="7"/>
  <c r="G4330" i="7"/>
  <c r="G4258" i="7"/>
  <c r="G6222" i="7"/>
  <c r="G6285" i="7" s="1"/>
  <c r="G6348" i="7" s="1"/>
  <c r="G6411" i="7" s="1"/>
  <c r="G6474" i="7" s="1"/>
  <c r="G6537" i="7" s="1"/>
  <c r="G6600" i="7" s="1"/>
  <c r="G6663" i="7" s="1"/>
  <c r="G6726" i="7" s="1"/>
  <c r="G6789" i="7" s="1"/>
  <c r="G6852" i="7" s="1"/>
  <c r="G6915" i="7" s="1"/>
  <c r="G6978" i="7" s="1"/>
  <c r="G7041" i="7" s="1"/>
  <c r="G7104" i="7" s="1"/>
  <c r="G7167" i="7" s="1"/>
  <c r="G6204" i="7"/>
  <c r="G6267" i="7" s="1"/>
  <c r="G6330" i="7" s="1"/>
  <c r="G6393" i="7" s="1"/>
  <c r="G6456" i="7" s="1"/>
  <c r="G6519" i="7" s="1"/>
  <c r="G6582" i="7" s="1"/>
  <c r="G6645" i="7" s="1"/>
  <c r="G6708" i="7" s="1"/>
  <c r="G6771" i="7" s="1"/>
  <c r="G6834" i="7" s="1"/>
  <c r="G6897" i="7" s="1"/>
  <c r="G6960" i="7" s="1"/>
  <c r="G7023" i="7" s="1"/>
  <c r="G7086" i="7" s="1"/>
  <c r="G7149" i="7" s="1"/>
  <c r="G7194" i="7"/>
  <c r="G5925" i="7"/>
  <c r="G5952" i="7" s="1"/>
  <c r="G5979" i="7" s="1"/>
  <c r="G6006" i="7" s="1"/>
  <c r="G6033" i="7" s="1"/>
  <c r="G6226" i="7"/>
  <c r="G6289" i="7" s="1"/>
  <c r="G6352" i="7" s="1"/>
  <c r="G6415" i="7" s="1"/>
  <c r="G6478" i="7" s="1"/>
  <c r="G6541" i="7" s="1"/>
  <c r="G6604" i="7" s="1"/>
  <c r="G6667" i="7" s="1"/>
  <c r="G6730" i="7" s="1"/>
  <c r="G6793" i="7" s="1"/>
  <c r="G6856" i="7" s="1"/>
  <c r="G6919" i="7" s="1"/>
  <c r="G6982" i="7" s="1"/>
  <c r="G7045" i="7" s="1"/>
  <c r="G7108" i="7" s="1"/>
  <c r="G7171" i="7" s="1"/>
  <c r="G6208" i="7"/>
  <c r="G6271" i="7" s="1"/>
  <c r="G6334" i="7" s="1"/>
  <c r="G6397" i="7" s="1"/>
  <c r="G6460" i="7" s="1"/>
  <c r="G6523" i="7" s="1"/>
  <c r="G6586" i="7" s="1"/>
  <c r="G6649" i="7" s="1"/>
  <c r="G6712" i="7" s="1"/>
  <c r="G6775" i="7" s="1"/>
  <c r="G6838" i="7" s="1"/>
  <c r="G6901" i="7" s="1"/>
  <c r="G6964" i="7" s="1"/>
  <c r="G7027" i="7" s="1"/>
  <c r="G7090" i="7" s="1"/>
  <c r="G7153" i="7" s="1"/>
  <c r="G7195" i="7"/>
  <c r="G5926" i="7"/>
  <c r="G5953" i="7" s="1"/>
  <c r="G5980" i="7" s="1"/>
  <c r="G6007" i="7" s="1"/>
  <c r="G6034" i="7" s="1"/>
  <c r="G6211" i="7"/>
  <c r="G6274" i="7" s="1"/>
  <c r="G6337" i="7" s="1"/>
  <c r="G6400" i="7" s="1"/>
  <c r="G6463" i="7" s="1"/>
  <c r="G6526" i="7" s="1"/>
  <c r="G6589" i="7" s="1"/>
  <c r="G6652" i="7" s="1"/>
  <c r="G6715" i="7" s="1"/>
  <c r="G6778" i="7" s="1"/>
  <c r="G6841" i="7" s="1"/>
  <c r="G6904" i="7" s="1"/>
  <c r="G6967" i="7" s="1"/>
  <c r="G7030" i="7" s="1"/>
  <c r="G7093" i="7" s="1"/>
  <c r="G7156" i="7" s="1"/>
  <c r="G6229" i="7"/>
  <c r="G6292" i="7" s="1"/>
  <c r="G6355" i="7" s="1"/>
  <c r="G6418" i="7" s="1"/>
  <c r="G6481" i="7" s="1"/>
  <c r="G6544" i="7" s="1"/>
  <c r="G6607" i="7" s="1"/>
  <c r="G6670" i="7" s="1"/>
  <c r="G6733" i="7" s="1"/>
  <c r="G6796" i="7" s="1"/>
  <c r="G6859" i="7" s="1"/>
  <c r="G6922" i="7" s="1"/>
  <c r="G6985" i="7" s="1"/>
  <c r="G7048" i="7" s="1"/>
  <c r="G7111" i="7" s="1"/>
  <c r="G7174" i="7" s="1"/>
  <c r="G6230" i="7"/>
  <c r="G6293" i="7" s="1"/>
  <c r="G6356" i="7" s="1"/>
  <c r="G6419" i="7" s="1"/>
  <c r="G6482" i="7" s="1"/>
  <c r="G6545" i="7" s="1"/>
  <c r="G6608" i="7" s="1"/>
  <c r="G6671" i="7" s="1"/>
  <c r="G6734" i="7" s="1"/>
  <c r="G6797" i="7" s="1"/>
  <c r="G6860" i="7" s="1"/>
  <c r="G6923" i="7" s="1"/>
  <c r="G6986" i="7" s="1"/>
  <c r="G7049" i="7" s="1"/>
  <c r="G7112" i="7" s="1"/>
  <c r="G7175" i="7" s="1"/>
  <c r="G6212" i="7"/>
  <c r="G6275" i="7" s="1"/>
  <c r="G6338" i="7" s="1"/>
  <c r="G6401" i="7" s="1"/>
  <c r="G6464" i="7" s="1"/>
  <c r="G6527" i="7" s="1"/>
  <c r="G6590" i="7" s="1"/>
  <c r="G6653" i="7" s="1"/>
  <c r="G6716" i="7" s="1"/>
  <c r="G6779" i="7" s="1"/>
  <c r="G6842" i="7" s="1"/>
  <c r="G6905" i="7" s="1"/>
  <c r="G6968" i="7" s="1"/>
  <c r="G7031" i="7" s="1"/>
  <c r="G7094" i="7" s="1"/>
  <c r="G7157" i="7" s="1"/>
  <c r="G7201" i="7"/>
  <c r="G5932" i="7"/>
  <c r="G5959" i="7" s="1"/>
  <c r="G5986" i="7" s="1"/>
  <c r="G6013" i="7" s="1"/>
  <c r="G6040" i="7" s="1"/>
  <c r="G6224" i="7"/>
  <c r="G6287" i="7" s="1"/>
  <c r="G6350" i="7" s="1"/>
  <c r="G6413" i="7" s="1"/>
  <c r="G6476" i="7" s="1"/>
  <c r="G6539" i="7" s="1"/>
  <c r="G6602" i="7" s="1"/>
  <c r="G6665" i="7" s="1"/>
  <c r="G6728" i="7" s="1"/>
  <c r="G6791" i="7" s="1"/>
  <c r="G6854" i="7" s="1"/>
  <c r="G6917" i="7" s="1"/>
  <c r="G6980" i="7" s="1"/>
  <c r="G7043" i="7" s="1"/>
  <c r="G7106" i="7" s="1"/>
  <c r="G7169" i="7" s="1"/>
  <c r="G6206" i="7"/>
  <c r="G6269" i="7" s="1"/>
  <c r="G6332" i="7" s="1"/>
  <c r="G6395" i="7" s="1"/>
  <c r="G6458" i="7" s="1"/>
  <c r="G6521" i="7" s="1"/>
  <c r="G6584" i="7" s="1"/>
  <c r="G6647" i="7" s="1"/>
  <c r="G6710" i="7" s="1"/>
  <c r="G6773" i="7" s="1"/>
  <c r="G6836" i="7" s="1"/>
  <c r="G6899" i="7" s="1"/>
  <c r="G6962" i="7" s="1"/>
  <c r="G7025" i="7" s="1"/>
  <c r="G7088" i="7" s="1"/>
  <c r="G7151" i="7" s="1"/>
  <c r="G4253" i="7"/>
  <c r="G4325" i="7"/>
  <c r="G6104" i="7"/>
  <c r="G6149" i="7" s="1"/>
  <c r="G6194" i="7" s="1"/>
  <c r="G6257" i="7" s="1"/>
  <c r="G6320" i="7" s="1"/>
  <c r="G6383" i="7" s="1"/>
  <c r="G6446" i="7" s="1"/>
  <c r="G6509" i="7" s="1"/>
  <c r="G6572" i="7" s="1"/>
  <c r="G6635" i="7" s="1"/>
  <c r="G6698" i="7" s="1"/>
  <c r="G6761" i="7" s="1"/>
  <c r="G6824" i="7" s="1"/>
  <c r="G6887" i="7" s="1"/>
  <c r="G6950" i="7" s="1"/>
  <c r="G7013" i="7" s="1"/>
  <c r="G7076" i="7" s="1"/>
  <c r="G7139" i="7" s="1"/>
  <c r="G6059" i="7"/>
  <c r="G6096" i="7"/>
  <c r="G6078" i="7"/>
  <c r="G6123" i="7"/>
  <c r="G6168" i="7" s="1"/>
  <c r="G4324" i="7"/>
  <c r="G4252" i="7"/>
  <c r="G6098" i="7"/>
  <c r="G6080" i="7"/>
  <c r="G6125" i="7"/>
  <c r="G6170" i="7" s="1"/>
  <c r="G7196" i="7"/>
  <c r="G5927" i="7"/>
  <c r="G5954" i="7" s="1"/>
  <c r="G5981" i="7" s="1"/>
  <c r="G6008" i="7" s="1"/>
  <c r="G6035" i="7" s="1"/>
  <c r="G4326" i="7"/>
  <c r="G4254" i="7"/>
  <c r="G4331" i="7"/>
  <c r="G4259" i="7"/>
  <c r="G6126" i="7"/>
  <c r="G6171" i="7" s="1"/>
  <c r="G6081" i="7"/>
  <c r="G6099" i="7"/>
  <c r="G6128" i="7"/>
  <c r="G6173" i="7" s="1"/>
  <c r="G6083" i="7"/>
  <c r="G6101" i="7"/>
  <c r="G4327" i="7"/>
  <c r="G4255" i="7"/>
  <c r="G6130" i="7"/>
  <c r="G6175" i="7" s="1"/>
  <c r="G6085" i="7"/>
  <c r="G6103" i="7"/>
  <c r="G6102" i="7"/>
  <c r="G6084" i="7"/>
  <c r="G6129" i="7"/>
  <c r="G6174" i="7" s="1"/>
  <c r="G7200" i="7"/>
  <c r="G5931" i="7"/>
  <c r="G5958" i="7" s="1"/>
  <c r="G5985" i="7" s="1"/>
  <c r="G6012" i="7" s="1"/>
  <c r="G6039" i="7" s="1"/>
  <c r="G6207" i="7"/>
  <c r="G6270" i="7" s="1"/>
  <c r="G6333" i="7" s="1"/>
  <c r="G6396" i="7" s="1"/>
  <c r="G6459" i="7" s="1"/>
  <c r="G6522" i="7" s="1"/>
  <c r="G6585" i="7" s="1"/>
  <c r="G6648" i="7" s="1"/>
  <c r="G6711" i="7" s="1"/>
  <c r="G6774" i="7" s="1"/>
  <c r="G6837" i="7" s="1"/>
  <c r="G6900" i="7" s="1"/>
  <c r="G6963" i="7" s="1"/>
  <c r="G7026" i="7" s="1"/>
  <c r="G7089" i="7" s="1"/>
  <c r="G7152" i="7" s="1"/>
  <c r="G6225" i="7"/>
  <c r="G6288" i="7" s="1"/>
  <c r="G6351" i="7" s="1"/>
  <c r="G6414" i="7" s="1"/>
  <c r="G6477" i="7" s="1"/>
  <c r="G6540" i="7" s="1"/>
  <c r="G6603" i="7" s="1"/>
  <c r="G6666" i="7" s="1"/>
  <c r="G6729" i="7" s="1"/>
  <c r="G6792" i="7" s="1"/>
  <c r="G6855" i="7" s="1"/>
  <c r="G6918" i="7" s="1"/>
  <c r="G6981" i="7" s="1"/>
  <c r="G7044" i="7" s="1"/>
  <c r="G7107" i="7" s="1"/>
  <c r="G7170" i="7" s="1"/>
  <c r="G7197" i="7"/>
  <c r="G5928" i="7"/>
  <c r="G5955" i="7" s="1"/>
  <c r="G5982" i="7" s="1"/>
  <c r="G6009" i="7" s="1"/>
  <c r="G6036" i="7" s="1"/>
  <c r="G7199" i="7"/>
  <c r="G5930" i="7"/>
  <c r="G5957" i="7" s="1"/>
  <c r="G5984" i="7" s="1"/>
  <c r="G6011" i="7" s="1"/>
  <c r="G6038" i="7" s="1"/>
  <c r="G6228" i="7"/>
  <c r="G6291" i="7" s="1"/>
  <c r="G6354" i="7" s="1"/>
  <c r="G6417" i="7" s="1"/>
  <c r="G6480" i="7" s="1"/>
  <c r="G6543" i="7" s="1"/>
  <c r="G6606" i="7" s="1"/>
  <c r="G6669" i="7" s="1"/>
  <c r="G6732" i="7" s="1"/>
  <c r="G6795" i="7" s="1"/>
  <c r="G6858" i="7" s="1"/>
  <c r="G6921" i="7" s="1"/>
  <c r="G6984" i="7" s="1"/>
  <c r="G7047" i="7" s="1"/>
  <c r="G7110" i="7" s="1"/>
  <c r="G7173" i="7" s="1"/>
  <c r="G6210" i="7"/>
  <c r="G6273" i="7" s="1"/>
  <c r="G6336" i="7" s="1"/>
  <c r="G6399" i="7" s="1"/>
  <c r="G6462" i="7" s="1"/>
  <c r="G6525" i="7" s="1"/>
  <c r="G6588" i="7" s="1"/>
  <c r="G6651" i="7" s="1"/>
  <c r="G6714" i="7" s="1"/>
  <c r="G6777" i="7" s="1"/>
  <c r="G6840" i="7" s="1"/>
  <c r="G6903" i="7" s="1"/>
  <c r="G6966" i="7" s="1"/>
  <c r="G7029" i="7" s="1"/>
  <c r="G7092" i="7" s="1"/>
  <c r="G7155" i="7" s="1"/>
  <c r="G6209" i="7"/>
  <c r="G6272" i="7" s="1"/>
  <c r="G6335" i="7" s="1"/>
  <c r="G6398" i="7" s="1"/>
  <c r="G6461" i="7" s="1"/>
  <c r="G6524" i="7" s="1"/>
  <c r="G6587" i="7" s="1"/>
  <c r="G6650" i="7" s="1"/>
  <c r="G6713" i="7" s="1"/>
  <c r="G6776" i="7" s="1"/>
  <c r="G6839" i="7" s="1"/>
  <c r="G6902" i="7" s="1"/>
  <c r="G6965" i="7" s="1"/>
  <c r="G7028" i="7" s="1"/>
  <c r="G7091" i="7" s="1"/>
  <c r="G7154" i="7" s="1"/>
  <c r="G6227" i="7"/>
  <c r="G6290" i="7" s="1"/>
  <c r="G6353" i="7" s="1"/>
  <c r="G6416" i="7" s="1"/>
  <c r="G6479" i="7" s="1"/>
  <c r="G6542" i="7" s="1"/>
  <c r="G6605" i="7" s="1"/>
  <c r="G6668" i="7" s="1"/>
  <c r="G6731" i="7" s="1"/>
  <c r="G6794" i="7" s="1"/>
  <c r="G6857" i="7" s="1"/>
  <c r="G6920" i="7" s="1"/>
  <c r="G6983" i="7" s="1"/>
  <c r="G7046" i="7" s="1"/>
  <c r="G7109" i="7" s="1"/>
  <c r="G7172" i="7" s="1"/>
  <c r="G4323" i="7"/>
  <c r="G4251" i="7"/>
  <c r="G6205" i="7"/>
  <c r="G6268" i="7" s="1"/>
  <c r="G6331" i="7" s="1"/>
  <c r="G6394" i="7" s="1"/>
  <c r="G6457" i="7" s="1"/>
  <c r="G6520" i="7" s="1"/>
  <c r="G6583" i="7" s="1"/>
  <c r="G6646" i="7" s="1"/>
  <c r="G6709" i="7" s="1"/>
  <c r="G6772" i="7" s="1"/>
  <c r="G6835" i="7" s="1"/>
  <c r="G6898" i="7" s="1"/>
  <c r="G6961" i="7" s="1"/>
  <c r="G7024" i="7" s="1"/>
  <c r="G7087" i="7" s="1"/>
  <c r="G7150" i="7" s="1"/>
  <c r="G6223" i="7"/>
  <c r="G6286" i="7" s="1"/>
  <c r="G6349" i="7" s="1"/>
  <c r="G6412" i="7" s="1"/>
  <c r="G6475" i="7" s="1"/>
  <c r="G6538" i="7" s="1"/>
  <c r="G6601" i="7" s="1"/>
  <c r="G6664" i="7" s="1"/>
  <c r="G6727" i="7" s="1"/>
  <c r="G6790" i="7" s="1"/>
  <c r="G6853" i="7" s="1"/>
  <c r="G6916" i="7" s="1"/>
  <c r="G6979" i="7" s="1"/>
  <c r="G7042" i="7" s="1"/>
  <c r="G7105" i="7" s="1"/>
  <c r="G7168" i="7" s="1"/>
  <c r="G6100" i="7"/>
  <c r="G6082" i="7"/>
  <c r="G6127" i="7"/>
  <c r="G6172" i="7" s="1"/>
  <c r="G4257" i="7"/>
  <c r="G4329" i="7"/>
  <c r="G4256" i="7"/>
  <c r="G4328" i="7"/>
  <c r="G4333" i="7" l="1"/>
  <c r="G4261" i="7"/>
  <c r="G4262" i="7"/>
  <c r="G4334" i="7"/>
  <c r="G6106" i="7"/>
  <c r="G6151" i="7" s="1"/>
  <c r="G6196" i="7" s="1"/>
  <c r="G6259" i="7" s="1"/>
  <c r="G6322" i="7" s="1"/>
  <c r="G6385" i="7" s="1"/>
  <c r="G6448" i="7" s="1"/>
  <c r="G6511" i="7" s="1"/>
  <c r="G6574" i="7" s="1"/>
  <c r="G6637" i="7" s="1"/>
  <c r="G6700" i="7" s="1"/>
  <c r="G6763" i="7" s="1"/>
  <c r="G6826" i="7" s="1"/>
  <c r="G6889" i="7" s="1"/>
  <c r="G6952" i="7" s="1"/>
  <c r="G7015" i="7" s="1"/>
  <c r="G7078" i="7" s="1"/>
  <c r="G7141" i="7" s="1"/>
  <c r="G6061" i="7"/>
  <c r="G4339" i="7"/>
  <c r="G4267" i="7"/>
  <c r="G6110" i="7"/>
  <c r="G6155" i="7" s="1"/>
  <c r="G6200" i="7" s="1"/>
  <c r="G6263" i="7" s="1"/>
  <c r="G6326" i="7" s="1"/>
  <c r="G6389" i="7" s="1"/>
  <c r="G6452" i="7" s="1"/>
  <c r="G6515" i="7" s="1"/>
  <c r="G6578" i="7" s="1"/>
  <c r="G6641" i="7" s="1"/>
  <c r="G6704" i="7" s="1"/>
  <c r="G6767" i="7" s="1"/>
  <c r="G6830" i="7" s="1"/>
  <c r="G6893" i="7" s="1"/>
  <c r="G6956" i="7" s="1"/>
  <c r="G7019" i="7" s="1"/>
  <c r="G7082" i="7" s="1"/>
  <c r="G7145" i="7" s="1"/>
  <c r="G6065" i="7"/>
  <c r="G6219" i="7"/>
  <c r="G6282" i="7" s="1"/>
  <c r="G6345" i="7" s="1"/>
  <c r="G6408" i="7" s="1"/>
  <c r="G6471" i="7" s="1"/>
  <c r="G6534" i="7" s="1"/>
  <c r="G6597" i="7" s="1"/>
  <c r="G6660" i="7" s="1"/>
  <c r="G6723" i="7" s="1"/>
  <c r="G6786" i="7" s="1"/>
  <c r="G6849" i="7" s="1"/>
  <c r="G6912" i="7" s="1"/>
  <c r="G6975" i="7" s="1"/>
  <c r="G7038" i="7" s="1"/>
  <c r="G7101" i="7" s="1"/>
  <c r="G7164" i="7" s="1"/>
  <c r="G6237" i="7"/>
  <c r="G6300" i="7" s="1"/>
  <c r="G6363" i="7" s="1"/>
  <c r="G6426" i="7" s="1"/>
  <c r="G6489" i="7" s="1"/>
  <c r="G6552" i="7" s="1"/>
  <c r="G6615" i="7" s="1"/>
  <c r="G6678" i="7" s="1"/>
  <c r="G6741" i="7" s="1"/>
  <c r="G6804" i="7" s="1"/>
  <c r="G6867" i="7" s="1"/>
  <c r="G6930" i="7" s="1"/>
  <c r="G6993" i="7" s="1"/>
  <c r="G7056" i="7" s="1"/>
  <c r="G7119" i="7" s="1"/>
  <c r="G7182" i="7" s="1"/>
  <c r="G4263" i="7"/>
  <c r="G4335" i="7"/>
  <c r="G6213" i="7"/>
  <c r="G6276" i="7" s="1"/>
  <c r="G6339" i="7" s="1"/>
  <c r="G6402" i="7" s="1"/>
  <c r="G6465" i="7" s="1"/>
  <c r="G6528" i="7" s="1"/>
  <c r="G6591" i="7" s="1"/>
  <c r="G6654" i="7" s="1"/>
  <c r="G6717" i="7" s="1"/>
  <c r="G6780" i="7" s="1"/>
  <c r="G6843" i="7" s="1"/>
  <c r="G6906" i="7" s="1"/>
  <c r="G6969" i="7" s="1"/>
  <c r="G7032" i="7" s="1"/>
  <c r="G7095" i="7" s="1"/>
  <c r="G7158" i="7" s="1"/>
  <c r="G6231" i="7"/>
  <c r="G6294" i="7" s="1"/>
  <c r="G6357" i="7" s="1"/>
  <c r="G6420" i="7" s="1"/>
  <c r="G6483" i="7" s="1"/>
  <c r="G6546" i="7" s="1"/>
  <c r="G6609" i="7" s="1"/>
  <c r="G6672" i="7" s="1"/>
  <c r="G6735" i="7" s="1"/>
  <c r="G6798" i="7" s="1"/>
  <c r="G6861" i="7" s="1"/>
  <c r="G6924" i="7" s="1"/>
  <c r="G6987" i="7" s="1"/>
  <c r="G7050" i="7" s="1"/>
  <c r="G7113" i="7" s="1"/>
  <c r="G7176" i="7" s="1"/>
  <c r="G4265" i="7"/>
  <c r="G4337" i="7"/>
  <c r="G6062" i="7"/>
  <c r="G6107" i="7"/>
  <c r="G6152" i="7" s="1"/>
  <c r="G6197" i="7" s="1"/>
  <c r="G6260" i="7" s="1"/>
  <c r="G6323" i="7" s="1"/>
  <c r="G6386" i="7" s="1"/>
  <c r="G6449" i="7" s="1"/>
  <c r="G6512" i="7" s="1"/>
  <c r="G6575" i="7" s="1"/>
  <c r="G6638" i="7" s="1"/>
  <c r="G6701" i="7" s="1"/>
  <c r="G6764" i="7" s="1"/>
  <c r="G6827" i="7" s="1"/>
  <c r="G6890" i="7" s="1"/>
  <c r="G6953" i="7" s="1"/>
  <c r="G7016" i="7" s="1"/>
  <c r="G7079" i="7" s="1"/>
  <c r="G7142" i="7" s="1"/>
  <c r="G4338" i="7"/>
  <c r="G4266" i="7"/>
  <c r="G6215" i="7"/>
  <c r="G6278" i="7" s="1"/>
  <c r="G6341" i="7" s="1"/>
  <c r="G6404" i="7" s="1"/>
  <c r="G6467" i="7" s="1"/>
  <c r="G6530" i="7" s="1"/>
  <c r="G6593" i="7" s="1"/>
  <c r="G6656" i="7" s="1"/>
  <c r="G6719" i="7" s="1"/>
  <c r="G6782" i="7" s="1"/>
  <c r="G6845" i="7" s="1"/>
  <c r="G6908" i="7" s="1"/>
  <c r="G6971" i="7" s="1"/>
  <c r="G7034" i="7" s="1"/>
  <c r="G7097" i="7" s="1"/>
  <c r="G7160" i="7" s="1"/>
  <c r="G6233" i="7"/>
  <c r="G6296" i="7" s="1"/>
  <c r="G6359" i="7" s="1"/>
  <c r="G6422" i="7" s="1"/>
  <c r="G6485" i="7" s="1"/>
  <c r="G6548" i="7" s="1"/>
  <c r="G6611" i="7" s="1"/>
  <c r="G6674" i="7" s="1"/>
  <c r="G6737" i="7" s="1"/>
  <c r="G6800" i="7" s="1"/>
  <c r="G6863" i="7" s="1"/>
  <c r="G6926" i="7" s="1"/>
  <c r="G6989" i="7" s="1"/>
  <c r="G7052" i="7" s="1"/>
  <c r="G7115" i="7" s="1"/>
  <c r="G7178" i="7" s="1"/>
  <c r="G6086" i="7"/>
  <c r="G6131" i="7"/>
  <c r="G6176" i="7" s="1"/>
  <c r="G6239" i="7" s="1"/>
  <c r="G6302" i="7" s="1"/>
  <c r="G6365" i="7" s="1"/>
  <c r="G6428" i="7" s="1"/>
  <c r="G6491" i="7" s="1"/>
  <c r="G6554" i="7" s="1"/>
  <c r="G6617" i="7" s="1"/>
  <c r="G6680" i="7" s="1"/>
  <c r="G6743" i="7" s="1"/>
  <c r="G6806" i="7" s="1"/>
  <c r="G6869" i="7" s="1"/>
  <c r="G6932" i="7" s="1"/>
  <c r="G6995" i="7" s="1"/>
  <c r="G7058" i="7" s="1"/>
  <c r="G7121" i="7" s="1"/>
  <c r="G7184" i="7" s="1"/>
  <c r="G6060" i="7"/>
  <c r="G6105" i="7"/>
  <c r="G6150" i="7" s="1"/>
  <c r="G6195" i="7" s="1"/>
  <c r="G6258" i="7" s="1"/>
  <c r="G6321" i="7" s="1"/>
  <c r="G6384" i="7" s="1"/>
  <c r="G6447" i="7" s="1"/>
  <c r="G6510" i="7" s="1"/>
  <c r="G6573" i="7" s="1"/>
  <c r="G6636" i="7" s="1"/>
  <c r="G6699" i="7" s="1"/>
  <c r="G6762" i="7" s="1"/>
  <c r="G6825" i="7" s="1"/>
  <c r="G6888" i="7" s="1"/>
  <c r="G6951" i="7" s="1"/>
  <c r="G7014" i="7" s="1"/>
  <c r="G7077" i="7" s="1"/>
  <c r="G7140" i="7" s="1"/>
  <c r="G6232" i="7"/>
  <c r="G6295" i="7" s="1"/>
  <c r="G6358" i="7" s="1"/>
  <c r="G6421" i="7" s="1"/>
  <c r="G6484" i="7" s="1"/>
  <c r="G6547" i="7" s="1"/>
  <c r="G6610" i="7" s="1"/>
  <c r="G6673" i="7" s="1"/>
  <c r="G6736" i="7" s="1"/>
  <c r="G6799" i="7" s="1"/>
  <c r="G6862" i="7" s="1"/>
  <c r="G6925" i="7" s="1"/>
  <c r="G6988" i="7" s="1"/>
  <c r="G7051" i="7" s="1"/>
  <c r="G7114" i="7" s="1"/>
  <c r="G7177" i="7" s="1"/>
  <c r="G6214" i="7"/>
  <c r="G6277" i="7" s="1"/>
  <c r="G6340" i="7" s="1"/>
  <c r="G6403" i="7" s="1"/>
  <c r="G6466" i="7" s="1"/>
  <c r="G6529" i="7" s="1"/>
  <c r="G6592" i="7" s="1"/>
  <c r="G6655" i="7" s="1"/>
  <c r="G6718" i="7" s="1"/>
  <c r="G6781" i="7" s="1"/>
  <c r="G6844" i="7" s="1"/>
  <c r="G6907" i="7" s="1"/>
  <c r="G6970" i="7" s="1"/>
  <c r="G7033" i="7" s="1"/>
  <c r="G7096" i="7" s="1"/>
  <c r="G7159" i="7" s="1"/>
  <c r="G6108" i="7"/>
  <c r="G6153" i="7" s="1"/>
  <c r="G6198" i="7" s="1"/>
  <c r="G6261" i="7" s="1"/>
  <c r="G6324" i="7" s="1"/>
  <c r="G6387" i="7" s="1"/>
  <c r="G6450" i="7" s="1"/>
  <c r="G6513" i="7" s="1"/>
  <c r="G6576" i="7" s="1"/>
  <c r="G6639" i="7" s="1"/>
  <c r="G6702" i="7" s="1"/>
  <c r="G6765" i="7" s="1"/>
  <c r="G6828" i="7" s="1"/>
  <c r="G6891" i="7" s="1"/>
  <c r="G6954" i="7" s="1"/>
  <c r="G7017" i="7" s="1"/>
  <c r="G7080" i="7" s="1"/>
  <c r="G7143" i="7" s="1"/>
  <c r="G6063" i="7"/>
  <c r="G6112" i="7"/>
  <c r="G6157" i="7" s="1"/>
  <c r="G6202" i="7" s="1"/>
  <c r="G6265" i="7" s="1"/>
  <c r="G6328" i="7" s="1"/>
  <c r="G6391" i="7" s="1"/>
  <c r="G6454" i="7" s="1"/>
  <c r="G6517" i="7" s="1"/>
  <c r="G6580" i="7" s="1"/>
  <c r="G6643" i="7" s="1"/>
  <c r="G6706" i="7" s="1"/>
  <c r="G6769" i="7" s="1"/>
  <c r="G6832" i="7" s="1"/>
  <c r="G6895" i="7" s="1"/>
  <c r="G6958" i="7" s="1"/>
  <c r="G7021" i="7" s="1"/>
  <c r="G7084" i="7" s="1"/>
  <c r="G7147" i="7" s="1"/>
  <c r="G6067" i="7"/>
  <c r="G6235" i="7"/>
  <c r="G6298" i="7" s="1"/>
  <c r="G6361" i="7" s="1"/>
  <c r="G6424" i="7" s="1"/>
  <c r="G6487" i="7" s="1"/>
  <c r="G6550" i="7" s="1"/>
  <c r="G6613" i="7" s="1"/>
  <c r="G6676" i="7" s="1"/>
  <c r="G6739" i="7" s="1"/>
  <c r="G6802" i="7" s="1"/>
  <c r="G6865" i="7" s="1"/>
  <c r="G6928" i="7" s="1"/>
  <c r="G6991" i="7" s="1"/>
  <c r="G7054" i="7" s="1"/>
  <c r="G7117" i="7" s="1"/>
  <c r="G7180" i="7" s="1"/>
  <c r="G6217" i="7"/>
  <c r="G6280" i="7" s="1"/>
  <c r="G6343" i="7" s="1"/>
  <c r="G6406" i="7" s="1"/>
  <c r="G6469" i="7" s="1"/>
  <c r="G6532" i="7" s="1"/>
  <c r="G6595" i="7" s="1"/>
  <c r="G6658" i="7" s="1"/>
  <c r="G6721" i="7" s="1"/>
  <c r="G6784" i="7" s="1"/>
  <c r="G6847" i="7" s="1"/>
  <c r="G6910" i="7" s="1"/>
  <c r="G6973" i="7" s="1"/>
  <c r="G7036" i="7" s="1"/>
  <c r="G7099" i="7" s="1"/>
  <c r="G7162" i="7" s="1"/>
  <c r="G6238" i="7"/>
  <c r="G6301" i="7" s="1"/>
  <c r="G6364" i="7" s="1"/>
  <c r="G6427" i="7" s="1"/>
  <c r="G6490" i="7" s="1"/>
  <c r="G6553" i="7" s="1"/>
  <c r="G6616" i="7" s="1"/>
  <c r="G6679" i="7" s="1"/>
  <c r="G6742" i="7" s="1"/>
  <c r="G6805" i="7" s="1"/>
  <c r="G6868" i="7" s="1"/>
  <c r="G6931" i="7" s="1"/>
  <c r="G6994" i="7" s="1"/>
  <c r="G7057" i="7" s="1"/>
  <c r="G7120" i="7" s="1"/>
  <c r="G7183" i="7" s="1"/>
  <c r="G6220" i="7"/>
  <c r="G6283" i="7" s="1"/>
  <c r="G6346" i="7" s="1"/>
  <c r="G6409" i="7" s="1"/>
  <c r="G6472" i="7" s="1"/>
  <c r="G6535" i="7" s="1"/>
  <c r="G6598" i="7" s="1"/>
  <c r="G6661" i="7" s="1"/>
  <c r="G6724" i="7" s="1"/>
  <c r="G6787" i="7" s="1"/>
  <c r="G6850" i="7" s="1"/>
  <c r="G6913" i="7" s="1"/>
  <c r="G6976" i="7" s="1"/>
  <c r="G7039" i="7" s="1"/>
  <c r="G7102" i="7" s="1"/>
  <c r="G7165" i="7" s="1"/>
  <c r="G6234" i="7"/>
  <c r="G6297" i="7" s="1"/>
  <c r="G6360" i="7" s="1"/>
  <c r="G6423" i="7" s="1"/>
  <c r="G6486" i="7" s="1"/>
  <c r="G6549" i="7" s="1"/>
  <c r="G6612" i="7" s="1"/>
  <c r="G6675" i="7" s="1"/>
  <c r="G6738" i="7" s="1"/>
  <c r="G6801" i="7" s="1"/>
  <c r="G6864" i="7" s="1"/>
  <c r="G6927" i="7" s="1"/>
  <c r="G6990" i="7" s="1"/>
  <c r="G7053" i="7" s="1"/>
  <c r="G7116" i="7" s="1"/>
  <c r="G7179" i="7" s="1"/>
  <c r="G6216" i="7"/>
  <c r="G6279" i="7" s="1"/>
  <c r="G6342" i="7" s="1"/>
  <c r="G6405" i="7" s="1"/>
  <c r="G6468" i="7" s="1"/>
  <c r="G6531" i="7" s="1"/>
  <c r="G6594" i="7" s="1"/>
  <c r="G6657" i="7" s="1"/>
  <c r="G6720" i="7" s="1"/>
  <c r="G6783" i="7" s="1"/>
  <c r="G6846" i="7" s="1"/>
  <c r="G6909" i="7" s="1"/>
  <c r="G6972" i="7" s="1"/>
  <c r="G7035" i="7" s="1"/>
  <c r="G7098" i="7" s="1"/>
  <c r="G7161" i="7" s="1"/>
  <c r="G6064" i="7"/>
  <c r="G6109" i="7"/>
  <c r="G6154" i="7" s="1"/>
  <c r="G6199" i="7" s="1"/>
  <c r="G6262" i="7" s="1"/>
  <c r="G6325" i="7" s="1"/>
  <c r="G6388" i="7" s="1"/>
  <c r="G6451" i="7" s="1"/>
  <c r="G6514" i="7" s="1"/>
  <c r="G6577" i="7" s="1"/>
  <c r="G6640" i="7" s="1"/>
  <c r="G6703" i="7" s="1"/>
  <c r="G6766" i="7" s="1"/>
  <c r="G6829" i="7" s="1"/>
  <c r="G6892" i="7" s="1"/>
  <c r="G6955" i="7" s="1"/>
  <c r="G7018" i="7" s="1"/>
  <c r="G7081" i="7" s="1"/>
  <c r="G7144" i="7" s="1"/>
  <c r="G4260" i="7"/>
  <c r="G4332" i="7"/>
  <c r="G6236" i="7"/>
  <c r="G6299" i="7" s="1"/>
  <c r="G6362" i="7" s="1"/>
  <c r="G6425" i="7" s="1"/>
  <c r="G6488" i="7" s="1"/>
  <c r="G6551" i="7" s="1"/>
  <c r="G6614" i="7" s="1"/>
  <c r="G6677" i="7" s="1"/>
  <c r="G6740" i="7" s="1"/>
  <c r="G6803" i="7" s="1"/>
  <c r="G6866" i="7" s="1"/>
  <c r="G6929" i="7" s="1"/>
  <c r="G6992" i="7" s="1"/>
  <c r="G7055" i="7" s="1"/>
  <c r="G7118" i="7" s="1"/>
  <c r="G7181" i="7" s="1"/>
  <c r="G6218" i="7"/>
  <c r="G6281" i="7" s="1"/>
  <c r="G6344" i="7" s="1"/>
  <c r="G6407" i="7" s="1"/>
  <c r="G6470" i="7" s="1"/>
  <c r="G6533" i="7" s="1"/>
  <c r="G6596" i="7" s="1"/>
  <c r="G6659" i="7" s="1"/>
  <c r="G6722" i="7" s="1"/>
  <c r="G6785" i="7" s="1"/>
  <c r="G6848" i="7" s="1"/>
  <c r="G6911" i="7" s="1"/>
  <c r="G6974" i="7" s="1"/>
  <c r="G7037" i="7" s="1"/>
  <c r="G7100" i="7" s="1"/>
  <c r="G7163" i="7" s="1"/>
  <c r="G6066" i="7"/>
  <c r="G6111" i="7"/>
  <c r="G6156" i="7" s="1"/>
  <c r="G6201" i="7" s="1"/>
  <c r="G6264" i="7" s="1"/>
  <c r="G6327" i="7" s="1"/>
  <c r="G6390" i="7" s="1"/>
  <c r="G6453" i="7" s="1"/>
  <c r="G6516" i="7" s="1"/>
  <c r="G6579" i="7" s="1"/>
  <c r="G6642" i="7" s="1"/>
  <c r="G6705" i="7" s="1"/>
  <c r="G6768" i="7" s="1"/>
  <c r="G6831" i="7" s="1"/>
  <c r="G6894" i="7" s="1"/>
  <c r="G6957" i="7" s="1"/>
  <c r="G7020" i="7" s="1"/>
  <c r="G7083" i="7" s="1"/>
  <c r="G7146" i="7" s="1"/>
  <c r="G4336" i="7"/>
  <c r="G4264" i="7"/>
  <c r="G4277" i="7"/>
  <c r="G4367" i="7" s="1"/>
  <c r="G4340" i="7"/>
  <c r="G4268" i="7"/>
  <c r="G6088" i="7" l="1"/>
  <c r="G6133" i="7"/>
  <c r="G6178" i="7" s="1"/>
  <c r="G6241" i="7" s="1"/>
  <c r="G6304" i="7" s="1"/>
  <c r="G6367" i="7" s="1"/>
  <c r="G6430" i="7" s="1"/>
  <c r="G6493" i="7" s="1"/>
  <c r="G6556" i="7" s="1"/>
  <c r="G6619" i="7" s="1"/>
  <c r="G6682" i="7" s="1"/>
  <c r="G6745" i="7" s="1"/>
  <c r="G6808" i="7" s="1"/>
  <c r="G6871" i="7" s="1"/>
  <c r="G6934" i="7" s="1"/>
  <c r="G6997" i="7" s="1"/>
  <c r="G7060" i="7" s="1"/>
  <c r="G7123" i="7" s="1"/>
  <c r="G7186" i="7" s="1"/>
  <c r="G6090" i="7"/>
  <c r="G6135" i="7"/>
  <c r="G6180" i="7" s="1"/>
  <c r="G6243" i="7" s="1"/>
  <c r="G6306" i="7" s="1"/>
  <c r="G6369" i="7" s="1"/>
  <c r="G6432" i="7" s="1"/>
  <c r="G6495" i="7" s="1"/>
  <c r="G6558" i="7" s="1"/>
  <c r="G6621" i="7" s="1"/>
  <c r="G6684" i="7" s="1"/>
  <c r="G6747" i="7" s="1"/>
  <c r="G6810" i="7" s="1"/>
  <c r="G6873" i="7" s="1"/>
  <c r="G6936" i="7" s="1"/>
  <c r="G6999" i="7" s="1"/>
  <c r="G7062" i="7" s="1"/>
  <c r="G7125" i="7" s="1"/>
  <c r="G7188" i="7" s="1"/>
  <c r="G4272" i="7"/>
  <c r="G4344" i="7"/>
  <c r="G4281" i="7"/>
  <c r="G4371" i="7" s="1"/>
  <c r="G4343" i="7"/>
  <c r="G4280" i="7"/>
  <c r="G4370" i="7" s="1"/>
  <c r="G4271" i="7"/>
  <c r="G4275" i="7"/>
  <c r="G4284" i="7"/>
  <c r="G4374" i="7" s="1"/>
  <c r="G4347" i="7"/>
  <c r="G4282" i="7"/>
  <c r="G4372" i="7" s="1"/>
  <c r="G4273" i="7"/>
  <c r="G4345" i="7"/>
  <c r="G6094" i="7"/>
  <c r="G6139" i="7"/>
  <c r="G6184" i="7" s="1"/>
  <c r="G6247" i="7" s="1"/>
  <c r="G6310" i="7" s="1"/>
  <c r="G6373" i="7" s="1"/>
  <c r="G6436" i="7" s="1"/>
  <c r="G6499" i="7" s="1"/>
  <c r="G6562" i="7" s="1"/>
  <c r="G6625" i="7" s="1"/>
  <c r="G6688" i="7" s="1"/>
  <c r="G6751" i="7" s="1"/>
  <c r="G6814" i="7" s="1"/>
  <c r="G6877" i="7" s="1"/>
  <c r="G6940" i="7" s="1"/>
  <c r="G7003" i="7" s="1"/>
  <c r="G7066" i="7" s="1"/>
  <c r="G7129" i="7" s="1"/>
  <c r="G7192" i="7" s="1"/>
  <c r="G6092" i="7"/>
  <c r="G6137" i="7"/>
  <c r="G6182" i="7" s="1"/>
  <c r="G6245" i="7" s="1"/>
  <c r="G6308" i="7" s="1"/>
  <c r="G6371" i="7" s="1"/>
  <c r="G6434" i="7" s="1"/>
  <c r="G6497" i="7" s="1"/>
  <c r="G6560" i="7" s="1"/>
  <c r="G6623" i="7" s="1"/>
  <c r="G6686" i="7" s="1"/>
  <c r="G6749" i="7" s="1"/>
  <c r="G6812" i="7" s="1"/>
  <c r="G6875" i="7" s="1"/>
  <c r="G6938" i="7" s="1"/>
  <c r="G7001" i="7" s="1"/>
  <c r="G7064" i="7" s="1"/>
  <c r="G7127" i="7" s="1"/>
  <c r="G7190" i="7" s="1"/>
  <c r="G4279" i="7"/>
  <c r="G4369" i="7" s="1"/>
  <c r="G4342" i="7"/>
  <c r="G4270" i="7"/>
  <c r="G4285" i="7"/>
  <c r="G4375" i="7" s="1"/>
  <c r="G4348" i="7"/>
  <c r="G4276" i="7"/>
  <c r="G6138" i="7"/>
  <c r="G6183" i="7" s="1"/>
  <c r="G6246" i="7" s="1"/>
  <c r="G6309" i="7" s="1"/>
  <c r="G6372" i="7" s="1"/>
  <c r="G6435" i="7" s="1"/>
  <c r="G6498" i="7" s="1"/>
  <c r="G6561" i="7" s="1"/>
  <c r="G6624" i="7" s="1"/>
  <c r="G6687" i="7" s="1"/>
  <c r="G6750" i="7" s="1"/>
  <c r="G6813" i="7" s="1"/>
  <c r="G6876" i="7" s="1"/>
  <c r="G6939" i="7" s="1"/>
  <c r="G7002" i="7" s="1"/>
  <c r="G7065" i="7" s="1"/>
  <c r="G7128" i="7" s="1"/>
  <c r="G7191" i="7" s="1"/>
  <c r="G6093" i="7"/>
  <c r="G4358" i="7"/>
  <c r="G4349" i="7"/>
  <c r="G4278" i="7"/>
  <c r="G4368" i="7" s="1"/>
  <c r="G4269" i="7"/>
  <c r="G4341" i="7"/>
  <c r="G6132" i="7"/>
  <c r="G6177" i="7" s="1"/>
  <c r="G6240" i="7" s="1"/>
  <c r="G6303" i="7" s="1"/>
  <c r="G6366" i="7" s="1"/>
  <c r="G6429" i="7" s="1"/>
  <c r="G6492" i="7" s="1"/>
  <c r="G6555" i="7" s="1"/>
  <c r="G6618" i="7" s="1"/>
  <c r="G6681" i="7" s="1"/>
  <c r="G6744" i="7" s="1"/>
  <c r="G6807" i="7" s="1"/>
  <c r="G6870" i="7" s="1"/>
  <c r="G6933" i="7" s="1"/>
  <c r="G6996" i="7" s="1"/>
  <c r="G7059" i="7" s="1"/>
  <c r="G7122" i="7" s="1"/>
  <c r="G7185" i="7" s="1"/>
  <c r="G6087" i="7"/>
  <c r="G6134" i="7"/>
  <c r="G6179" i="7" s="1"/>
  <c r="G6242" i="7" s="1"/>
  <c r="G6305" i="7" s="1"/>
  <c r="G6368" i="7" s="1"/>
  <c r="G6431" i="7" s="1"/>
  <c r="G6494" i="7" s="1"/>
  <c r="G6557" i="7" s="1"/>
  <c r="G6620" i="7" s="1"/>
  <c r="G6683" i="7" s="1"/>
  <c r="G6746" i="7" s="1"/>
  <c r="G6809" i="7" s="1"/>
  <c r="G6872" i="7" s="1"/>
  <c r="G6935" i="7" s="1"/>
  <c r="G6998" i="7" s="1"/>
  <c r="G7061" i="7" s="1"/>
  <c r="G7124" i="7" s="1"/>
  <c r="G7187" i="7" s="1"/>
  <c r="G6089" i="7"/>
  <c r="G6136" i="7"/>
  <c r="G6181" i="7" s="1"/>
  <c r="G6244" i="7" s="1"/>
  <c r="G6307" i="7" s="1"/>
  <c r="G6370" i="7" s="1"/>
  <c r="G6433" i="7" s="1"/>
  <c r="G6496" i="7" s="1"/>
  <c r="G6559" i="7" s="1"/>
  <c r="G6622" i="7" s="1"/>
  <c r="G6685" i="7" s="1"/>
  <c r="G6748" i="7" s="1"/>
  <c r="G6811" i="7" s="1"/>
  <c r="G6874" i="7" s="1"/>
  <c r="G6937" i="7" s="1"/>
  <c r="G7000" i="7" s="1"/>
  <c r="G7063" i="7" s="1"/>
  <c r="G7126" i="7" s="1"/>
  <c r="G7189" i="7" s="1"/>
  <c r="G6091" i="7"/>
  <c r="G4346" i="7"/>
  <c r="G4274" i="7"/>
  <c r="G4283" i="7"/>
  <c r="G4373" i="7" s="1"/>
  <c r="G4354" i="7" l="1"/>
  <c r="G4363" i="7"/>
  <c r="G4359" i="7"/>
  <c r="G4350" i="7"/>
  <c r="G4351" i="7"/>
  <c r="G4360" i="7"/>
  <c r="G4365" i="7"/>
  <c r="G4356" i="7"/>
  <c r="G4352" i="7"/>
  <c r="G4361" i="7"/>
  <c r="G4353" i="7"/>
  <c r="G4362" i="7"/>
  <c r="G4366" i="7"/>
  <c r="G4357" i="7"/>
  <c r="G4364" i="7"/>
  <c r="G4355" i="7"/>
</calcChain>
</file>

<file path=xl/sharedStrings.xml><?xml version="1.0" encoding="utf-8"?>
<sst xmlns="http://schemas.openxmlformats.org/spreadsheetml/2006/main" count="43006" uniqueCount="3655">
  <si>
    <t>SETTER CLOSET ORDER FORM</t>
  </si>
  <si>
    <r>
      <rPr>
        <b/>
        <sz val="22"/>
        <color theme="1"/>
        <rFont val="Bauhaus 93"/>
      </rPr>
      <t>KILTER</t>
    </r>
    <r>
      <rPr>
        <b/>
        <sz val="22"/>
        <color theme="1"/>
        <rFont val="Stardos Stencil"/>
      </rPr>
      <t xml:space="preserve"> ~ HAPTIC ~ F-BLOC ~ </t>
    </r>
    <r>
      <rPr>
        <b/>
        <sz val="20"/>
        <color theme="1"/>
        <rFont val="Stardos Stencil"/>
      </rPr>
      <t>URBAN PLASTIX</t>
    </r>
  </si>
  <si>
    <t>Financial</t>
  </si>
  <si>
    <t>Discounted Hold Cost</t>
  </si>
  <si>
    <t>Kilter Board Kits</t>
  </si>
  <si>
    <t>Hardware/Other</t>
  </si>
  <si>
    <t>Handling</t>
  </si>
  <si>
    <t>Discounts Available</t>
  </si>
  <si>
    <t>Aragon Shipping</t>
  </si>
  <si>
    <t>w/Tier Hold Orders</t>
  </si>
  <si>
    <t>Comp X Shipping</t>
  </si>
  <si>
    <t>Walltopia Shipping</t>
  </si>
  <si>
    <t>Frame, Mat, and Install</t>
  </si>
  <si>
    <t>Sales Tax</t>
  </si>
  <si>
    <t>quotes available</t>
  </si>
  <si>
    <t>Total</t>
  </si>
  <si>
    <t>Analysis</t>
  </si>
  <si>
    <t>Email us for more info:</t>
  </si>
  <si>
    <t>Discount %</t>
  </si>
  <si>
    <t>holds@kiltergrips.com</t>
  </si>
  <si>
    <t>Discount Value</t>
  </si>
  <si>
    <t>Cost per hold</t>
  </si>
  <si>
    <t>Click here to see color options and comparisons</t>
  </si>
  <si>
    <t>Total # holds per color</t>
  </si>
  <si>
    <t>Type</t>
  </si>
  <si>
    <t>Total holds per type</t>
  </si>
  <si>
    <t>% of total</t>
  </si>
  <si>
    <t>macros</t>
  </si>
  <si>
    <t>feature</t>
  </si>
  <si>
    <t>jugs</t>
  </si>
  <si>
    <t>mini jugs</t>
  </si>
  <si>
    <t>incuts</t>
  </si>
  <si>
    <t>crimps</t>
  </si>
  <si>
    <t>edges</t>
  </si>
  <si>
    <t>slots</t>
  </si>
  <si>
    <t>pinches</t>
  </si>
  <si>
    <t>pockets</t>
  </si>
  <si>
    <t>slopers</t>
  </si>
  <si>
    <t>jibs</t>
  </si>
  <si>
    <t>feet</t>
  </si>
  <si>
    <t>downclimb</t>
  </si>
  <si>
    <t>other</t>
  </si>
  <si>
    <t>Handholds per Color</t>
  </si>
  <si>
    <t>Hands</t>
  </si>
  <si>
    <t>Holds per Color</t>
  </si>
  <si>
    <t>% Holds of Total</t>
  </si>
  <si>
    <t>% Feet of Total</t>
  </si>
  <si>
    <t>easy</t>
  </si>
  <si>
    <t>medium</t>
  </si>
  <si>
    <t>hard</t>
  </si>
  <si>
    <t>Total holds per color</t>
  </si>
  <si>
    <t>% of Total</t>
  </si>
  <si>
    <t>sandstone</t>
  </si>
  <si>
    <t>granite</t>
  </si>
  <si>
    <t>traprock</t>
  </si>
  <si>
    <t>angular</t>
  </si>
  <si>
    <t>dual tex</t>
  </si>
  <si>
    <t>simple</t>
  </si>
  <si>
    <t>unique art</t>
  </si>
  <si>
    <t>Holds per color</t>
  </si>
  <si>
    <t>kaiju</t>
  </si>
  <si>
    <t>2xl</t>
  </si>
  <si>
    <t>xl</t>
  </si>
  <si>
    <t>large</t>
  </si>
  <si>
    <t>small</t>
  </si>
  <si>
    <t>xs</t>
  </si>
  <si>
    <t>aragon</t>
  </si>
  <si>
    <t>composite x</t>
  </si>
  <si>
    <t>walltopia</t>
  </si>
  <si>
    <t>kilter</t>
  </si>
  <si>
    <t>urban plastix</t>
  </si>
  <si>
    <t>KILTER ORDER FORM</t>
  </si>
  <si>
    <t>version: July 13, 2024</t>
  </si>
  <si>
    <t>FROM</t>
  </si>
  <si>
    <t>Kilter Grips</t>
  </si>
  <si>
    <t>P.O.Box 11072</t>
  </si>
  <si>
    <t>Boulder, CO 80301</t>
  </si>
  <si>
    <t>Bolts?</t>
  </si>
  <si>
    <t>No</t>
  </si>
  <si>
    <t>Color Spc?</t>
  </si>
  <si>
    <t>Yes</t>
  </si>
  <si>
    <t>SHIP TO</t>
  </si>
  <si>
    <t>P.O.</t>
  </si>
  <si>
    <t>SC00TK</t>
  </si>
  <si>
    <t>REP</t>
  </si>
  <si>
    <t>Name</t>
  </si>
  <si>
    <t>Phone #</t>
  </si>
  <si>
    <t>DATE</t>
  </si>
  <si>
    <t>M/DD/YYYY</t>
  </si>
  <si>
    <t>Company</t>
  </si>
  <si>
    <t>Street</t>
  </si>
  <si>
    <t>NOTES</t>
  </si>
  <si>
    <t>Any specific notes? Color requests and larger orders usually have between 30-60 day turn around. Ship week quote upon request. If needed by a specific date please tell us. Please use color sheet and color #s in the Other Color column for additional colors.</t>
  </si>
  <si>
    <t>www.settercloset.com for photos &amp; color charts</t>
  </si>
  <si>
    <t>City</t>
  </si>
  <si>
    <r>
      <rPr>
        <b/>
        <sz val="10"/>
        <color theme="1"/>
        <rFont val="Verdana"/>
        <family val="2"/>
      </rPr>
      <t>holds@kiltergrips.com</t>
    </r>
    <r>
      <rPr>
        <sz val="10"/>
        <color theme="1"/>
        <rFont val="Verdana"/>
        <family val="2"/>
      </rPr>
      <t xml:space="preserve"> for questions, quotes &amp; orders</t>
    </r>
  </si>
  <si>
    <t>State</t>
  </si>
  <si>
    <t>Zip Code</t>
  </si>
  <si>
    <t xml:space="preserve"> </t>
  </si>
  <si>
    <t>US Sales: Kiel Mahar - 720.456.0543</t>
  </si>
  <si>
    <t>Country</t>
  </si>
  <si>
    <t>Email</t>
  </si>
  <si>
    <t>International/General: Jackie - 775.771.3371</t>
  </si>
  <si>
    <t>International/General: Griff - 410.960.0356</t>
  </si>
  <si>
    <t>Accounts Payable Contact:</t>
  </si>
  <si>
    <t>Billing Email:</t>
  </si>
  <si>
    <t>2024 NEW SETS HIGHLIGHTED BELOW</t>
  </si>
  <si>
    <t>2023 NEW SETS HIGHLIGHTED BELOW</t>
  </si>
  <si>
    <t>2022 NEW SETS HIGHLIGHTED BELOW</t>
  </si>
  <si>
    <t>Standard Colors</t>
  </si>
  <si>
    <t>Weights</t>
  </si>
  <si>
    <t>*NOTE "Your Price" changes based on order size and discount earned</t>
  </si>
  <si>
    <t>Red</t>
  </si>
  <si>
    <t>Orange</t>
  </si>
  <si>
    <t>Yellow</t>
  </si>
  <si>
    <t>Green</t>
  </si>
  <si>
    <t>Blue</t>
  </si>
  <si>
    <t>Purple</t>
  </si>
  <si>
    <t>Hot Pink</t>
  </si>
  <si>
    <t>Black</t>
  </si>
  <si>
    <t>Other Color</t>
  </si>
  <si>
    <t>Aragon</t>
  </si>
  <si>
    <t>Set Description</t>
  </si>
  <si>
    <t>Style</t>
  </si>
  <si>
    <t>Size</t>
  </si>
  <si>
    <t>Manufacturer</t>
  </si>
  <si>
    <t>Hold Type</t>
  </si>
  <si>
    <t>Difficulty</t>
  </si>
  <si>
    <t>Qty of Grips</t>
  </si>
  <si>
    <t>SKU</t>
  </si>
  <si>
    <t>*Your Price</t>
  </si>
  <si>
    <t>Retail Price</t>
  </si>
  <si>
    <t>Total Sets</t>
  </si>
  <si>
    <t>11-12</t>
  </si>
  <si>
    <t>14-01</t>
  </si>
  <si>
    <t>15-12</t>
  </si>
  <si>
    <t>16-16</t>
  </si>
  <si>
    <t>13-01</t>
  </si>
  <si>
    <t>07-13</t>
  </si>
  <si>
    <t>11-26</t>
  </si>
  <si>
    <t>18-01</t>
  </si>
  <si>
    <t>Color Code</t>
  </si>
  <si>
    <t>Total Qty of Grips</t>
  </si>
  <si>
    <t>Total Cost</t>
  </si>
  <si>
    <t>Weight Per Set</t>
  </si>
  <si>
    <t>Weight Total</t>
  </si>
  <si>
    <t>Kilter</t>
  </si>
  <si>
    <t>Brushed Sandstone and Sandstone</t>
  </si>
  <si>
    <t>Sandstone Complex 2 - Kaiju/2XL Jug, 2XL Pinch and Blockers</t>
  </si>
  <si>
    <t>K194</t>
  </si>
  <si>
    <t>Sandstone Complex 3 - Kaiju Rail and Blockers</t>
  </si>
  <si>
    <t>K195</t>
  </si>
  <si>
    <t>Sandstone Complex 4 - Brushed Kaiju Jug and Blockers</t>
  </si>
  <si>
    <t>K199</t>
  </si>
  <si>
    <t>Sandstone Complex 18 - Brushed Kaiju Jug Ledges</t>
  </si>
  <si>
    <t>K233</t>
  </si>
  <si>
    <t>Sandstone Complex 5 - Brushed 2XL Jugs and Blockers</t>
  </si>
  <si>
    <t>K200</t>
  </si>
  <si>
    <t>Sandstone Complex 9 -Brushed 2XL Jugs</t>
  </si>
  <si>
    <t>K219</t>
  </si>
  <si>
    <t>Sandstone Complex 7 - XL Jugs</t>
  </si>
  <si>
    <t>K215</t>
  </si>
  <si>
    <t>Sandstone Complex 8 - XL Jugs</t>
  </si>
  <si>
    <t>K217</t>
  </si>
  <si>
    <t>Sandstone Complex 17 - XL Blocky Pinches</t>
  </si>
  <si>
    <t>K230</t>
  </si>
  <si>
    <t>Sandstone Complex Pack 1  - Sets 13 and 16</t>
  </si>
  <si>
    <t>K223/226 (Kit)</t>
  </si>
  <si>
    <t>Sandstone Complex 13 - Medium Puffy Incuts</t>
  </si>
  <si>
    <t>K223</t>
  </si>
  <si>
    <t>Sandstone Complex 16 - Blocker Jibs (for SC13)</t>
  </si>
  <si>
    <t>K226</t>
  </si>
  <si>
    <t>Sandstone Complex Pack 2  - Sets 14 and 15</t>
  </si>
  <si>
    <t>K224/225 (Kit)</t>
  </si>
  <si>
    <t>Sandstone Complex 14 - Medium Crisper Incut Edges</t>
  </si>
  <si>
    <t>K224</t>
  </si>
  <si>
    <t xml:space="preserve">	Sandstone Complex 15 - Blocker Jibs (for SC14)</t>
  </si>
  <si>
    <t>K225</t>
  </si>
  <si>
    <t>Sandstone Complex 1 - Edges and Jibs</t>
  </si>
  <si>
    <t>K192</t>
  </si>
  <si>
    <t>Sandstone Complex 6 - Brushed Mega Jib Blockers</t>
  </si>
  <si>
    <t>K201</t>
  </si>
  <si>
    <t>Sandstone Complex 10 - Brushed Jib Blockers</t>
  </si>
  <si>
    <t>K218</t>
  </si>
  <si>
    <t>Sandstone Complex 11 - Brushed Jib Blockers</t>
  </si>
  <si>
    <t>K220</t>
  </si>
  <si>
    <t>Sandstone Complex 12 - Brushed Jib Blockers</t>
  </si>
  <si>
    <t>K221</t>
  </si>
  <si>
    <t>Sandstone Kaiju Huecos 1-3</t>
  </si>
  <si>
    <t>K126 (Kit)</t>
  </si>
  <si>
    <t>Sandstone Kaiju Hueco 1</t>
  </si>
  <si>
    <t>K126-1</t>
  </si>
  <si>
    <t>Sandstone Kaiju Hueco 2</t>
  </si>
  <si>
    <t>K126-2</t>
  </si>
  <si>
    <t>Sandstone Kaiju Hueco 3</t>
  </si>
  <si>
    <t>K126-3</t>
  </si>
  <si>
    <t>Sandstone Kaiju Stalactites 2-3</t>
  </si>
  <si>
    <t>K133 (Kit)</t>
  </si>
  <si>
    <t>Sandstone Kaiju Stalactite 2</t>
  </si>
  <si>
    <t>K133-2</t>
  </si>
  <si>
    <t>Sandstone Kaiju Stalactite 3</t>
  </si>
  <si>
    <t>K133-3</t>
  </si>
  <si>
    <t>Sandstone Kaiju Huecos 5-6</t>
  </si>
  <si>
    <t>K161 (Kit)</t>
  </si>
  <si>
    <t>Sandstone Kaiju Hueco 5</t>
  </si>
  <si>
    <t>K161-2</t>
  </si>
  <si>
    <t>Sandstone Kaiju Hueco 6</t>
  </si>
  <si>
    <t>K161-3</t>
  </si>
  <si>
    <t>Sandstone Kaiju Rails 1-3 - Brushed Rails</t>
  </si>
  <si>
    <t>K193</t>
  </si>
  <si>
    <t>Sandstone Kaiju Brushed 1-3 - Jugs</t>
  </si>
  <si>
    <t>K202</t>
  </si>
  <si>
    <t>Sandstone Kaiju Brushed 4 - Big Sloper</t>
  </si>
  <si>
    <t>K203</t>
  </si>
  <si>
    <t>Sandstone Kaiju Brushed 5-7 - Fins</t>
  </si>
  <si>
    <t>K208</t>
  </si>
  <si>
    <t>Sandstone 2XL 1 - Slopers</t>
  </si>
  <si>
    <t>K123</t>
  </si>
  <si>
    <t>Sandstone 2XL 2 - Roof Slopers</t>
  </si>
  <si>
    <t>K124</t>
  </si>
  <si>
    <t>Sandstone 2XL 3 - Slopers</t>
  </si>
  <si>
    <t>K127</t>
  </si>
  <si>
    <t>Sandstone 2XL 4 - Huecos</t>
  </si>
  <si>
    <t>K128</t>
  </si>
  <si>
    <t>Sandstone 2XL 5 - Ribs</t>
  </si>
  <si>
    <t>K213</t>
  </si>
  <si>
    <t>Sandstone 2XL 6 - Ribs</t>
  </si>
  <si>
    <t>K214</t>
  </si>
  <si>
    <t>Sandstone 2XL 7 - Brushed Rail Jugs</t>
  </si>
  <si>
    <t>K216</t>
  </si>
  <si>
    <t>Sandstone 2XL 10 - Ribs</t>
  </si>
  <si>
    <t>K237</t>
  </si>
  <si>
    <t>Sandstone XL 1 - Slopers</t>
  </si>
  <si>
    <t>K061</t>
  </si>
  <si>
    <t>Sandstone XL 2 - Pinches</t>
  </si>
  <si>
    <t>K122</t>
  </si>
  <si>
    <t>Sandstone XL 3 - Slopey Pinches</t>
  </si>
  <si>
    <t>K130</t>
  </si>
  <si>
    <t>Sandstone XL 4 - Jugs</t>
  </si>
  <si>
    <t>K139</t>
  </si>
  <si>
    <t>Sandstone XL 5 - Jugs</t>
  </si>
  <si>
    <t>K140</t>
  </si>
  <si>
    <t>Sandstone XL 6 - Plate Pinches</t>
  </si>
  <si>
    <t>K160</t>
  </si>
  <si>
    <t>Sandstone XL 7 - Brushed Rail Pinches</t>
  </si>
  <si>
    <t>K191</t>
  </si>
  <si>
    <t>Sandstone XL 9 - Brushed Mega Jibs - Rail Pinches</t>
  </si>
  <si>
    <t>K207</t>
  </si>
  <si>
    <t>Sandstone XL 10 - Brushed Mega Jibs - Font Texture Plates</t>
  </si>
  <si>
    <t>K227</t>
  </si>
  <si>
    <t>Sandstone XL 11 - Raised Ribs</t>
  </si>
  <si>
    <t>K231</t>
  </si>
  <si>
    <t>Sandstone XL 12 - Smooth Pinches</t>
  </si>
  <si>
    <t>K232</t>
  </si>
  <si>
    <t>Sandstone XL 13 - Ribs</t>
  </si>
  <si>
    <t>K234</t>
  </si>
  <si>
    <t>Sandstone Large 1 - Seams</t>
  </si>
  <si>
    <t>K033</t>
  </si>
  <si>
    <t>Sandstone Large 2 - Flakes and Pockets</t>
  </si>
  <si>
    <t>K035</t>
  </si>
  <si>
    <t>Sandstone Large 3 - Pocket Seams</t>
  </si>
  <si>
    <t>K107</t>
  </si>
  <si>
    <t>HOLD</t>
  </si>
  <si>
    <t>Sandstone Large 4 - Seams</t>
  </si>
  <si>
    <t>K108</t>
  </si>
  <si>
    <t>Sandstone Large 6 - Edges</t>
  </si>
  <si>
    <t>K134</t>
  </si>
  <si>
    <t>Sandstone Large 7 - Pinches</t>
  </si>
  <si>
    <t>K135</t>
  </si>
  <si>
    <t>Sandstone Large 8 - Slopey Incuts</t>
  </si>
  <si>
    <t>K137</t>
  </si>
  <si>
    <t>Sandstone Large 9 - Pinches</t>
  </si>
  <si>
    <t>K148</t>
  </si>
  <si>
    <t>Sandstone Large 10 - Jugs</t>
  </si>
  <si>
    <t>K152</t>
  </si>
  <si>
    <t>Sandstone Large 11 - Jugs and Mini Jugs</t>
  </si>
  <si>
    <t>K169</t>
  </si>
  <si>
    <t>Sandstone Large 12 - Jugs</t>
  </si>
  <si>
    <t>K171</t>
  </si>
  <si>
    <t>Sandstone Large 13 - Jugs</t>
  </si>
  <si>
    <t>K173</t>
  </si>
  <si>
    <t>Sandstone Large 14 - Brushed Pinches</t>
  </si>
  <si>
    <t>K182</t>
  </si>
  <si>
    <t>Sandstone Large 19 - Pockets</t>
  </si>
  <si>
    <t>K236</t>
  </si>
  <si>
    <t>Sandstone Medium 1 - Mini Jugs</t>
  </si>
  <si>
    <t>K002</t>
  </si>
  <si>
    <t>K029</t>
  </si>
  <si>
    <t>Sandstone Medium 3 - Incuts</t>
  </si>
  <si>
    <t>K032</t>
  </si>
  <si>
    <t>Sandstone Medium 4 - Puffy Edges</t>
  </si>
  <si>
    <t>K104</t>
  </si>
  <si>
    <t>Sandstone Medium 5 - Plate Slopers</t>
  </si>
  <si>
    <t>K115</t>
  </si>
  <si>
    <t>Sandstone Medium 6 - Incuts</t>
  </si>
  <si>
    <t>K136</t>
  </si>
  <si>
    <t>Sandstone Medium 7 - Edges and Incuts</t>
  </si>
  <si>
    <t>K138</t>
  </si>
  <si>
    <t>Sandstone Medium 8 - Incuts and Edges</t>
  </si>
  <si>
    <t>K141</t>
  </si>
  <si>
    <t>Sandstone Medium 9 - Puffy Incuts</t>
  </si>
  <si>
    <t>K142</t>
  </si>
  <si>
    <t>Sandstone Medium 10 - Incuts</t>
  </si>
  <si>
    <t>K143</t>
  </si>
  <si>
    <t>Sandstone Medium 11 - Incuts</t>
  </si>
  <si>
    <t>K144</t>
  </si>
  <si>
    <t>Sandstone Medium 12 - Edges</t>
  </si>
  <si>
    <t>K146</t>
  </si>
  <si>
    <t>Sandstone Medium 13 - Incuts</t>
  </si>
  <si>
    <t>K150</t>
  </si>
  <si>
    <t>Sandstone Medium 14 - Jugs or Mini Jugs</t>
  </si>
  <si>
    <t>K151</t>
  </si>
  <si>
    <t>Sandstone Medium 15 - Plate Slopers</t>
  </si>
  <si>
    <t>K153</t>
  </si>
  <si>
    <t>Sandstone Medium 16 - Brushed Slots</t>
  </si>
  <si>
    <t>K181</t>
  </si>
  <si>
    <t>Sandstone Medium 18 - Brushed Pinches</t>
  </si>
  <si>
    <t>K204</t>
  </si>
  <si>
    <t>Sandstone Medium 19 - Brushed Pinches</t>
  </si>
  <si>
    <t>K206</t>
  </si>
  <si>
    <t xml:space="preserve">	Sandstone Medium 20 - Mini Jugs</t>
  </si>
  <si>
    <t>K242</t>
  </si>
  <si>
    <t xml:space="preserve">	Sandstone Medium 21 - Edges</t>
  </si>
  <si>
    <t>K243</t>
  </si>
  <si>
    <t xml:space="preserve">	Sandstone Medium 22 - Mini Jugs/Edges</t>
  </si>
  <si>
    <t>K245</t>
  </si>
  <si>
    <t xml:space="preserve">	Sandstone Medium 23 - Mini Jugs/Edges</t>
  </si>
  <si>
    <t>K246</t>
  </si>
  <si>
    <t xml:space="preserve">	Sandstone Medium 24 - Jugs</t>
  </si>
  <si>
    <t>K247</t>
  </si>
  <si>
    <t>Sandstone Small 1 - Plate Slopers</t>
  </si>
  <si>
    <t>K145</t>
  </si>
  <si>
    <t>Sandstone Small 2 - Wave Edges</t>
  </si>
  <si>
    <t>K157</t>
  </si>
  <si>
    <t>Sandstone Small 3 - Wave Edges</t>
  </si>
  <si>
    <t>K158</t>
  </si>
  <si>
    <t>Sandstone Small 4 - Brushed Plates - Slopey Crimps and Feet</t>
  </si>
  <si>
    <t>K176</t>
  </si>
  <si>
    <t>Sandstone Small 5 - Brushed Plates - Edges</t>
  </si>
  <si>
    <t>K177</t>
  </si>
  <si>
    <t>Sandstone Small 6 - Brushed Plates - Pinches</t>
  </si>
  <si>
    <t>K178</t>
  </si>
  <si>
    <t>Sandstone Small 7 - Brushed Edges</t>
  </si>
  <si>
    <t>K209</t>
  </si>
  <si>
    <t>Sandstone Small 8 - Brushed Edges</t>
  </si>
  <si>
    <t>K210</t>
  </si>
  <si>
    <t>Sandstone Small 9 - Incut Edges</t>
  </si>
  <si>
    <t>K235</t>
  </si>
  <si>
    <t>Sandstone Small 10 - Crimps/Feet</t>
  </si>
  <si>
    <t>K248</t>
  </si>
  <si>
    <t>Sandstone Small 11 - Crimps/Feet</t>
  </si>
  <si>
    <t>K249</t>
  </si>
  <si>
    <t>Sandstone Small 12 - Crimps/Feet</t>
  </si>
  <si>
    <t>K250</t>
  </si>
  <si>
    <t xml:space="preserve">	Sandstone Small 13 - Rounded Incuts</t>
  </si>
  <si>
    <t>K252</t>
  </si>
  <si>
    <t>Sandstone XS 1 - Steep Feet</t>
  </si>
  <si>
    <t>K147</t>
  </si>
  <si>
    <t>Sandstone XS 2 - Plate Sloper Feet</t>
  </si>
  <si>
    <t>K149</t>
  </si>
  <si>
    <t>Sandstone XS 3 - Brushed Slopey Discs</t>
  </si>
  <si>
    <t>K183</t>
  </si>
  <si>
    <t>Sandstone XS 4 - Brushed Flat Discs</t>
  </si>
  <si>
    <t>K184</t>
  </si>
  <si>
    <t>Sandstone Jibs 1 - Mixed Crimps</t>
  </si>
  <si>
    <t>K172</t>
  </si>
  <si>
    <t>Sandstone Jibs 2 - Brushed Slopey Discs</t>
  </si>
  <si>
    <t>K185</t>
  </si>
  <si>
    <t>Sandstone Jibs 3 - Brushed Plate Slopers</t>
  </si>
  <si>
    <t>K189</t>
  </si>
  <si>
    <t>Sandstone Jibs 5 - Brushed Incut Jibs</t>
  </si>
  <si>
    <t>K196</t>
  </si>
  <si>
    <t>Sandstone Jibs 6 - Brushed Jib Pinches</t>
  </si>
  <si>
    <t>K205</t>
  </si>
  <si>
    <t>Ian's Sandstone Jibs Large 1 - Dakota Crimp Ledges</t>
  </si>
  <si>
    <t>KHIP006</t>
  </si>
  <si>
    <t>Ian's Sandstone Jibs Large 2 - Dakota Seam Stacks</t>
  </si>
  <si>
    <t>KHIP008</t>
  </si>
  <si>
    <t>Haptic</t>
  </si>
  <si>
    <t>Keith Dickey - Moses Plated Sandstone</t>
  </si>
  <si>
    <t>Moses Sandstone Large 1 - Pinches</t>
  </si>
  <si>
    <t>KHKD014</t>
  </si>
  <si>
    <t>Moses Sandstone Large 2 - Jugs</t>
  </si>
  <si>
    <t>KHKD017</t>
  </si>
  <si>
    <t>Moses Sandstone Large 3 - Jugs</t>
  </si>
  <si>
    <t>KHKD018</t>
  </si>
  <si>
    <t>Moses Sandstone Medium 1 - Incuts</t>
  </si>
  <si>
    <t>KHKD016</t>
  </si>
  <si>
    <t>Moses Sandstone Medium 2 - Mini Jugs</t>
  </si>
  <si>
    <t>KHKD019</t>
  </si>
  <si>
    <t>Moses Sandstone Small 1 - Crimps</t>
  </si>
  <si>
    <t>KHKD015</t>
  </si>
  <si>
    <t>F-Bloc</t>
  </si>
  <si>
    <t>Traprock</t>
  </si>
  <si>
    <t>Traprock XL 1 - F-Bomb Pinches</t>
  </si>
  <si>
    <t>KFB019</t>
  </si>
  <si>
    <t>Traprock Large 1 - Plate Slimps</t>
  </si>
  <si>
    <t>KFB005</t>
  </si>
  <si>
    <t>Traprock Large 2 - Flakes</t>
  </si>
  <si>
    <t>KFB006</t>
  </si>
  <si>
    <t>Traprock Large 3 - Pinches</t>
  </si>
  <si>
    <t>KFB007</t>
  </si>
  <si>
    <t>Traprock Large 4 - Mini Jugs</t>
  </si>
  <si>
    <t>KFB008</t>
  </si>
  <si>
    <t>Traprock Large 5 - Jugs</t>
  </si>
  <si>
    <t>KFB010</t>
  </si>
  <si>
    <t>Traprock Large 6 - Jugs</t>
  </si>
  <si>
    <t>KFB011</t>
  </si>
  <si>
    <t>Traprock Large 7 - Jugs</t>
  </si>
  <si>
    <t>KFB020</t>
  </si>
  <si>
    <t>Traprock Large 8 - Slots</t>
  </si>
  <si>
    <t>KFB022</t>
  </si>
  <si>
    <t>Traprock Large 9 - Slots</t>
  </si>
  <si>
    <t>KFB024</t>
  </si>
  <si>
    <t>Traprock Medium 1 - Plate Crimps</t>
  </si>
  <si>
    <t>KFB002</t>
  </si>
  <si>
    <t>Traprock Medium 2 - Flat Front Incuts</t>
  </si>
  <si>
    <t>KFB003</t>
  </si>
  <si>
    <t>Traprock Medium 3 - Pinches</t>
  </si>
  <si>
    <t>KFB014</t>
  </si>
  <si>
    <t>Traprock Medium 4 - Pinches</t>
  </si>
  <si>
    <t>KFB015</t>
  </si>
  <si>
    <t>Traprock Medium 5 - Pinches</t>
  </si>
  <si>
    <t>KFB016</t>
  </si>
  <si>
    <t>Traprock Medium 6 - Pinches</t>
  </si>
  <si>
    <t>KFB017</t>
  </si>
  <si>
    <t>Traprock Medium 7 - Incuts</t>
  </si>
  <si>
    <t>KFB023</t>
  </si>
  <si>
    <t>Traprock Small 1 - Rib Feet</t>
  </si>
  <si>
    <t>KFB001</t>
  </si>
  <si>
    <t>Traprock Small 2 - Tech Rib Feet</t>
  </si>
  <si>
    <t>KFB009</t>
  </si>
  <si>
    <t>Traprock Small 3 - Steep Feet and Crimps</t>
  </si>
  <si>
    <t>KFB018</t>
  </si>
  <si>
    <t>Traprock Small 4 - Steep Feet and Crimps</t>
  </si>
  <si>
    <t>KFB021</t>
  </si>
  <si>
    <t>Traprock Jib Plates Medium 1</t>
  </si>
  <si>
    <t>KFB004</t>
  </si>
  <si>
    <t>Traprock Jib Plates Large 1 - Seams</t>
  </si>
  <si>
    <t>KFB012</t>
  </si>
  <si>
    <t>Traprock Jib Plates Large 2 - Edges</t>
  </si>
  <si>
    <t>KFB013</t>
  </si>
  <si>
    <t>Granite</t>
  </si>
  <si>
    <t>Granite Kaiju 7-8 -  Complex Stalactite and Incut</t>
  </si>
  <si>
    <t>KHIP029 (Kit)</t>
  </si>
  <si>
    <t>LINK</t>
  </si>
  <si>
    <t>Granite Kaiju 7 - Complex Stalactite</t>
  </si>
  <si>
    <t>KHIP029-1</t>
  </si>
  <si>
    <t>Granite Kaiju 8 - Complex Incut</t>
  </si>
  <si>
    <t>KHIP029-2</t>
  </si>
  <si>
    <t>Granite Kaiju 9-10 - Complex Plate Incuts</t>
  </si>
  <si>
    <t>KHIP031 (Kit)</t>
  </si>
  <si>
    <t>Granite Kaiju 9 - Complex Plate Incut</t>
  </si>
  <si>
    <t>KHIP031-1</t>
  </si>
  <si>
    <t>Granite Kaiju 10 - Complex Plate Incut</t>
  </si>
  <si>
    <t>KHIP031-2</t>
  </si>
  <si>
    <t xml:space="preserve">	Granite Kaiju 11-13 - Complex Ledge, Pinch Bar, and Slopey Pinch</t>
  </si>
  <si>
    <t>KHIP033 (Kit)</t>
  </si>
  <si>
    <t>Granite Kaiju 11 - Complex Ledge</t>
  </si>
  <si>
    <t>KHIP033-1</t>
  </si>
  <si>
    <t>Granite Kaiju 12 - Complex Pinch Bar</t>
  </si>
  <si>
    <t>KHIP033-2</t>
  </si>
  <si>
    <t>Granite Kaiju 13 - Complex Slopey Pinch</t>
  </si>
  <si>
    <t>KHIP033-3</t>
  </si>
  <si>
    <t>Granite Kaiju 15-16 - Complex Edges</t>
  </si>
  <si>
    <t>KHIP049 (Kit)</t>
  </si>
  <si>
    <t>Granite Kaiju 15 - Complex Edge</t>
  </si>
  <si>
    <t>KHIP049-1</t>
  </si>
  <si>
    <t>Granite Kaiju 16 - Complex Edge</t>
  </si>
  <si>
    <t>KHIP049-2</t>
  </si>
  <si>
    <t>Granite Kaiju 17-19 - Complex Jug Ledges</t>
  </si>
  <si>
    <t>KHIP040 (Kit)</t>
  </si>
  <si>
    <t>Granite Kaiju 17 - Complex Jug Ledge</t>
  </si>
  <si>
    <t>KHIP040-1</t>
  </si>
  <si>
    <t>Granite Kaiju 18 - Complex Jug Ledge</t>
  </si>
  <si>
    <t>KHIP040-2</t>
  </si>
  <si>
    <t>Granite Kaiju 19 - Complex Jug Ledge</t>
  </si>
  <si>
    <t>KHIP040-3</t>
  </si>
  <si>
    <t>Granite 2XL 3 - Complex Plate Incuts</t>
  </si>
  <si>
    <t>KHIP030</t>
  </si>
  <si>
    <t>Granite 2XL 4 - Complex Incuts</t>
  </si>
  <si>
    <t>KHIP032</t>
  </si>
  <si>
    <t>Granite 2XL 5 - Complex Slopers</t>
  </si>
  <si>
    <t>KHIP037</t>
  </si>
  <si>
    <t>Granite 2XL 6 - Complex Pinches</t>
  </si>
  <si>
    <t>KHIP039</t>
  </si>
  <si>
    <t>Granite 2XL 7 - Complex Blocky Incuts</t>
  </si>
  <si>
    <t>KHIP043</t>
  </si>
  <si>
    <t>Granite 2XL 8 - Complex Ledges</t>
  </si>
  <si>
    <t>KHIP045</t>
  </si>
  <si>
    <t>Granite 2XL 10 - Complex Jugs</t>
  </si>
  <si>
    <t>KHIP058</t>
  </si>
  <si>
    <t>Granite XL 9 - Complex Blocky Incuts</t>
  </si>
  <si>
    <t>KHIP034</t>
  </si>
  <si>
    <t>Granite XL 10 - Complex Blocky Slopers</t>
  </si>
  <si>
    <t>KHIP035</t>
  </si>
  <si>
    <t>Granite XL 11 - Complex Blocky Incuts</t>
  </si>
  <si>
    <t>K212</t>
  </si>
  <si>
    <t>Granite XL 12 - Complex Blocky Incuts</t>
  </si>
  <si>
    <t>KHIP042</t>
  </si>
  <si>
    <t>Granite XL 13 - Complex Blocker Slopers</t>
  </si>
  <si>
    <t>KHIP048</t>
  </si>
  <si>
    <t>Granite XL 14 - Complex Blocky Incuts</t>
  </si>
  <si>
    <t>KHIP044</t>
  </si>
  <si>
    <t>Granite Large 1 - Complex Blocker Slopers</t>
  </si>
  <si>
    <t>KHIP047</t>
  </si>
  <si>
    <t>Granite Large 2 - Complex Slopers and Edges</t>
  </si>
  <si>
    <t>KHIP050</t>
  </si>
  <si>
    <t>Granite Large 3 - Complex Blocky Incuts</t>
  </si>
  <si>
    <t>KHIP046</t>
  </si>
  <si>
    <t>Granite Large 4 - Complex Jibs</t>
  </si>
  <si>
    <t>KHIP053</t>
  </si>
  <si>
    <t>Granite Medium 6 - Complex Crisper Crimps</t>
  </si>
  <si>
    <t>K198</t>
  </si>
  <si>
    <t>Granite Medium 7 - Complex Rounded Crimps</t>
  </si>
  <si>
    <t>KHIP028</t>
  </si>
  <si>
    <t>Granite Medium 8 - Complex Jibs</t>
  </si>
  <si>
    <t>KHIP038</t>
  </si>
  <si>
    <t>Granite Small 3 - Complex Blocky Incuts</t>
  </si>
  <si>
    <t>KHIP036</t>
  </si>
  <si>
    <t>Granite Kaiju 1-3</t>
  </si>
  <si>
    <t>KHWA015 (Kit)</t>
  </si>
  <si>
    <t>Granite Kaiju 1</t>
  </si>
  <si>
    <t>KHWA015-1</t>
  </si>
  <si>
    <t>Granite Kaiju 2</t>
  </si>
  <si>
    <t>KHWA015-2</t>
  </si>
  <si>
    <t>Granite Kaiju 3</t>
  </si>
  <si>
    <t>KHWA015-3</t>
  </si>
  <si>
    <t>Granite Kaiju 5-6</t>
  </si>
  <si>
    <t>KHIP012 (Kit)</t>
  </si>
  <si>
    <t>Granite Kaiju 5</t>
  </si>
  <si>
    <t>KHIP012-2</t>
  </si>
  <si>
    <t>Granite Kaiju 6</t>
  </si>
  <si>
    <t>KHIP012-3</t>
  </si>
  <si>
    <t>Granite Kaiju 7-8</t>
  </si>
  <si>
    <t>KHIP051 (Kit)</t>
  </si>
  <si>
    <t>Granite Kaiju 7</t>
  </si>
  <si>
    <t>KHIP051-1</t>
  </si>
  <si>
    <t>Granite Kaiju 8</t>
  </si>
  <si>
    <t>KHIP051-2</t>
  </si>
  <si>
    <t>Granite 2XL 1 - Jugs</t>
  </si>
  <si>
    <t>KHWA014</t>
  </si>
  <si>
    <t>Granite 2XL 2 - Slopers</t>
  </si>
  <si>
    <t>KHWA016</t>
  </si>
  <si>
    <t>Granite 2XL 3 - Slopers</t>
  </si>
  <si>
    <t>KHIP052</t>
  </si>
  <si>
    <t>Granite XL 5 - Pockets</t>
  </si>
  <si>
    <t>KHIP022</t>
  </si>
  <si>
    <t>Granite XL 6 - Pockets</t>
  </si>
  <si>
    <t>KHIP023</t>
  </si>
  <si>
    <t>Granite XL 7 - Pockets</t>
  </si>
  <si>
    <t>KHIP024</t>
  </si>
  <si>
    <t>Granite XL 1 - Blocks</t>
  </si>
  <si>
    <t>KHWA013</t>
  </si>
  <si>
    <t>Granite XL 2 - Plates</t>
  </si>
  <si>
    <t>KHWA018</t>
  </si>
  <si>
    <t>Granite XL 4 - Plate Jugs</t>
  </si>
  <si>
    <t>KHWA020</t>
  </si>
  <si>
    <t>Granite XL 5 - Slopers</t>
  </si>
  <si>
    <t>KHIP059</t>
  </si>
  <si>
    <t>NAME</t>
  </si>
  <si>
    <t>Granite Large 1 - Jugs</t>
  </si>
  <si>
    <t>KHIP018</t>
  </si>
  <si>
    <t>Granite Large 2 - Jugs</t>
  </si>
  <si>
    <t>KHIP019</t>
  </si>
  <si>
    <t>Granite Large 1 - Slopers</t>
  </si>
  <si>
    <t>KHWA002</t>
  </si>
  <si>
    <t>Granite Large 2 - Slopers</t>
  </si>
  <si>
    <t>KHWA008</t>
  </si>
  <si>
    <t>Granite Large 3 - Pinches</t>
  </si>
  <si>
    <t>KHWA009</t>
  </si>
  <si>
    <t>Granite Large 4 - Dishes</t>
  </si>
  <si>
    <t>KHWA011</t>
  </si>
  <si>
    <t>Granite Large 5 - Pinches</t>
  </si>
  <si>
    <t>KHWA012</t>
  </si>
  <si>
    <t>Granite Large 6 - Pinches</t>
  </si>
  <si>
    <t>KHWA017</t>
  </si>
  <si>
    <t>Granite Medium 1 - Jugs</t>
  </si>
  <si>
    <t>KHIP017</t>
  </si>
  <si>
    <t>Granite Medium 3 - Pockets</t>
  </si>
  <si>
    <t>KHIP021</t>
  </si>
  <si>
    <t>Granite Medium 4 - Pockets</t>
  </si>
  <si>
    <t>KHIP025</t>
  </si>
  <si>
    <t>Granite Medium 5 - Pockets</t>
  </si>
  <si>
    <t>KHIP026</t>
  </si>
  <si>
    <t>Granite Medium 9 - Raised Edges</t>
  </si>
  <si>
    <t>KHIP054</t>
  </si>
  <si>
    <t>Granite Medium 1 - Mini Jugs</t>
  </si>
  <si>
    <t>KHWA003</t>
  </si>
  <si>
    <t>Granite Medium 2 - Slopers</t>
  </si>
  <si>
    <t>KHWA006</t>
  </si>
  <si>
    <t>Granite Medium 3 - Steep Crimpers</t>
  </si>
  <si>
    <t>KHWA007</t>
  </si>
  <si>
    <t>Granite Medium 5 - Incuts</t>
  </si>
  <si>
    <t>KHWA022</t>
  </si>
  <si>
    <t>Granite Small 1 - Crimps</t>
  </si>
  <si>
    <t>KHWA005</t>
  </si>
  <si>
    <t>Granite Small 2 - Dishes</t>
  </si>
  <si>
    <t>KHWA010</t>
  </si>
  <si>
    <t>Granite Small 3 - Edges</t>
  </si>
  <si>
    <t>KHIP057</t>
  </si>
  <si>
    <t>Granite Small 4 - Slopey Crimps/Feet</t>
  </si>
  <si>
    <t>KHIP060</t>
  </si>
  <si>
    <t>Granite Small 5 - Incut Crimps/Feet</t>
  </si>
  <si>
    <t>KHIP061</t>
  </si>
  <si>
    <t>Granite Small 6 - Crimps/Feet</t>
  </si>
  <si>
    <t>KHIP062</t>
  </si>
  <si>
    <t xml:space="preserve">Granite Small 7 - Crimps/Feet </t>
  </si>
  <si>
    <t>KHIP063</t>
  </si>
  <si>
    <t>Granite Small 8 - Slopers/Crimps/Feet</t>
  </si>
  <si>
    <t>KHIP064</t>
  </si>
  <si>
    <t>Granite Small 9 - Slopey Crimps/Feet</t>
  </si>
  <si>
    <t>KHIP065</t>
  </si>
  <si>
    <t>Granite Small 10 - Slopey Crimps/Feet</t>
  </si>
  <si>
    <t>KHIP066</t>
  </si>
  <si>
    <t>Granite Small 11 - Incut and Flat Crimps / Feet</t>
  </si>
  <si>
    <t>KHIP067</t>
  </si>
  <si>
    <t>Granite Feet Set 1</t>
  </si>
  <si>
    <t>KHIP013</t>
  </si>
  <si>
    <t>Granite Feet Set 2</t>
  </si>
  <si>
    <t>KHIP014</t>
  </si>
  <si>
    <t>Mod Granite Feet Set 1</t>
  </si>
  <si>
    <t>KHIP015</t>
  </si>
  <si>
    <t>Granite XS 1 - Techy Feet</t>
  </si>
  <si>
    <t>KHPJ011</t>
  </si>
  <si>
    <t>Granite XS 1 - Feet</t>
  </si>
  <si>
    <t>KHWA004</t>
  </si>
  <si>
    <t>Granite Jibs Large 1</t>
  </si>
  <si>
    <t>KHPJ012</t>
  </si>
  <si>
    <t>KHIP007</t>
  </si>
  <si>
    <t>Granite Jibs Large 2 - Volume Jibs</t>
  </si>
  <si>
    <t>KHIP009</t>
  </si>
  <si>
    <t>Curvy Mod Granite Jibs Set 1</t>
  </si>
  <si>
    <t>KHIP016</t>
  </si>
  <si>
    <t>Dual Tex Competition Line</t>
  </si>
  <si>
    <t>Sandstone Kaiju Huecos 4-6 Dual Tex</t>
  </si>
  <si>
    <t>K161 DT (Kit)</t>
  </si>
  <si>
    <t>PHOTO</t>
  </si>
  <si>
    <t>Sandstone Kaiju Hueco 4 Dual Tex</t>
  </si>
  <si>
    <t>K161-1 DT</t>
  </si>
  <si>
    <t>Sandstone Kaiju Hueco 5 Dual Tex</t>
  </si>
  <si>
    <t>K161-2 DT</t>
  </si>
  <si>
    <t>Sandstone Kaiju Hueco 6 Dual Tex</t>
  </si>
  <si>
    <t>K161-3 DT</t>
  </si>
  <si>
    <t>Sandstone Kaiju Huecos 7-8 Dual Tex</t>
  </si>
  <si>
    <t>K228</t>
  </si>
  <si>
    <t>Sandstone Kaiju Plate Sloper Huecos 1-3 Dual Tex</t>
  </si>
  <si>
    <t>K162 DT (Kit)</t>
  </si>
  <si>
    <t>Sandstone Kaiju Plate Sloper Hueco 1 Dual Tex</t>
  </si>
  <si>
    <t>K162-1 DT</t>
  </si>
  <si>
    <t>Sandstone Kaiju Plate Sloper Hueco 2 Dual Tex</t>
  </si>
  <si>
    <t>K162-2 DT</t>
  </si>
  <si>
    <t>Sandstone Kaiju Plate Sloper Hueco 3 Dual Tex</t>
  </si>
  <si>
    <t>K162-3 DT</t>
  </si>
  <si>
    <t>Sandstone 2XL 8 - Plate Sloper Huecos Dual Tex</t>
  </si>
  <si>
    <t>K222</t>
  </si>
  <si>
    <t>Sandstone 2XL 9 - Dual Tex Brushed Scoops</t>
  </si>
  <si>
    <t>K229</t>
  </si>
  <si>
    <t>Sandstone XS 2D - Plate Sloper Feet - Dual Tex</t>
  </si>
  <si>
    <t>K149 DT</t>
  </si>
  <si>
    <t>Sandstone Jibs 7 - Small Dual Tex Jib Scoops</t>
  </si>
  <si>
    <t>K256</t>
  </si>
  <si>
    <t>Granite 2XL 11 - Complex Dual Tex Jugs and Blockers</t>
  </si>
  <si>
    <t>KHIP069</t>
  </si>
  <si>
    <t>Granite 2XL 3 - Dual Tex Slopers</t>
  </si>
  <si>
    <t>KHIP071</t>
  </si>
  <si>
    <t>Granite XL 15 - Complex Slopers and Pinch</t>
  </si>
  <si>
    <t>KHIP070</t>
  </si>
  <si>
    <t>Granite XL 6 - Dual Tex Pinches</t>
  </si>
  <si>
    <t>KHIP068</t>
  </si>
  <si>
    <t>Granite Large 9 - Dual Tex Texture Plates</t>
  </si>
  <si>
    <t>KHIP056</t>
  </si>
  <si>
    <t>Granite Feet Set 1 - Dual Tex</t>
  </si>
  <si>
    <t>KHIP013 DT</t>
  </si>
  <si>
    <t>Granite Jibs Large 4 - Dual Tex Jib Plates</t>
  </si>
  <si>
    <t>KHIP055</t>
  </si>
  <si>
    <t>Granite Jibs Large 5 - Dual Tex Pinches</t>
  </si>
  <si>
    <t>KHPJ025</t>
  </si>
  <si>
    <t>Granite Jibs Small 1 - Dual Tex Jib Scoops</t>
  </si>
  <si>
    <t>KHIP072</t>
  </si>
  <si>
    <t>Aroldo's Roda 1 - Dual Tex Jibs</t>
  </si>
  <si>
    <t>KU003</t>
  </si>
  <si>
    <t>Anders' Super Fine Dual Tex Badges S1</t>
  </si>
  <si>
    <t>KHAR01</t>
  </si>
  <si>
    <t>Anders' Super Fine Dual Tex Badges XS Jibs 1</t>
  </si>
  <si>
    <t>KHAR02</t>
  </si>
  <si>
    <t>Jimmy's Dual Tex 1 - Kaiju Sloper Ledge</t>
  </si>
  <si>
    <t>KHJW017</t>
  </si>
  <si>
    <t>Jimmy's Dual Tex 2 - 2XL Jib Sloper Scoops</t>
  </si>
  <si>
    <t>KHJW018</t>
  </si>
  <si>
    <t>Jimmy's Dual Tex 3 - 2XL Sloper Scoops</t>
  </si>
  <si>
    <t>KHJW019</t>
  </si>
  <si>
    <t>Keith Dickey - Stella and Stella/Granite Junction</t>
  </si>
  <si>
    <t>Stella Kaiju Knobs 1-3</t>
  </si>
  <si>
    <t>KHKD007 (Kit)</t>
  </si>
  <si>
    <t>Stella Kaiju Knobs 1</t>
  </si>
  <si>
    <t>KHKD007-1</t>
  </si>
  <si>
    <t>Stella Kaiju Knobs 2</t>
  </si>
  <si>
    <t>KHKD007-2</t>
  </si>
  <si>
    <t>Stella Kaiju Knobs 3</t>
  </si>
  <si>
    <t>KHKD007-3</t>
  </si>
  <si>
    <t>Stella XL 1 - Puffy Balls</t>
  </si>
  <si>
    <t>KHKD006</t>
  </si>
  <si>
    <t>Stella XL 2 - Granite Junction Puffy Knobs</t>
  </si>
  <si>
    <t>KHKD013</t>
  </si>
  <si>
    <t>Stella Large 1 - Granite Junction Pinches</t>
  </si>
  <si>
    <t>KHKD012</t>
  </si>
  <si>
    <t>Stella Medium 1 - Puffy Incuts</t>
  </si>
  <si>
    <t>KHKD005</t>
  </si>
  <si>
    <t>Stella Medium 2 - Puffy Pinches</t>
  </si>
  <si>
    <t>KHKD008</t>
  </si>
  <si>
    <t>Stella Medium 3 - Granite Junction Pinches</t>
  </si>
  <si>
    <t>KHKD010</t>
  </si>
  <si>
    <t>Stella Medium 4 - Puffy Pinches</t>
  </si>
  <si>
    <t>KHKD011</t>
  </si>
  <si>
    <t>Stella Small 1 - Low Angle Pinches</t>
  </si>
  <si>
    <t>KHKD001</t>
  </si>
  <si>
    <t>Stella Small 2 - Incut Pinches</t>
  </si>
  <si>
    <t>KHKD002</t>
  </si>
  <si>
    <t>Stella Small 3 - Plate Slopers</t>
  </si>
  <si>
    <t>KHKD003</t>
  </si>
  <si>
    <t>Stella XS 1 - Slopey Disks</t>
  </si>
  <si>
    <t>KHKD004</t>
  </si>
  <si>
    <t>Stella XS 2 - Hooded Feet</t>
  </si>
  <si>
    <t>KHKD009</t>
  </si>
  <si>
    <t>Teagan</t>
  </si>
  <si>
    <t>Teagan Kaiju Stalactites 1-3</t>
  </si>
  <si>
    <t>K047 (Kit)</t>
  </si>
  <si>
    <t>Teagan Kaiju Stalactite 1</t>
  </si>
  <si>
    <t>K047-1</t>
  </si>
  <si>
    <t>Teagan Kaiju Stalactite 2</t>
  </si>
  <si>
    <t>K047-2</t>
  </si>
  <si>
    <t>Teagan Kaiju Stalactite 3</t>
  </si>
  <si>
    <t>K047-3</t>
  </si>
  <si>
    <t>Teagan 2XL Slopers 1</t>
  </si>
  <si>
    <t>K074</t>
  </si>
  <si>
    <t>Teagan Large 1 - Flakes and Pinches</t>
  </si>
  <si>
    <t>K034</t>
  </si>
  <si>
    <t>Teagan Large 2 - Horns and Knobs</t>
  </si>
  <si>
    <t>K036</t>
  </si>
  <si>
    <t>Teagan Large 3 - Slopers</t>
  </si>
  <si>
    <t>K118</t>
  </si>
  <si>
    <t>Teagan Medium 1 - Mini Jugs</t>
  </si>
  <si>
    <t>K013</t>
  </si>
  <si>
    <t>Teagan Medium 2 - Incuts</t>
  </si>
  <si>
    <t>K022</t>
  </si>
  <si>
    <t>Teagan Medium 3 - Pinches and Low Angle Crimps</t>
  </si>
  <si>
    <t>K026</t>
  </si>
  <si>
    <t>Teagan Medium 4 - Low Angle Pinches</t>
  </si>
  <si>
    <t>K041</t>
  </si>
  <si>
    <t>Teagan Medium 5 - Mini Jugs</t>
  </si>
  <si>
    <t>K043</t>
  </si>
  <si>
    <t>Teagan Medium 6 - Slopers</t>
  </si>
  <si>
    <t>K045</t>
  </si>
  <si>
    <t>Teagan XS 1 - Steep Feet</t>
  </si>
  <si>
    <t>K018</t>
  </si>
  <si>
    <t>Teagan XS 2 - Steep Feet</t>
  </si>
  <si>
    <t>K019</t>
  </si>
  <si>
    <t>Jimmy Webb - Southern Sandstone Slopers</t>
  </si>
  <si>
    <t>Jimmy's Southern Slopers Kaiju 1-3</t>
  </si>
  <si>
    <t>KHJW002 (Kit)</t>
  </si>
  <si>
    <t>Jimmy's Southern Slopers Kaiju 1</t>
  </si>
  <si>
    <t>KHJW002-1</t>
  </si>
  <si>
    <t>Jimmy's Southern Slopers Kaiju 2</t>
  </si>
  <si>
    <t>KHJW002-2</t>
  </si>
  <si>
    <t>Jimmy's Southern Slopers Kaiju 3</t>
  </si>
  <si>
    <t>KHJW002-3</t>
  </si>
  <si>
    <t>Jimmy's Southern Sandstone Kaiju 4-6 - Big Fat Brushed Ledges</t>
  </si>
  <si>
    <t>KHJW016 (Kit)</t>
  </si>
  <si>
    <t>Link</t>
  </si>
  <si>
    <t>Jimmy's Southern Sandstone Kaiju 4</t>
  </si>
  <si>
    <t>KHJW016-1</t>
  </si>
  <si>
    <t>Jimmy's Southern Sandstone Kaiju 5</t>
  </si>
  <si>
    <t>KHJW016-2</t>
  </si>
  <si>
    <t>Jimmy's Southern Sandstone Kaiju 6</t>
  </si>
  <si>
    <t>KHJW016-3</t>
  </si>
  <si>
    <t>Jimmy's Southern Slopers 2XL 1 - Multi-Slopers</t>
  </si>
  <si>
    <t>KHJW004</t>
  </si>
  <si>
    <t>Jimmy's Southern Slopers 2XL 2 - Slopers</t>
  </si>
  <si>
    <t>KHJW005</t>
  </si>
  <si>
    <t>Jimmy's Southern Sandstone 2XL 1 - Big Biscuits Roof Jugs</t>
  </si>
  <si>
    <t>KHJW012</t>
  </si>
  <si>
    <t>Jimmy's Southern Slopers XL 1 - Pinches</t>
  </si>
  <si>
    <t>KHJW003</t>
  </si>
  <si>
    <t>Jimmy's Southern Sandstone XL 1 - Big Biscuits Roof Slopers</t>
  </si>
  <si>
    <t>KHJW008</t>
  </si>
  <si>
    <t>Jimmy's Southern Sandstone XL 2 - Big Biscuits Roof Slugs</t>
  </si>
  <si>
    <t>KHJW013</t>
  </si>
  <si>
    <t>Jimmy's Sandstone Large 1 - Dishes</t>
  </si>
  <si>
    <t>KHJW001</t>
  </si>
  <si>
    <t>Jimmy's Southern Sandstone L1 - Big Biscuits Roof Slopers</t>
  </si>
  <si>
    <t>KHJW014</t>
  </si>
  <si>
    <t>Jimmy's Southern Sandstone L2 - Big Biscuits Jugs</t>
  </si>
  <si>
    <t>KHJW015</t>
  </si>
  <si>
    <t>Jimmy's Clean Crimps Small 1</t>
  </si>
  <si>
    <t>KHJW006</t>
  </si>
  <si>
    <t>Jimmy's Clean Crimps Small 2</t>
  </si>
  <si>
    <t>KHJW007</t>
  </si>
  <si>
    <t>Jimmy's Sandstone Small 1 - Lil' Biscuits Crimps</t>
  </si>
  <si>
    <t>KHJW011</t>
  </si>
  <si>
    <t>Jimmy's Southern Sandstone XS 2 - Lil' Biscuits Feet</t>
  </si>
  <si>
    <t>KHJW010</t>
  </si>
  <si>
    <t>Dune and Lo Riders (more in Comp-X section below)</t>
  </si>
  <si>
    <t>Jeremy's Ho Dune Kaiju Set 1 - Huecos 2&amp;3</t>
  </si>
  <si>
    <t>KHJH007 (Kit)</t>
  </si>
  <si>
    <t>Jeremy's Ho Dune Kaiju 2 - Hueco</t>
  </si>
  <si>
    <t>KHJH007-2</t>
  </si>
  <si>
    <t>Jeremy's Ho Dune Kaiju 3 - Hueco</t>
  </si>
  <si>
    <t>KHJH007-3</t>
  </si>
  <si>
    <t>Jeremy's Ho Dune 2XL 1 - Huecos</t>
  </si>
  <si>
    <t>KHJH008</t>
  </si>
  <si>
    <t>Jeremy's Ho Dune 2XL 2 - Jugs</t>
  </si>
  <si>
    <t>KHJH009</t>
  </si>
  <si>
    <t>Jeremy's Ho Dune XL 1 - Hueco Jugs</t>
  </si>
  <si>
    <t>KHJH010</t>
  </si>
  <si>
    <t>Jeremy's Ho Dune XL 2 - Jugs</t>
  </si>
  <si>
    <t>KHJH012</t>
  </si>
  <si>
    <t>Jeremy's Ho Dune XL 3 - Pinches</t>
  </si>
  <si>
    <t>KHJH013</t>
  </si>
  <si>
    <t>Jeremy's Ho Dune Large 1 - Pinches</t>
  </si>
  <si>
    <t>KHJH011</t>
  </si>
  <si>
    <t>Jeremy's Ho Dune Large 2 - Jugs</t>
  </si>
  <si>
    <t>KHJH015</t>
  </si>
  <si>
    <t>Jeremy's Ho Dune Large 3 - Jugs</t>
  </si>
  <si>
    <t>KHJH018</t>
  </si>
  <si>
    <t>Jeremy's Ho Dune Small 1 - Low Angle Crimps</t>
  </si>
  <si>
    <t>KHJH003</t>
  </si>
  <si>
    <t>Jeremy's Ho Dune Small 2 - Low Angle Crimps</t>
  </si>
  <si>
    <t>KHJH004</t>
  </si>
  <si>
    <t>Jeremy's Ho Dune Small 3 - Incut Open Crimps</t>
  </si>
  <si>
    <t>KHJH005</t>
  </si>
  <si>
    <t>Jeremy's Ho Dune XS 1 - Feet</t>
  </si>
  <si>
    <t>KHJH006</t>
  </si>
  <si>
    <t>Jeremy's Lo Riders 2XL 1</t>
  </si>
  <si>
    <t>KHJH001</t>
  </si>
  <si>
    <t>Jeremy's Lo Riders XL 1 - Brushed Sandstone</t>
  </si>
  <si>
    <t>KHJH017</t>
  </si>
  <si>
    <t>Geo Complex</t>
  </si>
  <si>
    <t>Pete's Geo Complex Kaiju Set 1 - Pinches</t>
  </si>
  <si>
    <t>KHPJ018</t>
  </si>
  <si>
    <t>Pete's Geo Complex Kaiju Set 2 - Plate Edges</t>
  </si>
  <si>
    <t>KHPJ019</t>
  </si>
  <si>
    <t>Pete's Geo Complex Kaiju Set 3 - Jug and Blocker</t>
  </si>
  <si>
    <t>KHPJ021</t>
  </si>
  <si>
    <t>Pete's Geo Complex 2XL Set 1 - Jugs and Jibs</t>
  </si>
  <si>
    <t>KHPJ002</t>
  </si>
  <si>
    <t>Pete's Geo Complex 2XL Set 2 - Edges</t>
  </si>
  <si>
    <t>KHPJ015</t>
  </si>
  <si>
    <t>Pete's Geo Complex 2XL Set 3 - Pinches</t>
  </si>
  <si>
    <t>KHPJ017</t>
  </si>
  <si>
    <t>Pete's Geo Complex 2XL - Edges</t>
  </si>
  <si>
    <t>KHPJ022</t>
  </si>
  <si>
    <t>Pete's Geo Complex XL Set 1 - Jugs and Jibs</t>
  </si>
  <si>
    <t>KHPJ003</t>
  </si>
  <si>
    <t>Pete's Geo Complex XL Set 2 - Jugs and Jibs</t>
  </si>
  <si>
    <t>KHPJ004</t>
  </si>
  <si>
    <t>Pete's Geo Complex Large Bars Set 2 - Rails</t>
  </si>
  <si>
    <t>KHPJ020</t>
  </si>
  <si>
    <t>Pete's Geo Complex Medium Set 1 - Edges</t>
  </si>
  <si>
    <t>KHPJ008</t>
  </si>
  <si>
    <t>Pete's Geo Complex Medium Set 2 - Curved Edges and Blockers</t>
  </si>
  <si>
    <t>KHPJ009</t>
  </si>
  <si>
    <t>Pete's Geo Complex Medium Set 3 - Edges and Blockers</t>
  </si>
  <si>
    <t>KHPJ010</t>
  </si>
  <si>
    <t>Pete's Geo Complex Medium Set 4 - Edges and Blockers</t>
  </si>
  <si>
    <t>KHPJ013</t>
  </si>
  <si>
    <t>Pete's Geo Feet XS Set 1</t>
  </si>
  <si>
    <t>KHPJ005</t>
  </si>
  <si>
    <t>Pete's Geo Complex XS Set 2 - Curved Feet - Dual Tex</t>
  </si>
  <si>
    <t>KHPJ006 DT</t>
  </si>
  <si>
    <t>Pete's Geo Complex XS Set 3 - Curved Feet</t>
  </si>
  <si>
    <t>KHPJ014</t>
  </si>
  <si>
    <t>Pete's Geo Complex Jibs Set 1</t>
  </si>
  <si>
    <t>KHPJ007</t>
  </si>
  <si>
    <t>Ian's Geo Jibs Small Slick 1</t>
  </si>
  <si>
    <t>KHIP001</t>
  </si>
  <si>
    <t>Ian's Geo Jibs Medium Slick 1</t>
  </si>
  <si>
    <t>KHIP002</t>
  </si>
  <si>
    <t>Ian's Geo Jibs Medium Slick 2</t>
  </si>
  <si>
    <t>KHIP003</t>
  </si>
  <si>
    <t>Ian's Geo Jibs Large Slick 1</t>
  </si>
  <si>
    <t>KHIP004</t>
  </si>
  <si>
    <t>Noah</t>
  </si>
  <si>
    <t>Noah Complex Large Set 1 - Kit (1xK187, 2xK188)</t>
  </si>
  <si>
    <t>K187/188 (Kit)</t>
  </si>
  <si>
    <t>Noah Complex Large Set 1 - Blocker Jibs</t>
  </si>
  <si>
    <t>K187</t>
  </si>
  <si>
    <t>Noah Complex Large Set 1 - Jugs</t>
  </si>
  <si>
    <t>K188</t>
  </si>
  <si>
    <t>Noah Kaiju Huecos 1-3</t>
  </si>
  <si>
    <t>K049 (Kit)</t>
  </si>
  <si>
    <t>Noah Kaiju Hueco 1</t>
  </si>
  <si>
    <t>K049-1</t>
  </si>
  <si>
    <t>Noah Kaiju Hueco 2</t>
  </si>
  <si>
    <t>K049-2</t>
  </si>
  <si>
    <t>Noah Kaiju Hueco 3</t>
  </si>
  <si>
    <t>K049-3</t>
  </si>
  <si>
    <t>Noah Kaiju Roof Slopers 1-3</t>
  </si>
  <si>
    <t>K053 (Kit)</t>
  </si>
  <si>
    <t>Noah Kaiju Roof Sloper 1</t>
  </si>
  <si>
    <t>K053-1</t>
  </si>
  <si>
    <t>Noah Kaiju Roof Sloper 2</t>
  </si>
  <si>
    <t>K053-2</t>
  </si>
  <si>
    <t>Noah Kaiju Roof Sloper 3</t>
  </si>
  <si>
    <t>K053-3</t>
  </si>
  <si>
    <t>Noah Kaiju Huecos 4-6</t>
  </si>
  <si>
    <t>K063 (Kit)</t>
  </si>
  <si>
    <t>Noah Kaiju Hueco 4</t>
  </si>
  <si>
    <t>K063-1</t>
  </si>
  <si>
    <t>Noah Kaiju Hueco 5</t>
  </si>
  <si>
    <t>K063-2</t>
  </si>
  <si>
    <t>Noah Kaiju Hueco 6</t>
  </si>
  <si>
    <t>K063-3</t>
  </si>
  <si>
    <t>Noah Kaiju Huecos 7-9</t>
  </si>
  <si>
    <t>K065 (Kit)</t>
  </si>
  <si>
    <t>Noah Kaiju Hueco 7</t>
  </si>
  <si>
    <t>K065-1</t>
  </si>
  <si>
    <t>Noah Kaiju Hueco 8</t>
  </si>
  <si>
    <t>K065-2</t>
  </si>
  <si>
    <t>Noah Kaiju Hueco 9</t>
  </si>
  <si>
    <t>K065-3</t>
  </si>
  <si>
    <t>Noah Kaiju Huecos 10-12</t>
  </si>
  <si>
    <t>K066 (Kit)</t>
  </si>
  <si>
    <t>Noah Kaiju Hueco 10</t>
  </si>
  <si>
    <t>K066-1</t>
  </si>
  <si>
    <t>Noah Kaiju Hueco 11</t>
  </si>
  <si>
    <t>K066-2</t>
  </si>
  <si>
    <t>Noah Kaiju Hueco 12</t>
  </si>
  <si>
    <t>K066-3</t>
  </si>
  <si>
    <t>Noah Kaiju Knobs 1-3</t>
  </si>
  <si>
    <t>K069 (Kit)</t>
  </si>
  <si>
    <t>Noah Kaiju Knob 1</t>
  </si>
  <si>
    <t>K069-1</t>
  </si>
  <si>
    <t>Noah Kaiju Knob 2</t>
  </si>
  <si>
    <t>K069-2</t>
  </si>
  <si>
    <t>Noah Kaiju Knob 3</t>
  </si>
  <si>
    <t>K069-3</t>
  </si>
  <si>
    <t>Noah 2XL Super Jugs 2</t>
  </si>
  <si>
    <t>K072</t>
  </si>
  <si>
    <t>Noah 2XL Super Jugs 3</t>
  </si>
  <si>
    <t>K073</t>
  </si>
  <si>
    <t>Noah XL 2 - Fins</t>
  </si>
  <si>
    <t>K121</t>
  </si>
  <si>
    <t>Noah XL 3 - Over Jugs</t>
  </si>
  <si>
    <t>K164</t>
  </si>
  <si>
    <t>Noah Large 1 - Pinches</t>
  </si>
  <si>
    <t>K001</t>
  </si>
  <si>
    <t>Noah Large 2 - Low Angle Jugs</t>
  </si>
  <si>
    <t>K007</t>
  </si>
  <si>
    <t>Noah Large 3 - Pinch Jugs</t>
  </si>
  <si>
    <t>K008</t>
  </si>
  <si>
    <t>Noah Large 4 - Jugs</t>
  </si>
  <si>
    <t>K011</t>
  </si>
  <si>
    <t>Noah Large 5 - Over Jugs</t>
  </si>
  <si>
    <t>K054</t>
  </si>
  <si>
    <t>Noah Large 6 - Jugs</t>
  </si>
  <si>
    <t>K060</t>
  </si>
  <si>
    <t>Noah Large 7 - 2 Pad Incut Fins</t>
  </si>
  <si>
    <t>K109</t>
  </si>
  <si>
    <t>Noah Large 8 - 3 Pad Incut Fins</t>
  </si>
  <si>
    <t>K111</t>
  </si>
  <si>
    <t>Noah Large 9 - Plate Fins</t>
  </si>
  <si>
    <t>K116</t>
  </si>
  <si>
    <t>Noah Medium 1 - Mini Jugs</t>
  </si>
  <si>
    <t>K003</t>
  </si>
  <si>
    <t>Noah Medium 2 - Steep Wall Incuts</t>
  </si>
  <si>
    <t>K009</t>
  </si>
  <si>
    <t>Noah Medium 3 - Steep Wall Incuts</t>
  </si>
  <si>
    <t>K012</t>
  </si>
  <si>
    <t>Noah Medium 4 - Pinch Plates</t>
  </si>
  <si>
    <t>K014</t>
  </si>
  <si>
    <t>Noah Medium 5 - Slopey Edges</t>
  </si>
  <si>
    <t>K037</t>
  </si>
  <si>
    <t>Noah Medium 6 - Steep Slots</t>
  </si>
  <si>
    <t>K038</t>
  </si>
  <si>
    <t>Noah Medium 7 - Low Angle Crimps</t>
  </si>
  <si>
    <t>K042</t>
  </si>
  <si>
    <t>Noah Medium 8 - Slots</t>
  </si>
  <si>
    <t>K044</t>
  </si>
  <si>
    <t>Noah Medium 9 - Slots</t>
  </si>
  <si>
    <t>K052</t>
  </si>
  <si>
    <t>Noah Medium 10 - Puffy Incuts</t>
  </si>
  <si>
    <t>K059</t>
  </si>
  <si>
    <t>Noah Medium 11 - Plate Slopers Super Set</t>
  </si>
  <si>
    <t>K078 (Kit)</t>
  </si>
  <si>
    <t>Noah Medium 12 - Puffy Incuts</t>
  </si>
  <si>
    <t>K080</t>
  </si>
  <si>
    <t>Noah Medium 13 - Puffy Incuts</t>
  </si>
  <si>
    <t>K081</t>
  </si>
  <si>
    <t>Noah Medium 14 - Puffy Incuts</t>
  </si>
  <si>
    <t>K084</t>
  </si>
  <si>
    <t>Noah Medium 15 - Plate Slopers</t>
  </si>
  <si>
    <t>K085</t>
  </si>
  <si>
    <t>Noah Medium 16 - Slopey Edges</t>
  </si>
  <si>
    <t>K086</t>
  </si>
  <si>
    <t>Noah Medium 17 - Mini Jugs</t>
  </si>
  <si>
    <t>K087</t>
  </si>
  <si>
    <t>Noah Medium 18 - Flat Seams</t>
  </si>
  <si>
    <t>K095</t>
  </si>
  <si>
    <t>Noah Medium 19 - Plate Slopers</t>
  </si>
  <si>
    <t>K113</t>
  </si>
  <si>
    <t>Noah Medium 20 - Slots</t>
  </si>
  <si>
    <t>K114</t>
  </si>
  <si>
    <t>Noah Medium 21 - Slopey Edges</t>
  </si>
  <si>
    <t>K119</t>
  </si>
  <si>
    <t>Noah Medium 22 - Plate Edges</t>
  </si>
  <si>
    <t>K120</t>
  </si>
  <si>
    <t>Noah Medium 23 - Puffy Incuts</t>
  </si>
  <si>
    <t>K154</t>
  </si>
  <si>
    <t>Noah Medium 24 - Puffy Edges</t>
  </si>
  <si>
    <t>K155</t>
  </si>
  <si>
    <t>Noah Medium 25 - Puffy Edges</t>
  </si>
  <si>
    <t>K156</t>
  </si>
  <si>
    <t>Noah Medium 26 - Mixed Incuts</t>
  </si>
  <si>
    <t>K159</t>
  </si>
  <si>
    <t>Noah Medium 27 - Slots</t>
  </si>
  <si>
    <t>K174</t>
  </si>
  <si>
    <t>Noah Medium 28 - Big Crimps</t>
  </si>
  <si>
    <t>K238</t>
  </si>
  <si>
    <t>Noah Small 1 - Low Angle Crimps</t>
  </si>
  <si>
    <t>K024</t>
  </si>
  <si>
    <t>Noah Small 2 - Steep Wall Incuts</t>
  </si>
  <si>
    <t>K025</t>
  </si>
  <si>
    <t>Noah Small 3 - Crimps</t>
  </si>
  <si>
    <t>K090</t>
  </si>
  <si>
    <t>Noah Small 4 - Crimps</t>
  </si>
  <si>
    <t>K092</t>
  </si>
  <si>
    <t>Noah Small 5 - Rounded Crimps</t>
  </si>
  <si>
    <t>K099</t>
  </si>
  <si>
    <t>Noah Small 6 - 1 Pad Rounded</t>
  </si>
  <si>
    <t>K103</t>
  </si>
  <si>
    <t>Noah Small 7 - 1/2 Pad Rounded Edges</t>
  </si>
  <si>
    <t>K106</t>
  </si>
  <si>
    <t>Noah Small 8 - Crimps</t>
  </si>
  <si>
    <t>K175</t>
  </si>
  <si>
    <t>Noah Small 9 - Crimps</t>
  </si>
  <si>
    <t>K239</t>
  </si>
  <si>
    <t>Noah Small 10 - Crimps</t>
  </si>
  <si>
    <t>K240</t>
  </si>
  <si>
    <t>Noah Small 11 - Crimps</t>
  </si>
  <si>
    <t>K241</t>
  </si>
  <si>
    <t>Noah Small 12 - Mini Jugs/Pinches</t>
  </si>
  <si>
    <t>K244</t>
  </si>
  <si>
    <t>Noah Small 13 - Rounded Incuts</t>
  </si>
  <si>
    <t>K251</t>
  </si>
  <si>
    <t>Noah Small 14 - Mini Jugs</t>
  </si>
  <si>
    <t>K254</t>
  </si>
  <si>
    <t>Noah XS 1 - Steep Feet</t>
  </si>
  <si>
    <t>K020</t>
  </si>
  <si>
    <t>Noah XS 2 - Steep Feet</t>
  </si>
  <si>
    <t>K021</t>
  </si>
  <si>
    <t>Noah XS 3 - Steep Wall Crimps</t>
  </si>
  <si>
    <t>K040</t>
  </si>
  <si>
    <t>Noah XS 4 - Incut Feet</t>
  </si>
  <si>
    <t>K253</t>
  </si>
  <si>
    <t>Noah Jibs 1 - XS Board-Style feet</t>
  </si>
  <si>
    <t>K255</t>
  </si>
  <si>
    <t>Winter</t>
  </si>
  <si>
    <t>Winter Kaiju Huecos 1-3</t>
  </si>
  <si>
    <t>K048 (Kit)</t>
  </si>
  <si>
    <t>Winter Kaiju Hueco 1</t>
  </si>
  <si>
    <t>K048-1</t>
  </si>
  <si>
    <t>Winter Kaiju Hueco 2</t>
  </si>
  <si>
    <t>K048-2</t>
  </si>
  <si>
    <t>Winter Kaiju Hueco 3</t>
  </si>
  <si>
    <t>K048-3</t>
  </si>
  <si>
    <t>Winter Kaiju Huecos 4-6</t>
  </si>
  <si>
    <t>K179 (Kit)</t>
  </si>
  <si>
    <t>Winter Kaiju Hueco 4</t>
  </si>
  <si>
    <t>K179-1</t>
  </si>
  <si>
    <t>Winter Kaiju Hueco 5</t>
  </si>
  <si>
    <t>K179-2</t>
  </si>
  <si>
    <t>Winter Kaiju Hueco 6</t>
  </si>
  <si>
    <t>K179-3</t>
  </si>
  <si>
    <t>Winter Kaiju Slopers 1-3</t>
  </si>
  <si>
    <t>K067 (Kit)</t>
  </si>
  <si>
    <t>Winter Kaiju Sloper 1</t>
  </si>
  <si>
    <t>K067-1</t>
  </si>
  <si>
    <t>Winter Kaiju Sloper 2</t>
  </si>
  <si>
    <t>K067-2</t>
  </si>
  <si>
    <t>Winter Kaiju Sloper 3</t>
  </si>
  <si>
    <t>K067-3</t>
  </si>
  <si>
    <t>Winter Kaiju Roof Slopers 1-3</t>
  </si>
  <si>
    <t>K068 (Kit)</t>
  </si>
  <si>
    <t>Winter Kaiju Roof Sloper 1</t>
  </si>
  <si>
    <t>K068-1</t>
  </si>
  <si>
    <t>Winter Kaiju Roof Sloper 2</t>
  </si>
  <si>
    <t>K068-2</t>
  </si>
  <si>
    <t>Winter Kaiju Roof Sloper 3</t>
  </si>
  <si>
    <t>K068-3</t>
  </si>
  <si>
    <t>Winter 2XL Super Jugs 1</t>
  </si>
  <si>
    <t>K125</t>
  </si>
  <si>
    <t>Winter XL 1 - Slugs</t>
  </si>
  <si>
    <t>K076</t>
  </si>
  <si>
    <t>Winter Large 1 - Low Angle Jugs</t>
  </si>
  <si>
    <t>K005</t>
  </si>
  <si>
    <t>Winter Large 2 - Jugs</t>
  </si>
  <si>
    <t>K006</t>
  </si>
  <si>
    <t>Winter Large 3 - Medium Angle Jugs</t>
  </si>
  <si>
    <t>K030</t>
  </si>
  <si>
    <t>Winter Large 4 - Jugs</t>
  </si>
  <si>
    <t>K031</t>
  </si>
  <si>
    <t>Winter Large 5 - Jugs</t>
  </si>
  <si>
    <t>K051</t>
  </si>
  <si>
    <t>Winter Large 6 - Jugs</t>
  </si>
  <si>
    <t>K058</t>
  </si>
  <si>
    <t>Winter Large 8 - Incut Fins</t>
  </si>
  <si>
    <t>K088</t>
  </si>
  <si>
    <t>Winter Large 9 - Jugs</t>
  </si>
  <si>
    <t>K096</t>
  </si>
  <si>
    <t>Winter Large 10 - Plate Slopers</t>
  </si>
  <si>
    <t>K097</t>
  </si>
  <si>
    <t>Winter Large 11 - Incut Fins</t>
  </si>
  <si>
    <t>K098</t>
  </si>
  <si>
    <t>Winter Large 12 - 3 Pad Incut Fins</t>
  </si>
  <si>
    <t>K110</t>
  </si>
  <si>
    <t>Winter Large 13 - Puffy Flat Jugs</t>
  </si>
  <si>
    <t>K186</t>
  </si>
  <si>
    <t>Winter Medium 1 - Low Angle Incuts</t>
  </si>
  <si>
    <t>K010</t>
  </si>
  <si>
    <t>Winter Medium 2 - Medium Jugs</t>
  </si>
  <si>
    <t>K015</t>
  </si>
  <si>
    <t>Winter Medium 3 - Steep Wall Incuts</t>
  </si>
  <si>
    <t>K023</t>
  </si>
  <si>
    <t>Winter Medium 4 - Medium Jugs</t>
  </si>
  <si>
    <t>K050</t>
  </si>
  <si>
    <t>Winter Medium 5 - Puffy Incuts</t>
  </si>
  <si>
    <t>K055</t>
  </si>
  <si>
    <t>Winter Medium 6 - Puffy Incuts</t>
  </si>
  <si>
    <t>K056</t>
  </si>
  <si>
    <t>Winter Medium 7 - Puffy Incuts</t>
  </si>
  <si>
    <t>K057</t>
  </si>
  <si>
    <t>Winter Medium 8 - Puffy Incuts</t>
  </si>
  <si>
    <t>K077</t>
  </si>
  <si>
    <t>Winter Medium 9 - Puffy Incuts</t>
  </si>
  <si>
    <t>K082</t>
  </si>
  <si>
    <t>Winter Medium 10 - Puffy Incut Edges</t>
  </si>
  <si>
    <t>K083</t>
  </si>
  <si>
    <t>Winter Medium 11 - Incut Fins</t>
  </si>
  <si>
    <t>K094</t>
  </si>
  <si>
    <t>Winter Medium 12 - 1 Pad Incut Fins</t>
  </si>
  <si>
    <t>K100</t>
  </si>
  <si>
    <t>Winter Medium 13 - Plate Slopers</t>
  </si>
  <si>
    <t>K105</t>
  </si>
  <si>
    <t>Winter Medium 14 - Hooded Edges</t>
  </si>
  <si>
    <t>K112</t>
  </si>
  <si>
    <t>Winter Medium 15 - Plate Slopers</t>
  </si>
  <si>
    <t>K117</t>
  </si>
  <si>
    <t>Winter Medium 16 - Mini Jugs</t>
  </si>
  <si>
    <t>K166</t>
  </si>
  <si>
    <t>Winter Medium 17 - Mini Jugs</t>
  </si>
  <si>
    <t>K167</t>
  </si>
  <si>
    <t>Winter Medium 18 - Jugs and Mini Jugs</t>
  </si>
  <si>
    <t>K168</t>
  </si>
  <si>
    <t>Winter Medium 19 - Mini Jugs</t>
  </si>
  <si>
    <t>K170</t>
  </si>
  <si>
    <t>Winter Small 1 - Steep Crimps</t>
  </si>
  <si>
    <t>K004</t>
  </si>
  <si>
    <t>Winter Small 2 - Incut Crimps</t>
  </si>
  <si>
    <t>K016</t>
  </si>
  <si>
    <t>Winter Small 3 - Hooded Crimps</t>
  </si>
  <si>
    <t>K017</t>
  </si>
  <si>
    <t>Winter Small 4 - Incut Crimps</t>
  </si>
  <si>
    <t>K039</t>
  </si>
  <si>
    <t>Winter Small 5 - Low Angle Crimps</t>
  </si>
  <si>
    <t>K046</t>
  </si>
  <si>
    <t>Winter Small 6 - Puffy Crimps</t>
  </si>
  <si>
    <t>K079</t>
  </si>
  <si>
    <t>Winter Small 7 - Crimps</t>
  </si>
  <si>
    <t>K091</t>
  </si>
  <si>
    <t>Winter Small 8 - Crimps</t>
  </si>
  <si>
    <t>K093</t>
  </si>
  <si>
    <t>Winter Small 9 - 2 Pad Incut Edges</t>
  </si>
  <si>
    <t>K102</t>
  </si>
  <si>
    <t>Winter XS 1 - Steep Feet</t>
  </si>
  <si>
    <t>K027</t>
  </si>
  <si>
    <t>Winter XS 2 - Steep Feet</t>
  </si>
  <si>
    <t>K028</t>
  </si>
  <si>
    <t>Winter XS 3 - Slopey Feet</t>
  </si>
  <si>
    <t>K101</t>
  </si>
  <si>
    <t>Alex Puccio</t>
  </si>
  <si>
    <t>Puccio Pinches 2XL 1</t>
  </si>
  <si>
    <t>KHAP001</t>
  </si>
  <si>
    <t>Puccio Pinches 2XL 2</t>
  </si>
  <si>
    <t>KHAP002</t>
  </si>
  <si>
    <t>Will Watkins - Oz Scoops and Edges</t>
  </si>
  <si>
    <t>Oz Scoops Large 1</t>
  </si>
  <si>
    <t>KHUW005</t>
  </si>
  <si>
    <t>Oz Scoops Large 2</t>
  </si>
  <si>
    <t>KHUW006</t>
  </si>
  <si>
    <t>Oz Edges Large 1</t>
  </si>
  <si>
    <t>KHUW011</t>
  </si>
  <si>
    <t>Oz Scoops Medium 1</t>
  </si>
  <si>
    <t>KHUW004</t>
  </si>
  <si>
    <t>Oz Edges Medium 1</t>
  </si>
  <si>
    <t>KHUW009</t>
  </si>
  <si>
    <t>Oz Edges Medium 2</t>
  </si>
  <si>
    <t>KHUW010</t>
  </si>
  <si>
    <t>Oz Scoops XS 1 - Feet</t>
  </si>
  <si>
    <t>KHUW003</t>
  </si>
  <si>
    <t>Oz Scoops Medium Jibs 1</t>
  </si>
  <si>
    <t>KHUW001</t>
  </si>
  <si>
    <t>Oz Scoops Large Jibs 1</t>
  </si>
  <si>
    <t>KHUW002</t>
  </si>
  <si>
    <t>Oz Scoops Small Jibs 1</t>
  </si>
  <si>
    <t>KHUW007</t>
  </si>
  <si>
    <t>Oz Scoops Medium Jibs 2</t>
  </si>
  <si>
    <t>KHUW008</t>
  </si>
  <si>
    <t>Union</t>
  </si>
  <si>
    <t>Setter Shapers</t>
  </si>
  <si>
    <t>Morgan Young (Inspire) - Set 1 - Long Jibs</t>
  </si>
  <si>
    <t>KU001</t>
  </si>
  <si>
    <t>Roy's BFJ's Set 1</t>
  </si>
  <si>
    <t>KHRQ001</t>
  </si>
  <si>
    <t>Element Earth - High Alert (Circadian Rhythm)</t>
  </si>
  <si>
    <t>KUEE001</t>
  </si>
  <si>
    <t>Mimic - Lucid Dreaming Crux Hold</t>
  </si>
  <si>
    <t>KU010</t>
  </si>
  <si>
    <t>Mimic - Midnight Lighting Bolt Hold</t>
  </si>
  <si>
    <t>KU011</t>
  </si>
  <si>
    <t>Jibs</t>
  </si>
  <si>
    <t>Ian's Curvy Jibs Medium Slick 1</t>
  </si>
  <si>
    <t>KHIP005</t>
  </si>
  <si>
    <t>Ian's Curvy Jibs Medium Slick 2</t>
  </si>
  <si>
    <t>KHIP010</t>
  </si>
  <si>
    <t>Pete's Dualtex Big Comfy Jibs Set 1</t>
  </si>
  <si>
    <t>KHPJ001</t>
  </si>
  <si>
    <t>Hangboards</t>
  </si>
  <si>
    <t>Tech Slider Board</t>
  </si>
  <si>
    <t>KHPJ024</t>
  </si>
  <si>
    <t>All</t>
  </si>
  <si>
    <t>Treadwall Kits</t>
  </si>
  <si>
    <t>Treadwall™ by Brewer Fitness - Kilter Route 1 - Jugs</t>
  </si>
  <si>
    <t>KTW1</t>
  </si>
  <si>
    <t>Treadwall™ by Brewer Fitness - Kilter Route 2 - Incuts</t>
  </si>
  <si>
    <t>KTW2</t>
  </si>
  <si>
    <t>Treadwall™ by Brewer Fitness - Kilter Route 3 - Pinches</t>
  </si>
  <si>
    <t>KTW3</t>
  </si>
  <si>
    <t>Treadwall™ by Brewer Fitness - Kilter Route 4 - Crimps</t>
  </si>
  <si>
    <t>KTW4</t>
  </si>
  <si>
    <t>Treadwall™ by Brewer Fitness - Kilter Route 5 - Puffy Incuts</t>
  </si>
  <si>
    <t>KTW5</t>
  </si>
  <si>
    <t>Treadwall™ by Brewer Fitness - Kilter Route 6 - Mini Jugs</t>
  </si>
  <si>
    <t>KTW6</t>
  </si>
  <si>
    <t>Will's Lost Slots 1</t>
  </si>
  <si>
    <t>KHWA001</t>
  </si>
  <si>
    <t>Hold Weight:</t>
  </si>
  <si>
    <t>Totals:</t>
  </si>
  <si>
    <t>Total Grips:</t>
  </si>
  <si>
    <t>ARAGON</t>
  </si>
  <si>
    <t>RETAIL HOLD COST:</t>
  </si>
  <si>
    <t>Discount</t>
  </si>
  <si>
    <t>DISCOUNTED HOLD COST:</t>
  </si>
  <si>
    <t>Hardware Total:</t>
  </si>
  <si>
    <t>UV Protectant</t>
  </si>
  <si>
    <t>Shirts Total</t>
  </si>
  <si>
    <t>PRODUCT TOTAL:</t>
  </si>
  <si>
    <t>Sales Tax?</t>
  </si>
  <si>
    <t>Manufacturer Handling Fee (based on order size):</t>
  </si>
  <si>
    <t>Shipping (We will calculate and return a quote on this):</t>
  </si>
  <si>
    <t>Retail Value:</t>
  </si>
  <si>
    <t>ORDER TOTAL:</t>
  </si>
  <si>
    <t>Discount Value:</t>
  </si>
  <si>
    <t>Payment:</t>
  </si>
  <si>
    <t>Sets:</t>
  </si>
  <si>
    <t>Holds:</t>
  </si>
  <si>
    <t>TOTAL DUE:</t>
  </si>
  <si>
    <t>COMPOSITE X</t>
  </si>
  <si>
    <t>WALLTOPIA</t>
  </si>
  <si>
    <t>SUMMARY</t>
  </si>
  <si>
    <t>URBAN PLASTIX ORDER FORM</t>
  </si>
  <si>
    <t>Urban Plastix</t>
  </si>
  <si>
    <r>
      <rPr>
        <b/>
        <sz val="10"/>
        <color theme="1"/>
        <rFont val="Verdana"/>
        <family val="2"/>
      </rPr>
      <t>holds@kiltergrips.com</t>
    </r>
    <r>
      <rPr>
        <sz val="10"/>
        <color theme="1"/>
        <rFont val="Verdana"/>
        <family val="2"/>
      </rPr>
      <t xml:space="preserve"> for questions, quotes &amp; orders</t>
    </r>
  </si>
  <si>
    <t>Tremors</t>
  </si>
  <si>
    <t>Tremors 3XL Slopers 1</t>
  </si>
  <si>
    <t>UP248</t>
  </si>
  <si>
    <t>Tremors Kaiju Stalactites 1-3</t>
  </si>
  <si>
    <t>UP104</t>
  </si>
  <si>
    <t>28</t>
  </si>
  <si>
    <t>Tremors Kaiju Stalactites 4-5</t>
  </si>
  <si>
    <t>UP105</t>
  </si>
  <si>
    <t>Tremors Kaiju Pinches 1-3</t>
  </si>
  <si>
    <t>UP126</t>
  </si>
  <si>
    <t>Tremors 2XL 1 - S Pinch</t>
  </si>
  <si>
    <t>UP069</t>
  </si>
  <si>
    <t>7.2</t>
  </si>
  <si>
    <t>Tremors 2XL 2 - Fat C Pinch</t>
  </si>
  <si>
    <t>UP080</t>
  </si>
  <si>
    <t>2.78</t>
  </si>
  <si>
    <t>Tremors 2XL 3 - Y Pinch</t>
  </si>
  <si>
    <t>UP081</t>
  </si>
  <si>
    <t>4.8</t>
  </si>
  <si>
    <t>Tremors 2XL 4 - Stalactites</t>
  </si>
  <si>
    <t>UP106</t>
  </si>
  <si>
    <t>Tremors 2XL 5 - Over Jugs</t>
  </si>
  <si>
    <t>UP114</t>
  </si>
  <si>
    <t>Tremors 2XL 6 - Stalactites</t>
  </si>
  <si>
    <t>UP115</t>
  </si>
  <si>
    <t>Tremors 2XL 7 - Pinches</t>
  </si>
  <si>
    <t>UP129</t>
  </si>
  <si>
    <t>Tremors 2XL 8 - Jug Rail</t>
  </si>
  <si>
    <t>UP251</t>
  </si>
  <si>
    <t>Tremors 2XL 9 - Slopers</t>
  </si>
  <si>
    <t>UP252</t>
  </si>
  <si>
    <t>Tremors XL 1 - Pinches</t>
  </si>
  <si>
    <t>UP085</t>
  </si>
  <si>
    <t>7.6</t>
  </si>
  <si>
    <t>Tremors XL 2 - Jugs</t>
  </si>
  <si>
    <t>UP097</t>
  </si>
  <si>
    <t>7.24</t>
  </si>
  <si>
    <t>Tremors XL 3 - Wide Flat Pinches</t>
  </si>
  <si>
    <t>UP108</t>
  </si>
  <si>
    <t>Tremors XL 4 - Slopers</t>
  </si>
  <si>
    <t>UP250</t>
  </si>
  <si>
    <t>Tremors Large 1 - Wide Flat Pinches</t>
  </si>
  <si>
    <t>UP107</t>
  </si>
  <si>
    <t>Tremors Medium 1 - Mini Jugs</t>
  </si>
  <si>
    <t>UP113</t>
  </si>
  <si>
    <t>Tremors Medium 2 - Pinches</t>
  </si>
  <si>
    <t>UP125</t>
  </si>
  <si>
    <t>Tremors Small 1 - Pinches</t>
  </si>
  <si>
    <t>UP109</t>
  </si>
  <si>
    <t>Tremors Small 2 - Incuts and Mini Jugs</t>
  </si>
  <si>
    <t>UP110</t>
  </si>
  <si>
    <t>Tremors Small 3 - Mini Jugs</t>
  </si>
  <si>
    <t>UP111</t>
  </si>
  <si>
    <t>Tremors Small 4 - Mini Jugs</t>
  </si>
  <si>
    <t>UP112</t>
  </si>
  <si>
    <t>Tremors XS 1 - Feet</t>
  </si>
  <si>
    <t>UP124</t>
  </si>
  <si>
    <t>Tremors XS 2 - Incut Feet</t>
  </si>
  <si>
    <t>UP249</t>
  </si>
  <si>
    <t>Stealth</t>
  </si>
  <si>
    <t>Dual Tex</t>
  </si>
  <si>
    <t>Stealth 4XL 1 - Wrapped Lip Hueco</t>
  </si>
  <si>
    <t>UP221</t>
  </si>
  <si>
    <t/>
  </si>
  <si>
    <t>Stealth 3XL 1 - Huecos</t>
  </si>
  <si>
    <t>UP225</t>
  </si>
  <si>
    <t>Stealth 2XL 1 - Jug</t>
  </si>
  <si>
    <t>UP063</t>
  </si>
  <si>
    <t>4.7</t>
  </si>
  <si>
    <t>Stealth 2XL 2 - Wrapped Lip Jugs</t>
  </si>
  <si>
    <t>UP222</t>
  </si>
  <si>
    <t>Stealth 2XL 3 - Incut Ledges</t>
  </si>
  <si>
    <t>UP224</t>
  </si>
  <si>
    <t>Stealth 2XL 4 - Pinches</t>
  </si>
  <si>
    <t>UP226</t>
  </si>
  <si>
    <t>Stealth 2XL 6 - Wrapped Jug</t>
  </si>
  <si>
    <t>UP267</t>
  </si>
  <si>
    <t>Stealth XL 1 - Slopers</t>
  </si>
  <si>
    <t>UP071</t>
  </si>
  <si>
    <t>4.9</t>
  </si>
  <si>
    <t>Stealth XL 2 - Jugs</t>
  </si>
  <si>
    <t>UP096</t>
  </si>
  <si>
    <t>7.23</t>
  </si>
  <si>
    <t>Stealth XL 3 - Pinches</t>
  </si>
  <si>
    <t>UP211</t>
  </si>
  <si>
    <t>Stealth XL 4 - Jugs</t>
  </si>
  <si>
    <t>UP212</t>
  </si>
  <si>
    <t>Stealth XL 5 - Huecos</t>
  </si>
  <si>
    <t>UP218</t>
  </si>
  <si>
    <t>Stealth XL 6 - Jugs</t>
  </si>
  <si>
    <t>UP237</t>
  </si>
  <si>
    <t>Stealth XL 7 - Slopers</t>
  </si>
  <si>
    <t>UP243</t>
  </si>
  <si>
    <t>Stealth XL 8 - Huecos</t>
  </si>
  <si>
    <t>UP244</t>
  </si>
  <si>
    <t>Stealth XL 9 - Pockets/Pinches</t>
  </si>
  <si>
    <t>UP253</t>
  </si>
  <si>
    <t>Stealth Large 1 - Edges</t>
  </si>
  <si>
    <t>UP131</t>
  </si>
  <si>
    <t>Stealth Large 2 - Pinches</t>
  </si>
  <si>
    <t>UP164</t>
  </si>
  <si>
    <t>Stealth Large 3 - Slopers</t>
  </si>
  <si>
    <t>UP171</t>
  </si>
  <si>
    <t>Stealth Large 4 - Edges</t>
  </si>
  <si>
    <t>UP223</t>
  </si>
  <si>
    <t>Stealth Large 5 - Sloper Jugs</t>
  </si>
  <si>
    <t>UP228</t>
  </si>
  <si>
    <t>Stealth Medium 1 - Edges</t>
  </si>
  <si>
    <t>UP094</t>
  </si>
  <si>
    <t>2.64</t>
  </si>
  <si>
    <t>Stealth Medium 2 - Medium Crimps</t>
  </si>
  <si>
    <t>UP079</t>
  </si>
  <si>
    <t>2.05</t>
  </si>
  <si>
    <t>Stealth Medium 3 - Slopers</t>
  </si>
  <si>
    <t>UP170</t>
  </si>
  <si>
    <t>Stealth Medium 4 - Pinches</t>
  </si>
  <si>
    <t>UP217</t>
  </si>
  <si>
    <t>Stealth Medium 6 - Jugs</t>
  </si>
  <si>
    <t>UP230</t>
  </si>
  <si>
    <t>Stealth Medium 7 - Jugs</t>
  </si>
  <si>
    <t>UP235</t>
  </si>
  <si>
    <t>Stealth Medium 8 - Jugs</t>
  </si>
  <si>
    <t>UP236</t>
  </si>
  <si>
    <t>Stealth Medium 9 - Jugs</t>
  </si>
  <si>
    <t>UP242</t>
  </si>
  <si>
    <t>Stealth Medium 10 - Pockets/Pinches</t>
  </si>
  <si>
    <t>UP265</t>
  </si>
  <si>
    <t>Stealth Medium 11 - Pockets</t>
  </si>
  <si>
    <t>UP266</t>
  </si>
  <si>
    <t>Stealth Small 1 - Crimps</t>
  </si>
  <si>
    <t>UP078</t>
  </si>
  <si>
    <t>1.45</t>
  </si>
  <si>
    <t>Stealth Small 2 - Crimps/Edges</t>
  </si>
  <si>
    <t>UP168</t>
  </si>
  <si>
    <t>Stealth Small 3 - Pinches</t>
  </si>
  <si>
    <t>UP169</t>
  </si>
  <si>
    <t>Stealth Small 6 - Incuts</t>
  </si>
  <si>
    <t>UP227</t>
  </si>
  <si>
    <t>Stealth Small 7 - Mini Jugs</t>
  </si>
  <si>
    <t>UP231</t>
  </si>
  <si>
    <t>Stealth Small 8 - Mini Jugs</t>
  </si>
  <si>
    <t>UP232</t>
  </si>
  <si>
    <t>Stealth Small 9 - Mini Jugs</t>
  </si>
  <si>
    <t>UP233</t>
  </si>
  <si>
    <t>Stealth Small 10 - Mini Jugs</t>
  </si>
  <si>
    <t>UP234</t>
  </si>
  <si>
    <t>Stealth Small 11 - Incuts</t>
  </si>
  <si>
    <t>UP238</t>
  </si>
  <si>
    <t>Stealth Small 12 - Incuts</t>
  </si>
  <si>
    <t>UP239</t>
  </si>
  <si>
    <t>Stealth Small 13 - Mini Jugs</t>
  </si>
  <si>
    <t>UP240</t>
  </si>
  <si>
    <t>Stealth Small 14 - Mini Jugs</t>
  </si>
  <si>
    <t>UP241</t>
  </si>
  <si>
    <t>Stealth XS 1 - Feet Set 1</t>
  </si>
  <si>
    <t>UP077</t>
  </si>
  <si>
    <t>1.2</t>
  </si>
  <si>
    <t>Stealth XS 2 - Feet Set 2</t>
  </si>
  <si>
    <t>UP095</t>
  </si>
  <si>
    <t>0.71</t>
  </si>
  <si>
    <t>Stealth XS 3 - Feet Set 3</t>
  </si>
  <si>
    <t>UP099</t>
  </si>
  <si>
    <t>1.38</t>
  </si>
  <si>
    <t>Stealth XS 4 - Feet Set 4</t>
  </si>
  <si>
    <t>UP163</t>
  </si>
  <si>
    <t>Stealth XS 5 - Feet Set 5</t>
  </si>
  <si>
    <t>UP166</t>
  </si>
  <si>
    <t>Stealth Jibs 1 - Medium Screw On Slopers</t>
  </si>
  <si>
    <t>UP174</t>
  </si>
  <si>
    <t>Stealth Jibs 2 - XS Flakes</t>
  </si>
  <si>
    <t>UP216</t>
  </si>
  <si>
    <t>Stealth Jibs 3 - Hueco Screw-Ons</t>
  </si>
  <si>
    <t>UP268</t>
  </si>
  <si>
    <t>Bricks</t>
  </si>
  <si>
    <t>Big Brick 2XL Sloper #1 - Largest</t>
  </si>
  <si>
    <t>UP004</t>
  </si>
  <si>
    <t>2.75</t>
  </si>
  <si>
    <t>Big Brick 2XL Sloper #2 - Smallest</t>
  </si>
  <si>
    <t>UP005</t>
  </si>
  <si>
    <t>1.6</t>
  </si>
  <si>
    <t>Big Brick 2XL Sloper #3 - Medium</t>
  </si>
  <si>
    <t>UP006</t>
  </si>
  <si>
    <t>2.5</t>
  </si>
  <si>
    <t>Big Brick XL 1 - Incut Ledges</t>
  </si>
  <si>
    <t>UP084</t>
  </si>
  <si>
    <t>5.7</t>
  </si>
  <si>
    <t>Mini Brick L1 - Slopey Ledges</t>
  </si>
  <si>
    <t>UP010</t>
  </si>
  <si>
    <t>4.55</t>
  </si>
  <si>
    <t>Mini Brick L2 - Incut Ledges</t>
  </si>
  <si>
    <t>UP018</t>
  </si>
  <si>
    <t>9.9</t>
  </si>
  <si>
    <t>Mini Brick M1 - Mini Jugs</t>
  </si>
  <si>
    <t>UP026</t>
  </si>
  <si>
    <t>Mini Brick M2 - Pinches</t>
  </si>
  <si>
    <t>UP051</t>
  </si>
  <si>
    <t>3.75</t>
  </si>
  <si>
    <t>Mini Brick S1 - Edges</t>
  </si>
  <si>
    <t>UP003</t>
  </si>
  <si>
    <t>0.7</t>
  </si>
  <si>
    <t>Mini Brick S2 - Crimps</t>
  </si>
  <si>
    <t>UP002</t>
  </si>
  <si>
    <t>Fins</t>
  </si>
  <si>
    <t>Fins Kaiju 1 - El Fin</t>
  </si>
  <si>
    <t>UP041</t>
  </si>
  <si>
    <t>Fins 2XL 1 - Jugs</t>
  </si>
  <si>
    <t>UP103</t>
  </si>
  <si>
    <t>12.06</t>
  </si>
  <si>
    <t>Fins 2XL 2 - Pinches</t>
  </si>
  <si>
    <t>UP102</t>
  </si>
  <si>
    <t>14.71</t>
  </si>
  <si>
    <t>Speed Bumps</t>
  </si>
  <si>
    <t>Speed Bumps 3XL 1 - Sloper</t>
  </si>
  <si>
    <t>UP184</t>
  </si>
  <si>
    <t>Speed Bumps 2XL 1 - Edges</t>
  </si>
  <si>
    <t>UP178</t>
  </si>
  <si>
    <t>Speed Bumps 2XL 2 - Slopey Edges</t>
  </si>
  <si>
    <t>UP182</t>
  </si>
  <si>
    <t>Speed Bumps XL 1 - Edges</t>
  </si>
  <si>
    <t>UP173</t>
  </si>
  <si>
    <t>Speed Bumps XL 2 - Pinches</t>
  </si>
  <si>
    <t>UP175</t>
  </si>
  <si>
    <t>Speed Bumps XL 3 - Slopey Edges</t>
  </si>
  <si>
    <t>UP179</t>
  </si>
  <si>
    <t>Speed Bumps XL 4 - Pinches</t>
  </si>
  <si>
    <t>UP183</t>
  </si>
  <si>
    <t>Speed Bumps XL 5 - Jugs</t>
  </si>
  <si>
    <t>UP229</t>
  </si>
  <si>
    <t>Speed Bumps L1 - Crimps</t>
  </si>
  <si>
    <t>UP009</t>
  </si>
  <si>
    <t>3.85</t>
  </si>
  <si>
    <t>Speed Bumps L2 - Crimps</t>
  </si>
  <si>
    <t>UP016</t>
  </si>
  <si>
    <t>5.3</t>
  </si>
  <si>
    <t>Speed Bumps L3 - Edges</t>
  </si>
  <si>
    <t>UP172</t>
  </si>
  <si>
    <t>Speed Bumps L4 - Pinches</t>
  </si>
  <si>
    <t>UP177</t>
  </si>
  <si>
    <t>Speed Bumps L5 - Edges</t>
  </si>
  <si>
    <t>UP180</t>
  </si>
  <si>
    <t>Speed Bumps M1 - Crimps</t>
  </si>
  <si>
    <t>UP087</t>
  </si>
  <si>
    <t>5.54</t>
  </si>
  <si>
    <t>Speed Bumps M2 - Pinches</t>
  </si>
  <si>
    <t>UP181</t>
  </si>
  <si>
    <t>Speed Bumps M4 - Slopers</t>
  </si>
  <si>
    <t>UP187</t>
  </si>
  <si>
    <t>Speed Bumps S1 - Crimps</t>
  </si>
  <si>
    <t>UP086</t>
  </si>
  <si>
    <t>Speed Bumps XS 1 - Crimps/Feet</t>
  </si>
  <si>
    <t>UP176</t>
  </si>
  <si>
    <t>Ditches</t>
  </si>
  <si>
    <t>Ditches 3XL 1 - Slot Jugs</t>
  </si>
  <si>
    <t>UP128</t>
  </si>
  <si>
    <t>Ditches 2XL 1 - Slots</t>
  </si>
  <si>
    <t>UP145</t>
  </si>
  <si>
    <t>Ditches XL 1 - Slots</t>
  </si>
  <si>
    <t>UP120</t>
  </si>
  <si>
    <t>Ditches XL 2 - Slots</t>
  </si>
  <si>
    <t>UP122</t>
  </si>
  <si>
    <t>Ditches L1 - Slots</t>
  </si>
  <si>
    <t>UP117</t>
  </si>
  <si>
    <t>Ditches L2 - Pinches</t>
  </si>
  <si>
    <t>UP118</t>
  </si>
  <si>
    <t>Ditches L3 - Pinches</t>
  </si>
  <si>
    <t>UP119</t>
  </si>
  <si>
    <t>Ditches L4 - Pinches</t>
  </si>
  <si>
    <t>UP123</t>
  </si>
  <si>
    <t>Ditches M1 - Crimps</t>
  </si>
  <si>
    <t>UP019</t>
  </si>
  <si>
    <t>3.15</t>
  </si>
  <si>
    <t>Ditches M2 - Crimps</t>
  </si>
  <si>
    <t>UP101</t>
  </si>
  <si>
    <t>3.05</t>
  </si>
  <si>
    <t>Ditches M3 - Pinches</t>
  </si>
  <si>
    <t>UP132</t>
  </si>
  <si>
    <t>Ditches M4 - Slot Pinches</t>
  </si>
  <si>
    <t>UP133</t>
  </si>
  <si>
    <t>Ditches M5 - Slots</t>
  </si>
  <si>
    <t>UP134</t>
  </si>
  <si>
    <t>Ditches XS 1 - Feet</t>
  </si>
  <si>
    <t>UP116</t>
  </si>
  <si>
    <t>Ditches XS 2 - Feet</t>
  </si>
  <si>
    <t>UP121</t>
  </si>
  <si>
    <t>Ditches Jibs 1 - XL Ditch</t>
  </si>
  <si>
    <t>UP186</t>
  </si>
  <si>
    <t>Regs</t>
  </si>
  <si>
    <t>Regs 3XL 1 - Sloper Jugs</t>
  </si>
  <si>
    <t>UP264</t>
  </si>
  <si>
    <t>Reg 2XL 1 - Jugs</t>
  </si>
  <si>
    <t>UP146</t>
  </si>
  <si>
    <t>Regs 2XL 2 - Slopers</t>
  </si>
  <si>
    <t>UP260</t>
  </si>
  <si>
    <t>Reg - XL 1 - The Tubes - Pinch Jugs</t>
  </si>
  <si>
    <t>UP015</t>
  </si>
  <si>
    <t>15.7</t>
  </si>
  <si>
    <t>Reg - XL 2 - Beanes - Slopey Balls</t>
  </si>
  <si>
    <t>UP049</t>
  </si>
  <si>
    <t>3.55</t>
  </si>
  <si>
    <t>Reg - L1 - Horns - Rings</t>
  </si>
  <si>
    <t>UP076</t>
  </si>
  <si>
    <t>Reg - L2 - Pockets</t>
  </si>
  <si>
    <t>UP130</t>
  </si>
  <si>
    <t>Reg - L3 - Pockets</t>
  </si>
  <si>
    <t>UP143</t>
  </si>
  <si>
    <t>Reg - L4 - Pockets</t>
  </si>
  <si>
    <t>UP144</t>
  </si>
  <si>
    <t>Reg - L5 - Jugs</t>
  </si>
  <si>
    <t>UP193</t>
  </si>
  <si>
    <t>Reg - L6 - Pinches</t>
  </si>
  <si>
    <t>UP196</t>
  </si>
  <si>
    <t>Reg - L7 - Pinches</t>
  </si>
  <si>
    <t>UP198</t>
  </si>
  <si>
    <t>Reg - L8 - Jugs</t>
  </si>
  <si>
    <t>UP201</t>
  </si>
  <si>
    <t xml:space="preserve">	Reg - L9 - Slopers</t>
  </si>
  <si>
    <t>UP202</t>
  </si>
  <si>
    <t xml:space="preserve">	Reg - L10 - Ledges</t>
  </si>
  <si>
    <t>UP210</t>
  </si>
  <si>
    <t>Reg - L11 - Sloper Jugs</t>
  </si>
  <si>
    <t>UP213</t>
  </si>
  <si>
    <t>Reg - L12 - Pinches</t>
  </si>
  <si>
    <t>UP246</t>
  </si>
  <si>
    <t>Reg - L13 - Sloper Pinches</t>
  </si>
  <si>
    <t>UP247</t>
  </si>
  <si>
    <t>Reg - M1 - Reg Jugs</t>
  </si>
  <si>
    <t>UP052</t>
  </si>
  <si>
    <t>7.75</t>
  </si>
  <si>
    <t>Reg - M2 - Reg Pinches</t>
  </si>
  <si>
    <t>UP072</t>
  </si>
  <si>
    <t>Reg - M3 - The Squeeze #1 - Pinches</t>
  </si>
  <si>
    <t>UP020</t>
  </si>
  <si>
    <t>5.6</t>
  </si>
  <si>
    <t>Reg - M4 - The Squeeze #2 - Pinches</t>
  </si>
  <si>
    <t>UP021</t>
  </si>
  <si>
    <t>Reg - M5 - The Squeeze #3 - Pinches</t>
  </si>
  <si>
    <t>UP022</t>
  </si>
  <si>
    <t>6.4</t>
  </si>
  <si>
    <t>Reg - M6 - Changing Corners - Slopey Geo Pinches</t>
  </si>
  <si>
    <t>UP008</t>
  </si>
  <si>
    <t>4.6</t>
  </si>
  <si>
    <t>Reg - M7 - Changing Corners - Slopey Geo Pinches</t>
  </si>
  <si>
    <t>UP017</t>
  </si>
  <si>
    <t>4.45</t>
  </si>
  <si>
    <t>Reg - M8 - Half Moon Edges</t>
  </si>
  <si>
    <t>UP135</t>
  </si>
  <si>
    <t>Reg - M9 - Half Moon Edges</t>
  </si>
  <si>
    <t>UP136</t>
  </si>
  <si>
    <t>Reg - M10 - Pinches</t>
  </si>
  <si>
    <t>UP139</t>
  </si>
  <si>
    <t>Reg - M11 - Jugs</t>
  </si>
  <si>
    <t>UP142</t>
  </si>
  <si>
    <t>Reg - M15 - Pinches</t>
  </si>
  <si>
    <t>UP190</t>
  </si>
  <si>
    <t>Reg - M16 - Incuts</t>
  </si>
  <si>
    <t>UP192</t>
  </si>
  <si>
    <t>Reg - M17 - Crimps</t>
  </si>
  <si>
    <t>UP199</t>
  </si>
  <si>
    <t>Reg - M18 - Pinches</t>
  </si>
  <si>
    <t>UP200</t>
  </si>
  <si>
    <t xml:space="preserve">	Reg - M19 - Slots/Pockets</t>
  </si>
  <si>
    <t>UP205</t>
  </si>
  <si>
    <t xml:space="preserve">	Reg - M20 - Edges</t>
  </si>
  <si>
    <t>UP206</t>
  </si>
  <si>
    <t>Reg - M21 - Pinches</t>
  </si>
  <si>
    <t>UP207</t>
  </si>
  <si>
    <t>Reg - M22 - Jugs</t>
  </si>
  <si>
    <t>UP209</t>
  </si>
  <si>
    <t>Reg - M23 - Pinches</t>
  </si>
  <si>
    <t>UP219</t>
  </si>
  <si>
    <t>Reg - S1 - Reg Mini Jugs</t>
  </si>
  <si>
    <t>UP091</t>
  </si>
  <si>
    <t>3.73</t>
  </si>
  <si>
    <t>Reg - S2 - Changing Corners - Slopey Geo Pinches</t>
  </si>
  <si>
    <t>UP001</t>
  </si>
  <si>
    <t>1.95</t>
  </si>
  <si>
    <t>Reg - S3 - Reg Crimps</t>
  </si>
  <si>
    <t>UP073</t>
  </si>
  <si>
    <t>1.05</t>
  </si>
  <si>
    <t>Reg - S4 - Pinches</t>
  </si>
  <si>
    <t>UP138</t>
  </si>
  <si>
    <t>Reg - S5 - Crimps</t>
  </si>
  <si>
    <t>UP140</t>
  </si>
  <si>
    <t>Reg - S6 - Jugs</t>
  </si>
  <si>
    <t>UP141</t>
  </si>
  <si>
    <t>Reg - S7 - Incut Crimps</t>
  </si>
  <si>
    <t>UP188</t>
  </si>
  <si>
    <t>Reg - S8 - Dimple Feet</t>
  </si>
  <si>
    <t>UP189</t>
  </si>
  <si>
    <t>Reg - S9 - Crimps</t>
  </si>
  <si>
    <t>UP191</t>
  </si>
  <si>
    <t>Reg - S10 - Incut Edges</t>
  </si>
  <si>
    <t>UP195</t>
  </si>
  <si>
    <t>Reg - S11 - Incut Crimps</t>
  </si>
  <si>
    <t>UP203</t>
  </si>
  <si>
    <t>Reg - S12 - Incut Crimps</t>
  </si>
  <si>
    <t>UP208</t>
  </si>
  <si>
    <t>Reg S13 - Mini Jugs</t>
  </si>
  <si>
    <t>UP215</t>
  </si>
  <si>
    <t>Reg S14 - Pinches</t>
  </si>
  <si>
    <t>UP220</t>
  </si>
  <si>
    <t>Reg - S15 - Slopers</t>
  </si>
  <si>
    <t>UP262</t>
  </si>
  <si>
    <t>Reg - XS 1 - Regular Old Feet 1</t>
  </si>
  <si>
    <t>UP012</t>
  </si>
  <si>
    <t>1.35</t>
  </si>
  <si>
    <t>Reg - XS 2 - Regular Old Feet 2</t>
  </si>
  <si>
    <t>UP093</t>
  </si>
  <si>
    <t>2.37</t>
  </si>
  <si>
    <t>Reg - XS 3 - Knobby Feet</t>
  </si>
  <si>
    <t>UP025</t>
  </si>
  <si>
    <t>1.5</t>
  </si>
  <si>
    <t>Reg - XS 4 - Knobby Feet</t>
  </si>
  <si>
    <t>UP137</t>
  </si>
  <si>
    <t>Reg - XS 5 - Nub Feet</t>
  </si>
  <si>
    <t>UP194</t>
  </si>
  <si>
    <t>Reg - XS 6 - Nub Feet</t>
  </si>
  <si>
    <t>UP214</t>
  </si>
  <si>
    <t>Reg - XS 7 - Slopey Feet</t>
  </si>
  <si>
    <t>UP261</t>
  </si>
  <si>
    <t>Reg - Jibs 5 - Small Jib Crimps</t>
  </si>
  <si>
    <t>UP197</t>
  </si>
  <si>
    <t xml:space="preserve">	Reg - Jibs 6 - XS Jibs</t>
  </si>
  <si>
    <t>UP204</t>
  </si>
  <si>
    <t>Reg - Jibs 7 - Round Jibs</t>
  </si>
  <si>
    <t>UP263</t>
  </si>
  <si>
    <t>Strato</t>
  </si>
  <si>
    <t>Strato 3XL 1 - Pinch</t>
  </si>
  <si>
    <t>UP149</t>
  </si>
  <si>
    <t>Strato 3XL 2 - Jug Ledge</t>
  </si>
  <si>
    <t>UP152</t>
  </si>
  <si>
    <t>Strato 3XL 3 - Sloper</t>
  </si>
  <si>
    <t>UP153</t>
  </si>
  <si>
    <t>Strato 2XL 1 - Jugs</t>
  </si>
  <si>
    <t>UP155</t>
  </si>
  <si>
    <t>Strato 2XL 2 - Sloper Seams</t>
  </si>
  <si>
    <t>UP160</t>
  </si>
  <si>
    <t>Strato 2XL 3 - Jug</t>
  </si>
  <si>
    <t>UP185</t>
  </si>
  <si>
    <t>Strato XL 1 - Pinches</t>
  </si>
  <si>
    <t>UP150</t>
  </si>
  <si>
    <t>Strato XL 2 - Sloper Ledges</t>
  </si>
  <si>
    <t>UP154</t>
  </si>
  <si>
    <t>Strato XL 3 - Jugs</t>
  </si>
  <si>
    <t>UP147</t>
  </si>
  <si>
    <t>Strato XL 4 - Sloper Seams</t>
  </si>
  <si>
    <t>UP165</t>
  </si>
  <si>
    <t>Strato XL 5 - Crimp Seams</t>
  </si>
  <si>
    <t>UP167</t>
  </si>
  <si>
    <t>Strato XL 6 - Sloper Jugs</t>
  </si>
  <si>
    <t>UP258</t>
  </si>
  <si>
    <t>Strato L1 - Jugs</t>
  </si>
  <si>
    <t>UP157</t>
  </si>
  <si>
    <t>Strato L2 - Pinches</t>
  </si>
  <si>
    <t>UP148</t>
  </si>
  <si>
    <t>Strato L3 - Sloper Jugs</t>
  </si>
  <si>
    <t>UP159</t>
  </si>
  <si>
    <t>Strato L4 - Pinches</t>
  </si>
  <si>
    <t>UP162</t>
  </si>
  <si>
    <t>Strato - M1 - Mini Jugs</t>
  </si>
  <si>
    <t>UP053</t>
  </si>
  <si>
    <t>2.8</t>
  </si>
  <si>
    <t>Strato Small 1 - Feet/Crimps</t>
  </si>
  <si>
    <t>UP156</t>
  </si>
  <si>
    <t>Strato Small 2 - Feet/Crimps</t>
  </si>
  <si>
    <t>UP158</t>
  </si>
  <si>
    <t>Strato Small 3 - Feet/Crimps</t>
  </si>
  <si>
    <t>UP161</t>
  </si>
  <si>
    <t>Real Rock</t>
  </si>
  <si>
    <t>Hueco XL 1 - Roof</t>
  </si>
  <si>
    <t>UP048</t>
  </si>
  <si>
    <t>8.6</t>
  </si>
  <si>
    <t>Hueco XL 2 - Full Service</t>
  </si>
  <si>
    <t>UP023</t>
  </si>
  <si>
    <t>7</t>
  </si>
  <si>
    <t>Not Font 2XL 1 - Big Font Jug</t>
  </si>
  <si>
    <t>UP042</t>
  </si>
  <si>
    <t>4.85</t>
  </si>
  <si>
    <t>Not Font - M1 - Pinches</t>
  </si>
  <si>
    <t>UP047</t>
  </si>
  <si>
    <t>7.3</t>
  </si>
  <si>
    <t>Tiles</t>
  </si>
  <si>
    <t>Tile Ledge - 2XL 1 - Flat</t>
  </si>
  <si>
    <t>UP083</t>
  </si>
  <si>
    <t>1.8</t>
  </si>
  <si>
    <t>Tile Ledges - L1 - Flat to Slopey</t>
  </si>
  <si>
    <t>UP082</t>
  </si>
  <si>
    <t>3.92</t>
  </si>
  <si>
    <t>Ribbons</t>
  </si>
  <si>
    <t>Ribbons - M1 - Pinches</t>
  </si>
  <si>
    <t>UP075</t>
  </si>
  <si>
    <t>4.35</t>
  </si>
  <si>
    <t>Ribbons - M2 - Half Ribbons Crimps</t>
  </si>
  <si>
    <t>UP089</t>
  </si>
  <si>
    <t>1.84</t>
  </si>
  <si>
    <t>Trim</t>
  </si>
  <si>
    <t>Trim - Crimp Edges</t>
  </si>
  <si>
    <t>UP092</t>
  </si>
  <si>
    <t>4.54</t>
  </si>
  <si>
    <t>Wavy</t>
  </si>
  <si>
    <t>Wavy - 2XL 1 - Ledge</t>
  </si>
  <si>
    <t>UP027</t>
  </si>
  <si>
    <t>3.65</t>
  </si>
  <si>
    <t>Wavy - M1 - Edges</t>
  </si>
  <si>
    <t>UP011</t>
  </si>
  <si>
    <t>3.35</t>
  </si>
  <si>
    <t>Goo</t>
  </si>
  <si>
    <t>Goo - 2XL 1 - The Goo Feature</t>
  </si>
  <si>
    <t>UP029</t>
  </si>
  <si>
    <t>Goo - L1 - Jugs</t>
  </si>
  <si>
    <t>UP028</t>
  </si>
  <si>
    <t>5.8</t>
  </si>
  <si>
    <t>Unique Art</t>
  </si>
  <si>
    <t>Unique Kaiju 1 - The Moon - Pocket Feature</t>
  </si>
  <si>
    <t>UP014</t>
  </si>
  <si>
    <t>17.9</t>
  </si>
  <si>
    <t>Unique 2XL 1 - The Wave - Jug</t>
  </si>
  <si>
    <t>UP024</t>
  </si>
  <si>
    <t>3.6</t>
  </si>
  <si>
    <t>Unique 2XL 2 - Octopus - Pinch/Ledge</t>
  </si>
  <si>
    <t>UP007</t>
  </si>
  <si>
    <t>3.53</t>
  </si>
  <si>
    <t>Unique 2XL 3 - Bling - Incut/Sloper</t>
  </si>
  <si>
    <t>UP037</t>
  </si>
  <si>
    <t>6.2</t>
  </si>
  <si>
    <t>Unique 2XL 4 - Fire &amp; Ice - Pinch/Incut</t>
  </si>
  <si>
    <t>UP061</t>
  </si>
  <si>
    <t>4.25</t>
  </si>
  <si>
    <t>Unique - Slopers L1 - Bowls - Dishes</t>
  </si>
  <si>
    <t>UP060</t>
  </si>
  <si>
    <t>6.75</t>
  </si>
  <si>
    <t>Unique - Jugs L1 - Collosum - Very Incut Jugs</t>
  </si>
  <si>
    <t>UP067</t>
  </si>
  <si>
    <t>Unique - Jugs L2 - Epicenter - Steep Wall Jugs</t>
  </si>
  <si>
    <t>UP066</t>
  </si>
  <si>
    <t>Unique - Pinches L1 - Real Steel</t>
  </si>
  <si>
    <t>UP074</t>
  </si>
  <si>
    <t>7.35</t>
  </si>
  <si>
    <t>Unique - Pinches L2 - The Pipes</t>
  </si>
  <si>
    <t>UP044</t>
  </si>
  <si>
    <t>Unique - Pinches L3 - Rivots</t>
  </si>
  <si>
    <t>UP050</t>
  </si>
  <si>
    <t>5.95</t>
  </si>
  <si>
    <t>Unique - Pinches L4 - Imploded Pinches - Puffy Incut/Wrap</t>
  </si>
  <si>
    <t>UP090</t>
  </si>
  <si>
    <t>9.05</t>
  </si>
  <si>
    <t>Unique - Pinches L5 - Prieto</t>
  </si>
  <si>
    <t>UP040</t>
  </si>
  <si>
    <t>6.45</t>
  </si>
  <si>
    <t>Unique - Slopers L2 - Wood Grain Slopers</t>
  </si>
  <si>
    <t>UP013</t>
  </si>
  <si>
    <t>9.45</t>
  </si>
  <si>
    <t>Unique - Jugs M1 - Beat UP Jugs</t>
  </si>
  <si>
    <t>UP064</t>
  </si>
  <si>
    <t>1.85</t>
  </si>
  <si>
    <t>Unique - Jugs M2 - Moon Buckets - Mini Jugs</t>
  </si>
  <si>
    <t>UP057</t>
  </si>
  <si>
    <t>0.9</t>
  </si>
  <si>
    <t>Unique - Edges M1 - Dog Bones - Pinches/Crimps</t>
  </si>
  <si>
    <t>UP046</t>
  </si>
  <si>
    <t>6</t>
  </si>
  <si>
    <t>Unique - Edges M2 - Roll Overs - Crimps</t>
  </si>
  <si>
    <t>UP068</t>
  </si>
  <si>
    <t>4.95</t>
  </si>
  <si>
    <t>Unique - Edges M5 - Lips - Edges</t>
  </si>
  <si>
    <t>UP054</t>
  </si>
  <si>
    <t>Unique - Edges M6 - One Small Step - Edges</t>
  </si>
  <si>
    <t>UP038</t>
  </si>
  <si>
    <t>1.92</t>
  </si>
  <si>
    <t>Unique - Pinches M1 - Edge Catch</t>
  </si>
  <si>
    <t>UP045</t>
  </si>
  <si>
    <t>Unique - Pockets M1 - Slot Pockets</t>
  </si>
  <si>
    <t>UP043</t>
  </si>
  <si>
    <t>Unique - Slopers M1 - Pocketos - Dishes</t>
  </si>
  <si>
    <t>UP055</t>
  </si>
  <si>
    <t>4.5</t>
  </si>
  <si>
    <t>Eggdrop M1 - Juggy Pinches</t>
  </si>
  <si>
    <t>UPR001</t>
  </si>
  <si>
    <t>Unique - Crimps S1 - Bear Down</t>
  </si>
  <si>
    <t>UP065</t>
  </si>
  <si>
    <t>Unique - Crimps S2 - Peanuts</t>
  </si>
  <si>
    <t>UP039</t>
  </si>
  <si>
    <t>1</t>
  </si>
  <si>
    <t>Unique - Crimps S3 - Bubbly</t>
  </si>
  <si>
    <t>UP056</t>
  </si>
  <si>
    <t>0.8</t>
  </si>
  <si>
    <t>Unique - Crimps S4 - Wedges</t>
  </si>
  <si>
    <t>UP100</t>
  </si>
  <si>
    <t>3.34</t>
  </si>
  <si>
    <t>Unique - Crimps S5 - Training Wall Set</t>
  </si>
  <si>
    <t>UP058</t>
  </si>
  <si>
    <t>Unique - Pinches S1 - Tiny Pinches</t>
  </si>
  <si>
    <t>UP098</t>
  </si>
  <si>
    <t>2.49</t>
  </si>
  <si>
    <t>Mini Board</t>
  </si>
  <si>
    <t>UP062</t>
  </si>
  <si>
    <t>Brass Knuckle Hangboard</t>
  </si>
  <si>
    <t>UP070</t>
  </si>
  <si>
    <t>2.95</t>
  </si>
  <si>
    <t>Reg Board</t>
  </si>
  <si>
    <t>UP151</t>
  </si>
  <si>
    <t>Downclimb Jugs</t>
  </si>
  <si>
    <t>Downclimb Jug 1</t>
  </si>
  <si>
    <t>UPDC01</t>
  </si>
  <si>
    <t>New Gym</t>
  </si>
  <si>
    <t>Your Input</t>
  </si>
  <si>
    <t>Our Recommendation</t>
  </si>
  <si>
    <t>Climbable Square Feet</t>
  </si>
  <si>
    <t>Holds on Wall</t>
  </si>
  <si>
    <t>Holds in Backstock</t>
  </si>
  <si>
    <t>Total Holds</t>
  </si>
  <si>
    <t>Boulder Density Goal</t>
  </si>
  <si>
    <t>Boulder Square Feet</t>
  </si>
  <si>
    <t>Boulder Linear Feet</t>
  </si>
  <si>
    <t>Average Boulder Height</t>
  </si>
  <si>
    <t>Number of Boulders</t>
  </si>
  <si>
    <t>Potential Boulder Zones</t>
  </si>
  <si>
    <t>Route Density Goal</t>
  </si>
  <si>
    <t>Route Zones</t>
  </si>
  <si>
    <t>Number of Routes</t>
  </si>
  <si>
    <t>Average Route Height</t>
  </si>
  <si>
    <t>Overall Density Goal</t>
  </si>
  <si>
    <t>Number of Colors to Select</t>
  </si>
  <si>
    <t>Basic Color Pallette</t>
  </si>
  <si>
    <t>In Use</t>
  </si>
  <si>
    <t>Select?</t>
  </si>
  <si>
    <t>Total Holds per Color</t>
  </si>
  <si>
    <t>Feet per Color</t>
  </si>
  <si>
    <t>Boulders per Color</t>
  </si>
  <si>
    <t>Holds per Boulder</t>
  </si>
  <si>
    <t>Total Boulder Holds</t>
  </si>
  <si>
    <t>Routes per Color</t>
  </si>
  <si>
    <t>Holds per Route</t>
  </si>
  <si>
    <t>Total Route Holds</t>
  </si>
  <si>
    <t>Setter Closet Recommended Bolt List</t>
  </si>
  <si>
    <t>Quantity of Sets</t>
  </si>
  <si>
    <t>Holds per Set</t>
  </si>
  <si>
    <t>1.5"</t>
  </si>
  <si>
    <t>2"</t>
  </si>
  <si>
    <t>2.5"</t>
  </si>
  <si>
    <t>3"</t>
  </si>
  <si>
    <t>3.5"</t>
  </si>
  <si>
    <t>4"</t>
  </si>
  <si>
    <t>4.5"</t>
  </si>
  <si>
    <t>5"</t>
  </si>
  <si>
    <t>5.5"</t>
  </si>
  <si>
    <t>6"</t>
  </si>
  <si>
    <t>6.5"</t>
  </si>
  <si>
    <t>7"</t>
  </si>
  <si>
    <t>8"</t>
  </si>
  <si>
    <t>2" T20-WS</t>
  </si>
  <si>
    <t>3" T20-WS</t>
  </si>
  <si>
    <t>3.5"SDS</t>
  </si>
  <si>
    <t>4"SDS</t>
  </si>
  <si>
    <t>5"SDS</t>
  </si>
  <si>
    <t>Added</t>
  </si>
  <si>
    <t>K197</t>
  </si>
  <si>
    <t>KHJH007</t>
  </si>
  <si>
    <t>KHJH007-1</t>
  </si>
  <si>
    <t>KHPJ016</t>
  </si>
  <si>
    <t>KUE001</t>
  </si>
  <si>
    <t>KXJH001</t>
  </si>
  <si>
    <t>KXJH002</t>
  </si>
  <si>
    <t>KXJH003</t>
  </si>
  <si>
    <t>KXJH004</t>
  </si>
  <si>
    <t>KXJH005</t>
  </si>
  <si>
    <t>KXJH006</t>
  </si>
  <si>
    <t>KXJH007</t>
  </si>
  <si>
    <t>KXJH008</t>
  </si>
  <si>
    <t>KXJH009</t>
  </si>
  <si>
    <t>KXKD001</t>
  </si>
  <si>
    <t>KXKD002</t>
  </si>
  <si>
    <t>KXKD003</t>
  </si>
  <si>
    <t>KXPJ001</t>
  </si>
  <si>
    <t>KXPJ002</t>
  </si>
  <si>
    <t>KXPJ003</t>
  </si>
  <si>
    <t>KXST001</t>
  </si>
  <si>
    <t>KXST002</t>
  </si>
  <si>
    <t>KXST003</t>
  </si>
  <si>
    <t>KXST004</t>
  </si>
  <si>
    <t>KXST005</t>
  </si>
  <si>
    <t>KXST006</t>
  </si>
  <si>
    <t>KXST009</t>
  </si>
  <si>
    <t>KXST010</t>
  </si>
  <si>
    <t>KXST011</t>
  </si>
  <si>
    <t>KXST012</t>
  </si>
  <si>
    <t>KXST013</t>
  </si>
  <si>
    <t>KXST014</t>
  </si>
  <si>
    <t>KXST023</t>
  </si>
  <si>
    <t>KXST027</t>
  </si>
  <si>
    <t>KXST028</t>
  </si>
  <si>
    <t>KXST030</t>
  </si>
  <si>
    <t>KXST033</t>
  </si>
  <si>
    <t>KXST037</t>
  </si>
  <si>
    <t>KXST038</t>
  </si>
  <si>
    <t>KXST048</t>
  </si>
  <si>
    <t>KXST049</t>
  </si>
  <si>
    <t>KXST053</t>
  </si>
  <si>
    <t>KXST051</t>
  </si>
  <si>
    <t>KXST054</t>
  </si>
  <si>
    <t>KXST060</t>
  </si>
  <si>
    <t>KXST059</t>
  </si>
  <si>
    <t>KXST063</t>
  </si>
  <si>
    <t>KXST022</t>
  </si>
  <si>
    <t>KXST066</t>
  </si>
  <si>
    <t>KXST007</t>
  </si>
  <si>
    <t>KXST008</t>
  </si>
  <si>
    <t>KXST015</t>
  </si>
  <si>
    <t>KXST016</t>
  </si>
  <si>
    <t>KXST017</t>
  </si>
  <si>
    <t>KXST018</t>
  </si>
  <si>
    <t>KXST019</t>
  </si>
  <si>
    <t>KXST020</t>
  </si>
  <si>
    <t>KXST058</t>
  </si>
  <si>
    <t>KXST034</t>
  </si>
  <si>
    <t>KXST024</t>
  </si>
  <si>
    <t>KXST025</t>
  </si>
  <si>
    <t>KXST029</t>
  </si>
  <si>
    <t>KXST031</t>
  </si>
  <si>
    <t>KXST032</t>
  </si>
  <si>
    <t>KXST035</t>
  </si>
  <si>
    <t>KXST036</t>
  </si>
  <si>
    <t>KXST039</t>
  </si>
  <si>
    <t>KXST047</t>
  </si>
  <si>
    <t>KXST050</t>
  </si>
  <si>
    <t>KXST056</t>
  </si>
  <si>
    <t>KXST055</t>
  </si>
  <si>
    <t>KXST045</t>
  </si>
  <si>
    <t>KXST040</t>
  </si>
  <si>
    <t>KXST041</t>
  </si>
  <si>
    <t>KXST042</t>
  </si>
  <si>
    <t>KXST043</t>
  </si>
  <si>
    <t>KXST044</t>
  </si>
  <si>
    <t>KXST046</t>
  </si>
  <si>
    <t>KX095</t>
  </si>
  <si>
    <t>KX074</t>
  </si>
  <si>
    <t>KX077 (Kit)</t>
  </si>
  <si>
    <t>KX077 (1-3)</t>
  </si>
  <si>
    <t>KX077 (4-6)</t>
  </si>
  <si>
    <t>KX078 (Kit)</t>
  </si>
  <si>
    <t>KX078 (1-3)</t>
  </si>
  <si>
    <t>KX078 (4-6)</t>
  </si>
  <si>
    <t>KX089</t>
  </si>
  <si>
    <t>KX098</t>
  </si>
  <si>
    <t>KX099</t>
  </si>
  <si>
    <t>KX100</t>
  </si>
  <si>
    <t>KX101-1</t>
  </si>
  <si>
    <t>KX101-2</t>
  </si>
  <si>
    <t>KX101 (Kit)</t>
  </si>
  <si>
    <t>KX102-1</t>
  </si>
  <si>
    <t>KX102-2</t>
  </si>
  <si>
    <t>KX102 (Kit)</t>
  </si>
  <si>
    <t>KX103</t>
  </si>
  <si>
    <t>KX104</t>
  </si>
  <si>
    <t>KX107-1</t>
  </si>
  <si>
    <t>KX105</t>
  </si>
  <si>
    <t>KX108</t>
  </si>
  <si>
    <t>KX113</t>
  </si>
  <si>
    <t>KX129</t>
  </si>
  <si>
    <t>KX123</t>
  </si>
  <si>
    <t>KX115 (Kit)</t>
  </si>
  <si>
    <t>KX125</t>
  </si>
  <si>
    <t>KX116</t>
  </si>
  <si>
    <t>KX117</t>
  </si>
  <si>
    <t>KX120</t>
  </si>
  <si>
    <t>KX122</t>
  </si>
  <si>
    <t>KX126</t>
  </si>
  <si>
    <t>KX118</t>
  </si>
  <si>
    <t>KX142</t>
  </si>
  <si>
    <t>KX143</t>
  </si>
  <si>
    <t>KX157</t>
  </si>
  <si>
    <t>KX159</t>
  </si>
  <si>
    <t>KX140</t>
  </si>
  <si>
    <t>KX141</t>
  </si>
  <si>
    <t>KX160</t>
  </si>
  <si>
    <t>KX161</t>
  </si>
  <si>
    <t>KX150</t>
  </si>
  <si>
    <t>KX163</t>
  </si>
  <si>
    <t>KX164</t>
  </si>
  <si>
    <t>KX172</t>
  </si>
  <si>
    <t>KX151</t>
  </si>
  <si>
    <t>KX156</t>
  </si>
  <si>
    <t>KX158</t>
  </si>
  <si>
    <t>KX167</t>
  </si>
  <si>
    <t>KX165</t>
  </si>
  <si>
    <t>KX166</t>
  </si>
  <si>
    <t>KX162</t>
  </si>
  <si>
    <t>KX170</t>
  </si>
  <si>
    <t>KX171</t>
  </si>
  <si>
    <t>KX175</t>
  </si>
  <si>
    <t>KX176</t>
  </si>
  <si>
    <t>KX144</t>
  </si>
  <si>
    <t>KX145</t>
  </si>
  <si>
    <t>KX146</t>
  </si>
  <si>
    <t>KX147</t>
  </si>
  <si>
    <t>KX148</t>
  </si>
  <si>
    <t>KX149</t>
  </si>
  <si>
    <t>KX152</t>
  </si>
  <si>
    <t>KX173</t>
  </si>
  <si>
    <t>KX153</t>
  </si>
  <si>
    <t>KX154</t>
  </si>
  <si>
    <t>KX155</t>
  </si>
  <si>
    <t>KX169</t>
  </si>
  <si>
    <t>KX174</t>
  </si>
  <si>
    <t>KXPJ011</t>
  </si>
  <si>
    <t>KX193</t>
  </si>
  <si>
    <t>KX119</t>
  </si>
  <si>
    <t>KX121</t>
  </si>
  <si>
    <t>KX124</t>
  </si>
  <si>
    <t>KX127</t>
  </si>
  <si>
    <t>KX128</t>
  </si>
  <si>
    <t>KX132</t>
  </si>
  <si>
    <t>KX130</t>
  </si>
  <si>
    <t>KX131</t>
  </si>
  <si>
    <t>KX134</t>
  </si>
  <si>
    <t>KX133</t>
  </si>
  <si>
    <t>KX135</t>
  </si>
  <si>
    <t>KX136</t>
  </si>
  <si>
    <t>KX137</t>
  </si>
  <si>
    <t>KX138</t>
  </si>
  <si>
    <t>KX109</t>
  </si>
  <si>
    <t>KX110</t>
  </si>
  <si>
    <t>KX114</t>
  </si>
  <si>
    <t>KXPJ004</t>
  </si>
  <si>
    <t>KXPJ005</t>
  </si>
  <si>
    <t>KXPJ006</t>
  </si>
  <si>
    <t>KXPJ007</t>
  </si>
  <si>
    <t>KXPJ008</t>
  </si>
  <si>
    <t>KXPJ009</t>
  </si>
  <si>
    <t>KXST052</t>
  </si>
  <si>
    <t>KXST021</t>
  </si>
  <si>
    <t>KXST061</t>
  </si>
  <si>
    <t>KX097</t>
  </si>
  <si>
    <t>KX090</t>
  </si>
  <si>
    <t>KX091</t>
  </si>
  <si>
    <t>KXST049 R</t>
  </si>
  <si>
    <t>KX094</t>
  </si>
  <si>
    <t>KX080</t>
  </si>
  <si>
    <t>KX083</t>
  </si>
  <si>
    <t>KX064</t>
  </si>
  <si>
    <t>KX075</t>
  </si>
  <si>
    <t>KX076</t>
  </si>
  <si>
    <t>KX082</t>
  </si>
  <si>
    <t>KX079</t>
  </si>
  <si>
    <t>KX084</t>
  </si>
  <si>
    <t>KX054</t>
  </si>
  <si>
    <t>KX087</t>
  </si>
  <si>
    <t>KX086</t>
  </si>
  <si>
    <t>KX070</t>
  </si>
  <si>
    <t>KX001</t>
  </si>
  <si>
    <t>KX002</t>
  </si>
  <si>
    <t>KX003</t>
  </si>
  <si>
    <t>KX004</t>
  </si>
  <si>
    <t>KX008</t>
  </si>
  <si>
    <t>KX009</t>
  </si>
  <si>
    <t>KX010</t>
  </si>
  <si>
    <t>KX028</t>
  </si>
  <si>
    <t>KX032</t>
  </si>
  <si>
    <t>KX033</t>
  </si>
  <si>
    <t>KX085</t>
  </si>
  <si>
    <t>KX005</t>
  </si>
  <si>
    <t>KX006</t>
  </si>
  <si>
    <t>KX022</t>
  </si>
  <si>
    <t>KX060</t>
  </si>
  <si>
    <t>KX019</t>
  </si>
  <si>
    <t>KX063</t>
  </si>
  <si>
    <t>KX058</t>
  </si>
  <si>
    <t>KX067</t>
  </si>
  <si>
    <t>KX029</t>
  </si>
  <si>
    <t>KX062</t>
  </si>
  <si>
    <t>KX069</t>
  </si>
  <si>
    <t>KX031</t>
  </si>
  <si>
    <t>KX021</t>
  </si>
  <si>
    <t>KX020</t>
  </si>
  <si>
    <t>KX068</t>
  </si>
  <si>
    <t>KX034</t>
  </si>
  <si>
    <t>KX035</t>
  </si>
  <si>
    <t>KX036</t>
  </si>
  <si>
    <t>KX071</t>
  </si>
  <si>
    <t>KX072</t>
  </si>
  <si>
    <t>KX081</t>
  </si>
  <si>
    <t>KX037</t>
  </si>
  <si>
    <t>KX038</t>
  </si>
  <si>
    <t>KX039</t>
  </si>
  <si>
    <t>KX042</t>
  </si>
  <si>
    <t>KX043</t>
  </si>
  <si>
    <t>KX046</t>
  </si>
  <si>
    <t>KX047</t>
  </si>
  <si>
    <t>KX048</t>
  </si>
  <si>
    <t>KX066</t>
  </si>
  <si>
    <t>KX040</t>
  </si>
  <si>
    <t>KX041</t>
  </si>
  <si>
    <t>KX052</t>
  </si>
  <si>
    <t>KX053</t>
  </si>
  <si>
    <t>KX055</t>
  </si>
  <si>
    <t>KX056</t>
  </si>
  <si>
    <t>KX057</t>
  </si>
  <si>
    <t>KX073</t>
  </si>
  <si>
    <t>KX018</t>
  </si>
  <si>
    <t>KX049</t>
  </si>
  <si>
    <t>KX011</t>
  </si>
  <si>
    <t>KX012</t>
  </si>
  <si>
    <t>KX013</t>
  </si>
  <si>
    <t>KX014</t>
  </si>
  <si>
    <t>KX017</t>
  </si>
  <si>
    <t>KX030</t>
  </si>
  <si>
    <t>KX007</t>
  </si>
  <si>
    <t>KX016</t>
  </si>
  <si>
    <t>KX025</t>
  </si>
  <si>
    <t>KX044</t>
  </si>
  <si>
    <t>KX059</t>
  </si>
  <si>
    <t>KX065</t>
  </si>
  <si>
    <t>KX015</t>
  </si>
  <si>
    <t>KX045</t>
  </si>
  <si>
    <t>KX061</t>
  </si>
  <si>
    <t>KX050</t>
  </si>
  <si>
    <t>KX051</t>
  </si>
  <si>
    <t>KX026</t>
  </si>
  <si>
    <t>KX027</t>
  </si>
  <si>
    <t>UPX15</t>
  </si>
  <si>
    <t>UPX16</t>
  </si>
  <si>
    <t>UPX17</t>
  </si>
  <si>
    <t>UPX18</t>
  </si>
  <si>
    <t>UPX19</t>
  </si>
  <si>
    <t>UPX20</t>
  </si>
  <si>
    <t>UPX21</t>
  </si>
  <si>
    <t>UPX22</t>
  </si>
  <si>
    <t>UPX23</t>
  </si>
  <si>
    <t>UPX24</t>
  </si>
  <si>
    <t>UPX25</t>
  </si>
  <si>
    <t>UPX26</t>
  </si>
  <si>
    <t>UPX27</t>
  </si>
  <si>
    <t>UPX28</t>
  </si>
  <si>
    <t>UPX057</t>
  </si>
  <si>
    <t>UPX058</t>
  </si>
  <si>
    <t>UPX059</t>
  </si>
  <si>
    <t>UPX060</t>
  </si>
  <si>
    <t>UPX065</t>
  </si>
  <si>
    <t>UPX061</t>
  </si>
  <si>
    <t>UPX062</t>
  </si>
  <si>
    <t>UPX063</t>
  </si>
  <si>
    <t>UPX064</t>
  </si>
  <si>
    <t>UPX066</t>
  </si>
  <si>
    <t>UPX87</t>
  </si>
  <si>
    <t>UPX88</t>
  </si>
  <si>
    <t>UPX83</t>
  </si>
  <si>
    <t>UPX84</t>
  </si>
  <si>
    <t>UPX82</t>
  </si>
  <si>
    <t>UPX86</t>
  </si>
  <si>
    <t>UPX80</t>
  </si>
  <si>
    <t>UPX69</t>
  </si>
  <si>
    <t>UPX29</t>
  </si>
  <si>
    <t>UPX30</t>
  </si>
  <si>
    <t>UPX31</t>
  </si>
  <si>
    <t>UPX32</t>
  </si>
  <si>
    <t>UPX33</t>
  </si>
  <si>
    <t>UPX34</t>
  </si>
  <si>
    <t>UPX35</t>
  </si>
  <si>
    <t>UPX1</t>
  </si>
  <si>
    <t>UPX2</t>
  </si>
  <si>
    <t>UPX3</t>
  </si>
  <si>
    <t>UPX4</t>
  </si>
  <si>
    <t>UPX36</t>
  </si>
  <si>
    <t>UPX37</t>
  </si>
  <si>
    <t>UPX38</t>
  </si>
  <si>
    <t>UPX39</t>
  </si>
  <si>
    <t>UPX40</t>
  </si>
  <si>
    <t>UPX41</t>
  </si>
  <si>
    <t>UPX42</t>
  </si>
  <si>
    <t>UPX43</t>
  </si>
  <si>
    <t>UPX44</t>
  </si>
  <si>
    <t>UPX45</t>
  </si>
  <si>
    <t>UPX46</t>
  </si>
  <si>
    <t>UPX47</t>
  </si>
  <si>
    <t>UPX48</t>
  </si>
  <si>
    <t>UPX5</t>
  </si>
  <si>
    <t>UPX6</t>
  </si>
  <si>
    <t>UPX67</t>
  </si>
  <si>
    <t>UPX72</t>
  </si>
  <si>
    <t>UPX73</t>
  </si>
  <si>
    <t>UPX74</t>
  </si>
  <si>
    <t>UPX75</t>
  </si>
  <si>
    <t>UPX81</t>
  </si>
  <si>
    <t>UPX7</t>
  </si>
  <si>
    <t>UPX8</t>
  </si>
  <si>
    <t>UPX9</t>
  </si>
  <si>
    <t>UPX85</t>
  </si>
  <si>
    <t>UPX99</t>
  </si>
  <si>
    <t>UPX93</t>
  </si>
  <si>
    <t>UPX97</t>
  </si>
  <si>
    <t>UPX103</t>
  </si>
  <si>
    <t>UPX110</t>
  </si>
  <si>
    <t>UPX111</t>
  </si>
  <si>
    <t>UPX112</t>
  </si>
  <si>
    <t>UPX115</t>
  </si>
  <si>
    <t>UPX144</t>
  </si>
  <si>
    <t>UPX145</t>
  </si>
  <si>
    <t>UPX100</t>
  </si>
  <si>
    <t>UPX10</t>
  </si>
  <si>
    <t>UPX11</t>
  </si>
  <si>
    <t>UPX12</t>
  </si>
  <si>
    <t>UPX13</t>
  </si>
  <si>
    <t>UPX14</t>
  </si>
  <si>
    <t>UPX49</t>
  </si>
  <si>
    <t>UPX50</t>
  </si>
  <si>
    <t>UPX70</t>
  </si>
  <si>
    <t>UPX76</t>
  </si>
  <si>
    <t>UPX77</t>
  </si>
  <si>
    <t>UPX78</t>
  </si>
  <si>
    <t>UPX79</t>
  </si>
  <si>
    <t>UPX71</t>
  </si>
  <si>
    <t>UPX51</t>
  </si>
  <si>
    <t>UPX52</t>
  </si>
  <si>
    <t>UPX53</t>
  </si>
  <si>
    <t>UPX54</t>
  </si>
  <si>
    <t>UPX55</t>
  </si>
  <si>
    <t>UPX56</t>
  </si>
  <si>
    <t>Additional Bolts</t>
  </si>
  <si>
    <t>Per Unit</t>
  </si>
  <si>
    <t>Cost Per Size</t>
  </si>
  <si>
    <t>Add On</t>
  </si>
  <si>
    <t>Qty</t>
  </si>
  <si>
    <t>Rate</t>
  </si>
  <si>
    <t>5/16" and 7/32" Impact Hex Bit Set</t>
  </si>
  <si>
    <t>5/16" Impact Hex Bit (Standard Bolt Size)</t>
  </si>
  <si>
    <t>7/32" Impact Hex Bit (Flathead/Martini/Buttonhead Bolt Size)</t>
  </si>
  <si>
    <t>T-20 Impact Driver Bit</t>
  </si>
  <si>
    <t>5/16" and 7/32" T-Wrench Set</t>
  </si>
  <si>
    <t>5/16" T-Wrench (Standard Bolt Size)</t>
  </si>
  <si>
    <t>7/32" T-Wrench (Flathead/Martini/Buttonhead Bolt Size)</t>
  </si>
  <si>
    <t>T-Nut - Pound-in - Zinc</t>
  </si>
  <si>
    <t>T-Nut - Pound-in - Stainless</t>
  </si>
  <si>
    <t>T-Nut - Screw-in Zinc</t>
  </si>
  <si>
    <t>Retail</t>
  </si>
  <si>
    <t>Discounted</t>
  </si>
  <si>
    <t>%</t>
  </si>
  <si>
    <t>Total Weight</t>
  </si>
  <si>
    <t>LBS</t>
  </si>
  <si>
    <t>Kilter Aragon</t>
  </si>
  <si>
    <t>Kilter Comp X</t>
  </si>
  <si>
    <t>Kilter Fiberglass</t>
  </si>
  <si>
    <t>UP Aragon</t>
  </si>
  <si>
    <t>UP Comp X</t>
  </si>
  <si>
    <t>UP Fiberglass</t>
  </si>
  <si>
    <t>Effective</t>
  </si>
  <si>
    <t>Boulder Density</t>
  </si>
  <si>
    <t>18-03</t>
  </si>
  <si>
    <t>Low</t>
  </si>
  <si>
    <t>11-01</t>
  </si>
  <si>
    <t>14-06</t>
  </si>
  <si>
    <t>15-01</t>
  </si>
  <si>
    <t>16-09</t>
  </si>
  <si>
    <t>13-15</t>
  </si>
  <si>
    <t>17-16</t>
  </si>
  <si>
    <t>11-20</t>
  </si>
  <si>
    <t>18-09</t>
  </si>
  <si>
    <t>Medium</t>
  </si>
  <si>
    <t>11-24</t>
  </si>
  <si>
    <t>14-04</t>
  </si>
  <si>
    <t>15-09</t>
  </si>
  <si>
    <t>16-08</t>
  </si>
  <si>
    <t>13-14</t>
  </si>
  <si>
    <t>17-18</t>
  </si>
  <si>
    <t>11-25</t>
  </si>
  <si>
    <t>15-14</t>
  </si>
  <si>
    <t>High</t>
  </si>
  <si>
    <t>11-09</t>
  </si>
  <si>
    <t>14-11</t>
  </si>
  <si>
    <t>2</t>
  </si>
  <si>
    <t>16-13</t>
  </si>
  <si>
    <t>13-18</t>
  </si>
  <si>
    <t>13</t>
  </si>
  <si>
    <t>15-06</t>
  </si>
  <si>
    <t>5</t>
  </si>
  <si>
    <t>76</t>
  </si>
  <si>
    <t>16-29</t>
  </si>
  <si>
    <t>78</t>
  </si>
  <si>
    <t>11-17</t>
  </si>
  <si>
    <t>11</t>
  </si>
  <si>
    <t>06-06</t>
  </si>
  <si>
    <t>13-24</t>
  </si>
  <si>
    <t>16</t>
  </si>
  <si>
    <t>18-12</t>
  </si>
  <si>
    <t>16-18</t>
  </si>
  <si>
    <t>13-27</t>
  </si>
  <si>
    <t>12-01</t>
  </si>
  <si>
    <t>77</t>
  </si>
  <si>
    <t>11-30</t>
  </si>
  <si>
    <t>12</t>
  </si>
  <si>
    <t>11-11</t>
  </si>
  <si>
    <t>69</t>
  </si>
  <si>
    <t>79</t>
  </si>
  <si>
    <t>Product/Service</t>
  </si>
  <si>
    <t>Color</t>
  </si>
  <si>
    <t>Quantity</t>
  </si>
  <si>
    <t>Amount</t>
  </si>
  <si>
    <t>UV Stabilize</t>
  </si>
  <si>
    <t>Customer</t>
  </si>
  <si>
    <t>Vendor</t>
  </si>
  <si>
    <t>Product</t>
  </si>
  <si>
    <t>Legend</t>
  </si>
  <si>
    <t>Color Charge</t>
  </si>
  <si>
    <t>Holds - Kilter:K001</t>
  </si>
  <si>
    <t>N</t>
  </si>
  <si>
    <t>Hardware</t>
  </si>
  <si>
    <t>Shipping</t>
  </si>
  <si>
    <t>Y</t>
  </si>
  <si>
    <t>Holds - Kilter:K002</t>
  </si>
  <si>
    <t>UV Stabilizer</t>
  </si>
  <si>
    <t>Holds - Kilter:K003</t>
  </si>
  <si>
    <t>Holds - Kilter:K004</t>
  </si>
  <si>
    <t>Holds - Kilter:K005</t>
  </si>
  <si>
    <t>Holds - Kilter:K006</t>
  </si>
  <si>
    <t>Holds - Kilter:K007</t>
  </si>
  <si>
    <t>Holds - Kilter:K008</t>
  </si>
  <si>
    <t>Holds - Kilter:K009</t>
  </si>
  <si>
    <t>Holds - Kilter:K010</t>
  </si>
  <si>
    <t>Holds - Kilter:K011</t>
  </si>
  <si>
    <t>Holds - Kilter:K012</t>
  </si>
  <si>
    <t>Holds - Kilter:K013</t>
  </si>
  <si>
    <t>Holds - Kilter:K014</t>
  </si>
  <si>
    <t>Holds - Kilter:K015</t>
  </si>
  <si>
    <t>Holds - Kilter:K016</t>
  </si>
  <si>
    <t>Holds - Kilter:K017</t>
  </si>
  <si>
    <t>Holds - Kilter:K018</t>
  </si>
  <si>
    <t>Holds - Kilter:K019</t>
  </si>
  <si>
    <t>Holds - Kilter:K020</t>
  </si>
  <si>
    <t>Holds - Kilter:K021</t>
  </si>
  <si>
    <t>Holds - Kilter:K022</t>
  </si>
  <si>
    <t>Holds - Kilter:K023</t>
  </si>
  <si>
    <t>Holds - Kilter:K024</t>
  </si>
  <si>
    <t>Holds - Kilter:K025</t>
  </si>
  <si>
    <t>Holds - Kilter:K026</t>
  </si>
  <si>
    <t>Holds - Kilter:K027</t>
  </si>
  <si>
    <t>Holds - Kilter:K028</t>
  </si>
  <si>
    <t>Holds - Kilter:K030</t>
  </si>
  <si>
    <t>Holds - Kilter:K031</t>
  </si>
  <si>
    <t>Holds - Kilter:K032</t>
  </si>
  <si>
    <t>Holds - Kilter:K033</t>
  </si>
  <si>
    <t>Holds - Kilter:K034</t>
  </si>
  <si>
    <t>Holds - Kilter:K035</t>
  </si>
  <si>
    <t>Holds - Kilter:K036</t>
  </si>
  <si>
    <t>Holds - Kilter:K037</t>
  </si>
  <si>
    <t>Holds - Kilter:K038</t>
  </si>
  <si>
    <t>Holds - Kilter:K039</t>
  </si>
  <si>
    <t>Holds - Kilter:K040</t>
  </si>
  <si>
    <t>Holds - Kilter:K041</t>
  </si>
  <si>
    <t>Holds - Kilter:K042</t>
  </si>
  <si>
    <t>Holds - Kilter:K043</t>
  </si>
  <si>
    <t>Holds - Kilter:K044</t>
  </si>
  <si>
    <t>Holds - Kilter:K045</t>
  </si>
  <si>
    <t>Holds - Kilter:K046</t>
  </si>
  <si>
    <t>Holds - Kilter:K047 (Kit)</t>
  </si>
  <si>
    <t>Holds - Kilter:K047-1</t>
  </si>
  <si>
    <t>Holds - Kilter:K047-2</t>
  </si>
  <si>
    <t>Holds - Kilter:K047-3</t>
  </si>
  <si>
    <t>Holds - Kilter:K048 (Kit)</t>
  </si>
  <si>
    <t>Holds - Kilter:K048-1</t>
  </si>
  <si>
    <t>Holds - Kilter:K048-2</t>
  </si>
  <si>
    <t>Holds - Kilter:K048-3</t>
  </si>
  <si>
    <t>Holds - Kilter:K049 (Kit)</t>
  </si>
  <si>
    <t>Holds - Kilter:K049-1</t>
  </si>
  <si>
    <t>Holds - Kilter:K049-2</t>
  </si>
  <si>
    <t>Holds - Kilter:K049-3</t>
  </si>
  <si>
    <t>Holds - Kilter:K050</t>
  </si>
  <si>
    <t>Holds - Kilter:K051</t>
  </si>
  <si>
    <t>Holds - Kilter:K052</t>
  </si>
  <si>
    <t>Holds - Kilter:K053 (Kit)</t>
  </si>
  <si>
    <t>Holds - Kilter:K053-1</t>
  </si>
  <si>
    <t>Holds - Kilter:K053-2</t>
  </si>
  <si>
    <t>Holds - Kilter:K053-3</t>
  </si>
  <si>
    <t>Holds - Kilter:K054</t>
  </si>
  <si>
    <t>Holds - Kilter:K055</t>
  </si>
  <si>
    <t>Holds - Kilter:K056</t>
  </si>
  <si>
    <t>Holds - Kilter:K057</t>
  </si>
  <si>
    <t>Holds - Kilter:K058</t>
  </si>
  <si>
    <t>Holds - Kilter:K059</t>
  </si>
  <si>
    <t>Holds - Kilter:K060</t>
  </si>
  <si>
    <t>Holds - Kilter:K061</t>
  </si>
  <si>
    <t>Holds - Kilter:K063 (Kit)</t>
  </si>
  <si>
    <t>Holds - Kilter:K063-1</t>
  </si>
  <si>
    <t>Holds - Kilter:K063-2</t>
  </si>
  <si>
    <t>Holds - Kilter:K063-3</t>
  </si>
  <si>
    <t>Holds - Kilter:K065 (Kit)</t>
  </si>
  <si>
    <t>Holds - Kilter:K065-1</t>
  </si>
  <si>
    <t>Holds - Kilter:K065-2</t>
  </si>
  <si>
    <t>Holds - Kilter:K065-3</t>
  </si>
  <si>
    <t>Holds - Kilter:K066 (Kit)</t>
  </si>
  <si>
    <t>Holds - Kilter:K066-1</t>
  </si>
  <si>
    <t>Holds - Kilter:K066-2</t>
  </si>
  <si>
    <t>Holds - Kilter:K066-3</t>
  </si>
  <si>
    <t>Holds - Kilter:K067 (Kit)</t>
  </si>
  <si>
    <t>Holds - Kilter:K067-1</t>
  </si>
  <si>
    <t>Holds - Kilter:K067-2</t>
  </si>
  <si>
    <t>Holds - Kilter:K067-3</t>
  </si>
  <si>
    <t>Holds - Kilter:K068 (Kit)</t>
  </si>
  <si>
    <t>Holds - Kilter:K068-1</t>
  </si>
  <si>
    <t>Holds - Kilter:K068-2</t>
  </si>
  <si>
    <t>Holds - Kilter:K068-3</t>
  </si>
  <si>
    <t>Holds - Kilter:K069 (Kit)</t>
  </si>
  <si>
    <t>Holds - Kilter:K069-1</t>
  </si>
  <si>
    <t>Holds - Kilter:K069-2</t>
  </si>
  <si>
    <t>Holds - Kilter:K069-3</t>
  </si>
  <si>
    <t>Holds - Kilter:K072</t>
  </si>
  <si>
    <t>Holds - Kilter:K073</t>
  </si>
  <si>
    <t>Holds - Kilter:K074</t>
  </si>
  <si>
    <t>Holds - Kilter:K076</t>
  </si>
  <si>
    <t>Holds - Kilter:K077</t>
  </si>
  <si>
    <t>Holds - Kilter:K078 (Kit)</t>
  </si>
  <si>
    <t>Holds - Kilter:K079</t>
  </si>
  <si>
    <t>Holds - Kilter:K080</t>
  </si>
  <si>
    <t>Holds - Kilter:K081</t>
  </si>
  <si>
    <t>Holds - Kilter:K082</t>
  </si>
  <si>
    <t>Holds - Kilter:K083</t>
  </si>
  <si>
    <t>Holds - Kilter:K084</t>
  </si>
  <si>
    <t>Holds - Kilter:K085</t>
  </si>
  <si>
    <t>Holds - Kilter:K086</t>
  </si>
  <si>
    <t>Holds - Kilter:K087</t>
  </si>
  <si>
    <t>Holds - Kilter:K088</t>
  </si>
  <si>
    <t>Holds - Kilter:K090</t>
  </si>
  <si>
    <t>Holds - Kilter:K091</t>
  </si>
  <si>
    <t>Holds - Kilter:K092</t>
  </si>
  <si>
    <t>Holds - Kilter:K093</t>
  </si>
  <si>
    <t>Holds - Kilter:K094</t>
  </si>
  <si>
    <t>Holds - Kilter:K095</t>
  </si>
  <si>
    <t>Holds - Kilter:K096</t>
  </si>
  <si>
    <t>Holds - Kilter:K097</t>
  </si>
  <si>
    <t>Holds - Kilter:K098</t>
  </si>
  <si>
    <t>Holds - Kilter:K099</t>
  </si>
  <si>
    <t>Holds - Kilter:K100</t>
  </si>
  <si>
    <t>Holds - Kilter:K101</t>
  </si>
  <si>
    <t>Holds - Kilter:K102</t>
  </si>
  <si>
    <t>Holds - Kilter:K103</t>
  </si>
  <si>
    <t>Holds - Kilter:K104</t>
  </si>
  <si>
    <t>Holds - Kilter:K105</t>
  </si>
  <si>
    <t>Holds - Kilter:K106</t>
  </si>
  <si>
    <t>Holds - Kilter:K107</t>
  </si>
  <si>
    <t>Holds - Kilter:K108</t>
  </si>
  <si>
    <t>Holds - Kilter:K109</t>
  </si>
  <si>
    <t>Holds - Kilter:K110</t>
  </si>
  <si>
    <t>Holds - Kilter:K111</t>
  </si>
  <si>
    <t>Holds - Kilter:K112</t>
  </si>
  <si>
    <t>Holds - Kilter:K113</t>
  </si>
  <si>
    <t>Holds - Kilter:K114</t>
  </si>
  <si>
    <t>Holds - Kilter:K115</t>
  </si>
  <si>
    <t>Holds - Kilter:K116</t>
  </si>
  <si>
    <t>Holds - Kilter:K117</t>
  </si>
  <si>
    <t>Holds - Kilter:K118</t>
  </si>
  <si>
    <t>Holds - Kilter:K119</t>
  </si>
  <si>
    <t>Holds - Kilter:K120</t>
  </si>
  <si>
    <t>Holds - Kilter:K121</t>
  </si>
  <si>
    <t>Holds - Kilter:K122</t>
  </si>
  <si>
    <t>Holds - Kilter:K123</t>
  </si>
  <si>
    <t>Holds - Kilter:K124</t>
  </si>
  <si>
    <t>Holds - Kilter:K125</t>
  </si>
  <si>
    <t>Holds - Kilter:K126 (Kit)</t>
  </si>
  <si>
    <t>Holds - Kilter:K126-1</t>
  </si>
  <si>
    <t>Holds - Kilter:K126-2</t>
  </si>
  <si>
    <t>Holds - Kilter:K126-3</t>
  </si>
  <si>
    <t>Holds - Kilter:K127</t>
  </si>
  <si>
    <t>Holds - Kilter:K128</t>
  </si>
  <si>
    <t>Holds - Kilter:K130</t>
  </si>
  <si>
    <t>Holds - Kilter:K133 (Kit)</t>
  </si>
  <si>
    <t>Holds - Kilter:K133-2</t>
  </si>
  <si>
    <t>Holds - Kilter:K133-3</t>
  </si>
  <si>
    <t>Holds - Kilter:K134</t>
  </si>
  <si>
    <t>Holds - Kilter:K135</t>
  </si>
  <si>
    <t>Holds - Kilter:K136</t>
  </si>
  <si>
    <t>Holds - Kilter:K137</t>
  </si>
  <si>
    <t>Holds - Kilter:K138</t>
  </si>
  <si>
    <t>Holds - Kilter:K139</t>
  </si>
  <si>
    <t>Holds - Kilter:K140</t>
  </si>
  <si>
    <t>Holds - Kilter:K141</t>
  </si>
  <si>
    <t>Holds - Kilter:K142</t>
  </si>
  <si>
    <t>Holds - Kilter:K143</t>
  </si>
  <si>
    <t>Holds - Kilter:K144</t>
  </si>
  <si>
    <t>Holds - Kilter:K145</t>
  </si>
  <si>
    <t>Holds - Kilter:K146</t>
  </si>
  <si>
    <t>Holds - Kilter:K147</t>
  </si>
  <si>
    <t>Holds - Kilter:K148</t>
  </si>
  <si>
    <t>Holds - Kilter:K149</t>
  </si>
  <si>
    <t>Holds - Kilter:K149 DT</t>
  </si>
  <si>
    <t>Holds - Kilter:K150</t>
  </si>
  <si>
    <t>Holds - Kilter:K151</t>
  </si>
  <si>
    <t>Holds - Kilter:K152</t>
  </si>
  <si>
    <t>Holds - Kilter:K153</t>
  </si>
  <si>
    <t>Holds - Kilter:K154</t>
  </si>
  <si>
    <t>Holds - Kilter:K155</t>
  </si>
  <si>
    <t>Holds - Kilter:K156</t>
  </si>
  <si>
    <t>Holds - Kilter:K157</t>
  </si>
  <si>
    <t>Holds - Kilter:K158</t>
  </si>
  <si>
    <t>Holds - Kilter:K159</t>
  </si>
  <si>
    <t>Holds - Kilter:K160</t>
  </si>
  <si>
    <t>Holds - Kilter:K161 (Kit)</t>
  </si>
  <si>
    <t>Holds - Kilter:K161 DT (Kit)</t>
  </si>
  <si>
    <t>Holds - Kilter:K161-1 DT</t>
  </si>
  <si>
    <t>Holds - Kilter:K161-2</t>
  </si>
  <si>
    <t>Holds - Kilter:K161-2 DT</t>
  </si>
  <si>
    <t>Holds - Kilter:K161-3</t>
  </si>
  <si>
    <t>Holds - Kilter:K161-3 DT</t>
  </si>
  <si>
    <t>Holds - Kilter:K162 DT (Kit)</t>
  </si>
  <si>
    <t>Holds - Kilter:K162-1 DT</t>
  </si>
  <si>
    <t>Holds - Kilter:K162-2 DT</t>
  </si>
  <si>
    <t>Holds - Kilter:K162-3 DT</t>
  </si>
  <si>
    <t>Holds - Kilter:K164</t>
  </si>
  <si>
    <t>Holds - Kilter:K166</t>
  </si>
  <si>
    <t>Holds - Kilter:K167</t>
  </si>
  <si>
    <t>Holds - Kilter:K168</t>
  </si>
  <si>
    <t>Holds - Kilter:K169</t>
  </si>
  <si>
    <t>Holds - Kilter:K170</t>
  </si>
  <si>
    <t>Holds - Kilter:K171</t>
  </si>
  <si>
    <t>Holds - Kilter:K172</t>
  </si>
  <si>
    <t>Holds - Kilter:K173</t>
  </si>
  <si>
    <t>Holds - Kilter:K174</t>
  </si>
  <si>
    <t>Holds - Kilter:K175</t>
  </si>
  <si>
    <t>Holds - Kilter:K176</t>
  </si>
  <si>
    <t>Holds - Kilter:K177</t>
  </si>
  <si>
    <t>Holds - Kilter:K178</t>
  </si>
  <si>
    <t>Holds - Kilter:K179 (Kit)</t>
  </si>
  <si>
    <t>Holds - Kilter:K179-1</t>
  </si>
  <si>
    <t>Holds - Kilter:K179-2</t>
  </si>
  <si>
    <t>Holds - Kilter:K179-3</t>
  </si>
  <si>
    <t>Holds - Kilter:K181</t>
  </si>
  <si>
    <t>Holds - Kilter:K182</t>
  </si>
  <si>
    <t>Holds - Kilter:K183</t>
  </si>
  <si>
    <t>Holds - Kilter:K184</t>
  </si>
  <si>
    <t>Holds - Kilter:K185</t>
  </si>
  <si>
    <t>Holds - Kilter:K186</t>
  </si>
  <si>
    <t>Holds - Kilter:K187</t>
  </si>
  <si>
    <t>Holds - Kilter:K188</t>
  </si>
  <si>
    <t>Holds - Kilter:K189</t>
  </si>
  <si>
    <t>Holds - Kilter:K191</t>
  </si>
  <si>
    <t>Holds - Kilter:K192</t>
  </si>
  <si>
    <t>Holds - Kilter:K193</t>
  </si>
  <si>
    <t>Holds - Kilter:K194</t>
  </si>
  <si>
    <t>Holds - Kilter:K195</t>
  </si>
  <si>
    <t>Holds - Kilter:K196</t>
  </si>
  <si>
    <t>Holds - Kilter:K198</t>
  </si>
  <si>
    <t>Holds - Kilter:K199</t>
  </si>
  <si>
    <t>Holds - Kilter:K200</t>
  </si>
  <si>
    <t>Holds - Kilter:K201</t>
  </si>
  <si>
    <t>Holds - Kilter:K202</t>
  </si>
  <si>
    <t>Holds - Kilter:K203</t>
  </si>
  <si>
    <t>Holds - Kilter:K204</t>
  </si>
  <si>
    <t>Holds - Kilter:K205</t>
  </si>
  <si>
    <t>Holds - Kilter:K206</t>
  </si>
  <si>
    <t>Holds - Kilter:K207</t>
  </si>
  <si>
    <t>Holds - Kilter:K208</t>
  </si>
  <si>
    <t>Holds - Kilter:K209</t>
  </si>
  <si>
    <t>Holds - Kilter:K210</t>
  </si>
  <si>
    <t>Holds - Kilter:K212</t>
  </si>
  <si>
    <t>Holds - Kilter:K213</t>
  </si>
  <si>
    <t>Holds - Kilter:K214</t>
  </si>
  <si>
    <t>Holds - Kilter:K215</t>
  </si>
  <si>
    <t>Holds - Kilter:K216</t>
  </si>
  <si>
    <t>Holds - Kilter:K217</t>
  </si>
  <si>
    <t>Holds - Kilter:K218</t>
  </si>
  <si>
    <t>Holds - Kilter:K219</t>
  </si>
  <si>
    <t>Holds - Kilter:K220</t>
  </si>
  <si>
    <t>Holds - Kilter:K221</t>
  </si>
  <si>
    <t>Holds - Kilter:K222</t>
  </si>
  <si>
    <t>Holds - Kilter:K223</t>
  </si>
  <si>
    <t>Holds - Kilter:K224</t>
  </si>
  <si>
    <t>Holds - Kilter:K225</t>
  </si>
  <si>
    <t>Holds - Kilter:K226</t>
  </si>
  <si>
    <t>Holds - Kilter:K227</t>
  </si>
  <si>
    <t>Holds - Kilter:K228</t>
  </si>
  <si>
    <t>Holds - Kilter:K229</t>
  </si>
  <si>
    <t>Holds - Kilter:K230</t>
  </si>
  <si>
    <t>Holds - Kilter:K231</t>
  </si>
  <si>
    <t>Holds - Kilter:K232</t>
  </si>
  <si>
    <t>Holds - Kilter:K233</t>
  </si>
  <si>
    <t>Holds - Kilter:K234</t>
  </si>
  <si>
    <t>Holds - Kilter:K235</t>
  </si>
  <si>
    <t>Holds - Kilter:K236</t>
  </si>
  <si>
    <t>Holds - Kilter:K237</t>
  </si>
  <si>
    <t>Holds - Kilter:K238</t>
  </si>
  <si>
    <t>Holds - Kilter:K239</t>
  </si>
  <si>
    <t>Holds - Kilter:K240</t>
  </si>
  <si>
    <t>Holds - Kilter:K241</t>
  </si>
  <si>
    <t>Holds - Kilter:K242</t>
  </si>
  <si>
    <t>Holds - Kilter:K243</t>
  </si>
  <si>
    <t>Holds - Kilter:K244</t>
  </si>
  <si>
    <t>Holds - Kilter:K245</t>
  </si>
  <si>
    <t>Holds - Kilter:K246</t>
  </si>
  <si>
    <t>Holds - Kilter:K247</t>
  </si>
  <si>
    <t>Holds - Kilter:K248</t>
  </si>
  <si>
    <t>Holds - Kilter:K249</t>
  </si>
  <si>
    <t>Holds - Kilter:K250</t>
  </si>
  <si>
    <t>Holds - Kilter:K251</t>
  </si>
  <si>
    <t>Holds - Kilter:K252</t>
  </si>
  <si>
    <t>Holds - Kilter:K253</t>
  </si>
  <si>
    <t>Holds - Kilter:K254</t>
  </si>
  <si>
    <t>Holds - Kilter:K255</t>
  </si>
  <si>
    <t>Holds - Kilter:K256</t>
  </si>
  <si>
    <t>Holds - F-bloc:Dan Yagmin:KFB001</t>
  </si>
  <si>
    <t>Holds - F-bloc:Dan Yagmin:KFB002</t>
  </si>
  <si>
    <t>Holds - F-bloc:Dan Yagmin:KFB003</t>
  </si>
  <si>
    <t>Holds - F-bloc:Dan Yagmin:KFB004</t>
  </si>
  <si>
    <t>Holds - F-bloc:Dan Yagmin:KFB005</t>
  </si>
  <si>
    <t>Holds - F-bloc:Dan Yagmin:KFB006</t>
  </si>
  <si>
    <t>Holds - F-bloc:Dan Yagmin:KFB007</t>
  </si>
  <si>
    <t>Holds - F-bloc:Dan Yagmin:KFB008</t>
  </si>
  <si>
    <t>Holds - F-bloc:Dan Yagmin:KFB009</t>
  </si>
  <si>
    <t>Holds - F-bloc:Dan Yagmin:KFB010</t>
  </si>
  <si>
    <t>Holds - F-bloc:Dan Yagmin:KFB011</t>
  </si>
  <si>
    <t>Holds - F-bloc:Dan Yagmin:KFB012</t>
  </si>
  <si>
    <t>Holds - F-bloc:Dan Yagmin:KFB013</t>
  </si>
  <si>
    <t>Holds - F-bloc:Dan Yagmin:KFB014</t>
  </si>
  <si>
    <t>Holds - F-bloc:Dan Yagmin:KFB015</t>
  </si>
  <si>
    <t>Holds - F-bloc:Dan Yagmin:KFB016</t>
  </si>
  <si>
    <t>Holds - F-bloc:Dan Yagmin:KFB017</t>
  </si>
  <si>
    <t>Holds - F-bloc:Dan Yagmin:KFB018</t>
  </si>
  <si>
    <t>Holds - F-bloc:Dan Yagmin:KFB019</t>
  </si>
  <si>
    <t>Holds - F-bloc:Dan Yagmin:KFB020</t>
  </si>
  <si>
    <t>Holds - F-bloc:Dan Yagmin:KFB021</t>
  </si>
  <si>
    <t>Holds - F-bloc:Dan Yagmin:KFB022</t>
  </si>
  <si>
    <t>Holds - F-bloc:Dan Yagmin:KFB023</t>
  </si>
  <si>
    <t>Holds - F-bloc:Dan Yagmin:KFB024</t>
  </si>
  <si>
    <t>Holds - Haptic:Alex:KHAP001</t>
  </si>
  <si>
    <t>Holds - Haptic:Alex:KHAP002</t>
  </si>
  <si>
    <t>Holds - Haptic:Ian:KHIP001</t>
  </si>
  <si>
    <t>Holds - Haptic:Ian:KHIP002</t>
  </si>
  <si>
    <t>Holds - Haptic:Ian:KHIP003</t>
  </si>
  <si>
    <t>Holds - Haptic:Ian:KHIP004</t>
  </si>
  <si>
    <t>Holds - Haptic:Ian:KHIP005</t>
  </si>
  <si>
    <t>Holds - Haptic:Ian:KHIP006</t>
  </si>
  <si>
    <t>Holds - Haptic:Ian:KHIP007</t>
  </si>
  <si>
    <t>Holds - Haptic:Ian:KHIP008</t>
  </si>
  <si>
    <t>Holds - Haptic:Ian:KHIP009</t>
  </si>
  <si>
    <t>Holds - Haptic:Ian:KHIP010</t>
  </si>
  <si>
    <t>KHIP011</t>
  </si>
  <si>
    <t>Holds - Haptic:Ian:KHIP011</t>
  </si>
  <si>
    <t>Holds - Haptic:Ian:KHIP012 (Kit)</t>
  </si>
  <si>
    <t>Holds - Haptic:Ian:KHIP012-2</t>
  </si>
  <si>
    <t>Holds - Haptic:Ian:KHIP012-3</t>
  </si>
  <si>
    <t>Holds - Haptic:Ian:KHIP013</t>
  </si>
  <si>
    <t>Holds - Haptic:Ian:KHIP013 DT</t>
  </si>
  <si>
    <t>Holds - Haptic:Ian:KHIP014</t>
  </si>
  <si>
    <t>Holds - Haptic:Ian:KHIP015</t>
  </si>
  <si>
    <t>Holds - Haptic:Ian:KHIP016</t>
  </si>
  <si>
    <t>Holds - Haptic:Ian:KHIP017</t>
  </si>
  <si>
    <t>Holds - Haptic:Ian:KHIP018</t>
  </si>
  <si>
    <t>Holds - Haptic:Ian:KHIP019</t>
  </si>
  <si>
    <t>Holds - Haptic:Ian:KHIP021</t>
  </si>
  <si>
    <t>Holds - Haptic:Ian:KHIP022</t>
  </si>
  <si>
    <t>Holds - Haptic:Ian:KHIP023</t>
  </si>
  <si>
    <t>Holds - Haptic:Ian:KHIP024</t>
  </si>
  <si>
    <t>Holds - Haptic:Ian:KHIP025</t>
  </si>
  <si>
    <t>Holds - Haptic:Ian:KHIP026</t>
  </si>
  <si>
    <t>Holds - Haptic:Ian:KHIP028</t>
  </si>
  <si>
    <t>Holds - Haptic:Ian:KHIP029 (Kit)</t>
  </si>
  <si>
    <t>Holds - Haptic:Ian:KHIP029-1</t>
  </si>
  <si>
    <t>Holds - Haptic:Ian:KHIP029-2</t>
  </si>
  <si>
    <t>Holds - Haptic:Ian:KHIP030</t>
  </si>
  <si>
    <t>Holds - Haptic:Ian:KHIP031 (Kit)</t>
  </si>
  <si>
    <t>Holds - Haptic:Ian:KHIP031-1</t>
  </si>
  <si>
    <t>Holds - Haptic:Ian:KHIP031-2</t>
  </si>
  <si>
    <t>Holds - Haptic:Ian:KHIP032</t>
  </si>
  <si>
    <t>Holds - Haptic:Ian:KHIP033 (Kit)</t>
  </si>
  <si>
    <t>Holds - Haptic:Ian:KHIP033-1</t>
  </si>
  <si>
    <t>Holds - Haptic:Ian:KHIP033-2</t>
  </si>
  <si>
    <t>Holds - Haptic:Ian:KHIP033-3</t>
  </si>
  <si>
    <t>Holds - Haptic:Ian:KHIP034</t>
  </si>
  <si>
    <t>Holds - Haptic:Ian:KHIP035</t>
  </si>
  <si>
    <t>Holds - Haptic:Ian:KHIP036</t>
  </si>
  <si>
    <t>Holds - Haptic:Ian:KHIP037</t>
  </si>
  <si>
    <t>Holds - Haptic:Ian:KHIP038</t>
  </si>
  <si>
    <t>Holds - Haptic:Ian:KHIP039</t>
  </si>
  <si>
    <t>Holds - Haptic:Ian:KHIP040 (Kit)</t>
  </si>
  <si>
    <t>Holds - Haptic:Ian:KHIP040-1</t>
  </si>
  <si>
    <t>Holds - Haptic:Ian:KHIP040-2</t>
  </si>
  <si>
    <t>Holds - Haptic:Ian:KHIP040-3</t>
  </si>
  <si>
    <t>Holds - Haptic:Ian:KHIP042</t>
  </si>
  <si>
    <t>Holds - Haptic:Ian:KHIP043</t>
  </si>
  <si>
    <t>Holds - Haptic:Ian:KHIP044</t>
  </si>
  <si>
    <t>Holds - Haptic:Ian:KHIP045</t>
  </si>
  <si>
    <t>Holds - Haptic:Ian:KHIP046</t>
  </si>
  <si>
    <t>Holds - Haptic:Ian:KHIP047</t>
  </si>
  <si>
    <t>Holds - Haptic:Ian:KHIP048</t>
  </si>
  <si>
    <t>Holds - Haptic:Ian:KHIP049 (Kit)</t>
  </si>
  <si>
    <t>Holds - Haptic:Ian:KHIP049-1</t>
  </si>
  <si>
    <t>Holds - Haptic:Ian:KHIP049-2</t>
  </si>
  <si>
    <t>Holds - Haptic:Ian:KHIP050</t>
  </si>
  <si>
    <t>Holds - Haptic:Ian:KHIP051 (Kit)</t>
  </si>
  <si>
    <t>Holds - Haptic:Ian:KHIP051-1</t>
  </si>
  <si>
    <t>Holds - Haptic:Ian:KHIP051-2</t>
  </si>
  <si>
    <t>Holds - Haptic:Ian:KHIP052</t>
  </si>
  <si>
    <t>Holds - Haptic:Ian:KHIP053</t>
  </si>
  <si>
    <t>Holds - Haptic:Ian:KHIP054</t>
  </si>
  <si>
    <t>Holds - Haptic:Ian:KHIP055</t>
  </si>
  <si>
    <t>Holds - Haptic:Ian:KHIP056</t>
  </si>
  <si>
    <t>Holds - Haptic:Ian:KHIP057</t>
  </si>
  <si>
    <t>Holds - Haptic:Ian:KHIP058</t>
  </si>
  <si>
    <t>Holds - Haptic:Ian:KHIP059</t>
  </si>
  <si>
    <t>Holds - Haptic:Ian:KHIP060</t>
  </si>
  <si>
    <t>Holds - Haptic:Ian:KHIP061</t>
  </si>
  <si>
    <t>Holds - Haptic:Ian:KHIP062</t>
  </si>
  <si>
    <t>Holds - Haptic:Ian:KHIP063</t>
  </si>
  <si>
    <t>Holds - Haptic:Ian:KHIP064</t>
  </si>
  <si>
    <t>Holds - Haptic:Ian:KHIP065</t>
  </si>
  <si>
    <t>Holds - Haptic:Ian:KHIP066</t>
  </si>
  <si>
    <t>Holds - Haptic:Ian:KHIP067</t>
  </si>
  <si>
    <t>Holds - Haptic:Ian:KHIP068</t>
  </si>
  <si>
    <t>Holds - Haptic:Ian:KHIP069</t>
  </si>
  <si>
    <t>Holds - Haptic:Ian:KHIP070</t>
  </si>
  <si>
    <t>Holds - Haptic:Ian:KHIP071</t>
  </si>
  <si>
    <t>Holds - Haptic:Ian:KHIP072</t>
  </si>
  <si>
    <t>Holds - Haptic:Jeremy:KHJH001</t>
  </si>
  <si>
    <t>Holds - Haptic:Jeremy:KHJH003</t>
  </si>
  <si>
    <t>Holds - Haptic:Jeremy:KHJH004</t>
  </si>
  <si>
    <t>Holds - Haptic:Jeremy:KHJH005</t>
  </si>
  <si>
    <t>Holds - Haptic:Jeremy:KHJH006</t>
  </si>
  <si>
    <t>Holds - Haptic:Jeremy:KHJH007 (Kit)</t>
  </si>
  <si>
    <t>Holds - Haptic:Jeremy:KHJH007-2</t>
  </si>
  <si>
    <t>Holds - Haptic:Jeremy:KHJH007-3</t>
  </si>
  <si>
    <t>Holds - Haptic:Jeremy:KHJH008</t>
  </si>
  <si>
    <t>Holds - Haptic:Jeremy:KHJH009</t>
  </si>
  <si>
    <t>Holds - Haptic:Jeremy:KHJH010</t>
  </si>
  <si>
    <t>Holds - Haptic:Jeremy:KHJH011</t>
  </si>
  <si>
    <t>Holds - Haptic:Jeremy:KHJH012</t>
  </si>
  <si>
    <t>Holds - Haptic:Jeremy:KHJH013</t>
  </si>
  <si>
    <t>KHJH014</t>
  </si>
  <si>
    <t>Holds - Haptic:Jeremy:KHJH014</t>
  </si>
  <si>
    <t>Holds - Haptic:Jeremy:KHJH015</t>
  </si>
  <si>
    <t>KHJH016</t>
  </si>
  <si>
    <t>Holds - Haptic:Jeremy:KHJH016</t>
  </si>
  <si>
    <t>Holds - Haptic:Jeremy:KHJH017</t>
  </si>
  <si>
    <t>Holds - Haptic:Jeremy:KHJH018</t>
  </si>
  <si>
    <t>Holds - Haptic:Jimmy:KHJW001</t>
  </si>
  <si>
    <t>Holds - Haptic:Jimmy:KHJW002 (Kit)</t>
  </si>
  <si>
    <t>Holds - Haptic:Jimmy:KHJW002-1</t>
  </si>
  <si>
    <t>Holds - Haptic:Jimmy:KHJW002-2</t>
  </si>
  <si>
    <t>Holds - Haptic:Jimmy:KHJW002-3</t>
  </si>
  <si>
    <t>Holds - Haptic:Jimmy:KHJW003</t>
  </si>
  <si>
    <t>Holds - Haptic:Jimmy:KHJW004</t>
  </si>
  <si>
    <t>Holds - Haptic:Jimmy:KHJW005</t>
  </si>
  <si>
    <t>Holds - Haptic:Jimmy:KHJW006</t>
  </si>
  <si>
    <t>Holds - Haptic:Jimmy:KHJW007</t>
  </si>
  <si>
    <t>Holds - Haptic:Jimmy:KHJW008</t>
  </si>
  <si>
    <t>Holds - Haptic:Jimmy:KHJW010</t>
  </si>
  <si>
    <t>Holds - Haptic:Jimmy:KHJW011</t>
  </si>
  <si>
    <t>Holds - Haptic:Jimmy:KHJW012</t>
  </si>
  <si>
    <t>Holds - Haptic:Jimmy:KHJW013</t>
  </si>
  <si>
    <t>Holds - Haptic:Jimmy:KHJW014</t>
  </si>
  <si>
    <t>Holds - Haptic:Jimmy:KHJW015</t>
  </si>
  <si>
    <t>Holds - Haptic:Jimmy:KHJW016 (Kit)</t>
  </si>
  <si>
    <t>Holds - Haptic:Jimmy:KHJW016-1</t>
  </si>
  <si>
    <t>Holds - Haptic:Jimmy:KHJW016-2</t>
  </si>
  <si>
    <t>Holds - Haptic:Jimmy:KHJW016-3</t>
  </si>
  <si>
    <t>Holds - Haptic:Jimmy:KHJW017</t>
  </si>
  <si>
    <t>Holds - Haptic:Jimmy:KHJW018</t>
  </si>
  <si>
    <t>Holds - Haptic:Jimmy:KHJW019</t>
  </si>
  <si>
    <t>Holds - Haptic:Keith:KHKD001</t>
  </si>
  <si>
    <t>Holds - Haptic:Keith:KHKD002</t>
  </si>
  <si>
    <t>Holds - Haptic:Keith:KHKD003</t>
  </si>
  <si>
    <t>Holds - Haptic:Keith:KHKD004</t>
  </si>
  <si>
    <t>Holds - Haptic:Keith:KHKD005</t>
  </si>
  <si>
    <t>Holds - Haptic:Keith:KHKD006</t>
  </si>
  <si>
    <t>Holds - Haptic:Keith:KHKD007 (Kit)</t>
  </si>
  <si>
    <t>Holds - Haptic:Keith:KHKD007-1</t>
  </si>
  <si>
    <t>Holds - Haptic:Keith:KHKD007-2</t>
  </si>
  <si>
    <t>Holds - Haptic:Keith:KHKD007-3</t>
  </si>
  <si>
    <t>Holds - Haptic:Keith:KHKD008</t>
  </si>
  <si>
    <t>Holds - Haptic:Keith:KHKD009</t>
  </si>
  <si>
    <t>Holds - Haptic:Keith:KHKD010</t>
  </si>
  <si>
    <t>Holds - Haptic:Keith:KHKD011</t>
  </si>
  <si>
    <t>Holds - Haptic:Keith:KHKD012</t>
  </si>
  <si>
    <t>Holds - Haptic:Keith:KHKD013</t>
  </si>
  <si>
    <t>Holds - Haptic:Keith:KHKD014</t>
  </si>
  <si>
    <t>Holds - Haptic:Keith:KHKD015</t>
  </si>
  <si>
    <t>Holds - Haptic:Keith:KHKD016</t>
  </si>
  <si>
    <t>Holds - Haptic:Keith:KHKD017</t>
  </si>
  <si>
    <t>Holds - Haptic:Keith:KHKD018</t>
  </si>
  <si>
    <t>Holds - Haptic:Keith:KHKD019</t>
  </si>
  <si>
    <t>Holds - Haptic:Pete:KHPJ001</t>
  </si>
  <si>
    <t>Holds - Haptic:Pete:KHPJ002</t>
  </si>
  <si>
    <t>Holds - Haptic:Pete:KHPJ003</t>
  </si>
  <si>
    <t>Holds - Haptic:Pete:KHPJ004</t>
  </si>
  <si>
    <t>Holds - Haptic:Pete:KHPJ005</t>
  </si>
  <si>
    <t>Holds - Haptic:Pete:KHPJ006 DT</t>
  </si>
  <si>
    <t>Holds - Haptic:Pete:KHPJ007</t>
  </si>
  <si>
    <t>Holds - Haptic:Pete:KHPJ008</t>
  </si>
  <si>
    <t>Holds - Haptic:Pete:KHPJ009</t>
  </si>
  <si>
    <t>Holds - Haptic:Pete:KHPJ010</t>
  </si>
  <si>
    <t>Holds - Haptic:Pete:KHPJ011</t>
  </si>
  <si>
    <t>Holds - Haptic:Pete:KHPJ012</t>
  </si>
  <si>
    <t>Holds - Haptic:Pete:KHPJ013</t>
  </si>
  <si>
    <t>Holds - Haptic:Pete:KHPJ014</t>
  </si>
  <si>
    <t>Holds - Haptic:Pete:KHPJ015</t>
  </si>
  <si>
    <t>Holds - Haptic:Pete:KHPJ017</t>
  </si>
  <si>
    <t>Holds - Haptic:Pete:KHPJ018</t>
  </si>
  <si>
    <t>Holds - Haptic:Pete:KHPJ019</t>
  </si>
  <si>
    <t>Holds - Haptic:Pete:KHPJ020</t>
  </si>
  <si>
    <t>Holds - Haptic:Pete:KHPJ021</t>
  </si>
  <si>
    <t>Holds - Haptic:Pete:KHPJ022</t>
  </si>
  <si>
    <t>KHPJ023</t>
  </si>
  <si>
    <t>Holds - Haptic:Pete:KHPJ023</t>
  </si>
  <si>
    <t>Holds - Haptic:Pete:KHPJ024</t>
  </si>
  <si>
    <t>Holds - Haptic:Pete:KHPJ025</t>
  </si>
  <si>
    <t>Holds - Haptic:Roy:KHRQ001</t>
  </si>
  <si>
    <t>Holds - Haptic:Unleashed Will:KHUW001</t>
  </si>
  <si>
    <t>Holds - Haptic:Unleashed Will:KHUW002</t>
  </si>
  <si>
    <t>Holds - Haptic:Unleashed Will:KHUW003</t>
  </si>
  <si>
    <t>Holds - Haptic:Unleashed Will:KHUW004</t>
  </si>
  <si>
    <t>Holds - Haptic:Unleashed Will:KHUW005</t>
  </si>
  <si>
    <t>Holds - Haptic:Unleashed Will:KHUW006</t>
  </si>
  <si>
    <t>Holds - Haptic:Unleashed Will:KHUW007</t>
  </si>
  <si>
    <t>Holds - Haptic:Unleashed Will:KHUW008</t>
  </si>
  <si>
    <t>Holds - Haptic:Unleashed Will:KHUW009</t>
  </si>
  <si>
    <t>Holds - Haptic:Unleashed Will:KHUW010</t>
  </si>
  <si>
    <t>Holds - Haptic:Unleashed Will:KHUW011</t>
  </si>
  <si>
    <t>Holds - Haptic:Will:KHWA001</t>
  </si>
  <si>
    <t>Holds - Haptic:Will:KHWA002</t>
  </si>
  <si>
    <t>Holds - Haptic:Will:KHWA003</t>
  </si>
  <si>
    <t>Holds - Haptic:Will:KHWA004</t>
  </si>
  <si>
    <t>Holds - Haptic:Will:KHWA005</t>
  </si>
  <si>
    <t>Holds - Haptic:Will:KHWA006</t>
  </si>
  <si>
    <t>Holds - Haptic:Will:KHWA007</t>
  </si>
  <si>
    <t>Holds - Haptic:Will:KHWA008</t>
  </si>
  <si>
    <t>Holds - Haptic:Will:KHWA009</t>
  </si>
  <si>
    <t>Holds - Haptic:Will:KHWA010</t>
  </si>
  <si>
    <t>Holds - Haptic:Will:KHWA011</t>
  </si>
  <si>
    <t>Holds - Haptic:Will:KHWA012</t>
  </si>
  <si>
    <t>Holds - Haptic:Will:KHWA013</t>
  </si>
  <si>
    <t>Holds - Haptic:Will:KHWA014</t>
  </si>
  <si>
    <t>Holds - Haptic:Will:KHWA015 (Kit)</t>
  </si>
  <si>
    <t>Holds - Haptic:Will:KHWA015-1</t>
  </si>
  <si>
    <t>Holds - Haptic:Will:KHWA015-2</t>
  </si>
  <si>
    <t>Holds - Haptic:Will:KHWA015-3</t>
  </si>
  <si>
    <t>Holds - Haptic:Will:KHWA016</t>
  </si>
  <si>
    <t>Holds - Haptic:Will:KHWA017</t>
  </si>
  <si>
    <t>Holds - Haptic:Will:KHWA018</t>
  </si>
  <si>
    <t>Holds - Haptic:Will:KHWA020</t>
  </si>
  <si>
    <t>Holds - Haptic:Will:KHWA022</t>
  </si>
  <si>
    <t>Holds - Union:KU001</t>
  </si>
  <si>
    <t>Holds - Union:KU003</t>
  </si>
  <si>
    <t>Holds - Union:KUEE001</t>
  </si>
  <si>
    <t>Holds - Kilter:KHAR01</t>
  </si>
  <si>
    <t>Holds - Kilter:KHAR02</t>
  </si>
  <si>
    <t>Holds - Union:KU010</t>
  </si>
  <si>
    <t>Holds - Union:KU011</t>
  </si>
  <si>
    <t>Holds - Urban Plastix:UP001</t>
  </si>
  <si>
    <t>Holds - Urban Plastix:UP002</t>
  </si>
  <si>
    <t>Holds - Urban Plastix:UP003</t>
  </si>
  <si>
    <t>Holds - Urban Plastix:UP004</t>
  </si>
  <si>
    <t>Holds - Urban Plastix:UP005</t>
  </si>
  <si>
    <t>Holds - Urban Plastix:UP006</t>
  </si>
  <si>
    <t>Holds - Urban Plastix:UP007</t>
  </si>
  <si>
    <t>Holds - Urban Plastix:UP008</t>
  </si>
  <si>
    <t>Holds - Urban Plastix:UP009</t>
  </si>
  <si>
    <t>Holds - Urban Plastix:UP010</t>
  </si>
  <si>
    <t>Holds - Urban Plastix:UP011</t>
  </si>
  <si>
    <t>Holds - Urban Plastix:UP012</t>
  </si>
  <si>
    <t>Holds - Urban Plastix:UP013</t>
  </si>
  <si>
    <t>Holds - Urban Plastix:UP014</t>
  </si>
  <si>
    <t>Holds - Urban Plastix:UP015</t>
  </si>
  <si>
    <t>Holds - Urban Plastix:UP016</t>
  </si>
  <si>
    <t>Holds - Urban Plastix:UP017</t>
  </si>
  <si>
    <t>Holds - Urban Plastix:UP018</t>
  </si>
  <si>
    <t>Holds - Urban Plastix:UP019</t>
  </si>
  <si>
    <t>Holds - Urban Plastix:UP020</t>
  </si>
  <si>
    <t>Holds - Urban Plastix:UP021</t>
  </si>
  <si>
    <t>Holds - Urban Plastix:UP022</t>
  </si>
  <si>
    <t>Holds - Urban Plastix:UP023</t>
  </si>
  <si>
    <t>Holds - Urban Plastix:UP024</t>
  </si>
  <si>
    <t>Holds - Urban Plastix:UP025</t>
  </si>
  <si>
    <t>Holds - Urban Plastix:UP026</t>
  </si>
  <si>
    <t>Holds - Urban Plastix:UP027</t>
  </si>
  <si>
    <t>Holds - Urban Plastix:UP028</t>
  </si>
  <si>
    <t>Holds - Urban Plastix:UP029</t>
  </si>
  <si>
    <t>UP030</t>
  </si>
  <si>
    <t>Holds - Urban Plastix:UP030</t>
  </si>
  <si>
    <t>UP031</t>
  </si>
  <si>
    <t>Holds - Urban Plastix:UP031</t>
  </si>
  <si>
    <t>UP032</t>
  </si>
  <si>
    <t>Holds - Urban Plastix:UP032</t>
  </si>
  <si>
    <t>UP033</t>
  </si>
  <si>
    <t>Holds - Urban Plastix:UP033</t>
  </si>
  <si>
    <t>UP034</t>
  </si>
  <si>
    <t>Holds - Urban Plastix:UP034</t>
  </si>
  <si>
    <t>UP035</t>
  </si>
  <si>
    <t>Holds - Urban Plastix:UP035</t>
  </si>
  <si>
    <t>UP036</t>
  </si>
  <si>
    <t>Holds - Urban Plastix:UP036</t>
  </si>
  <si>
    <t>Holds - Urban Plastix:UP037</t>
  </si>
  <si>
    <t>Holds - Urban Plastix:UP038</t>
  </si>
  <si>
    <t>Holds - Urban Plastix:UP039</t>
  </si>
  <si>
    <t>Holds - Urban Plastix:UP040</t>
  </si>
  <si>
    <t>Holds - Urban Plastix:UP041</t>
  </si>
  <si>
    <t>Holds - Urban Plastix:UP042</t>
  </si>
  <si>
    <t>Holds - Urban Plastix:UP043</t>
  </si>
  <si>
    <t>Holds - Urban Plastix:UP044</t>
  </si>
  <si>
    <t>Holds - Urban Plastix:UP045</t>
  </si>
  <si>
    <t>Holds - Urban Plastix:UP046</t>
  </si>
  <si>
    <t>Holds - Urban Plastix:UP047</t>
  </si>
  <si>
    <t>Holds - Urban Plastix:UP048</t>
  </si>
  <si>
    <t>Holds - Urban Plastix:UP049</t>
  </si>
  <si>
    <t>Holds - Urban Plastix:UP050</t>
  </si>
  <si>
    <t>Holds - Urban Plastix:UP051</t>
  </si>
  <si>
    <t>Holds - Urban Plastix:UP052</t>
  </si>
  <si>
    <t>Holds - Urban Plastix:UP053</t>
  </si>
  <si>
    <t>Holds - Urban Plastix:UP054</t>
  </si>
  <si>
    <t>Holds - Urban Plastix:UP055</t>
  </si>
  <si>
    <t>Holds - Urban Plastix:UP056</t>
  </si>
  <si>
    <t>Holds - Urban Plastix:UP057</t>
  </si>
  <si>
    <t>Holds - Urban Plastix:UP058</t>
  </si>
  <si>
    <t>UP059</t>
  </si>
  <si>
    <t>Holds - Urban Plastix:UP059</t>
  </si>
  <si>
    <t>Holds - Urban Plastix:UP060</t>
  </si>
  <si>
    <t>Holds - Urban Plastix:UP061</t>
  </si>
  <si>
    <t>Holds - Urban Plastix:UP062</t>
  </si>
  <si>
    <t>Holds - Urban Plastix:UP063</t>
  </si>
  <si>
    <t>Holds - Urban Plastix:UP064</t>
  </si>
  <si>
    <t>Holds - Urban Plastix:UP065</t>
  </si>
  <si>
    <t>Holds - Urban Plastix:UP066</t>
  </si>
  <si>
    <t>Holds - Urban Plastix:UP067</t>
  </si>
  <si>
    <t>Holds - Urban Plastix:UP068</t>
  </si>
  <si>
    <t>Holds - Urban Plastix:UP069</t>
  </si>
  <si>
    <t>Holds - Urban Plastix:UP070</t>
  </si>
  <si>
    <t>Holds - Urban Plastix:UP071</t>
  </si>
  <si>
    <t>Holds - Urban Plastix:UP072</t>
  </si>
  <si>
    <t>Holds - Urban Plastix:UP073</t>
  </si>
  <si>
    <t>Holds - Urban Plastix:UP074</t>
  </si>
  <si>
    <t>Holds - Urban Plastix:UP075</t>
  </si>
  <si>
    <t>Holds - Urban Plastix:UP076</t>
  </si>
  <si>
    <t>Holds - Urban Plastix:UP077</t>
  </si>
  <si>
    <t>Holds - Urban Plastix:UP078</t>
  </si>
  <si>
    <t>Holds - Urban Plastix:UP079</t>
  </si>
  <si>
    <t>Holds - Urban Plastix:UP080</t>
  </si>
  <si>
    <t>Holds - Urban Plastix:UP081</t>
  </si>
  <si>
    <t>Holds - Urban Plastix:UP082</t>
  </si>
  <si>
    <t>Holds - Urban Plastix:UP083</t>
  </si>
  <si>
    <t>Holds - Urban Plastix:UP084</t>
  </si>
  <si>
    <t>Holds - Urban Plastix:UP085</t>
  </si>
  <si>
    <t>Holds - Urban Plastix:UP086</t>
  </si>
  <si>
    <t>Holds - Urban Plastix:UP087</t>
  </si>
  <si>
    <t>UP088</t>
  </si>
  <si>
    <t>Holds - Urban Plastix:UP088</t>
  </si>
  <si>
    <t>Holds - Urban Plastix:UP089</t>
  </si>
  <si>
    <t>Holds - Urban Plastix:UP090</t>
  </si>
  <si>
    <t>Holds - Urban Plastix:UP091</t>
  </si>
  <si>
    <t>Holds - Urban Plastix:UP092</t>
  </si>
  <si>
    <t>Holds - Urban Plastix:UP093</t>
  </si>
  <si>
    <t>Holds - Urban Plastix:UP094</t>
  </si>
  <si>
    <t>Holds - Urban Plastix:UP095</t>
  </si>
  <si>
    <t>Holds - Urban Plastix:UP096</t>
  </si>
  <si>
    <t>Holds - Urban Plastix:UP097</t>
  </si>
  <si>
    <t>Holds - Urban Plastix:UP098</t>
  </si>
  <si>
    <t>Holds - Urban Plastix:UP099</t>
  </si>
  <si>
    <t>Holds - Urban Plastix:UP100</t>
  </si>
  <si>
    <t>Holds - Urban Plastix:UP101</t>
  </si>
  <si>
    <t>Holds - Urban Plastix:UP102</t>
  </si>
  <si>
    <t>Holds - Urban Plastix:UP103</t>
  </si>
  <si>
    <t>Holds - Urban Plastix:UP104</t>
  </si>
  <si>
    <t>Holds - Urban Plastix:UP105</t>
  </si>
  <si>
    <t>Holds - Urban Plastix:UP106</t>
  </si>
  <si>
    <t>Holds - Urban Plastix:UP107</t>
  </si>
  <si>
    <t>Holds - Urban Plastix:UP108</t>
  </si>
  <si>
    <t>Holds - Urban Plastix:UP109</t>
  </si>
  <si>
    <t>Holds - Urban Plastix:UP110</t>
  </si>
  <si>
    <t>Holds - Urban Plastix:UP111</t>
  </si>
  <si>
    <t>Holds - Urban Plastix:UP112</t>
  </si>
  <si>
    <t>Holds - Urban Plastix:UP113</t>
  </si>
  <si>
    <t>Holds - Urban Plastix:UP114</t>
  </si>
  <si>
    <t>Holds - Urban Plastix:UP115</t>
  </si>
  <si>
    <t>Holds - Urban Plastix:UP116</t>
  </si>
  <si>
    <t>Holds - Urban Plastix:UP117</t>
  </si>
  <si>
    <t>Holds - Urban Plastix:UP118</t>
  </si>
  <si>
    <t>Holds - Urban Plastix:UP119</t>
  </si>
  <si>
    <t>Holds - Urban Plastix:UP120</t>
  </si>
  <si>
    <t>Holds - Urban Plastix:UP121</t>
  </si>
  <si>
    <t>Holds - Urban Plastix:UP122</t>
  </si>
  <si>
    <t>Holds - Urban Plastix:UP123</t>
  </si>
  <si>
    <t>Holds - Urban Plastix:UP124</t>
  </si>
  <si>
    <t>Holds - Urban Plastix:UP125</t>
  </si>
  <si>
    <t>Holds - Urban Plastix:UP126</t>
  </si>
  <si>
    <t>Holds - Urban Plastix:UP128</t>
  </si>
  <si>
    <t>Holds - Urban Plastix:UP129</t>
  </si>
  <si>
    <t>Holds - Urban Plastix:UP130</t>
  </si>
  <si>
    <t>Holds - Urban Plastix:UP131</t>
  </si>
  <si>
    <t>Holds - Urban Plastix:UP132</t>
  </si>
  <si>
    <t>Holds - Urban Plastix:UP133</t>
  </si>
  <si>
    <t>Holds - Urban Plastix:UP134</t>
  </si>
  <si>
    <t>Holds - Urban Plastix:UP135</t>
  </si>
  <si>
    <t>Holds - Urban Plastix:UP136</t>
  </si>
  <si>
    <t>Holds - Urban Plastix:UP137</t>
  </si>
  <si>
    <t>Holds - Urban Plastix:UP138</t>
  </si>
  <si>
    <t>Holds - Urban Plastix:UP139</t>
  </si>
  <si>
    <t>Holds - Urban Plastix:UP140</t>
  </si>
  <si>
    <t>Holds - Urban Plastix:UP141</t>
  </si>
  <si>
    <t>Holds - Urban Plastix:UP142</t>
  </si>
  <si>
    <t>Holds - Urban Plastix:UP143</t>
  </si>
  <si>
    <t>Holds - Urban Plastix:UP144</t>
  </si>
  <si>
    <t>Holds - Urban Plastix:UP145</t>
  </si>
  <si>
    <t>Holds - Urban Plastix:UP146</t>
  </si>
  <si>
    <t>Holds - Urban Plastix:UP147</t>
  </si>
  <si>
    <t>Holds - Urban Plastix:UP148</t>
  </si>
  <si>
    <t>Holds - Urban Plastix:UP149</t>
  </si>
  <si>
    <t>Holds - Urban Plastix:UP150</t>
  </si>
  <si>
    <t>Holds - Urban Plastix:UP151</t>
  </si>
  <si>
    <t>Holds - Urban Plastix:UP152</t>
  </si>
  <si>
    <t>Holds - Urban Plastix:UP153</t>
  </si>
  <si>
    <t>Holds - Urban Plastix:UP154</t>
  </si>
  <si>
    <t>Holds - Urban Plastix:UP155</t>
  </si>
  <si>
    <t>Holds - Urban Plastix:UP156</t>
  </si>
  <si>
    <t>Holds - Urban Plastix:UP157</t>
  </si>
  <si>
    <t>Holds - Urban Plastix:UP158</t>
  </si>
  <si>
    <t>Holds - Urban Plastix:UP159</t>
  </si>
  <si>
    <t>Holds - Urban Plastix:UP160</t>
  </si>
  <si>
    <t>Holds - Urban Plastix:UP161</t>
  </si>
  <si>
    <t>Holds - Urban Plastix:UP162</t>
  </si>
  <si>
    <t>Holds - Urban Plastix:UP163</t>
  </si>
  <si>
    <t>Holds - Urban Plastix:UP164</t>
  </si>
  <si>
    <t>Holds - Urban Plastix:UP165</t>
  </si>
  <si>
    <t>Holds - Urban Plastix:UP166</t>
  </si>
  <si>
    <t>Holds - Urban Plastix:UP167</t>
  </si>
  <si>
    <t>Holds - Urban Plastix:UP168</t>
  </si>
  <si>
    <t>Holds - Urban Plastix:UP169</t>
  </si>
  <si>
    <t>Holds - Urban Plastix:UP170</t>
  </si>
  <si>
    <t>Holds - Urban Plastix:UP171</t>
  </si>
  <si>
    <t>Holds - Urban Plastix:UP172</t>
  </si>
  <si>
    <t>Holds - Urban Plastix:UP173</t>
  </si>
  <si>
    <t>Holds - Urban Plastix:UP174</t>
  </si>
  <si>
    <t>Holds - Urban Plastix:UP175</t>
  </si>
  <si>
    <t>Holds - Urban Plastix:UP176</t>
  </si>
  <si>
    <t>Holds - Urban Plastix:UP177</t>
  </si>
  <si>
    <t>Holds - Urban Plastix:UP178</t>
  </si>
  <si>
    <t>Holds - Urban Plastix:UP179</t>
  </si>
  <si>
    <t>Holds - Urban Plastix:UP180</t>
  </si>
  <si>
    <t>Holds - Urban Plastix:UP181</t>
  </si>
  <si>
    <t>Holds - Urban Plastix:UP182</t>
  </si>
  <si>
    <t>Holds - Urban Plastix:UP183</t>
  </si>
  <si>
    <t>Holds - Urban Plastix:UP184</t>
  </si>
  <si>
    <t>Holds - Urban Plastix:UP185</t>
  </si>
  <si>
    <t>Holds - Urban Plastix:UP186</t>
  </si>
  <si>
    <t>Holds - Urban Plastix:UP187</t>
  </si>
  <si>
    <t>Holds - Urban Plastix:UP188</t>
  </si>
  <si>
    <t>Holds - Urban Plastix:UP189</t>
  </si>
  <si>
    <t>Holds - Urban Plastix:UP190</t>
  </si>
  <si>
    <t>Holds - Urban Plastix:UP191</t>
  </si>
  <si>
    <t>Holds - Urban Plastix:UP192</t>
  </si>
  <si>
    <t>Holds - Urban Plastix:UP193</t>
  </si>
  <si>
    <t>Holds - Urban Plastix:UP194</t>
  </si>
  <si>
    <t>Holds - Urban Plastix:UP195</t>
  </si>
  <si>
    <t>Holds - Urban Plastix:UP196</t>
  </si>
  <si>
    <t>Holds - Urban Plastix:UP197</t>
  </si>
  <si>
    <t>Holds - Urban Plastix:UP198</t>
  </si>
  <si>
    <t>Holds - Urban Plastix:UP199</t>
  </si>
  <si>
    <t>Holds - Urban Plastix:UP200</t>
  </si>
  <si>
    <t>Holds - Urban Plastix:UP201</t>
  </si>
  <si>
    <t>Holds - Urban Plastix:UP202</t>
  </si>
  <si>
    <t>Holds - Urban Plastix:UP203</t>
  </si>
  <si>
    <t>Holds - Urban Plastix:UP204</t>
  </si>
  <si>
    <t>Holds - Urban Plastix:UP205</t>
  </si>
  <si>
    <t>Holds - Urban Plastix:UP206</t>
  </si>
  <si>
    <t>Holds - Urban Plastix:UP207</t>
  </si>
  <si>
    <t>Holds - Urban Plastix:UP208</t>
  </si>
  <si>
    <t>Holds - Urban Plastix:UP209</t>
  </si>
  <si>
    <t>Holds - Urban Plastix:UP210</t>
  </si>
  <si>
    <t>Holds - Urban Plastix:UP211</t>
  </si>
  <si>
    <t>Holds - Urban Plastix:UP212</t>
  </si>
  <si>
    <t>Holds - Urban Plastix:UP213</t>
  </si>
  <si>
    <t>Holds - Urban Plastix:UP214</t>
  </si>
  <si>
    <t>Holds - Urban Plastix:UP215</t>
  </si>
  <si>
    <t>Holds - Urban Plastix:UP216</t>
  </si>
  <si>
    <t>Holds - Urban Plastix:UP217</t>
  </si>
  <si>
    <t>Holds - Urban Plastix:UP218</t>
  </si>
  <si>
    <t>Holds - Urban Plastix:UP219</t>
  </si>
  <si>
    <t>Holds - Urban Plastix:UP220</t>
  </si>
  <si>
    <t>Holds - Urban Plastix:UP221</t>
  </si>
  <si>
    <t>Holds - Urban Plastix:UP222</t>
  </si>
  <si>
    <t>Holds - Urban Plastix:UP223</t>
  </si>
  <si>
    <t>Holds - Urban Plastix:UP224</t>
  </si>
  <si>
    <t>Holds - Urban Plastix:UP225</t>
  </si>
  <si>
    <t>Holds - Urban Plastix:UP226</t>
  </si>
  <si>
    <t>Holds - Urban Plastix:UP227</t>
  </si>
  <si>
    <t>Holds - Urban Plastix:UP228</t>
  </si>
  <si>
    <t>Holds - Urban Plastix:UP229</t>
  </si>
  <si>
    <t>Holds - Urban Plastix:UP230</t>
  </si>
  <si>
    <t>Holds - Urban Plastix:UP231</t>
  </si>
  <si>
    <t>Holds - Urban Plastix:UP232</t>
  </si>
  <si>
    <t>Holds - Urban Plastix:UP233</t>
  </si>
  <si>
    <t>Holds - Urban Plastix:UP234</t>
  </si>
  <si>
    <t>Holds - Urban Plastix:UP235</t>
  </si>
  <si>
    <t>Holds - Urban Plastix:UP236</t>
  </si>
  <si>
    <t>Holds - Urban Plastix:UP237</t>
  </si>
  <si>
    <t>Holds - Urban Plastix:UP238</t>
  </si>
  <si>
    <t>Holds - Urban Plastix:UP239</t>
  </si>
  <si>
    <t>Holds - Urban Plastix:UP240</t>
  </si>
  <si>
    <t>Holds - Urban Plastix:UP241</t>
  </si>
  <si>
    <t>Holds - Urban Plastix:UP242</t>
  </si>
  <si>
    <t>Holds - Urban Plastix:UP243</t>
  </si>
  <si>
    <t>Holds - Urban Plastix:UP244</t>
  </si>
  <si>
    <t>UP245</t>
  </si>
  <si>
    <t>Holds - Urban Plastix:UP245</t>
  </si>
  <si>
    <t>Holds - Urban Plastix:UP246</t>
  </si>
  <si>
    <t>Holds - Urban Plastix:UP247</t>
  </si>
  <si>
    <t>Holds - Urban Plastix:UP248</t>
  </si>
  <si>
    <t>Holds - Urban Plastix:UP249</t>
  </si>
  <si>
    <t>Holds - Urban Plastix:UP250</t>
  </si>
  <si>
    <t>Holds - Urban Plastix:UP251</t>
  </si>
  <si>
    <t>Holds - Urban Plastix:UP252</t>
  </si>
  <si>
    <t>Holds - Urban Plastix:UP253</t>
  </si>
  <si>
    <t>UP254</t>
  </si>
  <si>
    <t>Holds - Urban Plastix:UP254</t>
  </si>
  <si>
    <t>UP255</t>
  </si>
  <si>
    <t>Holds - Urban Plastix:UP255</t>
  </si>
  <si>
    <t>UP256</t>
  </si>
  <si>
    <t>Holds - Urban Plastix:UP256</t>
  </si>
  <si>
    <t>UP257</t>
  </si>
  <si>
    <t>Holds - Urban Plastix:UP257</t>
  </si>
  <si>
    <t>Holds - Urban Plastix:UP258</t>
  </si>
  <si>
    <t>UP259</t>
  </si>
  <si>
    <t>Holds - Urban Plastix:UP259</t>
  </si>
  <si>
    <t>Holds - Urban Plastix:UP260</t>
  </si>
  <si>
    <t>Holds - Urban Plastix:UP261</t>
  </si>
  <si>
    <t>Holds - Urban Plastix:UP262</t>
  </si>
  <si>
    <t>Holds - Urban Plastix:UP263</t>
  </si>
  <si>
    <t>Holds - Urban Plastix:UP264</t>
  </si>
  <si>
    <t>Holds - Urban Plastix:UP265</t>
  </si>
  <si>
    <t>Holds - Urban Plastix:UP266</t>
  </si>
  <si>
    <t>Holds - Urban Plastix:UP267</t>
  </si>
  <si>
    <t>Holds - Urban Plastix:UP268</t>
  </si>
  <si>
    <t>Holds - Urban Plastix:Union:UPR001</t>
  </si>
  <si>
    <t>Holds - Urban Plastix:UPDC01</t>
  </si>
  <si>
    <t>KWF003</t>
  </si>
  <si>
    <t>Holds - Europe:Holds - Europe - Kilter:KWF003</t>
  </si>
  <si>
    <t>KWF008</t>
  </si>
  <si>
    <t>Holds - Europe:Holds - Europe - Kilter:KWF008</t>
  </si>
  <si>
    <t>KWF002</t>
  </si>
  <si>
    <t>Holds - Europe:Holds - Europe - Kilter:KWF002</t>
  </si>
  <si>
    <t>KWF001-2</t>
  </si>
  <si>
    <t>Holds - Europe:Holds - Europe - Kilter:KWF001-2</t>
  </si>
  <si>
    <t>KWF001-1</t>
  </si>
  <si>
    <t>Holds - Europe:Holds - Europe - Kilter:KWF001-1</t>
  </si>
  <si>
    <t>KWF001 (Kit)</t>
  </si>
  <si>
    <t>Holds - Europe:Holds - Europe - Kilter:KWF001 (Kit)</t>
  </si>
  <si>
    <t>KWF005</t>
  </si>
  <si>
    <t>Holds - Europe:Holds - Europe - Kilter:KWF005</t>
  </si>
  <si>
    <t>KWF012</t>
  </si>
  <si>
    <t>Holds - Europe:Holds - Europe - Kilter:KWF012</t>
  </si>
  <si>
    <t>KWF045</t>
  </si>
  <si>
    <t>Holds - Europe:Holds - Europe - Kilter:KWF045</t>
  </si>
  <si>
    <t>KWF032</t>
  </si>
  <si>
    <t>Holds - Europe:Holds - Europe - Kilter:KWF032</t>
  </si>
  <si>
    <t>KWF034</t>
  </si>
  <si>
    <t>Holds - Europe:Holds - Europe - Kilter:KWF034</t>
  </si>
  <si>
    <t>KWF038</t>
  </si>
  <si>
    <t>Holds - Europe:Holds - Europe - Kilter:KWF038</t>
  </si>
  <si>
    <t>KWF013</t>
  </si>
  <si>
    <t>Holds - Europe:Holds - Europe - Kilter:KWF013</t>
  </si>
  <si>
    <t>KWF031</t>
  </si>
  <si>
    <t>Holds - Europe:Holds - Europe - Kilter:KWF031</t>
  </si>
  <si>
    <t>KWF007</t>
  </si>
  <si>
    <t>Holds - Europe:Holds - Europe - Kilter:KWF007</t>
  </si>
  <si>
    <t>KWF020</t>
  </si>
  <si>
    <t>Holds - Europe:Holds - Europe - Kilter:KWF020</t>
  </si>
  <si>
    <t>KWF022</t>
  </si>
  <si>
    <t>Holds - Europe:Holds - Europe - Kilter:KWF022</t>
  </si>
  <si>
    <t>KWF026</t>
  </si>
  <si>
    <t>Holds - Europe:Holds - Europe - Kilter:KWF026</t>
  </si>
  <si>
    <t>KWF036</t>
  </si>
  <si>
    <t>Holds - Europe:Holds - Europe - Kilter:KWF036</t>
  </si>
  <si>
    <t>KWF015</t>
  </si>
  <si>
    <t>Holds - Europe:Holds - Europe - Kilter:KWF015</t>
  </si>
  <si>
    <t>KWF016</t>
  </si>
  <si>
    <t>Holds - Europe:Holds - Europe - Kilter:KWF016</t>
  </si>
  <si>
    <t>KWF018-2</t>
  </si>
  <si>
    <t>Holds - Europe:Holds - Europe - Kilter:KWF018-2</t>
  </si>
  <si>
    <t>KWF029</t>
  </si>
  <si>
    <t>Holds - Europe:Holds - Europe - Kilter:KWF029</t>
  </si>
  <si>
    <t>UWF002</t>
  </si>
  <si>
    <t>Holds - Europe:Holds - Europe - Urban Plastix:UWF002</t>
  </si>
  <si>
    <t>Customer Short Name:</t>
  </si>
  <si>
    <t>Customer PO Number:</t>
  </si>
  <si>
    <t>Customer Order Date:</t>
  </si>
  <si>
    <t>Internal Number:</t>
  </si>
  <si>
    <t>Fulfillment Date:</t>
  </si>
  <si>
    <t>Ship to(Address1):</t>
  </si>
  <si>
    <t>Address2:</t>
  </si>
  <si>
    <t>City:</t>
  </si>
  <si>
    <t>State:</t>
  </si>
  <si>
    <t>Zip Code:</t>
  </si>
  <si>
    <t>Uv Stabilizer(Yes/No)</t>
  </si>
  <si>
    <t>Include Hardware(Yes/No)</t>
  </si>
  <si>
    <t>Change hardware to SS?</t>
  </si>
  <si>
    <t>* Note: The macro Build Work Order will clear all existing data in rows 21 and below</t>
  </si>
  <si>
    <t>Item Code</t>
  </si>
  <si>
    <t>Hware Add</t>
  </si>
  <si>
    <t>Hardening</t>
  </si>
  <si>
    <t>Holds - Europe:Holds - Europe - Kilter:KX001</t>
  </si>
  <si>
    <t>Holds - Europe:Holds - Europe - Kilter:KX002</t>
  </si>
  <si>
    <t>Holds - Europe:Holds - Europe - Kilter:KX003</t>
  </si>
  <si>
    <t>Holds - Europe:Holds - Europe - Kilter:KX004</t>
  </si>
  <si>
    <t>Holds - Europe:Holds - Europe - Kilter:KX005</t>
  </si>
  <si>
    <t>Holds - Europe:Holds - Europe - Kilter:KX006</t>
  </si>
  <si>
    <t>Holds - Europe:Holds - Europe - Kilter:KX007</t>
  </si>
  <si>
    <t>Holds - Europe:Holds - Europe - Kilter:KX008</t>
  </si>
  <si>
    <t>Holds - Europe:Holds - Europe - Kilter:KX009</t>
  </si>
  <si>
    <t>Holds - Europe:Holds - Europe - Kilter:KX010</t>
  </si>
  <si>
    <t>Holds - Europe:Holds - Europe - Kilter:KX011</t>
  </si>
  <si>
    <t>Holds - Europe:Holds - Europe - Kilter:KX012</t>
  </si>
  <si>
    <t>Holds - Europe:Holds - Europe - Kilter:KX013</t>
  </si>
  <si>
    <t>Holds - Europe:Holds - Europe - Kilter:KX014</t>
  </si>
  <si>
    <t>Holds - Europe:Holds - Europe - Kilter:KX015</t>
  </si>
  <si>
    <t>Holds - Europe:Holds - Europe - Kilter:KX016</t>
  </si>
  <si>
    <t>Holds - Europe:Holds - Europe - Kilter:KX017</t>
  </si>
  <si>
    <t>Holds - Europe:Holds - Europe - Kilter:KX018</t>
  </si>
  <si>
    <t>Holds - Europe:Holds - Europe - Kilter:KX019</t>
  </si>
  <si>
    <t>Holds - Europe:Holds - Europe - Kilter:KX020</t>
  </si>
  <si>
    <t>Holds - Europe:Holds - Europe - Kilter:KX021</t>
  </si>
  <si>
    <t>Holds - Europe:Holds - Europe - Kilter:KX022</t>
  </si>
  <si>
    <t>Holds - Europe:Holds - Europe - Kilter:KX025</t>
  </si>
  <si>
    <t>Holds - Europe:Holds - Europe - Kilter:KX026</t>
  </si>
  <si>
    <t>Holds - Europe:Holds - Europe - Kilter:KX027</t>
  </si>
  <si>
    <t>Holds - Europe:Holds - Europe - Kilter:KX028</t>
  </si>
  <si>
    <t>Holds - Europe:Holds - Europe - Kilter:KX029</t>
  </si>
  <si>
    <t>Holds - Europe:Holds - Europe - Kilter:KX030</t>
  </si>
  <si>
    <t>Holds - Europe:Holds - Europe - Kilter:KX031</t>
  </si>
  <si>
    <t>Holds - Europe:Holds - Europe - Kilter:KX032</t>
  </si>
  <si>
    <t>Holds - Europe:Holds - Europe - Kilter:KX033</t>
  </si>
  <si>
    <t>Holds - Europe:Holds - Europe - Kilter:KX034</t>
  </si>
  <si>
    <t>Holds - Europe:Holds - Europe - Kilter:KX035</t>
  </si>
  <si>
    <t>Holds - Europe:Holds - Europe - Kilter:KX036</t>
  </si>
  <si>
    <t>Holds - Europe:Holds - Europe - Kilter:KX037</t>
  </si>
  <si>
    <t>Holds - Europe:Holds - Europe - Kilter:KX038</t>
  </si>
  <si>
    <t>Holds - Europe:Holds - Europe - Kilter:KX039</t>
  </si>
  <si>
    <t>Holds - Europe:Holds - Europe - Kilter:KX040</t>
  </si>
  <si>
    <t>Holds - Europe:Holds - Europe - Kilter:KX041</t>
  </si>
  <si>
    <t>Holds - Europe:Holds - Europe - Kilter:KX042</t>
  </si>
  <si>
    <t>Holds - Europe:Holds - Europe - Kilter:KX043</t>
  </si>
  <si>
    <t>Holds - Europe:Holds - Europe - Kilter:KX044</t>
  </si>
  <si>
    <t>Holds - Europe:Holds - Europe - Kilter:KX045</t>
  </si>
  <si>
    <t>Holds - Europe:Holds - Europe - Kilter:KX046</t>
  </si>
  <si>
    <t>Holds - Europe:Holds - Europe - Kilter:KX047</t>
  </si>
  <si>
    <t>Holds - Europe:Holds - Europe - Kilter:KX048</t>
  </si>
  <si>
    <t>Holds - Europe:Holds - Europe - Kilter:KX049</t>
  </si>
  <si>
    <t>Holds - Europe:Holds - Europe - Kilter:KX050</t>
  </si>
  <si>
    <t>Holds - Europe:Holds - Europe - Kilter:KX051</t>
  </si>
  <si>
    <t>Holds - Europe:Holds - Europe - Kilter:KX052</t>
  </si>
  <si>
    <t>Holds - Europe:Holds - Europe - Kilter:KX053</t>
  </si>
  <si>
    <t>Holds - Europe:Holds - Europe - Kilter:KX054</t>
  </si>
  <si>
    <t>Holds - Europe:Holds - Europe - Kilter:KX055</t>
  </si>
  <si>
    <t>Holds - Europe:Holds - Europe - Kilter:KX056</t>
  </si>
  <si>
    <t>Holds - Europe:Holds - Europe - Kilter:KX057</t>
  </si>
  <si>
    <t>Holds - Europe:Holds - Europe - Kilter:KX058</t>
  </si>
  <si>
    <t>Holds - Europe:Holds - Europe - Kilter:KX059</t>
  </si>
  <si>
    <t>Holds - Europe:Holds - Europe - Kilter:KX060</t>
  </si>
  <si>
    <t>Holds - Europe:Holds - Europe - Kilter:KX061</t>
  </si>
  <si>
    <t>Holds - Europe:Holds - Europe - Kilter:KX062</t>
  </si>
  <si>
    <t>Holds - Europe:Holds - Europe - Kilter:KX063</t>
  </si>
  <si>
    <t>Holds - Europe:Holds - Europe - Kilter:KX064</t>
  </si>
  <si>
    <t>Holds - Europe:Holds - Europe - Kilter:KX065</t>
  </si>
  <si>
    <t>Holds - Europe:Holds - Europe - Kilter:KX066</t>
  </si>
  <si>
    <t>Holds - Europe:Holds - Europe - Kilter:KX067</t>
  </si>
  <si>
    <t>Holds - Europe:Holds - Europe - Kilter:KX068</t>
  </si>
  <si>
    <t>Holds - Europe:Holds - Europe - Kilter:KX069</t>
  </si>
  <si>
    <t>Holds - Europe:Holds - Europe - Kilter:KX070</t>
  </si>
  <si>
    <t>Holds - Europe:Holds - Europe - Kilter:KX071</t>
  </si>
  <si>
    <t>Holds - Europe:Holds - Europe - Kilter:KX072</t>
  </si>
  <si>
    <t>Holds - Europe:Holds - Europe - Kilter:KX073</t>
  </si>
  <si>
    <t>Holds - Europe:Holds - Europe - Kilter:KX074</t>
  </si>
  <si>
    <t>Holds - Europe:Holds - Europe - Kilter:KX075</t>
  </si>
  <si>
    <t>Holds - Europe:Holds - Europe - Kilter:KX076</t>
  </si>
  <si>
    <t>Holds - Europe:Holds - Europe - Kilter:KX077 (1-3)</t>
  </si>
  <si>
    <t>Holds - Europe:Holds - Europe - Kilter:KX077 (4-6)</t>
  </si>
  <si>
    <t>Holds - Europe:Holds - Europe - Kilter:KX078 (1-3)</t>
  </si>
  <si>
    <t>Holds - Europe:Holds - Europe - Kilter:KX078 (4-6)</t>
  </si>
  <si>
    <t>Holds - Europe:Holds - Europe - Kilter:KX079</t>
  </si>
  <si>
    <t>Holds - Europe:Holds - Europe - Kilter:KX080</t>
  </si>
  <si>
    <t>Holds - Europe:Holds - Europe - Kilter:KX081</t>
  </si>
  <si>
    <t>Holds - Europe:Holds - Europe - Kilter:KX082</t>
  </si>
  <si>
    <t>Holds - Europe:Holds - Europe - Kilter:KX083</t>
  </si>
  <si>
    <t>Holds - Europe:Holds - Europe - Kilter:KX084</t>
  </si>
  <si>
    <t>Holds - Europe:Holds - Europe - Kilter:KX085</t>
  </si>
  <si>
    <t>Holds - Europe:Holds - Europe - Kilter:KX086</t>
  </si>
  <si>
    <t>Holds - Europe:Holds - Europe - Kilter:KX087</t>
  </si>
  <si>
    <t>KX088</t>
  </si>
  <si>
    <t>Holds - Europe:Holds - Europe - Kilter:KX088</t>
  </si>
  <si>
    <t>Holds - Europe:Holds - Europe - Kilter:KX089</t>
  </si>
  <si>
    <t>Holds - Europe:Holds - Europe - Kilter:KX090</t>
  </si>
  <si>
    <t>Holds - Europe:Holds - Europe - Kilter:KX091</t>
  </si>
  <si>
    <t>Holds - Europe:Holds - Europe - Kilter:KX094</t>
  </si>
  <si>
    <t>Holds - Europe:Holds - Europe - Kilter:KX095</t>
  </si>
  <si>
    <t>Holds - Europe:Holds - Europe - Kilter:KX097</t>
  </si>
  <si>
    <t>Holds - Europe:Holds - Europe - Kilter:KX098</t>
  </si>
  <si>
    <t>Holds - Europe:Holds - Europe - Kilter:KX099</t>
  </si>
  <si>
    <t>Holds - Europe:Holds - Europe - Kilter:KX100</t>
  </si>
  <si>
    <t>Holds - Europe:Holds - Europe - Kilter:KX101-1</t>
  </si>
  <si>
    <t>Holds - Europe:Holds - Europe - Kilter:KX101-2</t>
  </si>
  <si>
    <t>Holds - Europe:Holds - Europe - Kilter:KX102-1</t>
  </si>
  <si>
    <t>Holds - Europe:Holds - Europe - Kilter:KX102-2</t>
  </si>
  <si>
    <t>Holds - Europe:Holds - Europe - Kilter:KX103</t>
  </si>
  <si>
    <t>Holds - Europe:Holds - Europe - Kilter:KX104</t>
  </si>
  <si>
    <t>Holds - Europe:Holds - Europe - Kilter:KX105</t>
  </si>
  <si>
    <t>Holds - Europe:Holds - Europe - Kilter:KX107-1</t>
  </si>
  <si>
    <t>Holds - Europe:Holds - Europe - Kilter:KX108</t>
  </si>
  <si>
    <t>Holds - Europe:Holds - Europe - Kilter:KX109</t>
  </si>
  <si>
    <t>Holds - Europe:Holds - Europe - Kilter:KX110</t>
  </si>
  <si>
    <t>Holds - Europe:Holds - Europe - Kilter:KX113</t>
  </si>
  <si>
    <t>Holds - Europe:Holds - Europe - Kilter:KX114</t>
  </si>
  <si>
    <t>KX115-1</t>
  </si>
  <si>
    <t>Holds - Europe:Holds - Europe - Kilter:KX115-1</t>
  </si>
  <si>
    <t>KX115-2</t>
  </si>
  <si>
    <t>Holds - Europe:Holds - Europe - Kilter:KX115-2</t>
  </si>
  <si>
    <t>Holds - Europe:Holds - Europe - Kilter:KX116</t>
  </si>
  <si>
    <t>Holds - Europe:Holds - Europe - Kilter:KX117</t>
  </si>
  <si>
    <t>Holds - Europe:Holds - Europe - Kilter:KX118</t>
  </si>
  <si>
    <t>Holds - Europe:Holds - Europe - Kilter:KX119</t>
  </si>
  <si>
    <t>Holds - Europe:Holds - Europe - Kilter:KX120</t>
  </si>
  <si>
    <t>Holds - Europe:Holds - Europe - Kilter:KX121</t>
  </si>
  <si>
    <t>Holds - Europe:Holds - Europe - Kilter:KX122</t>
  </si>
  <si>
    <t>Holds - Europe:Holds - Europe - Kilter:KX123</t>
  </si>
  <si>
    <t>Holds - Europe:Holds - Europe - Kilter:KX124</t>
  </si>
  <si>
    <t>Holds - Europe:Holds - Europe - Kilter:KX125</t>
  </si>
  <si>
    <t>Holds - Europe:Holds - Europe - Kilter:KX126</t>
  </si>
  <si>
    <t>Holds - Europe:Holds - Europe - Kilter:KX127</t>
  </si>
  <si>
    <t>Holds - Europe:Holds - Europe - Kilter:KX128</t>
  </si>
  <si>
    <t>Holds - Europe:Holds - Europe - Kilter:KX129</t>
  </si>
  <si>
    <t>Holds - Europe:Holds - Europe - Kilter:KX130</t>
  </si>
  <si>
    <t>Holds - Europe:Holds - Europe - Kilter:KX131</t>
  </si>
  <si>
    <t>Holds - Europe:Holds - Europe - Kilter:KX132</t>
  </si>
  <si>
    <t>Holds - Europe:Holds - Europe - Kilter:KX133</t>
  </si>
  <si>
    <t>Holds - Europe:Holds - Europe - Kilter:KX134</t>
  </si>
  <si>
    <t>Holds - Europe:Holds - Europe - Kilter:KX135</t>
  </si>
  <si>
    <t>Holds - Europe:Holds - Europe - Kilter:KX136</t>
  </si>
  <si>
    <t>Holds - Europe:Holds - Europe - Kilter:KX137</t>
  </si>
  <si>
    <t>Holds - Europe:Holds - Europe - Kilter:KX138</t>
  </si>
  <si>
    <t>KX139</t>
  </si>
  <si>
    <t>Holds - Europe:Holds - Europe - Kilter:KX139</t>
  </si>
  <si>
    <t>Holds - Europe:Holds - Europe - Kilter:KX140</t>
  </si>
  <si>
    <t>Holds - Europe:Holds - Europe - Kilter:KX141</t>
  </si>
  <si>
    <t>Holds - Europe:Holds - Europe - Kilter:KX142</t>
  </si>
  <si>
    <t>Holds - Europe:Holds - Europe - Kilter:KX143</t>
  </si>
  <si>
    <t>Holds - Europe:Holds - Europe - Kilter:KX144</t>
  </si>
  <si>
    <t>Holds - Europe:Holds - Europe - Kilter:KX145</t>
  </si>
  <si>
    <t>Holds - Europe:Holds - Europe - Kilter:KX146</t>
  </si>
  <si>
    <t>Holds - Europe:Holds - Europe - Kilter:KX147</t>
  </si>
  <si>
    <t>Holds - Europe:Holds - Europe - Kilter:KX148</t>
  </si>
  <si>
    <t>Holds - Europe:Holds - Europe - Kilter:KX149</t>
  </si>
  <si>
    <t>Holds - Europe:Holds - Europe - Kilter:KX150</t>
  </si>
  <si>
    <t>Holds - Europe:Holds - Europe - Kilter:KX151</t>
  </si>
  <si>
    <t>Holds - Europe:Holds - Europe - Kilter:KX152</t>
  </si>
  <si>
    <t>Holds - Europe:Holds - Europe - Kilter:KX153</t>
  </si>
  <si>
    <t>Holds - Europe:Holds - Europe - Kilter:KX154</t>
  </si>
  <si>
    <t>Holds - Europe:Holds - Europe - Kilter:KX155</t>
  </si>
  <si>
    <t>Holds - Europe:Holds - Europe - Kilter:KX156</t>
  </si>
  <si>
    <t>Holds - Europe:Holds - Europe - Kilter:KX157</t>
  </si>
  <si>
    <t>Holds - Europe:Holds - Europe - Kilter:KX158</t>
  </si>
  <si>
    <t>Holds - Europe:Holds - Europe - Kilter:KX159</t>
  </si>
  <si>
    <t>Holds - Europe:Holds - Europe - Kilter:KX160</t>
  </si>
  <si>
    <t>Holds - Europe:Holds - Europe - Kilter:KX161</t>
  </si>
  <si>
    <t>Holds - Europe:Holds - Europe - Kilter:KX162</t>
  </si>
  <si>
    <t>Holds - Europe:Holds - Europe - Kilter:KX163</t>
  </si>
  <si>
    <t>Holds - Europe:Holds - Europe - Kilter:KX164</t>
  </si>
  <si>
    <t>Holds - Europe:Holds - Europe - Kilter:KX165</t>
  </si>
  <si>
    <t>Holds - Europe:Holds - Europe - Kilter:KX166</t>
  </si>
  <si>
    <t>Holds - Europe:Holds - Europe - Kilter:KX167</t>
  </si>
  <si>
    <t>KX168</t>
  </si>
  <si>
    <t>Holds - Europe:Holds - Europe - Kilter:KX168</t>
  </si>
  <si>
    <t>Holds - Europe:Holds - Europe - Kilter:KX169</t>
  </si>
  <si>
    <t>Holds - Europe:Holds - Europe - Kilter:KX170</t>
  </si>
  <si>
    <t>Holds - Europe:Holds - Europe - Kilter:KX171</t>
  </si>
  <si>
    <t>Holds - Europe:Holds - Europe - Kilter:KX172</t>
  </si>
  <si>
    <t>Holds - Europe:Holds - Europe - Kilter:KX173</t>
  </si>
  <si>
    <t>Holds - Europe:Holds - Europe - Kilter:KX174</t>
  </si>
  <si>
    <t>Holds - Europe:Holds - Europe - Kilter:KX175</t>
  </si>
  <si>
    <t>Holds - Europe:Holds - Europe - Kilter:KX176</t>
  </si>
  <si>
    <t>Holds - Europe:Holds - Europe - Kilter:KX193</t>
  </si>
  <si>
    <t>Holds - Europe:Holds - Europe - Kilter:Jeremy:KXJH001</t>
  </si>
  <si>
    <t>Holds - Europe:Holds - Europe - Kilter:Jeremy:KXJH002</t>
  </si>
  <si>
    <t>Holds - Europe:Holds - Europe - Kilter:Jeremy:KXJH003</t>
  </si>
  <si>
    <t>Holds - Europe:Holds - Europe - Kilter:Jeremy:KXJH004</t>
  </si>
  <si>
    <t>Holds - Europe:Holds - Europe - Kilter:Jeremy:KXJH005</t>
  </si>
  <si>
    <t>Holds - Europe:Holds - Europe - Kilter:Jeremy:KXJH006</t>
  </si>
  <si>
    <t>Holds - Europe:Holds - Europe - Kilter:Jeremy:KXJH007</t>
  </si>
  <si>
    <t>Holds - Europe:Holds - Europe - Kilter:Jeremy:KXJH008</t>
  </si>
  <si>
    <t>Holds - Europe:Holds - Europe - Kilter:Jeremy:KXJH009</t>
  </si>
  <si>
    <t>Holds - Europe:Holds - Europe - Kilter:Keith:KXKD001</t>
  </si>
  <si>
    <t>Holds - Europe:Holds - Europe - Kilter:Keith:KXKD002</t>
  </si>
  <si>
    <t>Holds - Europe:Holds - Europe - Kilter:Keith:KXKD003</t>
  </si>
  <si>
    <t>Holds - Europe:Holds - Europe - Kilter:Pete:KXPJ001</t>
  </si>
  <si>
    <t>Holds - Europe:Holds - Europe - Kilter:Pete:KXPJ002</t>
  </si>
  <si>
    <t>Holds - Europe:Holds - Europe - Kilter:Pete:KXPJ003</t>
  </si>
  <si>
    <t>Holds - Europe:Holds - Europe - Kilter:Pete:KXPJ004</t>
  </si>
  <si>
    <t>Holds - Europe:Holds - Europe - Kilter:Pete:KXPJ005</t>
  </si>
  <si>
    <t>Holds - Europe:Holds - Europe - Kilter:Pete:KXPJ006</t>
  </si>
  <si>
    <t>Holds - Europe:Holds - Europe - Kilter:Pete:KXPJ007</t>
  </si>
  <si>
    <t>Holds - Europe:Holds - Europe - Kilter:Pete:KXPJ008</t>
  </si>
  <si>
    <t>Holds - Europe:Holds - Europe - Kilter:Pete:KXPJ009</t>
  </si>
  <si>
    <t>Holds - Europe:Holds - Europe - Kilter:Pete:KXPJ011</t>
  </si>
  <si>
    <t>KXJW001</t>
  </si>
  <si>
    <t>Holds - Europe:Holds - Europe - Kilter:Jimmy:KXJW001</t>
  </si>
  <si>
    <t>Holds - Europe:Holds - Europe - Kilter:KXST001</t>
  </si>
  <si>
    <t>Holds - Europe:Holds - Europe - Kilter:KXST002</t>
  </si>
  <si>
    <t>Holds - Europe:Holds - Europe - Kilter:KXST003</t>
  </si>
  <si>
    <t>Holds - Europe:Holds - Europe - Kilter:KXST004</t>
  </si>
  <si>
    <t>Holds - Europe:Holds - Europe - Kilter:KXST005</t>
  </si>
  <si>
    <t>Holds - Europe:Holds - Europe - Kilter:KXST006</t>
  </si>
  <si>
    <t>Holds - Europe:Holds - Europe - Kilter:KXST007</t>
  </si>
  <si>
    <t>Holds - Europe:Holds - Europe - Kilter:KXST008</t>
  </si>
  <si>
    <t>Holds - Europe:Holds - Europe - Kilter:KXST009</t>
  </si>
  <si>
    <t>Holds - Europe:Holds - Europe - Kilter:KXST010</t>
  </si>
  <si>
    <t>Holds - Europe:Holds - Europe - Kilter:KXST011</t>
  </si>
  <si>
    <t>Holds - Europe:Holds - Europe - Kilter:KXST012</t>
  </si>
  <si>
    <t>Holds - Europe:Holds - Europe - Kilter:KXST013</t>
  </si>
  <si>
    <t>Holds - Europe:Holds - Europe - Kilter:KXST014</t>
  </si>
  <si>
    <t>Holds - Europe:Holds - Europe - Kilter:KXST015</t>
  </si>
  <si>
    <t>Holds - Europe:Holds - Europe - Kilter:KXST016</t>
  </si>
  <si>
    <t>Holds - Europe:Holds - Europe - Kilter:KXST017</t>
  </si>
  <si>
    <t>Holds - Europe:Holds - Europe - Kilter:KXST018</t>
  </si>
  <si>
    <t>Holds - Europe:Holds - Europe - Kilter:KXST019</t>
  </si>
  <si>
    <t>Holds - Europe:Holds - Europe - Kilter:KXST020</t>
  </si>
  <si>
    <t>Holds - Europe:Holds - Europe - Kilter:KXST021</t>
  </si>
  <si>
    <t>Holds - Europe:Holds - Europe - Kilter:KXST022</t>
  </si>
  <si>
    <t>Holds - Europe:Holds - Europe - Kilter:KXST023</t>
  </si>
  <si>
    <t>Holds - Europe:Holds - Europe - Kilter:KXST024</t>
  </si>
  <si>
    <t>Holds - Europe:Holds - Europe - Kilter:KXST025</t>
  </si>
  <si>
    <t>Holds - Europe:Holds - Europe - Kilter:KXST027</t>
  </si>
  <si>
    <t>Holds - Europe:Holds - Europe - Kilter:KXST028</t>
  </si>
  <si>
    <t>Holds - Europe:Holds - Europe - Kilter:KXST029</t>
  </si>
  <si>
    <t>Holds - Europe:Holds - Europe - Kilter:KXST030</t>
  </si>
  <si>
    <t>Holds - Europe:Holds - Europe - Kilter:KXST031</t>
  </si>
  <si>
    <t>Holds - Europe:Holds - Europe - Kilter:KXST032</t>
  </si>
  <si>
    <t>Holds - Europe:Holds - Europe - Kilter:KXST033</t>
  </si>
  <si>
    <t>Holds - Europe:Holds - Europe - Kilter:KXST034</t>
  </si>
  <si>
    <t>Holds - Europe:Holds - Europe - Kilter:KXST035</t>
  </si>
  <si>
    <t>Holds - Europe:Holds - Europe - Kilter:KXST036</t>
  </si>
  <si>
    <t>Holds - Europe:Holds - Europe - Kilter:KXST037</t>
  </si>
  <si>
    <t>Holds - Europe:Holds - Europe - Kilter:KXST038</t>
  </si>
  <si>
    <t>Holds - Europe:Holds - Europe - Kilter:KXST039</t>
  </si>
  <si>
    <t>Holds - Europe:Holds - Europe - Kilter:KXST040</t>
  </si>
  <si>
    <t>Holds - Europe:Holds - Europe - Kilter:KXST041</t>
  </si>
  <si>
    <t>Holds - Europe:Holds - Europe - Kilter:KXST042</t>
  </si>
  <si>
    <t>Holds - Europe:Holds - Europe - Kilter:KXST043</t>
  </si>
  <si>
    <t>Holds - Europe:Holds - Europe - Kilter:KXST044</t>
  </si>
  <si>
    <t>Holds - Europe:Holds - Europe - Kilter:KXST045</t>
  </si>
  <si>
    <t>Holds - Europe:Holds - Europe - Kilter:KXST046</t>
  </si>
  <si>
    <t>Holds - Europe:Holds - Europe - Kilter:KXST047</t>
  </si>
  <si>
    <t>Holds - Europe:Holds - Europe - Kilter:KXST048</t>
  </si>
  <si>
    <t>Holds - Europe:Holds - Europe - Kilter:KXST049</t>
  </si>
  <si>
    <t>Holds - Europe:Holds - Europe - Kilter:KXST049 R</t>
  </si>
  <si>
    <t>Holds - Europe:Holds - Europe - Kilter:KXST050</t>
  </si>
  <si>
    <t>Holds - Europe:Holds - Europe - Kilter:KXST051</t>
  </si>
  <si>
    <t>Holds - Europe:Holds - Europe - Kilter:KXST052</t>
  </si>
  <si>
    <t>Holds - Europe:Holds - Europe - Kilter:KXST053</t>
  </si>
  <si>
    <t>Holds - Europe:Holds - Europe - Kilter:KXST054</t>
  </si>
  <si>
    <t>Holds - Europe:Holds - Europe - Kilter:KXST055</t>
  </si>
  <si>
    <t>Holds - Europe:Holds - Europe - Kilter:KXST058</t>
  </si>
  <si>
    <t>Holds - Europe:Holds - Europe - Kilter:KXST059</t>
  </si>
  <si>
    <t>Holds - Europe:Holds - Europe - Kilter:KXST060</t>
  </si>
  <si>
    <t>Holds - Europe:Holds - Europe - Kilter:KXST056</t>
  </si>
  <si>
    <t>Holds - Europe:Holds - Europe - Kilter:KXST061</t>
  </si>
  <si>
    <t>KXST062</t>
  </si>
  <si>
    <t>Holds - Europe:Holds - Europe - Kilter:KXST062</t>
  </si>
  <si>
    <t>Holds - Europe:Holds - Europe - Kilter:KXST063</t>
  </si>
  <si>
    <t>Holds - Europe:Holds - Europe - Kilter:KXST066</t>
  </si>
  <si>
    <t>Holds - F-Block:Dan Yagmin:KFB001</t>
  </si>
  <si>
    <t>Holds - F-Block:Dan Yagmin:KFB002</t>
  </si>
  <si>
    <t>Holds - F-Block:Dan Yagmin:KFB003</t>
  </si>
  <si>
    <t>Holds - F-Block:Dan Yagmin:KFB004</t>
  </si>
  <si>
    <t>Holds - F-Block:Dan Yagmin:KFB005</t>
  </si>
  <si>
    <t>Holds - F-Block:Dan Yagmin:KFB006</t>
  </si>
  <si>
    <t>Holds - F-Block:Dan Yagmin:KFB007</t>
  </si>
  <si>
    <t>Holds - F-Block:Dan Yagmin:KFB008</t>
  </si>
  <si>
    <t>Holds - F-Block:Dan Yagmin:KFB009</t>
  </si>
  <si>
    <t>Holds - F-Block:Dan Yagmin:KFB010</t>
  </si>
  <si>
    <t>Holds - F-Block:Dan Yagmin:KFB011</t>
  </si>
  <si>
    <t>Holds - F-Block:Dan Yagmin:KFB012</t>
  </si>
  <si>
    <t>Holds - F-Block:Dan Yagmin:KFB013</t>
  </si>
  <si>
    <t>Holds - F-Block:Dan Yagmin:KFB014</t>
  </si>
  <si>
    <t>Holds - F-Block:Dan Yagmin:KFB015</t>
  </si>
  <si>
    <t>Holds - F-Block:Dan Yagmin:KFB016</t>
  </si>
  <si>
    <t>Holds - F-Block:Dan Yagmin:KFB017</t>
  </si>
  <si>
    <t>Holds - F-Block:Dan Yagmin:KFB018</t>
  </si>
  <si>
    <t>Holds - F-Block:Dan Yagmin:KFB019</t>
  </si>
  <si>
    <t>Holds - F-Block:Dan Yagmin:KFB020</t>
  </si>
  <si>
    <t>Holds - F-Block:Dan Yagmin:KFB021</t>
  </si>
  <si>
    <t>Holds - F-Block:Dan Yagmin:KFB022</t>
  </si>
  <si>
    <t>Holds - F-Block:Dan Yagmin:KFB023</t>
  </si>
  <si>
    <t>Holds - F-Block:Dan Yagmin:KFB024</t>
  </si>
  <si>
    <t>Holds - Europe:Holds - Europe - Urban Plastix:UPX1</t>
  </si>
  <si>
    <t>Holds - Europe:Holds - Europe - Urban Plastix:UPX2</t>
  </si>
  <si>
    <t>Holds - Europe:Holds - Europe - Urban Plastix:UPX3</t>
  </si>
  <si>
    <t>Holds - Europe:Holds - Europe - Urban Plastix:UPX4</t>
  </si>
  <si>
    <t>Holds - Europe:Holds - Europe - Urban Plastix:UPX5</t>
  </si>
  <si>
    <t>Holds - Europe:Holds - Europe - Urban Plastix:UPX6</t>
  </si>
  <si>
    <t>Holds - Europe:Holds - Europe - Urban Plastix:UPX7</t>
  </si>
  <si>
    <t>Holds - Europe:Holds - Europe - Urban Plastix:UPX8</t>
  </si>
  <si>
    <t>Holds - Europe:Holds - Europe - Urban Plastix:UPX9</t>
  </si>
  <si>
    <t>Holds - Europe:Holds - Europe - Urban Plastix:UPX10</t>
  </si>
  <si>
    <t>Holds - Europe:Holds - Europe - Urban Plastix:UPX11</t>
  </si>
  <si>
    <t>Holds - Europe:Holds - Europe - Urban Plastix:UPX12</t>
  </si>
  <si>
    <t>Holds - Europe:Holds - Europe - Urban Plastix:UPX13</t>
  </si>
  <si>
    <t>Holds - Europe:Holds - Europe - Urban Plastix:UPX14</t>
  </si>
  <si>
    <t>Holds - Europe:Holds - Europe - Urban Plastix:UPX15</t>
  </si>
  <si>
    <t>Holds - Europe:Holds - Europe - Urban Plastix:UPX16</t>
  </si>
  <si>
    <t>Holds - Europe:Holds - Europe - Urban Plastix:UPX17</t>
  </si>
  <si>
    <t>Holds - Europe:Holds - Europe - Urban Plastix:UPX18</t>
  </si>
  <si>
    <t>Holds - Europe:Holds - Europe - Urban Plastix:UPX19</t>
  </si>
  <si>
    <t>Holds - Europe:Holds - Europe - Urban Plastix:UPX20</t>
  </si>
  <si>
    <t>Holds - Europe:Holds - Europe - Urban Plastix:UPX21</t>
  </si>
  <si>
    <t>Holds - Europe:Holds - Europe - Urban Plastix:UPX22</t>
  </si>
  <si>
    <t>Holds - Europe:Holds - Europe - Urban Plastix:UPX23</t>
  </si>
  <si>
    <t>Holds - Europe:Holds - Europe - Urban Plastix:UPX24</t>
  </si>
  <si>
    <t>Holds - Europe:Holds - Europe - Urban Plastix:UPX25</t>
  </si>
  <si>
    <t>Holds - Europe:Holds - Europe - Urban Plastix:UPX26</t>
  </si>
  <si>
    <t>Holds - Europe:Holds - Europe - Urban Plastix:UPX27</t>
  </si>
  <si>
    <t>Holds - Europe:Holds - Europe - Urban Plastix:UPX28</t>
  </si>
  <si>
    <t>Holds - Europe:Holds - Europe - Urban Plastix:UPX29</t>
  </si>
  <si>
    <t>Holds - Europe:Holds - Europe - Urban Plastix:UPX30</t>
  </si>
  <si>
    <t>Holds - Europe:Holds - Europe - Urban Plastix:UPX31</t>
  </si>
  <si>
    <t>Holds - Europe:Holds - Europe - Urban Plastix:UPX32</t>
  </si>
  <si>
    <t>Holds - Europe:Holds - Europe - Urban Plastix:UPX33</t>
  </si>
  <si>
    <t>Holds - Europe:Holds - Europe - Urban Plastix:UPX34</t>
  </si>
  <si>
    <t>Holds - Europe:Holds - Europe - Urban Plastix:UPX35</t>
  </si>
  <si>
    <t>Holds - Europe:Holds - Europe - Urban Plastix:UPX36</t>
  </si>
  <si>
    <t>Holds - Europe:Holds - Europe - Urban Plastix:UPX37</t>
  </si>
  <si>
    <t>Holds - Europe:Holds - Europe - Urban Plastix:UPX38</t>
  </si>
  <si>
    <t>Holds - Europe:Holds - Europe - Urban Plastix:UPX39</t>
  </si>
  <si>
    <t>Holds - Europe:Holds - Europe - Urban Plastix:UPX40</t>
  </si>
  <si>
    <t>Holds - Europe:Holds - Europe - Urban Plastix:UPX41</t>
  </si>
  <si>
    <t>Holds - Europe:Holds - Europe - Urban Plastix:UPX42</t>
  </si>
  <si>
    <t>Holds - Europe:Holds - Europe - Urban Plastix:UPX43</t>
  </si>
  <si>
    <t>Holds - Europe:Holds - Europe - Urban Plastix:UPX44</t>
  </si>
  <si>
    <t>Holds - Europe:Holds - Europe - Urban Plastix:UPX45</t>
  </si>
  <si>
    <t>Holds - Europe:Holds - Europe - Urban Plastix:UPX46</t>
  </si>
  <si>
    <t>Holds - Europe:Holds - Europe - Urban Plastix:UPX47</t>
  </si>
  <si>
    <t>Holds - Europe:Holds - Europe - Urban Plastix:UPX48</t>
  </si>
  <si>
    <t>Holds - Europe:Holds - Europe - Urban Plastix:UPX49</t>
  </si>
  <si>
    <t>Holds - Europe:Holds - Europe - Urban Plastix:UPX50</t>
  </si>
  <si>
    <t>Holds - Europe:Holds - Europe - Urban Plastix:UPX51</t>
  </si>
  <si>
    <t>Holds - Europe:Holds - Europe - Urban Plastix:UPX52</t>
  </si>
  <si>
    <t>Holds - Europe:Holds - Europe - Urban Plastix:UPX53</t>
  </si>
  <si>
    <t>Holds - Europe:Holds - Europe - Urban Plastix:UPX54</t>
  </si>
  <si>
    <t>Holds - Europe:Holds - Europe - Urban Plastix:UPX55</t>
  </si>
  <si>
    <t>Holds - Europe:Holds - Europe - Urban Plastix:UPX56</t>
  </si>
  <si>
    <t>Holds - Europe:Holds - Europe - Urban Plastix:UPX057</t>
  </si>
  <si>
    <t>Holds - Europe:Holds - Europe - Urban Plastix:UPX058</t>
  </si>
  <si>
    <t>Holds - Europe:Holds - Europe - Urban Plastix:UPX059</t>
  </si>
  <si>
    <t>Holds - Europe:Holds - Europe - Urban Plastix:UPX060</t>
  </si>
  <si>
    <t>Holds - Europe:Holds - Europe - Urban Plastix:UPX061</t>
  </si>
  <si>
    <t>Holds - Europe:Holds - Europe - Urban Plastix:UPX062</t>
  </si>
  <si>
    <t>Holds - Europe:Holds - Europe - Urban Plastix:UPX063</t>
  </si>
  <si>
    <t>Holds - Europe:Holds - Europe - Urban Plastix:UPX064</t>
  </si>
  <si>
    <t>Holds - Europe:Holds - Europe - Urban Plastix:UPX065</t>
  </si>
  <si>
    <t>Holds - Europe:Holds - Europe - Urban Plastix:UPX066</t>
  </si>
  <si>
    <t>Holds - Europe:Holds - Europe - Urban Plastix:UPX67</t>
  </si>
  <si>
    <t>UPX68</t>
  </si>
  <si>
    <t>Holds - Europe:Holds - Europe - Urban Plastix:UPX68</t>
  </si>
  <si>
    <t>Holds - Europe:Holds - Europe - Urban Plastix:UPX69</t>
  </si>
  <si>
    <t>Holds - Europe:Holds - Europe - Urban Plastix:UPX70</t>
  </si>
  <si>
    <t>Holds - Europe:Holds - Europe - Urban Plastix:UPX71</t>
  </si>
  <si>
    <t>Holds - Europe:Holds - Europe - Urban Plastix:UPX72</t>
  </si>
  <si>
    <t>Holds - Europe:Holds - Europe - Urban Plastix:UPX73</t>
  </si>
  <si>
    <t>Holds - Europe:Holds - Europe - Urban Plastix:UPX74</t>
  </si>
  <si>
    <t>Holds - Europe:Holds - Europe - Urban Plastix:UPX75</t>
  </si>
  <si>
    <t>Holds - Europe:Holds - Europe - Urban Plastix:UPX76</t>
  </si>
  <si>
    <t>Holds - Europe:Holds - Europe - Urban Plastix:UPX77</t>
  </si>
  <si>
    <t>Holds - Europe:Holds - Europe - Urban Plastix:UPX78</t>
  </si>
  <si>
    <t>Holds - Europe:Holds - Europe - Urban Plastix:UPX79</t>
  </si>
  <si>
    <t>Holds - Europe:Holds - Europe - Urban Plastix:UPX80</t>
  </si>
  <si>
    <t>Holds - Europe:Holds - Europe - Urban Plastix:UPX81</t>
  </si>
  <si>
    <t>Holds - Europe:Holds - Europe - Urban Plastix:UPX82</t>
  </si>
  <si>
    <t>Holds - Europe:Holds - Europe - Urban Plastix:UPX83</t>
  </si>
  <si>
    <t>Holds - Europe:Holds - Europe - Urban Plastix:UPX84</t>
  </si>
  <si>
    <t>Holds - Europe:Holds - Europe - Urban Plastix:UPX85</t>
  </si>
  <si>
    <t>Holds - Europe:Holds - Europe - Urban Plastix:UPX86</t>
  </si>
  <si>
    <t>Holds - Europe:Holds - Europe - Urban Plastix:UPX87</t>
  </si>
  <si>
    <t>Holds - Europe:Holds - Europe - Urban Plastix:UPX88</t>
  </si>
  <si>
    <t>Holds - Europe:Holds - Europe - Urban Plastix:UPX93</t>
  </si>
  <si>
    <t>Holds - Europe:Holds - Europe - Urban Plastix:UPX97</t>
  </si>
  <si>
    <t>Holds - Europe:Holds - Europe - Urban Plastix:UPX99</t>
  </si>
  <si>
    <t>Holds - Europe:Holds - Europe - Urban Plastix:UPX100</t>
  </si>
  <si>
    <t>Holds - Europe:Holds - Europe - Urban Plastix:UPX103</t>
  </si>
  <si>
    <t>Holds - Europe:Holds - Europe - Urban Plastix:UPX110</t>
  </si>
  <si>
    <t>Holds - Europe:Holds - Europe - Urban Plastix:UPX111</t>
  </si>
  <si>
    <t>Holds - Europe:Holds - Europe - Urban Plastix:UPX112</t>
  </si>
  <si>
    <t>Holds - Europe:Holds - Europe - Urban Plastix:UPX115</t>
  </si>
  <si>
    <t>Holds - Europe:Holds - Europe - Urban Plastix:UPX144</t>
  </si>
  <si>
    <t>Holds - Europe:Holds - Europe - Urban Plastix:UPX145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</si>
</sst>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164" formatCode="[$CHF]#,##0.00"/>
    <numFmt numFmtId="165" formatCode="&quot;$&quot;#,##0_);[Red]\(&quot;$&quot;#,##0\)"/>
    <numFmt numFmtId="166" formatCode="d/m/yyyy"/>
    <numFmt numFmtId="167" formatCode="00000"/>
    <numFmt numFmtId="168" formatCode="\$#,##0.00\ ;[Red]&quot;($&quot;#,##0.00\)"/>
    <numFmt numFmtId="169" formatCode="_(* #,##0_);_(* \(#,##0\);_(* &quot;-&quot;??_);_(@_)"/>
    <numFmt numFmtId="170" formatCode="\$#,##0.00"/>
    <numFmt numFmtId="171" formatCode="_(&quot;$&quot;* #,##0.00_);_(&quot;$&quot;* \(#,##0.00\);_(&quot;$&quot;* &quot;-&quot;??_);_(@_)"/>
    <numFmt numFmtId="172" formatCode="\$#,##0.00_);[Red]&quot;($&quot;#,##0.00\)"/>
    <numFmt numFmtId="173" formatCode="&quot;$&quot;#,##0.00"/>
    <numFmt numFmtId="174" formatCode="_(* #,##0.00_);_(* \(#,##0.00\);_(* &quot;-&quot;??_);_(@_)"/>
    <numFmt numFmtId="175" formatCode="_(&quot;$&quot;* #,##0_);_(&quot;$&quot;* \(#,##0\);_(&quot;$&quot;* &quot;-&quot;??_);_(@_)"/>
    <numFmt numFmtId="176" formatCode="[$CHF]\ #,##0.00" x16r2:formatCode16="[$CHF-gsw-CH]\ #,##0.00"/>
  </numFmts>
  <fonts count="76">
    <font>
      <sz val="10"/>
      <color rgb="FF000000"/>
      <name val="Verdana"/>
      <scheme val="minor"/>
    </font>
    <font>
      <b/>
      <sz val="20"/>
      <color theme="1"/>
      <name val="Stardos Stencil"/>
    </font>
    <font>
      <sz val="10"/>
      <color rgb="FF000000"/>
      <name val="Verdana"/>
      <family val="2"/>
    </font>
    <font>
      <b/>
      <sz val="18"/>
      <color theme="1"/>
      <name val="Stardos Stencil"/>
    </font>
    <font>
      <b/>
      <sz val="22"/>
      <color theme="1"/>
      <name val="Stardos Stencil"/>
    </font>
    <font>
      <i/>
      <sz val="8"/>
      <color rgb="FF000000"/>
      <name val="Verdana"/>
      <family val="2"/>
    </font>
    <font>
      <sz val="8"/>
      <color rgb="FF000000"/>
      <name val="Verdana"/>
      <family val="2"/>
    </font>
    <font>
      <b/>
      <sz val="8"/>
      <color theme="1"/>
      <name val="Stardos Stencil"/>
    </font>
    <font>
      <sz val="10"/>
      <color theme="1"/>
      <name val="Verdana"/>
      <family val="2"/>
    </font>
    <font>
      <b/>
      <sz val="12"/>
      <color theme="1"/>
      <name val="Verdana"/>
      <family val="2"/>
    </font>
    <font>
      <sz val="8"/>
      <color theme="1"/>
      <name val="Verdana"/>
      <family val="2"/>
    </font>
    <font>
      <sz val="9"/>
      <color theme="1"/>
      <name val="Verdana"/>
      <family val="2"/>
    </font>
    <font>
      <sz val="10"/>
      <name val="Verdana"/>
      <family val="2"/>
    </font>
    <font>
      <b/>
      <sz val="10"/>
      <color theme="0"/>
      <name val="Verdana"/>
      <family val="2"/>
    </font>
    <font>
      <b/>
      <sz val="10"/>
      <color theme="1"/>
      <name val="Verdana"/>
      <family val="2"/>
    </font>
    <font>
      <b/>
      <sz val="10"/>
      <color rgb="FF000000"/>
      <name val="Verdana"/>
      <family val="2"/>
    </font>
    <font>
      <sz val="10"/>
      <color theme="0"/>
      <name val="Verdana"/>
      <family val="2"/>
    </font>
    <font>
      <u/>
      <sz val="10"/>
      <color theme="10"/>
      <name val="Verdana"/>
      <family val="2"/>
    </font>
    <font>
      <b/>
      <u/>
      <sz val="10"/>
      <color theme="0"/>
      <name val="Verdana"/>
      <family val="2"/>
    </font>
    <font>
      <b/>
      <sz val="10"/>
      <color rgb="FFFFFFFF"/>
      <name val="Verdana"/>
      <family val="2"/>
    </font>
    <font>
      <b/>
      <i/>
      <sz val="10"/>
      <color theme="1"/>
      <name val="Verdana"/>
      <family val="2"/>
    </font>
    <font>
      <b/>
      <sz val="8"/>
      <color rgb="FFFFFFFF"/>
      <name val="Verdana"/>
      <family val="2"/>
    </font>
    <font>
      <b/>
      <sz val="8"/>
      <color theme="1"/>
      <name val="Verdana"/>
      <family val="2"/>
    </font>
    <font>
      <b/>
      <sz val="8"/>
      <color rgb="FF000000"/>
      <name val="Verdana"/>
      <family val="2"/>
    </font>
    <font>
      <sz val="10"/>
      <color rgb="FF212121"/>
      <name val="Roboto"/>
    </font>
    <font>
      <sz val="10"/>
      <color rgb="FFFFFFFF"/>
      <name val="Verdana"/>
      <family val="2"/>
    </font>
    <font>
      <u/>
      <sz val="10"/>
      <color theme="10"/>
      <name val="Verdana"/>
      <family val="2"/>
    </font>
    <font>
      <i/>
      <sz val="9"/>
      <color theme="1"/>
      <name val="Verdana"/>
      <family val="2"/>
    </font>
    <font>
      <sz val="8"/>
      <color rgb="FFFF0000"/>
      <name val="Verdana"/>
      <family val="2"/>
    </font>
    <font>
      <i/>
      <sz val="10"/>
      <color theme="1"/>
      <name val="Verdana"/>
      <family val="2"/>
    </font>
    <font>
      <sz val="8"/>
      <color rgb="FF3366FF"/>
      <name val="Verdana"/>
      <family val="2"/>
    </font>
    <font>
      <b/>
      <sz val="12"/>
      <color rgb="FF000000"/>
      <name val="Verdana"/>
      <family val="2"/>
    </font>
    <font>
      <b/>
      <sz val="8"/>
      <color theme="0"/>
      <name val="Verdana"/>
      <family val="2"/>
    </font>
    <font>
      <u/>
      <sz val="10"/>
      <color theme="0"/>
      <name val="Verdana"/>
      <family val="2"/>
    </font>
    <font>
      <b/>
      <u/>
      <sz val="8"/>
      <color theme="0"/>
      <name val="Verdana"/>
      <family val="2"/>
    </font>
    <font>
      <u/>
      <sz val="10"/>
      <color theme="10"/>
      <name val="Verdana"/>
      <family val="2"/>
    </font>
    <font>
      <sz val="8"/>
      <color rgb="FFFFFFFF"/>
      <name val="Verdana"/>
      <family val="2"/>
    </font>
    <font>
      <i/>
      <sz val="8"/>
      <color theme="1"/>
      <name val="Verdana"/>
      <family val="2"/>
    </font>
    <font>
      <u/>
      <sz val="10"/>
      <color theme="10"/>
      <name val="Verdana"/>
      <family val="2"/>
    </font>
    <font>
      <sz val="10"/>
      <color theme="1"/>
      <name val="Verdana"/>
      <family val="2"/>
      <scheme val="minor"/>
    </font>
    <font>
      <u/>
      <sz val="10"/>
      <color theme="10"/>
      <name val="Verdana"/>
      <family val="2"/>
    </font>
    <font>
      <u/>
      <sz val="10"/>
      <color theme="10"/>
      <name val="Verdana"/>
      <family val="2"/>
    </font>
    <font>
      <u/>
      <sz val="10"/>
      <color theme="10"/>
      <name val="Verdana"/>
      <family val="2"/>
    </font>
    <font>
      <u/>
      <sz val="10"/>
      <color theme="10"/>
      <name val="Verdana"/>
      <family val="2"/>
    </font>
    <font>
      <u/>
      <sz val="10"/>
      <color theme="0"/>
      <name val="Verdana"/>
      <family val="2"/>
    </font>
    <font>
      <b/>
      <u/>
      <sz val="8"/>
      <color theme="0"/>
      <name val="Verdana"/>
      <family val="2"/>
    </font>
    <font>
      <u/>
      <sz val="8"/>
      <color rgb="FF000000"/>
      <name val="Verdana"/>
      <family val="2"/>
    </font>
    <font>
      <sz val="10"/>
      <color theme="10"/>
      <name val="Verdana"/>
      <family val="2"/>
    </font>
    <font>
      <u/>
      <sz val="10"/>
      <color theme="0"/>
      <name val="Verdana"/>
      <family val="2"/>
    </font>
    <font>
      <b/>
      <u/>
      <sz val="8"/>
      <color theme="0"/>
      <name val="Verdana"/>
      <family val="2"/>
    </font>
    <font>
      <u/>
      <sz val="10"/>
      <color theme="10"/>
      <name val="Verdana"/>
      <family val="2"/>
    </font>
    <font>
      <u/>
      <sz val="10"/>
      <color theme="10"/>
      <name val="Verdana"/>
      <family val="2"/>
    </font>
    <font>
      <u/>
      <sz val="10"/>
      <color theme="0"/>
      <name val="Verdana"/>
      <family val="2"/>
    </font>
    <font>
      <b/>
      <u/>
      <sz val="8"/>
      <color theme="0"/>
      <name val="Verdana"/>
      <family val="2"/>
    </font>
    <font>
      <u/>
      <sz val="10"/>
      <color rgb="FF000000"/>
      <name val="Verdana"/>
      <family val="2"/>
    </font>
    <font>
      <b/>
      <i/>
      <sz val="8"/>
      <color theme="1"/>
      <name val="Verdana"/>
      <family val="2"/>
    </font>
    <font>
      <b/>
      <u/>
      <sz val="8"/>
      <color rgb="FFFFFFFF"/>
      <name val="Verdana"/>
      <family val="2"/>
    </font>
    <font>
      <b/>
      <u/>
      <sz val="8"/>
      <color rgb="FFFFFFFF"/>
      <name val="Verdana"/>
      <family val="2"/>
    </font>
    <font>
      <b/>
      <i/>
      <sz val="8"/>
      <color rgb="FFFFFFFF"/>
      <name val="Verdana"/>
      <family val="2"/>
    </font>
    <font>
      <b/>
      <u/>
      <sz val="8"/>
      <color rgb="FFFFFFFF"/>
      <name val="Verdana"/>
      <family val="2"/>
    </font>
    <font>
      <u/>
      <sz val="10"/>
      <color theme="10"/>
      <name val="Verdana"/>
      <family val="2"/>
    </font>
    <font>
      <sz val="10"/>
      <color rgb="FF000000"/>
      <name val="Arial"/>
      <family val="2"/>
    </font>
    <font>
      <u/>
      <sz val="10"/>
      <color theme="10"/>
      <name val="Verdana"/>
      <family val="2"/>
    </font>
    <font>
      <u/>
      <sz val="10"/>
      <color theme="10"/>
      <name val="Verdana"/>
      <family val="2"/>
    </font>
    <font>
      <u/>
      <sz val="10"/>
      <color theme="10"/>
      <name val="Verdana"/>
      <family val="2"/>
    </font>
    <font>
      <u/>
      <sz val="10"/>
      <color theme="10"/>
      <name val="Verdana"/>
      <family val="2"/>
    </font>
    <font>
      <u/>
      <sz val="10"/>
      <color theme="10"/>
      <name val="Verdana"/>
      <family val="2"/>
    </font>
    <font>
      <u/>
      <sz val="10"/>
      <color theme="10"/>
      <name val="Verdana"/>
      <family val="2"/>
    </font>
    <font>
      <b/>
      <u/>
      <sz val="16"/>
      <color theme="1"/>
      <name val="Calibri"/>
      <family val="2"/>
    </font>
    <font>
      <b/>
      <sz val="11"/>
      <color theme="1"/>
      <name val="Calibri"/>
      <family val="2"/>
    </font>
    <font>
      <sz val="11"/>
      <color theme="1"/>
      <name val="Calibri"/>
      <family val="2"/>
    </font>
    <font>
      <sz val="8"/>
      <color rgb="FF000000"/>
      <name val="Arial"/>
      <family val="2"/>
    </font>
    <font>
      <sz val="8"/>
      <color theme="1"/>
      <name val="Arial"/>
      <family val="2"/>
    </font>
    <font>
      <sz val="11"/>
      <color theme="0"/>
      <name val="Calibri"/>
      <family val="2"/>
    </font>
    <font>
      <sz val="10"/>
      <color theme="1"/>
      <name val="Arial"/>
      <family val="2"/>
    </font>
    <font>
      <b/>
      <sz val="22"/>
      <color theme="1"/>
      <name val="Bauhaus 93"/>
    </font>
  </fonts>
  <fills count="30">
    <fill>
      <patternFill patternType="none"/>
    </fill>
    <fill>
      <patternFill patternType="gray125"/>
    </fill>
    <fill>
      <patternFill patternType="solid">
        <fgColor theme="1"/>
        <bgColor theme="1"/>
      </patternFill>
    </fill>
    <fill>
      <patternFill patternType="solid">
        <fgColor rgb="FF000000"/>
        <bgColor rgb="FF000000"/>
      </patternFill>
    </fill>
    <fill>
      <patternFill patternType="solid">
        <fgColor rgb="FFEFEFEF"/>
        <bgColor rgb="FFEFEFEF"/>
      </patternFill>
    </fill>
    <fill>
      <patternFill patternType="solid">
        <fgColor rgb="FFFF0000"/>
        <bgColor rgb="FFFF0000"/>
      </patternFill>
    </fill>
    <fill>
      <patternFill patternType="solid">
        <fgColor rgb="FFFF9900"/>
        <bgColor rgb="FFFF9900"/>
      </patternFill>
    </fill>
    <fill>
      <patternFill patternType="solid">
        <fgColor rgb="FFFFFF00"/>
        <bgColor rgb="FFFFFF00"/>
      </patternFill>
    </fill>
    <fill>
      <patternFill patternType="solid">
        <fgColor rgb="FF339966"/>
        <bgColor rgb="FF339966"/>
      </patternFill>
    </fill>
    <fill>
      <patternFill patternType="solid">
        <fgColor rgb="FF3366FF"/>
        <bgColor rgb="FF3366FF"/>
      </patternFill>
    </fill>
    <fill>
      <patternFill patternType="solid">
        <fgColor rgb="FF800080"/>
        <bgColor rgb="FF800080"/>
      </patternFill>
    </fill>
    <fill>
      <patternFill patternType="solid">
        <fgColor rgb="FFFF00FF"/>
        <bgColor rgb="FFFF00FF"/>
      </patternFill>
    </fill>
    <fill>
      <patternFill patternType="solid">
        <fgColor theme="0"/>
        <bgColor theme="0"/>
      </patternFill>
    </fill>
    <fill>
      <patternFill patternType="solid">
        <fgColor rgb="FFD9D9D9"/>
        <bgColor rgb="FFD9D9D9"/>
      </patternFill>
    </fill>
    <fill>
      <patternFill patternType="solid">
        <fgColor rgb="FFFFFFFF"/>
        <bgColor rgb="FFFFFFFF"/>
      </patternFill>
    </fill>
    <fill>
      <patternFill patternType="solid">
        <fgColor rgb="FFF3F3F3"/>
        <bgColor rgb="FFF3F3F3"/>
      </patternFill>
    </fill>
    <fill>
      <patternFill patternType="solid">
        <fgColor rgb="FFC0C0C0"/>
        <bgColor rgb="FFC0C0C0"/>
      </patternFill>
    </fill>
    <fill>
      <patternFill patternType="solid">
        <fgColor theme="9"/>
        <bgColor theme="9"/>
      </patternFill>
    </fill>
    <fill>
      <patternFill patternType="solid">
        <fgColor rgb="FF92D050"/>
        <bgColor rgb="FF92D050"/>
      </patternFill>
    </fill>
    <fill>
      <patternFill patternType="solid">
        <fgColor rgb="FF7FC9FE"/>
        <bgColor rgb="FF7FC9FE"/>
      </patternFill>
    </fill>
    <fill>
      <patternFill patternType="solid">
        <fgColor rgb="FFD8D8D8"/>
        <bgColor rgb="FFD8D8D8"/>
      </patternFill>
    </fill>
    <fill>
      <patternFill patternType="solid">
        <fgColor rgb="FFADB9CA"/>
        <bgColor rgb="FFADB9CA"/>
      </patternFill>
    </fill>
    <fill>
      <patternFill patternType="solid">
        <fgColor rgb="FFBFBFBF"/>
        <bgColor rgb="FFBFBFBF"/>
      </patternFill>
    </fill>
    <fill>
      <patternFill patternType="solid">
        <fgColor theme="5"/>
        <bgColor theme="5"/>
      </patternFill>
    </fill>
    <fill>
      <patternFill patternType="solid">
        <fgColor rgb="FFFFC000"/>
        <bgColor rgb="FFFFC000"/>
      </patternFill>
    </fill>
    <fill>
      <patternFill patternType="solid">
        <fgColor rgb="FF00B050"/>
        <bgColor rgb="FF00B050"/>
      </patternFill>
    </fill>
    <fill>
      <patternFill patternType="solid">
        <fgColor rgb="FF0070C0"/>
        <bgColor rgb="FF0070C0"/>
      </patternFill>
    </fill>
    <fill>
      <patternFill patternType="solid">
        <fgColor rgb="FF7030A0"/>
        <bgColor rgb="FF7030A0"/>
      </patternFill>
    </fill>
    <fill>
      <patternFill patternType="solid">
        <fgColor rgb="FFE31ADA"/>
        <bgColor rgb="FFE31ADA"/>
      </patternFill>
    </fill>
    <fill>
      <patternFill patternType="solid">
        <fgColor rgb="FF7F7F7F"/>
        <bgColor rgb="FF7F7F7F"/>
      </patternFill>
    </fill>
  </fills>
  <borders count="100">
    <border>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ck">
        <color rgb="FF000000"/>
      </left>
      <right/>
      <top style="thick">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ck">
        <color rgb="FF000000"/>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diagonal/>
    </border>
    <border>
      <left/>
      <right/>
      <top/>
      <bottom/>
      <diagonal/>
    </border>
    <border>
      <left/>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medium">
        <color rgb="FF000000"/>
      </top>
      <bottom/>
      <diagonal/>
    </border>
    <border>
      <left/>
      <right/>
      <top style="thin">
        <color rgb="FF000000"/>
      </top>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style="thin">
        <color rgb="FF000000"/>
      </left>
      <right/>
      <top/>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right style="thin">
        <color rgb="FF000000"/>
      </right>
      <top style="thin">
        <color rgb="FF000000"/>
      </top>
      <bottom/>
      <diagonal/>
    </border>
    <border>
      <left/>
      <right/>
      <top/>
      <bottom style="thin">
        <color rgb="FF000000"/>
      </bottom>
      <diagonal/>
    </border>
  </borders>
  <cellStyleXfs count="1">
    <xf numFmtId="0" fontId="0" fillId="0" borderId="0"/>
  </cellStyleXfs>
  <cellXfs count="534">
    <xf numFmtId="0" fontId="0" fillId="0" borderId="0" xfId="0"/>
    <xf numFmtId="0" fontId="2" fillId="0" borderId="0" xfId="0" applyFont="1"/>
    <xf numFmtId="0" fontId="3" fillId="0" borderId="0" xfId="0" applyFont="1" applyAlignment="1">
      <alignment horizontal="center" vertical="top"/>
    </xf>
    <xf numFmtId="2" fontId="3" fillId="0" borderId="0" xfId="0" applyNumberFormat="1" applyFont="1" applyAlignment="1">
      <alignment horizontal="center" vertical="top"/>
    </xf>
    <xf numFmtId="0" fontId="5" fillId="0" borderId="0" xfId="0" applyFont="1" applyAlignment="1">
      <alignment horizontal="left"/>
    </xf>
    <xf numFmtId="0" fontId="6" fillId="0" borderId="0" xfId="0" applyFont="1" applyAlignment="1">
      <alignment horizontal="center"/>
    </xf>
    <xf numFmtId="0" fontId="5" fillId="0" borderId="0" xfId="0" applyFont="1" applyAlignment="1">
      <alignment horizontal="right"/>
    </xf>
    <xf numFmtId="0" fontId="6" fillId="0" borderId="0" xfId="0" applyFont="1"/>
    <xf numFmtId="0" fontId="7" fillId="0" borderId="0" xfId="0" applyFont="1" applyAlignment="1">
      <alignment horizontal="center" vertical="top"/>
    </xf>
    <xf numFmtId="2" fontId="7" fillId="0" borderId="0" xfId="0" applyNumberFormat="1" applyFont="1" applyAlignment="1">
      <alignment horizontal="center" vertical="top"/>
    </xf>
    <xf numFmtId="0" fontId="8" fillId="0" borderId="0" xfId="0" applyFont="1"/>
    <xf numFmtId="2" fontId="8" fillId="0" borderId="0" xfId="0" applyNumberFormat="1" applyFont="1"/>
    <xf numFmtId="0" fontId="9" fillId="0" borderId="0" xfId="0" applyFont="1" applyAlignment="1">
      <alignment vertical="center"/>
    </xf>
    <xf numFmtId="0" fontId="10" fillId="0" borderId="0" xfId="0" applyFont="1"/>
    <xf numFmtId="0" fontId="8" fillId="0" borderId="0" xfId="0" applyFont="1" applyAlignment="1">
      <alignment wrapText="1"/>
    </xf>
    <xf numFmtId="0" fontId="11" fillId="0" borderId="0" xfId="0" applyFont="1"/>
    <xf numFmtId="0" fontId="2" fillId="0" borderId="1" xfId="0" applyFont="1" applyBorder="1" applyAlignment="1">
      <alignment horizontal="center"/>
    </xf>
    <xf numFmtId="0" fontId="2" fillId="0" borderId="3" xfId="0" applyFont="1" applyBorder="1"/>
    <xf numFmtId="164" fontId="8" fillId="0" borderId="4" xfId="0" applyNumberFormat="1" applyFont="1" applyBorder="1"/>
    <xf numFmtId="2" fontId="13" fillId="2" borderId="5" xfId="0" applyNumberFormat="1" applyFont="1" applyFill="1" applyBorder="1"/>
    <xf numFmtId="0" fontId="13" fillId="2" borderId="6" xfId="0" applyFont="1" applyFill="1" applyBorder="1"/>
    <xf numFmtId="2" fontId="14" fillId="0" borderId="3" xfId="0" applyNumberFormat="1" applyFont="1" applyBorder="1"/>
    <xf numFmtId="165" fontId="15" fillId="0" borderId="4" xfId="0" applyNumberFormat="1" applyFont="1" applyBorder="1" applyAlignment="1">
      <alignment horizontal="center" vertical="center"/>
    </xf>
    <xf numFmtId="2" fontId="8" fillId="0" borderId="3" xfId="0" applyNumberFormat="1" applyFont="1" applyBorder="1"/>
    <xf numFmtId="0" fontId="15" fillId="0" borderId="4" xfId="0" applyFont="1" applyBorder="1" applyAlignment="1">
      <alignment horizontal="center" vertical="center"/>
    </xf>
    <xf numFmtId="0" fontId="8" fillId="0" borderId="4" xfId="0" applyFont="1" applyBorder="1"/>
    <xf numFmtId="0" fontId="8" fillId="0" borderId="3" xfId="0" applyFont="1" applyBorder="1"/>
    <xf numFmtId="0" fontId="15" fillId="0" borderId="0" xfId="0" applyFont="1" applyAlignment="1">
      <alignment horizontal="center" vertical="center"/>
    </xf>
    <xf numFmtId="0" fontId="16" fillId="2" borderId="7" xfId="0" applyFont="1" applyFill="1" applyBorder="1"/>
    <xf numFmtId="164" fontId="13" fillId="2" borderId="8" xfId="0" applyNumberFormat="1" applyFont="1" applyFill="1" applyBorder="1"/>
    <xf numFmtId="0" fontId="2" fillId="0" borderId="2" xfId="0" applyFont="1" applyBorder="1" applyAlignment="1">
      <alignment horizontal="center"/>
    </xf>
    <xf numFmtId="9" fontId="8" fillId="0" borderId="4" xfId="0" applyNumberFormat="1" applyFont="1" applyBorder="1"/>
    <xf numFmtId="0" fontId="17" fillId="0" borderId="9" xfId="0" applyFont="1" applyBorder="1"/>
    <xf numFmtId="0" fontId="8" fillId="0" borderId="10" xfId="0" applyFont="1" applyBorder="1"/>
    <xf numFmtId="0" fontId="2" fillId="0" borderId="0" xfId="0" applyFont="1" applyAlignment="1">
      <alignment vertical="top"/>
    </xf>
    <xf numFmtId="0" fontId="2" fillId="0" borderId="9" xfId="0" applyFont="1" applyBorder="1"/>
    <xf numFmtId="164" fontId="2" fillId="0" borderId="10" xfId="0" applyNumberFormat="1" applyFont="1" applyBorder="1"/>
    <xf numFmtId="0" fontId="2" fillId="0" borderId="0" xfId="0" applyFont="1" applyAlignment="1">
      <alignment horizontal="center" vertical="center"/>
    </xf>
    <xf numFmtId="0" fontId="19" fillId="3" borderId="14" xfId="0" applyFont="1" applyFill="1" applyBorder="1" applyAlignment="1">
      <alignment horizontal="left" vertical="center"/>
    </xf>
    <xf numFmtId="0" fontId="14" fillId="0" borderId="0" xfId="0" applyFont="1" applyAlignment="1">
      <alignment vertical="center"/>
    </xf>
    <xf numFmtId="0" fontId="9" fillId="0" borderId="0" xfId="0" applyFont="1" applyAlignment="1">
      <alignment horizontal="center" vertical="center" wrapText="1"/>
    </xf>
    <xf numFmtId="9" fontId="9" fillId="0" borderId="0" xfId="0" applyNumberFormat="1" applyFont="1" applyAlignment="1">
      <alignment vertical="center"/>
    </xf>
    <xf numFmtId="0" fontId="9" fillId="0" borderId="0" xfId="0" applyFont="1" applyAlignment="1">
      <alignment horizontal="center" vertical="center"/>
    </xf>
    <xf numFmtId="0" fontId="20" fillId="0" borderId="0" xfId="0" applyFont="1"/>
    <xf numFmtId="0" fontId="21" fillId="5" borderId="15" xfId="0" applyFont="1" applyFill="1" applyBorder="1" applyAlignment="1">
      <alignment horizontal="center" vertical="center" wrapText="1"/>
    </xf>
    <xf numFmtId="0" fontId="21" fillId="6" borderId="15" xfId="0" applyFont="1" applyFill="1" applyBorder="1" applyAlignment="1">
      <alignment horizontal="center" vertical="center" wrapText="1"/>
    </xf>
    <xf numFmtId="0" fontId="22" fillId="7" borderId="15" xfId="0" applyFont="1" applyFill="1" applyBorder="1" applyAlignment="1">
      <alignment horizontal="center" vertical="center" wrapText="1"/>
    </xf>
    <xf numFmtId="0" fontId="21" fillId="8" borderId="15" xfId="0" applyFont="1" applyFill="1" applyBorder="1" applyAlignment="1">
      <alignment horizontal="center" vertical="center" wrapText="1"/>
    </xf>
    <xf numFmtId="0" fontId="21" fillId="9" borderId="15" xfId="0" applyFont="1" applyFill="1" applyBorder="1" applyAlignment="1">
      <alignment horizontal="center" vertical="center" wrapText="1"/>
    </xf>
    <xf numFmtId="0" fontId="21" fillId="10" borderId="15" xfId="0" applyFont="1" applyFill="1" applyBorder="1" applyAlignment="1">
      <alignment horizontal="center" vertical="center" wrapText="1"/>
    </xf>
    <xf numFmtId="0" fontId="21" fillId="11" borderId="15" xfId="0" applyFont="1" applyFill="1" applyBorder="1" applyAlignment="1">
      <alignment horizontal="center" vertical="center" wrapText="1"/>
    </xf>
    <xf numFmtId="0" fontId="21" fillId="3" borderId="15" xfId="0" applyFont="1" applyFill="1" applyBorder="1" applyAlignment="1">
      <alignment horizontal="center" vertical="center" wrapText="1"/>
    </xf>
    <xf numFmtId="0" fontId="22" fillId="12" borderId="15" xfId="0" applyFont="1" applyFill="1" applyBorder="1" applyAlignment="1">
      <alignment horizontal="center" vertical="center" wrapText="1"/>
    </xf>
    <xf numFmtId="0" fontId="23" fillId="13" borderId="16" xfId="0" applyFont="1" applyFill="1" applyBorder="1" applyAlignment="1">
      <alignment horizontal="center" vertical="center" wrapText="1"/>
    </xf>
    <xf numFmtId="0" fontId="22" fillId="4" borderId="17" xfId="0" applyFont="1" applyFill="1" applyBorder="1" applyAlignment="1">
      <alignment horizontal="center"/>
    </xf>
    <xf numFmtId="0" fontId="21" fillId="0" borderId="0" xfId="0" applyFont="1" applyAlignment="1">
      <alignment horizontal="center" vertical="center" wrapText="1"/>
    </xf>
    <xf numFmtId="0" fontId="14" fillId="0" borderId="18" xfId="0" applyFont="1" applyBorder="1" applyAlignment="1">
      <alignment horizontal="center"/>
    </xf>
    <xf numFmtId="0" fontId="24" fillId="14" borderId="5" xfId="0" applyFont="1" applyFill="1" applyBorder="1" applyAlignment="1">
      <alignment horizontal="right"/>
    </xf>
    <xf numFmtId="0" fontId="24" fillId="14" borderId="19" xfId="0" applyFont="1" applyFill="1" applyBorder="1" applyAlignment="1">
      <alignment horizontal="right"/>
    </xf>
    <xf numFmtId="0" fontId="24" fillId="14" borderId="6" xfId="0" applyFont="1" applyFill="1" applyBorder="1" applyAlignment="1">
      <alignment horizontal="right"/>
    </xf>
    <xf numFmtId="0" fontId="24" fillId="13" borderId="6" xfId="0" applyFont="1" applyFill="1" applyBorder="1" applyAlignment="1">
      <alignment horizontal="right"/>
    </xf>
    <xf numFmtId="9" fontId="8" fillId="4" borderId="17" xfId="0" applyNumberFormat="1" applyFont="1" applyFill="1" applyBorder="1"/>
    <xf numFmtId="0" fontId="14" fillId="0" borderId="3" xfId="0" applyFont="1" applyBorder="1" applyAlignment="1">
      <alignment horizontal="center"/>
    </xf>
    <xf numFmtId="0" fontId="24" fillId="14" borderId="7" xfId="0" applyFont="1" applyFill="1" applyBorder="1" applyAlignment="1">
      <alignment horizontal="right"/>
    </xf>
    <xf numFmtId="0" fontId="24" fillId="14" borderId="14" xfId="0" applyFont="1" applyFill="1" applyBorder="1" applyAlignment="1">
      <alignment horizontal="right"/>
    </xf>
    <xf numFmtId="0" fontId="24" fillId="14" borderId="8" xfId="0" applyFont="1" applyFill="1" applyBorder="1" applyAlignment="1">
      <alignment horizontal="right"/>
    </xf>
    <xf numFmtId="0" fontId="24" fillId="13" borderId="8" xfId="0" applyFont="1" applyFill="1" applyBorder="1" applyAlignment="1">
      <alignment horizontal="right"/>
    </xf>
    <xf numFmtId="9" fontId="8" fillId="4" borderId="21" xfId="0" applyNumberFormat="1" applyFont="1" applyFill="1" applyBorder="1"/>
    <xf numFmtId="0" fontId="14" fillId="0" borderId="9" xfId="0" applyFont="1" applyBorder="1" applyAlignment="1">
      <alignment horizontal="center"/>
    </xf>
    <xf numFmtId="0" fontId="24" fillId="14" borderId="23" xfId="0" applyFont="1" applyFill="1" applyBorder="1" applyAlignment="1">
      <alignment horizontal="right"/>
    </xf>
    <xf numFmtId="0" fontId="24" fillId="14" borderId="24" xfId="0" applyFont="1" applyFill="1" applyBorder="1" applyAlignment="1">
      <alignment horizontal="right"/>
    </xf>
    <xf numFmtId="0" fontId="24" fillId="14" borderId="25" xfId="0" applyFont="1" applyFill="1" applyBorder="1" applyAlignment="1">
      <alignment horizontal="right"/>
    </xf>
    <xf numFmtId="0" fontId="24" fillId="13" borderId="25" xfId="0" applyFont="1" applyFill="1" applyBorder="1" applyAlignment="1">
      <alignment horizontal="right"/>
    </xf>
    <xf numFmtId="9" fontId="8" fillId="4" borderId="26" xfId="0" applyNumberFormat="1" applyFont="1" applyFill="1" applyBorder="1"/>
    <xf numFmtId="0" fontId="14" fillId="0" borderId="1" xfId="0" applyFont="1" applyBorder="1" applyAlignment="1">
      <alignment horizontal="center"/>
    </xf>
    <xf numFmtId="0" fontId="24" fillId="14" borderId="28" xfId="0" applyFont="1" applyFill="1" applyBorder="1" applyAlignment="1">
      <alignment horizontal="right"/>
    </xf>
    <xf numFmtId="0" fontId="24" fillId="14" borderId="29" xfId="0" applyFont="1" applyFill="1" applyBorder="1" applyAlignment="1">
      <alignment horizontal="right"/>
    </xf>
    <xf numFmtId="0" fontId="24" fillId="14" borderId="30" xfId="0" applyFont="1" applyFill="1" applyBorder="1" applyAlignment="1">
      <alignment horizontal="right"/>
    </xf>
    <xf numFmtId="0" fontId="24" fillId="13" borderId="30" xfId="0" applyFont="1" applyFill="1" applyBorder="1" applyAlignment="1">
      <alignment horizontal="right"/>
    </xf>
    <xf numFmtId="9" fontId="8" fillId="4" borderId="31" xfId="0" applyNumberFormat="1" applyFont="1" applyFill="1" applyBorder="1"/>
    <xf numFmtId="10" fontId="24" fillId="0" borderId="2" xfId="0" applyNumberFormat="1" applyFont="1" applyBorder="1" applyAlignment="1">
      <alignment horizontal="right" vertical="center"/>
    </xf>
    <xf numFmtId="0" fontId="14" fillId="0" borderId="0" xfId="0" applyFont="1" applyAlignment="1">
      <alignment horizontal="center" vertical="center" wrapText="1"/>
    </xf>
    <xf numFmtId="0" fontId="8" fillId="13" borderId="32" xfId="0" applyFont="1" applyFill="1" applyBorder="1" applyAlignment="1">
      <alignment vertical="center"/>
    </xf>
    <xf numFmtId="0" fontId="25" fillId="3" borderId="28" xfId="0" applyFont="1" applyFill="1" applyBorder="1" applyAlignment="1">
      <alignment vertical="center"/>
    </xf>
    <xf numFmtId="0" fontId="8" fillId="0" borderId="2" xfId="0" applyFont="1" applyBorder="1" applyAlignment="1">
      <alignment vertical="center"/>
    </xf>
    <xf numFmtId="0" fontId="8" fillId="0" borderId="0" xfId="0" applyFont="1" applyAlignment="1">
      <alignment vertical="center"/>
    </xf>
    <xf numFmtId="0" fontId="8" fillId="13" borderId="16" xfId="0" applyFont="1" applyFill="1" applyBorder="1" applyAlignment="1">
      <alignment vertical="center"/>
    </xf>
    <xf numFmtId="0" fontId="14" fillId="0" borderId="0" xfId="0" applyFont="1"/>
    <xf numFmtId="10" fontId="8" fillId="15" borderId="31" xfId="0" applyNumberFormat="1" applyFont="1" applyFill="1" applyBorder="1"/>
    <xf numFmtId="9" fontId="8" fillId="0" borderId="0" xfId="0" applyNumberFormat="1" applyFont="1"/>
    <xf numFmtId="0" fontId="24" fillId="14" borderId="33" xfId="0" applyFont="1" applyFill="1" applyBorder="1" applyAlignment="1">
      <alignment horizontal="right"/>
    </xf>
    <xf numFmtId="0" fontId="24" fillId="14" borderId="34" xfId="0" applyFont="1" applyFill="1" applyBorder="1" applyAlignment="1">
      <alignment horizontal="right"/>
    </xf>
    <xf numFmtId="0" fontId="24" fillId="14" borderId="35" xfId="0" applyFont="1" applyFill="1" applyBorder="1" applyAlignment="1">
      <alignment horizontal="right"/>
    </xf>
    <xf numFmtId="0" fontId="24" fillId="13" borderId="19" xfId="0" applyFont="1" applyFill="1" applyBorder="1" applyAlignment="1">
      <alignment horizontal="right"/>
    </xf>
    <xf numFmtId="10" fontId="24" fillId="0" borderId="0" xfId="0" applyNumberFormat="1" applyFont="1" applyAlignment="1">
      <alignment horizontal="center" vertical="center"/>
    </xf>
    <xf numFmtId="0" fontId="24" fillId="14" borderId="36" xfId="0" applyFont="1" applyFill="1" applyBorder="1" applyAlignment="1">
      <alignment horizontal="right"/>
    </xf>
    <xf numFmtId="0" fontId="24" fillId="14" borderId="37" xfId="0" applyFont="1" applyFill="1" applyBorder="1" applyAlignment="1">
      <alignment horizontal="right"/>
    </xf>
    <xf numFmtId="0" fontId="24" fillId="13" borderId="14" xfId="0" applyFont="1" applyFill="1" applyBorder="1" applyAlignment="1">
      <alignment horizontal="right"/>
    </xf>
    <xf numFmtId="0" fontId="24" fillId="14" borderId="38" xfId="0" applyFont="1" applyFill="1" applyBorder="1" applyAlignment="1">
      <alignment horizontal="right"/>
    </xf>
    <xf numFmtId="0" fontId="24" fillId="14" borderId="39" xfId="0" applyFont="1" applyFill="1" applyBorder="1" applyAlignment="1">
      <alignment horizontal="right"/>
    </xf>
    <xf numFmtId="0" fontId="24" fillId="14" borderId="40" xfId="0" applyFont="1" applyFill="1" applyBorder="1" applyAlignment="1">
      <alignment horizontal="right"/>
    </xf>
    <xf numFmtId="0" fontId="24" fillId="13" borderId="24" xfId="0" applyFont="1" applyFill="1" applyBorder="1" applyAlignment="1">
      <alignment horizontal="right"/>
    </xf>
    <xf numFmtId="0" fontId="24" fillId="14" borderId="41" xfId="0" applyFont="1" applyFill="1" applyBorder="1" applyAlignment="1">
      <alignment horizontal="right"/>
    </xf>
    <xf numFmtId="0" fontId="24" fillId="14" borderId="42" xfId="0" applyFont="1" applyFill="1" applyBorder="1" applyAlignment="1">
      <alignment horizontal="right"/>
    </xf>
    <xf numFmtId="10" fontId="24" fillId="0" borderId="31" xfId="0" applyNumberFormat="1" applyFont="1" applyBorder="1" applyAlignment="1">
      <alignment vertical="center"/>
    </xf>
    <xf numFmtId="0" fontId="9" fillId="0" borderId="0" xfId="0" applyFont="1"/>
    <xf numFmtId="0" fontId="21" fillId="3" borderId="14" xfId="0" applyFont="1" applyFill="1" applyBorder="1"/>
    <xf numFmtId="0" fontId="8" fillId="0" borderId="0" xfId="0" applyFont="1" applyAlignment="1">
      <alignment horizontal="left"/>
    </xf>
    <xf numFmtId="0" fontId="8" fillId="0" borderId="43" xfId="0" applyFont="1" applyBorder="1"/>
    <xf numFmtId="0" fontId="26" fillId="0" borderId="0" xfId="0" applyFont="1" applyAlignment="1">
      <alignment horizontal="left"/>
    </xf>
    <xf numFmtId="0" fontId="27" fillId="0" borderId="0" xfId="0" applyFont="1" applyAlignment="1">
      <alignment horizontal="right"/>
    </xf>
    <xf numFmtId="166" fontId="8" fillId="0" borderId="0" xfId="0" applyNumberFormat="1" applyFont="1"/>
    <xf numFmtId="0" fontId="28" fillId="0" borderId="0" xfId="0" applyFont="1"/>
    <xf numFmtId="0" fontId="30" fillId="0" borderId="0" xfId="0" applyFont="1"/>
    <xf numFmtId="167" fontId="10" fillId="0" borderId="0" xfId="0" applyNumberFormat="1" applyFont="1"/>
    <xf numFmtId="0" fontId="10" fillId="0" borderId="0" xfId="0" applyFont="1" applyAlignment="1">
      <alignment horizontal="left"/>
    </xf>
    <xf numFmtId="0" fontId="8" fillId="0" borderId="0" xfId="0" applyFont="1" applyAlignment="1">
      <alignment horizontal="right"/>
    </xf>
    <xf numFmtId="0" fontId="23" fillId="17" borderId="31" xfId="0" applyFont="1" applyFill="1" applyBorder="1"/>
    <xf numFmtId="0" fontId="23" fillId="18" borderId="31" xfId="0" applyFont="1" applyFill="1" applyBorder="1"/>
    <xf numFmtId="0" fontId="23" fillId="19" borderId="31" xfId="0" applyFont="1" applyFill="1" applyBorder="1"/>
    <xf numFmtId="0" fontId="22" fillId="0" borderId="0" xfId="0" applyFont="1"/>
    <xf numFmtId="0" fontId="22" fillId="0" borderId="0" xfId="0" applyFont="1" applyAlignment="1">
      <alignment horizontal="center"/>
    </xf>
    <xf numFmtId="0" fontId="31" fillId="0" borderId="0" xfId="0" applyFont="1"/>
    <xf numFmtId="0" fontId="21" fillId="3" borderId="34" xfId="0" applyFont="1" applyFill="1" applyBorder="1" applyAlignment="1">
      <alignment horizontal="center" vertical="center" wrapText="1"/>
    </xf>
    <xf numFmtId="0" fontId="21" fillId="3" borderId="58" xfId="0" applyFont="1" applyFill="1" applyBorder="1" applyAlignment="1">
      <alignment horizontal="center" vertical="center" wrapText="1"/>
    </xf>
    <xf numFmtId="0" fontId="21" fillId="3" borderId="59" xfId="0" applyFont="1" applyFill="1" applyBorder="1" applyAlignment="1">
      <alignment horizontal="center" vertical="center" wrapText="1"/>
    </xf>
    <xf numFmtId="49" fontId="21" fillId="5" borderId="59" xfId="0" applyNumberFormat="1" applyFont="1" applyFill="1" applyBorder="1" applyAlignment="1">
      <alignment horizontal="center" vertical="center" wrapText="1"/>
    </xf>
    <xf numFmtId="49" fontId="21" fillId="6" borderId="59" xfId="0" applyNumberFormat="1" applyFont="1" applyFill="1" applyBorder="1" applyAlignment="1">
      <alignment horizontal="center" vertical="center" wrapText="1"/>
    </xf>
    <xf numFmtId="49" fontId="22" fillId="7" borderId="59" xfId="0" applyNumberFormat="1" applyFont="1" applyFill="1" applyBorder="1" applyAlignment="1">
      <alignment horizontal="center" vertical="center" wrapText="1"/>
    </xf>
    <xf numFmtId="49" fontId="21" fillId="8" borderId="59" xfId="0" applyNumberFormat="1" applyFont="1" applyFill="1" applyBorder="1" applyAlignment="1">
      <alignment horizontal="center" vertical="center" wrapText="1"/>
    </xf>
    <xf numFmtId="49" fontId="21" fillId="9" borderId="59" xfId="0" applyNumberFormat="1" applyFont="1" applyFill="1" applyBorder="1" applyAlignment="1">
      <alignment horizontal="center" vertical="center" wrapText="1"/>
    </xf>
    <xf numFmtId="49" fontId="21" fillId="10" borderId="59" xfId="0" applyNumberFormat="1" applyFont="1" applyFill="1" applyBorder="1" applyAlignment="1">
      <alignment horizontal="center" vertical="center" wrapText="1"/>
    </xf>
    <xf numFmtId="49" fontId="21" fillId="11" borderId="59" xfId="0" applyNumberFormat="1" applyFont="1" applyFill="1" applyBorder="1" applyAlignment="1">
      <alignment horizontal="center" vertical="center" wrapText="1"/>
    </xf>
    <xf numFmtId="49" fontId="21" fillId="3" borderId="59" xfId="0" applyNumberFormat="1" applyFont="1" applyFill="1" applyBorder="1" applyAlignment="1">
      <alignment horizontal="center" vertical="center" wrapText="1"/>
    </xf>
    <xf numFmtId="49" fontId="22" fillId="12" borderId="59" xfId="0" applyNumberFormat="1" applyFont="1" applyFill="1" applyBorder="1" applyAlignment="1">
      <alignment horizontal="center" vertical="center" wrapText="1"/>
    </xf>
    <xf numFmtId="0" fontId="21" fillId="3" borderId="60" xfId="0" applyFont="1" applyFill="1" applyBorder="1" applyAlignment="1">
      <alignment horizontal="center" vertical="center" wrapText="1"/>
    </xf>
    <xf numFmtId="2" fontId="21" fillId="3" borderId="34" xfId="0" applyNumberFormat="1" applyFont="1" applyFill="1" applyBorder="1" applyAlignment="1">
      <alignment horizontal="center" vertical="center" wrapText="1"/>
    </xf>
    <xf numFmtId="0" fontId="21" fillId="3" borderId="35" xfId="0" applyFont="1" applyFill="1" applyBorder="1" applyAlignment="1">
      <alignment horizontal="center" vertical="center" wrapText="1"/>
    </xf>
    <xf numFmtId="0" fontId="32" fillId="2" borderId="58" xfId="0" applyFont="1" applyFill="1" applyBorder="1"/>
    <xf numFmtId="0" fontId="33" fillId="2" borderId="33" xfId="0" applyFont="1" applyFill="1" applyBorder="1"/>
    <xf numFmtId="0" fontId="34" fillId="2" borderId="33" xfId="0" applyFont="1" applyFill="1" applyBorder="1"/>
    <xf numFmtId="0" fontId="32" fillId="2" borderId="33" xfId="0" applyFont="1" applyFill="1" applyBorder="1"/>
    <xf numFmtId="0" fontId="32" fillId="2" borderId="15" xfId="0" applyFont="1" applyFill="1" applyBorder="1"/>
    <xf numFmtId="0" fontId="32" fillId="2" borderId="35" xfId="0" applyFont="1" applyFill="1" applyBorder="1"/>
    <xf numFmtId="168" fontId="6" fillId="2" borderId="15" xfId="0" applyNumberFormat="1" applyFont="1" applyFill="1" applyBorder="1" applyAlignment="1">
      <alignment horizontal="center"/>
    </xf>
    <xf numFmtId="0" fontId="32" fillId="2" borderId="14" xfId="0" applyFont="1" applyFill="1" applyBorder="1"/>
    <xf numFmtId="0" fontId="32" fillId="2" borderId="37" xfId="0" applyFont="1" applyFill="1" applyBorder="1"/>
    <xf numFmtId="0" fontId="35" fillId="12" borderId="61" xfId="0" applyFont="1" applyFill="1" applyBorder="1" applyAlignment="1">
      <alignment horizontal="left"/>
    </xf>
    <xf numFmtId="0" fontId="6" fillId="12" borderId="62" xfId="0" applyFont="1" applyFill="1" applyBorder="1"/>
    <xf numFmtId="0" fontId="6" fillId="12" borderId="62" xfId="0" applyFont="1" applyFill="1" applyBorder="1" applyAlignment="1">
      <alignment horizontal="center"/>
    </xf>
    <xf numFmtId="168" fontId="6" fillId="0" borderId="62" xfId="0" applyNumberFormat="1" applyFont="1" applyBorder="1" applyAlignment="1">
      <alignment horizontal="center"/>
    </xf>
    <xf numFmtId="1" fontId="10" fillId="0" borderId="62" xfId="0" applyNumberFormat="1" applyFont="1" applyBorder="1" applyAlignment="1">
      <alignment horizontal="center"/>
    </xf>
    <xf numFmtId="169" fontId="36" fillId="5" borderId="62" xfId="0" applyNumberFormat="1" applyFont="1" applyFill="1" applyBorder="1" applyAlignment="1">
      <alignment horizontal="center"/>
    </xf>
    <xf numFmtId="169" fontId="36" fillId="6" borderId="62" xfId="0" applyNumberFormat="1" applyFont="1" applyFill="1" applyBorder="1" applyAlignment="1">
      <alignment horizontal="center"/>
    </xf>
    <xf numFmtId="169" fontId="10" fillId="7" borderId="62" xfId="0" applyNumberFormat="1" applyFont="1" applyFill="1" applyBorder="1" applyAlignment="1">
      <alignment horizontal="center"/>
    </xf>
    <xf numFmtId="169" fontId="36" fillId="8" borderId="62" xfId="0" applyNumberFormat="1" applyFont="1" applyFill="1" applyBorder="1" applyAlignment="1">
      <alignment horizontal="center"/>
    </xf>
    <xf numFmtId="169" fontId="36" fillId="9" borderId="62" xfId="0" applyNumberFormat="1" applyFont="1" applyFill="1" applyBorder="1" applyAlignment="1">
      <alignment horizontal="center"/>
    </xf>
    <xf numFmtId="169" fontId="36" fillId="10" borderId="62" xfId="0" applyNumberFormat="1" applyFont="1" applyFill="1" applyBorder="1" applyAlignment="1">
      <alignment horizontal="center"/>
    </xf>
    <xf numFmtId="169" fontId="36" fillId="11" borderId="62" xfId="0" applyNumberFormat="1" applyFont="1" applyFill="1" applyBorder="1" applyAlignment="1">
      <alignment horizontal="center"/>
    </xf>
    <xf numFmtId="169" fontId="36" fillId="3" borderId="62" xfId="0" applyNumberFormat="1" applyFont="1" applyFill="1" applyBorder="1" applyAlignment="1">
      <alignment horizontal="center"/>
    </xf>
    <xf numFmtId="169" fontId="10" fillId="0" borderId="62" xfId="0" applyNumberFormat="1" applyFont="1" applyBorder="1" applyAlignment="1">
      <alignment horizontal="center"/>
    </xf>
    <xf numFmtId="170" fontId="10" fillId="0" borderId="62" xfId="0" applyNumberFormat="1" applyFont="1" applyBorder="1"/>
    <xf numFmtId="2" fontId="10" fillId="0" borderId="62" xfId="0" applyNumberFormat="1" applyFont="1" applyBorder="1" applyAlignment="1">
      <alignment horizontal="center"/>
    </xf>
    <xf numFmtId="2" fontId="37" fillId="0" borderId="63" xfId="0" applyNumberFormat="1" applyFont="1" applyBorder="1" applyAlignment="1">
      <alignment horizontal="center"/>
    </xf>
    <xf numFmtId="0" fontId="38" fillId="12" borderId="64" xfId="0" applyFont="1" applyFill="1" applyBorder="1" applyAlignment="1">
      <alignment horizontal="left"/>
    </xf>
    <xf numFmtId="0" fontId="6" fillId="12" borderId="59" xfId="0" applyFont="1" applyFill="1" applyBorder="1"/>
    <xf numFmtId="0" fontId="6" fillId="12" borderId="59" xfId="0" applyFont="1" applyFill="1" applyBorder="1" applyAlignment="1">
      <alignment horizontal="center"/>
    </xf>
    <xf numFmtId="168" fontId="6" fillId="0" borderId="59" xfId="0" applyNumberFormat="1" applyFont="1" applyBorder="1" applyAlignment="1">
      <alignment horizontal="center"/>
    </xf>
    <xf numFmtId="1" fontId="10" fillId="0" borderId="59" xfId="0" applyNumberFormat="1" applyFont="1" applyBorder="1" applyAlignment="1">
      <alignment horizontal="center"/>
    </xf>
    <xf numFmtId="169" fontId="36" fillId="6" borderId="59" xfId="0" applyNumberFormat="1" applyFont="1" applyFill="1" applyBorder="1" applyAlignment="1">
      <alignment horizontal="center"/>
    </xf>
    <xf numFmtId="169" fontId="10" fillId="7" borderId="59" xfId="0" applyNumberFormat="1" applyFont="1" applyFill="1" applyBorder="1" applyAlignment="1">
      <alignment horizontal="center"/>
    </xf>
    <xf numFmtId="169" fontId="36" fillId="8" borderId="59" xfId="0" applyNumberFormat="1" applyFont="1" applyFill="1" applyBorder="1" applyAlignment="1">
      <alignment horizontal="center"/>
    </xf>
    <xf numFmtId="169" fontId="36" fillId="9" borderId="59" xfId="0" applyNumberFormat="1" applyFont="1" applyFill="1" applyBorder="1" applyAlignment="1">
      <alignment horizontal="center"/>
    </xf>
    <xf numFmtId="169" fontId="36" fillId="10" borderId="59" xfId="0" applyNumberFormat="1" applyFont="1" applyFill="1" applyBorder="1" applyAlignment="1">
      <alignment horizontal="center"/>
    </xf>
    <xf numFmtId="169" fontId="36" fillId="11" borderId="59" xfId="0" applyNumberFormat="1" applyFont="1" applyFill="1" applyBorder="1" applyAlignment="1">
      <alignment horizontal="center"/>
    </xf>
    <xf numFmtId="169" fontId="36" fillId="3" borderId="59" xfId="0" applyNumberFormat="1" applyFont="1" applyFill="1" applyBorder="1" applyAlignment="1">
      <alignment horizontal="center"/>
    </xf>
    <xf numFmtId="169" fontId="10" fillId="0" borderId="59" xfId="0" applyNumberFormat="1" applyFont="1" applyBorder="1" applyAlignment="1">
      <alignment horizontal="center"/>
    </xf>
    <xf numFmtId="170" fontId="10" fillId="0" borderId="59" xfId="0" applyNumberFormat="1" applyFont="1" applyBorder="1"/>
    <xf numFmtId="2" fontId="10" fillId="0" borderId="59" xfId="0" applyNumberFormat="1" applyFont="1" applyBorder="1" applyAlignment="1">
      <alignment horizontal="center"/>
    </xf>
    <xf numFmtId="2" fontId="37" fillId="0" borderId="65" xfId="0" applyNumberFormat="1" applyFont="1" applyBorder="1" applyAlignment="1">
      <alignment horizontal="center"/>
    </xf>
    <xf numFmtId="168" fontId="39" fillId="0" borderId="0" xfId="0" applyNumberFormat="1" applyFont="1"/>
    <xf numFmtId="0" fontId="13" fillId="0" borderId="0" xfId="0" applyFont="1"/>
    <xf numFmtId="0" fontId="40" fillId="19" borderId="64" xfId="0" applyFont="1" applyFill="1" applyBorder="1" applyAlignment="1">
      <alignment horizontal="left"/>
    </xf>
    <xf numFmtId="0" fontId="6" fillId="19" borderId="59" xfId="0" applyFont="1" applyFill="1" applyBorder="1"/>
    <xf numFmtId="0" fontId="6" fillId="19" borderId="59" xfId="0" applyFont="1" applyFill="1" applyBorder="1" applyAlignment="1">
      <alignment horizontal="center"/>
    </xf>
    <xf numFmtId="0" fontId="6" fillId="12" borderId="64" xfId="0" applyFont="1" applyFill="1" applyBorder="1" applyAlignment="1">
      <alignment horizontal="left"/>
    </xf>
    <xf numFmtId="1" fontId="10" fillId="12" borderId="59" xfId="0" applyNumberFormat="1" applyFont="1" applyFill="1" applyBorder="1" applyAlignment="1">
      <alignment horizontal="center"/>
    </xf>
    <xf numFmtId="169" fontId="36" fillId="12" borderId="59" xfId="0" applyNumberFormat="1" applyFont="1" applyFill="1" applyBorder="1" applyAlignment="1">
      <alignment horizontal="center"/>
    </xf>
    <xf numFmtId="169" fontId="10" fillId="12" borderId="59" xfId="0" applyNumberFormat="1" applyFont="1" applyFill="1" applyBorder="1" applyAlignment="1">
      <alignment horizontal="center"/>
    </xf>
    <xf numFmtId="170" fontId="10" fillId="12" borderId="59" xfId="0" applyNumberFormat="1" applyFont="1" applyFill="1" applyBorder="1"/>
    <xf numFmtId="2" fontId="10" fillId="12" borderId="59" xfId="0" applyNumberFormat="1" applyFont="1" applyFill="1" applyBorder="1" applyAlignment="1">
      <alignment horizontal="center"/>
    </xf>
    <xf numFmtId="2" fontId="37" fillId="12" borderId="65" xfId="0" applyNumberFormat="1" applyFont="1" applyFill="1" applyBorder="1" applyAlignment="1">
      <alignment horizontal="center"/>
    </xf>
    <xf numFmtId="0" fontId="41" fillId="0" borderId="64" xfId="0" applyFont="1" applyBorder="1" applyAlignment="1">
      <alignment horizontal="left"/>
    </xf>
    <xf numFmtId="0" fontId="6" fillId="0" borderId="59" xfId="0" applyFont="1" applyBorder="1"/>
    <xf numFmtId="0" fontId="6" fillId="0" borderId="59" xfId="0" applyFont="1" applyBorder="1" applyAlignment="1">
      <alignment horizontal="center"/>
    </xf>
    <xf numFmtId="0" fontId="42" fillId="20" borderId="64" xfId="0" applyFont="1" applyFill="1" applyBorder="1" applyAlignment="1">
      <alignment horizontal="left"/>
    </xf>
    <xf numFmtId="0" fontId="6" fillId="20" borderId="59" xfId="0" applyFont="1" applyFill="1" applyBorder="1"/>
    <xf numFmtId="0" fontId="6" fillId="20" borderId="59" xfId="0" applyFont="1" applyFill="1" applyBorder="1" applyAlignment="1">
      <alignment horizontal="center"/>
    </xf>
    <xf numFmtId="1" fontId="10" fillId="20" borderId="59" xfId="0" applyNumberFormat="1" applyFont="1" applyFill="1" applyBorder="1" applyAlignment="1">
      <alignment horizontal="center"/>
    </xf>
    <xf numFmtId="169" fontId="36" fillId="20" borderId="59" xfId="0" applyNumberFormat="1" applyFont="1" applyFill="1" applyBorder="1" applyAlignment="1">
      <alignment horizontal="center"/>
    </xf>
    <xf numFmtId="169" fontId="10" fillId="20" borderId="59" xfId="0" applyNumberFormat="1" applyFont="1" applyFill="1" applyBorder="1" applyAlignment="1">
      <alignment horizontal="center"/>
    </xf>
    <xf numFmtId="2" fontId="10" fillId="20" borderId="59" xfId="0" applyNumberFormat="1" applyFont="1" applyFill="1" applyBorder="1" applyAlignment="1">
      <alignment horizontal="center"/>
    </xf>
    <xf numFmtId="2" fontId="37" fillId="20" borderId="65" xfId="0" applyNumberFormat="1" applyFont="1" applyFill="1" applyBorder="1" applyAlignment="1">
      <alignment horizontal="center"/>
    </xf>
    <xf numFmtId="0" fontId="6" fillId="0" borderId="64" xfId="0" applyFont="1" applyBorder="1" applyAlignment="1">
      <alignment horizontal="left"/>
    </xf>
    <xf numFmtId="0" fontId="43" fillId="0" borderId="3" xfId="0" applyFont="1" applyBorder="1" applyAlignment="1">
      <alignment horizontal="left"/>
    </xf>
    <xf numFmtId="0" fontId="44" fillId="2" borderId="64" xfId="0" applyFont="1" applyFill="1" applyBorder="1" applyAlignment="1">
      <alignment horizontal="left"/>
    </xf>
    <xf numFmtId="0" fontId="45" fillId="2" borderId="59" xfId="0" applyFont="1" applyFill="1" applyBorder="1"/>
    <xf numFmtId="0" fontId="32" fillId="2" borderId="59" xfId="0" applyFont="1" applyFill="1" applyBorder="1"/>
    <xf numFmtId="0" fontId="32" fillId="2" borderId="65" xfId="0" applyFont="1" applyFill="1" applyBorder="1"/>
    <xf numFmtId="0" fontId="39" fillId="0" borderId="0" xfId="0" applyFont="1"/>
    <xf numFmtId="171" fontId="32" fillId="2" borderId="59" xfId="0" applyNumberFormat="1" applyFont="1" applyFill="1" applyBorder="1"/>
    <xf numFmtId="169" fontId="36" fillId="5" borderId="59" xfId="0" applyNumberFormat="1" applyFont="1" applyFill="1" applyBorder="1" applyAlignment="1">
      <alignment horizontal="center"/>
    </xf>
    <xf numFmtId="171" fontId="39" fillId="0" borderId="0" xfId="0" applyNumberFormat="1" applyFont="1"/>
    <xf numFmtId="0" fontId="32" fillId="2" borderId="36" xfId="0" applyFont="1" applyFill="1" applyBorder="1"/>
    <xf numFmtId="0" fontId="6" fillId="20" borderId="64" xfId="0" applyFont="1" applyFill="1" applyBorder="1" applyAlignment="1">
      <alignment horizontal="left"/>
    </xf>
    <xf numFmtId="0" fontId="46" fillId="20" borderId="64" xfId="0" applyFont="1" applyFill="1" applyBorder="1" applyAlignment="1">
      <alignment horizontal="left"/>
    </xf>
    <xf numFmtId="0" fontId="16" fillId="2" borderId="14" xfId="0" applyFont="1" applyFill="1" applyBorder="1"/>
    <xf numFmtId="0" fontId="32" fillId="2" borderId="66" xfId="0" applyFont="1" applyFill="1" applyBorder="1"/>
    <xf numFmtId="0" fontId="47" fillId="19" borderId="64" xfId="0" applyFont="1" applyFill="1" applyBorder="1" applyAlignment="1">
      <alignment horizontal="left"/>
    </xf>
    <xf numFmtId="0" fontId="32" fillId="2" borderId="67" xfId="0" applyFont="1" applyFill="1" applyBorder="1"/>
    <xf numFmtId="0" fontId="48" fillId="2" borderId="68" xfId="0" applyFont="1" applyFill="1" applyBorder="1" applyAlignment="1">
      <alignment horizontal="left"/>
    </xf>
    <xf numFmtId="0" fontId="49" fillId="2" borderId="15" xfId="0" applyFont="1" applyFill="1" applyBorder="1"/>
    <xf numFmtId="0" fontId="50" fillId="0" borderId="61" xfId="0" applyFont="1" applyBorder="1" applyAlignment="1">
      <alignment horizontal="left"/>
    </xf>
    <xf numFmtId="0" fontId="6" fillId="0" borderId="62" xfId="0" applyFont="1" applyBorder="1"/>
    <xf numFmtId="0" fontId="6" fillId="0" borderId="62" xfId="0" applyFont="1" applyBorder="1" applyAlignment="1">
      <alignment horizontal="center"/>
    </xf>
    <xf numFmtId="0" fontId="51" fillId="0" borderId="69" xfId="0" applyFont="1" applyBorder="1" applyAlignment="1">
      <alignment horizontal="left"/>
    </xf>
    <xf numFmtId="0" fontId="6" fillId="0" borderId="70" xfId="0" applyFont="1" applyBorder="1"/>
    <xf numFmtId="0" fontId="6" fillId="0" borderId="70" xfId="0" applyFont="1" applyBorder="1" applyAlignment="1">
      <alignment horizontal="center"/>
    </xf>
    <xf numFmtId="1" fontId="10" fillId="0" borderId="70" xfId="0" applyNumberFormat="1" applyFont="1" applyBorder="1" applyAlignment="1">
      <alignment horizontal="center"/>
    </xf>
    <xf numFmtId="169" fontId="36" fillId="5" borderId="70" xfId="0" applyNumberFormat="1" applyFont="1" applyFill="1" applyBorder="1" applyAlignment="1">
      <alignment horizontal="center"/>
    </xf>
    <xf numFmtId="169" fontId="36" fillId="6" borderId="70" xfId="0" applyNumberFormat="1" applyFont="1" applyFill="1" applyBorder="1" applyAlignment="1">
      <alignment horizontal="center"/>
    </xf>
    <xf numFmtId="169" fontId="10" fillId="7" borderId="70" xfId="0" applyNumberFormat="1" applyFont="1" applyFill="1" applyBorder="1" applyAlignment="1">
      <alignment horizontal="center"/>
    </xf>
    <xf numFmtId="169" fontId="36" fillId="8" borderId="70" xfId="0" applyNumberFormat="1" applyFont="1" applyFill="1" applyBorder="1" applyAlignment="1">
      <alignment horizontal="center"/>
    </xf>
    <xf numFmtId="169" fontId="36" fillId="9" borderId="70" xfId="0" applyNumberFormat="1" applyFont="1" applyFill="1" applyBorder="1" applyAlignment="1">
      <alignment horizontal="center"/>
    </xf>
    <xf numFmtId="169" fontId="36" fillId="10" borderId="70" xfId="0" applyNumberFormat="1" applyFont="1" applyFill="1" applyBorder="1" applyAlignment="1">
      <alignment horizontal="center"/>
    </xf>
    <xf numFmtId="169" fontId="36" fillId="11" borderId="70" xfId="0" applyNumberFormat="1" applyFont="1" applyFill="1" applyBorder="1" applyAlignment="1">
      <alignment horizontal="center"/>
    </xf>
    <xf numFmtId="169" fontId="36" fillId="3" borderId="70" xfId="0" applyNumberFormat="1" applyFont="1" applyFill="1" applyBorder="1" applyAlignment="1">
      <alignment horizontal="center"/>
    </xf>
    <xf numFmtId="169" fontId="10" fillId="0" borderId="70" xfId="0" applyNumberFormat="1" applyFont="1" applyBorder="1" applyAlignment="1">
      <alignment horizontal="center"/>
    </xf>
    <xf numFmtId="170" fontId="10" fillId="0" borderId="70" xfId="0" applyNumberFormat="1" applyFont="1" applyBorder="1"/>
    <xf numFmtId="2" fontId="10" fillId="0" borderId="70" xfId="0" applyNumberFormat="1" applyFont="1" applyBorder="1" applyAlignment="1">
      <alignment horizontal="center"/>
    </xf>
    <xf numFmtId="2" fontId="37" fillId="0" borderId="71" xfId="0" applyNumberFormat="1" applyFont="1" applyBorder="1" applyAlignment="1">
      <alignment horizontal="center"/>
    </xf>
    <xf numFmtId="0" fontId="52" fillId="2" borderId="72" xfId="0" applyFont="1" applyFill="1" applyBorder="1" applyAlignment="1">
      <alignment horizontal="left"/>
    </xf>
    <xf numFmtId="0" fontId="53" fillId="2" borderId="73" xfId="0" applyFont="1" applyFill="1" applyBorder="1"/>
    <xf numFmtId="0" fontId="32" fillId="2" borderId="73" xfId="0" applyFont="1" applyFill="1" applyBorder="1"/>
    <xf numFmtId="0" fontId="32" fillId="2" borderId="74" xfId="0" applyFont="1" applyFill="1" applyBorder="1"/>
    <xf numFmtId="0" fontId="2" fillId="19" borderId="64" xfId="0" applyFont="1" applyFill="1" applyBorder="1" applyAlignment="1">
      <alignment horizontal="left"/>
    </xf>
    <xf numFmtId="0" fontId="54" fillId="19" borderId="64" xfId="0" applyFont="1" applyFill="1" applyBorder="1" applyAlignment="1">
      <alignment horizontal="left"/>
    </xf>
    <xf numFmtId="168" fontId="2" fillId="0" borderId="0" xfId="0" applyNumberFormat="1" applyFont="1"/>
    <xf numFmtId="168" fontId="6" fillId="2" borderId="59" xfId="0" applyNumberFormat="1" applyFont="1" applyFill="1" applyBorder="1" applyAlignment="1">
      <alignment horizontal="center"/>
    </xf>
    <xf numFmtId="0" fontId="16" fillId="0" borderId="0" xfId="0" applyFont="1"/>
    <xf numFmtId="0" fontId="10" fillId="0" borderId="46" xfId="0" applyFont="1" applyBorder="1"/>
    <xf numFmtId="0" fontId="10" fillId="0" borderId="46" xfId="0" applyFont="1" applyBorder="1" applyAlignment="1">
      <alignment horizontal="center"/>
    </xf>
    <xf numFmtId="0" fontId="10" fillId="0" borderId="75" xfId="0" applyFont="1" applyBorder="1" applyAlignment="1">
      <alignment horizontal="center"/>
    </xf>
    <xf numFmtId="168" fontId="22" fillId="0" borderId="75" xfId="0" applyNumberFormat="1" applyFont="1" applyBorder="1" applyAlignment="1">
      <alignment horizontal="center"/>
    </xf>
    <xf numFmtId="1" fontId="22" fillId="0" borderId="46" xfId="0" applyNumberFormat="1" applyFont="1" applyBorder="1" applyAlignment="1">
      <alignment horizontal="center"/>
    </xf>
    <xf numFmtId="168" fontId="36" fillId="0" borderId="46" xfId="0" applyNumberFormat="1" applyFont="1" applyBorder="1" applyAlignment="1">
      <alignment horizontal="center"/>
    </xf>
    <xf numFmtId="168" fontId="10" fillId="0" borderId="46" xfId="0" applyNumberFormat="1" applyFont="1" applyBorder="1" applyAlignment="1">
      <alignment horizontal="center"/>
    </xf>
    <xf numFmtId="1" fontId="10" fillId="0" borderId="46" xfId="0" applyNumberFormat="1" applyFont="1" applyBorder="1" applyAlignment="1">
      <alignment horizontal="center"/>
    </xf>
    <xf numFmtId="1" fontId="10" fillId="0" borderId="76" xfId="0" applyNumberFormat="1" applyFont="1" applyBorder="1" applyAlignment="1">
      <alignment horizontal="center"/>
    </xf>
    <xf numFmtId="170" fontId="10" fillId="0" borderId="77" xfId="0" applyNumberFormat="1" applyFont="1" applyBorder="1"/>
    <xf numFmtId="2" fontId="22" fillId="16" borderId="78" xfId="0" applyNumberFormat="1" applyFont="1" applyFill="1" applyBorder="1" applyAlignment="1">
      <alignment horizontal="center" vertical="center" wrapText="1"/>
    </xf>
    <xf numFmtId="2" fontId="29" fillId="16" borderId="73" xfId="0" applyNumberFormat="1" applyFont="1" applyFill="1" applyBorder="1" applyAlignment="1">
      <alignment horizontal="center" vertical="center" wrapText="1"/>
    </xf>
    <xf numFmtId="172" fontId="21" fillId="3" borderId="14" xfId="0" applyNumberFormat="1" applyFont="1" applyFill="1" applyBorder="1" applyAlignment="1">
      <alignment horizontal="center"/>
    </xf>
    <xf numFmtId="1" fontId="36" fillId="3" borderId="14" xfId="0" applyNumberFormat="1" applyFont="1" applyFill="1" applyBorder="1" applyAlignment="1">
      <alignment horizontal="center"/>
    </xf>
    <xf numFmtId="168" fontId="36" fillId="3" borderId="14" xfId="0" applyNumberFormat="1" applyFont="1" applyFill="1" applyBorder="1" applyAlignment="1">
      <alignment horizontal="center"/>
    </xf>
    <xf numFmtId="169" fontId="36" fillId="3" borderId="14" xfId="0" applyNumberFormat="1" applyFont="1" applyFill="1" applyBorder="1" applyAlignment="1">
      <alignment horizontal="center"/>
    </xf>
    <xf numFmtId="170" fontId="10" fillId="3" borderId="14" xfId="0" applyNumberFormat="1" applyFont="1" applyFill="1" applyBorder="1"/>
    <xf numFmtId="0" fontId="8" fillId="0" borderId="46" xfId="0" applyFont="1" applyBorder="1"/>
    <xf numFmtId="2" fontId="8" fillId="0" borderId="79" xfId="0" applyNumberFormat="1" applyFont="1" applyBorder="1"/>
    <xf numFmtId="1" fontId="22" fillId="12" borderId="29" xfId="0" applyNumberFormat="1" applyFont="1" applyFill="1" applyBorder="1" applyAlignment="1">
      <alignment horizontal="center"/>
    </xf>
    <xf numFmtId="170" fontId="22" fillId="12" borderId="30" xfId="0" applyNumberFormat="1" applyFont="1" applyFill="1" applyBorder="1"/>
    <xf numFmtId="0" fontId="21" fillId="3" borderId="14" xfId="0" applyFont="1" applyFill="1" applyBorder="1" applyAlignment="1">
      <alignment horizontal="center" vertical="center" wrapText="1"/>
    </xf>
    <xf numFmtId="170" fontId="21" fillId="3" borderId="14" xfId="0" applyNumberFormat="1" applyFont="1" applyFill="1" applyBorder="1" applyAlignment="1">
      <alignment horizontal="center" vertical="center" wrapText="1"/>
    </xf>
    <xf numFmtId="169" fontId="2" fillId="0" borderId="0" xfId="0" applyNumberFormat="1" applyFont="1"/>
    <xf numFmtId="171" fontId="2" fillId="0" borderId="0" xfId="0" applyNumberFormat="1" applyFont="1"/>
    <xf numFmtId="9" fontId="21" fillId="3" borderId="14" xfId="0" applyNumberFormat="1" applyFont="1" applyFill="1" applyBorder="1" applyAlignment="1">
      <alignment horizontal="center" vertical="center" wrapText="1"/>
    </xf>
    <xf numFmtId="164" fontId="21" fillId="3" borderId="14" xfId="0" applyNumberFormat="1" applyFont="1" applyFill="1" applyBorder="1" applyAlignment="1">
      <alignment horizontal="center" vertical="center" wrapText="1"/>
    </xf>
    <xf numFmtId="0" fontId="10" fillId="3" borderId="14" xfId="0" applyFont="1" applyFill="1" applyBorder="1"/>
    <xf numFmtId="0" fontId="22" fillId="3" borderId="14" xfId="0" applyFont="1" applyFill="1" applyBorder="1" applyAlignment="1">
      <alignment horizontal="center" vertical="center" wrapText="1"/>
    </xf>
    <xf numFmtId="164" fontId="21" fillId="3" borderId="14" xfId="0" applyNumberFormat="1" applyFont="1" applyFill="1" applyBorder="1" applyAlignment="1">
      <alignment horizontal="center"/>
    </xf>
    <xf numFmtId="173" fontId="22" fillId="0" borderId="0" xfId="0" applyNumberFormat="1" applyFont="1" applyAlignment="1">
      <alignment horizontal="center"/>
    </xf>
    <xf numFmtId="164" fontId="21" fillId="3" borderId="14" xfId="0" applyNumberFormat="1" applyFont="1" applyFill="1" applyBorder="1" applyAlignment="1">
      <alignment horizontal="center" vertical="center"/>
    </xf>
    <xf numFmtId="169" fontId="8" fillId="0" borderId="0" xfId="0" applyNumberFormat="1" applyFont="1"/>
    <xf numFmtId="0" fontId="58" fillId="3" borderId="14" xfId="0" applyFont="1" applyFill="1" applyBorder="1" applyAlignment="1">
      <alignment horizontal="right" vertical="center" wrapText="1"/>
    </xf>
    <xf numFmtId="164" fontId="21" fillId="2" borderId="14" xfId="0" applyNumberFormat="1" applyFont="1" applyFill="1" applyBorder="1" applyAlignment="1">
      <alignment horizontal="center"/>
    </xf>
    <xf numFmtId="10" fontId="21" fillId="3" borderId="14" xfId="0" applyNumberFormat="1" applyFont="1" applyFill="1" applyBorder="1" applyAlignment="1">
      <alignment horizontal="center" vertical="center" wrapText="1"/>
    </xf>
    <xf numFmtId="173" fontId="21" fillId="0" borderId="0" xfId="0" applyNumberFormat="1" applyFont="1" applyAlignment="1">
      <alignment horizontal="center"/>
    </xf>
    <xf numFmtId="0" fontId="58" fillId="3" borderId="14" xfId="0" applyFont="1" applyFill="1" applyBorder="1" applyAlignment="1">
      <alignment horizontal="right"/>
    </xf>
    <xf numFmtId="2" fontId="22" fillId="16" borderId="85" xfId="0" applyNumberFormat="1" applyFont="1" applyFill="1" applyBorder="1" applyAlignment="1">
      <alignment horizontal="center" vertical="center" wrapText="1"/>
    </xf>
    <xf numFmtId="164" fontId="29" fillId="16" borderId="86" xfId="0" applyNumberFormat="1" applyFont="1" applyFill="1" applyBorder="1" applyAlignment="1">
      <alignment horizontal="center" vertical="center" wrapText="1"/>
    </xf>
    <xf numFmtId="1" fontId="29" fillId="16" borderId="86" xfId="0" applyNumberFormat="1" applyFont="1" applyFill="1" applyBorder="1" applyAlignment="1">
      <alignment horizontal="center" vertical="center" wrapText="1"/>
    </xf>
    <xf numFmtId="2" fontId="22" fillId="16" borderId="68" xfId="0" applyNumberFormat="1" applyFont="1" applyFill="1" applyBorder="1" applyAlignment="1">
      <alignment horizontal="center" vertical="center" wrapText="1"/>
    </xf>
    <xf numFmtId="1" fontId="29" fillId="16" borderId="66" xfId="0" applyNumberFormat="1" applyFont="1" applyFill="1" applyBorder="1" applyAlignment="1">
      <alignment horizontal="center" vertical="center" wrapText="1"/>
    </xf>
    <xf numFmtId="2" fontId="22" fillId="16" borderId="69" xfId="0" applyNumberFormat="1" applyFont="1" applyFill="1" applyBorder="1" applyAlignment="1">
      <alignment horizontal="center" vertical="center" wrapText="1"/>
    </xf>
    <xf numFmtId="2" fontId="29" fillId="16" borderId="71" xfId="0" applyNumberFormat="1" applyFont="1" applyFill="1" applyBorder="1" applyAlignment="1">
      <alignment horizontal="center" vertical="center" wrapText="1"/>
    </xf>
    <xf numFmtId="2" fontId="8" fillId="0" borderId="80" xfId="0" applyNumberFormat="1" applyFont="1" applyBorder="1"/>
    <xf numFmtId="171" fontId="8" fillId="0" borderId="0" xfId="0" applyNumberFormat="1" applyFont="1"/>
    <xf numFmtId="173" fontId="21" fillId="3" borderId="14" xfId="0" applyNumberFormat="1" applyFont="1" applyFill="1" applyBorder="1" applyAlignment="1">
      <alignment horizontal="center"/>
    </xf>
    <xf numFmtId="173" fontId="21" fillId="2" borderId="14" xfId="0" applyNumberFormat="1" applyFont="1" applyFill="1" applyBorder="1" applyAlignment="1">
      <alignment horizontal="center"/>
    </xf>
    <xf numFmtId="171" fontId="29" fillId="16" borderId="86" xfId="0" applyNumberFormat="1" applyFont="1" applyFill="1" applyBorder="1" applyAlignment="1">
      <alignment horizontal="center" vertical="center" wrapText="1"/>
    </xf>
    <xf numFmtId="173" fontId="2" fillId="0" borderId="0" xfId="0" applyNumberFormat="1" applyFont="1"/>
    <xf numFmtId="171" fontId="32" fillId="2" borderId="15" xfId="0" applyNumberFormat="1" applyFont="1" applyFill="1" applyBorder="1"/>
    <xf numFmtId="0" fontId="60" fillId="18" borderId="87" xfId="0" applyFont="1" applyFill="1" applyBorder="1" applyAlignment="1">
      <alignment horizontal="left"/>
    </xf>
    <xf numFmtId="0" fontId="6" fillId="18" borderId="73" xfId="0" applyFont="1" applyFill="1" applyBorder="1"/>
    <xf numFmtId="0" fontId="6" fillId="18" borderId="73" xfId="0" applyFont="1" applyFill="1" applyBorder="1" applyAlignment="1">
      <alignment horizontal="center"/>
    </xf>
    <xf numFmtId="164" fontId="6" fillId="0" borderId="59" xfId="0" applyNumberFormat="1" applyFont="1" applyBorder="1" applyAlignment="1">
      <alignment horizontal="center"/>
    </xf>
    <xf numFmtId="164" fontId="61" fillId="0" borderId="0" xfId="0" applyNumberFormat="1" applyFont="1" applyAlignment="1">
      <alignment horizontal="right"/>
    </xf>
    <xf numFmtId="164" fontId="6" fillId="12" borderId="59" xfId="0" applyNumberFormat="1" applyFont="1" applyFill="1" applyBorder="1" applyAlignment="1">
      <alignment horizontal="center"/>
    </xf>
    <xf numFmtId="164" fontId="61" fillId="0" borderId="0" xfId="0" applyNumberFormat="1" applyFont="1"/>
    <xf numFmtId="0" fontId="62" fillId="0" borderId="88" xfId="0" applyFont="1" applyBorder="1" applyAlignment="1">
      <alignment horizontal="left"/>
    </xf>
    <xf numFmtId="0" fontId="6" fillId="0" borderId="46" xfId="0" applyFont="1" applyBorder="1"/>
    <xf numFmtId="0" fontId="6" fillId="0" borderId="46" xfId="0" applyFont="1" applyBorder="1" applyAlignment="1">
      <alignment horizontal="center"/>
    </xf>
    <xf numFmtId="164" fontId="6" fillId="0" borderId="46" xfId="0" applyNumberFormat="1" applyFont="1" applyBorder="1" applyAlignment="1">
      <alignment horizontal="center"/>
    </xf>
    <xf numFmtId="169" fontId="36" fillId="5" borderId="73" xfId="0" applyNumberFormat="1" applyFont="1" applyFill="1" applyBorder="1" applyAlignment="1">
      <alignment horizontal="center"/>
    </xf>
    <xf numFmtId="169" fontId="36" fillId="6" borderId="73" xfId="0" applyNumberFormat="1" applyFont="1" applyFill="1" applyBorder="1" applyAlignment="1">
      <alignment horizontal="center"/>
    </xf>
    <xf numFmtId="169" fontId="10" fillId="7" borderId="73" xfId="0" applyNumberFormat="1" applyFont="1" applyFill="1" applyBorder="1" applyAlignment="1">
      <alignment horizontal="center"/>
    </xf>
    <xf numFmtId="169" fontId="36" fillId="8" borderId="73" xfId="0" applyNumberFormat="1" applyFont="1" applyFill="1" applyBorder="1" applyAlignment="1">
      <alignment horizontal="center"/>
    </xf>
    <xf numFmtId="169" fontId="36" fillId="9" borderId="73" xfId="0" applyNumberFormat="1" applyFont="1" applyFill="1" applyBorder="1" applyAlignment="1">
      <alignment horizontal="center"/>
    </xf>
    <xf numFmtId="169" fontId="36" fillId="10" borderId="73" xfId="0" applyNumberFormat="1" applyFont="1" applyFill="1" applyBorder="1" applyAlignment="1">
      <alignment horizontal="center"/>
    </xf>
    <xf numFmtId="169" fontId="36" fillId="11" borderId="73" xfId="0" applyNumberFormat="1" applyFont="1" applyFill="1" applyBorder="1" applyAlignment="1">
      <alignment horizontal="center"/>
    </xf>
    <xf numFmtId="169" fontId="36" fillId="3" borderId="73" xfId="0" applyNumberFormat="1" applyFont="1" applyFill="1" applyBorder="1" applyAlignment="1">
      <alignment horizontal="center"/>
    </xf>
    <xf numFmtId="169" fontId="10" fillId="0" borderId="46" xfId="0" applyNumberFormat="1" applyFont="1" applyBorder="1" applyAlignment="1">
      <alignment horizontal="center"/>
    </xf>
    <xf numFmtId="170" fontId="10" fillId="0" borderId="46" xfId="0" applyNumberFormat="1" applyFont="1" applyBorder="1"/>
    <xf numFmtId="2" fontId="10" fillId="0" borderId="46" xfId="0" applyNumberFormat="1" applyFont="1" applyBorder="1" applyAlignment="1">
      <alignment horizontal="center"/>
    </xf>
    <xf numFmtId="2" fontId="37" fillId="0" borderId="89" xfId="0" applyNumberFormat="1" applyFont="1" applyBorder="1" applyAlignment="1">
      <alignment horizontal="center"/>
    </xf>
    <xf numFmtId="169" fontId="10" fillId="18" borderId="59" xfId="0" applyNumberFormat="1" applyFont="1" applyFill="1" applyBorder="1" applyAlignment="1">
      <alignment horizontal="center"/>
    </xf>
    <xf numFmtId="0" fontId="32" fillId="2" borderId="68" xfId="0" applyFont="1" applyFill="1" applyBorder="1" applyAlignment="1">
      <alignment horizontal="left"/>
    </xf>
    <xf numFmtId="164" fontId="32" fillId="2" borderId="15" xfId="0" applyNumberFormat="1" applyFont="1" applyFill="1" applyBorder="1"/>
    <xf numFmtId="0" fontId="13" fillId="0" borderId="0" xfId="0" quotePrefix="1" applyFont="1"/>
    <xf numFmtId="0" fontId="63" fillId="17" borderId="64" xfId="0" applyFont="1" applyFill="1" applyBorder="1" applyAlignment="1">
      <alignment horizontal="left"/>
    </xf>
    <xf numFmtId="0" fontId="6" fillId="17" borderId="59" xfId="0" applyFont="1" applyFill="1" applyBorder="1"/>
    <xf numFmtId="0" fontId="6" fillId="17" borderId="59" xfId="0" applyFont="1" applyFill="1" applyBorder="1" applyAlignment="1">
      <alignment horizontal="center"/>
    </xf>
    <xf numFmtId="0" fontId="64" fillId="19" borderId="7" xfId="0" applyFont="1" applyFill="1" applyBorder="1" applyAlignment="1">
      <alignment horizontal="left"/>
    </xf>
    <xf numFmtId="0" fontId="32" fillId="2" borderId="72" xfId="0" applyFont="1" applyFill="1" applyBorder="1" applyAlignment="1">
      <alignment horizontal="left"/>
    </xf>
    <xf numFmtId="164" fontId="32" fillId="2" borderId="73" xfId="0" applyNumberFormat="1" applyFont="1" applyFill="1" applyBorder="1"/>
    <xf numFmtId="0" fontId="32" fillId="2" borderId="64" xfId="0" applyFont="1" applyFill="1" applyBorder="1" applyAlignment="1">
      <alignment horizontal="left"/>
    </xf>
    <xf numFmtId="164" fontId="32" fillId="2" borderId="59" xfId="0" applyNumberFormat="1" applyFont="1" applyFill="1" applyBorder="1"/>
    <xf numFmtId="0" fontId="47" fillId="17" borderId="87" xfId="0" applyFont="1" applyFill="1" applyBorder="1" applyAlignment="1">
      <alignment horizontal="left"/>
    </xf>
    <xf numFmtId="164" fontId="6" fillId="0" borderId="62" xfId="0" applyNumberFormat="1" applyFont="1" applyBorder="1" applyAlignment="1">
      <alignment horizontal="center"/>
    </xf>
    <xf numFmtId="0" fontId="6" fillId="12" borderId="68" xfId="0" applyFont="1" applyFill="1" applyBorder="1" applyAlignment="1">
      <alignment horizontal="left"/>
    </xf>
    <xf numFmtId="0" fontId="6" fillId="12" borderId="15" xfId="0" applyFont="1" applyFill="1" applyBorder="1"/>
    <xf numFmtId="0" fontId="6" fillId="12" borderId="15" xfId="0" applyFont="1" applyFill="1" applyBorder="1" applyAlignment="1">
      <alignment horizontal="center"/>
    </xf>
    <xf numFmtId="164" fontId="6" fillId="0" borderId="90" xfId="0" applyNumberFormat="1" applyFont="1" applyBorder="1" applyAlignment="1">
      <alignment horizontal="center"/>
    </xf>
    <xf numFmtId="1" fontId="10" fillId="12" borderId="15" xfId="0" applyNumberFormat="1" applyFont="1" applyFill="1" applyBorder="1" applyAlignment="1">
      <alignment horizontal="center"/>
    </xf>
    <xf numFmtId="169" fontId="36" fillId="12" borderId="15" xfId="0" applyNumberFormat="1" applyFont="1" applyFill="1" applyBorder="1" applyAlignment="1">
      <alignment horizontal="center"/>
    </xf>
    <xf numFmtId="169" fontId="10" fillId="12" borderId="15" xfId="0" applyNumberFormat="1" applyFont="1" applyFill="1" applyBorder="1" applyAlignment="1">
      <alignment horizontal="center"/>
    </xf>
    <xf numFmtId="170" fontId="10" fillId="12" borderId="15" xfId="0" applyNumberFormat="1" applyFont="1" applyFill="1" applyBorder="1"/>
    <xf numFmtId="2" fontId="10" fillId="12" borderId="15" xfId="0" applyNumberFormat="1" applyFont="1" applyFill="1" applyBorder="1" applyAlignment="1">
      <alignment horizontal="center"/>
    </xf>
    <xf numFmtId="2" fontId="37" fillId="12" borderId="66" xfId="0" applyNumberFormat="1" applyFont="1" applyFill="1" applyBorder="1" applyAlignment="1">
      <alignment horizontal="center"/>
    </xf>
    <xf numFmtId="0" fontId="2" fillId="0" borderId="91" xfId="0" applyFont="1" applyBorder="1"/>
    <xf numFmtId="168" fontId="2" fillId="0" borderId="91" xfId="0" applyNumberFormat="1" applyFont="1" applyBorder="1"/>
    <xf numFmtId="0" fontId="65" fillId="17" borderId="87" xfId="0" applyFont="1" applyFill="1" applyBorder="1" applyAlignment="1">
      <alignment horizontal="left"/>
    </xf>
    <xf numFmtId="0" fontId="66" fillId="19" borderId="87" xfId="0" applyFont="1" applyFill="1" applyBorder="1" applyAlignment="1">
      <alignment horizontal="left"/>
    </xf>
    <xf numFmtId="0" fontId="67" fillId="17" borderId="59" xfId="0" applyFont="1" applyFill="1" applyBorder="1" applyAlignment="1">
      <alignment horizontal="left"/>
    </xf>
    <xf numFmtId="164" fontId="6" fillId="2" borderId="59" xfId="0" applyNumberFormat="1" applyFont="1" applyFill="1" applyBorder="1" applyAlignment="1">
      <alignment horizontal="center"/>
    </xf>
    <xf numFmtId="2" fontId="2" fillId="0" borderId="0" xfId="0" applyNumberFormat="1" applyFont="1"/>
    <xf numFmtId="169" fontId="2" fillId="0" borderId="0" xfId="0" applyNumberFormat="1" applyFont="1" applyAlignment="1">
      <alignment horizontal="left"/>
    </xf>
    <xf numFmtId="169" fontId="2" fillId="0" borderId="31" xfId="0" applyNumberFormat="1" applyFont="1" applyBorder="1"/>
    <xf numFmtId="0" fontId="2" fillId="0" borderId="31" xfId="0" applyFont="1" applyBorder="1"/>
    <xf numFmtId="174" fontId="2" fillId="0" borderId="0" xfId="0" applyNumberFormat="1" applyFont="1"/>
    <xf numFmtId="0" fontId="2" fillId="0" borderId="0" xfId="0" applyFont="1" applyAlignment="1">
      <alignment wrapText="1"/>
    </xf>
    <xf numFmtId="169" fontId="2" fillId="0" borderId="0" xfId="0" applyNumberFormat="1" applyFont="1" applyAlignment="1">
      <alignment wrapText="1"/>
    </xf>
    <xf numFmtId="0" fontId="69" fillId="21" borderId="37" xfId="0" applyFont="1" applyFill="1" applyBorder="1"/>
    <xf numFmtId="0" fontId="69" fillId="0" borderId="95" xfId="0" applyFont="1" applyBorder="1" applyAlignment="1">
      <alignment horizontal="center" wrapText="1"/>
    </xf>
    <xf numFmtId="0" fontId="69" fillId="0" borderId="96" xfId="0" applyFont="1" applyBorder="1" applyAlignment="1">
      <alignment horizontal="center" vertical="center" wrapText="1"/>
    </xf>
    <xf numFmtId="0" fontId="69" fillId="0" borderId="76" xfId="0" applyFont="1" applyBorder="1"/>
    <xf numFmtId="0" fontId="69" fillId="0" borderId="79" xfId="0" applyFont="1" applyBorder="1"/>
    <xf numFmtId="0" fontId="69" fillId="22" borderId="73" xfId="0" applyFont="1" applyFill="1" applyBorder="1"/>
    <xf numFmtId="0" fontId="69" fillId="22" borderId="38" xfId="0" applyFont="1" applyFill="1" applyBorder="1"/>
    <xf numFmtId="0" fontId="70" fillId="18" borderId="60" xfId="0" applyFont="1" applyFill="1" applyBorder="1" applyAlignment="1">
      <alignment wrapText="1"/>
    </xf>
    <xf numFmtId="169" fontId="71" fillId="12" borderId="58" xfId="0" applyNumberFormat="1" applyFont="1" applyFill="1" applyBorder="1" applyAlignment="1">
      <alignment horizontal="center"/>
    </xf>
    <xf numFmtId="0" fontId="70" fillId="12" borderId="97" xfId="0" applyFont="1" applyFill="1" applyBorder="1"/>
    <xf numFmtId="169" fontId="70" fillId="12" borderId="60" xfId="0" applyNumberFormat="1" applyFont="1" applyFill="1" applyBorder="1"/>
    <xf numFmtId="169" fontId="70" fillId="12" borderId="59" xfId="0" applyNumberFormat="1" applyFont="1" applyFill="1" applyBorder="1"/>
    <xf numFmtId="169" fontId="70" fillId="12" borderId="15" xfId="0" applyNumberFormat="1" applyFont="1" applyFill="1" applyBorder="1"/>
    <xf numFmtId="169" fontId="70" fillId="12" borderId="58" xfId="0" applyNumberFormat="1" applyFont="1" applyFill="1" applyBorder="1"/>
    <xf numFmtId="0" fontId="70" fillId="18" borderId="60" xfId="0" applyFont="1" applyFill="1" applyBorder="1"/>
    <xf numFmtId="0" fontId="2" fillId="18" borderId="60" xfId="0" applyFont="1" applyFill="1" applyBorder="1"/>
    <xf numFmtId="0" fontId="2" fillId="12" borderId="60" xfId="0" applyFont="1" applyFill="1" applyBorder="1"/>
    <xf numFmtId="0" fontId="70" fillId="12" borderId="58" xfId="0" applyFont="1" applyFill="1" applyBorder="1"/>
    <xf numFmtId="169" fontId="70" fillId="12" borderId="33" xfId="0" applyNumberFormat="1" applyFont="1" applyFill="1" applyBorder="1"/>
    <xf numFmtId="0" fontId="70" fillId="12" borderId="59" xfId="0" applyFont="1" applyFill="1" applyBorder="1"/>
    <xf numFmtId="0" fontId="70" fillId="18" borderId="35" xfId="0" applyFont="1" applyFill="1" applyBorder="1"/>
    <xf numFmtId="0" fontId="2" fillId="18" borderId="37" xfId="0" applyFont="1" applyFill="1" applyBorder="1"/>
    <xf numFmtId="0" fontId="70" fillId="12" borderId="33" xfId="0" applyFont="1" applyFill="1" applyBorder="1"/>
    <xf numFmtId="0" fontId="69" fillId="22" borderId="37" xfId="0" applyFont="1" applyFill="1" applyBorder="1"/>
    <xf numFmtId="169" fontId="72" fillId="22" borderId="15" xfId="0" applyNumberFormat="1" applyFont="1" applyFill="1" applyBorder="1" applyAlignment="1">
      <alignment horizontal="center"/>
    </xf>
    <xf numFmtId="169" fontId="70" fillId="22" borderId="15" xfId="0" applyNumberFormat="1" applyFont="1" applyFill="1" applyBorder="1"/>
    <xf numFmtId="0" fontId="69" fillId="12" borderId="37" xfId="0" applyFont="1" applyFill="1" applyBorder="1"/>
    <xf numFmtId="169" fontId="72" fillId="12" borderId="15" xfId="0" applyNumberFormat="1" applyFont="1" applyFill="1" applyBorder="1" applyAlignment="1">
      <alignment horizontal="center"/>
    </xf>
    <xf numFmtId="0" fontId="70" fillId="12" borderId="15" xfId="0" applyFont="1" applyFill="1" applyBorder="1"/>
    <xf numFmtId="0" fontId="73" fillId="0" borderId="0" xfId="0" applyFont="1"/>
    <xf numFmtId="171" fontId="70" fillId="0" borderId="59" xfId="0" applyNumberFormat="1" applyFont="1" applyBorder="1"/>
    <xf numFmtId="0" fontId="70" fillId="0" borderId="0" xfId="0" applyFont="1"/>
    <xf numFmtId="0" fontId="2" fillId="0" borderId="59" xfId="0" applyFont="1" applyBorder="1" applyAlignment="1">
      <alignment horizontal="center"/>
    </xf>
    <xf numFmtId="171" fontId="70" fillId="0" borderId="0" xfId="0" applyNumberFormat="1" applyFont="1"/>
    <xf numFmtId="169" fontId="2" fillId="23" borderId="59" xfId="0" applyNumberFormat="1" applyFont="1" applyFill="1" applyBorder="1" applyAlignment="1">
      <alignment horizontal="center"/>
    </xf>
    <xf numFmtId="171" fontId="69" fillId="0" borderId="59" xfId="0" applyNumberFormat="1" applyFont="1" applyBorder="1"/>
    <xf numFmtId="0" fontId="70" fillId="0" borderId="0" xfId="0" applyFont="1" applyAlignment="1">
      <alignment horizontal="center"/>
    </xf>
    <xf numFmtId="9" fontId="70" fillId="0" borderId="0" xfId="0" applyNumberFormat="1" applyFont="1"/>
    <xf numFmtId="9" fontId="2" fillId="0" borderId="0" xfId="0" applyNumberFormat="1" applyFont="1"/>
    <xf numFmtId="174" fontId="70" fillId="0" borderId="0" xfId="0" applyNumberFormat="1" applyFont="1"/>
    <xf numFmtId="49" fontId="70" fillId="0" borderId="0" xfId="0" applyNumberFormat="1" applyFont="1"/>
    <xf numFmtId="49" fontId="70" fillId="0" borderId="0" xfId="0" applyNumberFormat="1" applyFont="1" applyAlignment="1">
      <alignment horizontal="center"/>
    </xf>
    <xf numFmtId="0" fontId="2" fillId="0" borderId="18" xfId="0" applyFont="1" applyBorder="1"/>
    <xf numFmtId="171" fontId="2" fillId="0" borderId="93" xfId="0" applyNumberFormat="1" applyFont="1" applyBorder="1"/>
    <xf numFmtId="49" fontId="2" fillId="5" borderId="14" xfId="0" applyNumberFormat="1" applyFont="1" applyFill="1" applyBorder="1"/>
    <xf numFmtId="171" fontId="2" fillId="0" borderId="4" xfId="0" applyNumberFormat="1" applyFont="1" applyBorder="1"/>
    <xf numFmtId="49" fontId="2" fillId="24" borderId="14" xfId="0" applyNumberFormat="1" applyFont="1" applyFill="1" applyBorder="1"/>
    <xf numFmtId="49" fontId="2" fillId="7" borderId="14" xfId="0" applyNumberFormat="1" applyFont="1" applyFill="1" applyBorder="1"/>
    <xf numFmtId="49" fontId="2" fillId="25" borderId="14" xfId="0" applyNumberFormat="1" applyFont="1" applyFill="1" applyBorder="1"/>
    <xf numFmtId="49" fontId="2" fillId="26" borderId="14" xfId="0" applyNumberFormat="1" applyFont="1" applyFill="1" applyBorder="1"/>
    <xf numFmtId="171" fontId="2" fillId="0" borderId="10" xfId="0" applyNumberFormat="1" applyFont="1" applyBorder="1"/>
    <xf numFmtId="49" fontId="2" fillId="27" borderId="14" xfId="0" applyNumberFormat="1" applyFont="1" applyFill="1" applyBorder="1"/>
    <xf numFmtId="49" fontId="8" fillId="28" borderId="14" xfId="0" applyNumberFormat="1" applyFont="1" applyFill="1" applyBorder="1"/>
    <xf numFmtId="49" fontId="16" fillId="2" borderId="14" xfId="0" applyNumberFormat="1" applyFont="1" applyFill="1" applyBorder="1"/>
    <xf numFmtId="49" fontId="2" fillId="29" borderId="14" xfId="0" applyNumberFormat="1" applyFont="1" applyFill="1" applyBorder="1"/>
    <xf numFmtId="175" fontId="2" fillId="0" borderId="0" xfId="0" applyNumberFormat="1" applyFont="1"/>
    <xf numFmtId="0" fontId="70" fillId="0" borderId="95" xfId="0" applyFont="1" applyBorder="1" applyAlignment="1">
      <alignment horizontal="left"/>
    </xf>
    <xf numFmtId="0" fontId="70" fillId="0" borderId="91" xfId="0" applyFont="1" applyBorder="1"/>
    <xf numFmtId="0" fontId="70" fillId="0" borderId="98" xfId="0" applyFont="1" applyBorder="1" applyAlignment="1">
      <alignment horizontal="left"/>
    </xf>
    <xf numFmtId="16" fontId="70" fillId="0" borderId="95" xfId="0" applyNumberFormat="1" applyFont="1" applyBorder="1" applyAlignment="1">
      <alignment horizontal="left"/>
    </xf>
    <xf numFmtId="0" fontId="70" fillId="0" borderId="76" xfId="0" applyFont="1" applyBorder="1" applyAlignment="1">
      <alignment horizontal="left"/>
    </xf>
    <xf numFmtId="0" fontId="2" fillId="0" borderId="95" xfId="0" applyFont="1" applyBorder="1" applyAlignment="1">
      <alignment horizontal="left"/>
    </xf>
    <xf numFmtId="16" fontId="70" fillId="0" borderId="0" xfId="0" applyNumberFormat="1" applyFont="1"/>
    <xf numFmtId="166" fontId="70" fillId="0" borderId="95" xfId="0" applyNumberFormat="1" applyFont="1" applyBorder="1" applyAlignment="1">
      <alignment horizontal="left"/>
    </xf>
    <xf numFmtId="49" fontId="2" fillId="0" borderId="95" xfId="0" applyNumberFormat="1" applyFont="1" applyBorder="1" applyAlignment="1">
      <alignment horizontal="left"/>
    </xf>
    <xf numFmtId="166" fontId="2" fillId="0" borderId="0" xfId="0" applyNumberFormat="1" applyFont="1"/>
    <xf numFmtId="166" fontId="2" fillId="0" borderId="95" xfId="0" applyNumberFormat="1" applyFont="1" applyBorder="1" applyAlignment="1">
      <alignment horizontal="left"/>
    </xf>
    <xf numFmtId="2" fontId="74" fillId="0" borderId="0" xfId="0" applyNumberFormat="1" applyFont="1"/>
    <xf numFmtId="0" fontId="70" fillId="0" borderId="76" xfId="0" applyFont="1" applyBorder="1"/>
    <xf numFmtId="167" fontId="2" fillId="0" borderId="0" xfId="0" applyNumberFormat="1" applyFont="1"/>
    <xf numFmtId="0" fontId="70" fillId="0" borderId="77" xfId="0" applyFont="1" applyBorder="1" applyAlignment="1">
      <alignment horizontal="left"/>
    </xf>
    <xf numFmtId="0" fontId="70" fillId="0" borderId="99" xfId="0" applyFont="1" applyBorder="1"/>
    <xf numFmtId="0" fontId="70" fillId="0" borderId="75" xfId="0" applyFont="1" applyBorder="1" applyAlignment="1">
      <alignment horizontal="left"/>
    </xf>
    <xf numFmtId="2" fontId="70" fillId="0" borderId="0" xfId="0" applyNumberFormat="1" applyFont="1"/>
    <xf numFmtId="49" fontId="70" fillId="0" borderId="0" xfId="0" applyNumberFormat="1" applyFont="1" applyAlignment="1">
      <alignment horizontal="left"/>
    </xf>
    <xf numFmtId="0" fontId="70" fillId="0" borderId="0" xfId="0" applyFont="1" applyAlignment="1">
      <alignment horizontal="left"/>
    </xf>
    <xf numFmtId="0" fontId="2" fillId="0" borderId="0" xfId="0" applyFont="1" applyAlignment="1">
      <alignment horizontal="left"/>
    </xf>
    <xf numFmtId="49" fontId="2" fillId="0" borderId="0" xfId="0" applyNumberFormat="1" applyFont="1"/>
    <xf numFmtId="2" fontId="2" fillId="0" borderId="59" xfId="0" applyNumberFormat="1" applyFont="1" applyBorder="1"/>
    <xf numFmtId="0" fontId="2" fillId="0" borderId="59" xfId="0" applyFont="1" applyBorder="1"/>
    <xf numFmtId="0" fontId="2" fillId="0" borderId="59" xfId="0" applyFont="1" applyBorder="1" applyAlignment="1">
      <alignment horizontal="left"/>
    </xf>
    <xf numFmtId="49" fontId="2" fillId="0" borderId="57" xfId="0" applyNumberFormat="1" applyFont="1" applyBorder="1"/>
    <xf numFmtId="1" fontId="2" fillId="0" borderId="0" xfId="0" applyNumberFormat="1" applyFont="1"/>
    <xf numFmtId="49" fontId="2" fillId="0" borderId="0" xfId="0" applyNumberFormat="1" applyFont="1" applyAlignment="1">
      <alignment horizontal="left"/>
    </xf>
    <xf numFmtId="0" fontId="2" fillId="5" borderId="14" xfId="0" applyFont="1" applyFill="1" applyBorder="1"/>
    <xf numFmtId="0" fontId="2" fillId="24" borderId="14" xfId="0" applyFont="1" applyFill="1" applyBorder="1"/>
    <xf numFmtId="0" fontId="2" fillId="7" borderId="14" xfId="0" applyFont="1" applyFill="1" applyBorder="1"/>
    <xf numFmtId="0" fontId="2" fillId="25" borderId="14" xfId="0" applyFont="1" applyFill="1" applyBorder="1"/>
    <xf numFmtId="0" fontId="2" fillId="26" borderId="14" xfId="0" applyFont="1" applyFill="1" applyBorder="1"/>
    <xf numFmtId="0" fontId="2" fillId="27" borderId="14" xfId="0" applyFont="1" applyFill="1" applyBorder="1"/>
    <xf numFmtId="0" fontId="8" fillId="28" borderId="14" xfId="0" applyFont="1" applyFill="1" applyBorder="1"/>
    <xf numFmtId="0" fontId="2" fillId="29" borderId="14" xfId="0" applyFont="1" applyFill="1" applyBorder="1"/>
    <xf numFmtId="0" fontId="1" fillId="0" borderId="0" xfId="0" applyFont="1" applyAlignment="1">
      <alignment horizontal="center" vertical="top"/>
    </xf>
    <xf numFmtId="0" fontId="0" fillId="0" borderId="0" xfId="0"/>
    <xf numFmtId="0" fontId="4" fillId="0" borderId="0" xfId="0" applyFont="1" applyAlignment="1">
      <alignment horizontal="center" vertical="top"/>
    </xf>
    <xf numFmtId="0" fontId="2" fillId="0" borderId="1" xfId="0" applyFont="1" applyBorder="1" applyAlignment="1">
      <alignment horizontal="center"/>
    </xf>
    <xf numFmtId="0" fontId="12" fillId="0" borderId="2" xfId="0" applyFont="1" applyBorder="1"/>
    <xf numFmtId="0" fontId="18" fillId="3" borderId="11" xfId="0" applyFont="1" applyFill="1" applyBorder="1" applyAlignment="1">
      <alignment horizontal="center" vertical="center"/>
    </xf>
    <xf numFmtId="0" fontId="12" fillId="0" borderId="12" xfId="0" applyFont="1" applyBorder="1"/>
    <xf numFmtId="0" fontId="12" fillId="0" borderId="13" xfId="0" applyFont="1" applyBorder="1"/>
    <xf numFmtId="0" fontId="9" fillId="4" borderId="11" xfId="0" applyFont="1" applyFill="1" applyBorder="1" applyAlignment="1">
      <alignment horizontal="center" vertical="center" wrapText="1"/>
    </xf>
    <xf numFmtId="10" fontId="24" fillId="0" borderId="20" xfId="0" applyNumberFormat="1" applyFont="1" applyBorder="1" applyAlignment="1">
      <alignment horizontal="center" vertical="center"/>
    </xf>
    <xf numFmtId="0" fontId="12" fillId="0" borderId="22" xfId="0" applyFont="1" applyBorder="1"/>
    <xf numFmtId="0" fontId="12" fillId="0" borderId="27" xfId="0" applyFont="1" applyBorder="1"/>
    <xf numFmtId="10" fontId="24" fillId="0" borderId="0" xfId="0" applyNumberFormat="1" applyFont="1" applyAlignment="1">
      <alignment horizontal="center" vertical="center"/>
    </xf>
    <xf numFmtId="0" fontId="8" fillId="0" borderId="55" xfId="0" applyFont="1" applyBorder="1"/>
    <xf numFmtId="0" fontId="12" fillId="0" borderId="56" xfId="0" applyFont="1" applyBorder="1"/>
    <xf numFmtId="0" fontId="12" fillId="0" borderId="57" xfId="0" applyFont="1" applyBorder="1"/>
    <xf numFmtId="0" fontId="8" fillId="0" borderId="0" xfId="0" applyFont="1" applyAlignment="1">
      <alignment horizontal="left" wrapText="1"/>
    </xf>
    <xf numFmtId="0" fontId="22" fillId="0" borderId="0" xfId="0" applyFont="1" applyAlignment="1">
      <alignment horizontal="center"/>
    </xf>
    <xf numFmtId="0" fontId="3" fillId="0" borderId="0" xfId="0" applyFont="1" applyAlignment="1">
      <alignment horizontal="center" vertical="top"/>
    </xf>
    <xf numFmtId="0" fontId="6" fillId="0" borderId="0" xfId="0" applyFont="1" applyAlignment="1">
      <alignment horizontal="center"/>
    </xf>
    <xf numFmtId="0" fontId="21" fillId="3" borderId="44" xfId="0" applyFont="1" applyFill="1" applyBorder="1" applyAlignment="1">
      <alignment wrapText="1"/>
    </xf>
    <xf numFmtId="0" fontId="12" fillId="0" borderId="45" xfId="0" applyFont="1" applyBorder="1"/>
    <xf numFmtId="0" fontId="8" fillId="0" borderId="43" xfId="0" applyFont="1" applyBorder="1" applyAlignment="1">
      <alignment vertical="center"/>
    </xf>
    <xf numFmtId="0" fontId="12" fillId="0" borderId="46" xfId="0" applyFont="1" applyBorder="1"/>
    <xf numFmtId="0" fontId="21" fillId="3" borderId="11" xfId="0" applyFont="1" applyFill="1" applyBorder="1"/>
    <xf numFmtId="0" fontId="8" fillId="0" borderId="0" xfId="0" applyFont="1"/>
    <xf numFmtId="0" fontId="29" fillId="16" borderId="47" xfId="0" applyFont="1" applyFill="1" applyBorder="1" applyAlignment="1">
      <alignment horizontal="left" vertical="top" wrapText="1"/>
    </xf>
    <xf numFmtId="0" fontId="12" fillId="0" borderId="48" xfId="0" applyFont="1" applyBorder="1"/>
    <xf numFmtId="0" fontId="12" fillId="0" borderId="49" xfId="0" applyFont="1" applyBorder="1"/>
    <xf numFmtId="0" fontId="12" fillId="0" borderId="50" xfId="0"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58" fillId="3" borderId="11" xfId="0" applyFont="1" applyFill="1" applyBorder="1" applyAlignment="1">
      <alignment horizontal="right" vertical="center" wrapText="1"/>
    </xf>
    <xf numFmtId="0" fontId="57" fillId="3" borderId="11" xfId="0" applyFont="1" applyFill="1" applyBorder="1" applyAlignment="1">
      <alignment horizontal="right" vertical="center" wrapText="1"/>
    </xf>
    <xf numFmtId="0" fontId="21" fillId="3" borderId="11" xfId="0" applyFont="1" applyFill="1" applyBorder="1" applyAlignment="1">
      <alignment horizontal="right" vertical="center" wrapText="1"/>
    </xf>
    <xf numFmtId="0" fontId="58" fillId="3" borderId="11" xfId="0" applyFont="1" applyFill="1" applyBorder="1" applyAlignment="1">
      <alignment horizontal="right"/>
    </xf>
    <xf numFmtId="0" fontId="59" fillId="3" borderId="11" xfId="0" applyFont="1" applyFill="1" applyBorder="1" applyAlignment="1">
      <alignment horizontal="right"/>
    </xf>
    <xf numFmtId="1" fontId="55" fillId="12" borderId="1" xfId="0" applyNumberFormat="1" applyFont="1" applyFill="1" applyBorder="1" applyAlignment="1">
      <alignment horizontal="right"/>
    </xf>
    <xf numFmtId="0" fontId="12" fillId="0" borderId="80" xfId="0" applyFont="1" applyBorder="1"/>
    <xf numFmtId="0" fontId="12" fillId="0" borderId="81" xfId="0" applyFont="1" applyBorder="1"/>
    <xf numFmtId="2" fontId="15" fillId="0" borderId="20" xfId="0" applyNumberFormat="1" applyFont="1" applyBorder="1" applyAlignment="1">
      <alignment horizontal="center" vertical="center" textRotation="255"/>
    </xf>
    <xf numFmtId="0" fontId="56" fillId="3" borderId="82" xfId="0" applyFont="1" applyFill="1" applyBorder="1" applyAlignment="1">
      <alignment horizontal="right" vertical="center" wrapText="1"/>
    </xf>
    <xf numFmtId="0" fontId="12" fillId="0" borderId="83" xfId="0" applyFont="1" applyBorder="1"/>
    <xf numFmtId="0" fontId="12" fillId="0" borderId="84" xfId="0" applyFont="1" applyBorder="1"/>
    <xf numFmtId="169" fontId="2" fillId="0" borderId="0" xfId="0" applyNumberFormat="1" applyFont="1" applyAlignment="1">
      <alignment horizontal="left"/>
    </xf>
    <xf numFmtId="0" fontId="70" fillId="0" borderId="55" xfId="0" applyFont="1" applyBorder="1" applyAlignment="1">
      <alignment horizontal="left"/>
    </xf>
    <xf numFmtId="0" fontId="15" fillId="0" borderId="55" xfId="0" applyFont="1" applyBorder="1" applyAlignment="1">
      <alignment horizontal="center"/>
    </xf>
    <xf numFmtId="0" fontId="68" fillId="0" borderId="18" xfId="0" applyFont="1" applyBorder="1" applyAlignment="1">
      <alignment horizontal="center" vertical="center"/>
    </xf>
    <xf numFmtId="0" fontId="12" fillId="0" borderId="92" xfId="0" applyFont="1" applyBorder="1"/>
    <xf numFmtId="0" fontId="12" fillId="0" borderId="93" xfId="0" applyFont="1" applyBorder="1"/>
    <xf numFmtId="0" fontId="12" fillId="0" borderId="9" xfId="0" applyFont="1" applyBorder="1"/>
    <xf numFmtId="0" fontId="12" fillId="0" borderId="94" xfId="0" applyFont="1" applyBorder="1"/>
    <xf numFmtId="0" fontId="12" fillId="0" borderId="10" xfId="0" applyFont="1" applyBorder="1"/>
    <xf numFmtId="0" fontId="2" fillId="0" borderId="55" xfId="0" applyFont="1" applyBorder="1" applyAlignment="1">
      <alignment horizontal="center"/>
    </xf>
    <xf numFmtId="0" fontId="69" fillId="0" borderId="55" xfId="0" applyFont="1" applyBorder="1" applyAlignment="1">
      <alignment horizontal="center"/>
    </xf>
    <xf numFmtId="176" fontId="6" fillId="0" borderId="0" xfId="0" applyNumberFormat="1" applyFont="1"/>
    <xf numFmtId="176" fontId="8" fillId="0" borderId="0" xfId="0" applyNumberFormat="1" applyFont="1" applyAlignment="1">
      <alignment horizontal="left"/>
    </xf>
    <xf numFmtId="176" fontId="26" fillId="0" borderId="0" xfId="0" applyNumberFormat="1" applyFont="1" applyAlignment="1">
      <alignment horizontal="left"/>
    </xf>
    <xf numFmtId="176" fontId="8" fillId="0" borderId="0" xfId="0" applyNumberFormat="1" applyFont="1"/>
    <xf numFmtId="176" fontId="10" fillId="0" borderId="0" xfId="0" applyNumberFormat="1" applyFont="1"/>
    <xf numFmtId="176" fontId="8" fillId="0" borderId="0" xfId="0" applyNumberFormat="1" applyFont="1" applyAlignment="1">
      <alignment wrapText="1"/>
    </xf>
    <xf numFmtId="176" fontId="2" fillId="0" borderId="0" xfId="0" applyNumberFormat="1" applyFont="1"/>
    <xf numFmtId="176" fontId="21" fillId="3" borderId="59" xfId="0" applyNumberFormat="1" applyFont="1" applyFill="1" applyBorder="1" applyAlignment="1">
      <alignment horizontal="center" vertical="center" wrapText="1"/>
    </xf>
    <xf numFmtId="176" fontId="32" fillId="2" borderId="35" xfId="0" applyNumberFormat="1" applyFont="1" applyFill="1" applyBorder="1"/>
    <xf numFmtId="176" fontId="6" fillId="0" borderId="62" xfId="0" applyNumberFormat="1" applyFont="1" applyBorder="1" applyAlignment="1">
      <alignment horizontal="center"/>
    </xf>
    <xf numFmtId="176" fontId="6" fillId="0" borderId="59" xfId="0" applyNumberFormat="1" applyFont="1" applyBorder="1" applyAlignment="1">
      <alignment horizontal="center"/>
    </xf>
    <xf numFmtId="176" fontId="6" fillId="12" borderId="59" xfId="0" applyNumberFormat="1" applyFont="1" applyFill="1" applyBorder="1" applyAlignment="1">
      <alignment horizontal="center"/>
    </xf>
    <xf numFmtId="176" fontId="6" fillId="20" borderId="59" xfId="0" applyNumberFormat="1" applyFont="1" applyFill="1" applyBorder="1" applyAlignment="1">
      <alignment horizontal="center"/>
    </xf>
    <xf numFmtId="176" fontId="32" fillId="2" borderId="59" xfId="0" applyNumberFormat="1" applyFont="1" applyFill="1" applyBorder="1"/>
    <xf numFmtId="176" fontId="32" fillId="2" borderId="15" xfId="0" applyNumberFormat="1" applyFont="1" applyFill="1" applyBorder="1"/>
    <xf numFmtId="176" fontId="6" fillId="0" borderId="70" xfId="0" applyNumberFormat="1" applyFont="1" applyBorder="1" applyAlignment="1">
      <alignment horizontal="center"/>
    </xf>
    <xf numFmtId="176" fontId="32" fillId="2" borderId="73" xfId="0" applyNumberFormat="1" applyFont="1" applyFill="1" applyBorder="1"/>
    <xf numFmtId="176" fontId="6" fillId="2" borderId="59" xfId="0" applyNumberFormat="1" applyFont="1" applyFill="1" applyBorder="1" applyAlignment="1">
      <alignment horizontal="center"/>
    </xf>
    <xf numFmtId="176" fontId="22" fillId="0" borderId="75" xfId="0" applyNumberFormat="1" applyFont="1" applyBorder="1" applyAlignment="1">
      <alignment horizontal="center"/>
    </xf>
    <xf numFmtId="176" fontId="36" fillId="3" borderId="14" xfId="0" applyNumberFormat="1" applyFont="1" applyFill="1" applyBorder="1" applyAlignment="1">
      <alignment horizontal="center"/>
    </xf>
    <xf numFmtId="176" fontId="10" fillId="3" borderId="14" xfId="0" applyNumberFormat="1" applyFont="1" applyFill="1" applyBorder="1"/>
    <xf numFmtId="176" fontId="58" fillId="3" borderId="14" xfId="0" applyNumberFormat="1" applyFont="1" applyFill="1" applyBorder="1" applyAlignment="1">
      <alignment horizontal="right" vertical="center" wrapText="1"/>
    </xf>
    <xf numFmtId="176" fontId="0" fillId="0" borderId="0" xfId="0" applyNumberFormat="1"/>
  </cellXfs>
  <cellStyles count="1">
    <cellStyle name="Normal" xfId="0" builtinId="0"/>
  </cellStyles>
  <dxfs count="102">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A5A5A5"/>
          <bgColor rgb="FFA5A5A5"/>
        </patternFill>
      </fill>
    </dxf>
    <dxf>
      <fill>
        <patternFill patternType="solid">
          <fgColor rgb="FFBFBFBF"/>
          <bgColor rgb="FFBFBFBF"/>
        </patternFill>
      </fill>
    </dxf>
    <dxf>
      <fill>
        <patternFill patternType="solid">
          <fgColor rgb="FFCC99FF"/>
          <bgColor rgb="FFCC99FF"/>
        </patternFill>
      </fill>
    </dxf>
    <dxf>
      <fill>
        <patternFill patternType="solid">
          <fgColor rgb="FFCC99FF"/>
          <bgColor rgb="FFCC99FF"/>
        </patternFill>
      </fill>
    </dxf>
    <dxf>
      <fill>
        <patternFill patternType="solid">
          <fgColor rgb="FFCC99FF"/>
          <bgColor rgb="FFCC99FF"/>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CC99FF"/>
          <bgColor rgb="FFCC99FF"/>
        </patternFill>
      </fill>
    </dxf>
    <dxf>
      <fill>
        <patternFill patternType="solid">
          <fgColor rgb="FFCC99FF"/>
          <bgColor rgb="FFCC99FF"/>
        </patternFill>
      </fill>
    </dxf>
    <dxf>
      <fill>
        <patternFill patternType="solid">
          <fgColor rgb="FFCC99FF"/>
          <bgColor rgb="FFCC99FF"/>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FFE598"/>
          <bgColor rgb="FFFFE598"/>
        </patternFill>
      </fill>
    </dxf>
    <dxf>
      <fill>
        <patternFill patternType="solid">
          <fgColor rgb="FFD8D8D8"/>
          <bgColor rgb="FFD8D8D8"/>
        </patternFill>
      </fill>
    </dxf>
    <dxf>
      <fill>
        <patternFill patternType="solid">
          <fgColor theme="1"/>
          <bgColor theme="1"/>
        </patternFill>
      </fill>
    </dxf>
  </dxfs>
  <tableStyles count="1">
    <tableStyle name="Bolts-style" pivot="0" count="3" xr9:uid="{00000000-0011-0000-FFFF-FFFF00000000}">
      <tableStyleElement type="headerRow" dxfId="101"/>
      <tableStyleElement type="firstRowStripe" dxfId="100"/>
      <tableStyleElement type="secondRowStripe" dxfId="99"/>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autoTitleDeleted val="1"/>
    <c:plotArea>
      <c:layout>
        <c:manualLayout>
          <c:xMode val="edge"/>
          <c:yMode val="edge"/>
          <c:x val="2.5315085275127599E-2"/>
          <c:y val="1.5677635671263599E-2"/>
          <c:w val="0.91472138235095102"/>
          <c:h val="0.875763101866602"/>
        </c:manualLayout>
      </c:layout>
      <c:barChart>
        <c:barDir val="col"/>
        <c:grouping val="clustered"/>
        <c:varyColors val="1"/>
        <c:ser>
          <c:idx val="0"/>
          <c:order val="0"/>
          <c:tx>
            <c:v>Red</c:v>
          </c:tx>
          <c:spPr>
            <a:solidFill>
              <a:srgbClr val="FF0000"/>
            </a:solidFill>
            <a:ln cmpd="sng">
              <a:solidFill>
                <a:srgbClr val="000000"/>
              </a:solidFill>
            </a:ln>
          </c:spPr>
          <c:invertIfNegative val="1"/>
          <c:val>
            <c:numRef>
              <c:f>Summary!$B$3:$B$13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8EA-E646-9398-E5B2B7B08335}"/>
            </c:ext>
          </c:extLst>
        </c:ser>
        <c:ser>
          <c:idx val="1"/>
          <c:order val="1"/>
          <c:tx>
            <c:v>Orange</c:v>
          </c:tx>
          <c:spPr>
            <a:solidFill>
              <a:srgbClr val="FFC000"/>
            </a:solidFill>
            <a:ln cmpd="sng">
              <a:solidFill>
                <a:srgbClr val="000000"/>
              </a:solidFill>
            </a:ln>
          </c:spPr>
          <c:invertIfNegative val="1"/>
          <c:val>
            <c:numRef>
              <c:f>Summary!$B$18:$B$23</c:f>
              <c:numCache>
                <c:formatCode>General</c:formatCode>
                <c:ptCount val="6"/>
                <c:pt idx="0">
                  <c:v>0</c:v>
                </c:pt>
                <c:pt idx="1">
                  <c:v>0</c:v>
                </c:pt>
                <c:pt idx="2" formatCode="0.00%">
                  <c:v>0</c:v>
                </c:pt>
                <c:pt idx="3"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8EA-E646-9398-E5B2B7B08335}"/>
            </c:ext>
          </c:extLst>
        </c:ser>
        <c:ser>
          <c:idx val="2"/>
          <c:order val="2"/>
          <c:tx>
            <c:v>Yellow</c:v>
          </c:tx>
          <c:spPr>
            <a:solidFill>
              <a:srgbClr val="FFFF00"/>
            </a:solidFill>
            <a:ln cmpd="sng">
              <a:solidFill>
                <a:srgbClr val="000000"/>
              </a:solidFill>
            </a:ln>
          </c:spPr>
          <c:invertIfNegative val="1"/>
          <c:val>
            <c:numRef>
              <c:f>Summary!$C$3:$C$13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8EA-E646-9398-E5B2B7B08335}"/>
            </c:ext>
          </c:extLst>
        </c:ser>
        <c:ser>
          <c:idx val="3"/>
          <c:order val="3"/>
          <c:tx>
            <c:v>Green</c:v>
          </c:tx>
          <c:spPr>
            <a:solidFill>
              <a:srgbClr val="00B050"/>
            </a:solidFill>
            <a:ln cmpd="sng">
              <a:solidFill>
                <a:srgbClr val="000000"/>
              </a:solidFill>
            </a:ln>
          </c:spPr>
          <c:invertIfNegative val="1"/>
          <c:val>
            <c:numRef>
              <c:f>Summary!$C$18:$C$23</c:f>
              <c:numCache>
                <c:formatCode>General</c:formatCode>
                <c:ptCount val="6"/>
                <c:pt idx="0">
                  <c:v>0</c:v>
                </c:pt>
                <c:pt idx="1">
                  <c:v>0</c:v>
                </c:pt>
                <c:pt idx="2" formatCode="0.00%">
                  <c:v>0</c:v>
                </c:pt>
                <c:pt idx="3"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98EA-E646-9398-E5B2B7B08335}"/>
            </c:ext>
          </c:extLst>
        </c:ser>
        <c:ser>
          <c:idx val="4"/>
          <c:order val="4"/>
          <c:tx>
            <c:v>Blue</c:v>
          </c:tx>
          <c:spPr>
            <a:solidFill>
              <a:srgbClr val="0070C0"/>
            </a:solidFill>
            <a:ln cmpd="sng">
              <a:solidFill>
                <a:srgbClr val="000000"/>
              </a:solidFill>
            </a:ln>
          </c:spPr>
          <c:invertIfNegative val="1"/>
          <c:val>
            <c:numRef>
              <c:f>Summary!$D$3:$D$13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98EA-E646-9398-E5B2B7B08335}"/>
            </c:ext>
          </c:extLst>
        </c:ser>
        <c:ser>
          <c:idx val="5"/>
          <c:order val="5"/>
          <c:tx>
            <c:v>Purple</c:v>
          </c:tx>
          <c:spPr>
            <a:solidFill>
              <a:srgbClr val="7030A0"/>
            </a:solidFill>
            <a:ln cmpd="sng">
              <a:solidFill>
                <a:srgbClr val="000000"/>
              </a:solidFill>
            </a:ln>
          </c:spPr>
          <c:invertIfNegative val="1"/>
          <c:val>
            <c:numRef>
              <c:f>Summary!$D$18:$D$23</c:f>
              <c:numCache>
                <c:formatCode>General</c:formatCode>
                <c:ptCount val="6"/>
                <c:pt idx="0">
                  <c:v>0</c:v>
                </c:pt>
                <c:pt idx="1">
                  <c:v>0</c:v>
                </c:pt>
                <c:pt idx="2" formatCode="0.00%">
                  <c:v>0</c:v>
                </c:pt>
                <c:pt idx="3"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98EA-E646-9398-E5B2B7B08335}"/>
            </c:ext>
          </c:extLst>
        </c:ser>
        <c:ser>
          <c:idx val="6"/>
          <c:order val="6"/>
          <c:tx>
            <c:v>Hot Pink</c:v>
          </c:tx>
          <c:spPr>
            <a:solidFill>
              <a:srgbClr val="ED66E7"/>
            </a:solidFill>
            <a:ln cmpd="sng">
              <a:solidFill>
                <a:srgbClr val="000000"/>
              </a:solidFill>
            </a:ln>
          </c:spPr>
          <c:invertIfNegative val="1"/>
          <c:val>
            <c:numRef>
              <c:f>Summary!$E$3:$E$13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98EA-E646-9398-E5B2B7B08335}"/>
            </c:ext>
          </c:extLst>
        </c:ser>
        <c:ser>
          <c:idx val="7"/>
          <c:order val="7"/>
          <c:tx>
            <c:v>Black</c:v>
          </c:tx>
          <c:spPr>
            <a:solidFill>
              <a:srgbClr val="FFFF99"/>
            </a:solidFill>
            <a:ln cmpd="sng">
              <a:solidFill>
                <a:srgbClr val="000000"/>
              </a:solidFill>
            </a:ln>
          </c:spPr>
          <c:invertIfNegative val="1"/>
          <c:val>
            <c:numRef>
              <c:f>Summary!$E$18:$E$23</c:f>
              <c:numCache>
                <c:formatCode>General</c:formatCode>
                <c:ptCount val="6"/>
                <c:pt idx="0">
                  <c:v>0</c:v>
                </c:pt>
                <c:pt idx="1">
                  <c:v>0</c:v>
                </c:pt>
                <c:pt idx="2" formatCode="0.00%">
                  <c:v>0</c:v>
                </c:pt>
                <c:pt idx="3"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98EA-E646-9398-E5B2B7B08335}"/>
            </c:ext>
          </c:extLst>
        </c:ser>
        <c:ser>
          <c:idx val="8"/>
          <c:order val="8"/>
          <c:tx>
            <c:v>Other Color</c:v>
          </c:tx>
          <c:spPr>
            <a:solidFill>
              <a:srgbClr val="4AFF9C"/>
            </a:solidFill>
            <a:ln cmpd="sng">
              <a:solidFill>
                <a:srgbClr val="000000"/>
              </a:solidFill>
            </a:ln>
          </c:spPr>
          <c:invertIfNegative val="1"/>
          <c:val>
            <c:numRef>
              <c:f>Summary!$F$3:$F$13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98EA-E646-9398-E5B2B7B08335}"/>
            </c:ext>
          </c:extLst>
        </c:ser>
        <c:ser>
          <c:idx val="9"/>
          <c:order val="9"/>
          <c:spPr>
            <a:solidFill>
              <a:srgbClr val="5ABAFF"/>
            </a:solidFill>
            <a:ln cmpd="sng">
              <a:solidFill>
                <a:srgbClr val="000000"/>
              </a:solidFill>
            </a:ln>
          </c:spPr>
          <c:invertIfNegative val="1"/>
          <c:val>
            <c:numRef>
              <c:f>Summary!$F$18:$F$23</c:f>
              <c:numCache>
                <c:formatCode>General</c:formatCode>
                <c:ptCount val="6"/>
                <c:pt idx="0">
                  <c:v>0</c:v>
                </c:pt>
                <c:pt idx="1">
                  <c:v>0</c:v>
                </c:pt>
                <c:pt idx="2" formatCode="0.00%">
                  <c:v>0</c:v>
                </c:pt>
                <c:pt idx="3"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9-98EA-E646-9398-E5B2B7B08335}"/>
            </c:ext>
          </c:extLst>
        </c:ser>
        <c:ser>
          <c:idx val="10"/>
          <c:order val="10"/>
          <c:spPr>
            <a:solidFill>
              <a:srgbClr val="BA8CDD"/>
            </a:solidFill>
            <a:ln cmpd="sng">
              <a:solidFill>
                <a:srgbClr val="000000"/>
              </a:solidFill>
            </a:ln>
          </c:spPr>
          <c:invertIfNegative val="1"/>
          <c:val>
            <c:numRef>
              <c:f>Summary!$G$3:$G$13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98EA-E646-9398-E5B2B7B08335}"/>
            </c:ext>
          </c:extLst>
        </c:ser>
        <c:ser>
          <c:idx val="11"/>
          <c:order val="11"/>
          <c:spPr>
            <a:solidFill>
              <a:srgbClr val="FDEFFC"/>
            </a:solidFill>
            <a:ln cmpd="sng">
              <a:solidFill>
                <a:srgbClr val="000000"/>
              </a:solidFill>
            </a:ln>
          </c:spPr>
          <c:invertIfNegative val="1"/>
          <c:val>
            <c:numRef>
              <c:f>Summary!$G$18:$G$23</c:f>
              <c:numCache>
                <c:formatCode>General</c:formatCode>
                <c:ptCount val="6"/>
                <c:pt idx="0">
                  <c:v>0</c:v>
                </c:pt>
                <c:pt idx="1">
                  <c:v>0</c:v>
                </c:pt>
                <c:pt idx="2" formatCode="0.00%">
                  <c:v>0</c:v>
                </c:pt>
                <c:pt idx="3"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B-98EA-E646-9398-E5B2B7B08335}"/>
            </c:ext>
          </c:extLst>
        </c:ser>
        <c:ser>
          <c:idx val="12"/>
          <c:order val="12"/>
          <c:spPr>
            <a:solidFill>
              <a:srgbClr val="FFFFFF"/>
            </a:solidFill>
            <a:ln cmpd="sng">
              <a:solidFill>
                <a:srgbClr val="000000"/>
              </a:solidFill>
            </a:ln>
          </c:spPr>
          <c:invertIfNegative val="1"/>
          <c:val>
            <c:numRef>
              <c:f>Summary!$H$3:$H$13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C-98EA-E646-9398-E5B2B7B08335}"/>
            </c:ext>
          </c:extLst>
        </c:ser>
        <c:ser>
          <c:idx val="13"/>
          <c:order val="13"/>
          <c:spPr>
            <a:solidFill>
              <a:srgbClr val="FFFFFF"/>
            </a:solidFill>
            <a:ln cmpd="sng">
              <a:solidFill>
                <a:srgbClr val="000000"/>
              </a:solidFill>
            </a:ln>
          </c:spPr>
          <c:invertIfNegative val="1"/>
          <c:val>
            <c:numRef>
              <c:f>Summary!$H$18:$H$23</c:f>
              <c:numCache>
                <c:formatCode>General</c:formatCode>
                <c:ptCount val="6"/>
                <c:pt idx="0">
                  <c:v>0</c:v>
                </c:pt>
                <c:pt idx="1">
                  <c:v>0</c:v>
                </c:pt>
                <c:pt idx="2" formatCode="0.00%">
                  <c:v>0</c:v>
                </c:pt>
                <c:pt idx="3"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98EA-E646-9398-E5B2B7B08335}"/>
            </c:ext>
          </c:extLst>
        </c:ser>
        <c:ser>
          <c:idx val="14"/>
          <c:order val="14"/>
          <c:spPr>
            <a:solidFill>
              <a:srgbClr val="E3FFF0"/>
            </a:solidFill>
            <a:ln cmpd="sng">
              <a:solidFill>
                <a:srgbClr val="000000"/>
              </a:solidFill>
            </a:ln>
          </c:spPr>
          <c:invertIfNegative val="1"/>
          <c:val>
            <c:numRef>
              <c:f>Summary!$I$3:$I$13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98EA-E646-9398-E5B2B7B08335}"/>
            </c:ext>
          </c:extLst>
        </c:ser>
        <c:ser>
          <c:idx val="15"/>
          <c:order val="15"/>
          <c:spPr>
            <a:solidFill>
              <a:srgbClr val="F3FAFF"/>
            </a:solidFill>
            <a:ln cmpd="sng">
              <a:solidFill>
                <a:srgbClr val="000000"/>
              </a:solidFill>
            </a:ln>
          </c:spPr>
          <c:invertIfNegative val="1"/>
          <c:val>
            <c:numRef>
              <c:f>Summary!$I$18:$I$23</c:f>
              <c:numCache>
                <c:formatCode>General</c:formatCode>
                <c:ptCount val="6"/>
                <c:pt idx="0">
                  <c:v>0</c:v>
                </c:pt>
                <c:pt idx="1">
                  <c:v>0</c:v>
                </c:pt>
                <c:pt idx="2" formatCode="0.00%">
                  <c:v>0</c:v>
                </c:pt>
                <c:pt idx="3"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F-98EA-E646-9398-E5B2B7B08335}"/>
            </c:ext>
          </c:extLst>
        </c:ser>
        <c:ser>
          <c:idx val="16"/>
          <c:order val="16"/>
          <c:spPr>
            <a:solidFill>
              <a:srgbClr val="FFFFFF"/>
            </a:solidFill>
            <a:ln cmpd="sng">
              <a:solidFill>
                <a:srgbClr val="000000"/>
              </a:solidFill>
            </a:ln>
          </c:spPr>
          <c:invertIfNegative val="1"/>
          <c:val>
            <c:numRef>
              <c:f>Summary!$J$3:$J$13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0-98EA-E646-9398-E5B2B7B08335}"/>
            </c:ext>
          </c:extLst>
        </c:ser>
        <c:ser>
          <c:idx val="17"/>
          <c:order val="17"/>
          <c:spPr>
            <a:solidFill>
              <a:srgbClr val="FFFFFF"/>
            </a:solidFill>
            <a:ln cmpd="sng">
              <a:solidFill>
                <a:srgbClr val="000000"/>
              </a:solidFill>
            </a:ln>
          </c:spPr>
          <c:invertIfNegative val="1"/>
          <c:val>
            <c:numRef>
              <c:f>Summary!$J$18:$J$23</c:f>
              <c:numCache>
                <c:formatCode>General</c:formatCode>
                <c:ptCount val="6"/>
                <c:pt idx="0">
                  <c:v>0</c:v>
                </c:pt>
                <c:pt idx="1">
                  <c:v>0</c:v>
                </c:pt>
                <c:pt idx="2" formatCode="0.00%">
                  <c:v>0</c:v>
                </c:pt>
                <c:pt idx="3" formatCode="0.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1-98EA-E646-9398-E5B2B7B08335}"/>
            </c:ext>
          </c:extLst>
        </c:ser>
        <c:dLbls>
          <c:showLegendKey val="0"/>
          <c:showVal val="0"/>
          <c:showCatName val="0"/>
          <c:showSerName val="0"/>
          <c:showPercent val="0"/>
          <c:showBubbleSize val="0"/>
        </c:dLbls>
        <c:gapWidth val="150"/>
        <c:axId val="1726946470"/>
        <c:axId val="1402493993"/>
      </c:barChart>
      <c:catAx>
        <c:axId val="1726946470"/>
        <c:scaling>
          <c:orientation val="minMax"/>
        </c:scaling>
        <c:delete val="0"/>
        <c:axPos val="b"/>
        <c:title>
          <c:tx>
            <c:rich>
              <a:bodyPr/>
              <a:lstStyle/>
              <a:p>
                <a:pPr lvl="0">
                  <a:defRPr b="0">
                    <a:solidFill>
                      <a:srgbClr val="000000"/>
                    </a:solidFill>
                    <a:latin typeface="+mn-lt"/>
                  </a:defRPr>
                </a:pPr>
                <a:endParaRPr lang="en-CH"/>
              </a:p>
            </c:rich>
          </c:tx>
          <c:overlay val="0"/>
        </c:title>
        <c:numFmt formatCode="General" sourceLinked="1"/>
        <c:majorTickMark val="none"/>
        <c:minorTickMark val="none"/>
        <c:tickLblPos val="nextTo"/>
        <c:txPr>
          <a:bodyPr/>
          <a:lstStyle/>
          <a:p>
            <a:pPr lvl="0">
              <a:defRPr sz="900" b="0" i="0">
                <a:solidFill>
                  <a:schemeClr val="lt1"/>
                </a:solidFill>
                <a:latin typeface="Calibri"/>
              </a:defRPr>
            </a:pPr>
            <a:endParaRPr lang="en-CH"/>
          </a:p>
        </c:txPr>
        <c:crossAx val="1402493993"/>
        <c:crosses val="autoZero"/>
        <c:auto val="1"/>
        <c:lblAlgn val="ctr"/>
        <c:lblOffset val="100"/>
        <c:noMultiLvlLbl val="1"/>
      </c:catAx>
      <c:valAx>
        <c:axId val="140249399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CH"/>
              </a:p>
            </c:rich>
          </c:tx>
          <c:overlay val="0"/>
        </c:title>
        <c:numFmt formatCode="General" sourceLinked="1"/>
        <c:majorTickMark val="none"/>
        <c:minorTickMark val="none"/>
        <c:tickLblPos val="nextTo"/>
        <c:spPr>
          <a:ln/>
        </c:spPr>
        <c:txPr>
          <a:bodyPr/>
          <a:lstStyle/>
          <a:p>
            <a:pPr lvl="0">
              <a:defRPr sz="900" b="0" i="0">
                <a:solidFill>
                  <a:schemeClr val="lt1"/>
                </a:solidFill>
                <a:latin typeface="Calibri"/>
              </a:defRPr>
            </a:pPr>
            <a:endParaRPr lang="en-CH"/>
          </a:p>
        </c:txPr>
        <c:crossAx val="1726946470"/>
        <c:crosses val="autoZero"/>
        <c:crossBetween val="between"/>
      </c:valAx>
    </c:plotArea>
    <c:legend>
      <c:legendPos val="b"/>
      <c:overlay val="0"/>
      <c:txPr>
        <a:bodyPr/>
        <a:lstStyle/>
        <a:p>
          <a:pPr lvl="0">
            <a:defRPr sz="900" b="0" i="0">
              <a:solidFill>
                <a:schemeClr val="lt1"/>
              </a:solidFill>
              <a:latin typeface="Calibri"/>
            </a:defRPr>
          </a:pPr>
          <a:endParaRPr lang="en-CH"/>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3</xdr:col>
      <xdr:colOff>819150</xdr:colOff>
      <xdr:row>56</xdr:row>
      <xdr:rowOff>171450</xdr:rowOff>
    </xdr:from>
    <xdr:ext cx="9372600" cy="88296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664463" y="0"/>
          <a:ext cx="9363075" cy="75600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350"/>
            <a:buFont typeface="Calibri"/>
            <a:buNone/>
          </a:pPr>
          <a:r>
            <a:rPr lang="en-US" sz="1400" b="1">
              <a:solidFill>
                <a:schemeClr val="dk1"/>
              </a:solidFill>
              <a:latin typeface="Calibri"/>
              <a:ea typeface="Calibri"/>
              <a:cs typeface="Calibri"/>
              <a:sym typeface="Calibri"/>
            </a:rPr>
            <a:t>Shipping Information </a:t>
          </a:r>
          <a:endParaRPr sz="1400"/>
        </a:p>
        <a:p>
          <a:pPr marL="0" lvl="0" indent="0" algn="l" rtl="0">
            <a:spcBef>
              <a:spcPts val="0"/>
            </a:spcBef>
            <a:spcAft>
              <a:spcPts val="0"/>
            </a:spcAft>
            <a:buSzPts val="300"/>
            <a:buFont typeface="Arial"/>
            <a:buNone/>
          </a:pPr>
          <a:endParaRPr sz="1200" b="1"/>
        </a:p>
        <a:p>
          <a:pPr marL="0" lvl="0" indent="0" algn="l" rtl="0">
            <a:spcBef>
              <a:spcPts val="0"/>
            </a:spcBef>
            <a:spcAft>
              <a:spcPts val="0"/>
            </a:spcAft>
            <a:buClr>
              <a:schemeClr val="dk1"/>
            </a:buClr>
            <a:buSzPts val="300"/>
            <a:buFont typeface="Calibri"/>
            <a:buNone/>
          </a:pPr>
          <a:r>
            <a:rPr lang="en-US" sz="1200" b="0">
              <a:solidFill>
                <a:schemeClr val="dk1"/>
              </a:solidFill>
              <a:latin typeface="Calibri"/>
              <a:ea typeface="Calibri"/>
              <a:cs typeface="Calibri"/>
              <a:sym typeface="Calibri"/>
            </a:rPr>
            <a:t>1. </a:t>
          </a:r>
          <a:r>
            <a:rPr lang="en-US" sz="1200" b="1">
              <a:solidFill>
                <a:schemeClr val="dk1"/>
              </a:solidFill>
              <a:latin typeface="Calibri"/>
              <a:ea typeface="Calibri"/>
              <a:cs typeface="Calibri"/>
              <a:sym typeface="Calibri"/>
            </a:rPr>
            <a:t>Loading Dock or Liftgate? </a:t>
          </a:r>
          <a:r>
            <a:rPr lang="en-US" sz="1200" b="0">
              <a:solidFill>
                <a:schemeClr val="dk1"/>
              </a:solidFill>
              <a:latin typeface="Calibri"/>
              <a:ea typeface="Calibri"/>
              <a:cs typeface="Calibri"/>
              <a:sym typeface="Calibri"/>
            </a:rPr>
            <a:t>Pallet shipped orders require a liftgate service charge if you don't have a dock. Please let us know.</a:t>
          </a:r>
          <a:endParaRPr sz="1400"/>
        </a:p>
        <a:p>
          <a:pPr marL="0" lvl="0" indent="0" algn="l" rtl="0">
            <a:spcBef>
              <a:spcPts val="0"/>
            </a:spcBef>
            <a:spcAft>
              <a:spcPts val="0"/>
            </a:spcAft>
            <a:buSzPts val="1200"/>
            <a:buFont typeface="Arial"/>
            <a:buNone/>
          </a:pPr>
          <a:endParaRPr sz="1200" b="1"/>
        </a:p>
        <a:p>
          <a:pPr marL="0" lvl="0" indent="0" algn="l" rtl="0">
            <a:spcBef>
              <a:spcPts val="0"/>
            </a:spcBef>
            <a:spcAft>
              <a:spcPts val="0"/>
            </a:spcAft>
            <a:buClr>
              <a:schemeClr val="dk1"/>
            </a:buClr>
            <a:buSzPts val="300"/>
            <a:buFont typeface="Calibri"/>
            <a:buNone/>
          </a:pPr>
          <a:r>
            <a:rPr lang="en-US" sz="1200">
              <a:solidFill>
                <a:schemeClr val="dk1"/>
              </a:solidFill>
              <a:latin typeface="Calibri"/>
              <a:ea typeface="Calibri"/>
              <a:cs typeface="Calibri"/>
              <a:sym typeface="Calibri"/>
            </a:rPr>
            <a:t>2. </a:t>
          </a:r>
          <a:r>
            <a:rPr lang="en-US" sz="1200" b="1">
              <a:solidFill>
                <a:schemeClr val="dk1"/>
              </a:solidFill>
              <a:latin typeface="Calibri"/>
              <a:ea typeface="Calibri"/>
              <a:cs typeface="Calibri"/>
              <a:sym typeface="Calibri"/>
            </a:rPr>
            <a:t>Turnaround Time: </a:t>
          </a:r>
          <a:r>
            <a:rPr lang="en-US" sz="1200" b="0">
              <a:solidFill>
                <a:schemeClr val="dk1"/>
              </a:solidFill>
              <a:latin typeface="Calibri"/>
              <a:ea typeface="Calibri"/>
              <a:cs typeface="Calibri"/>
              <a:sym typeface="Calibri"/>
            </a:rPr>
            <a:t>Normally</a:t>
          </a:r>
          <a:r>
            <a:rPr lang="en-US" sz="1200">
              <a:solidFill>
                <a:schemeClr val="dk1"/>
              </a:solidFill>
              <a:latin typeface="Calibri"/>
              <a:ea typeface="Calibri"/>
              <a:cs typeface="Calibri"/>
              <a:sym typeface="Calibri"/>
            </a:rPr>
            <a:t> 30-60 days depending on size and specs of order and manufacturer’s production schedule. 	~ Small or any color orders can be faster. </a:t>
          </a:r>
          <a:endParaRPr sz="1400"/>
        </a:p>
        <a:p>
          <a:pPr marL="0" lvl="0" indent="0" algn="l" rtl="0">
            <a:spcBef>
              <a:spcPts val="0"/>
            </a:spcBef>
            <a:spcAft>
              <a:spcPts val="0"/>
            </a:spcAft>
            <a:buClr>
              <a:schemeClr val="dk1"/>
            </a:buClr>
            <a:buSzPts val="300"/>
            <a:buFont typeface="Calibri"/>
            <a:buNone/>
          </a:pPr>
          <a:r>
            <a:rPr lang="en-US" sz="1200">
              <a:solidFill>
                <a:schemeClr val="dk1"/>
              </a:solidFill>
              <a:latin typeface="Calibri"/>
              <a:ea typeface="Calibri"/>
              <a:cs typeface="Calibri"/>
              <a:sym typeface="Calibri"/>
            </a:rPr>
            <a:t>	~ Super Bulk orders can be slower. </a:t>
          </a:r>
          <a:endParaRPr sz="1400"/>
        </a:p>
        <a:p>
          <a:pPr marL="0" lvl="0" indent="0" algn="l" rtl="0">
            <a:spcBef>
              <a:spcPts val="0"/>
            </a:spcBef>
            <a:spcAft>
              <a:spcPts val="0"/>
            </a:spcAft>
            <a:buClr>
              <a:schemeClr val="dk1"/>
            </a:buClr>
            <a:buSzPts val="300"/>
            <a:buFont typeface="Calibri"/>
            <a:buNone/>
          </a:pPr>
          <a:r>
            <a:rPr lang="en-US" sz="1200">
              <a:solidFill>
                <a:schemeClr val="dk1"/>
              </a:solidFill>
              <a:latin typeface="Calibri"/>
              <a:ea typeface="Calibri"/>
              <a:cs typeface="Calibri"/>
              <a:sym typeface="Calibri"/>
            </a:rPr>
            <a:t>		~ We recommend placing a space saver at least 3 months in advance from need-by date for </a:t>
          </a:r>
          <a:endParaRPr sz="1400"/>
        </a:p>
        <a:p>
          <a:pPr marL="0" lvl="0" indent="0" algn="l" rtl="0">
            <a:spcBef>
              <a:spcPts val="0"/>
            </a:spcBef>
            <a:spcAft>
              <a:spcPts val="0"/>
            </a:spcAft>
            <a:buClr>
              <a:schemeClr val="dk1"/>
            </a:buClr>
            <a:buSzPts val="300"/>
            <a:buFont typeface="Calibri"/>
            <a:buNone/>
          </a:pPr>
          <a:r>
            <a:rPr lang="en-US" sz="1200">
              <a:solidFill>
                <a:schemeClr val="dk1"/>
              </a:solidFill>
              <a:latin typeface="Calibri"/>
              <a:ea typeface="Calibri"/>
              <a:cs typeface="Calibri"/>
              <a:sym typeface="Calibri"/>
            </a:rPr>
            <a:t>		    Super Bulk orders.</a:t>
          </a:r>
          <a:endParaRPr sz="1200">
            <a:solidFill>
              <a:schemeClr val="dk1"/>
            </a:solidFill>
            <a:latin typeface="Calibri"/>
            <a:ea typeface="Calibri"/>
            <a:cs typeface="Calibri"/>
            <a:sym typeface="Calibri"/>
          </a:endParaRPr>
        </a:p>
        <a:p>
          <a:pPr marL="0" lvl="0" indent="0" algn="l" rtl="0">
            <a:spcBef>
              <a:spcPts val="0"/>
            </a:spcBef>
            <a:spcAft>
              <a:spcPts val="0"/>
            </a:spcAft>
            <a:buSzPts val="1200"/>
            <a:buFont typeface="Arial"/>
            <a:buNone/>
          </a:pPr>
          <a:endParaRPr sz="120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300"/>
            <a:buFont typeface="Calibri"/>
            <a:buNone/>
          </a:pPr>
          <a:r>
            <a:rPr lang="en-US" sz="1200">
              <a:solidFill>
                <a:schemeClr val="dk1"/>
              </a:solidFill>
              <a:latin typeface="Calibri"/>
              <a:ea typeface="Calibri"/>
              <a:cs typeface="Calibri"/>
              <a:sym typeface="Calibri"/>
            </a:rPr>
            <a:t>3. </a:t>
          </a:r>
          <a:r>
            <a:rPr lang="en-US" sz="1200" b="1">
              <a:solidFill>
                <a:schemeClr val="dk1"/>
              </a:solidFill>
              <a:latin typeface="Calibri"/>
              <a:ea typeface="Calibri"/>
              <a:cs typeface="Calibri"/>
              <a:sym typeface="Calibri"/>
            </a:rPr>
            <a:t>RUSH or DELAY: </a:t>
          </a:r>
          <a:r>
            <a:rPr lang="en-US" sz="1200">
              <a:solidFill>
                <a:schemeClr val="dk1"/>
              </a:solidFill>
              <a:latin typeface="Calibri"/>
              <a:ea typeface="Calibri"/>
              <a:cs typeface="Calibri"/>
              <a:sym typeface="Calibri"/>
            </a:rPr>
            <a:t>Should you have any specific ship/delivery date needs please notify your sales rep immediately so this can be arranged accordingly with the manufacturer. </a:t>
          </a:r>
          <a:endParaRPr sz="1400"/>
        </a:p>
        <a:p>
          <a:pPr marL="0" lvl="0" indent="0" algn="l" rtl="0">
            <a:spcBef>
              <a:spcPts val="0"/>
            </a:spcBef>
            <a:spcAft>
              <a:spcPts val="0"/>
            </a:spcAft>
            <a:buClr>
              <a:schemeClr val="dk1"/>
            </a:buClr>
            <a:buSzPts val="300"/>
            <a:buFont typeface="Calibri"/>
            <a:buNone/>
          </a:pPr>
          <a:r>
            <a:rPr lang="en-US" sz="1200">
              <a:solidFill>
                <a:schemeClr val="dk1"/>
              </a:solidFill>
              <a:latin typeface="Calibri"/>
              <a:ea typeface="Calibri"/>
              <a:cs typeface="Calibri"/>
              <a:sym typeface="Calibri"/>
            </a:rPr>
            <a:t>	~ </a:t>
          </a:r>
          <a:r>
            <a:rPr lang="en-US" sz="1200" b="1">
              <a:solidFill>
                <a:schemeClr val="dk1"/>
              </a:solidFill>
              <a:latin typeface="Calibri"/>
              <a:ea typeface="Calibri"/>
              <a:cs typeface="Calibri"/>
              <a:sym typeface="Calibri"/>
            </a:rPr>
            <a:t>Shelf stock</a:t>
          </a:r>
          <a:r>
            <a:rPr lang="en-US" sz="1200">
              <a:solidFill>
                <a:schemeClr val="dk1"/>
              </a:solidFill>
              <a:latin typeface="Calibri"/>
              <a:ea typeface="Calibri"/>
              <a:cs typeface="Calibri"/>
              <a:sym typeface="Calibri"/>
            </a:rPr>
            <a:t> may be available if you need a super rush and production is too slow, so please give us a chance </a:t>
          </a:r>
          <a:endParaRPr sz="1400"/>
        </a:p>
        <a:p>
          <a:pPr marL="0" lvl="0" indent="0" algn="l" rtl="0">
            <a:spcBef>
              <a:spcPts val="0"/>
            </a:spcBef>
            <a:spcAft>
              <a:spcPts val="0"/>
            </a:spcAft>
            <a:buClr>
              <a:schemeClr val="dk1"/>
            </a:buClr>
            <a:buSzPts val="300"/>
            <a:buFont typeface="Calibri"/>
            <a:buNone/>
          </a:pPr>
          <a:r>
            <a:rPr lang="en-US" sz="1200">
              <a:solidFill>
                <a:schemeClr val="dk1"/>
              </a:solidFill>
              <a:latin typeface="Calibri"/>
              <a:ea typeface="Calibri"/>
              <a:cs typeface="Calibri"/>
              <a:sym typeface="Calibri"/>
            </a:rPr>
            <a:t>	    to try and make your timeline work!</a:t>
          </a:r>
          <a:endParaRPr sz="1200">
            <a:solidFill>
              <a:schemeClr val="dk1"/>
            </a:solidFill>
            <a:latin typeface="Calibri"/>
            <a:ea typeface="Calibri"/>
            <a:cs typeface="Calibri"/>
            <a:sym typeface="Calibri"/>
          </a:endParaRPr>
        </a:p>
        <a:p>
          <a:pPr marL="0" lvl="0" indent="0" algn="l" rtl="0">
            <a:spcBef>
              <a:spcPts val="0"/>
            </a:spcBef>
            <a:spcAft>
              <a:spcPts val="0"/>
            </a:spcAft>
            <a:buSzPts val="1200"/>
            <a:buFont typeface="Arial"/>
            <a:buNone/>
          </a:pPr>
          <a:endParaRPr sz="1200" b="1">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300"/>
            <a:buFont typeface="Calibri"/>
            <a:buNone/>
          </a:pPr>
          <a:r>
            <a:rPr lang="en-US" sz="1200" b="0">
              <a:solidFill>
                <a:schemeClr val="dk1"/>
              </a:solidFill>
              <a:latin typeface="Calibri"/>
              <a:ea typeface="Calibri"/>
              <a:cs typeface="Calibri"/>
              <a:sym typeface="Calibri"/>
            </a:rPr>
            <a:t>4. </a:t>
          </a:r>
          <a:r>
            <a:rPr lang="en-US" sz="1200" b="1">
              <a:solidFill>
                <a:schemeClr val="dk1"/>
              </a:solidFill>
              <a:latin typeface="Calibri"/>
              <a:ea typeface="Calibri"/>
              <a:cs typeface="Calibri"/>
              <a:sym typeface="Calibri"/>
            </a:rPr>
            <a:t>Ship date estimates </a:t>
          </a:r>
          <a:r>
            <a:rPr lang="en-US" sz="1200" b="0">
              <a:solidFill>
                <a:schemeClr val="dk1"/>
              </a:solidFill>
              <a:latin typeface="Calibri"/>
              <a:ea typeface="Calibri"/>
              <a:cs typeface="Calibri"/>
              <a:sym typeface="Calibri"/>
            </a:rPr>
            <a:t>are available upon request.</a:t>
          </a:r>
          <a:endParaRPr sz="1400"/>
        </a:p>
        <a:p>
          <a:pPr marL="0" lvl="0" indent="0" algn="l" rtl="0">
            <a:spcBef>
              <a:spcPts val="0"/>
            </a:spcBef>
            <a:spcAft>
              <a:spcPts val="0"/>
            </a:spcAft>
            <a:buSzPts val="300"/>
            <a:buFont typeface="Arial"/>
            <a:buNone/>
          </a:pPr>
          <a:endParaRPr sz="1200" b="0">
            <a:solidFill>
              <a:schemeClr val="dk1"/>
            </a:solidFill>
            <a:latin typeface="Calibri"/>
            <a:ea typeface="Calibri"/>
            <a:cs typeface="Calibri"/>
            <a:sym typeface="Calibri"/>
          </a:endParaRPr>
        </a:p>
        <a:p>
          <a:pPr marL="0" marR="0" lvl="0" indent="0" algn="l" rtl="0">
            <a:lnSpc>
              <a:spcPct val="100000"/>
            </a:lnSpc>
            <a:spcBef>
              <a:spcPts val="0"/>
            </a:spcBef>
            <a:spcAft>
              <a:spcPts val="0"/>
            </a:spcAft>
            <a:buClr>
              <a:schemeClr val="dk1"/>
            </a:buClr>
            <a:buSzPts val="300"/>
            <a:buFont typeface="Calibri"/>
            <a:buNone/>
          </a:pPr>
          <a:r>
            <a:rPr lang="en-US" sz="1200" b="0">
              <a:solidFill>
                <a:schemeClr val="dk1"/>
              </a:solidFill>
              <a:latin typeface="Calibri"/>
              <a:ea typeface="Calibri"/>
              <a:cs typeface="Calibri"/>
              <a:sym typeface="Calibri"/>
            </a:rPr>
            <a:t>5. </a:t>
          </a:r>
          <a:r>
            <a:rPr lang="en-US" sz="1200" b="1" i="0">
              <a:solidFill>
                <a:srgbClr val="000000"/>
              </a:solidFill>
              <a:latin typeface="Calibri"/>
              <a:ea typeface="Calibri"/>
              <a:cs typeface="Calibri"/>
              <a:sym typeface="Calibri"/>
            </a:rPr>
            <a:t>International Shipments:</a:t>
          </a:r>
          <a:r>
            <a:rPr lang="en-US" sz="1200" b="0" i="0">
              <a:solidFill>
                <a:srgbClr val="000000"/>
              </a:solidFill>
              <a:latin typeface="Calibri"/>
              <a:ea typeface="Calibri"/>
              <a:cs typeface="Calibri"/>
              <a:sym typeface="Calibri"/>
            </a:rPr>
            <a:t> </a:t>
          </a:r>
          <a:r>
            <a:rPr lang="en-US" sz="1200" b="0" i="0">
              <a:latin typeface="Calibri"/>
              <a:ea typeface="Calibri"/>
              <a:cs typeface="Calibri"/>
              <a:sym typeface="Calibri"/>
            </a:rPr>
            <a:t>Kilter is not responsible for any additional customs charges or fees once your package has left our manufacturer. Customs charges and fees are the sole responsibility of the purchaser. If you are unfamiliar with customs fees and charges, please speak to your local distributor or postal/customs office for more information.</a:t>
          </a:r>
          <a:endParaRPr sz="1400"/>
        </a:p>
        <a:p>
          <a:pPr marL="0" marR="0" lvl="0" indent="0" algn="l" rtl="0">
            <a:lnSpc>
              <a:spcPct val="100000"/>
            </a:lnSpc>
            <a:spcBef>
              <a:spcPts val="0"/>
            </a:spcBef>
            <a:spcAft>
              <a:spcPts val="0"/>
            </a:spcAft>
            <a:buSzPts val="300"/>
            <a:buFont typeface="Arial"/>
            <a:buNone/>
          </a:pPr>
          <a:endParaRPr sz="1200" b="0" i="0">
            <a:solidFill>
              <a:schemeClr val="dk1"/>
            </a:solidFill>
            <a:latin typeface="Calibri"/>
            <a:ea typeface="Calibri"/>
            <a:cs typeface="Calibri"/>
            <a:sym typeface="Calibri"/>
          </a:endParaRPr>
        </a:p>
        <a:p>
          <a:pPr marL="0" marR="0" lvl="0" indent="0" algn="l" rtl="0">
            <a:lnSpc>
              <a:spcPct val="100000"/>
            </a:lnSpc>
            <a:spcBef>
              <a:spcPts val="0"/>
            </a:spcBef>
            <a:spcAft>
              <a:spcPts val="0"/>
            </a:spcAft>
            <a:buClr>
              <a:schemeClr val="dk1"/>
            </a:buClr>
            <a:buSzPts val="300"/>
            <a:buFont typeface="Calibri"/>
            <a:buNone/>
          </a:pPr>
          <a:r>
            <a:rPr lang="en-US" sz="1200" b="0" i="0">
              <a:solidFill>
                <a:schemeClr val="dk1"/>
              </a:solidFill>
              <a:latin typeface="Calibri"/>
              <a:ea typeface="Calibri"/>
              <a:cs typeface="Calibri"/>
              <a:sym typeface="Calibri"/>
            </a:rPr>
            <a:t>6. </a:t>
          </a:r>
          <a:r>
            <a:rPr lang="en-US" sz="1200" b="1" i="0">
              <a:solidFill>
                <a:schemeClr val="dk1"/>
              </a:solidFill>
              <a:latin typeface="Calibri"/>
              <a:ea typeface="Calibri"/>
              <a:cs typeface="Calibri"/>
              <a:sym typeface="Calibri"/>
            </a:rPr>
            <a:t>From Composite-X to US/Canada Direct To You: </a:t>
          </a:r>
          <a:r>
            <a:rPr lang="en-US" sz="1200" b="0" i="0">
              <a:solidFill>
                <a:schemeClr val="dk1"/>
              </a:solidFill>
              <a:latin typeface="Calibri"/>
              <a:ea typeface="Calibri"/>
              <a:cs typeface="Calibri"/>
              <a:sym typeface="Calibri"/>
            </a:rPr>
            <a:t>For Kilter sets produced in Europe the ship cost direct to you can be estimated using $100 flat fee + $1.8/lb of holds (this covers holds and packaging). This price includes customs fees so you should not have any additional charges. Turnaround time is similar to Aragon orders for direct shipments from Composite-X to you.</a:t>
          </a:r>
          <a:endParaRPr sz="1400"/>
        </a:p>
        <a:p>
          <a:pPr marL="0" marR="0" lvl="0" indent="0" algn="l" rtl="0">
            <a:lnSpc>
              <a:spcPct val="100000"/>
            </a:lnSpc>
            <a:spcBef>
              <a:spcPts val="0"/>
            </a:spcBef>
            <a:spcAft>
              <a:spcPts val="0"/>
            </a:spcAft>
            <a:buSzPts val="300"/>
            <a:buFont typeface="Arial"/>
            <a:buNone/>
          </a:pPr>
          <a:endParaRPr sz="1200" b="0" i="0">
            <a:solidFill>
              <a:schemeClr val="dk1"/>
            </a:solidFill>
            <a:latin typeface="Calibri"/>
            <a:ea typeface="Calibri"/>
            <a:cs typeface="Calibri"/>
            <a:sym typeface="Calibri"/>
          </a:endParaRPr>
        </a:p>
        <a:p>
          <a:pPr marL="0" marR="0" lvl="0" indent="0" algn="l" rtl="0">
            <a:lnSpc>
              <a:spcPct val="100000"/>
            </a:lnSpc>
            <a:spcBef>
              <a:spcPts val="0"/>
            </a:spcBef>
            <a:spcAft>
              <a:spcPts val="0"/>
            </a:spcAft>
            <a:buClr>
              <a:schemeClr val="dk1"/>
            </a:buClr>
            <a:buSzPts val="300"/>
            <a:buFont typeface="Calibri"/>
            <a:buNone/>
          </a:pPr>
          <a:r>
            <a:rPr lang="en-US" sz="1200" b="0" i="0">
              <a:solidFill>
                <a:schemeClr val="dk1"/>
              </a:solidFill>
              <a:latin typeface="Calibri"/>
              <a:ea typeface="Calibri"/>
              <a:cs typeface="Calibri"/>
              <a:sym typeface="Calibri"/>
            </a:rPr>
            <a:t>7. </a:t>
          </a:r>
          <a:r>
            <a:rPr lang="en-US" sz="1200" b="1" i="0">
              <a:solidFill>
                <a:schemeClr val="dk1"/>
              </a:solidFill>
              <a:latin typeface="Calibri"/>
              <a:ea typeface="Calibri"/>
              <a:cs typeface="Calibri"/>
              <a:sym typeface="Calibri"/>
            </a:rPr>
            <a:t>From Composite-X to US/Canada As Part of a Group Order (ships to us first):</a:t>
          </a:r>
          <a:r>
            <a:rPr lang="en-US" sz="1200" b="0" i="0">
              <a:solidFill>
                <a:schemeClr val="dk1"/>
              </a:solidFill>
              <a:latin typeface="Calibri"/>
              <a:ea typeface="Calibri"/>
              <a:cs typeface="Calibri"/>
              <a:sym typeface="Calibri"/>
            </a:rPr>
            <a:t> If you only have a few sets it's cheaper to have them sent to us as part of a group order then have us send them to you BUT it will take a while longer. Call us to find out when our next group order is scheduled and that'll give you a better idea if it fits your timeline before you confirm the order.</a:t>
          </a:r>
          <a:endParaRPr sz="1200" b="0">
            <a:solidFill>
              <a:schemeClr val="dk1"/>
            </a:solidFill>
            <a:latin typeface="Calibri"/>
            <a:ea typeface="Calibri"/>
            <a:cs typeface="Calibri"/>
            <a:sym typeface="Calibri"/>
          </a:endParaRPr>
        </a:p>
        <a:p>
          <a:pPr marL="0" lvl="0" indent="0" algn="l" rtl="0">
            <a:spcBef>
              <a:spcPts val="0"/>
            </a:spcBef>
            <a:spcAft>
              <a:spcPts val="0"/>
            </a:spcAft>
            <a:buSzPts val="300"/>
            <a:buFont typeface="Arial"/>
            <a:buNone/>
          </a:pPr>
          <a:endParaRPr sz="1200" b="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300"/>
            <a:buFont typeface="Calibri"/>
            <a:buNone/>
          </a:pPr>
          <a:r>
            <a:rPr lang="en-US" sz="1200" b="0">
              <a:solidFill>
                <a:schemeClr val="dk1"/>
              </a:solidFill>
              <a:latin typeface="Calibri"/>
              <a:ea typeface="Calibri"/>
              <a:cs typeface="Calibri"/>
              <a:sym typeface="Calibri"/>
            </a:rPr>
            <a:t>8. </a:t>
          </a:r>
          <a:r>
            <a:rPr lang="en-US" sz="1200" b="1">
              <a:solidFill>
                <a:schemeClr val="dk1"/>
              </a:solidFill>
              <a:latin typeface="Calibri"/>
              <a:ea typeface="Calibri"/>
              <a:cs typeface="Calibri"/>
              <a:sym typeface="Calibri"/>
            </a:rPr>
            <a:t>Coshipping Setter Closet Brands: </a:t>
          </a:r>
          <a:r>
            <a:rPr lang="en-US" sz="1200" b="0">
              <a:solidFill>
                <a:schemeClr val="dk1"/>
              </a:solidFill>
              <a:latin typeface="Calibri"/>
              <a:ea typeface="Calibri"/>
              <a:cs typeface="Calibri"/>
              <a:sym typeface="Calibri"/>
            </a:rPr>
            <a:t>Kilter, UP, Haptic and F-Bloc can coship from the US or Europe Production Facilities to anywhere in the world. </a:t>
          </a:r>
          <a:endParaRPr sz="1400"/>
        </a:p>
        <a:p>
          <a:pPr marL="0" lvl="0" indent="0" algn="l" rtl="0">
            <a:spcBef>
              <a:spcPts val="0"/>
            </a:spcBef>
            <a:spcAft>
              <a:spcPts val="0"/>
            </a:spcAft>
            <a:buSzPts val="300"/>
            <a:buFont typeface="Arial"/>
            <a:buNone/>
          </a:pPr>
          <a:endParaRPr sz="1200" b="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300"/>
            <a:buFont typeface="Calibri"/>
            <a:buNone/>
          </a:pPr>
          <a:r>
            <a:rPr lang="en-US" sz="1200" b="0">
              <a:solidFill>
                <a:schemeClr val="dk1"/>
              </a:solidFill>
              <a:latin typeface="Calibri"/>
              <a:ea typeface="Calibri"/>
              <a:cs typeface="Calibri"/>
              <a:sym typeface="Calibri"/>
            </a:rPr>
            <a:t>9. </a:t>
          </a:r>
          <a:r>
            <a:rPr lang="en-US" sz="1200" b="1">
              <a:solidFill>
                <a:schemeClr val="dk1"/>
              </a:solidFill>
              <a:latin typeface="Calibri"/>
              <a:ea typeface="Calibri"/>
              <a:cs typeface="Calibri"/>
              <a:sym typeface="Calibri"/>
            </a:rPr>
            <a:t>Coshipping w/other brands:</a:t>
          </a:r>
          <a:r>
            <a:rPr lang="en-US" sz="1200" b="0">
              <a:solidFill>
                <a:schemeClr val="dk1"/>
              </a:solidFill>
              <a:latin typeface="Calibri"/>
              <a:ea typeface="Calibri"/>
              <a:cs typeface="Calibri"/>
              <a:sym typeface="Calibri"/>
            </a:rPr>
            <a:t> If you'd like us to coship with other brands it can be done on a case-by-case basis if the other brand also agrees. Sometimes we can accept shipments to Aragon from smaller brands and have them palleted or shipped Internationally with your order from us. Call or email us with requests.</a:t>
          </a:r>
          <a:endParaRPr sz="1400"/>
        </a:p>
        <a:p>
          <a:pPr marL="0" lvl="0" indent="0" algn="l" rtl="0">
            <a:spcBef>
              <a:spcPts val="0"/>
            </a:spcBef>
            <a:spcAft>
              <a:spcPts val="0"/>
            </a:spcAft>
            <a:buSzPts val="300"/>
            <a:buFont typeface="Arial"/>
            <a:buNone/>
          </a:pPr>
          <a:endParaRPr sz="1200" b="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300"/>
            <a:buFont typeface="Calibri"/>
            <a:buNone/>
          </a:pPr>
          <a:r>
            <a:rPr lang="en-US" sz="1200" b="0">
              <a:solidFill>
                <a:schemeClr val="dk1"/>
              </a:solidFill>
              <a:latin typeface="Calibri"/>
              <a:ea typeface="Calibri"/>
              <a:cs typeface="Calibri"/>
              <a:sym typeface="Calibri"/>
            </a:rPr>
            <a:t>10. </a:t>
          </a:r>
          <a:r>
            <a:rPr lang="en-US" sz="1200" b="1">
              <a:solidFill>
                <a:schemeClr val="dk1"/>
              </a:solidFill>
              <a:latin typeface="Calibri"/>
              <a:ea typeface="Calibri"/>
              <a:cs typeface="Calibri"/>
              <a:sym typeface="Calibri"/>
            </a:rPr>
            <a:t>Walltopia Customers:</a:t>
          </a:r>
          <a:r>
            <a:rPr lang="en-US" sz="1200" b="0">
              <a:solidFill>
                <a:schemeClr val="dk1"/>
              </a:solidFill>
              <a:latin typeface="Calibri"/>
              <a:ea typeface="Calibri"/>
              <a:cs typeface="Calibri"/>
              <a:sym typeface="Calibri"/>
            </a:rPr>
            <a:t> If you are buying a new Walltopia wall and want holds shipped in your container with your wall you must order them through Holdtopia USA. They should have all the same holds available from Composite-X as we have available from Composite-X. These holds are subject to Walltopia/Holdtopia's discount structure and are not included in our normal discount structure. We are happy to quote you so you can see if it's a better deal to ship free with your wall or ship separately through us at our discount rate.</a:t>
          </a:r>
          <a:endParaRPr sz="1400"/>
        </a:p>
        <a:p>
          <a:pPr marL="0" lvl="0" indent="0" algn="l" rtl="0">
            <a:spcBef>
              <a:spcPts val="0"/>
            </a:spcBef>
            <a:spcAft>
              <a:spcPts val="0"/>
            </a:spcAft>
            <a:buSzPts val="300"/>
            <a:buFont typeface="Arial"/>
            <a:buNone/>
          </a:pPr>
          <a:endParaRPr sz="1200" b="0">
            <a:solidFill>
              <a:schemeClr val="dk1"/>
            </a:solidFill>
            <a:latin typeface="Calibri"/>
            <a:ea typeface="Calibri"/>
            <a:cs typeface="Calibri"/>
            <a:sym typeface="Calibri"/>
          </a:endParaRPr>
        </a:p>
        <a:p>
          <a:pPr marL="0" lvl="0" indent="0" algn="l" rtl="0">
            <a:spcBef>
              <a:spcPts val="0"/>
            </a:spcBef>
            <a:spcAft>
              <a:spcPts val="0"/>
            </a:spcAft>
            <a:buClr>
              <a:schemeClr val="dk1"/>
            </a:buClr>
            <a:buSzPts val="300"/>
            <a:buFont typeface="Calibri"/>
            <a:buNone/>
          </a:pPr>
          <a:r>
            <a:rPr lang="en-US" sz="1200" b="0">
              <a:solidFill>
                <a:schemeClr val="dk1"/>
              </a:solidFill>
              <a:latin typeface="Calibri"/>
              <a:ea typeface="Calibri"/>
              <a:cs typeface="Calibri"/>
              <a:sym typeface="Calibri"/>
            </a:rPr>
            <a:t>11. </a:t>
          </a:r>
          <a:r>
            <a:rPr lang="en-US" sz="1200" b="1">
              <a:solidFill>
                <a:schemeClr val="dk1"/>
              </a:solidFill>
              <a:latin typeface="Calibri"/>
              <a:ea typeface="Calibri"/>
              <a:cs typeface="Calibri"/>
              <a:sym typeface="Calibri"/>
            </a:rPr>
            <a:t>Kilter Board </a:t>
          </a:r>
          <a:r>
            <a:rPr lang="en-US" sz="1200" b="0">
              <a:solidFill>
                <a:schemeClr val="dk1"/>
              </a:solidFill>
              <a:latin typeface="Calibri"/>
              <a:ea typeface="Calibri"/>
              <a:cs typeface="Calibri"/>
              <a:sym typeface="Calibri"/>
            </a:rPr>
            <a:t>holds and lights can be coshipped from Aragon with your other holds or shipped separately.</a:t>
          </a:r>
          <a:endParaRPr sz="1200" b="0">
            <a:solidFill>
              <a:schemeClr val="dk1"/>
            </a:solidFill>
            <a:latin typeface="Calibri"/>
            <a:ea typeface="Calibri"/>
            <a:cs typeface="Calibri"/>
            <a:sym typeface="Calibri"/>
          </a:endParaRPr>
        </a:p>
      </xdr:txBody>
    </xdr:sp>
    <xdr:clientData fLocksWithSheet="0"/>
  </xdr:oneCellAnchor>
  <xdr:oneCellAnchor>
    <xdr:from>
      <xdr:col>0</xdr:col>
      <xdr:colOff>28575</xdr:colOff>
      <xdr:row>3</xdr:row>
      <xdr:rowOff>0</xdr:rowOff>
    </xdr:from>
    <xdr:ext cx="8874125" cy="4127500"/>
    <xdr:sp macro="" textlink="">
      <xdr:nvSpPr>
        <xdr:cNvPr id="4" name="Shape 4">
          <a:extLst>
            <a:ext uri="{FF2B5EF4-FFF2-40B4-BE49-F238E27FC236}">
              <a16:creationId xmlns:a16="http://schemas.microsoft.com/office/drawing/2014/main" id="{00000000-0008-0000-0000-000004000000}"/>
            </a:ext>
          </a:extLst>
        </xdr:cNvPr>
        <xdr:cNvSpPr txBox="1"/>
      </xdr:nvSpPr>
      <xdr:spPr>
        <a:xfrm>
          <a:off x="28575" y="914400"/>
          <a:ext cx="8874125" cy="412750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a:solidFill>
                <a:schemeClr val="dk1"/>
              </a:solidFill>
              <a:latin typeface="Calibri"/>
              <a:ea typeface="Calibri"/>
              <a:cs typeface="Calibri"/>
              <a:sym typeface="Calibri"/>
            </a:rPr>
            <a:t>Order Form Directions</a:t>
          </a:r>
          <a:endParaRPr sz="1400"/>
        </a:p>
        <a:p>
          <a:pPr marL="0" lvl="0" indent="0" algn="l" rtl="0">
            <a:spcBef>
              <a:spcPts val="0"/>
            </a:spcBef>
            <a:spcAft>
              <a:spcPts val="0"/>
            </a:spcAft>
            <a:buNone/>
          </a:pPr>
          <a:endParaRPr sz="1100" b="1"/>
        </a:p>
        <a:p>
          <a:pPr marL="0" lvl="0" indent="0" algn="l" rtl="0">
            <a:spcBef>
              <a:spcPts val="0"/>
            </a:spcBef>
            <a:spcAft>
              <a:spcPts val="0"/>
            </a:spcAft>
            <a:buNone/>
          </a:pPr>
          <a:r>
            <a:rPr lang="en-US" sz="1100" b="1">
              <a:solidFill>
                <a:schemeClr val="dk1"/>
              </a:solidFill>
              <a:latin typeface="Calibri"/>
              <a:ea typeface="Calibri"/>
              <a:cs typeface="Calibri"/>
              <a:sym typeface="Calibri"/>
            </a:rPr>
            <a:t>1) Enter shipping and billing addresses on at least one hold sheet</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2) Confirm color codes on hold sheet with color options below</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	a) Color codes vary between Aragon and Composite X, see below</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	b) A Setter Closet sales rep can assist with color selections</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3) Hardware</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	a) Bolt and screw lists calculate on "Bolts" sheet with your order</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	b) Extra bolts and screws can be ordered, use "Additional Bolts" line at the bottom of the "Bolts" sheet</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	c) Select "Yes" at top of each hold sheet if bolts are requested; otherwise, no bolts will be sent or billed</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4) Shipping/Handling</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	a) Aragon orders require ship quotes to be calculated per order through a Setter Closet sales rep</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	b) Composite X orders can ship anywhere in the US or Canada, shipping is calculated automatically</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	c) Handling charges are assessed by all manufacturers for materials and labor to prepare your orders, charges are calculated 	automatically</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5) Summary</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	a) The "Summary" sheet can be used to guide or check your current orders for adequate distribution</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	b) Hold types, difficulty, texture, and size all calculate per color</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6) Financial</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	a) A brief order calculation is included at the top of this "Cover Page" for your review</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	b) Hold, hardware, color charge, and shipping/handling totals are included</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	c) Basic cost per hold analysis is included</a:t>
          </a:r>
          <a:endParaRPr sz="1400"/>
        </a:p>
        <a:p>
          <a:pPr marL="0" lvl="0" indent="0" algn="l" rtl="0">
            <a:spcBef>
              <a:spcPts val="0"/>
            </a:spcBef>
            <a:spcAft>
              <a:spcPts val="0"/>
            </a:spcAft>
            <a:buNone/>
          </a:pPr>
          <a:r>
            <a:rPr lang="en-US" sz="1100" b="1">
              <a:solidFill>
                <a:schemeClr val="dk1"/>
              </a:solidFill>
              <a:latin typeface="Calibri"/>
              <a:ea typeface="Calibri"/>
              <a:cs typeface="Calibri"/>
              <a:sym typeface="Calibri"/>
            </a:rPr>
            <a:t>	d) Setter Closet will only charge sales tax for orders in Colorado (customer or pickup location), consult a CPA for sales/use 	tax information on out-of-state orders	</a:t>
          </a:r>
          <a:endParaRPr sz="1400"/>
        </a:p>
        <a:p>
          <a:pPr marL="0" lvl="0" indent="0" algn="l" rtl="0">
            <a:spcBef>
              <a:spcPts val="0"/>
            </a:spcBef>
            <a:spcAft>
              <a:spcPts val="0"/>
            </a:spcAft>
            <a:buNone/>
          </a:pPr>
          <a:endParaRPr sz="1100" b="1"/>
        </a:p>
        <a:p>
          <a:pPr marL="0" lvl="0" indent="0" algn="l" rtl="0">
            <a:spcBef>
              <a:spcPts val="0"/>
            </a:spcBef>
            <a:spcAft>
              <a:spcPts val="0"/>
            </a:spcAft>
            <a:buNone/>
          </a:pPr>
          <a:endParaRPr sz="1100" b="0"/>
        </a:p>
      </xdr:txBody>
    </xdr:sp>
    <xdr:clientData fLocksWithSheet="0"/>
  </xdr:oneCellAnchor>
  <xdr:oneCellAnchor>
    <xdr:from>
      <xdr:col>5</xdr:col>
      <xdr:colOff>381000</xdr:colOff>
      <xdr:row>1</xdr:row>
      <xdr:rowOff>161925</xdr:rowOff>
    </xdr:from>
    <xdr:ext cx="1257300" cy="1181100"/>
    <xdr:pic>
      <xdr:nvPicPr>
        <xdr:cNvPr id="2" name="image2.png" descr="kiliter-K-small copy.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819150</xdr:colOff>
      <xdr:row>0</xdr:row>
      <xdr:rowOff>9525</xdr:rowOff>
    </xdr:from>
    <xdr:ext cx="1695450" cy="1228725"/>
    <xdr:pic>
      <xdr:nvPicPr>
        <xdr:cNvPr id="5" name="image1.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876300</xdr:colOff>
      <xdr:row>4</xdr:row>
      <xdr:rowOff>0</xdr:rowOff>
    </xdr:from>
    <xdr:ext cx="1533525" cy="1000125"/>
    <xdr:pic>
      <xdr:nvPicPr>
        <xdr:cNvPr id="6" name="image3.pn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8</xdr:col>
      <xdr:colOff>9525</xdr:colOff>
      <xdr:row>0</xdr:row>
      <xdr:rowOff>342900</xdr:rowOff>
    </xdr:from>
    <xdr:ext cx="1524000" cy="1438275"/>
    <xdr:pic>
      <xdr:nvPicPr>
        <xdr:cNvPr id="7" name="image4.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14</xdr:col>
      <xdr:colOff>76200</xdr:colOff>
      <xdr:row>2</xdr:row>
      <xdr:rowOff>38100</xdr:rowOff>
    </xdr:from>
    <xdr:ext cx="8743950" cy="6496050"/>
    <xdr:graphicFrame macro="">
      <xdr:nvGraphicFramePr>
        <xdr:cNvPr id="1446029109" name="Chart 1" title="Chart">
          <a:extLst>
            <a:ext uri="{FF2B5EF4-FFF2-40B4-BE49-F238E27FC236}">
              <a16:creationId xmlns:a16="http://schemas.microsoft.com/office/drawing/2014/main" id="{00000000-0008-0000-0100-000035A730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23</xdr:col>
      <xdr:colOff>419100</xdr:colOff>
      <xdr:row>3</xdr:row>
      <xdr:rowOff>28575</xdr:rowOff>
    </xdr:from>
    <xdr:ext cx="1123950" cy="1057275"/>
    <xdr:pic>
      <xdr:nvPicPr>
        <xdr:cNvPr id="2" name="image2.png" descr="kiliter-K-small copy.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26</xdr:col>
      <xdr:colOff>133350</xdr:colOff>
      <xdr:row>0</xdr:row>
      <xdr:rowOff>0</xdr:rowOff>
    </xdr:from>
    <xdr:ext cx="1524000" cy="1181100"/>
    <xdr:pic>
      <xdr:nvPicPr>
        <xdr:cNvPr id="3" name="image1.jp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26</xdr:col>
      <xdr:colOff>228600</xdr:colOff>
      <xdr:row>4</xdr:row>
      <xdr:rowOff>104775</xdr:rowOff>
    </xdr:from>
    <xdr:ext cx="1276350" cy="933450"/>
    <xdr:pic>
      <xdr:nvPicPr>
        <xdr:cNvPr id="4" name="image5.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16</xdr:col>
      <xdr:colOff>428625</xdr:colOff>
      <xdr:row>0</xdr:row>
      <xdr:rowOff>180975</xdr:rowOff>
    </xdr:from>
    <xdr:ext cx="1647825" cy="1438275"/>
    <xdr:pic>
      <xdr:nvPicPr>
        <xdr:cNvPr id="2" name="image4.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griff/AppData/Local/Packages/Microsoft.MicrosoftEdge_8wekyb3d8bbwe/TempState/Downloads/Kilter_SalesOrder_flat_file_generator%2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riff/AppData/Local/Packages/Microsoft.MicrosoftEdge_8wekyb3d8bbwe/TempState/Downloads/Kilter_SalesOrder_flat_file_generator%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ales Order"/>
      <sheetName val="QBE SO Upload"/>
      <sheetName val="Directions"/>
      <sheetName val="History Of Orders"/>
      <sheetName val="Lists"/>
      <sheetName val="Item Code Revision"/>
      <sheetName val="Color Customer Cases"/>
      <sheetName val="QBe Item"/>
      <sheetName val="Color Chart"/>
      <sheetName val="Hardware"/>
      <sheetName val="Kits"/>
      <sheetName val="Kilter_SalesOrder_flat_file_gen"/>
    </sheetNames>
    <sheetDataSet>
      <sheetData sheetId="0"/>
      <sheetData sheetId="1"/>
      <sheetData sheetId="2">
        <row r="1">
          <cell r="AB1">
            <v>100</v>
          </cell>
        </row>
        <row r="3">
          <cell r="AB3">
            <v>11</v>
          </cell>
        </row>
        <row r="5">
          <cell r="AB5">
            <v>40</v>
          </cell>
        </row>
        <row r="6">
          <cell r="AB6">
            <v>40</v>
          </cell>
        </row>
        <row r="8">
          <cell r="AB8">
            <v>100</v>
          </cell>
        </row>
        <row r="9">
          <cell r="AB9">
            <v>21</v>
          </cell>
        </row>
        <row r="10">
          <cell r="AB10">
            <v>100</v>
          </cell>
        </row>
        <row r="11">
          <cell r="AB11">
            <v>100</v>
          </cell>
        </row>
      </sheetData>
      <sheetData sheetId="3"/>
      <sheetData sheetId="4">
        <row r="3">
          <cell r="A3" t="str">
            <v>Kilter</v>
          </cell>
        </row>
      </sheetData>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ales Order"/>
      <sheetName val="QBE SO Upload"/>
      <sheetName val="Directions"/>
      <sheetName val="History Of Orders"/>
      <sheetName val="Lists"/>
      <sheetName val="Item Code Revision"/>
      <sheetName val="Color Customer Cases"/>
      <sheetName val="QBe Item"/>
      <sheetName val="Color Chart"/>
      <sheetName val="Hardware"/>
      <sheetName val="Kits"/>
      <sheetName val="Kilter_SalesOrder_flat_file_gen"/>
    </sheetNames>
    <sheetDataSet>
      <sheetData sheetId="0"/>
      <sheetData sheetId="1"/>
      <sheetData sheetId="2">
        <row r="1">
          <cell r="AB1">
            <v>100</v>
          </cell>
        </row>
        <row r="3">
          <cell r="AB3">
            <v>11</v>
          </cell>
        </row>
        <row r="5">
          <cell r="AB5">
            <v>40</v>
          </cell>
        </row>
        <row r="6">
          <cell r="AB6">
            <v>40</v>
          </cell>
        </row>
        <row r="8">
          <cell r="AB8">
            <v>100</v>
          </cell>
        </row>
        <row r="9">
          <cell r="AB9">
            <v>21</v>
          </cell>
        </row>
        <row r="10">
          <cell r="AB10">
            <v>100</v>
          </cell>
        </row>
        <row r="11">
          <cell r="AB11">
            <v>100</v>
          </cell>
        </row>
      </sheetData>
      <sheetData sheetId="3"/>
      <sheetData sheetId="4">
        <row r="3">
          <cell r="A3" t="str">
            <v>Kilter</v>
          </cell>
        </row>
      </sheetData>
      <sheetData sheetId="5"/>
      <sheetData sheetId="6"/>
      <sheetData sheetId="7"/>
      <sheetData sheetId="8"/>
      <sheetData sheetId="9"/>
      <sheetData sheetId="10"/>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3:V1154">
  <tableColumns count="22">
    <tableColumn id="1" xr3:uid="{00000000-0010-0000-0000-000001000000}" name="SKU"/>
    <tableColumn id="2" xr3:uid="{00000000-0010-0000-0000-000002000000}" name="Quantity of Sets"/>
    <tableColumn id="3" xr3:uid="{00000000-0010-0000-0000-000003000000}" name="Holds per Set"/>
    <tableColumn id="4" xr3:uid="{00000000-0010-0000-0000-000004000000}" name="1.5&quot;"/>
    <tableColumn id="5" xr3:uid="{00000000-0010-0000-0000-000005000000}" name="2&quot;"/>
    <tableColumn id="6" xr3:uid="{00000000-0010-0000-0000-000006000000}" name="2.5&quot;"/>
    <tableColumn id="7" xr3:uid="{00000000-0010-0000-0000-000007000000}" name="3&quot;"/>
    <tableColumn id="8" xr3:uid="{00000000-0010-0000-0000-000008000000}" name="3.5&quot;"/>
    <tableColumn id="9" xr3:uid="{00000000-0010-0000-0000-000009000000}" name="4&quot;"/>
    <tableColumn id="10" xr3:uid="{00000000-0010-0000-0000-00000A000000}" name="4.5&quot;"/>
    <tableColumn id="11" xr3:uid="{00000000-0010-0000-0000-00000B000000}" name="5&quot;"/>
    <tableColumn id="12" xr3:uid="{00000000-0010-0000-0000-00000C000000}" name="5.5&quot;"/>
    <tableColumn id="13" xr3:uid="{00000000-0010-0000-0000-00000D000000}" name="6&quot;"/>
    <tableColumn id="14" xr3:uid="{00000000-0010-0000-0000-00000E000000}" name="6.5&quot;"/>
    <tableColumn id="15" xr3:uid="{00000000-0010-0000-0000-00000F000000}" name="7&quot;"/>
    <tableColumn id="16" xr3:uid="{00000000-0010-0000-0000-000010000000}" name="8&quot;"/>
    <tableColumn id="17" xr3:uid="{00000000-0010-0000-0000-000011000000}" name="2&quot; T20-WS"/>
    <tableColumn id="18" xr3:uid="{00000000-0010-0000-0000-000012000000}" name="3&quot; T20-WS"/>
    <tableColumn id="19" xr3:uid="{00000000-0010-0000-0000-000013000000}" name="3.5&quot;SDS"/>
    <tableColumn id="20" xr3:uid="{00000000-0010-0000-0000-000014000000}" name="4&quot;SDS"/>
    <tableColumn id="21" xr3:uid="{00000000-0010-0000-0000-000015000000}" name="5&quot;SDS"/>
    <tableColumn id="22" xr3:uid="{00000000-0010-0000-0000-000016000000}" name="Added"/>
  </tableColumns>
  <tableStyleInfo name="Bolt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FFC000"/>
      </a:accent1>
      <a:accent2>
        <a:srgbClr val="FFFF00"/>
      </a:accent2>
      <a:accent3>
        <a:srgbClr val="00B050"/>
      </a:accent3>
      <a:accent4>
        <a:srgbClr val="0070C0"/>
      </a:accent4>
      <a:accent5>
        <a:srgbClr val="7030A0"/>
      </a:accent5>
      <a:accent6>
        <a:srgbClr val="ED66E7"/>
      </a:accent6>
      <a:hlink>
        <a:srgbClr val="000000"/>
      </a:hlink>
      <a:folHlink>
        <a:srgbClr val="000000"/>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settercloset.com/pages/kilter-color-options" TargetMode="External"/><Relationship Id="rId1" Type="http://schemas.openxmlformats.org/officeDocument/2006/relationships/hyperlink" Target="mailto:holds@kiltergrips.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17" Type="http://schemas.openxmlformats.org/officeDocument/2006/relationships/hyperlink" Target="https://settercloset.com/collections/moses-sandstone/products/moses-sandstone-large-1-pinches-khkd014?variant=14275148841013" TargetMode="External"/><Relationship Id="rId21" Type="http://schemas.openxmlformats.org/officeDocument/2006/relationships/hyperlink" Target="https://settercloset.com/collections/newest-shapes/products/sandstone-complex-11-brushed-jib-slopers-blockers-k220?variant=33353740812341" TargetMode="External"/><Relationship Id="rId324" Type="http://schemas.openxmlformats.org/officeDocument/2006/relationships/hyperlink" Target="https://settercloset.com/products/petes-geo-complex-kaju-set-1-pinches-khpj018?variant=29357527040053" TargetMode="External"/><Relationship Id="rId170" Type="http://schemas.openxmlformats.org/officeDocument/2006/relationships/hyperlink" Target="https://settercloset.com/products/granite-l2-complex-blockers-slopers-and-edges-khip050?variant=32235094868021" TargetMode="External"/><Relationship Id="rId268" Type="http://schemas.openxmlformats.org/officeDocument/2006/relationships/hyperlink" Target="https://settercloset.com/collections/stella/products/stella-xs-1-slopey-disks-khkd-004?variant=14275088384053" TargetMode="External"/><Relationship Id="rId475" Type="http://schemas.openxmlformats.org/officeDocument/2006/relationships/hyperlink" Target="https://settercloset.com/collections/winter/products/winter-medium-18-mini-jugs-k168?variant=14237678993461" TargetMode="External"/><Relationship Id="rId32" Type="http://schemas.openxmlformats.org/officeDocument/2006/relationships/hyperlink" Target="https://settercloset.com/collections/sandstone/products/sandstone-kaiju-hueco-6-k161-3?variant=4543112183845" TargetMode="External"/><Relationship Id="rId74" Type="http://schemas.openxmlformats.org/officeDocument/2006/relationships/hyperlink" Target="https://settercloset.com/collections/sandstone/products/sandstone-medium-6-incuts-k136?variant=14225796694069" TargetMode="External"/><Relationship Id="rId128" Type="http://schemas.openxmlformats.org/officeDocument/2006/relationships/hyperlink" Target="https://settercloset.com/collections/traprock/products/traprock-large-4-mini-jugs-kfb008?variant=6819655417909" TargetMode="External"/><Relationship Id="rId335" Type="http://schemas.openxmlformats.org/officeDocument/2006/relationships/hyperlink" Target="https://settercloset.com/collections/complex/products/petes-geo-complex-medium-2-khpj009?variant=14287506210869" TargetMode="External"/><Relationship Id="rId377" Type="http://schemas.openxmlformats.org/officeDocument/2006/relationships/hyperlink" Target="https://settercloset.com/collections/noah/products/noah-large-1-pinches-k001?variant=14127357788213" TargetMode="External"/><Relationship Id="rId500" Type="http://schemas.openxmlformats.org/officeDocument/2006/relationships/hyperlink" Target="https://settercloset.com/collections/oz/products/oz-scoops-medium-jibs-1-khuw001?variant=4996255219749" TargetMode="External"/><Relationship Id="rId5" Type="http://schemas.openxmlformats.org/officeDocument/2006/relationships/hyperlink" Target="https://settercloset.com/products/k199-brushed-sandstone-kaiju-jug-blockers?_pos=1&amp;_sid=4e357b2c2&amp;_ss=r&amp;variant=31039765577781" TargetMode="External"/><Relationship Id="rId181" Type="http://schemas.openxmlformats.org/officeDocument/2006/relationships/hyperlink" Target="https://settercloset.com/products/ians-granite-kaiju-5-6-khip012?_pos=3&amp;_sid=1ac21fbaa&amp;_ss=r&amp;variant=25014269633" TargetMode="External"/><Relationship Id="rId237" Type="http://schemas.openxmlformats.org/officeDocument/2006/relationships/hyperlink" Target="https://settercloset.com/collections/newest-shapes/products/sandstone-2xl-8-plate-sloper-huecos-dual-tex-k222?variant=33400734908469" TargetMode="External"/><Relationship Id="rId402" Type="http://schemas.openxmlformats.org/officeDocument/2006/relationships/hyperlink" Target="https://settercloset.com/collections/noah/products/noah-medium-19-plate-slopers-k113?variant=14225018257461" TargetMode="External"/><Relationship Id="rId279" Type="http://schemas.openxmlformats.org/officeDocument/2006/relationships/hyperlink" Target="https://settercloset.com/collections/teagan/products/teagan-medium-1-mini-jugs-k013?variant=14179458318389" TargetMode="External"/><Relationship Id="rId444" Type="http://schemas.openxmlformats.org/officeDocument/2006/relationships/hyperlink" Target="https://settercloset.com/collections/winter/products/winter-2xl-super-jugs-1-k125?variant=14225382637621" TargetMode="External"/><Relationship Id="rId486" Type="http://schemas.openxmlformats.org/officeDocument/2006/relationships/hyperlink" Target="https://settercloset.com/collections/winter/products/winter-xs-1-steep-feet-k027?variant=14195629391925" TargetMode="External"/><Relationship Id="rId43" Type="http://schemas.openxmlformats.org/officeDocument/2006/relationships/hyperlink" Target="https://settercloset.com/products/sandstone-2xl-7-brushed-rail-jugs-k216?variant=33158323241013" TargetMode="External"/><Relationship Id="rId139" Type="http://schemas.openxmlformats.org/officeDocument/2006/relationships/hyperlink" Target="https://settercloset.com/collections/traprock/products/traprock-medium-6-seams-kfb017?variant=7612488646709" TargetMode="External"/><Relationship Id="rId290" Type="http://schemas.openxmlformats.org/officeDocument/2006/relationships/hyperlink" Target="https://settercloset.com/collections/jimmy-webb/products/copy-of-jimmys-southern-slopers-kaiju-2-khjw002-2?variant=32077131649" TargetMode="External"/><Relationship Id="rId304" Type="http://schemas.openxmlformats.org/officeDocument/2006/relationships/hyperlink" Target="https://settercloset.com/collections/jimmy-webb/products/jimmys-southern-slopers-small-1-crimps-khjw011?variant=5266387599397" TargetMode="External"/><Relationship Id="rId346" Type="http://schemas.openxmlformats.org/officeDocument/2006/relationships/hyperlink" Target="https://settercloset.com/collections/noah/products/noah-complex-large-set-1-kit-k187x1-k188x2?variant=13219125592117" TargetMode="External"/><Relationship Id="rId388" Type="http://schemas.openxmlformats.org/officeDocument/2006/relationships/hyperlink" Target="https://settercloset.com/collections/noah/products/noah-medium-5-slopey-edges-k037?variant=14196124123189" TargetMode="External"/><Relationship Id="rId511" Type="http://schemas.openxmlformats.org/officeDocument/2006/relationships/hyperlink" Target="https://settercloset.com/collections/jibs/products/petes-dual-tex-big-comfy-jibs-1-khpj001?variant=14282575413301" TargetMode="External"/><Relationship Id="rId85" Type="http://schemas.openxmlformats.org/officeDocument/2006/relationships/hyperlink" Target="https://settercloset.com/collections/all-grips/products/sandstone-medium-18-brushed-pinches-k204?variant=31826453659701" TargetMode="External"/><Relationship Id="rId150" Type="http://schemas.openxmlformats.org/officeDocument/2006/relationships/hyperlink" Target="https://settercloset.com/products/khip031-granite-kaiju-9-10?_pos=1&amp;_sid=3598fbc43&amp;_ss=r&amp;variant=31040414515253" TargetMode="External"/><Relationship Id="rId192" Type="http://schemas.openxmlformats.org/officeDocument/2006/relationships/hyperlink" Target="https://settercloset.com/products/ians-granite-xl-7-pockets-khip024?_pos=1&amp;_sid=3b7bfd74f&amp;_ss=r&amp;variant=14275029696565" TargetMode="External"/><Relationship Id="rId206" Type="http://schemas.openxmlformats.org/officeDocument/2006/relationships/hyperlink" Target="https://settercloset.com/products/ians-granite-medium-3-pockets-khip021?_pos=1&amp;_sid=208db838d&amp;_ss=r&amp;variant=14275000795189" TargetMode="External"/><Relationship Id="rId413" Type="http://schemas.openxmlformats.org/officeDocument/2006/relationships/hyperlink" Target="https://settercloset.com/collections/noah/products/noah-small-2-steep-wall-incuts-k025?variant=14195347357749" TargetMode="External"/><Relationship Id="rId248" Type="http://schemas.openxmlformats.org/officeDocument/2006/relationships/hyperlink" Target="https://settercloset.com/products/granite-jibs-small-1-dual-tex-jib-scoops-khip072?variant=41580916211765" TargetMode="External"/><Relationship Id="rId455" Type="http://schemas.openxmlformats.org/officeDocument/2006/relationships/hyperlink" Target="https://settercloset.com/collections/winter/products/winter-large-11-incut-fins-k098?variant=14224587358261" TargetMode="External"/><Relationship Id="rId497" Type="http://schemas.openxmlformats.org/officeDocument/2006/relationships/hyperlink" Target="https://settercloset.com/collections/oz/products/oz-edges-medium-1-khuw009?variant=8488592080949" TargetMode="External"/><Relationship Id="rId12" Type="http://schemas.openxmlformats.org/officeDocument/2006/relationships/hyperlink" Target="https://settercloset.com/products/sandstone-complex-pack-medium-puffy-incuts-and-blocker-jibs-k223-k226?_pos=4&amp;_sid=5a998f8dd&amp;_ss=r&amp;variant=33398444064821" TargetMode="External"/><Relationship Id="rId108" Type="http://schemas.openxmlformats.org/officeDocument/2006/relationships/hyperlink" Target="https://settercloset.com/collections/sandstone/products/sandstone-xs-4-brushed-flat-discs-k184?variant=12946300764213" TargetMode="External"/><Relationship Id="rId315" Type="http://schemas.openxmlformats.org/officeDocument/2006/relationships/hyperlink" Target="https://settercloset.com/collections/newest-shapes/products/ho-dunes-large-2-jugs-khjh015?variant=33353743040565" TargetMode="External"/><Relationship Id="rId357" Type="http://schemas.openxmlformats.org/officeDocument/2006/relationships/hyperlink" Target="https://settercloset.com/collections/noah/products/noah-kaiju-huecos-4-6-k063?variant=14206635081781" TargetMode="External"/><Relationship Id="rId54" Type="http://schemas.openxmlformats.org/officeDocument/2006/relationships/hyperlink" Target="https://settercloset.com/products/sandstone-xl-11-raised-ribs-k231?_pos=1&amp;_sid=17c2fc55a&amp;_ss=r&amp;variant=42422693330997" TargetMode="External"/><Relationship Id="rId96" Type="http://schemas.openxmlformats.org/officeDocument/2006/relationships/hyperlink" Target="https://settercloset.com/products/sandstone-small-5-brushed-plates-edges-k177?_pos=1&amp;_sid=6b2445f83&amp;_ss=r&amp;variant=31773336305717" TargetMode="External"/><Relationship Id="rId161" Type="http://schemas.openxmlformats.org/officeDocument/2006/relationships/hyperlink" Target="https://settercloset.com/products/granite-2xl-8-complex-plates-khip045?variant=32235027005493" TargetMode="External"/><Relationship Id="rId217" Type="http://schemas.openxmlformats.org/officeDocument/2006/relationships/hyperlink" Target="https://settercloset.com/products/granite-small-4-slopey-crimps-feet-khip060?_pos=1&amp;_sid=280191124&amp;_ss=r&amp;variant=40102055411765" TargetMode="External"/><Relationship Id="rId399" Type="http://schemas.openxmlformats.org/officeDocument/2006/relationships/hyperlink" Target="https://settercloset.com/collections/noah/products/noah-medium-16-slopey-edges-k086?variant=14224264921141" TargetMode="External"/><Relationship Id="rId259" Type="http://schemas.openxmlformats.org/officeDocument/2006/relationships/hyperlink" Target="https://settercloset.com/collections/stella/products/stella-xl-2-granite-junction-puffy-knobs-khkd013?variant=14275144908853" TargetMode="External"/><Relationship Id="rId424" Type="http://schemas.openxmlformats.org/officeDocument/2006/relationships/hyperlink" Target="https://settercloset.com/products/noah-small-14-mini-jugs-k254?variant=40627688570933" TargetMode="External"/><Relationship Id="rId466" Type="http://schemas.openxmlformats.org/officeDocument/2006/relationships/hyperlink" Target="https://settercloset.com/collections/winter/products/winter-medium-9-puffy-incuts-k082?variant=14216643084341" TargetMode="External"/><Relationship Id="rId23" Type="http://schemas.openxmlformats.org/officeDocument/2006/relationships/hyperlink" Target="https://settercloset.com/collections/sandstone/products/sandstone-kaiju-huecos-1-3-k126?variant=14225401544757" TargetMode="External"/><Relationship Id="rId119" Type="http://schemas.openxmlformats.org/officeDocument/2006/relationships/hyperlink" Target="https://settercloset.com/collections/moses-sandstone/products/moses-sandstone-large-3-jugs-khkd018?variant=14282502307893" TargetMode="External"/><Relationship Id="rId270" Type="http://schemas.openxmlformats.org/officeDocument/2006/relationships/hyperlink" Target="https://settercloset.com/collections/teagan/aragon" TargetMode="External"/><Relationship Id="rId326" Type="http://schemas.openxmlformats.org/officeDocument/2006/relationships/hyperlink" Target="https://settercloset.com/products/petes-geo-complex-kaju-set-3-jug-and-blocker-khpj021?variant=29357588578357" TargetMode="External"/><Relationship Id="rId65" Type="http://schemas.openxmlformats.org/officeDocument/2006/relationships/hyperlink" Target="https://settercloset.com/collections/sandstone/products/sandstone-large-11-jugs-and-mini-jugs-k169?variant=14237699178549" TargetMode="External"/><Relationship Id="rId130" Type="http://schemas.openxmlformats.org/officeDocument/2006/relationships/hyperlink" Target="https://settercloset.com/collections/traprock/products/traprock-large-6-jugs-kfb011?variant=7113398255669" TargetMode="External"/><Relationship Id="rId368" Type="http://schemas.openxmlformats.org/officeDocument/2006/relationships/hyperlink" Target="https://settercloset.com/collections/noah/products/noah-kaiju-hueco-12-k066-3?variant=14208372670517" TargetMode="External"/><Relationship Id="rId172" Type="http://schemas.openxmlformats.org/officeDocument/2006/relationships/hyperlink" Target="https://settercloset.com/collections/all-grips/products/granite-l4-complex-jibs-khip053?variant=33157779587125" TargetMode="External"/><Relationship Id="rId228" Type="http://schemas.openxmlformats.org/officeDocument/2006/relationships/hyperlink" Target="https://settercloset.com/collections/granite/products/petes-granite-xs-1-khpj011?variant=14287622832181" TargetMode="External"/><Relationship Id="rId435" Type="http://schemas.openxmlformats.org/officeDocument/2006/relationships/hyperlink" Target="https://settercloset.com/collections/winter/products/winter-kaiju-huecos-4-6-k179-kit?variant=14238599020597" TargetMode="External"/><Relationship Id="rId477" Type="http://schemas.openxmlformats.org/officeDocument/2006/relationships/hyperlink" Target="https://settercloset.com/collections/winter/products/winter-small-1-steep-crimps-k004?variant=14140801056821" TargetMode="External"/><Relationship Id="rId281" Type="http://schemas.openxmlformats.org/officeDocument/2006/relationships/hyperlink" Target="https://settercloset.com/collections/teagan/products/teagan-medium-3-pinches-and-low-angle-crimps-k026?variant=14195452215349" TargetMode="External"/><Relationship Id="rId337" Type="http://schemas.openxmlformats.org/officeDocument/2006/relationships/hyperlink" Target="https://settercloset.com/collections/complex/products/petes-geo-complex-medium-4-khpj0013?variant=14287668805685" TargetMode="External"/><Relationship Id="rId502" Type="http://schemas.openxmlformats.org/officeDocument/2006/relationships/hyperlink" Target="https://settercloset.com/collections/oz/products/oz-scoops-small-jibs-1-khuw007?variant=8484291903541" TargetMode="External"/><Relationship Id="rId34" Type="http://schemas.openxmlformats.org/officeDocument/2006/relationships/hyperlink" Target="https://settercloset.com/products/sandstone-kaiju-brushed-1-3-jugs-k202?variant=31806431461429" TargetMode="External"/><Relationship Id="rId76" Type="http://schemas.openxmlformats.org/officeDocument/2006/relationships/hyperlink" Target="https://settercloset.com/collections/sandstone/products/sandstone-medium-8-incuts-and-edges-k141?variant=14225860526133" TargetMode="External"/><Relationship Id="rId141" Type="http://schemas.openxmlformats.org/officeDocument/2006/relationships/hyperlink" Target="https://settercloset.com/collections/traprock/products/traprock-small-1-rib-feet-kfb001?variant=6819716497461" TargetMode="External"/><Relationship Id="rId379" Type="http://schemas.openxmlformats.org/officeDocument/2006/relationships/hyperlink" Target="https://settercloset.com/collections/noah/products/noah-large-3-pinch-jugs-k008?variant=14179292184629" TargetMode="External"/><Relationship Id="rId7" Type="http://schemas.openxmlformats.org/officeDocument/2006/relationships/hyperlink" Target="https://settercloset.com/products/sandstone-complex-5-brushed-2xl-jugs-blockers-k200?_pos=1&amp;_sid=e42daf406&amp;_ss=r&amp;variant=31527690731573" TargetMode="External"/><Relationship Id="rId183" Type="http://schemas.openxmlformats.org/officeDocument/2006/relationships/hyperlink" Target="https://settercloset.com/products/ians-granite-kaiju-6-khip012-3?variant=14260265680949" TargetMode="External"/><Relationship Id="rId239" Type="http://schemas.openxmlformats.org/officeDocument/2006/relationships/hyperlink" Target="https://settercloset.com/collections/sandstone/products/sandstone-xs-2-plate-sloper-feet-dual-tex-k149-d?variant=14235504705589" TargetMode="External"/><Relationship Id="rId390" Type="http://schemas.openxmlformats.org/officeDocument/2006/relationships/hyperlink" Target="https://settercloset.com/collections/noah/products/noah-medium-7-low-angle-crimps-k042?variant=14196234059829" TargetMode="External"/><Relationship Id="rId404" Type="http://schemas.openxmlformats.org/officeDocument/2006/relationships/hyperlink" Target="https://settercloset.com/collections/noah/products/noah-medium-21-slopey-edges-k119?variant=14225247797301" TargetMode="External"/><Relationship Id="rId446" Type="http://schemas.openxmlformats.org/officeDocument/2006/relationships/hyperlink" Target="https://settercloset.com/products/winter-large-01-low-angle-jugs-k005?_pos=2&amp;_sid=33073b06d&amp;_ss=r&amp;variant=31590824509493" TargetMode="External"/><Relationship Id="rId250" Type="http://schemas.openxmlformats.org/officeDocument/2006/relationships/hyperlink" Target="https://settercloset.com/products/jimmys-dt-1-kaiju-sloper-ledge-khjw017?_pos=1&amp;_sid=e869bbb98&amp;_ss=r&amp;variant=40980002242613" TargetMode="External"/><Relationship Id="rId292" Type="http://schemas.openxmlformats.org/officeDocument/2006/relationships/hyperlink" Target="https://settercloset.com/collections/newest-shapes/products/jimmys-southern-sandstone-kaiju-4-6-big-fat-brushed-ledges-khjw016?variant=39871828000821" TargetMode="External"/><Relationship Id="rId306" Type="http://schemas.openxmlformats.org/officeDocument/2006/relationships/hyperlink" Target="https://settercloset.com/collections/jeremy-ho/aragon" TargetMode="External"/><Relationship Id="rId488" Type="http://schemas.openxmlformats.org/officeDocument/2006/relationships/hyperlink" Target="https://settercloset.com/collections/winter/products/winter-xs-3-feet-k101?variant=14224693854261" TargetMode="External"/><Relationship Id="rId45" Type="http://schemas.openxmlformats.org/officeDocument/2006/relationships/hyperlink" Target="https://settercloset.com/collections/sandstone/products/sandstone-xl-1-slopers-k061?variant=14206592090165" TargetMode="External"/><Relationship Id="rId87" Type="http://schemas.openxmlformats.org/officeDocument/2006/relationships/hyperlink" Target="https://settercloset.com/products/sandstone-medium-20-mini-jugs-k242?variant=40042365288501" TargetMode="External"/><Relationship Id="rId110" Type="http://schemas.openxmlformats.org/officeDocument/2006/relationships/hyperlink" Target="https://settercloset.com/collections/sandstone/products/sandstone-jibs-2-brushed-slopey-discs-k185?variant=14248385642549" TargetMode="External"/><Relationship Id="rId348" Type="http://schemas.openxmlformats.org/officeDocument/2006/relationships/hyperlink" Target="https://settercloset.com/collections/noah/products/noah-complex-large-set-1-jugs-k188?variant=13490594349109" TargetMode="External"/><Relationship Id="rId513" Type="http://schemas.openxmlformats.org/officeDocument/2006/relationships/hyperlink" Target="https://settercloset.com/products/tech-slider-board-khpj024?_pos=1&amp;_sid=07b4896db&amp;_ss=r&amp;variant=31794807865397" TargetMode="External"/><Relationship Id="rId152" Type="http://schemas.openxmlformats.org/officeDocument/2006/relationships/hyperlink" Target="https://settercloset.com/collections/all-grips/products/granite-kaiju-11-complex-ledge-khip033-1?variant=31569769594933" TargetMode="External"/><Relationship Id="rId194" Type="http://schemas.openxmlformats.org/officeDocument/2006/relationships/hyperlink" Target="https://settercloset.com/collections/granite/products/wills-granite-xl-2-plates-khwa018?variant=14288244998197" TargetMode="External"/><Relationship Id="rId208" Type="http://schemas.openxmlformats.org/officeDocument/2006/relationships/hyperlink" Target="https://settercloset.com/products/ians-granite-medium-5-pockets-khip026?_pos=3&amp;_sid=4b56513b4&amp;_ss=r&amp;variant=14275042148405" TargetMode="External"/><Relationship Id="rId415" Type="http://schemas.openxmlformats.org/officeDocument/2006/relationships/hyperlink" Target="https://settercloset.com/collections/noah/products/noah-small-4-crimps-k092?variant=14224378789941" TargetMode="External"/><Relationship Id="rId457" Type="http://schemas.openxmlformats.org/officeDocument/2006/relationships/hyperlink" Target="https://settercloset.com/collections/winter/products/winter-large-13-puffy-flat-jugs-k186?variant=13490217910325" TargetMode="External"/><Relationship Id="rId261" Type="http://schemas.openxmlformats.org/officeDocument/2006/relationships/hyperlink" Target="https://settercloset.com/collections/stella/products/stella-medium-1-puffy-incuts-khkd-005?variant=14275091595317" TargetMode="External"/><Relationship Id="rId499" Type="http://schemas.openxmlformats.org/officeDocument/2006/relationships/hyperlink" Target="https://settercloset.com/collections/oz/products/oz-scoops-xs-1-feet-khuw003?variant=5111660937253" TargetMode="External"/><Relationship Id="rId14" Type="http://schemas.openxmlformats.org/officeDocument/2006/relationships/hyperlink" Target="https://settercloset.com/collections/newest-shapes/products/sandstone-complex-16-brushed-blocker-jibs-for-k223-and-k224-k226?variant=33398441279541" TargetMode="External"/><Relationship Id="rId56" Type="http://schemas.openxmlformats.org/officeDocument/2006/relationships/hyperlink" Target="https://settercloset.com/products/sandstone-xl-13-ribs-k234?_pos=1&amp;_sid=e7f01c33e&amp;_ss=r&amp;variant=40101435375669" TargetMode="External"/><Relationship Id="rId317" Type="http://schemas.openxmlformats.org/officeDocument/2006/relationships/hyperlink" Target="https://settercloset.com/collections/dune/products/jeremys-dune-small-1-low-angle-crimps-khjh003?variant=14304064340021" TargetMode="External"/><Relationship Id="rId359" Type="http://schemas.openxmlformats.org/officeDocument/2006/relationships/hyperlink" Target="https://settercloset.com/collections/noah/products/noah-kaiju-hueco-5-k063-2?variant=14206673780789" TargetMode="External"/><Relationship Id="rId98" Type="http://schemas.openxmlformats.org/officeDocument/2006/relationships/hyperlink" Target="https://settercloset.com/products/sandstone-small-7-brushed-edges-k209?variant=31806473404469" TargetMode="External"/><Relationship Id="rId121" Type="http://schemas.openxmlformats.org/officeDocument/2006/relationships/hyperlink" Target="https://settercloset.com/collections/moses-sandstone/products/moses-sandstone-medium-2-mini-jugs-khkd019?variant=14282524983349" TargetMode="External"/><Relationship Id="rId163" Type="http://schemas.openxmlformats.org/officeDocument/2006/relationships/hyperlink" Target="https://settercloset.com/products/granite-xl-9-complex-incuts-khip034?variant=31826621857845" TargetMode="External"/><Relationship Id="rId219" Type="http://schemas.openxmlformats.org/officeDocument/2006/relationships/hyperlink" Target="https://settercloset.com/products/granite-small-6-crimps-feet-khip062?_pos=3&amp;_sid=280191124&amp;_ss=r&amp;variant=40102139691061" TargetMode="External"/><Relationship Id="rId370" Type="http://schemas.openxmlformats.org/officeDocument/2006/relationships/hyperlink" Target="https://settercloset.com/collections/noah/products/noah-kaiju-knob-1-k069-1?variant=14208599883829" TargetMode="External"/><Relationship Id="rId426" Type="http://schemas.openxmlformats.org/officeDocument/2006/relationships/hyperlink" Target="https://settercloset.com/collections/noah/products/noah-xs-2-steep-feet-k021?variant=14195078430773" TargetMode="External"/><Relationship Id="rId230" Type="http://schemas.openxmlformats.org/officeDocument/2006/relationships/hyperlink" Target="https://settercloset.com/collections/granite/products/petes-granite-jibs-large-1-khpj012?variant=14287651471413" TargetMode="External"/><Relationship Id="rId468" Type="http://schemas.openxmlformats.org/officeDocument/2006/relationships/hyperlink" Target="https://settercloset.com/collections/winter/products/winter-medium-11-incut-fins-k094?variant=14224533258293" TargetMode="External"/><Relationship Id="rId25" Type="http://schemas.openxmlformats.org/officeDocument/2006/relationships/hyperlink" Target="https://settercloset.com/collections/sandstone/products/sandstone-kaiju-hueco-2-k126-2?variant=14225440145461" TargetMode="External"/><Relationship Id="rId67" Type="http://schemas.openxmlformats.org/officeDocument/2006/relationships/hyperlink" Target="https://settercloset.com/collections/sandstone/products/sandstone-large-13-jugs-k173?variant=14237801349173" TargetMode="External"/><Relationship Id="rId272" Type="http://schemas.openxmlformats.org/officeDocument/2006/relationships/hyperlink" Target="https://settercloset.com/collections/teagan/products/teagan-kaiju-stalactite-1-k047-1?variant=14196497809461" TargetMode="External"/><Relationship Id="rId328" Type="http://schemas.openxmlformats.org/officeDocument/2006/relationships/hyperlink" Target="https://settercloset.com/products/petes-geo-complex-2xl-set-2-edges-khpj015?_pos=1&amp;_sid=e8d573fb8&amp;_ss=r&amp;variant=29386980196405" TargetMode="External"/><Relationship Id="rId132" Type="http://schemas.openxmlformats.org/officeDocument/2006/relationships/hyperlink" Target="https://settercloset.com/collections/traprock/products/traprock-large-8-slots-kfb022?variant=8432191897653" TargetMode="External"/><Relationship Id="rId174" Type="http://schemas.openxmlformats.org/officeDocument/2006/relationships/hyperlink" Target="https://settercloset.com/collections/granite/products/granite-medium-7-granite-complex-rounder-crimps-10-bolt-ons-11-jibs-khip028?variant=30933930213429" TargetMode="External"/><Relationship Id="rId381" Type="http://schemas.openxmlformats.org/officeDocument/2006/relationships/hyperlink" Target="https://settercloset.com/collections/noah/products/noah-large-5-over-jugs-k054?variant=14140750364725" TargetMode="External"/><Relationship Id="rId241" Type="http://schemas.openxmlformats.org/officeDocument/2006/relationships/hyperlink" Target="https://settercloset.com/collections/all-grips/products/granite-2xl-3-dual-tex-slopers-khip071?variant=42129835786293" TargetMode="External"/><Relationship Id="rId437" Type="http://schemas.openxmlformats.org/officeDocument/2006/relationships/hyperlink" Target="https://settercloset.com/collections/winter/products/winter-kaiju-sloper-1-k067-1?variant=14208437518389" TargetMode="External"/><Relationship Id="rId479" Type="http://schemas.openxmlformats.org/officeDocument/2006/relationships/hyperlink" Target="https://settercloset.com/collections/winter/products/winter-small-3-hooded-crimps-k017?variant=14179847471157" TargetMode="External"/><Relationship Id="rId36" Type="http://schemas.openxmlformats.org/officeDocument/2006/relationships/hyperlink" Target="https://settercloset.com/products/sandstone-kaiju-brushed-5-7-fins-k208?variant=32238832123957" TargetMode="External"/><Relationship Id="rId283" Type="http://schemas.openxmlformats.org/officeDocument/2006/relationships/hyperlink" Target="https://settercloset.com/collections/teagan/products/teagan-medium-5-mini-jugs-k043?variant=14196244873269" TargetMode="External"/><Relationship Id="rId339" Type="http://schemas.openxmlformats.org/officeDocument/2006/relationships/hyperlink" Target="https://settercloset.com/collections/complex/products/petes-geo-complex-xs-set-2-dual-tex-feet-khpj006?variant=14287414165557" TargetMode="External"/><Relationship Id="rId490" Type="http://schemas.openxmlformats.org/officeDocument/2006/relationships/hyperlink" Target="https://settercloset.com/collections/puccio-pinches/products/alex-puccio-pinches-2xl-1-khap001?variant=14248807465013" TargetMode="External"/><Relationship Id="rId504" Type="http://schemas.openxmlformats.org/officeDocument/2006/relationships/hyperlink" Target="https://settercloset.com/collections/union" TargetMode="External"/><Relationship Id="rId78" Type="http://schemas.openxmlformats.org/officeDocument/2006/relationships/hyperlink" Target="https://settercloset.com/collections/sandstone/products/sandstone-medium-10-incuts-k143?variant=14235205959733" TargetMode="External"/><Relationship Id="rId101" Type="http://schemas.openxmlformats.org/officeDocument/2006/relationships/hyperlink" Target="https://settercloset.com/products/sandstone-small-10-feet-k248?_pos=1&amp;_sid=5c4d2362a&amp;_ss=r&amp;variant=40101647220789" TargetMode="External"/><Relationship Id="rId143" Type="http://schemas.openxmlformats.org/officeDocument/2006/relationships/hyperlink" Target="https://settercloset.com/collections/traprock/products/traprock-small-3-small-feet-and-crimps-kfb018?variant=7986434015285" TargetMode="External"/><Relationship Id="rId185" Type="http://schemas.openxmlformats.org/officeDocument/2006/relationships/hyperlink" Target="https://settercloset.com/products/ians-granite-kaiju-7-khip051-1?variant=32235361501237" TargetMode="External"/><Relationship Id="rId350" Type="http://schemas.openxmlformats.org/officeDocument/2006/relationships/hyperlink" Target="https://settercloset.com/collections/noah/products/noah-kaiju-hueco-1-k049-1?variant=14196572553269" TargetMode="External"/><Relationship Id="rId406" Type="http://schemas.openxmlformats.org/officeDocument/2006/relationships/hyperlink" Target="https://settercloset.com/collections/noah/products/noah-medium-23-puffy-incuts-k154?variant=14236019359797" TargetMode="External"/><Relationship Id="rId9" Type="http://schemas.openxmlformats.org/officeDocument/2006/relationships/hyperlink" Target="https://settercloset.com/products/sandstone-complex-7-xl-jugs-k215?variant=33158264029237" TargetMode="External"/><Relationship Id="rId210" Type="http://schemas.openxmlformats.org/officeDocument/2006/relationships/hyperlink" Target="https://settercloset.com/collections/granite/products/wills-granite-medium-1-mini-jugs-khwa003?variant=14287719137333" TargetMode="External"/><Relationship Id="rId392" Type="http://schemas.openxmlformats.org/officeDocument/2006/relationships/hyperlink" Target="https://settercloset.com/collections/noah/products/noah-medium-9-slots-k052" TargetMode="External"/><Relationship Id="rId448" Type="http://schemas.openxmlformats.org/officeDocument/2006/relationships/hyperlink" Target="https://settercloset.com/collections/winter/products/winter-large-3-medium-angle-jugs-k030?variant=14195823706165" TargetMode="External"/><Relationship Id="rId252" Type="http://schemas.openxmlformats.org/officeDocument/2006/relationships/hyperlink" Target="https://settercloset.com/products/jimmys-dt-3-sloper-scoops-khjw019?variant=41204986019893" TargetMode="External"/><Relationship Id="rId294" Type="http://schemas.openxmlformats.org/officeDocument/2006/relationships/hyperlink" Target="https://settercloset.com/collections/jimmy-webb/products/jimmys-southern-slopers-2xl-2-slopers-khjw005?variant=34296510145" TargetMode="External"/><Relationship Id="rId308" Type="http://schemas.openxmlformats.org/officeDocument/2006/relationships/hyperlink" Target="https://settercloset.com/products/ho-dunes-kaiju-1-huecos-khjh007-2" TargetMode="External"/><Relationship Id="rId515" Type="http://schemas.openxmlformats.org/officeDocument/2006/relationships/hyperlink" Target="https://settercloset.com/collections/treadwall/products/treadwall-by-brewer-fitness-kilter-route-1-jugs?variant=30149134123061" TargetMode="External"/><Relationship Id="rId47" Type="http://schemas.openxmlformats.org/officeDocument/2006/relationships/hyperlink" Target="https://settercloset.com/collections/sandstone/products/sandstone-xl-3-slopey-pinches-k130?variant=14225527144501" TargetMode="External"/><Relationship Id="rId89" Type="http://schemas.openxmlformats.org/officeDocument/2006/relationships/hyperlink" Target="https://settercloset.com/products/sandstone-medium-22-mini-jugs-edges-k245?_pos=1&amp;_sid=3fa69e91d&amp;_ss=r&amp;variant=40101477613621" TargetMode="External"/><Relationship Id="rId112" Type="http://schemas.openxmlformats.org/officeDocument/2006/relationships/hyperlink" Target="https://settercloset.com/products/sandstone-jibs-5-brushed-incut-jibs-k196?variant=30118279544885" TargetMode="External"/><Relationship Id="rId154" Type="http://schemas.openxmlformats.org/officeDocument/2006/relationships/hyperlink" Target="https://settercloset.com/products/granite-complex-kaiju-15-16-complex-ledges-khip049-kit?variant=32235101618229" TargetMode="External"/><Relationship Id="rId361" Type="http://schemas.openxmlformats.org/officeDocument/2006/relationships/hyperlink" Target="https://settercloset.com/collections/noah/products/noah-kaiju-huecos-7-9-k065?variant=14206938120245" TargetMode="External"/><Relationship Id="rId196" Type="http://schemas.openxmlformats.org/officeDocument/2006/relationships/hyperlink" Target="https://settercloset.com/products/granite-xl-5-slopers-khip059?_pos=1&amp;_sid=8f3201549&amp;_ss=r&amp;variant=39873076953141" TargetMode="External"/><Relationship Id="rId417" Type="http://schemas.openxmlformats.org/officeDocument/2006/relationships/hyperlink" Target="https://settercloset.com/collections/noah/products/noah-small-6-1-pad-rounded-crimps-k103?variant=14224799137845" TargetMode="External"/><Relationship Id="rId459" Type="http://schemas.openxmlformats.org/officeDocument/2006/relationships/hyperlink" Target="https://settercloset.com/collections/winter/products/winter-medium-2-medium-jugs-k015?variant=14179537059893" TargetMode="External"/><Relationship Id="rId16" Type="http://schemas.openxmlformats.org/officeDocument/2006/relationships/hyperlink" Target="https://settercloset.com/collections/newest-shapes/products/sandstone-complex-14-medium-crisper-incut-edges-k224?variant=33398421553205" TargetMode="External"/><Relationship Id="rId221" Type="http://schemas.openxmlformats.org/officeDocument/2006/relationships/hyperlink" Target="https://settercloset.com/products/granite-small-8-crimps-feet-khip064?_pos=6&amp;_sid=280191124&amp;_ss=r&amp;variant=40102231277621" TargetMode="External"/><Relationship Id="rId263" Type="http://schemas.openxmlformats.org/officeDocument/2006/relationships/hyperlink" Target="https://settercloset.com/collections/stella/products/stella-medium-3-granite-junction-pinches-khkd010?variant=14275135733813" TargetMode="External"/><Relationship Id="rId319" Type="http://schemas.openxmlformats.org/officeDocument/2006/relationships/hyperlink" Target="https://settercloset.com/collections/dune/products/jeremys-dune-small-3-incut-open-crimps-khjh005?variant=7564115345461" TargetMode="External"/><Relationship Id="rId470" Type="http://schemas.openxmlformats.org/officeDocument/2006/relationships/hyperlink" Target="https://settercloset.com/collections/winter/products/winter-medium-13-plate-slopers-k105?variant=14224856514613" TargetMode="External"/><Relationship Id="rId58" Type="http://schemas.openxmlformats.org/officeDocument/2006/relationships/hyperlink" Target="https://settercloset.com/collections/sandstone/products/sandstone-large-2-flakes-and-pockets-k035?variant=14196096008245" TargetMode="External"/><Relationship Id="rId123" Type="http://schemas.openxmlformats.org/officeDocument/2006/relationships/hyperlink" Target="https://settercloset.com/collections/traprock" TargetMode="External"/><Relationship Id="rId330" Type="http://schemas.openxmlformats.org/officeDocument/2006/relationships/hyperlink" Target="https://settercloset.com/collections/newest-shapes/products/petes-geo-complex-2xl-edges-khpj022?variant=42433504280629" TargetMode="External"/><Relationship Id="rId165" Type="http://schemas.openxmlformats.org/officeDocument/2006/relationships/hyperlink" Target="https://settercloset.com/products/granite-xl-11-complex-blocky-incuts-k212?_pos=1&amp;_sid=24b42e598&amp;_ss=r&amp;variant=32219890155573" TargetMode="External"/><Relationship Id="rId372" Type="http://schemas.openxmlformats.org/officeDocument/2006/relationships/hyperlink" Target="https://settercloset.com/collections/noah/products/noah-kaiju-knob-3-k069-3?variant=14208641728565" TargetMode="External"/><Relationship Id="rId428" Type="http://schemas.openxmlformats.org/officeDocument/2006/relationships/hyperlink" Target="https://settercloset.com/products/noah-xs-4-incut-feet-k253?variant=40627668942901" TargetMode="External"/><Relationship Id="rId232" Type="http://schemas.openxmlformats.org/officeDocument/2006/relationships/hyperlink" Target="https://settercloset.com/products/ians-granite-jibs-large-2-khip009?_pos=1&amp;_sid=98ba236ae&amp;_ss=r&amp;variant=31280395223093" TargetMode="External"/><Relationship Id="rId274" Type="http://schemas.openxmlformats.org/officeDocument/2006/relationships/hyperlink" Target="https://settercloset.com/collections/teagan/products/teagan-kaiju-stalactite-3-k047-3?variant=14196520747061" TargetMode="External"/><Relationship Id="rId481" Type="http://schemas.openxmlformats.org/officeDocument/2006/relationships/hyperlink" Target="https://settercloset.com/collections/winter/products/winter-small-4-low-angle-crimps-k046?variant=14196301430837" TargetMode="External"/><Relationship Id="rId27" Type="http://schemas.openxmlformats.org/officeDocument/2006/relationships/hyperlink" Target="https://settercloset.com/products/sandstone-kaiju-stalactite-2-3-k133-kit?variant=40650438148149" TargetMode="External"/><Relationship Id="rId69" Type="http://schemas.openxmlformats.org/officeDocument/2006/relationships/hyperlink" Target="https://settercloset.com/collections/newest-shapes/products/sandstone-large-19-pockets-k236?variant=39872915505205" TargetMode="External"/><Relationship Id="rId134" Type="http://schemas.openxmlformats.org/officeDocument/2006/relationships/hyperlink" Target="https://settercloset.com/collections/traprock/products/traprock-medium-1-plate-crimps-kfb002?variant=6819682091061" TargetMode="External"/><Relationship Id="rId80" Type="http://schemas.openxmlformats.org/officeDocument/2006/relationships/hyperlink" Target="https://settercloset.com/collections/sandstone/products/sandstone-medium-12-edges-k146?variant=14235309539381" TargetMode="External"/><Relationship Id="rId176" Type="http://schemas.openxmlformats.org/officeDocument/2006/relationships/hyperlink" Target="https://settercloset.com/products/granite-small-3-complex-incuts-khip036?variant=31826678153269" TargetMode="External"/><Relationship Id="rId341" Type="http://schemas.openxmlformats.org/officeDocument/2006/relationships/hyperlink" Target="https://settercloset.com/collections/complex/products/petes-geo-complex-jibs-1-khpj007?variant=14287466201141" TargetMode="External"/><Relationship Id="rId383" Type="http://schemas.openxmlformats.org/officeDocument/2006/relationships/hyperlink" Target="https://settercloset.com/collections/noah/products/noah-large-7-3-pad-incut-fins-k109?variant=14224965337141" TargetMode="External"/><Relationship Id="rId439" Type="http://schemas.openxmlformats.org/officeDocument/2006/relationships/hyperlink" Target="https://settercloset.com/collections/winter/products/winter-kaiju-sloper-3-k067-3?variant=14208471695413" TargetMode="External"/><Relationship Id="rId201" Type="http://schemas.openxmlformats.org/officeDocument/2006/relationships/hyperlink" Target="https://settercloset.com/collections/granite/products/wills-granite-large-3-pinches-khwa009?variant=14288012017717" TargetMode="External"/><Relationship Id="rId243" Type="http://schemas.openxmlformats.org/officeDocument/2006/relationships/hyperlink" Target="https://settercloset.com/collections/newest-shapes/products/granite-xl-6-dual-tex-pinches-khip068?variant=42643660242997" TargetMode="External"/><Relationship Id="rId285" Type="http://schemas.openxmlformats.org/officeDocument/2006/relationships/hyperlink" Target="https://settercloset.com/collections/teagan/products/teagan-xs-1-steep-feet-k018?variant=14194922848309" TargetMode="External"/><Relationship Id="rId450" Type="http://schemas.openxmlformats.org/officeDocument/2006/relationships/hyperlink" Target="https://settercloset.com/collections/winter/products/winter-large-05-jugs-k051?variant=14196634484789" TargetMode="External"/><Relationship Id="rId506" Type="http://schemas.openxmlformats.org/officeDocument/2006/relationships/hyperlink" Target="https://settercloset.com/products/roys-bfjs-jibs-set-1-khrq001?variant=6970004734005" TargetMode="External"/><Relationship Id="rId38" Type="http://schemas.openxmlformats.org/officeDocument/2006/relationships/hyperlink" Target="https://settercloset.com/collections/sandstone/products/sandstone-2xl-roof-slopers-1-k124?variant=14225347215413" TargetMode="External"/><Relationship Id="rId103" Type="http://schemas.openxmlformats.org/officeDocument/2006/relationships/hyperlink" Target="https://settercloset.com/products/sandstone-small-12-crimps-feet-k250?_pos=1&amp;_sid=3153fe048&amp;_ss=r&amp;variant=40101673336885" TargetMode="External"/><Relationship Id="rId310" Type="http://schemas.openxmlformats.org/officeDocument/2006/relationships/hyperlink" Target="https://settercloset.com/products/ho-dunes-2xl-set-1-huecos-khjh008?variant=31806565974069" TargetMode="External"/><Relationship Id="rId492" Type="http://schemas.openxmlformats.org/officeDocument/2006/relationships/hyperlink" Target="https://settercloset.com/collections/oz" TargetMode="External"/><Relationship Id="rId91" Type="http://schemas.openxmlformats.org/officeDocument/2006/relationships/hyperlink" Target="https://settercloset.com/products/sandstone-medium-24-jugs-k247?_pos=1&amp;_sid=0e97b43cf&amp;_ss=r&amp;variant=40101622808629" TargetMode="External"/><Relationship Id="rId145" Type="http://schemas.openxmlformats.org/officeDocument/2006/relationships/hyperlink" Target="https://settercloset.com/collections/traprock/products/traprock-jib-plates-medium-1-kfb004?variant=7272418836533" TargetMode="External"/><Relationship Id="rId187" Type="http://schemas.openxmlformats.org/officeDocument/2006/relationships/hyperlink" Target="https://settercloset.com/collections/granite/products/wills-granite-2xl-1-jugs-khwa014?variant=14288161439797" TargetMode="External"/><Relationship Id="rId352" Type="http://schemas.openxmlformats.org/officeDocument/2006/relationships/hyperlink" Target="https://settercloset.com/collections/noah/products/noah-kaiju-hueco-3-k049-3?variant=14196584579125" TargetMode="External"/><Relationship Id="rId394" Type="http://schemas.openxmlformats.org/officeDocument/2006/relationships/hyperlink" Target="https://settercloset.com/collections/noah/products/noah-medium-11-plate-slopers-super-set-k078?variant=14216530919477" TargetMode="External"/><Relationship Id="rId408" Type="http://schemas.openxmlformats.org/officeDocument/2006/relationships/hyperlink" Target="https://settercloset.com/collections/noah/products/noah-medium-25-puffy-edges-k156?variant=14236070084661" TargetMode="External"/><Relationship Id="rId212" Type="http://schemas.openxmlformats.org/officeDocument/2006/relationships/hyperlink" Target="https://settercloset.com/collections/granite/products/wills-granite-medium-3-steep-crimpers-khwa007?variant=14287837855797" TargetMode="External"/><Relationship Id="rId254" Type="http://schemas.openxmlformats.org/officeDocument/2006/relationships/hyperlink" Target="https://settercloset.com/collections/stella/products/stella-kaiju-knobs-1-3-khkd007?variant=14275097198645" TargetMode="External"/><Relationship Id="rId49" Type="http://schemas.openxmlformats.org/officeDocument/2006/relationships/hyperlink" Target="https://settercloset.com/collections/sandstone/products/sandstone-xl-5-jugs-k140?variant=14225850794037" TargetMode="External"/><Relationship Id="rId114" Type="http://schemas.openxmlformats.org/officeDocument/2006/relationships/hyperlink" Target="https://settercloset.com/products/ians-dakota-jibs-large-1-khip006" TargetMode="External"/><Relationship Id="rId296" Type="http://schemas.openxmlformats.org/officeDocument/2006/relationships/hyperlink" Target="https://settercloset.com/collections/jimmy-webb/products/jimmys-southern-slopers-xl-1-pinches-khjw003?variant=20916391425" TargetMode="External"/><Relationship Id="rId461" Type="http://schemas.openxmlformats.org/officeDocument/2006/relationships/hyperlink" Target="https://settercloset.com/collections/winter/products/winter-medium-04-medium-jugs-k050?variant=14196592967733" TargetMode="External"/><Relationship Id="rId517" Type="http://schemas.openxmlformats.org/officeDocument/2006/relationships/hyperlink" Target="https://settercloset.com/collections/treadwall/products/treadwall-by-brewer-fitness-kilter-route-3-pinches?variant=30177601191989" TargetMode="External"/><Relationship Id="rId60" Type="http://schemas.openxmlformats.org/officeDocument/2006/relationships/hyperlink" Target="https://settercloset.com/collections/sandstone/products/sandstone-large-6-edges-k134?variant=14225699340341" TargetMode="External"/><Relationship Id="rId156" Type="http://schemas.openxmlformats.org/officeDocument/2006/relationships/hyperlink" Target="https://settercloset.com/products/khip030-granite-2xl-3-complex-plate-incuts?_pos=1&amp;_sid=dc7be4cd1&amp;_ss=r&amp;variant=31040279052341" TargetMode="External"/><Relationship Id="rId198" Type="http://schemas.openxmlformats.org/officeDocument/2006/relationships/hyperlink" Target="https://settercloset.com/products/ians-granite-large-2-jugs-khip019?_pos=3&amp;_sid=357dd6833&amp;_ss=r&amp;variant=14274988769333" TargetMode="External"/><Relationship Id="rId321" Type="http://schemas.openxmlformats.org/officeDocument/2006/relationships/hyperlink" Target="https://settercloset.com/collections/jeremy-ho/products/jeremys-lo-riders-2xl-1-khjh001?variant=14304012435509" TargetMode="External"/><Relationship Id="rId363" Type="http://schemas.openxmlformats.org/officeDocument/2006/relationships/hyperlink" Target="https://settercloset.com/collections/noah/products/noah-kaiju-hueco-8-k065-2?variant=14207083118645" TargetMode="External"/><Relationship Id="rId419" Type="http://schemas.openxmlformats.org/officeDocument/2006/relationships/hyperlink" Target="https://settercloset.com/collections/noah/products/noah-small-8-crimps-k175?variant=14238455988277" TargetMode="External"/><Relationship Id="rId223" Type="http://schemas.openxmlformats.org/officeDocument/2006/relationships/hyperlink" Target="https://settercloset.com/products/granite-small-10-slopey-crimps-feet-khip066?_pos=4&amp;_sid=280191124&amp;_ss=r&amp;variant=40102283345973" TargetMode="External"/><Relationship Id="rId430" Type="http://schemas.openxmlformats.org/officeDocument/2006/relationships/hyperlink" Target="https://settercloset.com/collections/winter/aragon" TargetMode="External"/><Relationship Id="rId18" Type="http://schemas.openxmlformats.org/officeDocument/2006/relationships/hyperlink" Target="https://settercloset.com/products/sandstone-complex-1-edges-and-jibs-k192?_pos=1&amp;_sid=229a608f8&amp;_ss=r&amp;variant=29386911285301" TargetMode="External"/><Relationship Id="rId265" Type="http://schemas.openxmlformats.org/officeDocument/2006/relationships/hyperlink" Target="https://settercloset.com/collections/stella/products/stella-small-1-low-angle-pinches-khkd-001?variant=14275075506229" TargetMode="External"/><Relationship Id="rId472" Type="http://schemas.openxmlformats.org/officeDocument/2006/relationships/hyperlink" Target="https://settercloset.com/collections/winter/products/winter-medium-15-plate-slopers-k117?variant=14225057644597" TargetMode="External"/><Relationship Id="rId125" Type="http://schemas.openxmlformats.org/officeDocument/2006/relationships/hyperlink" Target="https://settercloset.com/products/traprock-large-1-plate-slimps-kfb005?variant=6819547611189" TargetMode="External"/><Relationship Id="rId167" Type="http://schemas.openxmlformats.org/officeDocument/2006/relationships/hyperlink" Target="https://settercloset.com/products/granite-xl-13-complex-blocker-slopers-khip048?variant=32235077697589" TargetMode="External"/><Relationship Id="rId332" Type="http://schemas.openxmlformats.org/officeDocument/2006/relationships/hyperlink" Target="https://settercloset.com/collections/complex/products/geo-complex-xl-set-2-khpj004?variant=14287307898933" TargetMode="External"/><Relationship Id="rId374" Type="http://schemas.openxmlformats.org/officeDocument/2006/relationships/hyperlink" Target="https://settercloset.com/collections/noah/products/noah-2xl-super-jugs-3-k073?variant=14216470691893" TargetMode="External"/><Relationship Id="rId71" Type="http://schemas.openxmlformats.org/officeDocument/2006/relationships/hyperlink" Target="https://settercloset.com/collections/sandstone/products/sandstone-medium-3-incuts-k032?variant=14195926433845" TargetMode="External"/><Relationship Id="rId234" Type="http://schemas.openxmlformats.org/officeDocument/2006/relationships/hyperlink" Target="https://settercloset.com/collections/sandstone/products/sandstone-kaiju-huecos-4-6-dual-tex-k161-dt?variant=14236241362997" TargetMode="External"/><Relationship Id="rId2" Type="http://schemas.openxmlformats.org/officeDocument/2006/relationships/hyperlink" Target="https://settercloset.com/collections/sandstone/aragon" TargetMode="External"/><Relationship Id="rId29" Type="http://schemas.openxmlformats.org/officeDocument/2006/relationships/hyperlink" Target="https://settercloset.com/collections/sandstone/products/sandstone-kaiju-stalactite-3-k133-3?variant=14225656578101" TargetMode="External"/><Relationship Id="rId276" Type="http://schemas.openxmlformats.org/officeDocument/2006/relationships/hyperlink" Target="https://settercloset.com/collections/teagan/products/teagan-large-1-flakes-and-pinches-k034?variant=14196081950773" TargetMode="External"/><Relationship Id="rId441" Type="http://schemas.openxmlformats.org/officeDocument/2006/relationships/hyperlink" Target="https://settercloset.com/collections/winter/products/winter-kaiju-roof-sloper-1-k068-1?variant=14208511508533" TargetMode="External"/><Relationship Id="rId483" Type="http://schemas.openxmlformats.org/officeDocument/2006/relationships/hyperlink" Target="https://settercloset.com/collections/winter/products/winter-small-7-crimps-k091?variant=14224340156469" TargetMode="External"/><Relationship Id="rId40" Type="http://schemas.openxmlformats.org/officeDocument/2006/relationships/hyperlink" Target="https://settercloset.com/collections/sandstone/products/sandstone-2xl-huecos-1-k128?variant=14225513480245" TargetMode="External"/><Relationship Id="rId136" Type="http://schemas.openxmlformats.org/officeDocument/2006/relationships/hyperlink" Target="https://settercloset.com/collections/traprock/products/traprock-medium-3-pinches-kfb014?variant=7273244131381" TargetMode="External"/><Relationship Id="rId178" Type="http://schemas.openxmlformats.org/officeDocument/2006/relationships/hyperlink" Target="https://settercloset.com/products/wills-granite-kaiju-1-khwa15-1?variant=14288204628021" TargetMode="External"/><Relationship Id="rId301" Type="http://schemas.openxmlformats.org/officeDocument/2006/relationships/hyperlink" Target="https://settercloset.com/collections/jimmy-webb/products/jimmys-southern-slopers-l-2-jugs-khjw015?variant=12327362265141" TargetMode="External"/><Relationship Id="rId343" Type="http://schemas.openxmlformats.org/officeDocument/2006/relationships/hyperlink" Target="https://settercloset.com/products/ians-geo-jibs-medium-slick-2-khip003?_pos=1&amp;_sid=98949e84a&amp;_ss=r&amp;variant=31280042639413" TargetMode="External"/><Relationship Id="rId82" Type="http://schemas.openxmlformats.org/officeDocument/2006/relationships/hyperlink" Target="https://settercloset.com/collections/sandstone/products/sandstone-medium-14-mini-jugs-and-incuts-k151?variant=14235650261045" TargetMode="External"/><Relationship Id="rId203" Type="http://schemas.openxmlformats.org/officeDocument/2006/relationships/hyperlink" Target="https://settercloset.com/collections/granite/products/wills-granite-large-5-pinches-khwa012?variant=14288096165941" TargetMode="External"/><Relationship Id="rId385" Type="http://schemas.openxmlformats.org/officeDocument/2006/relationships/hyperlink" Target="https://settercloset.com/collections/noah/products/noah-large-9-plate-fins-k116?variant=14225054924853" TargetMode="External"/><Relationship Id="rId245" Type="http://schemas.openxmlformats.org/officeDocument/2006/relationships/hyperlink" Target="https://settercloset.com/products/ians-granite-xs-1-dual-tex-feet-khip013-dt?_pos=2&amp;_sid=8ac953026&amp;_ss=r&amp;variant=14274802253877" TargetMode="External"/><Relationship Id="rId287" Type="http://schemas.openxmlformats.org/officeDocument/2006/relationships/hyperlink" Target="https://settercloset.com/collections/jimmy-webb" TargetMode="External"/><Relationship Id="rId410" Type="http://schemas.openxmlformats.org/officeDocument/2006/relationships/hyperlink" Target="https://settercloset.com/collections/noah/products/noah-medium-27-slots-k174?variant=14238336286773" TargetMode="External"/><Relationship Id="rId452" Type="http://schemas.openxmlformats.org/officeDocument/2006/relationships/hyperlink" Target="https://settercloset.com/collections/winter/products/winter-large-8-incut-fins-k088?variant=14224297984053" TargetMode="External"/><Relationship Id="rId494" Type="http://schemas.openxmlformats.org/officeDocument/2006/relationships/hyperlink" Target="https://settercloset.com/collections/oz/products/oz-scoops-large-2-khuw006?variant=5242811187237" TargetMode="External"/><Relationship Id="rId508" Type="http://schemas.openxmlformats.org/officeDocument/2006/relationships/hyperlink" Target="https://settercloset.com/collections/jibs/aragon" TargetMode="External"/><Relationship Id="rId105" Type="http://schemas.openxmlformats.org/officeDocument/2006/relationships/hyperlink" Target="https://settercloset.com/collections/sandstone/products/sandstone-xs-1-steep-feet-k147?variant=14235337916469" TargetMode="External"/><Relationship Id="rId147" Type="http://schemas.openxmlformats.org/officeDocument/2006/relationships/hyperlink" Target="https://settercloset.com/collections/traprock/products/traprock-jib-plates-large-2-edges-kfb013?variant=7273142812725" TargetMode="External"/><Relationship Id="rId312" Type="http://schemas.openxmlformats.org/officeDocument/2006/relationships/hyperlink" Target="https://settercloset.com/products/ho-dunes-xl-2-jugs-khjh012?variant=33081307365429" TargetMode="External"/><Relationship Id="rId354" Type="http://schemas.openxmlformats.org/officeDocument/2006/relationships/hyperlink" Target="https://settercloset.com/collections/noah/products/noah-kaiju-roof-sloper-1-k053-1?variant=14196688846901" TargetMode="External"/><Relationship Id="rId51" Type="http://schemas.openxmlformats.org/officeDocument/2006/relationships/hyperlink" Target="https://settercloset.com/collections/sandstone/products/sandstone-xl-7-brushed-rail-pinches-k191?variant=14248793767989" TargetMode="External"/><Relationship Id="rId93" Type="http://schemas.openxmlformats.org/officeDocument/2006/relationships/hyperlink" Target="https://settercloset.com/products/k157-sandstone-small-2-wave-edges?variant=28845205192757" TargetMode="External"/><Relationship Id="rId189" Type="http://schemas.openxmlformats.org/officeDocument/2006/relationships/hyperlink" Target="https://settercloset.com/products/granite-2xl-8-slopers-khip052?variant=33426899927093" TargetMode="External"/><Relationship Id="rId396" Type="http://schemas.openxmlformats.org/officeDocument/2006/relationships/hyperlink" Target="https://settercloset.com/collections/noah/products/noah-medium-13-puffy-incuts-k081?variant=14216623358005" TargetMode="External"/><Relationship Id="rId214" Type="http://schemas.openxmlformats.org/officeDocument/2006/relationships/hyperlink" Target="https://settercloset.com/collections/granite/products/wills-granite-small-1-crimpers-khwa005?variant=14287753805877" TargetMode="External"/><Relationship Id="rId256" Type="http://schemas.openxmlformats.org/officeDocument/2006/relationships/hyperlink" Target="https://settercloset.com/collections/stella/products/stella-kaiju-knobs-2-khkd007-2?variant=14275124232245" TargetMode="External"/><Relationship Id="rId298" Type="http://schemas.openxmlformats.org/officeDocument/2006/relationships/hyperlink" Target="https://settercloset.com/collections/jimmy-webb/products/jimmys-southern-slopers-xl-2-big-biscuits-roof-slugs-khjw013?variant=12372481835061" TargetMode="External"/><Relationship Id="rId421" Type="http://schemas.openxmlformats.org/officeDocument/2006/relationships/hyperlink" Target="https://settercloset.com/products/noah-small-10-crimps-k240?variant=40042272784437" TargetMode="External"/><Relationship Id="rId463" Type="http://schemas.openxmlformats.org/officeDocument/2006/relationships/hyperlink" Target="https://settercloset.com/collections/winter/products/winter-medium-6-puffy-incuts-k056?variant=14196755071029" TargetMode="External"/><Relationship Id="rId519" Type="http://schemas.openxmlformats.org/officeDocument/2006/relationships/hyperlink" Target="https://settercloset.com/products/treadwall-by-brewer-fitness-kilter-route-5-puffy-incut-crimps?_pos=6&amp;_sid=e4e5b04c7&amp;_ss=r&amp;variant=31684890820661" TargetMode="External"/><Relationship Id="rId116" Type="http://schemas.openxmlformats.org/officeDocument/2006/relationships/hyperlink" Target="https://settercloset.com/collections/moses-sandstone/aragon" TargetMode="External"/><Relationship Id="rId158" Type="http://schemas.openxmlformats.org/officeDocument/2006/relationships/hyperlink" Target="https://settercloset.com/products/granite-2xl-5-complex-slopers-khip037?variant=31806719623221" TargetMode="External"/><Relationship Id="rId323" Type="http://schemas.openxmlformats.org/officeDocument/2006/relationships/hyperlink" Target="https://settercloset.com/collections/geo-complex" TargetMode="External"/><Relationship Id="rId20" Type="http://schemas.openxmlformats.org/officeDocument/2006/relationships/hyperlink" Target="https://settercloset.com/collections/newest-shapes/products/sandstone-complex-10-brushed-jib-slopers-blockers-k218?variant=33353731866677" TargetMode="External"/><Relationship Id="rId62" Type="http://schemas.openxmlformats.org/officeDocument/2006/relationships/hyperlink" Target="https://settercloset.com/collections/sandstone/products/sandstone-large-8-slopey-incuts-k137?variant=14225807278133" TargetMode="External"/><Relationship Id="rId365" Type="http://schemas.openxmlformats.org/officeDocument/2006/relationships/hyperlink" Target="https://settercloset.com/collections/noah/products/noah-kaiju-huecos-10-12-k066?variant=14208291569717" TargetMode="External"/><Relationship Id="rId225" Type="http://schemas.openxmlformats.org/officeDocument/2006/relationships/hyperlink" Target="https://settercloset.com/products/ians-granite-xs-1-feet-khip-013?_pos=1&amp;_sid=8ac953026&amp;_ss=r&amp;variant=14274776760373" TargetMode="External"/><Relationship Id="rId267" Type="http://schemas.openxmlformats.org/officeDocument/2006/relationships/hyperlink" Target="https://settercloset.com/collections/stella/products/stella-small-3-plate-slopers-khkd-003?variant=14275086647349" TargetMode="External"/><Relationship Id="rId432" Type="http://schemas.openxmlformats.org/officeDocument/2006/relationships/hyperlink" Target="https://settercloset.com/collections/winter/products/winter-kaiju-hueco-1-k048-1?variant=14196534018101" TargetMode="External"/><Relationship Id="rId474" Type="http://schemas.openxmlformats.org/officeDocument/2006/relationships/hyperlink" Target="https://settercloset.com/collections/winter/products/winter-medium-17-mini-jugs-k167?variant=14237650026549" TargetMode="External"/><Relationship Id="rId127" Type="http://schemas.openxmlformats.org/officeDocument/2006/relationships/hyperlink" Target="https://settercloset.com/collections/traprock/products/traprock-large-3-pinches-kfb007?variant=6819632021557" TargetMode="External"/><Relationship Id="rId31" Type="http://schemas.openxmlformats.org/officeDocument/2006/relationships/hyperlink" Target="https://settercloset.com/collections/sandstone/products/sandstone-kaiju-hueco-5-k161-2?variant=14236210855989" TargetMode="External"/><Relationship Id="rId73" Type="http://schemas.openxmlformats.org/officeDocument/2006/relationships/hyperlink" Target="https://settercloset.com/collections/sandstone/products/sandstone-medium-5-plate-slopers-k115?variant=14225048797237" TargetMode="External"/><Relationship Id="rId169" Type="http://schemas.openxmlformats.org/officeDocument/2006/relationships/hyperlink" Target="https://settercloset.com/products/granite-l1-complex-blocker-slopers-khip047?variant=32235089035317" TargetMode="External"/><Relationship Id="rId334" Type="http://schemas.openxmlformats.org/officeDocument/2006/relationships/hyperlink" Target="https://settercloset.com/collections/complex/products/petes-geo-complex-medium-1-edges-khpj008?variant=14287482355765" TargetMode="External"/><Relationship Id="rId376" Type="http://schemas.openxmlformats.org/officeDocument/2006/relationships/hyperlink" Target="https://settercloset.com/collections/noah/products/noah-xl-3-over-jugs-k164?variant=14237583409205" TargetMode="External"/><Relationship Id="rId4" Type="http://schemas.openxmlformats.org/officeDocument/2006/relationships/hyperlink" Target="https://settercloset.com/collections/sandstone/products/sandstone-complex-3-brushed-sandstone-kaiju-roof-sloper-and-2-brushed-sandstone-jib-blockers-k195?variant=29488607461429" TargetMode="External"/><Relationship Id="rId180" Type="http://schemas.openxmlformats.org/officeDocument/2006/relationships/hyperlink" Target="https://settercloset.com/products/wills-granite-kaiju-3-khwa15-3?variant=14288226680885" TargetMode="External"/><Relationship Id="rId236" Type="http://schemas.openxmlformats.org/officeDocument/2006/relationships/hyperlink" Target="https://settercloset.com/collections/sandstone/products/sandstone-kaiju-plate-sloper-huecos-1-3-dual-tex-k162-dt?variant=14237549527093" TargetMode="External"/><Relationship Id="rId278" Type="http://schemas.openxmlformats.org/officeDocument/2006/relationships/hyperlink" Target="https://settercloset.com/collections/teagan/products/teagan-large-03-slopers-k118?variant=14225062199349" TargetMode="External"/><Relationship Id="rId401" Type="http://schemas.openxmlformats.org/officeDocument/2006/relationships/hyperlink" Target="https://settercloset.com/collections/noah/products/noah-medium-18-flat-seams-k095?variant=14224548888629" TargetMode="External"/><Relationship Id="rId443" Type="http://schemas.openxmlformats.org/officeDocument/2006/relationships/hyperlink" Target="https://settercloset.com/collections/winter/products/winter-kaiju-roof-sloper-3-k068-3?variant=14208560169013" TargetMode="External"/><Relationship Id="rId303" Type="http://schemas.openxmlformats.org/officeDocument/2006/relationships/hyperlink" Target="https://settercloset.com/collections/jimmy-webb/products/jimmys-clean-crimps-small-2-khjw007?variant=34300966337" TargetMode="External"/><Relationship Id="rId485" Type="http://schemas.openxmlformats.org/officeDocument/2006/relationships/hyperlink" Target="https://settercloset.com/collections/winter/products/winter-small-9-2-pad-incut-edges-k102?variant=14224721412149" TargetMode="External"/><Relationship Id="rId42" Type="http://schemas.openxmlformats.org/officeDocument/2006/relationships/hyperlink" Target="https://settercloset.com/products/sandstone-kaiju-brushed-11-13-ribs-k214?variant=32235407736885" TargetMode="External"/><Relationship Id="rId84" Type="http://schemas.openxmlformats.org/officeDocument/2006/relationships/hyperlink" Target="https://settercloset.com/collections/sandstone/products/sandstone-medium-16-brushed-slots-k181?variant=14248078999605" TargetMode="External"/><Relationship Id="rId138" Type="http://schemas.openxmlformats.org/officeDocument/2006/relationships/hyperlink" Target="https://settercloset.com/collections/traprock/products/traprock-medium-5-pinches-kfb016?variant=7612464103477" TargetMode="External"/><Relationship Id="rId345" Type="http://schemas.openxmlformats.org/officeDocument/2006/relationships/hyperlink" Target="https://settercloset.com/collections/noah/aragon" TargetMode="External"/><Relationship Id="rId387" Type="http://schemas.openxmlformats.org/officeDocument/2006/relationships/hyperlink" Target="https://settercloset.com/collections/noah/products/noah-medium-4-pinch-plates-k014?variant=14179489087541" TargetMode="External"/><Relationship Id="rId510" Type="http://schemas.openxmlformats.org/officeDocument/2006/relationships/hyperlink" Target="https://settercloset.com/collections/jibs/products/ians-curvy-jibs-medium-2-khip-010?variant=14258756583477" TargetMode="External"/><Relationship Id="rId191" Type="http://schemas.openxmlformats.org/officeDocument/2006/relationships/hyperlink" Target="https://settercloset.com/products/ians-granite-xl-6-pockets-khip023?_pos=1&amp;_sid=d472b2c7e&amp;_ss=r&amp;variant=14275026288693" TargetMode="External"/><Relationship Id="rId205" Type="http://schemas.openxmlformats.org/officeDocument/2006/relationships/hyperlink" Target="https://settercloset.com/products/ians-granite-medium-1-jugs-khip017?_pos=1&amp;_sid=fcfffc9f9&amp;_ss=r&amp;variant=14274886041653" TargetMode="External"/><Relationship Id="rId247" Type="http://schemas.openxmlformats.org/officeDocument/2006/relationships/hyperlink" Target="https://settercloset.com/products/petes-granite-l-1-dual-tex-pinches-khpj025?variant=40306677973045" TargetMode="External"/><Relationship Id="rId412" Type="http://schemas.openxmlformats.org/officeDocument/2006/relationships/hyperlink" Target="https://settercloset.com/collections/noah/products/noah-small-1-low-angle-crimps-k024?variant=14195320324149" TargetMode="External"/><Relationship Id="rId107" Type="http://schemas.openxmlformats.org/officeDocument/2006/relationships/hyperlink" Target="https://settercloset.com/collections/sandstone/products/sandstone-xs-3-brushed-slopey-discs-k183?variant=14248324988981" TargetMode="External"/><Relationship Id="rId289" Type="http://schemas.openxmlformats.org/officeDocument/2006/relationships/hyperlink" Target="https://settercloset.com/collections/jimmy-webb/products/jimmys-southern-slopers-kaiju-1-khjw002-1?variant=32076953473" TargetMode="External"/><Relationship Id="rId454" Type="http://schemas.openxmlformats.org/officeDocument/2006/relationships/hyperlink" Target="https://settercloset.com/collections/winter/products/winter-large-10-plate-slopers-k097?variant=14224575692853" TargetMode="External"/><Relationship Id="rId496" Type="http://schemas.openxmlformats.org/officeDocument/2006/relationships/hyperlink" Target="https://settercloset.com/collections/oz/products/oz-scoops-medium-1-khuw004?variant=5110894886949" TargetMode="External"/><Relationship Id="rId11" Type="http://schemas.openxmlformats.org/officeDocument/2006/relationships/hyperlink" Target="https://settercloset.com/products/sandstone-complex-17-xl-blocky-pinches-k230?_pos=1&amp;_sid=d0ef9165d&amp;_ss=r&amp;variant=39563076141109" TargetMode="External"/><Relationship Id="rId53" Type="http://schemas.openxmlformats.org/officeDocument/2006/relationships/hyperlink" Target="https://settercloset.com/products/sandstone-xl-10-mega-jibs-font-texture-plates-k227?_pos=1&amp;_sid=95472b3cb&amp;_ss=r&amp;variant=33472915669045" TargetMode="External"/><Relationship Id="rId149" Type="http://schemas.openxmlformats.org/officeDocument/2006/relationships/hyperlink" Target="https://settercloset.com/products/khip029-granite-kaijus-7-8?_pos=1&amp;_sid=2823f8828&amp;_ss=r&amp;variant=31040204734517" TargetMode="External"/><Relationship Id="rId314" Type="http://schemas.openxmlformats.org/officeDocument/2006/relationships/hyperlink" Target="https://settercloset.com/products/ho-dunes-l1-pinches-khjh011?variant=33082360692789" TargetMode="External"/><Relationship Id="rId356" Type="http://schemas.openxmlformats.org/officeDocument/2006/relationships/hyperlink" Target="https://settercloset.com/collections/noah/products/noah-kaiju-roof-sloper-3-k053-3?variant=14196702249013" TargetMode="External"/><Relationship Id="rId398" Type="http://schemas.openxmlformats.org/officeDocument/2006/relationships/hyperlink" Target="https://settercloset.com/collections/noah/products/noah-medium-15-plate-slopers-k085?variant=14224258891829" TargetMode="External"/><Relationship Id="rId521" Type="http://schemas.openxmlformats.org/officeDocument/2006/relationships/drawing" Target="../drawings/drawing3.xml"/><Relationship Id="rId95" Type="http://schemas.openxmlformats.org/officeDocument/2006/relationships/hyperlink" Target="https://settercloset.com/collections/sandstone/products/sandstone-small-4-brushed-plates-slopey-crimps-and-feet-k176?variant=14238481776693" TargetMode="External"/><Relationship Id="rId160" Type="http://schemas.openxmlformats.org/officeDocument/2006/relationships/hyperlink" Target="https://settercloset.com/products/granite-2xl-7-complex-blocky-incuts-khip043?_pos=1&amp;_sid=8a33f2981&amp;_ss=r&amp;variant=32190837325877" TargetMode="External"/><Relationship Id="rId216" Type="http://schemas.openxmlformats.org/officeDocument/2006/relationships/hyperlink" Target="https://settercloset.com/collections/newest-shapes/products/granite-small-3-blocky-edges-khip057?variant=39872999981109" TargetMode="External"/><Relationship Id="rId423" Type="http://schemas.openxmlformats.org/officeDocument/2006/relationships/hyperlink" Target="https://settercloset.com/products/noah-small-12-mini-jugs-pinches-k244?_pos=1&amp;_sid=c04c9cefd&amp;_ss=r&amp;variant=40101584437301" TargetMode="External"/><Relationship Id="rId258" Type="http://schemas.openxmlformats.org/officeDocument/2006/relationships/hyperlink" Target="https://settercloset.com/collections/stella/products/stella-xl-1-puffy-balls-khkd-006?variant=14275095101493" TargetMode="External"/><Relationship Id="rId465" Type="http://schemas.openxmlformats.org/officeDocument/2006/relationships/hyperlink" Target="https://settercloset.com/collections/winter/products/winter-medium-8-puffy-incuts-k077?variant=14216508211253" TargetMode="External"/><Relationship Id="rId22" Type="http://schemas.openxmlformats.org/officeDocument/2006/relationships/hyperlink" Target="https://settercloset.com/collections/newest-shapes/products/sandstone-complex-12-brushed-jib-slopers-blockers-k221?variant=33353741566005" TargetMode="External"/><Relationship Id="rId64" Type="http://schemas.openxmlformats.org/officeDocument/2006/relationships/hyperlink" Target="https://settercloset.com/collections/sandstone/products/sandstone-large-10-jugs-k152?variant=14235938979893" TargetMode="External"/><Relationship Id="rId118" Type="http://schemas.openxmlformats.org/officeDocument/2006/relationships/hyperlink" Target="https://settercloset.com/collections/moses-sandstone/products/moses-sandstone-large-2-jugs-khkd017?variant=14282476388405" TargetMode="External"/><Relationship Id="rId325" Type="http://schemas.openxmlformats.org/officeDocument/2006/relationships/hyperlink" Target="https://settercloset.com/products/petes-geo-complex-kaju-set-2-plate-edges-khpj019?variant=29357561151541" TargetMode="External"/><Relationship Id="rId367" Type="http://schemas.openxmlformats.org/officeDocument/2006/relationships/hyperlink" Target="https://settercloset.com/collections/noah/products/noah-kaiju-hueco-11-k066-2?variant=14208357564469" TargetMode="External"/><Relationship Id="rId171" Type="http://schemas.openxmlformats.org/officeDocument/2006/relationships/hyperlink" Target="https://settercloset.com/products/granite-l3-complex-blocky-incuts-khip046?variant=33426898812981" TargetMode="External"/><Relationship Id="rId227" Type="http://schemas.openxmlformats.org/officeDocument/2006/relationships/hyperlink" Target="https://settercloset.com/products/ians-mod-granite-xs-1-feet-khip-015?_pos=1&amp;_sid=6742e59d4&amp;_ss=r&amp;variant=14274818867253" TargetMode="External"/><Relationship Id="rId269" Type="http://schemas.openxmlformats.org/officeDocument/2006/relationships/hyperlink" Target="https://settercloset.com/collections/stella/products/stella-xs-2-hooded-feet-khkd009?variant=14275134652469" TargetMode="External"/><Relationship Id="rId434" Type="http://schemas.openxmlformats.org/officeDocument/2006/relationships/hyperlink" Target="https://settercloset.com/collections/winter/products/winter-kaiju-hueco-3-k048-3?variant=14196558659637" TargetMode="External"/><Relationship Id="rId476" Type="http://schemas.openxmlformats.org/officeDocument/2006/relationships/hyperlink" Target="https://settercloset.com/collections/winter/products/winter-medium-19-mini-jugs-k170?variant=14237710549045" TargetMode="External"/><Relationship Id="rId33" Type="http://schemas.openxmlformats.org/officeDocument/2006/relationships/hyperlink" Target="https://settercloset.com/products/sandstone-kaiju-rails-1-3-brushed-rails-k193?variant=29357649723445" TargetMode="External"/><Relationship Id="rId129" Type="http://schemas.openxmlformats.org/officeDocument/2006/relationships/hyperlink" Target="https://settercloset.com/collections/traprock/products/traprock-large-5-jugs-kfb010?variant=7113377677365" TargetMode="External"/><Relationship Id="rId280" Type="http://schemas.openxmlformats.org/officeDocument/2006/relationships/hyperlink" Target="https://settercloset.com/collections/teagan/products/teagan-medium-2-incuts-k022?variant=14195128238133" TargetMode="External"/><Relationship Id="rId336" Type="http://schemas.openxmlformats.org/officeDocument/2006/relationships/hyperlink" Target="https://settercloset.com/collections/complex/products/petes-geo-complex-medium-3-khpj010?variant=14287530688565" TargetMode="External"/><Relationship Id="rId501" Type="http://schemas.openxmlformats.org/officeDocument/2006/relationships/hyperlink" Target="https://settercloset.com/collections/oz/products/oz-scoops-large-jibs-1-khuw002?variant=4996264722469" TargetMode="External"/><Relationship Id="rId75" Type="http://schemas.openxmlformats.org/officeDocument/2006/relationships/hyperlink" Target="https://settercloset.com/collections/sandstone/products/sandstone-medium-07-edges-and-incuts-k138?variant=14225820516405" TargetMode="External"/><Relationship Id="rId140" Type="http://schemas.openxmlformats.org/officeDocument/2006/relationships/hyperlink" Target="https://settercloset.com/collections/traprock/products/traprock-medium-7-incuts-kfb023?variant=8432195010613" TargetMode="External"/><Relationship Id="rId182" Type="http://schemas.openxmlformats.org/officeDocument/2006/relationships/hyperlink" Target="https://settercloset.com/products/ians-granite-kaiju-5-khip012-2?variant=14260218691637" TargetMode="External"/><Relationship Id="rId378" Type="http://schemas.openxmlformats.org/officeDocument/2006/relationships/hyperlink" Target="https://settercloset.com/collections/noah/products/noah-large-2-low-angle-jugs-k007?variant=14179277537333" TargetMode="External"/><Relationship Id="rId403" Type="http://schemas.openxmlformats.org/officeDocument/2006/relationships/hyperlink" Target="https://settercloset.com/collections/noah/products/noah-medium-20-slots-k114?variant=14225024385077" TargetMode="External"/><Relationship Id="rId6" Type="http://schemas.openxmlformats.org/officeDocument/2006/relationships/hyperlink" Target="https://settercloset.com/collections/newest-shapes/products/sandstone-complex-18-brushed-kaiju-jug-ledges-k233?variant=42413753237557" TargetMode="External"/><Relationship Id="rId238" Type="http://schemas.openxmlformats.org/officeDocument/2006/relationships/hyperlink" Target="https://settercloset.com/products/sandstone-2xl-9-dual-tex-brushed-scoops-k229?_pos=1&amp;_sid=aaa57420a&amp;_ss=r&amp;variant=39556897734709" TargetMode="External"/><Relationship Id="rId445" Type="http://schemas.openxmlformats.org/officeDocument/2006/relationships/hyperlink" Target="https://settercloset.com/collections/winter/products/winter-xl-slugs-1-sloper-jugs-k076?variant=14216490483765" TargetMode="External"/><Relationship Id="rId487" Type="http://schemas.openxmlformats.org/officeDocument/2006/relationships/hyperlink" Target="https://settercloset.com/collections/winter/products/winter-xs-2-steep-feet-k028?variant=14195697188917" TargetMode="External"/><Relationship Id="rId291" Type="http://schemas.openxmlformats.org/officeDocument/2006/relationships/hyperlink" Target="https://settercloset.com/collections/jimmy-webb/products/jimmys-southern-slopers-kaiju-3-khjw002-3?variant=32077207681" TargetMode="External"/><Relationship Id="rId305" Type="http://schemas.openxmlformats.org/officeDocument/2006/relationships/hyperlink" Target="https://settercloset.com/collections/jimmy-webb/products/jimmys-southern-slopers-xs-2-feet-khjw010?variant=5266330058789" TargetMode="External"/><Relationship Id="rId347" Type="http://schemas.openxmlformats.org/officeDocument/2006/relationships/hyperlink" Target="https://settercloset.com/collections/noah/products/noah-complex-large-set-1-blocker-jibs-k187?variant=13490335940661" TargetMode="External"/><Relationship Id="rId512" Type="http://schemas.openxmlformats.org/officeDocument/2006/relationships/hyperlink" Target="https://settercloset.com/collections/hangboard" TargetMode="External"/><Relationship Id="rId44" Type="http://schemas.openxmlformats.org/officeDocument/2006/relationships/hyperlink" Target="https://settercloset.com/collections/newest-shapes/products/sandstone-2xl-10-ribs-k237?variant=39935817646133" TargetMode="External"/><Relationship Id="rId86" Type="http://schemas.openxmlformats.org/officeDocument/2006/relationships/hyperlink" Target="https://settercloset.com/products/sandstone-medium-19-brushed-pinches-k206?variant=31806460624949" TargetMode="External"/><Relationship Id="rId151" Type="http://schemas.openxmlformats.org/officeDocument/2006/relationships/hyperlink" Target="https://settercloset.com/products/granite-kaiju-11-12-complex-ledge-and-pinch-bar-khip033-kit" TargetMode="External"/><Relationship Id="rId389" Type="http://schemas.openxmlformats.org/officeDocument/2006/relationships/hyperlink" Target="https://settercloset.com/collections/noah/products/noah-medium-6-steep-slots-k038?variant=14196140900405" TargetMode="External"/><Relationship Id="rId193" Type="http://schemas.openxmlformats.org/officeDocument/2006/relationships/hyperlink" Target="https://settercloset.com/collections/granite/products/wills-granite-xl-1-blocks-khwa013?variant=14288148987957" TargetMode="External"/><Relationship Id="rId207" Type="http://schemas.openxmlformats.org/officeDocument/2006/relationships/hyperlink" Target="https://settercloset.com/products/ians-granite-medium-4-pockets-khip025?_pos=1&amp;_sid=4b56513b4&amp;_ss=r&amp;variant=14275035267125" TargetMode="External"/><Relationship Id="rId249" Type="http://schemas.openxmlformats.org/officeDocument/2006/relationships/hyperlink" Target="https://settercloset.com/products/aroldos-roda-1-dualtex-jibs-ku003?variant=33152344981557" TargetMode="External"/><Relationship Id="rId414" Type="http://schemas.openxmlformats.org/officeDocument/2006/relationships/hyperlink" Target="https://settercloset.com/collections/noah/products/noah-small-3-crimps-k090?variant=14224319414325" TargetMode="External"/><Relationship Id="rId456" Type="http://schemas.openxmlformats.org/officeDocument/2006/relationships/hyperlink" Target="https://settercloset.com/collections/winter/products/winter-medium-18-1-pad-incut-fins-k110?variant=14224993845301" TargetMode="External"/><Relationship Id="rId498" Type="http://schemas.openxmlformats.org/officeDocument/2006/relationships/hyperlink" Target="https://settercloset.com/collections/oz/products/oz-edges-medium-2-khuw010?variant=8484307206197" TargetMode="External"/><Relationship Id="rId13" Type="http://schemas.openxmlformats.org/officeDocument/2006/relationships/hyperlink" Target="https://settercloset.com/products/sandstone-complex-13-medium-puffy-incuts-k223?variant=33398419128373" TargetMode="External"/><Relationship Id="rId109" Type="http://schemas.openxmlformats.org/officeDocument/2006/relationships/hyperlink" Target="https://settercloset.com/products/ians-sandstone-jibs-1-mixed-crimps-k172?_pos=1&amp;_sid=88f495740&amp;_ss=r&amp;variant=14237742694453" TargetMode="External"/><Relationship Id="rId260" Type="http://schemas.openxmlformats.org/officeDocument/2006/relationships/hyperlink" Target="https://settercloset.com/collections/stella/products/stella-large-1-granite-junction-pinches-khkd012?variant=14275142713397" TargetMode="External"/><Relationship Id="rId316" Type="http://schemas.openxmlformats.org/officeDocument/2006/relationships/hyperlink" Target="https://settercloset.com/collections/newest-shapes/products/ho-dunes-large-3-jugs-khjh018?variant=33353935224885" TargetMode="External"/><Relationship Id="rId55" Type="http://schemas.openxmlformats.org/officeDocument/2006/relationships/hyperlink" Target="https://settercloset.com/collections/newest-shapes/products/sandstone-xl-13-ribs-k232?variant=42422661054517" TargetMode="External"/><Relationship Id="rId97" Type="http://schemas.openxmlformats.org/officeDocument/2006/relationships/hyperlink" Target="https://settercloset.com/products/sandstone-small-6-brushed-plates-pinches-k178?_pos=1&amp;_sid=59742a329&amp;_ss=r&amp;variant=14238571757621" TargetMode="External"/><Relationship Id="rId120" Type="http://schemas.openxmlformats.org/officeDocument/2006/relationships/hyperlink" Target="https://settercloset.com/collections/moses-sandstone/products/moses-sandstone-medium-1-incuts-khkd016?variant=14282453876789" TargetMode="External"/><Relationship Id="rId358" Type="http://schemas.openxmlformats.org/officeDocument/2006/relationships/hyperlink" Target="https://settercloset.com/collections/noah/products/noah-kaiju-hueco-4-k063-1?variant=14206654349365" TargetMode="External"/><Relationship Id="rId162" Type="http://schemas.openxmlformats.org/officeDocument/2006/relationships/hyperlink" Target="https://settercloset.com/collections/newest-shapes/products/granite-2xl-10-complex-jugs-khip058?variant=39873023803445" TargetMode="External"/><Relationship Id="rId218" Type="http://schemas.openxmlformats.org/officeDocument/2006/relationships/hyperlink" Target="https://settercloset.com/products/granite-small-5-incut-crimps-feet-khip061?_pos=7&amp;_sid=280191124&amp;_ss=r&amp;variant=40102098075701" TargetMode="External"/><Relationship Id="rId425" Type="http://schemas.openxmlformats.org/officeDocument/2006/relationships/hyperlink" Target="https://settercloset.com/collections/noah/products/noah-xs-1-steep-feet-k020?variant=14195020660789" TargetMode="External"/><Relationship Id="rId467" Type="http://schemas.openxmlformats.org/officeDocument/2006/relationships/hyperlink" Target="https://settercloset.com/collections/winter/products/winter-medium-10-k083?variant=14216714485813" TargetMode="External"/><Relationship Id="rId271" Type="http://schemas.openxmlformats.org/officeDocument/2006/relationships/hyperlink" Target="https://settercloset.com/collections/teagan/products/teagan-kaiju-stalactites-1-3-k047?variant=14196403798069" TargetMode="External"/><Relationship Id="rId24" Type="http://schemas.openxmlformats.org/officeDocument/2006/relationships/hyperlink" Target="https://settercloset.com/collections/sandstone/products/sandstone-kaiju-hueco-1-k126-1?variant=14225428643893" TargetMode="External"/><Relationship Id="rId66" Type="http://schemas.openxmlformats.org/officeDocument/2006/relationships/hyperlink" Target="https://settercloset.com/collections/sandstone/products/sandstone-large-12-jugs-k171?variant=14237723525173" TargetMode="External"/><Relationship Id="rId131" Type="http://schemas.openxmlformats.org/officeDocument/2006/relationships/hyperlink" Target="https://settercloset.com/collections/traprock/products/traprock-large-7-jugs-kfb020?variant=8432189833269" TargetMode="External"/><Relationship Id="rId327" Type="http://schemas.openxmlformats.org/officeDocument/2006/relationships/hyperlink" Target="https://settercloset.com/collections/complex/products/petes-complex-set-1-khpj002?variant=14282642587701" TargetMode="External"/><Relationship Id="rId369" Type="http://schemas.openxmlformats.org/officeDocument/2006/relationships/hyperlink" Target="https://settercloset.com/collections/noah/products/noah-kaiju-knobs-1-3-k069?variant=14208586317877" TargetMode="External"/><Relationship Id="rId173" Type="http://schemas.openxmlformats.org/officeDocument/2006/relationships/hyperlink" Target="https://settercloset.com/products/granite-medium-6-granite-complex-10-bolt-ons-20-jibs-khip027?variant=30118126026805" TargetMode="External"/><Relationship Id="rId229" Type="http://schemas.openxmlformats.org/officeDocument/2006/relationships/hyperlink" Target="https://settercloset.com/products/wills-granite-xs-1-khwa004?_pos=1&amp;_sid=4042c4069&amp;_ss=r&amp;variant=31380268843061" TargetMode="External"/><Relationship Id="rId380" Type="http://schemas.openxmlformats.org/officeDocument/2006/relationships/hyperlink" Target="https://settercloset.com/collections/noah/products/noah-large-4-jugs-k011?variant=14179371679797" TargetMode="External"/><Relationship Id="rId436" Type="http://schemas.openxmlformats.org/officeDocument/2006/relationships/hyperlink" Target="https://settercloset.com/collections/winter/products/winter-kaiju-slopers-1-3-k067?variant=14208417431605" TargetMode="External"/><Relationship Id="rId240" Type="http://schemas.openxmlformats.org/officeDocument/2006/relationships/hyperlink" Target="https://settercloset.com/products/sandstone-jibs-7-small-dual-tex-jib-scoops-k256?variant=41581017268277" TargetMode="External"/><Relationship Id="rId478" Type="http://schemas.openxmlformats.org/officeDocument/2006/relationships/hyperlink" Target="https://settercloset.com/collections/winter/products/winter-small-2-incut-crimps-k016?variant=14179768270901" TargetMode="External"/><Relationship Id="rId35" Type="http://schemas.openxmlformats.org/officeDocument/2006/relationships/hyperlink" Target="https://settercloset.com/products/sandstone-kaiju-brushed-4-big-sloper-k203?variant=31806450532405" TargetMode="External"/><Relationship Id="rId77" Type="http://schemas.openxmlformats.org/officeDocument/2006/relationships/hyperlink" Target="https://settercloset.com/collections/sandstone/products/sandstone-medium-9-puffy-incuts-k142?variant=14235174895669" TargetMode="External"/><Relationship Id="rId100" Type="http://schemas.openxmlformats.org/officeDocument/2006/relationships/hyperlink" Target="https://settercloset.com/collections/newest-shapes/products/sandstone-small-9-incut-edges-k235?variant=39872884965429" TargetMode="External"/><Relationship Id="rId282" Type="http://schemas.openxmlformats.org/officeDocument/2006/relationships/hyperlink" Target="https://settercloset.com/collections/teagan/products/teagan-medium-4-low-angle-pinches-k041?variant=14196214890549" TargetMode="External"/><Relationship Id="rId338" Type="http://schemas.openxmlformats.org/officeDocument/2006/relationships/hyperlink" Target="https://settercloset.com/collections/complex/products/petes-geo-complex-xs-set-1-feet-khpj005?variant=14287375630389" TargetMode="External"/><Relationship Id="rId503" Type="http://schemas.openxmlformats.org/officeDocument/2006/relationships/hyperlink" Target="https://settercloset.com/collections/oz/products/oz-scoops-medium-jibs-2-khuw008?variant=8484168171573" TargetMode="External"/><Relationship Id="rId8" Type="http://schemas.openxmlformats.org/officeDocument/2006/relationships/hyperlink" Target="https://settercloset.com/collections/newest-shapes/products/sandstone-complex-9-brushed-2xl-jugs-k219?variant=33353724330037" TargetMode="External"/><Relationship Id="rId142" Type="http://schemas.openxmlformats.org/officeDocument/2006/relationships/hyperlink" Target="https://settercloset.com/collections/traprock/products/traprock-small-2-tech-rib-feet-kfb009?variant=7141896486965" TargetMode="External"/><Relationship Id="rId184" Type="http://schemas.openxmlformats.org/officeDocument/2006/relationships/hyperlink" Target="https://settercloset.com/products/ians-granite-kaiju-7-8-khip051?variant=32235124523061" TargetMode="External"/><Relationship Id="rId391" Type="http://schemas.openxmlformats.org/officeDocument/2006/relationships/hyperlink" Target="https://settercloset.com/collections/noah/products/noah-medium-8-slots-k044?variant=14196274495541" TargetMode="External"/><Relationship Id="rId405" Type="http://schemas.openxmlformats.org/officeDocument/2006/relationships/hyperlink" Target="https://settercloset.com/collections/noah/products/noah-medium-22-plate-edges-k120?variant=14225281515573" TargetMode="External"/><Relationship Id="rId447" Type="http://schemas.openxmlformats.org/officeDocument/2006/relationships/hyperlink" Target="https://settercloset.com/collections/winter/products/winter-large-2-jugs-k006?variant=14179112681525" TargetMode="External"/><Relationship Id="rId251" Type="http://schemas.openxmlformats.org/officeDocument/2006/relationships/hyperlink" Target="https://settercloset.com/products/jimmys-dt-2-2xl-jib-sloper-scoops-khjw018?_pos=1&amp;_sid=589bb7022&amp;_ss=r&amp;variant=40980049854517" TargetMode="External"/><Relationship Id="rId489" Type="http://schemas.openxmlformats.org/officeDocument/2006/relationships/hyperlink" Target="https://settercloset.com/collections/puccio-pinches" TargetMode="External"/><Relationship Id="rId46" Type="http://schemas.openxmlformats.org/officeDocument/2006/relationships/hyperlink" Target="https://settercloset.com/collections/sandstone/products/sandstone-xl-2-pinches-k122?variant=14225319788597" TargetMode="External"/><Relationship Id="rId293" Type="http://schemas.openxmlformats.org/officeDocument/2006/relationships/hyperlink" Target="https://settercloset.com/collections/jimmy-webb/products/jimmys-southern-slopers-2xl-1-multi-slopers-khjw004?variant=34296365825" TargetMode="External"/><Relationship Id="rId307" Type="http://schemas.openxmlformats.org/officeDocument/2006/relationships/hyperlink" Target="https://settercloset.com/products/ho-dunes-kaiju-1-2-huecos-khjh007?_pos=1&amp;_sid=5fcfaf15c&amp;_ss=r&amp;variant=31527730315317" TargetMode="External"/><Relationship Id="rId349" Type="http://schemas.openxmlformats.org/officeDocument/2006/relationships/hyperlink" Target="https://settercloset.com/collections/noah/products/noah-kaiju-huecos-1-3-k049?variant=14196565737525" TargetMode="External"/><Relationship Id="rId514" Type="http://schemas.openxmlformats.org/officeDocument/2006/relationships/hyperlink" Target="https://settercloset.com/collections/treadwall" TargetMode="External"/><Relationship Id="rId88" Type="http://schemas.openxmlformats.org/officeDocument/2006/relationships/hyperlink" Target="https://settercloset.com/products/sandstone-medium-21-edges-k243?variant=40042393141301" TargetMode="External"/><Relationship Id="rId111" Type="http://schemas.openxmlformats.org/officeDocument/2006/relationships/hyperlink" Target="https://settercloset.com/collections/sandstone/products/sandstone-jibs-3-brushed-plate-slopers-k189?variant=14248558788661" TargetMode="External"/><Relationship Id="rId153" Type="http://schemas.openxmlformats.org/officeDocument/2006/relationships/hyperlink" Target="https://settercloset.com/collections/all-grips/products/granite-kaiju-12-complex-pinch-bar-khip033-2?variant=31569774346293" TargetMode="External"/><Relationship Id="rId195" Type="http://schemas.openxmlformats.org/officeDocument/2006/relationships/hyperlink" Target="https://settercloset.com/collections/granite/products/wills-granite-xl-4-plate-jugs-khwa020?variant=14288248799285" TargetMode="External"/><Relationship Id="rId209" Type="http://schemas.openxmlformats.org/officeDocument/2006/relationships/hyperlink" Target="https://settercloset.com/products/granite-medium-9-raised-edges-khip054?variant=33396617707573" TargetMode="External"/><Relationship Id="rId360" Type="http://schemas.openxmlformats.org/officeDocument/2006/relationships/hyperlink" Target="https://settercloset.com/collections/noah/products/noah-kaiju-hueco-6-k063-3?variant=14206709301301" TargetMode="External"/><Relationship Id="rId416" Type="http://schemas.openxmlformats.org/officeDocument/2006/relationships/hyperlink" Target="https://settercloset.com/collections/noah/products/noah-small-5-rounded-crimps-k099?variant=14224599908405" TargetMode="External"/><Relationship Id="rId220" Type="http://schemas.openxmlformats.org/officeDocument/2006/relationships/hyperlink" Target="https://settercloset.com/products/granite-small-7-crimps-feet-khip063?_pos=2&amp;_sid=280191124&amp;_ss=r&amp;variant=40102165282869" TargetMode="External"/><Relationship Id="rId458" Type="http://schemas.openxmlformats.org/officeDocument/2006/relationships/hyperlink" Target="https://settercloset.com/collections/winter/products/winter-medium-1-low-angle-incuts-k010?variant=14179353329717" TargetMode="External"/><Relationship Id="rId15" Type="http://schemas.openxmlformats.org/officeDocument/2006/relationships/hyperlink" Target="https://settercloset.com/products/sandstone-complex-pack-medium-crisper-incut-edges-and-blocker-jibs-k224-k225?_pos=4&amp;_sid=3b8c0fe2f&amp;_ss=r&amp;variant=33398442393653" TargetMode="External"/><Relationship Id="rId57" Type="http://schemas.openxmlformats.org/officeDocument/2006/relationships/hyperlink" Target="https://settercloset.com/collections/sandstone/products/sandstone-large-1-seams-k033?variant=14196068319285" TargetMode="External"/><Relationship Id="rId262" Type="http://schemas.openxmlformats.org/officeDocument/2006/relationships/hyperlink" Target="https://settercloset.com/collections/stella/products/stella-medium-2-puffy-pinches-khkd008?variant=14275131998261" TargetMode="External"/><Relationship Id="rId318" Type="http://schemas.openxmlformats.org/officeDocument/2006/relationships/hyperlink" Target="https://settercloset.com/collections/dune/products/jeremys-dune-small-2-low-angle-crimps-khjh004?variant=14304084197429" TargetMode="External"/><Relationship Id="rId99" Type="http://schemas.openxmlformats.org/officeDocument/2006/relationships/hyperlink" Target="https://settercloset.com/collections/newest-shapes/products/sandstone-small-8-brushed-edges-k210?variant=33353966321717" TargetMode="External"/><Relationship Id="rId122" Type="http://schemas.openxmlformats.org/officeDocument/2006/relationships/hyperlink" Target="https://settercloset.com/collections/moses-sandstone/products/moses-sandstone-small-1-crimps-khkd015?variant=14275155132469" TargetMode="External"/><Relationship Id="rId164" Type="http://schemas.openxmlformats.org/officeDocument/2006/relationships/hyperlink" Target="https://settercloset.com/products/granite-xl-10-complex-blocky-pinches-khip035?variant=31826649546805" TargetMode="External"/><Relationship Id="rId371" Type="http://schemas.openxmlformats.org/officeDocument/2006/relationships/hyperlink" Target="https://settercloset.com/collections/noah/products/noah-kaiju-knob-2-k069-2?variant=14208614563893" TargetMode="External"/><Relationship Id="rId427" Type="http://schemas.openxmlformats.org/officeDocument/2006/relationships/hyperlink" Target="https://settercloset.com/collections/noah/products/noah-xs-3-steep-wall-crimps-k040?variant=14196177109045" TargetMode="External"/><Relationship Id="rId469" Type="http://schemas.openxmlformats.org/officeDocument/2006/relationships/hyperlink" Target="https://settercloset.com/collections/winter/products/winter-medium-18-1-pad-incut-fins-1-k100?variant=14224607608885" TargetMode="External"/><Relationship Id="rId26" Type="http://schemas.openxmlformats.org/officeDocument/2006/relationships/hyperlink" Target="https://settercloset.com/collections/sandstone/products/sandstone-kaiju-hueco-3-k126-3?variant=14225455939637" TargetMode="External"/><Relationship Id="rId231" Type="http://schemas.openxmlformats.org/officeDocument/2006/relationships/hyperlink" Target="https://settercloset.com/collections/granite/products/ians-granite-jibs-large-1-khip-007?variant=14258553356341" TargetMode="External"/><Relationship Id="rId273" Type="http://schemas.openxmlformats.org/officeDocument/2006/relationships/hyperlink" Target="https://settercloset.com/collections/teagan/products/teagan-kaiju-stalactite-2-k047-2?variant=14196516159541" TargetMode="External"/><Relationship Id="rId329" Type="http://schemas.openxmlformats.org/officeDocument/2006/relationships/hyperlink" Target="https://settercloset.com/products/petes-geo-complex-2xl-set-3-pinches-khpj017?variant=28890511802421" TargetMode="External"/><Relationship Id="rId480" Type="http://schemas.openxmlformats.org/officeDocument/2006/relationships/hyperlink" Target="https://settercloset.com/collections/winter/products/winter-small-4-incut-crimps-k039?variant=14196150665269" TargetMode="External"/><Relationship Id="rId68" Type="http://schemas.openxmlformats.org/officeDocument/2006/relationships/hyperlink" Target="https://settercloset.com/collections/sandstone/products/sandstone-large-14-pinches-k182?variant=14248301789237" TargetMode="External"/><Relationship Id="rId133" Type="http://schemas.openxmlformats.org/officeDocument/2006/relationships/hyperlink" Target="https://settercloset.com/collections/traprock/products/traprock-large-9-slots-kfb024?variant=8468932624437" TargetMode="External"/><Relationship Id="rId175" Type="http://schemas.openxmlformats.org/officeDocument/2006/relationships/hyperlink" Target="https://settercloset.com/products/granite-medium-8-granite-complex-jibs-khip038?variant=31806730502197" TargetMode="External"/><Relationship Id="rId340" Type="http://schemas.openxmlformats.org/officeDocument/2006/relationships/hyperlink" Target="https://settercloset.com/collections/complex/products/petes-geo-complex-xs-3-feet-khpj0014?variant=14287687843893" TargetMode="External"/><Relationship Id="rId200" Type="http://schemas.openxmlformats.org/officeDocument/2006/relationships/hyperlink" Target="https://settercloset.com/collections/granite/products/wills-granite-large-2-slopers-khwa008?variant=14287850602549" TargetMode="External"/><Relationship Id="rId382" Type="http://schemas.openxmlformats.org/officeDocument/2006/relationships/hyperlink" Target="https://settercloset.com/collections/noah/products/noah-large-6-jugs-k060?variant=14196846034997" TargetMode="External"/><Relationship Id="rId438" Type="http://schemas.openxmlformats.org/officeDocument/2006/relationships/hyperlink" Target="https://settercloset.com/collections/winter/products/winter-kaiju-sloper-2-k067-2?variant=14208454000693" TargetMode="External"/><Relationship Id="rId242" Type="http://schemas.openxmlformats.org/officeDocument/2006/relationships/hyperlink" Target="https://settercloset.com/products/granite-xl-15-complex-slopers-and-pinch-khip070?variant=41204722696245" TargetMode="External"/><Relationship Id="rId284" Type="http://schemas.openxmlformats.org/officeDocument/2006/relationships/hyperlink" Target="https://settercloset.com/collections/teagan/products/teagan-medium-6-plate-slopers-k045?variant=14196286914613" TargetMode="External"/><Relationship Id="rId491" Type="http://schemas.openxmlformats.org/officeDocument/2006/relationships/hyperlink" Target="https://settercloset.com/collections/puccio-pinches/products/alex-puccio-pinches-2xl-2-khap002?variant=14248818049077" TargetMode="External"/><Relationship Id="rId505" Type="http://schemas.openxmlformats.org/officeDocument/2006/relationships/hyperlink" Target="https://settercloset.com/products/morgan-young-set-1-jibs-ku001?variant=8432203759669" TargetMode="External"/><Relationship Id="rId37" Type="http://schemas.openxmlformats.org/officeDocument/2006/relationships/hyperlink" Target="https://settercloset.com/collections/sandstone/products/sandstone-2xl-slopers-1-k123?variant=14225329717301" TargetMode="External"/><Relationship Id="rId79" Type="http://schemas.openxmlformats.org/officeDocument/2006/relationships/hyperlink" Target="https://settercloset.com/collections/sandstone/products/sandstone-medium-11-incuts-k144?variant=14235219886133" TargetMode="External"/><Relationship Id="rId102" Type="http://schemas.openxmlformats.org/officeDocument/2006/relationships/hyperlink" Target="https://settercloset.com/products/sandstone-small-11-crimps-feet-k249?_pos=1&amp;_sid=54e24eff9&amp;_ss=r&amp;variant=40101663834165" TargetMode="External"/><Relationship Id="rId144" Type="http://schemas.openxmlformats.org/officeDocument/2006/relationships/hyperlink" Target="https://settercloset.com/collections/traprock/products/traprock-small-4-steep-feet-and-crimps-kfb021?variant=7987290243125" TargetMode="External"/><Relationship Id="rId90" Type="http://schemas.openxmlformats.org/officeDocument/2006/relationships/hyperlink" Target="https://settercloset.com/products/sandstone-medium-23-mini-jugs-edges-k246?_pos=1&amp;_sid=4b6375cff&amp;_ss=r&amp;variant=40101613600821" TargetMode="External"/><Relationship Id="rId186" Type="http://schemas.openxmlformats.org/officeDocument/2006/relationships/hyperlink" Target="https://settercloset.com/products/ians-granite-kaiju-8-khip051-2?variant=32235381456949" TargetMode="External"/><Relationship Id="rId351" Type="http://schemas.openxmlformats.org/officeDocument/2006/relationships/hyperlink" Target="https://settercloset.com/collections/noah/products/noah-kaiju-hueco-2-k049-2?variant=14196578156597" TargetMode="External"/><Relationship Id="rId393" Type="http://schemas.openxmlformats.org/officeDocument/2006/relationships/hyperlink" Target="https://settercloset.com/products/noah-medium-10-puffy-incuts-k059-1?_pos=1&amp;_sid=e1c659684&amp;_ss=r&amp;variant=31590697041973" TargetMode="External"/><Relationship Id="rId407" Type="http://schemas.openxmlformats.org/officeDocument/2006/relationships/hyperlink" Target="https://settercloset.com/collections/noah/products/noah-medium-24-puffy-edges-k155?variant=14236041674805" TargetMode="External"/><Relationship Id="rId449" Type="http://schemas.openxmlformats.org/officeDocument/2006/relationships/hyperlink" Target="https://settercloset.com/collections/winter/products/winter-large-4-jugs-k031?variant=14195846807605" TargetMode="External"/><Relationship Id="rId211" Type="http://schemas.openxmlformats.org/officeDocument/2006/relationships/hyperlink" Target="https://settercloset.com/collections/granite/products/wills-granite-medium-2-slopers-khwa006?variant=14287759278133" TargetMode="External"/><Relationship Id="rId253" Type="http://schemas.openxmlformats.org/officeDocument/2006/relationships/hyperlink" Target="https://settercloset.com/collections/stella/aragon" TargetMode="External"/><Relationship Id="rId295" Type="http://schemas.openxmlformats.org/officeDocument/2006/relationships/hyperlink" Target="https://settercloset.com/collections/jimmy-webb/products/jimmys-southern-slopers-2xl-3-jugs-khjw012?variant=8468891140149" TargetMode="External"/><Relationship Id="rId309" Type="http://schemas.openxmlformats.org/officeDocument/2006/relationships/hyperlink" Target="https://settercloset.com/products/ho-dunes-kaiju-3-huecos-khjh007-3" TargetMode="External"/><Relationship Id="rId460" Type="http://schemas.openxmlformats.org/officeDocument/2006/relationships/hyperlink" Target="https://settercloset.com/collections/winter/products/winter-medium-3-steep-wall-incuts-k023?variant=14195289554997" TargetMode="External"/><Relationship Id="rId516" Type="http://schemas.openxmlformats.org/officeDocument/2006/relationships/hyperlink" Target="https://settercloset.com/collections/treadwall/products/treadwall-by-brewer-fitness-kilter-route-2-incuts?variant=30149221974069" TargetMode="External"/><Relationship Id="rId48" Type="http://schemas.openxmlformats.org/officeDocument/2006/relationships/hyperlink" Target="https://settercloset.com/collections/sandstone/products/sandstone-xl-4-jugs-k139?variant=14225837817909" TargetMode="External"/><Relationship Id="rId113" Type="http://schemas.openxmlformats.org/officeDocument/2006/relationships/hyperlink" Target="https://settercloset.com/products/sandstone-jibs-6-brushed-jib-pinches-k205?variant=31806401642549" TargetMode="External"/><Relationship Id="rId320" Type="http://schemas.openxmlformats.org/officeDocument/2006/relationships/hyperlink" Target="https://settercloset.com/collections/dune/products/ho-dunes-xs-1-feet-khjh006?variant=13230423736373" TargetMode="External"/><Relationship Id="rId155" Type="http://schemas.openxmlformats.org/officeDocument/2006/relationships/hyperlink" Target="https://settercloset.com/collections/all-grips/products/granite-complex-kaiju-17-19-jug-ledges-khip040?variant=32326254559285" TargetMode="External"/><Relationship Id="rId197" Type="http://schemas.openxmlformats.org/officeDocument/2006/relationships/hyperlink" Target="https://settercloset.com/products/ians-granite-large-1-jugs-khip018?_pos=1&amp;_sid=357dd6833&amp;_ss=r&amp;variant=14274979004469" TargetMode="External"/><Relationship Id="rId362" Type="http://schemas.openxmlformats.org/officeDocument/2006/relationships/hyperlink" Target="https://settercloset.com/collections/noah/products/noah-kaiju-hueco-7-k065-1?variant=14207051890741" TargetMode="External"/><Relationship Id="rId418" Type="http://schemas.openxmlformats.org/officeDocument/2006/relationships/hyperlink" Target="https://settercloset.com/collections/noah/products/noah-small-7-1-2-pad-rounded-crimps-k106?variant=14224869818421" TargetMode="External"/><Relationship Id="rId222" Type="http://schemas.openxmlformats.org/officeDocument/2006/relationships/hyperlink" Target="https://settercloset.com/products/granite-small-9-slopey-crimps-feet-khip065?_pos=5&amp;_sid=280191124&amp;_ss=r&amp;variant=40102270730293" TargetMode="External"/><Relationship Id="rId264" Type="http://schemas.openxmlformats.org/officeDocument/2006/relationships/hyperlink" Target="https://settercloset.com/collections/stella/products/stella-medium-4-puffy-pinches-khkd011?variant=14275137962037" TargetMode="External"/><Relationship Id="rId471" Type="http://schemas.openxmlformats.org/officeDocument/2006/relationships/hyperlink" Target="https://settercloset.com/collections/winter/products/winter-medium-14-hooded-edges-k112?variant=14225015963701" TargetMode="External"/><Relationship Id="rId17" Type="http://schemas.openxmlformats.org/officeDocument/2006/relationships/hyperlink" Target="https://settercloset.com/products/sandstone-complex-15-brushed-blocker-jibs-for-k223-and-k224-k225?variant=33398430728245" TargetMode="External"/><Relationship Id="rId59" Type="http://schemas.openxmlformats.org/officeDocument/2006/relationships/hyperlink" Target="https://settercloset.com/collections/sandstone/products/sandstone-large-3-pocket-seams-k107?variant=14224873947189" TargetMode="External"/><Relationship Id="rId124" Type="http://schemas.openxmlformats.org/officeDocument/2006/relationships/hyperlink" Target="https://settercloset.com/products/traprock-xl-1-f-bomb-pinches-kfb019?variant=8440780390453" TargetMode="External"/><Relationship Id="rId70" Type="http://schemas.openxmlformats.org/officeDocument/2006/relationships/hyperlink" Target="https://settercloset.com/collections/sandstone/products/sandstone-medium-1-mini-jugs-k002?variant=14140540485685" TargetMode="External"/><Relationship Id="rId166" Type="http://schemas.openxmlformats.org/officeDocument/2006/relationships/hyperlink" Target="https://settercloset.com/products/granite-xl-12-complex-blocky-incuts-khip042?_pos=4&amp;_sid=8a33f2981&amp;_ss=r&amp;variant=32190833852469" TargetMode="External"/><Relationship Id="rId331" Type="http://schemas.openxmlformats.org/officeDocument/2006/relationships/hyperlink" Target="https://settercloset.com/collections/complex/products/petes-complex-xl-1-khpj003?variant=14287296856117" TargetMode="External"/><Relationship Id="rId373" Type="http://schemas.openxmlformats.org/officeDocument/2006/relationships/hyperlink" Target="https://settercloset.com/collections/noah/products/noah-2xl-super-jugs-2-k072?variant=14208665485365" TargetMode="External"/><Relationship Id="rId429" Type="http://schemas.openxmlformats.org/officeDocument/2006/relationships/hyperlink" Target="https://settercloset.com/products/noah-jibs-xs-1-board-style-feet-k255?variant=40627814236213" TargetMode="External"/><Relationship Id="rId1" Type="http://schemas.openxmlformats.org/officeDocument/2006/relationships/hyperlink" Target="mailto:holds@kiltergrips.com" TargetMode="External"/><Relationship Id="rId233" Type="http://schemas.openxmlformats.org/officeDocument/2006/relationships/hyperlink" Target="https://settercloset.com/collections/granite/products/ians-curvy-mod-granite-jibs-set-1-khip016?variant=14274850390069" TargetMode="External"/><Relationship Id="rId440" Type="http://schemas.openxmlformats.org/officeDocument/2006/relationships/hyperlink" Target="https://settercloset.com/collections/winter/products/winter-kaiju-roof-slopers-1-3-k068?variant=14208490668085" TargetMode="External"/><Relationship Id="rId28" Type="http://schemas.openxmlformats.org/officeDocument/2006/relationships/hyperlink" Target="https://settercloset.com/collections/sandstone/products/sandstone-kaiju-stalactite-2-k133-2?variant=14225544020021" TargetMode="External"/><Relationship Id="rId275" Type="http://schemas.openxmlformats.org/officeDocument/2006/relationships/hyperlink" Target="https://settercloset.com/collections/teagan/products/teagan-2xl-slopers-1-k074?variant=14216483274805" TargetMode="External"/><Relationship Id="rId300" Type="http://schemas.openxmlformats.org/officeDocument/2006/relationships/hyperlink" Target="https://settercloset.com/collections/jimmy-webb/products/jimmys-southern-sandstone-l-1-big-biscuits-roof-slopers-khjw014?variant=12372486094901" TargetMode="External"/><Relationship Id="rId482" Type="http://schemas.openxmlformats.org/officeDocument/2006/relationships/hyperlink" Target="https://settercloset.com/collections/winter/products/winter-small-5-puffy-crimps-k079?variant=14216567390261" TargetMode="External"/><Relationship Id="rId81" Type="http://schemas.openxmlformats.org/officeDocument/2006/relationships/hyperlink" Target="https://settercloset.com/collections/sandstone/products/sandstone-medium-13-incuts-k150?variant=14235611496501" TargetMode="External"/><Relationship Id="rId135" Type="http://schemas.openxmlformats.org/officeDocument/2006/relationships/hyperlink" Target="https://settercloset.com/collections/traprock/products/traprock-medium-2-flat-front-incuts-kfb003?variant=6819702014005" TargetMode="External"/><Relationship Id="rId177" Type="http://schemas.openxmlformats.org/officeDocument/2006/relationships/hyperlink" Target="https://settercloset.com/products/wills-granite-kaiju-1-3-khwa015?variant=14288174219317" TargetMode="External"/><Relationship Id="rId342" Type="http://schemas.openxmlformats.org/officeDocument/2006/relationships/hyperlink" Target="https://settercloset.com/collections/jibs/products/ians-geo-jibs-small-slick-1-khip-001?variant=14248838201397" TargetMode="External"/><Relationship Id="rId384" Type="http://schemas.openxmlformats.org/officeDocument/2006/relationships/hyperlink" Target="https://settercloset.com/collections/noah/products/noah-large-8-3-pad-incut-fins-k111?variant=14225008984117" TargetMode="External"/><Relationship Id="rId202" Type="http://schemas.openxmlformats.org/officeDocument/2006/relationships/hyperlink" Target="https://settercloset.com/collections/granite/products/wills-granite-large-4-dishes-khwa011?variant=14288041279541" TargetMode="External"/><Relationship Id="rId244" Type="http://schemas.openxmlformats.org/officeDocument/2006/relationships/hyperlink" Target="https://settercloset.com/products/granite-l9-dual-tex-texture-plates-khip056?_pos=1&amp;_sid=393dc2d9f&amp;_ss=r&amp;variant=39556884660277" TargetMode="External"/><Relationship Id="rId39" Type="http://schemas.openxmlformats.org/officeDocument/2006/relationships/hyperlink" Target="https://settercloset.com/collections/sandstone/products/sandstone-2xl-slopers-2-k127?variant=14225492803637" TargetMode="External"/><Relationship Id="rId286" Type="http://schemas.openxmlformats.org/officeDocument/2006/relationships/hyperlink" Target="https://settercloset.com/collections/teagan/products/teagan-xs-2-steep-feet-k019?variant=14194970230837" TargetMode="External"/><Relationship Id="rId451" Type="http://schemas.openxmlformats.org/officeDocument/2006/relationships/hyperlink" Target="https://settercloset.com/collections/winter/products/winter-large-6-jugs-k058?variant=14196808187957" TargetMode="External"/><Relationship Id="rId493" Type="http://schemas.openxmlformats.org/officeDocument/2006/relationships/hyperlink" Target="https://settercloset.com/collections/oz/products/oz-scoops-large-1-khuw005?variant=5242808729637" TargetMode="External"/><Relationship Id="rId507" Type="http://schemas.openxmlformats.org/officeDocument/2006/relationships/hyperlink" Target="https://settercloset.com/products/high-alert-circadian-rhythm-element-earth-kuee001?_pos=1&amp;_sid=6d385878f&amp;_ss=r&amp;variant=31527710490677" TargetMode="External"/><Relationship Id="rId50" Type="http://schemas.openxmlformats.org/officeDocument/2006/relationships/hyperlink" Target="https://settercloset.com/collections/sandstone/products/sandstone-xl-06-pinches-k160?variant=14236124741685" TargetMode="External"/><Relationship Id="rId104" Type="http://schemas.openxmlformats.org/officeDocument/2006/relationships/hyperlink" Target="https://settercloset.com/products/sandstone-small-13-crimps-feet-k252?_pos=1&amp;_sid=d9dc43a95&amp;_ss=r&amp;variant=40101685624885" TargetMode="External"/><Relationship Id="rId146" Type="http://schemas.openxmlformats.org/officeDocument/2006/relationships/hyperlink" Target="https://settercloset.com/collections/traprock/products/traprock-jib-plates-large-1-plate-pinches-kfb012?variant=7273101131829" TargetMode="External"/><Relationship Id="rId188" Type="http://schemas.openxmlformats.org/officeDocument/2006/relationships/hyperlink" Target="https://settercloset.com/collections/granite/products/wills-granite-2xl-2-slopers-khwa016?variant=14288232448053" TargetMode="External"/><Relationship Id="rId311" Type="http://schemas.openxmlformats.org/officeDocument/2006/relationships/hyperlink" Target="https://settercloset.com/products/ho-dunes-xl-1-hueco-jugs-khjh010?variant=33081264406581" TargetMode="External"/><Relationship Id="rId353" Type="http://schemas.openxmlformats.org/officeDocument/2006/relationships/hyperlink" Target="https://settercloset.com/collections/noah/products/noah-kaiju-roof-slopers-1-3-k053?variant=14196677640245" TargetMode="External"/><Relationship Id="rId395" Type="http://schemas.openxmlformats.org/officeDocument/2006/relationships/hyperlink" Target="https://settercloset.com/collections/noah/products/noah-medium-12-puffy-incuts-k080?variant=14216602517557" TargetMode="External"/><Relationship Id="rId409" Type="http://schemas.openxmlformats.org/officeDocument/2006/relationships/hyperlink" Target="https://settercloset.com/collections/noah/products/noah-medium-26-mixed-incuts-k159?variant=14236100231221" TargetMode="External"/><Relationship Id="rId92" Type="http://schemas.openxmlformats.org/officeDocument/2006/relationships/hyperlink" Target="https://settercloset.com/collections/sandstone/products/sandstone-small-1-plate-slopers-k145?variant=14235248754741" TargetMode="External"/><Relationship Id="rId213" Type="http://schemas.openxmlformats.org/officeDocument/2006/relationships/hyperlink" Target="https://settercloset.com/collections/granite/products/wills-granite-medium-5-incuts-khwa022?variant=14288252305461" TargetMode="External"/><Relationship Id="rId420" Type="http://schemas.openxmlformats.org/officeDocument/2006/relationships/hyperlink" Target="https://settercloset.com/products/noah-small-9-crimps-k239?variant=40042262986805" TargetMode="External"/><Relationship Id="rId255" Type="http://schemas.openxmlformats.org/officeDocument/2006/relationships/hyperlink" Target="https://settercloset.com/collections/stella/products/stella-kaiju-knobs-1-khkd007-1?variant=14275104866357" TargetMode="External"/><Relationship Id="rId297" Type="http://schemas.openxmlformats.org/officeDocument/2006/relationships/hyperlink" Target="https://settercloset.com/collections/jimmy-webb/products/copy-of-jimmys-southern-slopers-xl-1-big-biscuits-roof-slopers-khjw008?variant=38501625153" TargetMode="External"/><Relationship Id="rId462" Type="http://schemas.openxmlformats.org/officeDocument/2006/relationships/hyperlink" Target="https://settercloset.com/collections/winter/products/winter-medium-5-puffy-incuts-k055?variant=14196718862389" TargetMode="External"/><Relationship Id="rId518" Type="http://schemas.openxmlformats.org/officeDocument/2006/relationships/hyperlink" Target="https://settercloset.com/collections/treadwall/products/treadwall-by-brewer-fitness-kilter-route-4-crimps?variant=30177658601525" TargetMode="External"/><Relationship Id="rId115" Type="http://schemas.openxmlformats.org/officeDocument/2006/relationships/hyperlink" Target="https://settercloset.com/collections/jibs/products/ians-dakota-jibs-large-2-khip-008?variant=14258584649781" TargetMode="External"/><Relationship Id="rId157" Type="http://schemas.openxmlformats.org/officeDocument/2006/relationships/hyperlink" Target="https://settercloset.com/products/granite-2xl-4-complex-incuts-khip032?_pos=1&amp;_sid=1ebf6eabc&amp;_ss=r&amp;variant=31195434549301" TargetMode="External"/><Relationship Id="rId322" Type="http://schemas.openxmlformats.org/officeDocument/2006/relationships/hyperlink" Target="https://settercloset.com/products/jeremys-lo-riders-xl-1-brushed-sandstone-khjh017?variant=33082440384565" TargetMode="External"/><Relationship Id="rId364" Type="http://schemas.openxmlformats.org/officeDocument/2006/relationships/hyperlink" Target="https://settercloset.com/collections/noah/products/noah-kaiju-hueco-9-k065-3?variant=14207108186165" TargetMode="External"/><Relationship Id="rId61" Type="http://schemas.openxmlformats.org/officeDocument/2006/relationships/hyperlink" Target="https://settercloset.com/collections/sandstone/products/sandstone-large-7-pinches-k135?variant=14225715855413" TargetMode="External"/><Relationship Id="rId199" Type="http://schemas.openxmlformats.org/officeDocument/2006/relationships/hyperlink" Target="https://settercloset.com/collections/granite/products/wills-granite-large-1-slopers-khwa002?variant=14287703736373" TargetMode="External"/><Relationship Id="rId19" Type="http://schemas.openxmlformats.org/officeDocument/2006/relationships/hyperlink" Target="https://settercloset.com/products/sandstone-complex-6-brushed-mega-jib-blockers-k201?_pos=1&amp;_sid=7097209a0&amp;_ss=r&amp;variant=31527701348405" TargetMode="External"/><Relationship Id="rId224" Type="http://schemas.openxmlformats.org/officeDocument/2006/relationships/hyperlink" Target="https://settercloset.com/products/granite-small-11-incut-and-flat-crimps-feet-khip067?_pos=1&amp;_sid=1c8279b4d&amp;_ss=r&amp;variant=40102301827125" TargetMode="External"/><Relationship Id="rId266" Type="http://schemas.openxmlformats.org/officeDocument/2006/relationships/hyperlink" Target="https://settercloset.com/collections/stella/products/stella-small-2-incut-pinches-khkd-002?variant=14275083730997" TargetMode="External"/><Relationship Id="rId431" Type="http://schemas.openxmlformats.org/officeDocument/2006/relationships/hyperlink" Target="https://settercloset.com/collections/winter/products/winter-kaiju-huecos-1-3-k048?variant=14196438892597" TargetMode="External"/><Relationship Id="rId473" Type="http://schemas.openxmlformats.org/officeDocument/2006/relationships/hyperlink" Target="https://settercloset.com/collections/winter/products/winter-medium-16-mini-jugs-k166?variant=14237614309429" TargetMode="External"/><Relationship Id="rId30" Type="http://schemas.openxmlformats.org/officeDocument/2006/relationships/hyperlink" Target="https://settercloset.com/collections/sandstone/products/sandstone-kaiju-huecos-5-6-k161?variant=14236153413685" TargetMode="External"/><Relationship Id="rId126" Type="http://schemas.openxmlformats.org/officeDocument/2006/relationships/hyperlink" Target="https://settercloset.com/collections/traprock/products/traprock-large-2-flakes-kfb006?variant=6819611508789" TargetMode="External"/><Relationship Id="rId168" Type="http://schemas.openxmlformats.org/officeDocument/2006/relationships/hyperlink" Target="https://settercloset.com/collections/newest-shapes/products/granite-xl-14-complex-blocky-incuts-khip044?variant=33353937911861" TargetMode="External"/><Relationship Id="rId333" Type="http://schemas.openxmlformats.org/officeDocument/2006/relationships/hyperlink" Target="https://settercloset.com/products/petes-geo-complex-bars-set-2-1-5-tall-jib-rails-khpj020?variant=31806578491445" TargetMode="External"/><Relationship Id="rId72" Type="http://schemas.openxmlformats.org/officeDocument/2006/relationships/hyperlink" Target="https://settercloset.com/collections/sandstone/products/sandstone-medium-4-puffy-edges-k104?variant=14224845013045" TargetMode="External"/><Relationship Id="rId375" Type="http://schemas.openxmlformats.org/officeDocument/2006/relationships/hyperlink" Target="https://settercloset.com/collections/noah/products/noah-xl-2-fins-k121?variant=14225312350261" TargetMode="External"/><Relationship Id="rId3" Type="http://schemas.openxmlformats.org/officeDocument/2006/relationships/hyperlink" Target="https://settercloset.com/products/sandstone-complex-2-kaiju-jug-2xl-jug-2xl-pinch-and-blockers-k194?_pos=1&amp;_sid=1c6fb508b&amp;_ss=r&amp;variant=29357680590901" TargetMode="External"/><Relationship Id="rId235" Type="http://schemas.openxmlformats.org/officeDocument/2006/relationships/hyperlink" Target="https://settercloset.com/products/sandstone-kaiju-14-15-dual-tex-huecos-k228?_pos=1&amp;_sid=e87708657&amp;_ss=r&amp;variant=39556212850741" TargetMode="External"/><Relationship Id="rId277" Type="http://schemas.openxmlformats.org/officeDocument/2006/relationships/hyperlink" Target="https://settercloset.com/collections/teagan/products/teagan-large-2-knobs-and-horns-k036?variant=14196110360629" TargetMode="External"/><Relationship Id="rId400" Type="http://schemas.openxmlformats.org/officeDocument/2006/relationships/hyperlink" Target="https://settercloset.com/collections/noah/products/noah-medium-17-mini-jugs-k087?variant=14224288448565" TargetMode="External"/><Relationship Id="rId442" Type="http://schemas.openxmlformats.org/officeDocument/2006/relationships/hyperlink" Target="https://settercloset.com/collections/winter/products/winter-kaiju-roof-sloper-2-k068-2?variant=14208534642741" TargetMode="External"/><Relationship Id="rId484" Type="http://schemas.openxmlformats.org/officeDocument/2006/relationships/hyperlink" Target="https://settercloset.com/collections/winter/products/winter-small-8-crimps-k093?variant=14224510451765" TargetMode="External"/><Relationship Id="rId137" Type="http://schemas.openxmlformats.org/officeDocument/2006/relationships/hyperlink" Target="https://settercloset.com/collections/traprock/products/traprock-medium-4-pinches-kfb015?variant=7612440543285" TargetMode="External"/><Relationship Id="rId302" Type="http://schemas.openxmlformats.org/officeDocument/2006/relationships/hyperlink" Target="https://settercloset.com/collections/jimmy-webb/products/jimmys-clean-crimps-small-1-khjw006?variant=34300930881" TargetMode="External"/><Relationship Id="rId344" Type="http://schemas.openxmlformats.org/officeDocument/2006/relationships/hyperlink" Target="https://settercloset.com/collections/jibs/products/ians-geo-jibs-large-slick-1-khip-004?variant=14258419695669" TargetMode="External"/><Relationship Id="rId41" Type="http://schemas.openxmlformats.org/officeDocument/2006/relationships/hyperlink" Target="https://settercloset.com/products/sandstone-kaiju-brushed-8-10-ribs-k213?variant=32235402657845" TargetMode="External"/><Relationship Id="rId83" Type="http://schemas.openxmlformats.org/officeDocument/2006/relationships/hyperlink" Target="https://settercloset.com/collections/sandstone/products/sandstone-medium-15-plate-slopers-k153?variant=14235961458741" TargetMode="External"/><Relationship Id="rId179" Type="http://schemas.openxmlformats.org/officeDocument/2006/relationships/hyperlink" Target="https://settercloset.com/products/wills-granite-kaiju-2-khwa15-2?variant=14288218161205" TargetMode="External"/><Relationship Id="rId386" Type="http://schemas.openxmlformats.org/officeDocument/2006/relationships/hyperlink" Target="https://settercloset.com/collections/noah/products/noah-medium-1-mini-jugs-k003?variant=14140750626869" TargetMode="External"/><Relationship Id="rId190" Type="http://schemas.openxmlformats.org/officeDocument/2006/relationships/hyperlink" Target="https://settercloset.com/products/ians-granite-xl-5-dream-pockets-khip022?_pos=1&amp;_sid=5b09bbc5a&amp;_ss=r&amp;variant=14275008004149" TargetMode="External"/><Relationship Id="rId204" Type="http://schemas.openxmlformats.org/officeDocument/2006/relationships/hyperlink" Target="https://settercloset.com/collections/granite/products/wills-granite-large-6-pinches-khwa017?variant=14288236347445" TargetMode="External"/><Relationship Id="rId246" Type="http://schemas.openxmlformats.org/officeDocument/2006/relationships/hyperlink" Target="https://settercloset.com/products/granite-jibs-l4-dual-tex-jib-plates-khip055?_pos=1&amp;_sid=8b765208b&amp;_ss=r&amp;variant=33472952959029" TargetMode="External"/><Relationship Id="rId288" Type="http://schemas.openxmlformats.org/officeDocument/2006/relationships/hyperlink" Target="https://settercloset.com/collections/jimmy-webb/products/jimmys-southern-sloper-kaiju-1-3-khjw002?variant=20916228801" TargetMode="External"/><Relationship Id="rId411" Type="http://schemas.openxmlformats.org/officeDocument/2006/relationships/hyperlink" Target="https://settercloset.com/collections/newest-shapes/products/noah-medium-28-big-crimps-k238?variant=39935820267573" TargetMode="External"/><Relationship Id="rId453" Type="http://schemas.openxmlformats.org/officeDocument/2006/relationships/hyperlink" Target="https://settercloset.com/collections/winter/products/winter-large-9-jugs-k096?variant=14224555016245" TargetMode="External"/><Relationship Id="rId509" Type="http://schemas.openxmlformats.org/officeDocument/2006/relationships/hyperlink" Target="https://settercloset.com/collections/jibs/products/ians-curvy-jibs-medium-slick-1-khip-005?variant=14258465701941" TargetMode="External"/><Relationship Id="rId106" Type="http://schemas.openxmlformats.org/officeDocument/2006/relationships/hyperlink" Target="https://settercloset.com/collections/sandstone/products/sandstone-xs-2-plate-sloper-feet-k149?variant=14235481440309" TargetMode="External"/><Relationship Id="rId313" Type="http://schemas.openxmlformats.org/officeDocument/2006/relationships/hyperlink" Target="https://settercloset.com/products/ho-dunes-xl-3-pinches-khjh013?variant=33082277691445" TargetMode="External"/><Relationship Id="rId495" Type="http://schemas.openxmlformats.org/officeDocument/2006/relationships/hyperlink" Target="https://settercloset.com/collections/oz/products/oz-edges-large-1-khuw011?variant=8488608825397" TargetMode="External"/><Relationship Id="rId10" Type="http://schemas.openxmlformats.org/officeDocument/2006/relationships/hyperlink" Target="https://settercloset.com/products/sandstone-complex-8-xl-jugs-k217?variant=33158308495413" TargetMode="External"/><Relationship Id="rId52" Type="http://schemas.openxmlformats.org/officeDocument/2006/relationships/hyperlink" Target="https://settercloset.com/collections/all-grips/products/sandstone-xl-9-brushed-mega-jibs-rail-pinches-k207?variant=32329235791925" TargetMode="External"/><Relationship Id="rId94" Type="http://schemas.openxmlformats.org/officeDocument/2006/relationships/hyperlink" Target="https://settercloset.com/products/k158-sandstone-small-3-wave-edges?variant=28845393969205" TargetMode="External"/><Relationship Id="rId148" Type="http://schemas.openxmlformats.org/officeDocument/2006/relationships/hyperlink" Target="https://settercloset.com/collections/granite/aragon" TargetMode="External"/><Relationship Id="rId355" Type="http://schemas.openxmlformats.org/officeDocument/2006/relationships/hyperlink" Target="https://settercloset.com/collections/noah/products/noah-kaiju-roof-sloper-2-k053-2?variant=14196697661493" TargetMode="External"/><Relationship Id="rId397" Type="http://schemas.openxmlformats.org/officeDocument/2006/relationships/hyperlink" Target="https://settercloset.com/collections/noah/products/noah-medium-16-k084?variant=14224231235637" TargetMode="External"/><Relationship Id="rId520" Type="http://schemas.openxmlformats.org/officeDocument/2006/relationships/hyperlink" Target="https://settercloset.com/products/treadwall-by-brewer-fitness-kilter-route-6-mini-jugs?_pos=6&amp;_sid=97628cdc2&amp;_ss=r&amp;variant=32145156735029" TargetMode="External"/><Relationship Id="rId215" Type="http://schemas.openxmlformats.org/officeDocument/2006/relationships/hyperlink" Target="https://settercloset.com/collections/granite/products/wills-granite-small-2-dishes-khwa010?variant=14288034234421" TargetMode="External"/><Relationship Id="rId257" Type="http://schemas.openxmlformats.org/officeDocument/2006/relationships/hyperlink" Target="https://settercloset.com/collections/stella/products/stella-kaiju-knobs-3-khkd007-3?variant=14275126657077" TargetMode="External"/><Relationship Id="rId422" Type="http://schemas.openxmlformats.org/officeDocument/2006/relationships/hyperlink" Target="https://settercloset.com/products/noah-small-11-crimps-k241?variant=40042286481461" TargetMode="External"/><Relationship Id="rId464" Type="http://schemas.openxmlformats.org/officeDocument/2006/relationships/hyperlink" Target="https://settercloset.com/collections/winter/products/winter-medium-7-puffy-incuts-k057?variant=14196786855989" TargetMode="External"/><Relationship Id="rId299" Type="http://schemas.openxmlformats.org/officeDocument/2006/relationships/hyperlink" Target="https://settercloset.com/collections/jimmy-webb/products/jimmys-southern-slopers-large-1-dishes-khjw001?variant=19493889729" TargetMode="External"/><Relationship Id="rId63" Type="http://schemas.openxmlformats.org/officeDocument/2006/relationships/hyperlink" Target="https://settercloset.com/collections/sandstone/products/sandstone-large-09-pinches-k148?variant=14235392737333" TargetMode="External"/><Relationship Id="rId159" Type="http://schemas.openxmlformats.org/officeDocument/2006/relationships/hyperlink" Target="https://settercloset.com/products/granite-2xl-6-complex-slopey-pinches-khip039?variant=31826639913013" TargetMode="External"/><Relationship Id="rId366" Type="http://schemas.openxmlformats.org/officeDocument/2006/relationships/hyperlink" Target="https://settercloset.com/collections/noah/products/noah-kaiju-hueco-10-k066-1?variant=14208313917493" TargetMode="External"/><Relationship Id="rId226" Type="http://schemas.openxmlformats.org/officeDocument/2006/relationships/hyperlink" Target="https://settercloset.com/products/ians-granite-xs-2-feet-khip-014?_pos=1&amp;_sid=45f3f68bf&amp;_ss=r&amp;variant=14274809233461" TargetMode="External"/><Relationship Id="rId433" Type="http://schemas.openxmlformats.org/officeDocument/2006/relationships/hyperlink" Target="https://settercloset.com/collections/winter/products/winter-kaiju-hueco-2-k048-2?variant=14196543291445"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settercloset.com/products/ditches-l4-pinches-up123?_pos=2&amp;_sid=0034e0080&amp;_ss=r&amp;variant=29411095609397" TargetMode="External"/><Relationship Id="rId21" Type="http://schemas.openxmlformats.org/officeDocument/2006/relationships/hyperlink" Target="https://settercloset.com/collections/tremors/products/tremors-medium-1-mini-jugs-up113?variant=13491409354805" TargetMode="External"/><Relationship Id="rId63" Type="http://schemas.openxmlformats.org/officeDocument/2006/relationships/hyperlink" Target="https://settercloset.com/products/stealth-s10-mini-jugs-up234?variant=41739007623221" TargetMode="External"/><Relationship Id="rId159" Type="http://schemas.openxmlformats.org/officeDocument/2006/relationships/hyperlink" Target="https://settercloset.com/products/reg-m19-slots-pockets-up205?variant=39985751883829" TargetMode="External"/><Relationship Id="rId170" Type="http://schemas.openxmlformats.org/officeDocument/2006/relationships/hyperlink" Target="https://settercloset.com/collections/newest-shapes/products/reg-s7-incut-crimps-up188?variant=39935765413941" TargetMode="External"/><Relationship Id="rId226" Type="http://schemas.openxmlformats.org/officeDocument/2006/relationships/hyperlink" Target="https://settercloset.com/collections/unique-art/aragon" TargetMode="External"/><Relationship Id="rId107" Type="http://schemas.openxmlformats.org/officeDocument/2006/relationships/hyperlink" Target="https://settercloset.com/collections/speed-bumps/products/speed-bumps-s1-crimps-up086?variant=13142184656949" TargetMode="External"/><Relationship Id="rId11" Type="http://schemas.openxmlformats.org/officeDocument/2006/relationships/hyperlink" Target="https://settercloset.com/products/tremors-2xl-5-over-jugs-up114?variant=30905727451189" TargetMode="External"/><Relationship Id="rId32" Type="http://schemas.openxmlformats.org/officeDocument/2006/relationships/hyperlink" Target="https://settercloset.com/collections/stealth/products/stealth-2xl-1-jug-up063?variant=13141706997813" TargetMode="External"/><Relationship Id="rId53" Type="http://schemas.openxmlformats.org/officeDocument/2006/relationships/hyperlink" Target="https://settercloset.com/products/stealth-m8-jugs-up236?variant=41739047960629" TargetMode="External"/><Relationship Id="rId74" Type="http://schemas.openxmlformats.org/officeDocument/2006/relationships/hyperlink" Target="https://settercloset.com/collections/newest-shapes/products/stealth-s15-hueco-screw-ons-up268?variant=42788885561397" TargetMode="External"/><Relationship Id="rId128" Type="http://schemas.openxmlformats.org/officeDocument/2006/relationships/hyperlink" Target="https://settercloset.com/collections/newest-shapes/products/regs-2xl-4-slopers-up260-1?variant=42791153074229" TargetMode="External"/><Relationship Id="rId149" Type="http://schemas.openxmlformats.org/officeDocument/2006/relationships/hyperlink" Target="https://settercloset.com/collections/regs/products/reg-m6-changing-corners-slopey-geo-pinches-up008?variant=13115717615669" TargetMode="External"/><Relationship Id="rId5" Type="http://schemas.openxmlformats.org/officeDocument/2006/relationships/hyperlink" Target="https://settercloset.com/products/tremors-kaiju-stalactites-4-5-up105?variant=30342048055349" TargetMode="External"/><Relationship Id="rId95" Type="http://schemas.openxmlformats.org/officeDocument/2006/relationships/hyperlink" Target="https://settercloset.com/collections/newest-shapes/products/speed-bumps-xl2-pinches-up175?variant=39709288562741" TargetMode="External"/><Relationship Id="rId160" Type="http://schemas.openxmlformats.org/officeDocument/2006/relationships/hyperlink" Target="https://settercloset.com/products/reg-m20-edges-up206?variant=40042105176117" TargetMode="External"/><Relationship Id="rId181" Type="http://schemas.openxmlformats.org/officeDocument/2006/relationships/hyperlink" Target="https://settercloset.com/collections/regs/products/reg-xs-3-knobby-feet-up025?variant=13141234483253" TargetMode="External"/><Relationship Id="rId216" Type="http://schemas.openxmlformats.org/officeDocument/2006/relationships/hyperlink" Target="https://settercloset.com/collections/unique-art/products/tile-ledge-2xl-1-flat-up083?variant=13142105489461" TargetMode="External"/><Relationship Id="rId237" Type="http://schemas.openxmlformats.org/officeDocument/2006/relationships/hyperlink" Target="https://settercloset.com/collections/unique-art/products/epicenter-l1-steep-wall-jugs-up066?variant=13141765980213" TargetMode="External"/><Relationship Id="rId258" Type="http://schemas.openxmlformats.org/officeDocument/2006/relationships/hyperlink" Target="https://settercloset.com/collections/unique-art/products/crimps-s5-training-wall-set-up058?variant=13141616623669" TargetMode="External"/><Relationship Id="rId22" Type="http://schemas.openxmlformats.org/officeDocument/2006/relationships/hyperlink" Target="https://settercloset.com/products/tremors-medium-2-pinches-up125?_pos=1&amp;_sid=1ab451e02&amp;_ss=r&amp;variant=29411117695029" TargetMode="External"/><Relationship Id="rId43" Type="http://schemas.openxmlformats.org/officeDocument/2006/relationships/hyperlink" Target="https://settercloset.com/products/stealth-large-2-wrapped-pinches-up164?variant=33465130647605" TargetMode="External"/><Relationship Id="rId64" Type="http://schemas.openxmlformats.org/officeDocument/2006/relationships/hyperlink" Target="https://settercloset.com/collections/newest-shapes/products/stealth-small-11-incuts-up238?variant=41938237751349" TargetMode="External"/><Relationship Id="rId118" Type="http://schemas.openxmlformats.org/officeDocument/2006/relationships/hyperlink" Target="https://settercloset.com/products/ditches-m1-crimps-up019?_pos=1&amp;_sid=0a1e49f52&amp;_ss=r&amp;variant=28701071048757" TargetMode="External"/><Relationship Id="rId139" Type="http://schemas.openxmlformats.org/officeDocument/2006/relationships/hyperlink" Target="https://settercloset.com/products/reg-l9-slopers-up202?variant=39985677762613" TargetMode="External"/><Relationship Id="rId85" Type="http://schemas.openxmlformats.org/officeDocument/2006/relationships/hyperlink" Target="https://settercloset.com/collections/bricks/products/mini-brick-s2-crimps-up002?variant=13114348994613" TargetMode="External"/><Relationship Id="rId150" Type="http://schemas.openxmlformats.org/officeDocument/2006/relationships/hyperlink" Target="https://settercloset.com/collections/regs/products/reg-m7-changing-corners-slopey-geo-pinches-up017?variant=13125542445109" TargetMode="External"/><Relationship Id="rId171" Type="http://schemas.openxmlformats.org/officeDocument/2006/relationships/hyperlink" Target="https://settercloset.com/collections/newest-shapes/products/reg-s8-dimple-feet-up189?variant=39935772327989" TargetMode="External"/><Relationship Id="rId192" Type="http://schemas.openxmlformats.org/officeDocument/2006/relationships/hyperlink" Target="https://settercloset.com/products/strato-kaiju-3-sloper-up153?variant=32218445873205" TargetMode="External"/><Relationship Id="rId206" Type="http://schemas.openxmlformats.org/officeDocument/2006/relationships/hyperlink" Target="https://settercloset.com/collections/unique-art/products/wrinkle-m1-mini-jugs-up053?variant=13141565538357" TargetMode="External"/><Relationship Id="rId227" Type="http://schemas.openxmlformats.org/officeDocument/2006/relationships/hyperlink" Target="https://settercloset.com/collections/unique-art/products/goo-2xl-1-the-goo-feature-up029?variant=13141303623733" TargetMode="External"/><Relationship Id="rId248" Type="http://schemas.openxmlformats.org/officeDocument/2006/relationships/hyperlink" Target="https://settercloset.com/collections/unique-art/products/edges-m5-lips-edges-up054?variant=13141576974389" TargetMode="External"/><Relationship Id="rId12" Type="http://schemas.openxmlformats.org/officeDocument/2006/relationships/hyperlink" Target="https://settercloset.com/products/tremors-2xl-6-stalactites-up115?variant=30905717588021" TargetMode="External"/><Relationship Id="rId33" Type="http://schemas.openxmlformats.org/officeDocument/2006/relationships/hyperlink" Target="https://settercloset.com/products/stealth-2xl-2-wrapped-lip-jugs-up222?variant=41430736338997" TargetMode="External"/><Relationship Id="rId108" Type="http://schemas.openxmlformats.org/officeDocument/2006/relationships/hyperlink" Target="https://settercloset.com/collections/newest-shapes/products/speed-bumps-xs1-feet-crimps-up176?variant=39828719665205" TargetMode="External"/><Relationship Id="rId129" Type="http://schemas.openxmlformats.org/officeDocument/2006/relationships/hyperlink" Target="https://settercloset.com/collections/regs/products/reg-xl-1-the-tubes-pinch-jugs-up015?variant=13125536251957" TargetMode="External"/><Relationship Id="rId54" Type="http://schemas.openxmlformats.org/officeDocument/2006/relationships/hyperlink" Target="https://settercloset.com/collections/newest-shapes/products/stealth-m8-jugs-up242?variant=42389783052341" TargetMode="External"/><Relationship Id="rId75" Type="http://schemas.openxmlformats.org/officeDocument/2006/relationships/hyperlink" Target="https://settercloset.com/collections/bricks/aragon" TargetMode="External"/><Relationship Id="rId96" Type="http://schemas.openxmlformats.org/officeDocument/2006/relationships/hyperlink" Target="https://settercloset.com/collections/newest-shapes/products/speed-bumps-xl3-slopey-edges-up179?variant=39789533986869" TargetMode="External"/><Relationship Id="rId140" Type="http://schemas.openxmlformats.org/officeDocument/2006/relationships/hyperlink" Target="https://settercloset.com/products/reg-l10-ledges-up210?variant=40042201808949" TargetMode="External"/><Relationship Id="rId161" Type="http://schemas.openxmlformats.org/officeDocument/2006/relationships/hyperlink" Target="https://settercloset.com/products/reg-m21-pinches-up207?variant=40042111500341" TargetMode="External"/><Relationship Id="rId182" Type="http://schemas.openxmlformats.org/officeDocument/2006/relationships/hyperlink" Target="https://settercloset.com/products/reg-xs-4-knobby-feet-up137?variant=31688647245877" TargetMode="External"/><Relationship Id="rId217" Type="http://schemas.openxmlformats.org/officeDocument/2006/relationships/hyperlink" Target="https://settercloset.com/collections/unique-art/products/tile-ledges-l1-flat-to-slopey-up082?variant=13142086287413" TargetMode="External"/><Relationship Id="rId6" Type="http://schemas.openxmlformats.org/officeDocument/2006/relationships/hyperlink" Target="https://settercloset.com/products/tremors-3xl-pinches-1-3-up126?variant=30118488309813" TargetMode="External"/><Relationship Id="rId238" Type="http://schemas.openxmlformats.org/officeDocument/2006/relationships/hyperlink" Target="https://settercloset.com/collections/unique-art/products/pinches-l1-real-steel-up074?variant=13141896134709" TargetMode="External"/><Relationship Id="rId259" Type="http://schemas.openxmlformats.org/officeDocument/2006/relationships/hyperlink" Target="https://settercloset.com/collections/unique-art/products/pinches-s1-tiny-pinches-up098?variant=13142441689141" TargetMode="External"/><Relationship Id="rId23" Type="http://schemas.openxmlformats.org/officeDocument/2006/relationships/hyperlink" Target="https://settercloset.com/collections/tremors/products/tremors-small-1-pinches-up109?variant=13230415249461" TargetMode="External"/><Relationship Id="rId119" Type="http://schemas.openxmlformats.org/officeDocument/2006/relationships/hyperlink" Target="https://settercloset.com/products/ditches-m2-crimps-up101?_pos=1&amp;_sid=fd4995634&amp;_ss=r&amp;variant=13142555263029" TargetMode="External"/><Relationship Id="rId44" Type="http://schemas.openxmlformats.org/officeDocument/2006/relationships/hyperlink" Target="https://settercloset.com/products/stealth-large-3-slopers-up171?_pos=2&amp;_sid=9fbfa07ae&amp;_ss=r&amp;variant=39555891626037" TargetMode="External"/><Relationship Id="rId65" Type="http://schemas.openxmlformats.org/officeDocument/2006/relationships/hyperlink" Target="https://settercloset.com/collections/newest-shapes/products/stealth-small-12-incuts-up239?variant=41938264588341" TargetMode="External"/><Relationship Id="rId86" Type="http://schemas.openxmlformats.org/officeDocument/2006/relationships/hyperlink" Target="https://settercloset.com/collections/fins/aragon" TargetMode="External"/><Relationship Id="rId130" Type="http://schemas.openxmlformats.org/officeDocument/2006/relationships/hyperlink" Target="https://settercloset.com/collections/regs/products/reg-xl-2-beanes-slopey-balls-up049?variant=13141503639605" TargetMode="External"/><Relationship Id="rId151" Type="http://schemas.openxmlformats.org/officeDocument/2006/relationships/hyperlink" Target="https://settercloset.com/products/reg-m8-half-moon-edges-up135?variant=31725570883637" TargetMode="External"/><Relationship Id="rId172" Type="http://schemas.openxmlformats.org/officeDocument/2006/relationships/hyperlink" Target="https://settercloset.com/collections/newest-shapes/products/reg-s9-crimps-up191?variant=39935777538101" TargetMode="External"/><Relationship Id="rId193" Type="http://schemas.openxmlformats.org/officeDocument/2006/relationships/hyperlink" Target="https://settercloset.com/products/strato-2xl-1-jugs-up155?variant=33114507149365" TargetMode="External"/><Relationship Id="rId207" Type="http://schemas.openxmlformats.org/officeDocument/2006/relationships/hyperlink" Target="https://settercloset.com/products/strato-s1-feet-crimps-up156?variant=33114516488245" TargetMode="External"/><Relationship Id="rId228" Type="http://schemas.openxmlformats.org/officeDocument/2006/relationships/hyperlink" Target="https://settercloset.com/collections/unique-art/products/goo-l1-jugs-up028?variant=13141284094005" TargetMode="External"/><Relationship Id="rId249" Type="http://schemas.openxmlformats.org/officeDocument/2006/relationships/hyperlink" Target="https://settercloset.com/collections/unique-art/products/edges-m6-one-small-step-edges-up038?variant=13141335343157" TargetMode="External"/><Relationship Id="rId13" Type="http://schemas.openxmlformats.org/officeDocument/2006/relationships/hyperlink" Target="https://settercloset.com/products/tremors-2xl-7-pinches-up129?variant=31528727642165" TargetMode="External"/><Relationship Id="rId109" Type="http://schemas.openxmlformats.org/officeDocument/2006/relationships/hyperlink" Target="https://settercloset.com/collections/ditches" TargetMode="External"/><Relationship Id="rId260" Type="http://schemas.openxmlformats.org/officeDocument/2006/relationships/hyperlink" Target="https://settercloset.com/collections/hangboard" TargetMode="External"/><Relationship Id="rId34" Type="http://schemas.openxmlformats.org/officeDocument/2006/relationships/hyperlink" Target="https://settercloset.com/collections/newest-shapes/products/stealth-2xl-6-wrapped-jug-up267?variant=42826659135541" TargetMode="External"/><Relationship Id="rId55" Type="http://schemas.openxmlformats.org/officeDocument/2006/relationships/hyperlink" Target="https://settercloset.com/collections/newest-shapes/products/stealth-medium-10-pockets-pinches-up265?variant=42665485238325" TargetMode="External"/><Relationship Id="rId76" Type="http://schemas.openxmlformats.org/officeDocument/2006/relationships/hyperlink" Target="https://settercloset.com/collections/bricks/products/big-brick-2xl-sloper-1-largest-up004?variant=13115378663477" TargetMode="External"/><Relationship Id="rId97" Type="http://schemas.openxmlformats.org/officeDocument/2006/relationships/hyperlink" Target="https://settercloset.com/collections/newest-shapes/products/speed-bumps-xl4-pinches-up183?variant=39792234725429" TargetMode="External"/><Relationship Id="rId120" Type="http://schemas.openxmlformats.org/officeDocument/2006/relationships/hyperlink" Target="https://settercloset.com/products/ditches-m3-pinches-up132?variant=31688632664117" TargetMode="External"/><Relationship Id="rId141" Type="http://schemas.openxmlformats.org/officeDocument/2006/relationships/hyperlink" Target="https://settercloset.com/products/reg-l11-sloper-jugs-up213?variant=40307057492021" TargetMode="External"/><Relationship Id="rId7" Type="http://schemas.openxmlformats.org/officeDocument/2006/relationships/hyperlink" Target="https://settercloset.com/collections/tremors/products/tremors-2xl-1-s-pinch-up069?variant=13141811462197" TargetMode="External"/><Relationship Id="rId162" Type="http://schemas.openxmlformats.org/officeDocument/2006/relationships/hyperlink" Target="https://settercloset.com/products/reg-m22-jugs-up209?variant=40042189717557" TargetMode="External"/><Relationship Id="rId183" Type="http://schemas.openxmlformats.org/officeDocument/2006/relationships/hyperlink" Target="https://settercloset.com/collections/newest-shapes/products/reg-xs-5-nub-feet-up194?variant=39935780257845" TargetMode="External"/><Relationship Id="rId218" Type="http://schemas.openxmlformats.org/officeDocument/2006/relationships/hyperlink" Target="https://settercloset.com/collections/unique-art/aragon" TargetMode="External"/><Relationship Id="rId239" Type="http://schemas.openxmlformats.org/officeDocument/2006/relationships/hyperlink" Target="https://settercloset.com/collections/unique-art/products/pinches-l2-the-pipes-up044?variant=13141424865333" TargetMode="External"/><Relationship Id="rId250" Type="http://schemas.openxmlformats.org/officeDocument/2006/relationships/hyperlink" Target="https://settercloset.com/collections/unique-art/products/pinches-m1-edge-catch-up045?variant=13141445836853" TargetMode="External"/><Relationship Id="rId24" Type="http://schemas.openxmlformats.org/officeDocument/2006/relationships/hyperlink" Target="https://settercloset.com/collections/tremors/products/tremors-small-2-incuts-and-mini-jugs-up110?variant=13230401749045" TargetMode="External"/><Relationship Id="rId45" Type="http://schemas.openxmlformats.org/officeDocument/2006/relationships/hyperlink" Target="https://settercloset.com/products/stealth-large-4-edges-up223?variant=41204999225397" TargetMode="External"/><Relationship Id="rId66" Type="http://schemas.openxmlformats.org/officeDocument/2006/relationships/hyperlink" Target="https://settercloset.com/collections/newest-shapes/products/stealth-small-14-mini-jugs-up241?variant=41938522538037" TargetMode="External"/><Relationship Id="rId87" Type="http://schemas.openxmlformats.org/officeDocument/2006/relationships/hyperlink" Target="https://settercloset.com/collections/fins/products/fins-3xl-1-el-fin-up041?variant=13054384177205" TargetMode="External"/><Relationship Id="rId110" Type="http://schemas.openxmlformats.org/officeDocument/2006/relationships/hyperlink" Target="https://settercloset.com/collections/urban-plastix/products/ditches-3xl-1-slot-jugs-up128?variant=31203669901365" TargetMode="External"/><Relationship Id="rId131" Type="http://schemas.openxmlformats.org/officeDocument/2006/relationships/hyperlink" Target="https://settercloset.com/collections/regs/products/reg-l1-horns-rings-up076?variant=13141940928565" TargetMode="External"/><Relationship Id="rId152" Type="http://schemas.openxmlformats.org/officeDocument/2006/relationships/hyperlink" Target="https://settercloset.com/products/reg-m9-half-moon-edges-up136?variant=31725612171317" TargetMode="External"/><Relationship Id="rId173" Type="http://schemas.openxmlformats.org/officeDocument/2006/relationships/hyperlink" Target="https://settercloset.com/collections/newest-shapes/products/reg-s10-incut-edges-up195?variant=39935783010357" TargetMode="External"/><Relationship Id="rId194" Type="http://schemas.openxmlformats.org/officeDocument/2006/relationships/hyperlink" Target="https://settercloset.com/collections/newest-shapes/products/strato-2xl-2-sloper-seams-up160?variant=33353968320565" TargetMode="External"/><Relationship Id="rId208" Type="http://schemas.openxmlformats.org/officeDocument/2006/relationships/hyperlink" Target="https://settercloset.com/products/strato-s2-feet-crimps-up158?variant=33158462636085" TargetMode="External"/><Relationship Id="rId229" Type="http://schemas.openxmlformats.org/officeDocument/2006/relationships/hyperlink" Target="https://settercloset.com/collections/unique-art/aragon" TargetMode="External"/><Relationship Id="rId240" Type="http://schemas.openxmlformats.org/officeDocument/2006/relationships/hyperlink" Target="https://settercloset.com/collections/unique-art/products/pinches-l3-rivots-up050?variant=13141514125365" TargetMode="External"/><Relationship Id="rId261" Type="http://schemas.openxmlformats.org/officeDocument/2006/relationships/hyperlink" Target="https://settercloset.com/products/mini-board-up062?variant=13141689335861" TargetMode="External"/><Relationship Id="rId14" Type="http://schemas.openxmlformats.org/officeDocument/2006/relationships/hyperlink" Target="https://settercloset.com/collections/all-grips/products/tremors-2xl-8-jug-rail-up251?variant=42230800482357" TargetMode="External"/><Relationship Id="rId35" Type="http://schemas.openxmlformats.org/officeDocument/2006/relationships/hyperlink" Target="https://settercloset.com/collections/stealth/products/stealth-xl-1-slopers-up071?variant=13141845246005" TargetMode="External"/><Relationship Id="rId56" Type="http://schemas.openxmlformats.org/officeDocument/2006/relationships/hyperlink" Target="https://settercloset.com/collections/newest-shapes/products/stealth-medium-11-pockets-up266?variant=42826637279285" TargetMode="External"/><Relationship Id="rId77" Type="http://schemas.openxmlformats.org/officeDocument/2006/relationships/hyperlink" Target="https://settercloset.com/collections/bricks/products/big-brick-2xl-sloper-2-smallest-up005?variant=13115407630389" TargetMode="External"/><Relationship Id="rId100" Type="http://schemas.openxmlformats.org/officeDocument/2006/relationships/hyperlink" Target="https://settercloset.com/products/speed-bumps-l2-crimps-up016?variant=28845537132597" TargetMode="External"/><Relationship Id="rId8" Type="http://schemas.openxmlformats.org/officeDocument/2006/relationships/hyperlink" Target="https://settercloset.com/collections/tremors/products/tremors-2xl-2-fat-c-pinch-up080?variant=13142019080245" TargetMode="External"/><Relationship Id="rId98" Type="http://schemas.openxmlformats.org/officeDocument/2006/relationships/hyperlink" Target="https://settercloset.com/products/speed-bumps-xl5-jugs-up229?variant=41580576079925" TargetMode="External"/><Relationship Id="rId121" Type="http://schemas.openxmlformats.org/officeDocument/2006/relationships/hyperlink" Target="https://settercloset.com/products/ditches-m4-slot-pinches-up133?variant=31688637022261" TargetMode="External"/><Relationship Id="rId142" Type="http://schemas.openxmlformats.org/officeDocument/2006/relationships/hyperlink" Target="https://settercloset.com/collections/newest-shapes/products/reg-l12-pinches-up246?variant=42420274692149" TargetMode="External"/><Relationship Id="rId163" Type="http://schemas.openxmlformats.org/officeDocument/2006/relationships/hyperlink" Target="https://settercloset.com/collections/all-grips/products/reg-m23-pinches-up219?variant=42168886820917" TargetMode="External"/><Relationship Id="rId184" Type="http://schemas.openxmlformats.org/officeDocument/2006/relationships/hyperlink" Target="https://settercloset.com/products/reg-xs-6-nub-feet-up214?variant=40307076530229" TargetMode="External"/><Relationship Id="rId219" Type="http://schemas.openxmlformats.org/officeDocument/2006/relationships/hyperlink" Target="https://settercloset.com/collections/unique-art/products/ribbons-m1-pinches-up075?variant=13141913698357" TargetMode="External"/><Relationship Id="rId230" Type="http://schemas.openxmlformats.org/officeDocument/2006/relationships/hyperlink" Target="https://settercloset.com/collections/unique-art/products/unique-kaiju-1-the-moon-pocket-feature-up014?variant=13125526880309" TargetMode="External"/><Relationship Id="rId251" Type="http://schemas.openxmlformats.org/officeDocument/2006/relationships/hyperlink" Target="https://settercloset.com/collections/unique-art/products/slot-pockets-m1-up043?variant=13141408874549" TargetMode="External"/><Relationship Id="rId25" Type="http://schemas.openxmlformats.org/officeDocument/2006/relationships/hyperlink" Target="https://settercloset.com/collections/tremors/products/tremors-small-3-mini-jugs-up111?variant=13208474845237" TargetMode="External"/><Relationship Id="rId46" Type="http://schemas.openxmlformats.org/officeDocument/2006/relationships/hyperlink" Target="https://settercloset.com/products/stealth-large-5-sloper-jugs-up228?variant=41580664127541" TargetMode="External"/><Relationship Id="rId67" Type="http://schemas.openxmlformats.org/officeDocument/2006/relationships/hyperlink" Target="https://settercloset.com/collections/stealth/products/stealth-xs-1-feet-set-1-up077?variant=13141964030005" TargetMode="External"/><Relationship Id="rId88" Type="http://schemas.openxmlformats.org/officeDocument/2006/relationships/hyperlink" Target="https://settercloset.com/collections/fins/products/fins-2xl-1-jugs-up103?variant=13082262306869" TargetMode="External"/><Relationship Id="rId111" Type="http://schemas.openxmlformats.org/officeDocument/2006/relationships/hyperlink" Target="https://settercloset.com/products/ditches-2xl-1-big-slots-up145?variant=31826391662645" TargetMode="External"/><Relationship Id="rId132" Type="http://schemas.openxmlformats.org/officeDocument/2006/relationships/hyperlink" Target="https://settercloset.com/products/reg-l2-pockets-up130?variant=31750923714613" TargetMode="External"/><Relationship Id="rId153" Type="http://schemas.openxmlformats.org/officeDocument/2006/relationships/hyperlink" Target="https://settercloset.com/products/reg-m10-pinches-up139?variant=31725645234229" TargetMode="External"/><Relationship Id="rId174" Type="http://schemas.openxmlformats.org/officeDocument/2006/relationships/hyperlink" Target="https://settercloset.com/products/reg-s11-incut-crimps-up203?variant=39985704042549" TargetMode="External"/><Relationship Id="rId195" Type="http://schemas.openxmlformats.org/officeDocument/2006/relationships/hyperlink" Target="https://settercloset.com/collections/newest-shapes/products/strato-2xl-3-jug-up185?variant=39850728030261" TargetMode="External"/><Relationship Id="rId209" Type="http://schemas.openxmlformats.org/officeDocument/2006/relationships/hyperlink" Target="https://settercloset.com/products/strato-s3-feet-crimps-up161?variant=33158404898869" TargetMode="External"/><Relationship Id="rId220" Type="http://schemas.openxmlformats.org/officeDocument/2006/relationships/hyperlink" Target="https://settercloset.com/collections/unique-art/products/ribbons-m2-half-ribbons-crimps-up089?variant=13142215753781" TargetMode="External"/><Relationship Id="rId241" Type="http://schemas.openxmlformats.org/officeDocument/2006/relationships/hyperlink" Target="https://settercloset.com/collections/unique-art/products/pinches-l4-imploded-pinches-puffy-incut-wrap-up090?variant=13142234857525" TargetMode="External"/><Relationship Id="rId15" Type="http://schemas.openxmlformats.org/officeDocument/2006/relationships/hyperlink" Target="https://settercloset.com/collections/all-grips/products/tremors-2xl-9-slopers-up252?variant=42230820700213" TargetMode="External"/><Relationship Id="rId36" Type="http://schemas.openxmlformats.org/officeDocument/2006/relationships/hyperlink" Target="https://settercloset.com/collections/stealth/products/stealth-xl-2-jugs-up096?variant=13142380052533" TargetMode="External"/><Relationship Id="rId57" Type="http://schemas.openxmlformats.org/officeDocument/2006/relationships/hyperlink" Target="https://settercloset.com/collections/stealth/products/stealth-small-1-crimps-up078?variant=13141981659189" TargetMode="External"/><Relationship Id="rId262" Type="http://schemas.openxmlformats.org/officeDocument/2006/relationships/hyperlink" Target="https://settercloset.com/products/brass-knuckle-hangboard-up070?variant=13141825257525" TargetMode="External"/><Relationship Id="rId78" Type="http://schemas.openxmlformats.org/officeDocument/2006/relationships/hyperlink" Target="https://settercloset.com/collections/bricks/products/big-brick-2xl-sloper-3-medium-up006?variant=13115493548085" TargetMode="External"/><Relationship Id="rId99" Type="http://schemas.openxmlformats.org/officeDocument/2006/relationships/hyperlink" Target="https://settercloset.com/collections/speed-bumps/products/speed-bumps-l1-crimps-up009?variant=13115730198581" TargetMode="External"/><Relationship Id="rId101" Type="http://schemas.openxmlformats.org/officeDocument/2006/relationships/hyperlink" Target="https://settercloset.com/collections/newest-shapes/products/speed-bumps-l3-edges-up172?variant=39848426209333" TargetMode="External"/><Relationship Id="rId122" Type="http://schemas.openxmlformats.org/officeDocument/2006/relationships/hyperlink" Target="https://settercloset.com/products/ditches-m5-slots-up134?variant=31688642232373" TargetMode="External"/><Relationship Id="rId143" Type="http://schemas.openxmlformats.org/officeDocument/2006/relationships/hyperlink" Target="https://settercloset.com/collections/all-grips/products/reg-l13-slopey-pinches-up247?variant=42129921114165" TargetMode="External"/><Relationship Id="rId164" Type="http://schemas.openxmlformats.org/officeDocument/2006/relationships/hyperlink" Target="https://settercloset.com/collections/regs/products/reg-s1-reg-mini-jugs-up091?variant=13142246293557" TargetMode="External"/><Relationship Id="rId185" Type="http://schemas.openxmlformats.org/officeDocument/2006/relationships/hyperlink" Target="https://settercloset.com/collections/newest-shapes/products/regs-xs-7-slopey-feet-up261?variant=42601955491893" TargetMode="External"/><Relationship Id="rId9" Type="http://schemas.openxmlformats.org/officeDocument/2006/relationships/hyperlink" Target="https://settercloset.com/collections/tremors/products/tremors-2xl-3-y-pinch-up081?variant=13142057517109" TargetMode="External"/><Relationship Id="rId210" Type="http://schemas.openxmlformats.org/officeDocument/2006/relationships/hyperlink" Target="https://settercloset.com/collections/unique-art/aragon" TargetMode="External"/><Relationship Id="rId26" Type="http://schemas.openxmlformats.org/officeDocument/2006/relationships/hyperlink" Target="https://settercloset.com/collections/tremors/products/tremors-small-4-mini-jugs-up112?variant=13230355251253" TargetMode="External"/><Relationship Id="rId231" Type="http://schemas.openxmlformats.org/officeDocument/2006/relationships/hyperlink" Target="https://settercloset.com/collections/unique-art/products/unique-2xl-1-the-wave-jug-up024?variant=13141203025973" TargetMode="External"/><Relationship Id="rId252" Type="http://schemas.openxmlformats.org/officeDocument/2006/relationships/hyperlink" Target="https://settercloset.com/collections/unique-art/products/pocketos-m1-dishes-up055?variant=13141586640949" TargetMode="External"/><Relationship Id="rId47" Type="http://schemas.openxmlformats.org/officeDocument/2006/relationships/hyperlink" Target="https://settercloset.com/collections/stealth/products/stealth-medium-1-edges-up094?variant=13142316515381" TargetMode="External"/><Relationship Id="rId68" Type="http://schemas.openxmlformats.org/officeDocument/2006/relationships/hyperlink" Target="https://settercloset.com/collections/stealth/products/stealth-xs-2-feet-set-2-up095?variant=13142347218997" TargetMode="External"/><Relationship Id="rId89" Type="http://schemas.openxmlformats.org/officeDocument/2006/relationships/hyperlink" Target="https://settercloset.com/collections/fins/products/fins-2xl-2-pinches-up102?variant=13142595108917" TargetMode="External"/><Relationship Id="rId112" Type="http://schemas.openxmlformats.org/officeDocument/2006/relationships/hyperlink" Target="https://settercloset.com/products/ditches-xl-1-slots-up120?variant=28818143281205" TargetMode="External"/><Relationship Id="rId133" Type="http://schemas.openxmlformats.org/officeDocument/2006/relationships/hyperlink" Target="https://settercloset.com/products/reg-l3-pockets-up143?variant=31806779392053" TargetMode="External"/><Relationship Id="rId154" Type="http://schemas.openxmlformats.org/officeDocument/2006/relationships/hyperlink" Target="https://settercloset.com/products/reg-m11-jugs-up142?variant=31688703311925" TargetMode="External"/><Relationship Id="rId175" Type="http://schemas.openxmlformats.org/officeDocument/2006/relationships/hyperlink" Target="https://settercloset.com/products/reg-s12-incut-crimps-up208?variant=40042178871349" TargetMode="External"/><Relationship Id="rId196" Type="http://schemas.openxmlformats.org/officeDocument/2006/relationships/hyperlink" Target="https://settercloset.com/collections/stratos/products/strato-xl-1-pinches-up150?variant=32217710985269" TargetMode="External"/><Relationship Id="rId200" Type="http://schemas.openxmlformats.org/officeDocument/2006/relationships/hyperlink" Target="https://settercloset.com/products/strato-xl-5-crimp-seams-up167?variant=33465123209269" TargetMode="External"/><Relationship Id="rId16" Type="http://schemas.openxmlformats.org/officeDocument/2006/relationships/hyperlink" Target="https://settercloset.com/collections/tremors/products/tremors-xl-1-pinches-up085?variant=13142168109109" TargetMode="External"/><Relationship Id="rId221" Type="http://schemas.openxmlformats.org/officeDocument/2006/relationships/hyperlink" Target="https://settercloset.com/collections/trim/aragon" TargetMode="External"/><Relationship Id="rId242" Type="http://schemas.openxmlformats.org/officeDocument/2006/relationships/hyperlink" Target="https://settercloset.com/collections/unique-art/products/pinches-l5-prieto-up040?variant=13141360115765" TargetMode="External"/><Relationship Id="rId263" Type="http://schemas.openxmlformats.org/officeDocument/2006/relationships/hyperlink" Target="https://settercloset.com/products/reg-board-up151?_pos=1&amp;_sid=ead82500a&amp;_ss=r&amp;variant=31794785779765" TargetMode="External"/><Relationship Id="rId37" Type="http://schemas.openxmlformats.org/officeDocument/2006/relationships/hyperlink" Target="https://settercloset.com/products/stealth-xl-3-wrapped-edge-pinches-up211?variant=40306770018357" TargetMode="External"/><Relationship Id="rId58" Type="http://schemas.openxmlformats.org/officeDocument/2006/relationships/hyperlink" Target="https://settercloset.com/collections/newest-shapes/products/stealth-small-2-wrapped-crimps-edges-up168?variant=33420856361013" TargetMode="External"/><Relationship Id="rId79" Type="http://schemas.openxmlformats.org/officeDocument/2006/relationships/hyperlink" Target="https://settercloset.com/collections/bricks/products/big-brick-xl-1-incut-ledges-up084?variant=13142148808757" TargetMode="External"/><Relationship Id="rId102" Type="http://schemas.openxmlformats.org/officeDocument/2006/relationships/hyperlink" Target="https://settercloset.com/collections/newest-shapes/products/speed-bumps-l4-pinches-up177?variant=39709313794101" TargetMode="External"/><Relationship Id="rId123" Type="http://schemas.openxmlformats.org/officeDocument/2006/relationships/hyperlink" Target="https://settercloset.com/products/ditches-xs-1-feet-and-tiny-crimps-up116?variant=28818080923701" TargetMode="External"/><Relationship Id="rId144" Type="http://schemas.openxmlformats.org/officeDocument/2006/relationships/hyperlink" Target="https://settercloset.com/collections/regs/products/reg-m1-reg-jugs-up052?variant=13141534572597" TargetMode="External"/><Relationship Id="rId90" Type="http://schemas.openxmlformats.org/officeDocument/2006/relationships/hyperlink" Target="https://settercloset.com/collections/speed-bumps/aragon" TargetMode="External"/><Relationship Id="rId165" Type="http://schemas.openxmlformats.org/officeDocument/2006/relationships/hyperlink" Target="https://settercloset.com/collections/regs/products/reg-s1-changing-corners-slopey-geo-pinches-up001?variant=13105742020661" TargetMode="External"/><Relationship Id="rId186" Type="http://schemas.openxmlformats.org/officeDocument/2006/relationships/hyperlink" Target="https://settercloset.com/collections/newest-shapes/products/reg-jibs-5-small-crimps-up197?variant=39935803457589" TargetMode="External"/><Relationship Id="rId211" Type="http://schemas.openxmlformats.org/officeDocument/2006/relationships/hyperlink" Target="https://settercloset.com/products/hueco-xl-1-roof-up048?variant=13141492531253" TargetMode="External"/><Relationship Id="rId232" Type="http://schemas.openxmlformats.org/officeDocument/2006/relationships/hyperlink" Target="https://settercloset.com/collections/unique-art/products/unique-2xl-2-octopus-pinch-ledge-up007?variant=13115707195445" TargetMode="External"/><Relationship Id="rId253" Type="http://schemas.openxmlformats.org/officeDocument/2006/relationships/hyperlink" Target="https://settercloset.com/collections/newest-shapes/products/duncans-eggdrop-m1-juggy-pinches-upr001?variant=42832769253429" TargetMode="External"/><Relationship Id="rId27" Type="http://schemas.openxmlformats.org/officeDocument/2006/relationships/hyperlink" Target="https://settercloset.com/products/tremors-xs-1-feet-up124?_pos=1&amp;_sid=81af6ebfd&amp;_ss=r&amp;variant=29411108421685" TargetMode="External"/><Relationship Id="rId48" Type="http://schemas.openxmlformats.org/officeDocument/2006/relationships/hyperlink" Target="https://settercloset.com/collections/stealth/products/stealth-medium-2-medium-crimps-up079?variant=13141997813813" TargetMode="External"/><Relationship Id="rId69" Type="http://schemas.openxmlformats.org/officeDocument/2006/relationships/hyperlink" Target="https://settercloset.com/collections/stealth/products/stealth-xs-3-feet-set-3-up099?variant=13142485303349" TargetMode="External"/><Relationship Id="rId113" Type="http://schemas.openxmlformats.org/officeDocument/2006/relationships/hyperlink" Target="https://settercloset.com/products/ditches-xl-2-slots-up122?_pos=1&amp;_sid=0034e0080&amp;_ss=r&amp;variant=29411099541557" TargetMode="External"/><Relationship Id="rId134" Type="http://schemas.openxmlformats.org/officeDocument/2006/relationships/hyperlink" Target="https://settercloset.com/products/reg-l4-pockets-up144?variant=31826601902133" TargetMode="External"/><Relationship Id="rId80" Type="http://schemas.openxmlformats.org/officeDocument/2006/relationships/hyperlink" Target="https://settercloset.com/collections/bricks/products/mini-brick-l1-slopey-ledges-up010?variant=13115750613045" TargetMode="External"/><Relationship Id="rId155" Type="http://schemas.openxmlformats.org/officeDocument/2006/relationships/hyperlink" Target="https://settercloset.com/products/reg-m15-pinches-up190?variant=39935776653365" TargetMode="External"/><Relationship Id="rId176" Type="http://schemas.openxmlformats.org/officeDocument/2006/relationships/hyperlink" Target="https://settercloset.com/products/reg-s13-jugs-up215?variant=40307090325557" TargetMode="External"/><Relationship Id="rId197" Type="http://schemas.openxmlformats.org/officeDocument/2006/relationships/hyperlink" Target="https://settercloset.com/products/strato-xl-2-sloper-ledges-up154?variant=32235230199861" TargetMode="External"/><Relationship Id="rId201" Type="http://schemas.openxmlformats.org/officeDocument/2006/relationships/hyperlink" Target="https://settercloset.com/collections/newest-shapes/products/up258?variant=42599456145461" TargetMode="External"/><Relationship Id="rId222" Type="http://schemas.openxmlformats.org/officeDocument/2006/relationships/hyperlink" Target="https://settercloset.com/collections/trim/products/trim-m1-crimp-edges-up092?variant=13142259335221" TargetMode="External"/><Relationship Id="rId243" Type="http://schemas.openxmlformats.org/officeDocument/2006/relationships/hyperlink" Target="https://settercloset.com/collections/unique-art/products/wood-grain-slopers-l1-up013?variant=13125500567605" TargetMode="External"/><Relationship Id="rId264" Type="http://schemas.openxmlformats.org/officeDocument/2006/relationships/hyperlink" Target="https://settercloset.com/products/downclimb-jug-packs-upside-down-dualtex-arrow-updc01?variant=31644737699893" TargetMode="External"/><Relationship Id="rId17" Type="http://schemas.openxmlformats.org/officeDocument/2006/relationships/hyperlink" Target="https://settercloset.com/collections/tremors/products/tremors-xl-2-jugs-up097?variant=13142409904181" TargetMode="External"/><Relationship Id="rId38" Type="http://schemas.openxmlformats.org/officeDocument/2006/relationships/hyperlink" Target="https://settercloset.com/products/stealth-xl-4-wrapped-lip-jugs-up212?variant=40288982564917" TargetMode="External"/><Relationship Id="rId59" Type="http://schemas.openxmlformats.org/officeDocument/2006/relationships/hyperlink" Target="https://settercloset.com/products/stealth-small-3-pinches-up169?_pos=1&amp;_sid=f5d90663d&amp;_ss=r&amp;variant=39593199730741" TargetMode="External"/><Relationship Id="rId103" Type="http://schemas.openxmlformats.org/officeDocument/2006/relationships/hyperlink" Target="https://settercloset.com/collections/newest-shapes/products/speed-bumps-l5-edges-up180?variant=39792196976693" TargetMode="External"/><Relationship Id="rId124" Type="http://schemas.openxmlformats.org/officeDocument/2006/relationships/hyperlink" Target="https://settercloset.com/products/ditches-xs-2-feet-and-tiny-crimps-up121?_pos=1&amp;_sid=aee6f9778&amp;_ss=r&amp;variant=29411088203829" TargetMode="External"/><Relationship Id="rId70" Type="http://schemas.openxmlformats.org/officeDocument/2006/relationships/hyperlink" Target="https://settercloset.com/collections/newest-shapes/products/stealth-xs-4-feet-set-4-up163?variant=33163284545589" TargetMode="External"/><Relationship Id="rId91" Type="http://schemas.openxmlformats.org/officeDocument/2006/relationships/hyperlink" Target="https://settercloset.com/collections/newest-shapes/products/speed-bumps-3xl-1-sloper-up184?variant=39872861667381" TargetMode="External"/><Relationship Id="rId145" Type="http://schemas.openxmlformats.org/officeDocument/2006/relationships/hyperlink" Target="https://settercloset.com/collections/regs/products/reg-m2-reg-pinches-up072?variant=13141861138485" TargetMode="External"/><Relationship Id="rId166" Type="http://schemas.openxmlformats.org/officeDocument/2006/relationships/hyperlink" Target="https://settercloset.com/collections/regs/products/reg-s2-reg-crimps-up073?variant=13141881978933" TargetMode="External"/><Relationship Id="rId187" Type="http://schemas.openxmlformats.org/officeDocument/2006/relationships/hyperlink" Target="https://settercloset.com/products/reg-jibs-6-xs-jibs-up204?variant=39985725440053" TargetMode="External"/><Relationship Id="rId1" Type="http://schemas.openxmlformats.org/officeDocument/2006/relationships/hyperlink" Target="mailto:holds@kiltergrips.com" TargetMode="External"/><Relationship Id="rId212" Type="http://schemas.openxmlformats.org/officeDocument/2006/relationships/hyperlink" Target="https://settercloset.com/products/hueco-xl-2-full-service-up023?variant=13141188018229" TargetMode="External"/><Relationship Id="rId233" Type="http://schemas.openxmlformats.org/officeDocument/2006/relationships/hyperlink" Target="https://settercloset.com/collections/unique-art/products/unique-2xl-3-bling-incut-sloper-up037?variant=13141318664245" TargetMode="External"/><Relationship Id="rId254" Type="http://schemas.openxmlformats.org/officeDocument/2006/relationships/hyperlink" Target="https://settercloset.com/collections/unique-art/products/crimps-s1-bear-down-up065?variant=13141744713781" TargetMode="External"/><Relationship Id="rId28" Type="http://schemas.openxmlformats.org/officeDocument/2006/relationships/hyperlink" Target="https://settercloset.com/collections/all-grips/products/tremors-xs-2-feet-up249?variant=42230665871413" TargetMode="External"/><Relationship Id="rId49" Type="http://schemas.openxmlformats.org/officeDocument/2006/relationships/hyperlink" Target="https://settercloset.com/products/stealth-medium-3-slopers-up170?_pos=1&amp;_sid=9fbfa07ae&amp;_ss=r&amp;variant=39599586607157" TargetMode="External"/><Relationship Id="rId114" Type="http://schemas.openxmlformats.org/officeDocument/2006/relationships/hyperlink" Target="https://settercloset.com/products/ditches-l-1-slots-up117?variant=28818162778165" TargetMode="External"/><Relationship Id="rId60" Type="http://schemas.openxmlformats.org/officeDocument/2006/relationships/hyperlink" Target="https://settercloset.com/collections/newest-shapes/products/stealth-small-6-wrapped-incuts-up227?variant=42413669777461" TargetMode="External"/><Relationship Id="rId81" Type="http://schemas.openxmlformats.org/officeDocument/2006/relationships/hyperlink" Target="https://settercloset.com/collections/bricks/products/mini-brick-l2-incut-ledges-up018?variant=13125545885749" TargetMode="External"/><Relationship Id="rId135" Type="http://schemas.openxmlformats.org/officeDocument/2006/relationships/hyperlink" Target="https://settercloset.com/collections/newest-shapes/products/reg-l5-jugs-up193?variant=39935779242037" TargetMode="External"/><Relationship Id="rId156" Type="http://schemas.openxmlformats.org/officeDocument/2006/relationships/hyperlink" Target="https://settercloset.com/collections/newest-shapes/products/reg-m16-incuts-up192?variant=39935778390069" TargetMode="External"/><Relationship Id="rId177" Type="http://schemas.openxmlformats.org/officeDocument/2006/relationships/hyperlink" Target="https://settercloset.com/products/reg-s14-pinches-up220?variant=40628187824181" TargetMode="External"/><Relationship Id="rId198" Type="http://schemas.openxmlformats.org/officeDocument/2006/relationships/hyperlink" Target="https://settercloset.com/products/strato-l1-jugs-up147?variant=33114509803573" TargetMode="External"/><Relationship Id="rId202" Type="http://schemas.openxmlformats.org/officeDocument/2006/relationships/hyperlink" Target="https://settercloset.com/products/strato-l3-jugs-up157?variant=33114513571893" TargetMode="External"/><Relationship Id="rId223" Type="http://schemas.openxmlformats.org/officeDocument/2006/relationships/hyperlink" Target="https://settercloset.com/collections/unique-art/aragon" TargetMode="External"/><Relationship Id="rId244" Type="http://schemas.openxmlformats.org/officeDocument/2006/relationships/hyperlink" Target="https://settercloset.com/collections/unique-art/products/beat-up-m1-jugs-up064?variant=13141721481269" TargetMode="External"/><Relationship Id="rId18" Type="http://schemas.openxmlformats.org/officeDocument/2006/relationships/hyperlink" Target="https://settercloset.com/collections/tremors/products/tremors-xl-3-wide-flat-pinches-up108?variant=13208846106677" TargetMode="External"/><Relationship Id="rId39" Type="http://schemas.openxmlformats.org/officeDocument/2006/relationships/hyperlink" Target="https://settercloset.com/collections/newest-shapes/products/stealth-xl-5-wrapped-lip-huecos-up218?variant=40345571524661" TargetMode="External"/><Relationship Id="rId265" Type="http://schemas.openxmlformats.org/officeDocument/2006/relationships/hyperlink" Target="https://settercloset.com/products/downclimb-jug-packs-upside-down-dualtex-arrow-updc01?_pos=1&amp;_sid=8c5f79d07&amp;_ss=r&amp;variant=31644737699893" TargetMode="External"/><Relationship Id="rId50" Type="http://schemas.openxmlformats.org/officeDocument/2006/relationships/hyperlink" Target="https://settercloset.com/collections/newest-shapes/products/stealth-m5-wrapped-edge-pinches-up217?variant=40306946539573" TargetMode="External"/><Relationship Id="rId104" Type="http://schemas.openxmlformats.org/officeDocument/2006/relationships/hyperlink" Target="https://settercloset.com/collections/speed-bumps/products/speed-bumps-m1-crimps-up087?variant=13142198976565" TargetMode="External"/><Relationship Id="rId125" Type="http://schemas.openxmlformats.org/officeDocument/2006/relationships/hyperlink" Target="https://settercloset.com/collections/newest-shapes/products/ditches-jibs-1-xl-ditch-up186?variant=39850763878453" TargetMode="External"/><Relationship Id="rId146" Type="http://schemas.openxmlformats.org/officeDocument/2006/relationships/hyperlink" Target="https://settercloset.com/collections/regs/products/reg-m3-the-squeeze-1-pinches-up020?variant=13125564039221" TargetMode="External"/><Relationship Id="rId167" Type="http://schemas.openxmlformats.org/officeDocument/2006/relationships/hyperlink" Target="https://settercloset.com/products/reg-s4-pinches-up138?variant=31688653996085" TargetMode="External"/><Relationship Id="rId188" Type="http://schemas.openxmlformats.org/officeDocument/2006/relationships/hyperlink" Target="https://settercloset.com/collections/newest-shapes/products/reg-jibs-7-round-jibs-up263?variant=42601968009269" TargetMode="External"/><Relationship Id="rId71" Type="http://schemas.openxmlformats.org/officeDocument/2006/relationships/hyperlink" Target="https://settercloset.com/collections/newest-shapes/products/stealth-xs-5-feet-set-5-up166?variant=33420858556469" TargetMode="External"/><Relationship Id="rId92" Type="http://schemas.openxmlformats.org/officeDocument/2006/relationships/hyperlink" Target="https://settercloset.com/collections/newest-shapes/products/speed-bumps-2xl1-edges-up178?variant=39709331128373" TargetMode="External"/><Relationship Id="rId213" Type="http://schemas.openxmlformats.org/officeDocument/2006/relationships/hyperlink" Target="https://settercloset.com/collections/not-font/products/not-font-2xl-1-big-font-jug-up042?variant=13141375516725" TargetMode="External"/><Relationship Id="rId234" Type="http://schemas.openxmlformats.org/officeDocument/2006/relationships/hyperlink" Target="https://settercloset.com/collections/unique-art/products/unique-2xl-4-fire-ice-pinch-incut-up061?variant=13141672656949" TargetMode="External"/><Relationship Id="rId2" Type="http://schemas.openxmlformats.org/officeDocument/2006/relationships/hyperlink" Target="https://settercloset.com/collections/tremors/aragon" TargetMode="External"/><Relationship Id="rId29" Type="http://schemas.openxmlformats.org/officeDocument/2006/relationships/hyperlink" Target="https://settercloset.com/collections/stealth/aragon" TargetMode="External"/><Relationship Id="rId255" Type="http://schemas.openxmlformats.org/officeDocument/2006/relationships/hyperlink" Target="https://settercloset.com/collections/unique-art/products/crimps-s2-peanuts-up039?variant=13141347303477" TargetMode="External"/><Relationship Id="rId40" Type="http://schemas.openxmlformats.org/officeDocument/2006/relationships/hyperlink" Target="https://settercloset.com/products/stealth-xl-8-huecos-up244?variant=42091310612533" TargetMode="External"/><Relationship Id="rId115" Type="http://schemas.openxmlformats.org/officeDocument/2006/relationships/hyperlink" Target="https://settercloset.com/products/ditches-l2-pinches-up118?variant=28818230247477" TargetMode="External"/><Relationship Id="rId136" Type="http://schemas.openxmlformats.org/officeDocument/2006/relationships/hyperlink" Target="https://settercloset.com/collections/newest-shapes/products/reg-l6-pinches-up196?variant=39935789891637" TargetMode="External"/><Relationship Id="rId157" Type="http://schemas.openxmlformats.org/officeDocument/2006/relationships/hyperlink" Target="https://settercloset.com/collections/newest-shapes/products/reg-m17-crimps-up199?variant=39935808241717" TargetMode="External"/><Relationship Id="rId178" Type="http://schemas.openxmlformats.org/officeDocument/2006/relationships/hyperlink" Target="https://settercloset.com/collections/newest-shapes/products/regs-s15-slopers-up262?variant=42601956540469" TargetMode="External"/><Relationship Id="rId61" Type="http://schemas.openxmlformats.org/officeDocument/2006/relationships/hyperlink" Target="https://settercloset.com/collections/newest-shapes/products/stealth-small-8-mini-jugs-up232?variant=41937906499637" TargetMode="External"/><Relationship Id="rId82" Type="http://schemas.openxmlformats.org/officeDocument/2006/relationships/hyperlink" Target="https://settercloset.com/collections/bricks/products/mini-brick-m1-mini-jugs-up026?variant=13141250703413" TargetMode="External"/><Relationship Id="rId199" Type="http://schemas.openxmlformats.org/officeDocument/2006/relationships/hyperlink" Target="https://settercloset.com/products/strato-xl-4-sloper-seams-up165?variant=33465100533813" TargetMode="External"/><Relationship Id="rId203" Type="http://schemas.openxmlformats.org/officeDocument/2006/relationships/hyperlink" Target="https://settercloset.com/products/strato-l2-pinches-up148?variant=33082607730741" TargetMode="External"/><Relationship Id="rId19" Type="http://schemas.openxmlformats.org/officeDocument/2006/relationships/hyperlink" Target="https://settercloset.com/collections/all-grips/products/tremors-xl-4-slopers-up250?variant=42230738288693" TargetMode="External"/><Relationship Id="rId224" Type="http://schemas.openxmlformats.org/officeDocument/2006/relationships/hyperlink" Target="https://settercloset.com/collections/unique-art/products/wavy-2xl-1-ledge-up027?variant=13141271937077" TargetMode="External"/><Relationship Id="rId245" Type="http://schemas.openxmlformats.org/officeDocument/2006/relationships/hyperlink" Target="https://settercloset.com/collections/unique-art/products/moon-buckets-m1-mini-jugs-up057?variant=13141605777461" TargetMode="External"/><Relationship Id="rId266" Type="http://schemas.openxmlformats.org/officeDocument/2006/relationships/drawing" Target="../drawings/drawing4.xml"/><Relationship Id="rId30" Type="http://schemas.openxmlformats.org/officeDocument/2006/relationships/hyperlink" Target="https://settercloset.com/products/stealth-4xl-1-wrapped-lip-hueco-up221?variant=41205011611701" TargetMode="External"/><Relationship Id="rId105" Type="http://schemas.openxmlformats.org/officeDocument/2006/relationships/hyperlink" Target="https://settercloset.com/collections/newest-shapes/products/speed-bumps-m2-pinches-up181?variant=39792209035317" TargetMode="External"/><Relationship Id="rId126" Type="http://schemas.openxmlformats.org/officeDocument/2006/relationships/hyperlink" Target="https://settercloset.com/collections/regs/aragon" TargetMode="External"/><Relationship Id="rId147" Type="http://schemas.openxmlformats.org/officeDocument/2006/relationships/hyperlink" Target="https://settercloset.com/collections/regs/products/reg-m5-the-squeeze-3-pinches-up021?variant=13125568462901" TargetMode="External"/><Relationship Id="rId168" Type="http://schemas.openxmlformats.org/officeDocument/2006/relationships/hyperlink" Target="https://settercloset.com/products/reg-s5-crimps-up140?variant=31688682569781" TargetMode="External"/><Relationship Id="rId51" Type="http://schemas.openxmlformats.org/officeDocument/2006/relationships/hyperlink" Target="https://settercloset.com/collections/newest-shapes/products/stealth-m6-jugs-up230?variant=41937212047413" TargetMode="External"/><Relationship Id="rId72" Type="http://schemas.openxmlformats.org/officeDocument/2006/relationships/hyperlink" Target="https://settercloset.com/collections/newest-shapes/products/stealth-jibs-1-medium-screw-on-slopers-up174?variant=39709268934709" TargetMode="External"/><Relationship Id="rId93" Type="http://schemas.openxmlformats.org/officeDocument/2006/relationships/hyperlink" Target="https://settercloset.com/collections/newest-shapes/products/speed-bumps-2xl2-slopey-edges-up182?variant=39792229154869" TargetMode="External"/><Relationship Id="rId189" Type="http://schemas.openxmlformats.org/officeDocument/2006/relationships/hyperlink" Target="https://settercloset.com/collections/stratos" TargetMode="External"/><Relationship Id="rId3" Type="http://schemas.openxmlformats.org/officeDocument/2006/relationships/hyperlink" Target="https://settercloset.com/collections/all-grips/products/tremors-3xl-slopers-1-up248?variant=42230831579189" TargetMode="External"/><Relationship Id="rId214" Type="http://schemas.openxmlformats.org/officeDocument/2006/relationships/hyperlink" Target="https://settercloset.com/collections/not-font/products/not-font-m1-pinches-up047?variant=13141473820725" TargetMode="External"/><Relationship Id="rId235" Type="http://schemas.openxmlformats.org/officeDocument/2006/relationships/hyperlink" Target="https://settercloset.com/collections/unique-art/products/bowls-l1-dishes-up060?variant=13141637922869" TargetMode="External"/><Relationship Id="rId256" Type="http://schemas.openxmlformats.org/officeDocument/2006/relationships/hyperlink" Target="https://settercloset.com/collections/unique-art/products/crimps-s3-bubbly-up056?variant=13141597487157" TargetMode="External"/><Relationship Id="rId116" Type="http://schemas.openxmlformats.org/officeDocument/2006/relationships/hyperlink" Target="https://settercloset.com/products/ditches-l3-pinches-up119?variant=28818244862005" TargetMode="External"/><Relationship Id="rId137" Type="http://schemas.openxmlformats.org/officeDocument/2006/relationships/hyperlink" Target="https://settercloset.com/collections/newest-shapes/products/reg-l7-pinches-up198?variant=39935796314165" TargetMode="External"/><Relationship Id="rId158" Type="http://schemas.openxmlformats.org/officeDocument/2006/relationships/hyperlink" Target="https://settercloset.com/products/reg-m18-pinches-up200?variant=39985609474101" TargetMode="External"/><Relationship Id="rId20" Type="http://schemas.openxmlformats.org/officeDocument/2006/relationships/hyperlink" Target="https://settercloset.com/collections/tremors/products/tremors-l1-wide-flat-pinches-up107?variant=13208915836981" TargetMode="External"/><Relationship Id="rId41" Type="http://schemas.openxmlformats.org/officeDocument/2006/relationships/hyperlink" Target="https://settercloset.com/collections/newest-shapes/products/stealth-xl-9-pockets-pinches-up253?variant=42413630095413" TargetMode="External"/><Relationship Id="rId62" Type="http://schemas.openxmlformats.org/officeDocument/2006/relationships/hyperlink" Target="https://settercloset.com/collections/newest-shapes/products/stealth-m8-jugs-up233?variant=42389795274805" TargetMode="External"/><Relationship Id="rId83" Type="http://schemas.openxmlformats.org/officeDocument/2006/relationships/hyperlink" Target="https://settercloset.com/collections/bricks/products/mini-brick-m2-pinches-up051?variant=13141524021301" TargetMode="External"/><Relationship Id="rId179" Type="http://schemas.openxmlformats.org/officeDocument/2006/relationships/hyperlink" Target="https://settercloset.com/collections/regs/products/reg-xs-1-regular-old-feet-1-up012?variant=13125495062581" TargetMode="External"/><Relationship Id="rId190" Type="http://schemas.openxmlformats.org/officeDocument/2006/relationships/hyperlink" Target="https://settercloset.com/products/strato-kaiju-1-pinch-up149?variant=32218765721653" TargetMode="External"/><Relationship Id="rId204" Type="http://schemas.openxmlformats.org/officeDocument/2006/relationships/hyperlink" Target="https://settercloset.com/products/strato-l3-slopers-up159?variant=33163222745141" TargetMode="External"/><Relationship Id="rId225" Type="http://schemas.openxmlformats.org/officeDocument/2006/relationships/hyperlink" Target="https://settercloset.com/collections/unique-art/products/wavy-m1-edges-up011?variant=13125492146229" TargetMode="External"/><Relationship Id="rId246" Type="http://schemas.openxmlformats.org/officeDocument/2006/relationships/hyperlink" Target="https://settercloset.com/collections/unique-art/products/edges-m1-dog-bones-pinches-crimps-up046?variant=13141459370037" TargetMode="External"/><Relationship Id="rId106" Type="http://schemas.openxmlformats.org/officeDocument/2006/relationships/hyperlink" Target="https://settercloset.com/collections/newest-shapes/products/stealth-m4-slopers-up187?variant=39850771546165" TargetMode="External"/><Relationship Id="rId127" Type="http://schemas.openxmlformats.org/officeDocument/2006/relationships/hyperlink" Target="https://settercloset.com/products/reg-xl-3-jugs-up146?variant=33114491617333" TargetMode="External"/><Relationship Id="rId10" Type="http://schemas.openxmlformats.org/officeDocument/2006/relationships/hyperlink" Target="https://settercloset.com/products/tremors-2xl-4-stalactites-up106?variant=14407795277877" TargetMode="External"/><Relationship Id="rId31" Type="http://schemas.openxmlformats.org/officeDocument/2006/relationships/hyperlink" Target="https://settercloset.com/products/stealth-3xl-1-wrapped-lip-huecos-up225?variant=41580748603445" TargetMode="External"/><Relationship Id="rId52" Type="http://schemas.openxmlformats.org/officeDocument/2006/relationships/hyperlink" Target="https://settercloset.com/products/stealth-m7-jugs-up235?variant=41739046256693" TargetMode="External"/><Relationship Id="rId73" Type="http://schemas.openxmlformats.org/officeDocument/2006/relationships/hyperlink" Target="https://settercloset.com/products/stealth-jibs-2-xs-flakes-up216?variant=40307121061941" TargetMode="External"/><Relationship Id="rId94" Type="http://schemas.openxmlformats.org/officeDocument/2006/relationships/hyperlink" Target="https://settercloset.com/collections/newest-shapes/products/speed-bumps-xl1-edges-up173?variant=39828727889973" TargetMode="External"/><Relationship Id="rId148" Type="http://schemas.openxmlformats.org/officeDocument/2006/relationships/hyperlink" Target="https://settercloset.com/collections/regs/products/reg-m5-the-squeeze-3-pinches-up022?variant=13125577998389" TargetMode="External"/><Relationship Id="rId169" Type="http://schemas.openxmlformats.org/officeDocument/2006/relationships/hyperlink" Target="https://settercloset.com/products/reg-s6-jugs-up141?variant=31725554270261" TargetMode="External"/><Relationship Id="rId4" Type="http://schemas.openxmlformats.org/officeDocument/2006/relationships/hyperlink" Target="https://settercloset.com/collections/tremors/products/tremors-kaiju-stalactites-1-3-up104?variant=13142634922037" TargetMode="External"/><Relationship Id="rId180" Type="http://schemas.openxmlformats.org/officeDocument/2006/relationships/hyperlink" Target="https://settercloset.com/collections/regs/products/reg-xs-2-regular-old-feet-2-up093?variant=13142279684149" TargetMode="External"/><Relationship Id="rId215" Type="http://schemas.openxmlformats.org/officeDocument/2006/relationships/hyperlink" Target="https://settercloset.com/collections/unique-art/aragon" TargetMode="External"/><Relationship Id="rId236" Type="http://schemas.openxmlformats.org/officeDocument/2006/relationships/hyperlink" Target="https://settercloset.com/collections/unique-art/products/collosum-l1-very-incut-jugs-up067?variant=13141773582389" TargetMode="External"/><Relationship Id="rId257" Type="http://schemas.openxmlformats.org/officeDocument/2006/relationships/hyperlink" Target="https://settercloset.com/collections/unique-art/products/crimps-s4-wedges-up100?variant=13142522036277" TargetMode="External"/><Relationship Id="rId42" Type="http://schemas.openxmlformats.org/officeDocument/2006/relationships/hyperlink" Target="https://settercloset.com/collections/all-grips/products/stealth-large-1-edges-up131?variant=32325910003765" TargetMode="External"/><Relationship Id="rId84" Type="http://schemas.openxmlformats.org/officeDocument/2006/relationships/hyperlink" Target="https://settercloset.com/collections/bricks/products/mini-brick-s1-edges-up003?variant=13115352711221" TargetMode="External"/><Relationship Id="rId138" Type="http://schemas.openxmlformats.org/officeDocument/2006/relationships/hyperlink" Target="https://settercloset.com/products/reg-l8-jugs-up201?variant=39985639948341" TargetMode="External"/><Relationship Id="rId191" Type="http://schemas.openxmlformats.org/officeDocument/2006/relationships/hyperlink" Target="https://settercloset.com/products/strato-kaiju-2-jug-ledge-up152?variant=32218475102261" TargetMode="External"/><Relationship Id="rId205" Type="http://schemas.openxmlformats.org/officeDocument/2006/relationships/hyperlink" Target="https://settercloset.com/products/strato-l4-pinches-up162?variant=33163256791093" TargetMode="External"/><Relationship Id="rId247" Type="http://schemas.openxmlformats.org/officeDocument/2006/relationships/hyperlink" Target="https://settercloset.com/collections/unique-art/products/edges-m2-roll-overs-crimps-up068?variant=13141789474869" TargetMode="Externa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000"/>
  <sheetViews>
    <sheetView showGridLines="0" workbookViewId="0">
      <selection activeCell="H32" sqref="H32"/>
    </sheetView>
  </sheetViews>
  <sheetFormatPr baseColWidth="10" defaultColWidth="11.1640625" defaultRowHeight="15" customHeight="1"/>
  <cols>
    <col min="1" max="1" width="28.6640625" customWidth="1"/>
    <col min="2" max="2" width="12.33203125" customWidth="1"/>
    <col min="3" max="3" width="45.5" customWidth="1"/>
    <col min="4" max="6" width="11" customWidth="1"/>
    <col min="7" max="7" width="18.83203125" customWidth="1"/>
    <col min="8" max="8" width="14.6640625" customWidth="1"/>
    <col min="9" max="30" width="11" customWidth="1"/>
  </cols>
  <sheetData>
    <row r="1" spans="1:30" ht="30.75" customHeight="1">
      <c r="A1" s="454" t="s">
        <v>0</v>
      </c>
      <c r="B1" s="455"/>
      <c r="C1" s="455"/>
      <c r="D1" s="455"/>
      <c r="E1" s="455"/>
      <c r="F1" s="455"/>
      <c r="G1" s="455"/>
      <c r="H1" s="455"/>
      <c r="I1" s="1"/>
      <c r="J1" s="1"/>
      <c r="K1" s="1"/>
      <c r="L1" s="1"/>
      <c r="M1" s="1"/>
      <c r="N1" s="1"/>
      <c r="O1" s="1"/>
      <c r="P1" s="1"/>
      <c r="Q1" s="1"/>
      <c r="R1" s="1"/>
      <c r="S1" s="1"/>
      <c r="T1" s="2"/>
      <c r="U1" s="2"/>
      <c r="V1" s="3"/>
    </row>
    <row r="2" spans="1:30" ht="30.75" customHeight="1">
      <c r="A2" s="456" t="s">
        <v>1</v>
      </c>
      <c r="B2" s="455"/>
      <c r="C2" s="455"/>
      <c r="D2" s="455"/>
      <c r="E2" s="455"/>
      <c r="F2" s="455"/>
      <c r="G2" s="455"/>
      <c r="H2" s="455"/>
      <c r="I2" s="1"/>
      <c r="J2" s="1"/>
      <c r="K2" s="1"/>
      <c r="L2" s="1"/>
      <c r="M2" s="1"/>
      <c r="N2" s="1"/>
      <c r="O2" s="1"/>
      <c r="P2" s="1"/>
      <c r="Q2" s="1"/>
      <c r="R2" s="1"/>
      <c r="S2" s="1"/>
      <c r="T2" s="2"/>
      <c r="U2" s="2"/>
      <c r="V2" s="3"/>
    </row>
    <row r="3" spans="1:30" ht="12" customHeight="1">
      <c r="A3" s="4"/>
      <c r="B3" s="5"/>
      <c r="C3" s="6"/>
      <c r="D3" s="1"/>
      <c r="E3" s="7"/>
      <c r="F3" s="7"/>
      <c r="G3" s="7"/>
      <c r="H3" s="7"/>
      <c r="I3" s="7"/>
      <c r="J3" s="7"/>
      <c r="K3" s="8"/>
      <c r="L3" s="8"/>
      <c r="M3" s="9"/>
      <c r="W3" s="1"/>
      <c r="X3" s="1"/>
      <c r="Y3" s="1"/>
      <c r="Z3" s="1"/>
      <c r="AA3" s="1"/>
      <c r="AB3" s="1"/>
      <c r="AC3" s="1"/>
      <c r="AD3" s="1"/>
    </row>
    <row r="4" spans="1:30" ht="12" customHeight="1">
      <c r="A4" s="5"/>
      <c r="B4" s="5"/>
      <c r="C4" s="1"/>
      <c r="D4" s="1"/>
      <c r="E4" s="7"/>
      <c r="F4" s="7"/>
      <c r="G4" s="7"/>
      <c r="H4" s="7"/>
      <c r="I4" s="7"/>
      <c r="J4" s="7"/>
      <c r="K4" s="8"/>
      <c r="L4" s="8"/>
      <c r="M4" s="9"/>
      <c r="W4" s="1"/>
      <c r="X4" s="1"/>
      <c r="Y4" s="1"/>
      <c r="Z4" s="1"/>
      <c r="AA4" s="1"/>
      <c r="AB4" s="1"/>
      <c r="AC4" s="1"/>
      <c r="AD4" s="1"/>
    </row>
    <row r="5" spans="1:30" ht="12" customHeight="1">
      <c r="A5" s="1"/>
      <c r="B5" s="1"/>
      <c r="C5" s="7"/>
      <c r="D5" s="7"/>
      <c r="E5" s="7"/>
      <c r="F5" s="7"/>
      <c r="G5" s="7"/>
      <c r="H5" s="7"/>
      <c r="I5" s="8"/>
      <c r="J5" s="8"/>
      <c r="K5" s="9"/>
      <c r="U5" s="1"/>
      <c r="V5" s="1"/>
      <c r="W5" s="1"/>
      <c r="X5" s="1"/>
      <c r="Y5" s="1"/>
      <c r="Z5" s="1"/>
      <c r="AA5" s="1"/>
      <c r="AB5" s="1"/>
      <c r="AC5" s="1"/>
      <c r="AD5" s="1"/>
    </row>
    <row r="6" spans="1:30" ht="12" customHeight="1">
      <c r="C6" s="10"/>
      <c r="D6" s="10"/>
      <c r="E6" s="10"/>
      <c r="F6" s="10"/>
      <c r="G6" s="10"/>
      <c r="H6" s="10"/>
      <c r="I6" s="10"/>
      <c r="J6" s="11"/>
      <c r="T6" s="1"/>
      <c r="U6" s="1"/>
      <c r="V6" s="1"/>
      <c r="W6" s="1"/>
      <c r="X6" s="1"/>
      <c r="Y6" s="1"/>
      <c r="Z6" s="1"/>
      <c r="AA6" s="1"/>
      <c r="AB6" s="1"/>
      <c r="AC6" s="1"/>
      <c r="AD6" s="1"/>
    </row>
    <row r="7" spans="1:30" ht="12.75" customHeight="1">
      <c r="C7" s="12"/>
      <c r="D7" s="13"/>
      <c r="E7" s="13"/>
      <c r="F7" s="10"/>
      <c r="G7" s="10"/>
      <c r="H7" s="10"/>
      <c r="I7" s="10"/>
      <c r="J7" s="11"/>
      <c r="T7" s="1"/>
      <c r="U7" s="1"/>
      <c r="V7" s="1"/>
      <c r="W7" s="1"/>
      <c r="X7" s="1"/>
      <c r="Y7" s="1"/>
      <c r="Z7" s="1"/>
      <c r="AA7" s="1"/>
      <c r="AB7" s="1"/>
      <c r="AC7" s="1"/>
      <c r="AD7" s="1"/>
    </row>
    <row r="8" spans="1:30" ht="12.75" customHeight="1">
      <c r="C8" s="14"/>
      <c r="D8" s="10"/>
      <c r="E8" s="10"/>
      <c r="F8" s="10"/>
      <c r="G8" s="10"/>
      <c r="H8" s="10"/>
      <c r="I8" s="10"/>
      <c r="J8" s="11"/>
      <c r="T8" s="1"/>
      <c r="U8" s="1"/>
      <c r="V8" s="1"/>
      <c r="W8" s="1"/>
      <c r="X8" s="1"/>
      <c r="Y8" s="1"/>
      <c r="Z8" s="1"/>
      <c r="AA8" s="1"/>
      <c r="AB8" s="1"/>
      <c r="AC8" s="1"/>
      <c r="AD8" s="1"/>
    </row>
    <row r="9" spans="1:30" ht="12.75" customHeight="1">
      <c r="C9" s="15"/>
      <c r="D9" s="15"/>
      <c r="E9" s="15"/>
      <c r="F9" s="15"/>
      <c r="G9" s="15"/>
      <c r="H9" s="15"/>
      <c r="I9" s="15"/>
      <c r="J9" s="11"/>
      <c r="T9" s="1"/>
      <c r="U9" s="1"/>
      <c r="V9" s="1"/>
      <c r="W9" s="1"/>
      <c r="X9" s="1"/>
      <c r="Y9" s="1"/>
      <c r="Z9" s="1"/>
      <c r="AA9" s="1"/>
      <c r="AB9" s="1"/>
      <c r="AC9" s="1"/>
      <c r="AD9" s="1"/>
    </row>
    <row r="10" spans="1:30" ht="12.75" customHeight="1">
      <c r="C10" s="15"/>
      <c r="D10" s="15"/>
      <c r="E10" s="15"/>
      <c r="F10" s="15"/>
      <c r="G10" s="15"/>
      <c r="H10" s="15"/>
      <c r="I10" s="15"/>
      <c r="J10" s="11"/>
      <c r="T10" s="1"/>
      <c r="U10" s="1"/>
      <c r="V10" s="1"/>
      <c r="W10" s="1"/>
      <c r="X10" s="1"/>
      <c r="Y10" s="1"/>
      <c r="Z10" s="1"/>
      <c r="AA10" s="1"/>
      <c r="AB10" s="1"/>
      <c r="AC10" s="1"/>
      <c r="AD10" s="1"/>
    </row>
    <row r="11" spans="1:30" ht="12.75" customHeight="1">
      <c r="C11" s="15"/>
      <c r="D11" s="15"/>
      <c r="E11" s="15"/>
      <c r="F11" s="10"/>
      <c r="G11" s="10"/>
      <c r="H11" s="10"/>
      <c r="I11" s="10"/>
      <c r="J11" s="11"/>
      <c r="T11" s="1"/>
      <c r="U11" s="1"/>
      <c r="V11" s="1"/>
      <c r="W11" s="1"/>
      <c r="X11" s="1"/>
      <c r="Y11" s="1"/>
      <c r="Z11" s="1"/>
      <c r="AA11" s="1"/>
      <c r="AB11" s="1"/>
      <c r="AC11" s="1"/>
      <c r="AD11" s="1"/>
    </row>
    <row r="12" spans="1:30" ht="12.75" customHeight="1">
      <c r="A12" s="10"/>
      <c r="B12" s="10"/>
      <c r="C12" s="15"/>
      <c r="D12" s="15"/>
      <c r="E12" s="15"/>
      <c r="F12" s="15"/>
      <c r="G12" s="15"/>
      <c r="H12" s="10"/>
      <c r="I12" s="10"/>
      <c r="J12" s="11"/>
      <c r="T12" s="1"/>
      <c r="U12" s="1"/>
      <c r="V12" s="1"/>
      <c r="W12" s="1"/>
      <c r="X12" s="1"/>
      <c r="Y12" s="1"/>
      <c r="Z12" s="1"/>
      <c r="AA12" s="1"/>
      <c r="AB12" s="1"/>
      <c r="AC12" s="1"/>
      <c r="AD12" s="1"/>
    </row>
    <row r="13" spans="1:30" ht="12.75" customHeight="1">
      <c r="A13" s="1"/>
      <c r="B13" s="10"/>
      <c r="C13" s="13"/>
      <c r="D13" s="13"/>
      <c r="E13" s="13"/>
      <c r="F13" s="10"/>
      <c r="G13" s="10"/>
      <c r="H13" s="10"/>
      <c r="I13" s="10"/>
      <c r="J13" s="11"/>
      <c r="T13" s="1"/>
      <c r="U13" s="1"/>
      <c r="V13" s="1"/>
      <c r="W13" s="1"/>
      <c r="X13" s="1"/>
      <c r="Y13" s="1"/>
      <c r="Z13" s="1"/>
      <c r="AA13" s="1"/>
      <c r="AB13" s="1"/>
      <c r="AC13" s="1"/>
      <c r="AD13" s="1"/>
    </row>
    <row r="14" spans="1:30" ht="12.75" customHeight="1">
      <c r="A14" s="10"/>
      <c r="B14" s="10"/>
      <c r="H14" s="10"/>
      <c r="I14" s="10"/>
      <c r="J14" s="11"/>
      <c r="T14" s="1"/>
      <c r="U14" s="1"/>
      <c r="V14" s="1"/>
      <c r="W14" s="1"/>
      <c r="X14" s="1"/>
      <c r="Y14" s="1"/>
      <c r="Z14" s="1"/>
      <c r="AA14" s="1"/>
      <c r="AB14" s="1"/>
      <c r="AC14" s="1"/>
      <c r="AD14" s="1"/>
    </row>
    <row r="15" spans="1:30" ht="12.75" customHeight="1">
      <c r="H15" s="10"/>
      <c r="I15" s="10"/>
      <c r="J15" s="1"/>
      <c r="K15" s="1"/>
      <c r="T15" s="1"/>
      <c r="U15" s="1"/>
      <c r="V15" s="1"/>
      <c r="W15" s="1"/>
      <c r="X15" s="1"/>
      <c r="Y15" s="1"/>
      <c r="Z15" s="1"/>
      <c r="AA15" s="1"/>
      <c r="AB15" s="1"/>
      <c r="AC15" s="1"/>
      <c r="AD15" s="1"/>
    </row>
    <row r="16" spans="1:30" ht="12.75" customHeight="1">
      <c r="G16" s="457" t="s">
        <v>2</v>
      </c>
      <c r="H16" s="458"/>
      <c r="I16" s="10"/>
      <c r="J16" s="11"/>
      <c r="T16" s="1"/>
      <c r="U16" s="1"/>
      <c r="V16" s="1"/>
      <c r="W16" s="1"/>
      <c r="X16" s="1"/>
      <c r="Y16" s="1"/>
      <c r="Z16" s="1"/>
      <c r="AA16" s="1"/>
      <c r="AB16" s="1"/>
      <c r="AC16" s="1"/>
      <c r="AD16" s="1"/>
    </row>
    <row r="17" spans="1:30" ht="12.75" customHeight="1">
      <c r="G17" s="17" t="s">
        <v>3</v>
      </c>
      <c r="H17" s="18">
        <f>Bolts!I1177</f>
        <v>0</v>
      </c>
      <c r="I17" s="10"/>
      <c r="J17" s="19" t="s">
        <v>4</v>
      </c>
      <c r="K17" s="20"/>
      <c r="T17" s="1"/>
      <c r="U17" s="1"/>
      <c r="V17" s="1"/>
      <c r="W17" s="1"/>
      <c r="X17" s="1"/>
      <c r="Y17" s="1"/>
      <c r="Z17" s="1"/>
      <c r="AA17" s="1"/>
      <c r="AB17" s="1"/>
      <c r="AC17" s="1"/>
      <c r="AD17" s="1"/>
    </row>
    <row r="18" spans="1:30" ht="12.75" customHeight="1">
      <c r="G18" s="17" t="s">
        <v>5</v>
      </c>
      <c r="H18" s="18">
        <f>'Kilter Holds'!AC669+'Kilter Holds'!AC684+'Kilter Holds'!AC698+'Urban Plastix Holds'!V362+'Urban Plastix Holds'!V377+'Urban Plastix Holds'!V391+SUM(Bolts!J1158:J1167)</f>
        <v>0</v>
      </c>
      <c r="I18" s="10"/>
      <c r="J18" s="21"/>
      <c r="K18" s="22"/>
      <c r="T18" s="1"/>
      <c r="U18" s="1"/>
      <c r="V18" s="1"/>
      <c r="W18" s="1"/>
      <c r="X18" s="1"/>
      <c r="Y18" s="1"/>
      <c r="Z18" s="1"/>
      <c r="AA18" s="1"/>
      <c r="AB18" s="1"/>
      <c r="AC18" s="1"/>
      <c r="AD18" s="1"/>
    </row>
    <row r="19" spans="1:30" ht="12.75" customHeight="1">
      <c r="G19" s="17" t="s">
        <v>6</v>
      </c>
      <c r="H19" s="18">
        <f>'Kilter Holds'!AC711+'Urban Plastix Holds'!V404</f>
        <v>0</v>
      </c>
      <c r="I19" s="10"/>
      <c r="J19" s="23" t="s">
        <v>7</v>
      </c>
      <c r="K19" s="24"/>
      <c r="T19" s="1"/>
      <c r="U19" s="1"/>
      <c r="V19" s="1"/>
      <c r="W19" s="1"/>
      <c r="X19" s="1"/>
      <c r="Y19" s="1"/>
      <c r="Z19" s="1"/>
      <c r="AA19" s="1"/>
      <c r="AB19" s="1"/>
      <c r="AC19" s="1"/>
      <c r="AD19" s="1"/>
    </row>
    <row r="20" spans="1:30" ht="12.75" customHeight="1">
      <c r="G20" s="17" t="s">
        <v>8</v>
      </c>
      <c r="H20" s="18">
        <f>'Kilter Holds'!AC675+'Urban Plastix Holds'!V368</f>
        <v>0</v>
      </c>
      <c r="I20" s="10"/>
      <c r="J20" s="23" t="s">
        <v>9</v>
      </c>
      <c r="K20" s="24"/>
      <c r="T20" s="1"/>
      <c r="U20" s="1"/>
      <c r="V20" s="1"/>
      <c r="W20" s="1"/>
      <c r="X20" s="1"/>
      <c r="Y20" s="1"/>
      <c r="Z20" s="1"/>
      <c r="AA20" s="1"/>
      <c r="AB20" s="1"/>
      <c r="AC20" s="1"/>
      <c r="AD20" s="1"/>
    </row>
    <row r="21" spans="1:30" ht="12.75" customHeight="1">
      <c r="G21" s="17" t="s">
        <v>10</v>
      </c>
      <c r="H21" s="18">
        <f>'Kilter Holds'!AC689+'Urban Plastix Holds'!V382</f>
        <v>0</v>
      </c>
      <c r="I21" s="10"/>
      <c r="J21" s="23"/>
      <c r="K21" s="24"/>
      <c r="P21" s="1"/>
      <c r="Q21" s="1"/>
      <c r="R21" s="1"/>
      <c r="S21" s="1"/>
      <c r="T21" s="1"/>
      <c r="U21" s="1"/>
      <c r="V21" s="1"/>
      <c r="W21" s="1"/>
      <c r="X21" s="1"/>
      <c r="Y21" s="1"/>
      <c r="Z21" s="1"/>
      <c r="AA21" s="1"/>
      <c r="AB21" s="1"/>
      <c r="AC21" s="1"/>
      <c r="AD21" s="1"/>
    </row>
    <row r="22" spans="1:30" ht="12.75" customHeight="1">
      <c r="G22" s="17" t="s">
        <v>11</v>
      </c>
      <c r="H22" s="18">
        <f>'Kilter Holds'!AC703+'Urban Plastix Holds'!V396</f>
        <v>0</v>
      </c>
      <c r="I22" s="10"/>
      <c r="J22" s="17" t="s">
        <v>12</v>
      </c>
      <c r="K22" s="25"/>
      <c r="P22" s="1"/>
      <c r="Q22" s="1"/>
      <c r="R22" s="1"/>
      <c r="S22" s="1"/>
      <c r="T22" s="1"/>
      <c r="U22" s="1"/>
      <c r="V22" s="1"/>
      <c r="W22" s="1"/>
      <c r="X22" s="1"/>
      <c r="Y22" s="1"/>
      <c r="Z22" s="1"/>
      <c r="AA22" s="1"/>
      <c r="AB22" s="1"/>
      <c r="AC22" s="1"/>
      <c r="AD22" s="1"/>
    </row>
    <row r="23" spans="1:30" ht="12.75" customHeight="1">
      <c r="A23" s="14"/>
      <c r="B23" s="14"/>
      <c r="G23" s="17" t="s">
        <v>13</v>
      </c>
      <c r="H23" s="18">
        <f>'Kilter Holds'!AC710+'Urban Plastix Holds'!V403</f>
        <v>0</v>
      </c>
      <c r="I23" s="1"/>
      <c r="J23" s="26" t="s">
        <v>14</v>
      </c>
      <c r="K23" s="25"/>
      <c r="L23" s="10"/>
      <c r="M23" s="11"/>
      <c r="N23" s="27"/>
      <c r="S23" s="1"/>
      <c r="T23" s="1"/>
      <c r="U23" s="1"/>
      <c r="V23" s="1"/>
      <c r="W23" s="1"/>
      <c r="X23" s="1"/>
      <c r="Y23" s="1"/>
      <c r="Z23" s="1"/>
      <c r="AA23" s="1"/>
      <c r="AB23" s="1"/>
      <c r="AC23" s="1"/>
      <c r="AD23" s="1"/>
    </row>
    <row r="24" spans="1:30" ht="12.75" customHeight="1">
      <c r="A24" s="14"/>
      <c r="B24" s="14"/>
      <c r="G24" s="28" t="s">
        <v>15</v>
      </c>
      <c r="H24" s="29">
        <f>SUM(H17:H23)</f>
        <v>0</v>
      </c>
      <c r="I24" s="10"/>
      <c r="J24" s="26"/>
      <c r="K24" s="25"/>
      <c r="L24" s="10"/>
      <c r="M24" s="11"/>
      <c r="N24" s="27"/>
      <c r="S24" s="1"/>
      <c r="T24" s="1"/>
      <c r="U24" s="1"/>
      <c r="V24" s="1"/>
      <c r="W24" s="1"/>
      <c r="X24" s="1"/>
      <c r="Y24" s="1"/>
      <c r="Z24" s="1"/>
      <c r="AA24" s="1"/>
      <c r="AB24" s="1"/>
      <c r="AC24" s="1"/>
      <c r="AD24" s="1"/>
    </row>
    <row r="25" spans="1:30" ht="12.75" customHeight="1">
      <c r="A25" s="10"/>
      <c r="B25" s="10"/>
      <c r="G25" s="16" t="s">
        <v>16</v>
      </c>
      <c r="H25" s="30"/>
      <c r="I25" s="10"/>
      <c r="J25" s="26" t="s">
        <v>17</v>
      </c>
      <c r="K25" s="25"/>
      <c r="L25" s="10"/>
      <c r="M25" s="11"/>
      <c r="N25" s="27"/>
      <c r="S25" s="1"/>
      <c r="T25" s="1"/>
      <c r="U25" s="1"/>
      <c r="V25" s="1"/>
      <c r="W25" s="1"/>
      <c r="X25" s="1"/>
      <c r="Y25" s="1"/>
      <c r="Z25" s="1"/>
      <c r="AA25" s="1"/>
      <c r="AB25" s="1"/>
      <c r="AC25" s="1"/>
      <c r="AD25" s="1"/>
    </row>
    <row r="26" spans="1:30" ht="12.75" customHeight="1">
      <c r="A26" s="10"/>
      <c r="B26" s="10"/>
      <c r="C26" s="10"/>
      <c r="D26" s="10"/>
      <c r="E26" s="10"/>
      <c r="F26" s="10"/>
      <c r="G26" s="17" t="s">
        <v>18</v>
      </c>
      <c r="H26" s="31">
        <f>Bolts!E1179</f>
        <v>0</v>
      </c>
      <c r="I26" s="10"/>
      <c r="J26" s="32" t="s">
        <v>19</v>
      </c>
      <c r="K26" s="33"/>
      <c r="L26" s="10"/>
      <c r="M26" s="11"/>
      <c r="N26" s="27"/>
      <c r="S26" s="1"/>
      <c r="T26" s="1"/>
      <c r="U26" s="1"/>
      <c r="V26" s="1"/>
      <c r="W26" s="1"/>
      <c r="X26" s="1"/>
      <c r="Y26" s="1"/>
      <c r="Z26" s="1"/>
      <c r="AA26" s="1"/>
      <c r="AB26" s="1"/>
      <c r="AC26" s="1"/>
      <c r="AD26" s="1"/>
    </row>
    <row r="27" spans="1:30" ht="12.75" customHeight="1">
      <c r="A27" s="10"/>
      <c r="B27" s="10"/>
      <c r="C27" s="10"/>
      <c r="D27" s="10"/>
      <c r="E27" s="10"/>
      <c r="F27" s="10"/>
      <c r="G27" s="17" t="s">
        <v>20</v>
      </c>
      <c r="H27" s="18">
        <f>Bolts!H1177-Bolts!I1177</f>
        <v>0</v>
      </c>
      <c r="I27" s="10"/>
      <c r="J27" s="10"/>
      <c r="K27" s="10"/>
      <c r="L27" s="10"/>
      <c r="M27" s="11"/>
      <c r="N27" s="27"/>
      <c r="S27" s="1"/>
      <c r="T27" s="1"/>
      <c r="U27" s="1"/>
      <c r="V27" s="1"/>
      <c r="W27" s="1"/>
      <c r="X27" s="1"/>
      <c r="Y27" s="1"/>
      <c r="Z27" s="1"/>
      <c r="AA27" s="1"/>
      <c r="AB27" s="1"/>
      <c r="AC27" s="1"/>
      <c r="AD27" s="1"/>
    </row>
    <row r="28" spans="1:30" ht="12.75" customHeight="1">
      <c r="A28" s="10"/>
      <c r="B28" s="10"/>
      <c r="C28" s="34"/>
      <c r="D28" s="34"/>
      <c r="E28" s="34"/>
      <c r="F28" s="34"/>
      <c r="G28" s="35" t="s">
        <v>21</v>
      </c>
      <c r="H28" s="36">
        <f>IFERROR(H17/Summary!K19,0)</f>
        <v>0</v>
      </c>
      <c r="I28" s="34"/>
      <c r="J28" s="34"/>
      <c r="K28" s="34"/>
      <c r="L28" s="10"/>
      <c r="M28" s="11"/>
      <c r="N28" s="27"/>
      <c r="S28" s="1"/>
      <c r="T28" s="1"/>
      <c r="U28" s="1"/>
      <c r="V28" s="1"/>
      <c r="W28" s="1"/>
      <c r="X28" s="1"/>
      <c r="Y28" s="1"/>
      <c r="Z28" s="1"/>
      <c r="AA28" s="1"/>
      <c r="AB28" s="1"/>
      <c r="AC28" s="1"/>
      <c r="AD28" s="1"/>
    </row>
    <row r="29" spans="1:30" ht="13.5" customHeight="1">
      <c r="A29" s="34"/>
      <c r="B29" s="34"/>
    </row>
    <row r="30" spans="1:30" ht="13.5" customHeight="1"/>
    <row r="31" spans="1:30" ht="30" customHeight="1">
      <c r="A31" s="459" t="s">
        <v>22</v>
      </c>
      <c r="B31" s="460"/>
      <c r="C31" s="461"/>
      <c r="D31" s="37"/>
      <c r="E31" s="37"/>
      <c r="F31" s="37"/>
      <c r="G31" s="37"/>
      <c r="H31" s="37"/>
      <c r="L31" s="37"/>
      <c r="M31" s="37"/>
      <c r="N31" s="37"/>
      <c r="O31" s="37"/>
      <c r="P31" s="37"/>
      <c r="Q31" s="37"/>
      <c r="R31" s="37"/>
      <c r="S31" s="37"/>
      <c r="T31" s="37"/>
      <c r="U31" s="37"/>
      <c r="V31" s="37"/>
      <c r="W31" s="37"/>
      <c r="X31" s="37"/>
      <c r="Y31" s="37"/>
      <c r="Z31" s="37"/>
      <c r="AA31" s="37"/>
      <c r="AB31" s="37"/>
      <c r="AC31" s="37"/>
      <c r="AD31" s="37"/>
    </row>
    <row r="32" spans="1:30" ht="13.5" customHeight="1">
      <c r="A32" s="38"/>
      <c r="B32" s="38"/>
      <c r="C32" s="38"/>
      <c r="D32" s="1"/>
      <c r="I32" s="37"/>
      <c r="J32" s="37"/>
      <c r="K32" s="37"/>
    </row>
    <row r="33" spans="1:4" ht="13.5" customHeight="1">
      <c r="A33" s="1"/>
      <c r="B33" s="1"/>
      <c r="C33" s="1"/>
      <c r="D33" s="1"/>
    </row>
    <row r="34" spans="1:4" ht="16.5" customHeight="1">
      <c r="A34" s="1"/>
      <c r="B34" s="1"/>
      <c r="C34" s="1"/>
      <c r="D34" s="1"/>
    </row>
    <row r="35" spans="1:4" ht="13.5" customHeight="1">
      <c r="A35" s="1"/>
      <c r="B35" s="1"/>
      <c r="C35" s="1"/>
      <c r="D35" s="1"/>
    </row>
    <row r="36" spans="1:4" ht="13.5" customHeight="1">
      <c r="A36" s="1"/>
      <c r="B36" s="1"/>
      <c r="C36" s="1"/>
      <c r="D36" s="1"/>
    </row>
    <row r="37" spans="1:4" ht="13.5" customHeight="1">
      <c r="A37" s="1"/>
      <c r="B37" s="1"/>
      <c r="C37" s="1"/>
      <c r="D37" s="1"/>
    </row>
    <row r="38" spans="1:4" ht="13.5" customHeight="1">
      <c r="A38" s="1"/>
      <c r="B38" s="1"/>
      <c r="C38" s="1"/>
      <c r="D38" s="1"/>
    </row>
    <row r="39" spans="1:4" ht="13.5" customHeight="1">
      <c r="A39" s="1"/>
      <c r="B39" s="1"/>
      <c r="C39" s="1"/>
      <c r="D39" s="1"/>
    </row>
    <row r="40" spans="1:4" ht="13.5" customHeight="1">
      <c r="A40" s="1"/>
      <c r="B40" s="1"/>
      <c r="C40" s="1"/>
      <c r="D40" s="1"/>
    </row>
    <row r="41" spans="1:4" ht="13.5" customHeight="1">
      <c r="A41" s="1"/>
      <c r="B41" s="1"/>
      <c r="C41" s="1"/>
      <c r="D41" s="1"/>
    </row>
    <row r="42" spans="1:4" ht="13.5" customHeight="1">
      <c r="A42" s="1"/>
      <c r="B42" s="1"/>
      <c r="C42" s="1"/>
      <c r="D42" s="1"/>
    </row>
    <row r="43" spans="1:4" ht="13.5" customHeight="1">
      <c r="A43" s="1"/>
      <c r="B43" s="1"/>
      <c r="C43" s="1"/>
      <c r="D43" s="1"/>
    </row>
    <row r="44" spans="1:4" ht="16.5" customHeight="1">
      <c r="A44" s="1"/>
      <c r="B44" s="1"/>
      <c r="C44" s="1"/>
      <c r="D44" s="1"/>
    </row>
    <row r="45" spans="1:4" ht="16.5" customHeight="1">
      <c r="A45" s="1"/>
      <c r="B45" s="1"/>
      <c r="C45" s="1"/>
      <c r="D45" s="1"/>
    </row>
    <row r="46" spans="1:4" ht="16.5" customHeight="1">
      <c r="A46" s="1"/>
      <c r="B46" s="1"/>
      <c r="C46" s="1"/>
      <c r="D46" s="1"/>
    </row>
    <row r="47" spans="1:4" ht="16.5" customHeight="1">
      <c r="A47" s="1"/>
      <c r="B47" s="1"/>
      <c r="C47" s="1"/>
      <c r="D47" s="1"/>
    </row>
    <row r="48" spans="1:4" ht="16.5" customHeight="1">
      <c r="A48" s="1"/>
      <c r="B48" s="1"/>
      <c r="C48" s="1"/>
      <c r="D48" s="1"/>
    </row>
    <row r="49" spans="1:4" ht="16.5" customHeight="1">
      <c r="A49" s="1"/>
      <c r="B49" s="1"/>
      <c r="C49" s="1"/>
      <c r="D49" s="1"/>
    </row>
    <row r="50" spans="1:4" ht="16.5" customHeight="1">
      <c r="A50" s="1"/>
      <c r="B50" s="1"/>
      <c r="C50" s="1"/>
      <c r="D50" s="1"/>
    </row>
    <row r="51" spans="1:4" ht="16.5" customHeight="1">
      <c r="A51" s="1"/>
      <c r="B51" s="1"/>
      <c r="C51" s="1"/>
      <c r="D51" s="1"/>
    </row>
    <row r="52" spans="1:4" ht="16.5" customHeight="1">
      <c r="A52" s="1"/>
      <c r="B52" s="1"/>
      <c r="C52" s="1"/>
      <c r="D52" s="1"/>
    </row>
    <row r="53" spans="1:4" ht="16.5" customHeight="1">
      <c r="A53" s="1"/>
      <c r="B53" s="1"/>
      <c r="C53" s="1"/>
      <c r="D53" s="1"/>
    </row>
    <row r="54" spans="1:4" ht="16.5" customHeight="1">
      <c r="A54" s="1"/>
      <c r="B54" s="1"/>
      <c r="C54" s="1"/>
      <c r="D54" s="1"/>
    </row>
    <row r="55" spans="1:4" ht="16.5" customHeight="1">
      <c r="A55" s="1"/>
      <c r="B55" s="1"/>
      <c r="C55" s="1"/>
      <c r="D55" s="1"/>
    </row>
    <row r="56" spans="1:4" ht="16.5" customHeight="1">
      <c r="A56" s="1"/>
      <c r="B56" s="1"/>
      <c r="C56" s="1"/>
      <c r="D56" s="1"/>
    </row>
    <row r="57" spans="1:4" ht="16.5" customHeight="1">
      <c r="A57" s="1"/>
      <c r="B57" s="1"/>
      <c r="C57" s="1"/>
      <c r="D57" s="1"/>
    </row>
    <row r="58" spans="1:4" ht="16.5" customHeight="1">
      <c r="A58" s="1"/>
      <c r="B58" s="1"/>
      <c r="C58" s="1"/>
      <c r="D58" s="1"/>
    </row>
    <row r="59" spans="1:4" ht="16.5" customHeight="1">
      <c r="A59" s="1"/>
      <c r="B59" s="1"/>
      <c r="C59" s="1"/>
      <c r="D59" s="1"/>
    </row>
    <row r="60" spans="1:4" ht="16.5" customHeight="1">
      <c r="A60" s="1"/>
      <c r="B60" s="1"/>
      <c r="C60" s="1"/>
      <c r="D60" s="1"/>
    </row>
    <row r="61" spans="1:4" ht="16.5" customHeight="1">
      <c r="A61" s="1"/>
      <c r="B61" s="1"/>
      <c r="C61" s="1"/>
      <c r="D61" s="1"/>
    </row>
    <row r="62" spans="1:4" ht="16.5" customHeight="1">
      <c r="A62" s="1"/>
      <c r="B62" s="1"/>
      <c r="C62" s="1"/>
      <c r="D62" s="1"/>
    </row>
    <row r="63" spans="1:4" ht="16.5" customHeight="1">
      <c r="A63" s="1"/>
      <c r="B63" s="1"/>
      <c r="C63" s="1"/>
      <c r="D63" s="1"/>
    </row>
    <row r="64" spans="1:4" ht="16.5" customHeight="1">
      <c r="A64" s="1"/>
      <c r="B64" s="1"/>
      <c r="C64" s="1"/>
      <c r="D64" s="1"/>
    </row>
    <row r="65" spans="1:4" ht="16.5" customHeight="1">
      <c r="A65" s="1"/>
      <c r="B65" s="1"/>
      <c r="C65" s="1"/>
      <c r="D65" s="1"/>
    </row>
    <row r="66" spans="1:4" ht="16.5" customHeight="1">
      <c r="A66" s="1"/>
      <c r="B66" s="1"/>
      <c r="C66" s="1"/>
      <c r="D66" s="1"/>
    </row>
    <row r="67" spans="1:4" ht="16.5" customHeight="1">
      <c r="A67" s="1"/>
      <c r="B67" s="1"/>
      <c r="C67" s="1"/>
      <c r="D67" s="1"/>
    </row>
    <row r="68" spans="1:4" ht="16.5" customHeight="1">
      <c r="A68" s="1"/>
      <c r="B68" s="1"/>
      <c r="C68" s="1"/>
      <c r="D68" s="1"/>
    </row>
    <row r="69" spans="1:4" ht="16.5" customHeight="1">
      <c r="A69" s="1"/>
      <c r="B69" s="1"/>
      <c r="C69" s="1"/>
      <c r="D69" s="1"/>
    </row>
    <row r="70" spans="1:4" ht="16.5" customHeight="1">
      <c r="A70" s="1"/>
      <c r="B70" s="1"/>
      <c r="C70" s="1"/>
      <c r="D70" s="1"/>
    </row>
    <row r="71" spans="1:4" ht="16.5" customHeight="1">
      <c r="A71" s="1"/>
      <c r="B71" s="1"/>
      <c r="C71" s="1"/>
      <c r="D71" s="1"/>
    </row>
    <row r="72" spans="1:4" ht="16.5" customHeight="1">
      <c r="A72" s="1"/>
      <c r="B72" s="1"/>
      <c r="C72" s="1"/>
      <c r="D72" s="1"/>
    </row>
    <row r="73" spans="1:4" ht="16.5" customHeight="1">
      <c r="A73" s="1"/>
      <c r="B73" s="1"/>
      <c r="C73" s="1"/>
      <c r="D73" s="1"/>
    </row>
    <row r="74" spans="1:4" ht="16.5" customHeight="1">
      <c r="A74" s="1"/>
      <c r="B74" s="1"/>
      <c r="C74" s="1"/>
      <c r="D74" s="1"/>
    </row>
    <row r="75" spans="1:4" ht="16.5" customHeight="1">
      <c r="A75" s="1"/>
      <c r="B75" s="1"/>
      <c r="C75" s="1"/>
      <c r="D75" s="1"/>
    </row>
    <row r="76" spans="1:4" ht="16.5" customHeight="1">
      <c r="A76" s="1"/>
      <c r="B76" s="1"/>
      <c r="C76" s="1"/>
      <c r="D76" s="1"/>
    </row>
    <row r="77" spans="1:4" ht="16.5" customHeight="1">
      <c r="A77" s="1"/>
      <c r="B77" s="1"/>
      <c r="C77" s="1"/>
      <c r="D77" s="1"/>
    </row>
    <row r="78" spans="1:4" ht="16.5" customHeight="1">
      <c r="A78" s="1"/>
      <c r="B78" s="1"/>
      <c r="C78" s="1"/>
      <c r="D78" s="1"/>
    </row>
    <row r="79" spans="1:4" ht="16.5" customHeight="1">
      <c r="A79" s="1"/>
      <c r="B79" s="1"/>
      <c r="C79" s="1"/>
      <c r="D79" s="1"/>
    </row>
    <row r="80" spans="1:4" ht="16.5" customHeight="1">
      <c r="A80" s="1"/>
      <c r="B80" s="1"/>
      <c r="C80" s="1"/>
    </row>
    <row r="81" spans="1:3" ht="16.5" customHeight="1">
      <c r="A81" s="1"/>
      <c r="B81" s="1"/>
      <c r="C81" s="1"/>
    </row>
    <row r="82" spans="1:3" ht="16.5" customHeight="1">
      <c r="A82" s="1"/>
      <c r="B82" s="1"/>
      <c r="C82" s="1"/>
    </row>
    <row r="83" spans="1:3" ht="16.5" customHeight="1">
      <c r="A83" s="1"/>
      <c r="B83" s="1"/>
      <c r="C83" s="1"/>
    </row>
    <row r="84" spans="1:3" ht="16.5" customHeight="1">
      <c r="A84" s="1"/>
      <c r="B84" s="1"/>
      <c r="C84" s="1"/>
    </row>
    <row r="85" spans="1:3" ht="16.5" customHeight="1">
      <c r="A85" s="1"/>
      <c r="B85" s="1"/>
      <c r="C85" s="1"/>
    </row>
    <row r="86" spans="1:3" ht="16.5" customHeight="1">
      <c r="A86" s="1"/>
      <c r="B86" s="1"/>
      <c r="C86" s="1"/>
    </row>
    <row r="87" spans="1:3" ht="16.5" customHeight="1">
      <c r="A87" s="1"/>
      <c r="B87" s="1"/>
      <c r="C87" s="1"/>
    </row>
    <row r="88" spans="1:3" ht="16.5" customHeight="1">
      <c r="A88" s="1"/>
      <c r="B88" s="1"/>
      <c r="C88" s="1"/>
    </row>
    <row r="89" spans="1:3" ht="16.5" customHeight="1">
      <c r="A89" s="1"/>
      <c r="B89" s="1"/>
      <c r="C89" s="1"/>
    </row>
    <row r="90" spans="1:3" ht="16.5" customHeight="1">
      <c r="A90" s="1"/>
      <c r="B90" s="1"/>
      <c r="C90" s="1"/>
    </row>
    <row r="91" spans="1:3" ht="16.5" customHeight="1">
      <c r="A91" s="1"/>
      <c r="B91" s="1"/>
      <c r="C91" s="1"/>
    </row>
    <row r="92" spans="1:3" ht="16.5" customHeight="1">
      <c r="A92" s="1"/>
      <c r="B92" s="1"/>
      <c r="C92" s="1"/>
    </row>
    <row r="93" spans="1:3" ht="16.5" customHeight="1">
      <c r="A93" s="1"/>
      <c r="B93" s="1"/>
      <c r="C93" s="1"/>
    </row>
    <row r="94" spans="1:3" ht="16.5" customHeight="1">
      <c r="A94" s="1"/>
      <c r="B94" s="1"/>
      <c r="C94" s="1"/>
    </row>
    <row r="95" spans="1:3" ht="16.5" customHeight="1">
      <c r="A95" s="1"/>
      <c r="B95" s="1"/>
      <c r="C95" s="1"/>
    </row>
    <row r="96" spans="1:3" ht="16.5" customHeight="1">
      <c r="A96" s="1"/>
      <c r="B96" s="1"/>
      <c r="C96" s="1"/>
    </row>
    <row r="97" spans="1:3" ht="16.5" customHeight="1">
      <c r="A97" s="1"/>
      <c r="B97" s="1"/>
      <c r="C97" s="1"/>
    </row>
    <row r="98" spans="1:3" ht="16.5" customHeight="1">
      <c r="A98" s="1"/>
      <c r="B98" s="1"/>
      <c r="C98" s="1"/>
    </row>
    <row r="99" spans="1:3" ht="16.5" customHeight="1">
      <c r="A99" s="1"/>
      <c r="B99" s="1"/>
      <c r="C99" s="1"/>
    </row>
    <row r="100" spans="1:3" ht="16.5" customHeight="1">
      <c r="A100" s="1"/>
      <c r="B100" s="1"/>
      <c r="C100" s="1"/>
    </row>
    <row r="101" spans="1:3" ht="16.5" customHeight="1">
      <c r="A101" s="1"/>
      <c r="B101" s="1"/>
      <c r="C101" s="1"/>
    </row>
    <row r="102" spans="1:3" ht="16.5" customHeight="1">
      <c r="A102" s="1"/>
      <c r="B102" s="1"/>
      <c r="C102" s="1"/>
    </row>
    <row r="103" spans="1:3" ht="16.5" customHeight="1">
      <c r="A103" s="1"/>
      <c r="B103" s="1"/>
      <c r="C103" s="1"/>
    </row>
    <row r="104" spans="1:3" ht="13.5" customHeight="1">
      <c r="A104" s="1"/>
      <c r="B104" s="1"/>
      <c r="C104" s="1"/>
    </row>
    <row r="105" spans="1:3" ht="13.5" customHeight="1">
      <c r="A105" s="1"/>
      <c r="B105" s="1"/>
      <c r="C105" s="1"/>
    </row>
    <row r="106" spans="1:3" ht="13.5" customHeight="1">
      <c r="A106" s="1"/>
      <c r="B106" s="1"/>
      <c r="C106" s="1"/>
    </row>
    <row r="107" spans="1:3" ht="13.5" customHeight="1">
      <c r="A107" s="1"/>
      <c r="B107" s="1"/>
      <c r="C107" s="1"/>
    </row>
    <row r="108" spans="1:3" ht="13.5" customHeight="1">
      <c r="A108" s="1"/>
      <c r="B108" s="1"/>
      <c r="C108" s="1"/>
    </row>
    <row r="109" spans="1:3" ht="13.5" customHeight="1">
      <c r="A109" s="1"/>
      <c r="B109" s="1"/>
      <c r="C109" s="1"/>
    </row>
    <row r="110" spans="1:3" ht="13.5" customHeight="1">
      <c r="A110" s="1"/>
      <c r="B110" s="1"/>
      <c r="C110" s="1"/>
    </row>
    <row r="111" spans="1:3" ht="13.5" customHeight="1">
      <c r="A111" s="1"/>
      <c r="B111" s="1"/>
      <c r="C111" s="1"/>
    </row>
    <row r="112" spans="1:3" ht="13.5" customHeight="1">
      <c r="A112" s="1"/>
      <c r="B112" s="1"/>
      <c r="C112" s="1"/>
    </row>
    <row r="113" spans="1:3" ht="13.5" customHeight="1">
      <c r="A113" s="1"/>
      <c r="B113" s="1"/>
      <c r="C113" s="1"/>
    </row>
    <row r="114" spans="1:3" ht="13.5" customHeight="1">
      <c r="A114" s="1"/>
      <c r="B114" s="1"/>
      <c r="C114" s="1"/>
    </row>
    <row r="115" spans="1:3" ht="13.5" customHeight="1">
      <c r="A115" s="1"/>
      <c r="B115" s="1"/>
      <c r="C115" s="1"/>
    </row>
    <row r="116" spans="1:3" ht="13.5" customHeight="1">
      <c r="A116" s="1"/>
      <c r="B116" s="1"/>
      <c r="C116" s="1"/>
    </row>
    <row r="117" spans="1:3" ht="13.5" customHeight="1">
      <c r="A117" s="1"/>
      <c r="B117" s="1"/>
      <c r="C117" s="1"/>
    </row>
    <row r="118" spans="1:3" ht="13.5" customHeight="1">
      <c r="A118" s="1"/>
      <c r="B118" s="1"/>
      <c r="C118" s="1"/>
    </row>
    <row r="119" spans="1:3" ht="13.5" customHeight="1">
      <c r="A119" s="1"/>
      <c r="B119" s="1"/>
      <c r="C119" s="1"/>
    </row>
    <row r="120" spans="1:3" ht="13.5" customHeight="1">
      <c r="A120" s="1"/>
      <c r="B120" s="1"/>
      <c r="C120" s="1"/>
    </row>
    <row r="121" spans="1:3" ht="13.5" customHeight="1">
      <c r="A121" s="1"/>
      <c r="B121" s="1"/>
      <c r="C121" s="1"/>
    </row>
    <row r="122" spans="1:3" ht="13.5" customHeight="1">
      <c r="A122" s="1"/>
      <c r="B122" s="1"/>
      <c r="C122" s="1"/>
    </row>
    <row r="123" spans="1:3" ht="13.5" customHeight="1">
      <c r="A123" s="1"/>
      <c r="B123" s="1"/>
      <c r="C123" s="1"/>
    </row>
    <row r="124" spans="1:3" ht="13.5" customHeight="1">
      <c r="A124" s="1"/>
      <c r="B124" s="1"/>
      <c r="C124" s="1"/>
    </row>
    <row r="125" spans="1:3" ht="13.5" customHeight="1">
      <c r="A125" s="1"/>
      <c r="B125" s="1"/>
      <c r="C125" s="1"/>
    </row>
    <row r="126" spans="1:3" ht="13.5" customHeight="1">
      <c r="A126" s="1"/>
      <c r="B126" s="1"/>
      <c r="C126" s="1"/>
    </row>
    <row r="127" spans="1:3" ht="13.5" customHeight="1">
      <c r="A127" s="1"/>
      <c r="B127" s="1"/>
      <c r="C127" s="1"/>
    </row>
    <row r="128" spans="1:3" ht="13.5" customHeight="1">
      <c r="A128" s="1"/>
      <c r="B128" s="1"/>
      <c r="C128" s="1"/>
    </row>
    <row r="129" spans="1:3" ht="13.5" customHeight="1">
      <c r="A129" s="1"/>
      <c r="B129" s="1"/>
      <c r="C129" s="1"/>
    </row>
    <row r="130" spans="1:3" ht="13.5" customHeight="1"/>
    <row r="131" spans="1:3" ht="13.5" customHeight="1"/>
    <row r="132" spans="1:3" ht="13.5" customHeight="1"/>
    <row r="133" spans="1:3" ht="13.5" customHeight="1"/>
    <row r="134" spans="1:3" ht="13.5" customHeight="1"/>
    <row r="135" spans="1:3" ht="13.5" customHeight="1"/>
    <row r="136" spans="1:3" ht="13.5" customHeight="1"/>
    <row r="137" spans="1:3" ht="13.5" customHeight="1"/>
    <row r="138" spans="1:3" ht="13.5" customHeight="1"/>
    <row r="139" spans="1:3" ht="13.5" customHeight="1"/>
    <row r="140" spans="1:3" ht="13.5" customHeight="1"/>
    <row r="141" spans="1:3" ht="13.5" customHeight="1"/>
    <row r="142" spans="1:3" ht="13.5" customHeight="1"/>
    <row r="143" spans="1:3" ht="13.5" customHeight="1"/>
    <row r="144" spans="1:3"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4">
    <mergeCell ref="A1:H1"/>
    <mergeCell ref="A2:H2"/>
    <mergeCell ref="G16:H16"/>
    <mergeCell ref="A31:C31"/>
  </mergeCells>
  <hyperlinks>
    <hyperlink ref="J26" r:id="rId1" xr:uid="{00000000-0004-0000-0000-000000000000}"/>
    <hyperlink ref="A31" r:id="rId2" xr:uid="{00000000-0004-0000-0000-000001000000}"/>
  </hyperlinks>
  <pageMargins left="0.7" right="0.7" top="0.75" bottom="0.75" header="0" footer="0"/>
  <pageSetup orientation="landscape"/>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2341"/>
  <sheetViews>
    <sheetView workbookViewId="0">
      <pane xSplit="2" topLeftCell="C1" activePane="topRight" state="frozen"/>
      <selection pane="topRight" activeCell="D2" sqref="D2"/>
    </sheetView>
  </sheetViews>
  <sheetFormatPr baseColWidth="10" defaultColWidth="11.1640625" defaultRowHeight="15" customHeight="1"/>
  <cols>
    <col min="1" max="1" width="10.1640625" hidden="1" customWidth="1"/>
    <col min="2" max="2" width="13.83203125" customWidth="1"/>
    <col min="3" max="3" width="44" customWidth="1"/>
    <col min="4" max="4" width="10.1640625" customWidth="1"/>
    <col min="5" max="5" width="8" customWidth="1"/>
    <col min="6" max="7" width="9" customWidth="1"/>
    <col min="8" max="8" width="12.1640625" customWidth="1"/>
    <col min="9" max="9" width="8.6640625" customWidth="1"/>
    <col min="10" max="10" width="6.6640625" customWidth="1"/>
    <col min="11" max="11" width="8.83203125" customWidth="1"/>
    <col min="12" max="13" width="13.33203125" customWidth="1"/>
    <col min="14" max="14" width="11.6640625" customWidth="1"/>
    <col min="15" max="17" width="8.83203125" customWidth="1"/>
    <col min="18" max="18" width="11.33203125" customWidth="1"/>
    <col min="19" max="19" width="8.83203125" customWidth="1"/>
  </cols>
  <sheetData>
    <row r="1" spans="2:19" ht="13.5" customHeight="1">
      <c r="B1" s="1" t="s">
        <v>129</v>
      </c>
      <c r="C1" s="1" t="s">
        <v>2365</v>
      </c>
      <c r="D1" s="1" t="s">
        <v>2366</v>
      </c>
      <c r="E1" s="273" t="s">
        <v>2367</v>
      </c>
      <c r="F1" s="274" t="s">
        <v>2295</v>
      </c>
      <c r="G1" s="274" t="s">
        <v>2368</v>
      </c>
      <c r="H1" s="274" t="s">
        <v>3263</v>
      </c>
      <c r="I1" s="1" t="s">
        <v>2370</v>
      </c>
      <c r="J1" s="1" t="s">
        <v>2371</v>
      </c>
      <c r="K1" s="274" t="s">
        <v>2306</v>
      </c>
      <c r="M1" s="404" t="s">
        <v>2372</v>
      </c>
      <c r="N1" s="405" t="e">
        <f ca="1">SUM(G2:G1666)</f>
        <v>#NAME?</v>
      </c>
      <c r="R1" s="1" t="s">
        <v>2373</v>
      </c>
      <c r="S1" s="1" t="s">
        <v>2374</v>
      </c>
    </row>
    <row r="2" spans="2:19" ht="13.5" customHeight="1">
      <c r="B2" s="209" t="s">
        <v>2122</v>
      </c>
      <c r="C2" s="209" t="s">
        <v>3264</v>
      </c>
      <c r="D2" s="406" t="str">
        <f>'Kilter Holds'!T36</f>
        <v>11-12</v>
      </c>
      <c r="E2" s="273" t="e">
        <f ca="1">_xludf.IFNA(VLOOKUP('Comp X - Kilter'!B2,'Kilter Holds'!$P$37:$AB$662,5,0),0)</f>
        <v>#NAME?</v>
      </c>
      <c r="F2" s="274"/>
      <c r="G2" s="274" t="e">
        <f t="shared" ref="G2:G256" ca="1" si="0">E2*F2</f>
        <v>#NAME?</v>
      </c>
      <c r="H2" s="274">
        <f t="shared" ref="H2:H256" si="1">IF($S$11="Y",G2*0.15,0)</f>
        <v>0</v>
      </c>
      <c r="K2" s="274"/>
      <c r="M2" s="17" t="s">
        <v>1251</v>
      </c>
      <c r="N2" s="407">
        <v>0</v>
      </c>
      <c r="R2" s="406" t="str">
        <f>'Kilter Holds'!T36</f>
        <v>11-12</v>
      </c>
      <c r="S2" s="1" t="s">
        <v>2376</v>
      </c>
    </row>
    <row r="3" spans="2:19" ht="13.5" customHeight="1">
      <c r="B3" s="209" t="s">
        <v>2122</v>
      </c>
      <c r="C3" s="209" t="s">
        <v>3264</v>
      </c>
      <c r="D3" s="408" t="str">
        <f>'Kilter Holds'!U36</f>
        <v>14-01</v>
      </c>
      <c r="E3" s="273" t="e">
        <f ca="1">_xludf.IFNA(VLOOKUP('Comp X - Kilter'!B3,'Kilter Holds'!$P$37:$AB$662,6,0),0)</f>
        <v>#NAME?</v>
      </c>
      <c r="F3" s="274"/>
      <c r="G3" s="274" t="e">
        <f t="shared" ca="1" si="0"/>
        <v>#NAME?</v>
      </c>
      <c r="H3" s="274">
        <f t="shared" si="1"/>
        <v>0</v>
      </c>
      <c r="K3" s="274"/>
      <c r="M3" s="17" t="s">
        <v>3263</v>
      </c>
      <c r="N3" s="407">
        <f>SUM(H2:H1666)</f>
        <v>0</v>
      </c>
      <c r="R3" s="408" t="str">
        <f>'Kilter Holds'!U36</f>
        <v>14-01</v>
      </c>
      <c r="S3" s="1" t="s">
        <v>2376</v>
      </c>
    </row>
    <row r="4" spans="2:19" ht="13.5" customHeight="1">
      <c r="B4" s="209" t="s">
        <v>2122</v>
      </c>
      <c r="C4" s="209" t="s">
        <v>3264</v>
      </c>
      <c r="D4" s="409" t="str">
        <f>'Kilter Holds'!V36</f>
        <v>15-12</v>
      </c>
      <c r="E4" s="273" t="e">
        <f ca="1">_xludf.IFNA(VLOOKUP('Comp X - Kilter'!B4,'Kilter Holds'!$P$37:$AB$662,7,0),0)</f>
        <v>#NAME?</v>
      </c>
      <c r="F4" s="274"/>
      <c r="G4" s="274" t="e">
        <f t="shared" ca="1" si="0"/>
        <v>#NAME?</v>
      </c>
      <c r="H4" s="274">
        <f t="shared" si="1"/>
        <v>0</v>
      </c>
      <c r="K4" s="274"/>
      <c r="M4" s="17" t="s">
        <v>2377</v>
      </c>
      <c r="N4" s="407">
        <v>0</v>
      </c>
      <c r="R4" s="409" t="str">
        <f>'Kilter Holds'!V36</f>
        <v>15-12</v>
      </c>
      <c r="S4" s="1" t="s">
        <v>2376</v>
      </c>
    </row>
    <row r="5" spans="2:19" ht="13.5" customHeight="1">
      <c r="B5" s="209" t="s">
        <v>2122</v>
      </c>
      <c r="C5" s="209" t="s">
        <v>3264</v>
      </c>
      <c r="D5" s="410" t="str">
        <f>'Kilter Holds'!W36</f>
        <v>16-16</v>
      </c>
      <c r="E5" s="273" t="e">
        <f ca="1">_xludf.IFNA(VLOOKUP('Comp X - Kilter'!B5,'Kilter Holds'!$P$37:$AB$662,8,0),0)</f>
        <v>#NAME?</v>
      </c>
      <c r="F5" s="274"/>
      <c r="G5" s="274" t="e">
        <f t="shared" ca="1" si="0"/>
        <v>#NAME?</v>
      </c>
      <c r="H5" s="274">
        <f t="shared" si="1"/>
        <v>0</v>
      </c>
      <c r="K5" s="274"/>
      <c r="M5" s="17" t="s">
        <v>6</v>
      </c>
      <c r="N5" s="407">
        <f>'Kilter Holds'!AC688</f>
        <v>0</v>
      </c>
      <c r="R5" s="410" t="str">
        <f>'Kilter Holds'!W36</f>
        <v>16-16</v>
      </c>
      <c r="S5" s="1" t="s">
        <v>2376</v>
      </c>
    </row>
    <row r="6" spans="2:19" ht="13.5" customHeight="1">
      <c r="B6" s="209" t="s">
        <v>2122</v>
      </c>
      <c r="C6" s="209" t="s">
        <v>3264</v>
      </c>
      <c r="D6" s="411" t="str">
        <f>'Kilter Holds'!X36</f>
        <v>13-01</v>
      </c>
      <c r="E6" s="273" t="e">
        <f ca="1">_xludf.IFNA(VLOOKUP('Comp X - Kilter'!B6,'Kilter Holds'!$P$37:$AB$662,9,0),0)</f>
        <v>#NAME?</v>
      </c>
      <c r="F6" s="274"/>
      <c r="G6" s="274" t="e">
        <f t="shared" ca="1" si="0"/>
        <v>#NAME?</v>
      </c>
      <c r="H6" s="274">
        <f t="shared" si="1"/>
        <v>0</v>
      </c>
      <c r="K6" s="274"/>
      <c r="M6" s="17" t="s">
        <v>2378</v>
      </c>
      <c r="N6" s="407">
        <f>'Kilter Holds'!AC689</f>
        <v>0</v>
      </c>
      <c r="R6" s="411" t="str">
        <f>'Kilter Holds'!X36</f>
        <v>13-01</v>
      </c>
      <c r="S6" s="1" t="s">
        <v>2376</v>
      </c>
    </row>
    <row r="7" spans="2:19" ht="13.5" customHeight="1">
      <c r="B7" s="209" t="s">
        <v>2122</v>
      </c>
      <c r="C7" s="209" t="s">
        <v>3264</v>
      </c>
      <c r="D7" s="413" t="str">
        <f>'Kilter Holds'!Y36</f>
        <v>07-13</v>
      </c>
      <c r="E7" s="273" t="e">
        <f ca="1">_xludf.IFNA(VLOOKUP('Comp X - Kilter'!B7,'Kilter Holds'!$P$37:$AB$662,10,0),0)</f>
        <v>#NAME?</v>
      </c>
      <c r="F7" s="274"/>
      <c r="G7" s="274" t="e">
        <f t="shared" ca="1" si="0"/>
        <v>#NAME?</v>
      </c>
      <c r="H7" s="274">
        <f t="shared" si="1"/>
        <v>0</v>
      </c>
      <c r="K7" s="274"/>
      <c r="M7" s="35" t="s">
        <v>15</v>
      </c>
      <c r="N7" s="412" t="e">
        <f ca="1">SUM(N1:N6)</f>
        <v>#NAME?</v>
      </c>
      <c r="R7" s="413" t="str">
        <f>'Kilter Holds'!Y36</f>
        <v>07-13</v>
      </c>
      <c r="S7" s="1" t="s">
        <v>2376</v>
      </c>
    </row>
    <row r="8" spans="2:19" ht="13.5" customHeight="1">
      <c r="B8" s="209" t="s">
        <v>2122</v>
      </c>
      <c r="C8" s="209" t="s">
        <v>3264</v>
      </c>
      <c r="D8" s="414" t="str">
        <f>'Kilter Holds'!Z36</f>
        <v>11-26</v>
      </c>
      <c r="E8" s="273" t="e">
        <f ca="1">_xludf.IFNA(VLOOKUP('Comp X - Kilter'!B8,'Kilter Holds'!$P$37:$AB$662,11,0),0)</f>
        <v>#NAME?</v>
      </c>
      <c r="F8" s="274"/>
      <c r="G8" s="274" t="e">
        <f t="shared" ca="1" si="0"/>
        <v>#NAME?</v>
      </c>
      <c r="H8" s="274">
        <f t="shared" si="1"/>
        <v>0</v>
      </c>
      <c r="K8" s="274"/>
      <c r="R8" s="414" t="str">
        <f>'Kilter Holds'!Z36</f>
        <v>11-26</v>
      </c>
      <c r="S8" s="1" t="s">
        <v>2376</v>
      </c>
    </row>
    <row r="9" spans="2:19" ht="13.5" customHeight="1">
      <c r="B9" s="209" t="s">
        <v>2122</v>
      </c>
      <c r="C9" s="209" t="s">
        <v>3264</v>
      </c>
      <c r="D9" s="415" t="str">
        <f>'Kilter Holds'!AA36</f>
        <v>18-01</v>
      </c>
      <c r="E9" s="273" t="e">
        <f ca="1">_xludf.IFNA(VLOOKUP('Comp X - Kilter'!B9,'Kilter Holds'!$P$37:$AB$662,12,0),0)</f>
        <v>#NAME?</v>
      </c>
      <c r="F9" s="274"/>
      <c r="G9" s="274" t="e">
        <f t="shared" ca="1" si="0"/>
        <v>#NAME?</v>
      </c>
      <c r="H9" s="274">
        <f t="shared" si="1"/>
        <v>0</v>
      </c>
      <c r="K9" s="274"/>
      <c r="R9" s="415" t="str">
        <f>'Kilter Holds'!AA36</f>
        <v>18-01</v>
      </c>
      <c r="S9" s="1" t="s">
        <v>2376</v>
      </c>
    </row>
    <row r="10" spans="2:19" ht="13.5" customHeight="1">
      <c r="B10" s="209" t="s">
        <v>2122</v>
      </c>
      <c r="C10" s="209" t="s">
        <v>3264</v>
      </c>
      <c r="D10" s="416" t="str">
        <f>'Kilter Holds'!AB36</f>
        <v>Color Code</v>
      </c>
      <c r="E10" s="273" t="e">
        <f ca="1">_xludf.IFNA(VLOOKUP('Comp X - Kilter'!B10,'Kilter Holds'!$P$37:$AB$662,13,0),0)</f>
        <v>#NAME?</v>
      </c>
      <c r="F10" s="274"/>
      <c r="G10" s="274" t="e">
        <f t="shared" ca="1" si="0"/>
        <v>#NAME?</v>
      </c>
      <c r="H10" s="274">
        <f t="shared" si="1"/>
        <v>0</v>
      </c>
      <c r="K10" s="274"/>
      <c r="R10" s="416" t="str">
        <f>'Kilter Holds'!AB36</f>
        <v>Color Code</v>
      </c>
      <c r="S10" s="1" t="s">
        <v>2379</v>
      </c>
    </row>
    <row r="11" spans="2:19" ht="13.5" customHeight="1">
      <c r="B11" s="209" t="s">
        <v>2123</v>
      </c>
      <c r="C11" s="209" t="s">
        <v>3265</v>
      </c>
      <c r="D11" s="406" t="str">
        <f t="shared" ref="D11:D265" si="2">D2</f>
        <v>11-12</v>
      </c>
      <c r="E11" s="273" t="e">
        <f ca="1">_xludf.IFNA(VLOOKUP('Comp X - Kilter'!B11,'Kilter Holds'!$P$37:$AB$662,5,0),0)</f>
        <v>#NAME?</v>
      </c>
      <c r="F11" s="274"/>
      <c r="G11" s="274" t="e">
        <f t="shared" ca="1" si="0"/>
        <v>#NAME?</v>
      </c>
      <c r="H11" s="274">
        <f t="shared" si="1"/>
        <v>0</v>
      </c>
      <c r="K11" s="274"/>
      <c r="R11" s="1" t="s">
        <v>3263</v>
      </c>
      <c r="S11" s="1" t="s">
        <v>2376</v>
      </c>
    </row>
    <row r="12" spans="2:19" ht="13.5" customHeight="1">
      <c r="B12" s="209" t="s">
        <v>2123</v>
      </c>
      <c r="C12" s="209" t="s">
        <v>3265</v>
      </c>
      <c r="D12" s="408" t="str">
        <f t="shared" si="2"/>
        <v>14-01</v>
      </c>
      <c r="E12" s="273" t="e">
        <f ca="1">_xludf.IFNA(VLOOKUP('Comp X - Kilter'!B12,'Kilter Holds'!$P$37:$AB$662,6,0),0)</f>
        <v>#NAME?</v>
      </c>
      <c r="F12" s="274"/>
      <c r="G12" s="274" t="e">
        <f t="shared" ca="1" si="0"/>
        <v>#NAME?</v>
      </c>
      <c r="H12" s="274">
        <f t="shared" si="1"/>
        <v>0</v>
      </c>
      <c r="K12" s="274"/>
      <c r="S12" s="1"/>
    </row>
    <row r="13" spans="2:19" ht="13.5" customHeight="1">
      <c r="B13" s="209" t="s">
        <v>2123</v>
      </c>
      <c r="C13" s="209" t="s">
        <v>3265</v>
      </c>
      <c r="D13" s="409" t="str">
        <f t="shared" si="2"/>
        <v>15-12</v>
      </c>
      <c r="E13" s="273" t="e">
        <f ca="1">_xludf.IFNA(VLOOKUP('Comp X - Kilter'!B13,'Kilter Holds'!$P$37:$AB$662,7,0),0)</f>
        <v>#NAME?</v>
      </c>
      <c r="F13" s="274"/>
      <c r="G13" s="274" t="e">
        <f t="shared" ca="1" si="0"/>
        <v>#NAME?</v>
      </c>
      <c r="H13" s="274">
        <f t="shared" si="1"/>
        <v>0</v>
      </c>
      <c r="K13" s="274"/>
    </row>
    <row r="14" spans="2:19" ht="13.5" customHeight="1">
      <c r="B14" s="209" t="s">
        <v>2123</v>
      </c>
      <c r="C14" s="209" t="s">
        <v>3265</v>
      </c>
      <c r="D14" s="410" t="str">
        <f t="shared" si="2"/>
        <v>16-16</v>
      </c>
      <c r="E14" s="273" t="e">
        <f ca="1">_xludf.IFNA(VLOOKUP('Comp X - Kilter'!B14,'Kilter Holds'!$P$37:$AB$662,8,0),0)</f>
        <v>#NAME?</v>
      </c>
      <c r="F14" s="274"/>
      <c r="G14" s="274" t="e">
        <f t="shared" ca="1" si="0"/>
        <v>#NAME?</v>
      </c>
      <c r="H14" s="274">
        <f t="shared" si="1"/>
        <v>0</v>
      </c>
      <c r="K14" s="274"/>
    </row>
    <row r="15" spans="2:19" ht="13.5" customHeight="1">
      <c r="B15" s="209" t="s">
        <v>2123</v>
      </c>
      <c r="C15" s="209" t="s">
        <v>3265</v>
      </c>
      <c r="D15" s="411" t="str">
        <f t="shared" si="2"/>
        <v>13-01</v>
      </c>
      <c r="E15" s="273" t="e">
        <f ca="1">_xludf.IFNA(VLOOKUP('Comp X - Kilter'!B15,'Kilter Holds'!$P$37:$AB$662,9,0),0)</f>
        <v>#NAME?</v>
      </c>
      <c r="F15" s="274"/>
      <c r="G15" s="274" t="e">
        <f t="shared" ca="1" si="0"/>
        <v>#NAME?</v>
      </c>
      <c r="H15" s="274">
        <f t="shared" si="1"/>
        <v>0</v>
      </c>
      <c r="K15" s="274"/>
    </row>
    <row r="16" spans="2:19" ht="13.5" customHeight="1">
      <c r="B16" s="209" t="s">
        <v>2123</v>
      </c>
      <c r="C16" s="209" t="s">
        <v>3265</v>
      </c>
      <c r="D16" s="413" t="str">
        <f t="shared" si="2"/>
        <v>07-13</v>
      </c>
      <c r="E16" s="273" t="e">
        <f ca="1">_xludf.IFNA(VLOOKUP('Comp X - Kilter'!B16,'Kilter Holds'!$P$37:$AB$662,10,0),0)</f>
        <v>#NAME?</v>
      </c>
      <c r="F16" s="274"/>
      <c r="G16" s="274" t="e">
        <f t="shared" ca="1" si="0"/>
        <v>#NAME?</v>
      </c>
      <c r="H16" s="274">
        <f t="shared" si="1"/>
        <v>0</v>
      </c>
      <c r="K16" s="274"/>
    </row>
    <row r="17" spans="2:12" ht="13.5" customHeight="1">
      <c r="B17" s="209" t="s">
        <v>2123</v>
      </c>
      <c r="C17" s="209" t="s">
        <v>3265</v>
      </c>
      <c r="D17" s="414" t="str">
        <f t="shared" si="2"/>
        <v>11-26</v>
      </c>
      <c r="E17" s="273" t="e">
        <f ca="1">_xludf.IFNA(VLOOKUP('Comp X - Kilter'!B17,'Kilter Holds'!$P$37:$AB$662,11,0),0)</f>
        <v>#NAME?</v>
      </c>
      <c r="F17" s="274"/>
      <c r="G17" s="274" t="e">
        <f t="shared" ca="1" si="0"/>
        <v>#NAME?</v>
      </c>
      <c r="H17" s="274">
        <f t="shared" si="1"/>
        <v>0</v>
      </c>
      <c r="K17" s="274"/>
    </row>
    <row r="18" spans="2:12" ht="13.5" customHeight="1">
      <c r="B18" s="209" t="s">
        <v>2123</v>
      </c>
      <c r="C18" s="209" t="s">
        <v>3265</v>
      </c>
      <c r="D18" s="415" t="str">
        <f t="shared" si="2"/>
        <v>18-01</v>
      </c>
      <c r="E18" s="273" t="e">
        <f ca="1">_xludf.IFNA(VLOOKUP('Comp X - Kilter'!B18,'Kilter Holds'!$P$37:$AB$662,12,0),0)</f>
        <v>#NAME?</v>
      </c>
      <c r="F18" s="274"/>
      <c r="G18" s="274" t="e">
        <f t="shared" ca="1" si="0"/>
        <v>#NAME?</v>
      </c>
      <c r="H18" s="274">
        <f t="shared" si="1"/>
        <v>0</v>
      </c>
      <c r="K18" s="274"/>
    </row>
    <row r="19" spans="2:12" ht="13.5" customHeight="1">
      <c r="B19" s="209" t="s">
        <v>2123</v>
      </c>
      <c r="C19" s="209" t="s">
        <v>3265</v>
      </c>
      <c r="D19" s="416" t="str">
        <f t="shared" si="2"/>
        <v>Color Code</v>
      </c>
      <c r="E19" s="273" t="e">
        <f ca="1">_xludf.IFNA(VLOOKUP('Comp X - Kilter'!B19,'Kilter Holds'!$P$37:$AB$662,13,0),0)</f>
        <v>#NAME?</v>
      </c>
      <c r="F19" s="274"/>
      <c r="G19" s="274" t="e">
        <f t="shared" ca="1" si="0"/>
        <v>#NAME?</v>
      </c>
      <c r="H19" s="274">
        <f t="shared" si="1"/>
        <v>0</v>
      </c>
      <c r="K19" s="274"/>
    </row>
    <row r="20" spans="2:12" ht="13.5" customHeight="1">
      <c r="B20" s="209" t="s">
        <v>2124</v>
      </c>
      <c r="C20" s="209" t="s">
        <v>3266</v>
      </c>
      <c r="D20" s="406" t="str">
        <f t="shared" si="2"/>
        <v>11-12</v>
      </c>
      <c r="E20" s="273" t="e">
        <f ca="1">_xludf.IFNA(VLOOKUP('Comp X - Kilter'!B20,'Kilter Holds'!$P$37:$AB$662,5,0),0)</f>
        <v>#NAME?</v>
      </c>
      <c r="F20" s="274"/>
      <c r="G20" s="274" t="e">
        <f t="shared" ca="1" si="0"/>
        <v>#NAME?</v>
      </c>
      <c r="H20" s="274">
        <f t="shared" si="1"/>
        <v>0</v>
      </c>
      <c r="K20" s="274"/>
    </row>
    <row r="21" spans="2:12" ht="13.5" customHeight="1">
      <c r="B21" s="209" t="s">
        <v>2124</v>
      </c>
      <c r="C21" s="209" t="s">
        <v>3266</v>
      </c>
      <c r="D21" s="408" t="str">
        <f t="shared" si="2"/>
        <v>14-01</v>
      </c>
      <c r="E21" s="273" t="e">
        <f ca="1">_xludf.IFNA(VLOOKUP('Comp X - Kilter'!B21,'Kilter Holds'!$P$37:$AB$662,6,0),0)</f>
        <v>#NAME?</v>
      </c>
      <c r="F21" s="274"/>
      <c r="G21" s="274" t="e">
        <f t="shared" ca="1" si="0"/>
        <v>#NAME?</v>
      </c>
      <c r="H21" s="274">
        <f t="shared" si="1"/>
        <v>0</v>
      </c>
      <c r="K21" s="274"/>
    </row>
    <row r="22" spans="2:12" ht="13.5" customHeight="1">
      <c r="B22" s="209" t="s">
        <v>2124</v>
      </c>
      <c r="C22" s="209" t="s">
        <v>3266</v>
      </c>
      <c r="D22" s="409" t="str">
        <f t="shared" si="2"/>
        <v>15-12</v>
      </c>
      <c r="E22" s="273" t="e">
        <f ca="1">_xludf.IFNA(VLOOKUP('Comp X - Kilter'!B22,'Kilter Holds'!$P$37:$AB$662,7,0),0)</f>
        <v>#NAME?</v>
      </c>
      <c r="F22" s="274"/>
      <c r="G22" s="274" t="e">
        <f t="shared" ca="1" si="0"/>
        <v>#NAME?</v>
      </c>
      <c r="H22" s="274">
        <f t="shared" si="1"/>
        <v>0</v>
      </c>
      <c r="K22" s="274"/>
    </row>
    <row r="23" spans="2:12" ht="13.5" customHeight="1">
      <c r="B23" s="209" t="s">
        <v>2124</v>
      </c>
      <c r="C23" s="209" t="s">
        <v>3266</v>
      </c>
      <c r="D23" s="410" t="str">
        <f t="shared" si="2"/>
        <v>16-16</v>
      </c>
      <c r="E23" s="273" t="e">
        <f ca="1">_xludf.IFNA(VLOOKUP('Comp X - Kilter'!B23,'Kilter Holds'!$P$37:$AB$662,8,0),0)</f>
        <v>#NAME?</v>
      </c>
      <c r="F23" s="274"/>
      <c r="G23" s="274" t="e">
        <f t="shared" ca="1" si="0"/>
        <v>#NAME?</v>
      </c>
      <c r="H23" s="274">
        <f t="shared" si="1"/>
        <v>0</v>
      </c>
      <c r="K23" s="274"/>
    </row>
    <row r="24" spans="2:12" ht="13.5" customHeight="1">
      <c r="B24" s="209" t="s">
        <v>2124</v>
      </c>
      <c r="C24" s="209" t="s">
        <v>3266</v>
      </c>
      <c r="D24" s="411" t="str">
        <f t="shared" si="2"/>
        <v>13-01</v>
      </c>
      <c r="E24" s="273" t="e">
        <f ca="1">_xludf.IFNA(VLOOKUP('Comp X - Kilter'!B24,'Kilter Holds'!$P$37:$AB$662,9,0),0)</f>
        <v>#NAME?</v>
      </c>
      <c r="F24" s="274"/>
      <c r="G24" s="274" t="e">
        <f t="shared" ca="1" si="0"/>
        <v>#NAME?</v>
      </c>
      <c r="H24" s="274">
        <f t="shared" si="1"/>
        <v>0</v>
      </c>
      <c r="K24" s="274"/>
    </row>
    <row r="25" spans="2:12" ht="13.5" customHeight="1">
      <c r="B25" s="209" t="s">
        <v>2124</v>
      </c>
      <c r="C25" s="209" t="s">
        <v>3266</v>
      </c>
      <c r="D25" s="413" t="str">
        <f t="shared" si="2"/>
        <v>07-13</v>
      </c>
      <c r="E25" s="273" t="e">
        <f ca="1">_xludf.IFNA(VLOOKUP('Comp X - Kilter'!B25,'Kilter Holds'!$P$37:$AB$662,10,0),0)</f>
        <v>#NAME?</v>
      </c>
      <c r="F25" s="274"/>
      <c r="G25" s="274" t="e">
        <f t="shared" ca="1" si="0"/>
        <v>#NAME?</v>
      </c>
      <c r="H25" s="274">
        <f t="shared" si="1"/>
        <v>0</v>
      </c>
      <c r="K25" s="274"/>
    </row>
    <row r="26" spans="2:12" ht="13.5" customHeight="1">
      <c r="B26" s="209" t="s">
        <v>2124</v>
      </c>
      <c r="C26" s="209" t="s">
        <v>3266</v>
      </c>
      <c r="D26" s="414" t="str">
        <f t="shared" si="2"/>
        <v>11-26</v>
      </c>
      <c r="E26" s="273" t="e">
        <f ca="1">_xludf.IFNA(VLOOKUP('Comp X - Kilter'!B26,'Kilter Holds'!$P$37:$AB$662,11,0),0)</f>
        <v>#NAME?</v>
      </c>
      <c r="F26" s="274"/>
      <c r="G26" s="274" t="e">
        <f t="shared" ca="1" si="0"/>
        <v>#NAME?</v>
      </c>
      <c r="H26" s="274">
        <f t="shared" si="1"/>
        <v>0</v>
      </c>
      <c r="K26" s="274"/>
      <c r="L26" s="1"/>
    </row>
    <row r="27" spans="2:12" ht="13.5" customHeight="1">
      <c r="B27" s="209" t="s">
        <v>2124</v>
      </c>
      <c r="C27" s="209" t="s">
        <v>3266</v>
      </c>
      <c r="D27" s="415" t="str">
        <f t="shared" si="2"/>
        <v>18-01</v>
      </c>
      <c r="E27" s="273" t="e">
        <f ca="1">_xludf.IFNA(VLOOKUP('Comp X - Kilter'!B27,'Kilter Holds'!$P$37:$AB$662,12,0),0)</f>
        <v>#NAME?</v>
      </c>
      <c r="F27" s="274"/>
      <c r="G27" s="274" t="e">
        <f t="shared" ca="1" si="0"/>
        <v>#NAME?</v>
      </c>
      <c r="H27" s="274">
        <f t="shared" si="1"/>
        <v>0</v>
      </c>
      <c r="K27" s="274"/>
    </row>
    <row r="28" spans="2:12" ht="13.5" customHeight="1">
      <c r="B28" s="209" t="s">
        <v>2124</v>
      </c>
      <c r="C28" s="209" t="s">
        <v>3266</v>
      </c>
      <c r="D28" s="416" t="str">
        <f t="shared" si="2"/>
        <v>Color Code</v>
      </c>
      <c r="E28" s="273" t="e">
        <f ca="1">_xludf.IFNA(VLOOKUP('Comp X - Kilter'!B28,'Kilter Holds'!$P$37:$AB$662,13,0),0)</f>
        <v>#NAME?</v>
      </c>
      <c r="F28" s="274"/>
      <c r="G28" s="274" t="e">
        <f t="shared" ca="1" si="0"/>
        <v>#NAME?</v>
      </c>
      <c r="H28" s="274">
        <f t="shared" si="1"/>
        <v>0</v>
      </c>
      <c r="K28" s="274"/>
    </row>
    <row r="29" spans="2:12" ht="13.5" customHeight="1">
      <c r="B29" s="209" t="s">
        <v>2125</v>
      </c>
      <c r="C29" s="209" t="s">
        <v>3267</v>
      </c>
      <c r="D29" s="406" t="str">
        <f t="shared" si="2"/>
        <v>11-12</v>
      </c>
      <c r="E29" s="273" t="e">
        <f ca="1">_xludf.IFNA(VLOOKUP('Comp X - Kilter'!B29,'Kilter Holds'!$P$37:$AB$662,5,0),0)</f>
        <v>#NAME?</v>
      </c>
      <c r="F29" s="274"/>
      <c r="G29" s="274" t="e">
        <f t="shared" ca="1" si="0"/>
        <v>#NAME?</v>
      </c>
      <c r="H29" s="274">
        <f t="shared" si="1"/>
        <v>0</v>
      </c>
      <c r="K29" s="274"/>
    </row>
    <row r="30" spans="2:12" ht="13.5" customHeight="1">
      <c r="B30" s="209" t="s">
        <v>2125</v>
      </c>
      <c r="C30" s="209" t="s">
        <v>3267</v>
      </c>
      <c r="D30" s="408" t="str">
        <f t="shared" si="2"/>
        <v>14-01</v>
      </c>
      <c r="E30" s="273" t="e">
        <f ca="1">_xludf.IFNA(VLOOKUP('Comp X - Kilter'!B30,'Kilter Holds'!$P$37:$AB$662,6,0),0)</f>
        <v>#NAME?</v>
      </c>
      <c r="F30" s="274"/>
      <c r="G30" s="274" t="e">
        <f t="shared" ca="1" si="0"/>
        <v>#NAME?</v>
      </c>
      <c r="H30" s="274">
        <f t="shared" si="1"/>
        <v>0</v>
      </c>
      <c r="K30" s="274"/>
    </row>
    <row r="31" spans="2:12" ht="13.5" customHeight="1">
      <c r="B31" s="209" t="s">
        <v>2125</v>
      </c>
      <c r="C31" s="209" t="s">
        <v>3267</v>
      </c>
      <c r="D31" s="409" t="str">
        <f t="shared" si="2"/>
        <v>15-12</v>
      </c>
      <c r="E31" s="273" t="e">
        <f ca="1">_xludf.IFNA(VLOOKUP('Comp X - Kilter'!B31,'Kilter Holds'!$P$37:$AB$662,7,0),0)</f>
        <v>#NAME?</v>
      </c>
      <c r="F31" s="274"/>
      <c r="G31" s="274" t="e">
        <f t="shared" ca="1" si="0"/>
        <v>#NAME?</v>
      </c>
      <c r="H31" s="274">
        <f t="shared" si="1"/>
        <v>0</v>
      </c>
      <c r="K31" s="274"/>
    </row>
    <row r="32" spans="2:12" ht="13.5" customHeight="1">
      <c r="B32" s="209" t="s">
        <v>2125</v>
      </c>
      <c r="C32" s="209" t="s">
        <v>3267</v>
      </c>
      <c r="D32" s="410" t="str">
        <f t="shared" si="2"/>
        <v>16-16</v>
      </c>
      <c r="E32" s="273" t="e">
        <f ca="1">_xludf.IFNA(VLOOKUP('Comp X - Kilter'!B32,'Kilter Holds'!$P$37:$AB$662,8,0),0)</f>
        <v>#NAME?</v>
      </c>
      <c r="F32" s="274"/>
      <c r="G32" s="274" t="e">
        <f t="shared" ca="1" si="0"/>
        <v>#NAME?</v>
      </c>
      <c r="H32" s="274">
        <f t="shared" si="1"/>
        <v>0</v>
      </c>
      <c r="K32" s="274"/>
    </row>
    <row r="33" spans="2:11" ht="13.5" customHeight="1">
      <c r="B33" s="209" t="s">
        <v>2125</v>
      </c>
      <c r="C33" s="209" t="s">
        <v>3267</v>
      </c>
      <c r="D33" s="411" t="str">
        <f t="shared" si="2"/>
        <v>13-01</v>
      </c>
      <c r="E33" s="273" t="e">
        <f ca="1">_xludf.IFNA(VLOOKUP('Comp X - Kilter'!B33,'Kilter Holds'!$P$37:$AB$662,9,0),0)</f>
        <v>#NAME?</v>
      </c>
      <c r="F33" s="274"/>
      <c r="G33" s="274" t="e">
        <f t="shared" ca="1" si="0"/>
        <v>#NAME?</v>
      </c>
      <c r="H33" s="274">
        <f t="shared" si="1"/>
        <v>0</v>
      </c>
      <c r="K33" s="274"/>
    </row>
    <row r="34" spans="2:11" ht="13.5" customHeight="1">
      <c r="B34" s="209" t="s">
        <v>2125</v>
      </c>
      <c r="C34" s="209" t="s">
        <v>3267</v>
      </c>
      <c r="D34" s="413" t="str">
        <f t="shared" si="2"/>
        <v>07-13</v>
      </c>
      <c r="E34" s="273" t="e">
        <f ca="1">_xludf.IFNA(VLOOKUP('Comp X - Kilter'!B34,'Kilter Holds'!$P$37:$AB$662,10,0),0)</f>
        <v>#NAME?</v>
      </c>
      <c r="F34" s="274"/>
      <c r="G34" s="274" t="e">
        <f t="shared" ca="1" si="0"/>
        <v>#NAME?</v>
      </c>
      <c r="H34" s="274">
        <f t="shared" si="1"/>
        <v>0</v>
      </c>
      <c r="K34" s="274"/>
    </row>
    <row r="35" spans="2:11" ht="13.5" customHeight="1">
      <c r="B35" s="209" t="s">
        <v>2125</v>
      </c>
      <c r="C35" s="209" t="s">
        <v>3267</v>
      </c>
      <c r="D35" s="414" t="str">
        <f t="shared" si="2"/>
        <v>11-26</v>
      </c>
      <c r="E35" s="273" t="e">
        <f ca="1">_xludf.IFNA(VLOOKUP('Comp X - Kilter'!B35,'Kilter Holds'!$P$37:$AB$662,11,0),0)</f>
        <v>#NAME?</v>
      </c>
      <c r="F35" s="274"/>
      <c r="G35" s="274" t="e">
        <f t="shared" ca="1" si="0"/>
        <v>#NAME?</v>
      </c>
      <c r="H35" s="274">
        <f t="shared" si="1"/>
        <v>0</v>
      </c>
      <c r="K35" s="274"/>
    </row>
    <row r="36" spans="2:11" ht="13.5" customHeight="1">
      <c r="B36" s="209" t="s">
        <v>2125</v>
      </c>
      <c r="C36" s="209" t="s">
        <v>3267</v>
      </c>
      <c r="D36" s="415" t="str">
        <f t="shared" si="2"/>
        <v>18-01</v>
      </c>
      <c r="E36" s="273" t="e">
        <f ca="1">_xludf.IFNA(VLOOKUP('Comp X - Kilter'!B36,'Kilter Holds'!$P$37:$AB$662,12,0),0)</f>
        <v>#NAME?</v>
      </c>
      <c r="F36" s="274"/>
      <c r="G36" s="274" t="e">
        <f t="shared" ca="1" si="0"/>
        <v>#NAME?</v>
      </c>
      <c r="H36" s="274">
        <f t="shared" si="1"/>
        <v>0</v>
      </c>
      <c r="K36" s="274"/>
    </row>
    <row r="37" spans="2:11" ht="13.5" customHeight="1">
      <c r="B37" s="209" t="s">
        <v>2125</v>
      </c>
      <c r="C37" s="209" t="s">
        <v>3267</v>
      </c>
      <c r="D37" s="416" t="str">
        <f t="shared" si="2"/>
        <v>Color Code</v>
      </c>
      <c r="E37" s="273" t="e">
        <f ca="1">_xludf.IFNA(VLOOKUP('Comp X - Kilter'!B37,'Kilter Holds'!$P$37:$AB$662,13,0),0)</f>
        <v>#NAME?</v>
      </c>
      <c r="F37" s="274"/>
      <c r="G37" s="274" t="e">
        <f t="shared" ca="1" si="0"/>
        <v>#NAME?</v>
      </c>
      <c r="H37" s="274">
        <f t="shared" si="1"/>
        <v>0</v>
      </c>
      <c r="K37" s="274"/>
    </row>
    <row r="38" spans="2:11" ht="13.5" customHeight="1">
      <c r="B38" s="209" t="s">
        <v>2133</v>
      </c>
      <c r="C38" s="209" t="s">
        <v>3268</v>
      </c>
      <c r="D38" s="406" t="str">
        <f t="shared" si="2"/>
        <v>11-12</v>
      </c>
      <c r="E38" s="273" t="e">
        <f ca="1">_xludf.IFNA(VLOOKUP('Comp X - Kilter'!B38,'Kilter Holds'!$P$37:$AB$662,5,0),0)</f>
        <v>#NAME?</v>
      </c>
      <c r="F38" s="274"/>
      <c r="G38" s="274" t="e">
        <f t="shared" ca="1" si="0"/>
        <v>#NAME?</v>
      </c>
      <c r="H38" s="274">
        <f t="shared" si="1"/>
        <v>0</v>
      </c>
      <c r="K38" s="274"/>
    </row>
    <row r="39" spans="2:11" ht="13.5" customHeight="1">
      <c r="B39" s="209" t="s">
        <v>2133</v>
      </c>
      <c r="C39" s="209" t="s">
        <v>3268</v>
      </c>
      <c r="D39" s="408" t="str">
        <f t="shared" si="2"/>
        <v>14-01</v>
      </c>
      <c r="E39" s="273" t="e">
        <f ca="1">_xludf.IFNA(VLOOKUP('Comp X - Kilter'!B39,'Kilter Holds'!$P$37:$AB$662,6,0),0)</f>
        <v>#NAME?</v>
      </c>
      <c r="F39" s="274"/>
      <c r="G39" s="274" t="e">
        <f t="shared" ca="1" si="0"/>
        <v>#NAME?</v>
      </c>
      <c r="H39" s="274">
        <f t="shared" si="1"/>
        <v>0</v>
      </c>
      <c r="K39" s="274"/>
    </row>
    <row r="40" spans="2:11" ht="13.5" customHeight="1">
      <c r="B40" s="209" t="s">
        <v>2133</v>
      </c>
      <c r="C40" s="209" t="s">
        <v>3268</v>
      </c>
      <c r="D40" s="409" t="str">
        <f t="shared" si="2"/>
        <v>15-12</v>
      </c>
      <c r="E40" s="273" t="e">
        <f ca="1">_xludf.IFNA(VLOOKUP('Comp X - Kilter'!B40,'Kilter Holds'!$P$37:$AB$662,7,0),0)</f>
        <v>#NAME?</v>
      </c>
      <c r="F40" s="274"/>
      <c r="G40" s="274" t="e">
        <f t="shared" ca="1" si="0"/>
        <v>#NAME?</v>
      </c>
      <c r="H40" s="274">
        <f t="shared" si="1"/>
        <v>0</v>
      </c>
      <c r="K40" s="274"/>
    </row>
    <row r="41" spans="2:11" ht="13.5" customHeight="1">
      <c r="B41" s="209" t="s">
        <v>2133</v>
      </c>
      <c r="C41" s="209" t="s">
        <v>3268</v>
      </c>
      <c r="D41" s="410" t="str">
        <f t="shared" si="2"/>
        <v>16-16</v>
      </c>
      <c r="E41" s="273" t="e">
        <f ca="1">_xludf.IFNA(VLOOKUP('Comp X - Kilter'!B41,'Kilter Holds'!$P$37:$AB$662,8,0),0)</f>
        <v>#NAME?</v>
      </c>
      <c r="F41" s="274"/>
      <c r="G41" s="274" t="e">
        <f t="shared" ca="1" si="0"/>
        <v>#NAME?</v>
      </c>
      <c r="H41" s="274">
        <f t="shared" si="1"/>
        <v>0</v>
      </c>
      <c r="K41" s="274"/>
    </row>
    <row r="42" spans="2:11" ht="13.5" customHeight="1">
      <c r="B42" s="209" t="s">
        <v>2133</v>
      </c>
      <c r="C42" s="209" t="s">
        <v>3268</v>
      </c>
      <c r="D42" s="411" t="str">
        <f t="shared" si="2"/>
        <v>13-01</v>
      </c>
      <c r="E42" s="273" t="e">
        <f ca="1">_xludf.IFNA(VLOOKUP('Comp X - Kilter'!B42,'Kilter Holds'!$P$37:$AB$662,9,0),0)</f>
        <v>#NAME?</v>
      </c>
      <c r="F42" s="274"/>
      <c r="G42" s="274" t="e">
        <f t="shared" ca="1" si="0"/>
        <v>#NAME?</v>
      </c>
      <c r="H42" s="274">
        <f t="shared" si="1"/>
        <v>0</v>
      </c>
      <c r="K42" s="274"/>
    </row>
    <row r="43" spans="2:11" ht="13.5" customHeight="1">
      <c r="B43" s="209" t="s">
        <v>2133</v>
      </c>
      <c r="C43" s="209" t="s">
        <v>3268</v>
      </c>
      <c r="D43" s="413" t="str">
        <f t="shared" si="2"/>
        <v>07-13</v>
      </c>
      <c r="E43" s="273" t="e">
        <f ca="1">_xludf.IFNA(VLOOKUP('Comp X - Kilter'!B43,'Kilter Holds'!$P$37:$AB$662,10,0),0)</f>
        <v>#NAME?</v>
      </c>
      <c r="F43" s="274"/>
      <c r="G43" s="274" t="e">
        <f t="shared" ca="1" si="0"/>
        <v>#NAME?</v>
      </c>
      <c r="H43" s="274">
        <f t="shared" si="1"/>
        <v>0</v>
      </c>
      <c r="K43" s="274"/>
    </row>
    <row r="44" spans="2:11" ht="13.5" customHeight="1">
      <c r="B44" s="209" t="s">
        <v>2133</v>
      </c>
      <c r="C44" s="209" t="s">
        <v>3268</v>
      </c>
      <c r="D44" s="414" t="str">
        <f t="shared" si="2"/>
        <v>11-26</v>
      </c>
      <c r="E44" s="273" t="e">
        <f ca="1">_xludf.IFNA(VLOOKUP('Comp X - Kilter'!B44,'Kilter Holds'!$P$37:$AB$662,11,0),0)</f>
        <v>#NAME?</v>
      </c>
      <c r="F44" s="274"/>
      <c r="G44" s="274" t="e">
        <f t="shared" ca="1" si="0"/>
        <v>#NAME?</v>
      </c>
      <c r="H44" s="274">
        <f t="shared" si="1"/>
        <v>0</v>
      </c>
      <c r="K44" s="274"/>
    </row>
    <row r="45" spans="2:11" ht="13.5" customHeight="1">
      <c r="B45" s="209" t="s">
        <v>2133</v>
      </c>
      <c r="C45" s="209" t="s">
        <v>3268</v>
      </c>
      <c r="D45" s="415" t="str">
        <f t="shared" si="2"/>
        <v>18-01</v>
      </c>
      <c r="E45" s="273" t="e">
        <f ca="1">_xludf.IFNA(VLOOKUP('Comp X - Kilter'!B45,'Kilter Holds'!$P$37:$AB$662,12,0),0)</f>
        <v>#NAME?</v>
      </c>
      <c r="F45" s="274"/>
      <c r="G45" s="274" t="e">
        <f t="shared" ca="1" si="0"/>
        <v>#NAME?</v>
      </c>
      <c r="H45" s="274">
        <f t="shared" si="1"/>
        <v>0</v>
      </c>
      <c r="K45" s="274"/>
    </row>
    <row r="46" spans="2:11" ht="13.5" customHeight="1">
      <c r="B46" s="209" t="s">
        <v>2133</v>
      </c>
      <c r="C46" s="209" t="s">
        <v>3268</v>
      </c>
      <c r="D46" s="416" t="str">
        <f t="shared" si="2"/>
        <v>Color Code</v>
      </c>
      <c r="E46" s="273" t="e">
        <f ca="1">_xludf.IFNA(VLOOKUP('Comp X - Kilter'!B46,'Kilter Holds'!$P$37:$AB$662,13,0),0)</f>
        <v>#NAME?</v>
      </c>
      <c r="F46" s="274"/>
      <c r="G46" s="274" t="e">
        <f t="shared" ca="1" si="0"/>
        <v>#NAME?</v>
      </c>
      <c r="H46" s="274">
        <f t="shared" si="1"/>
        <v>0</v>
      </c>
      <c r="K46" s="274"/>
    </row>
    <row r="47" spans="2:11" ht="13.5" customHeight="1">
      <c r="B47" s="209" t="s">
        <v>2134</v>
      </c>
      <c r="C47" s="209" t="s">
        <v>3269</v>
      </c>
      <c r="D47" s="406" t="str">
        <f t="shared" si="2"/>
        <v>11-12</v>
      </c>
      <c r="E47" s="273" t="e">
        <f ca="1">_xludf.IFNA(VLOOKUP('Comp X - Kilter'!B47,'Kilter Holds'!$P$37:$AB$662,5,0),0)</f>
        <v>#NAME?</v>
      </c>
      <c r="F47" s="274"/>
      <c r="G47" s="274" t="e">
        <f t="shared" ca="1" si="0"/>
        <v>#NAME?</v>
      </c>
      <c r="H47" s="274">
        <f t="shared" si="1"/>
        <v>0</v>
      </c>
      <c r="K47" s="274"/>
    </row>
    <row r="48" spans="2:11" ht="13.5" customHeight="1">
      <c r="B48" s="209" t="s">
        <v>2134</v>
      </c>
      <c r="C48" s="209" t="s">
        <v>3269</v>
      </c>
      <c r="D48" s="408" t="str">
        <f t="shared" si="2"/>
        <v>14-01</v>
      </c>
      <c r="E48" s="273" t="e">
        <f ca="1">_xludf.IFNA(VLOOKUP('Comp X - Kilter'!B48,'Kilter Holds'!$P$37:$AB$662,6,0),0)</f>
        <v>#NAME?</v>
      </c>
      <c r="F48" s="274"/>
      <c r="G48" s="274" t="e">
        <f t="shared" ca="1" si="0"/>
        <v>#NAME?</v>
      </c>
      <c r="H48" s="274">
        <f t="shared" si="1"/>
        <v>0</v>
      </c>
      <c r="K48" s="274"/>
    </row>
    <row r="49" spans="2:11" ht="13.5" customHeight="1">
      <c r="B49" s="209" t="s">
        <v>2134</v>
      </c>
      <c r="C49" s="209" t="s">
        <v>3269</v>
      </c>
      <c r="D49" s="409" t="str">
        <f t="shared" si="2"/>
        <v>15-12</v>
      </c>
      <c r="E49" s="273" t="e">
        <f ca="1">_xludf.IFNA(VLOOKUP('Comp X - Kilter'!B49,'Kilter Holds'!$P$37:$AB$662,7,0),0)</f>
        <v>#NAME?</v>
      </c>
      <c r="F49" s="274"/>
      <c r="G49" s="274" t="e">
        <f t="shared" ca="1" si="0"/>
        <v>#NAME?</v>
      </c>
      <c r="H49" s="274">
        <f t="shared" si="1"/>
        <v>0</v>
      </c>
      <c r="K49" s="274"/>
    </row>
    <row r="50" spans="2:11" ht="13.5" customHeight="1">
      <c r="B50" s="209" t="s">
        <v>2134</v>
      </c>
      <c r="C50" s="209" t="s">
        <v>3269</v>
      </c>
      <c r="D50" s="410" t="str">
        <f t="shared" si="2"/>
        <v>16-16</v>
      </c>
      <c r="E50" s="273" t="e">
        <f ca="1">_xludf.IFNA(VLOOKUP('Comp X - Kilter'!B50,'Kilter Holds'!$P$37:$AB$662,8,0),0)</f>
        <v>#NAME?</v>
      </c>
      <c r="F50" s="274"/>
      <c r="G50" s="274" t="e">
        <f t="shared" ca="1" si="0"/>
        <v>#NAME?</v>
      </c>
      <c r="H50" s="274">
        <f t="shared" si="1"/>
        <v>0</v>
      </c>
      <c r="K50" s="274"/>
    </row>
    <row r="51" spans="2:11" ht="13.5" customHeight="1">
      <c r="B51" s="209" t="s">
        <v>2134</v>
      </c>
      <c r="C51" s="209" t="s">
        <v>3269</v>
      </c>
      <c r="D51" s="411" t="str">
        <f t="shared" si="2"/>
        <v>13-01</v>
      </c>
      <c r="E51" s="273" t="e">
        <f ca="1">_xludf.IFNA(VLOOKUP('Comp X - Kilter'!B51,'Kilter Holds'!$P$37:$AB$662,9,0),0)</f>
        <v>#NAME?</v>
      </c>
      <c r="F51" s="274"/>
      <c r="G51" s="274" t="e">
        <f t="shared" ca="1" si="0"/>
        <v>#NAME?</v>
      </c>
      <c r="H51" s="274">
        <f t="shared" si="1"/>
        <v>0</v>
      </c>
      <c r="K51" s="274"/>
    </row>
    <row r="52" spans="2:11" ht="13.5" customHeight="1">
      <c r="B52" s="209" t="s">
        <v>2134</v>
      </c>
      <c r="C52" s="209" t="s">
        <v>3269</v>
      </c>
      <c r="D52" s="413" t="str">
        <f t="shared" si="2"/>
        <v>07-13</v>
      </c>
      <c r="E52" s="273" t="e">
        <f ca="1">_xludf.IFNA(VLOOKUP('Comp X - Kilter'!B52,'Kilter Holds'!$P$37:$AB$662,10,0),0)</f>
        <v>#NAME?</v>
      </c>
      <c r="F52" s="274"/>
      <c r="G52" s="274" t="e">
        <f t="shared" ca="1" si="0"/>
        <v>#NAME?</v>
      </c>
      <c r="H52" s="274">
        <f t="shared" si="1"/>
        <v>0</v>
      </c>
      <c r="K52" s="274"/>
    </row>
    <row r="53" spans="2:11" ht="13.5" customHeight="1">
      <c r="B53" s="209" t="s">
        <v>2134</v>
      </c>
      <c r="C53" s="209" t="s">
        <v>3269</v>
      </c>
      <c r="D53" s="414" t="str">
        <f t="shared" si="2"/>
        <v>11-26</v>
      </c>
      <c r="E53" s="273" t="e">
        <f ca="1">_xludf.IFNA(VLOOKUP('Comp X - Kilter'!B53,'Kilter Holds'!$P$37:$AB$662,11,0),0)</f>
        <v>#NAME?</v>
      </c>
      <c r="F53" s="274"/>
      <c r="G53" s="274" t="e">
        <f t="shared" ca="1" si="0"/>
        <v>#NAME?</v>
      </c>
      <c r="H53" s="274">
        <f t="shared" si="1"/>
        <v>0</v>
      </c>
      <c r="K53" s="274"/>
    </row>
    <row r="54" spans="2:11" ht="13.5" customHeight="1">
      <c r="B54" s="209" t="s">
        <v>2134</v>
      </c>
      <c r="C54" s="209" t="s">
        <v>3269</v>
      </c>
      <c r="D54" s="415" t="str">
        <f t="shared" si="2"/>
        <v>18-01</v>
      </c>
      <c r="E54" s="273" t="e">
        <f ca="1">_xludf.IFNA(VLOOKUP('Comp X - Kilter'!B54,'Kilter Holds'!$P$37:$AB$662,12,0),0)</f>
        <v>#NAME?</v>
      </c>
      <c r="F54" s="274"/>
      <c r="G54" s="274" t="e">
        <f t="shared" ca="1" si="0"/>
        <v>#NAME?</v>
      </c>
      <c r="H54" s="274">
        <f t="shared" si="1"/>
        <v>0</v>
      </c>
      <c r="K54" s="274"/>
    </row>
    <row r="55" spans="2:11" ht="13.5" customHeight="1">
      <c r="B55" s="209" t="s">
        <v>2134</v>
      </c>
      <c r="C55" s="209" t="s">
        <v>3269</v>
      </c>
      <c r="D55" s="416" t="str">
        <f t="shared" si="2"/>
        <v>Color Code</v>
      </c>
      <c r="E55" s="273" t="e">
        <f ca="1">_xludf.IFNA(VLOOKUP('Comp X - Kilter'!B55,'Kilter Holds'!$P$37:$AB$662,13,0),0)</f>
        <v>#NAME?</v>
      </c>
      <c r="F55" s="274"/>
      <c r="G55" s="274" t="e">
        <f t="shared" ca="1" si="0"/>
        <v>#NAME?</v>
      </c>
      <c r="H55" s="274">
        <f t="shared" si="1"/>
        <v>0</v>
      </c>
      <c r="K55" s="274"/>
    </row>
    <row r="56" spans="2:11" ht="13.5" customHeight="1">
      <c r="B56" s="209" t="s">
        <v>2179</v>
      </c>
      <c r="C56" s="209" t="s">
        <v>3270</v>
      </c>
      <c r="D56" s="406" t="str">
        <f t="shared" si="2"/>
        <v>11-12</v>
      </c>
      <c r="E56" s="273" t="e">
        <f ca="1">_xludf.IFNA(VLOOKUP('Comp X - Kilter'!B56,'Kilter Holds'!$P$37:$AB$662,5,0),0)</f>
        <v>#NAME?</v>
      </c>
      <c r="F56" s="274"/>
      <c r="G56" s="274" t="e">
        <f t="shared" ca="1" si="0"/>
        <v>#NAME?</v>
      </c>
      <c r="H56" s="274">
        <f t="shared" si="1"/>
        <v>0</v>
      </c>
      <c r="K56" s="274"/>
    </row>
    <row r="57" spans="2:11" ht="13.5" customHeight="1">
      <c r="B57" s="209" t="s">
        <v>2179</v>
      </c>
      <c r="C57" s="209" t="s">
        <v>3270</v>
      </c>
      <c r="D57" s="408" t="str">
        <f t="shared" si="2"/>
        <v>14-01</v>
      </c>
      <c r="E57" s="273" t="e">
        <f ca="1">_xludf.IFNA(VLOOKUP('Comp X - Kilter'!B57,'Kilter Holds'!$P$37:$AB$662,6,0),0)</f>
        <v>#NAME?</v>
      </c>
      <c r="F57" s="274"/>
      <c r="G57" s="274" t="e">
        <f t="shared" ca="1" si="0"/>
        <v>#NAME?</v>
      </c>
      <c r="H57" s="274">
        <f t="shared" si="1"/>
        <v>0</v>
      </c>
      <c r="K57" s="274"/>
    </row>
    <row r="58" spans="2:11" ht="13.5" customHeight="1">
      <c r="B58" s="209" t="s">
        <v>2179</v>
      </c>
      <c r="C58" s="209" t="s">
        <v>3270</v>
      </c>
      <c r="D58" s="409" t="str">
        <f t="shared" si="2"/>
        <v>15-12</v>
      </c>
      <c r="E58" s="273" t="e">
        <f ca="1">_xludf.IFNA(VLOOKUP('Comp X - Kilter'!B58,'Kilter Holds'!$P$37:$AB$662,7,0),0)</f>
        <v>#NAME?</v>
      </c>
      <c r="F58" s="274"/>
      <c r="G58" s="274" t="e">
        <f t="shared" ca="1" si="0"/>
        <v>#NAME?</v>
      </c>
      <c r="H58" s="274">
        <f t="shared" si="1"/>
        <v>0</v>
      </c>
      <c r="K58" s="274"/>
    </row>
    <row r="59" spans="2:11" ht="13.5" customHeight="1">
      <c r="B59" s="209" t="s">
        <v>2179</v>
      </c>
      <c r="C59" s="209" t="s">
        <v>3270</v>
      </c>
      <c r="D59" s="410" t="str">
        <f t="shared" si="2"/>
        <v>16-16</v>
      </c>
      <c r="E59" s="273" t="e">
        <f ca="1">_xludf.IFNA(VLOOKUP('Comp X - Kilter'!B59,'Kilter Holds'!$P$37:$AB$662,8,0),0)</f>
        <v>#NAME?</v>
      </c>
      <c r="F59" s="274"/>
      <c r="G59" s="274" t="e">
        <f t="shared" ca="1" si="0"/>
        <v>#NAME?</v>
      </c>
      <c r="H59" s="274">
        <f t="shared" si="1"/>
        <v>0</v>
      </c>
      <c r="K59" s="274"/>
    </row>
    <row r="60" spans="2:11" ht="13.5" customHeight="1">
      <c r="B60" s="209" t="s">
        <v>2179</v>
      </c>
      <c r="C60" s="209" t="s">
        <v>3270</v>
      </c>
      <c r="D60" s="411" t="str">
        <f t="shared" si="2"/>
        <v>13-01</v>
      </c>
      <c r="E60" s="273" t="e">
        <f ca="1">_xludf.IFNA(VLOOKUP('Comp X - Kilter'!B60,'Kilter Holds'!$P$37:$AB$662,9,0),0)</f>
        <v>#NAME?</v>
      </c>
      <c r="F60" s="274"/>
      <c r="G60" s="274" t="e">
        <f t="shared" ca="1" si="0"/>
        <v>#NAME?</v>
      </c>
      <c r="H60" s="274">
        <f t="shared" si="1"/>
        <v>0</v>
      </c>
      <c r="K60" s="274"/>
    </row>
    <row r="61" spans="2:11" ht="13.5" customHeight="1">
      <c r="B61" s="209" t="s">
        <v>2179</v>
      </c>
      <c r="C61" s="209" t="s">
        <v>3270</v>
      </c>
      <c r="D61" s="413" t="str">
        <f t="shared" si="2"/>
        <v>07-13</v>
      </c>
      <c r="E61" s="273" t="e">
        <f ca="1">_xludf.IFNA(VLOOKUP('Comp X - Kilter'!B61,'Kilter Holds'!$P$37:$AB$662,10,0),0)</f>
        <v>#NAME?</v>
      </c>
      <c r="F61" s="274"/>
      <c r="G61" s="274" t="e">
        <f t="shared" ca="1" si="0"/>
        <v>#NAME?</v>
      </c>
      <c r="H61" s="274">
        <f t="shared" si="1"/>
        <v>0</v>
      </c>
      <c r="K61" s="274"/>
    </row>
    <row r="62" spans="2:11" ht="13.5" customHeight="1">
      <c r="B62" s="209" t="s">
        <v>2179</v>
      </c>
      <c r="C62" s="209" t="s">
        <v>3270</v>
      </c>
      <c r="D62" s="414" t="str">
        <f t="shared" si="2"/>
        <v>11-26</v>
      </c>
      <c r="E62" s="273" t="e">
        <f ca="1">_xludf.IFNA(VLOOKUP('Comp X - Kilter'!B62,'Kilter Holds'!$P$37:$AB$662,11,0),0)</f>
        <v>#NAME?</v>
      </c>
      <c r="F62" s="274"/>
      <c r="G62" s="274" t="e">
        <f t="shared" ca="1" si="0"/>
        <v>#NAME?</v>
      </c>
      <c r="H62" s="274">
        <f t="shared" si="1"/>
        <v>0</v>
      </c>
      <c r="K62" s="274"/>
    </row>
    <row r="63" spans="2:11" ht="13.5" customHeight="1">
      <c r="B63" s="209" t="s">
        <v>2179</v>
      </c>
      <c r="C63" s="209" t="s">
        <v>3270</v>
      </c>
      <c r="D63" s="415" t="str">
        <f t="shared" si="2"/>
        <v>18-01</v>
      </c>
      <c r="E63" s="273" t="e">
        <f ca="1">_xludf.IFNA(VLOOKUP('Comp X - Kilter'!B63,'Kilter Holds'!$P$37:$AB$662,12,0),0)</f>
        <v>#NAME?</v>
      </c>
      <c r="F63" s="274"/>
      <c r="G63" s="274" t="e">
        <f t="shared" ca="1" si="0"/>
        <v>#NAME?</v>
      </c>
      <c r="H63" s="274">
        <f t="shared" si="1"/>
        <v>0</v>
      </c>
      <c r="K63" s="274"/>
    </row>
    <row r="64" spans="2:11" ht="13.5" customHeight="1">
      <c r="B64" s="209" t="s">
        <v>2179</v>
      </c>
      <c r="C64" s="209" t="s">
        <v>3270</v>
      </c>
      <c r="D64" s="416" t="str">
        <f t="shared" si="2"/>
        <v>Color Code</v>
      </c>
      <c r="E64" s="273" t="e">
        <f ca="1">_xludf.IFNA(VLOOKUP('Comp X - Kilter'!B64,'Kilter Holds'!$P$37:$AB$662,13,0),0)</f>
        <v>#NAME?</v>
      </c>
      <c r="F64" s="274"/>
      <c r="G64" s="274" t="e">
        <f t="shared" ca="1" si="0"/>
        <v>#NAME?</v>
      </c>
      <c r="H64" s="274">
        <f t="shared" si="1"/>
        <v>0</v>
      </c>
      <c r="K64" s="274"/>
    </row>
    <row r="65" spans="2:11" ht="13.5" customHeight="1">
      <c r="B65" s="209" t="s">
        <v>2126</v>
      </c>
      <c r="C65" s="209" t="s">
        <v>3271</v>
      </c>
      <c r="D65" s="406" t="str">
        <f t="shared" si="2"/>
        <v>11-12</v>
      </c>
      <c r="E65" s="273" t="e">
        <f ca="1">_xludf.IFNA(VLOOKUP('Comp X - Kilter'!B65,'Kilter Holds'!$P$37:$AB$662,5,0),0)</f>
        <v>#NAME?</v>
      </c>
      <c r="F65" s="274"/>
      <c r="G65" s="274" t="e">
        <f t="shared" ca="1" si="0"/>
        <v>#NAME?</v>
      </c>
      <c r="H65" s="274">
        <f t="shared" si="1"/>
        <v>0</v>
      </c>
      <c r="K65" s="274"/>
    </row>
    <row r="66" spans="2:11" ht="13.5" customHeight="1">
      <c r="B66" s="209" t="s">
        <v>2126</v>
      </c>
      <c r="C66" s="209" t="s">
        <v>3271</v>
      </c>
      <c r="D66" s="408" t="str">
        <f t="shared" si="2"/>
        <v>14-01</v>
      </c>
      <c r="E66" s="273" t="e">
        <f ca="1">_xludf.IFNA(VLOOKUP('Comp X - Kilter'!B66,'Kilter Holds'!$P$37:$AB$662,6,0),0)</f>
        <v>#NAME?</v>
      </c>
      <c r="F66" s="274"/>
      <c r="G66" s="274" t="e">
        <f t="shared" ca="1" si="0"/>
        <v>#NAME?</v>
      </c>
      <c r="H66" s="274">
        <f t="shared" si="1"/>
        <v>0</v>
      </c>
      <c r="K66" s="274"/>
    </row>
    <row r="67" spans="2:11" ht="13.5" customHeight="1">
      <c r="B67" s="209" t="s">
        <v>2126</v>
      </c>
      <c r="C67" s="209" t="s">
        <v>3271</v>
      </c>
      <c r="D67" s="409" t="str">
        <f t="shared" si="2"/>
        <v>15-12</v>
      </c>
      <c r="E67" s="273" t="e">
        <f ca="1">_xludf.IFNA(VLOOKUP('Comp X - Kilter'!B67,'Kilter Holds'!$P$37:$AB$662,7,0),0)</f>
        <v>#NAME?</v>
      </c>
      <c r="F67" s="274"/>
      <c r="G67" s="274" t="e">
        <f t="shared" ca="1" si="0"/>
        <v>#NAME?</v>
      </c>
      <c r="H67" s="274">
        <f t="shared" si="1"/>
        <v>0</v>
      </c>
      <c r="K67" s="274"/>
    </row>
    <row r="68" spans="2:11" ht="13.5" customHeight="1">
      <c r="B68" s="209" t="s">
        <v>2126</v>
      </c>
      <c r="C68" s="209" t="s">
        <v>3271</v>
      </c>
      <c r="D68" s="410" t="str">
        <f t="shared" si="2"/>
        <v>16-16</v>
      </c>
      <c r="E68" s="273" t="e">
        <f ca="1">_xludf.IFNA(VLOOKUP('Comp X - Kilter'!B68,'Kilter Holds'!$P$37:$AB$662,8,0),0)</f>
        <v>#NAME?</v>
      </c>
      <c r="F68" s="274"/>
      <c r="G68" s="274" t="e">
        <f t="shared" ca="1" si="0"/>
        <v>#NAME?</v>
      </c>
      <c r="H68" s="274">
        <f t="shared" si="1"/>
        <v>0</v>
      </c>
      <c r="K68" s="274"/>
    </row>
    <row r="69" spans="2:11" ht="13.5" customHeight="1">
      <c r="B69" s="209" t="s">
        <v>2126</v>
      </c>
      <c r="C69" s="209" t="s">
        <v>3271</v>
      </c>
      <c r="D69" s="411" t="str">
        <f t="shared" si="2"/>
        <v>13-01</v>
      </c>
      <c r="E69" s="273" t="e">
        <f ca="1">_xludf.IFNA(VLOOKUP('Comp X - Kilter'!B69,'Kilter Holds'!$P$37:$AB$662,9,0),0)</f>
        <v>#NAME?</v>
      </c>
      <c r="F69" s="274"/>
      <c r="G69" s="274" t="e">
        <f t="shared" ca="1" si="0"/>
        <v>#NAME?</v>
      </c>
      <c r="H69" s="274">
        <f t="shared" si="1"/>
        <v>0</v>
      </c>
      <c r="K69" s="274"/>
    </row>
    <row r="70" spans="2:11" ht="13.5" customHeight="1">
      <c r="B70" s="209" t="s">
        <v>2126</v>
      </c>
      <c r="C70" s="209" t="s">
        <v>3271</v>
      </c>
      <c r="D70" s="413" t="str">
        <f t="shared" si="2"/>
        <v>07-13</v>
      </c>
      <c r="E70" s="273" t="e">
        <f ca="1">_xludf.IFNA(VLOOKUP('Comp X - Kilter'!B70,'Kilter Holds'!$P$37:$AB$662,10,0),0)</f>
        <v>#NAME?</v>
      </c>
      <c r="F70" s="274"/>
      <c r="G70" s="274" t="e">
        <f t="shared" ca="1" si="0"/>
        <v>#NAME?</v>
      </c>
      <c r="H70" s="274">
        <f t="shared" si="1"/>
        <v>0</v>
      </c>
      <c r="K70" s="274"/>
    </row>
    <row r="71" spans="2:11" ht="13.5" customHeight="1">
      <c r="B71" s="209" t="s">
        <v>2126</v>
      </c>
      <c r="C71" s="209" t="s">
        <v>3271</v>
      </c>
      <c r="D71" s="414" t="str">
        <f t="shared" si="2"/>
        <v>11-26</v>
      </c>
      <c r="E71" s="273" t="e">
        <f ca="1">_xludf.IFNA(VLOOKUP('Comp X - Kilter'!B71,'Kilter Holds'!$P$37:$AB$662,11,0),0)</f>
        <v>#NAME?</v>
      </c>
      <c r="F71" s="274"/>
      <c r="G71" s="274" t="e">
        <f t="shared" ca="1" si="0"/>
        <v>#NAME?</v>
      </c>
      <c r="H71" s="274">
        <f t="shared" si="1"/>
        <v>0</v>
      </c>
      <c r="K71" s="274"/>
    </row>
    <row r="72" spans="2:11" ht="13.5" customHeight="1">
      <c r="B72" s="209" t="s">
        <v>2126</v>
      </c>
      <c r="C72" s="209" t="s">
        <v>3271</v>
      </c>
      <c r="D72" s="415" t="str">
        <f t="shared" si="2"/>
        <v>18-01</v>
      </c>
      <c r="E72" s="273" t="e">
        <f ca="1">_xludf.IFNA(VLOOKUP('Comp X - Kilter'!B72,'Kilter Holds'!$P$37:$AB$662,12,0),0)</f>
        <v>#NAME?</v>
      </c>
      <c r="F72" s="274"/>
      <c r="G72" s="274" t="e">
        <f t="shared" ca="1" si="0"/>
        <v>#NAME?</v>
      </c>
      <c r="H72" s="274">
        <f t="shared" si="1"/>
        <v>0</v>
      </c>
      <c r="K72" s="274"/>
    </row>
    <row r="73" spans="2:11" ht="13.5" customHeight="1">
      <c r="B73" s="209" t="s">
        <v>2126</v>
      </c>
      <c r="C73" s="209" t="s">
        <v>3271</v>
      </c>
      <c r="D73" s="416" t="str">
        <f t="shared" si="2"/>
        <v>Color Code</v>
      </c>
      <c r="E73" s="273" t="e">
        <f ca="1">_xludf.IFNA(VLOOKUP('Comp X - Kilter'!B73,'Kilter Holds'!$P$37:$AB$662,13,0),0)</f>
        <v>#NAME?</v>
      </c>
      <c r="F73" s="274"/>
      <c r="G73" s="274" t="e">
        <f t="shared" ca="1" si="0"/>
        <v>#NAME?</v>
      </c>
      <c r="H73" s="274">
        <f t="shared" si="1"/>
        <v>0</v>
      </c>
      <c r="K73" s="274"/>
    </row>
    <row r="74" spans="2:11" ht="13.5" customHeight="1">
      <c r="B74" s="209" t="s">
        <v>2127</v>
      </c>
      <c r="C74" s="209" t="s">
        <v>3272</v>
      </c>
      <c r="D74" s="406" t="str">
        <f t="shared" si="2"/>
        <v>11-12</v>
      </c>
      <c r="E74" s="273" t="e">
        <f ca="1">_xludf.IFNA(VLOOKUP('Comp X - Kilter'!B74,'Kilter Holds'!$P$37:$AB$662,5,0),0)</f>
        <v>#NAME?</v>
      </c>
      <c r="F74" s="274"/>
      <c r="G74" s="274" t="e">
        <f t="shared" ca="1" si="0"/>
        <v>#NAME?</v>
      </c>
      <c r="H74" s="274">
        <f t="shared" si="1"/>
        <v>0</v>
      </c>
      <c r="K74" s="274"/>
    </row>
    <row r="75" spans="2:11" ht="13.5" customHeight="1">
      <c r="B75" s="209" t="s">
        <v>2127</v>
      </c>
      <c r="C75" s="209" t="s">
        <v>3272</v>
      </c>
      <c r="D75" s="408" t="str">
        <f t="shared" si="2"/>
        <v>14-01</v>
      </c>
      <c r="E75" s="273" t="e">
        <f ca="1">_xludf.IFNA(VLOOKUP('Comp X - Kilter'!B75,'Kilter Holds'!$P$37:$AB$662,6,0),0)</f>
        <v>#NAME?</v>
      </c>
      <c r="F75" s="274"/>
      <c r="G75" s="274" t="e">
        <f t="shared" ca="1" si="0"/>
        <v>#NAME?</v>
      </c>
      <c r="H75" s="274">
        <f t="shared" si="1"/>
        <v>0</v>
      </c>
      <c r="K75" s="274"/>
    </row>
    <row r="76" spans="2:11" ht="13.5" customHeight="1">
      <c r="B76" s="209" t="s">
        <v>2127</v>
      </c>
      <c r="C76" s="209" t="s">
        <v>3272</v>
      </c>
      <c r="D76" s="409" t="str">
        <f t="shared" si="2"/>
        <v>15-12</v>
      </c>
      <c r="E76" s="273" t="e">
        <f ca="1">_xludf.IFNA(VLOOKUP('Comp X - Kilter'!B76,'Kilter Holds'!$P$37:$AB$662,7,0),0)</f>
        <v>#NAME?</v>
      </c>
      <c r="F76" s="274"/>
      <c r="G76" s="274" t="e">
        <f t="shared" ca="1" si="0"/>
        <v>#NAME?</v>
      </c>
      <c r="H76" s="274">
        <f t="shared" si="1"/>
        <v>0</v>
      </c>
      <c r="K76" s="274"/>
    </row>
    <row r="77" spans="2:11" ht="13.5" customHeight="1">
      <c r="B77" s="209" t="s">
        <v>2127</v>
      </c>
      <c r="C77" s="209" t="s">
        <v>3272</v>
      </c>
      <c r="D77" s="410" t="str">
        <f t="shared" si="2"/>
        <v>16-16</v>
      </c>
      <c r="E77" s="273" t="e">
        <f ca="1">_xludf.IFNA(VLOOKUP('Comp X - Kilter'!B77,'Kilter Holds'!$P$37:$AB$662,8,0),0)</f>
        <v>#NAME?</v>
      </c>
      <c r="F77" s="274"/>
      <c r="G77" s="274" t="e">
        <f t="shared" ca="1" si="0"/>
        <v>#NAME?</v>
      </c>
      <c r="H77" s="274">
        <f t="shared" si="1"/>
        <v>0</v>
      </c>
      <c r="K77" s="274"/>
    </row>
    <row r="78" spans="2:11" ht="13.5" customHeight="1">
      <c r="B78" s="209" t="s">
        <v>2127</v>
      </c>
      <c r="C78" s="209" t="s">
        <v>3272</v>
      </c>
      <c r="D78" s="411" t="str">
        <f t="shared" si="2"/>
        <v>13-01</v>
      </c>
      <c r="E78" s="273" t="e">
        <f ca="1">_xludf.IFNA(VLOOKUP('Comp X - Kilter'!B78,'Kilter Holds'!$P$37:$AB$662,9,0),0)</f>
        <v>#NAME?</v>
      </c>
      <c r="F78" s="274"/>
      <c r="G78" s="274" t="e">
        <f t="shared" ca="1" si="0"/>
        <v>#NAME?</v>
      </c>
      <c r="H78" s="274">
        <f t="shared" si="1"/>
        <v>0</v>
      </c>
      <c r="K78" s="274"/>
    </row>
    <row r="79" spans="2:11" ht="13.5" customHeight="1">
      <c r="B79" s="209" t="s">
        <v>2127</v>
      </c>
      <c r="C79" s="209" t="s">
        <v>3272</v>
      </c>
      <c r="D79" s="413" t="str">
        <f t="shared" si="2"/>
        <v>07-13</v>
      </c>
      <c r="E79" s="273" t="e">
        <f ca="1">_xludf.IFNA(VLOOKUP('Comp X - Kilter'!B79,'Kilter Holds'!$P$37:$AB$662,10,0),0)</f>
        <v>#NAME?</v>
      </c>
      <c r="F79" s="274"/>
      <c r="G79" s="274" t="e">
        <f t="shared" ca="1" si="0"/>
        <v>#NAME?</v>
      </c>
      <c r="H79" s="274">
        <f t="shared" si="1"/>
        <v>0</v>
      </c>
      <c r="K79" s="274"/>
    </row>
    <row r="80" spans="2:11" ht="13.5" customHeight="1">
      <c r="B80" s="209" t="s">
        <v>2127</v>
      </c>
      <c r="C80" s="209" t="s">
        <v>3272</v>
      </c>
      <c r="D80" s="414" t="str">
        <f t="shared" si="2"/>
        <v>11-26</v>
      </c>
      <c r="E80" s="273" t="e">
        <f ca="1">_xludf.IFNA(VLOOKUP('Comp X - Kilter'!B80,'Kilter Holds'!$P$37:$AB$662,11,0),0)</f>
        <v>#NAME?</v>
      </c>
      <c r="F80" s="274"/>
      <c r="G80" s="274" t="e">
        <f t="shared" ca="1" si="0"/>
        <v>#NAME?</v>
      </c>
      <c r="H80" s="274">
        <f t="shared" si="1"/>
        <v>0</v>
      </c>
      <c r="K80" s="274"/>
    </row>
    <row r="81" spans="2:11" ht="13.5" customHeight="1">
      <c r="B81" s="209" t="s">
        <v>2127</v>
      </c>
      <c r="C81" s="209" t="s">
        <v>3272</v>
      </c>
      <c r="D81" s="415" t="str">
        <f t="shared" si="2"/>
        <v>18-01</v>
      </c>
      <c r="E81" s="273" t="e">
        <f ca="1">_xludf.IFNA(VLOOKUP('Comp X - Kilter'!B81,'Kilter Holds'!$P$37:$AB$662,12,0),0)</f>
        <v>#NAME?</v>
      </c>
      <c r="F81" s="274"/>
      <c r="G81" s="274" t="e">
        <f t="shared" ca="1" si="0"/>
        <v>#NAME?</v>
      </c>
      <c r="H81" s="274">
        <f t="shared" si="1"/>
        <v>0</v>
      </c>
      <c r="K81" s="274"/>
    </row>
    <row r="82" spans="2:11" ht="13.5" customHeight="1">
      <c r="B82" s="209" t="s">
        <v>2127</v>
      </c>
      <c r="C82" s="209" t="s">
        <v>3272</v>
      </c>
      <c r="D82" s="416" t="str">
        <f t="shared" si="2"/>
        <v>Color Code</v>
      </c>
      <c r="E82" s="273" t="e">
        <f ca="1">_xludf.IFNA(VLOOKUP('Comp X - Kilter'!B82,'Kilter Holds'!$P$37:$AB$662,13,0),0)</f>
        <v>#NAME?</v>
      </c>
      <c r="F82" s="274"/>
      <c r="G82" s="274" t="e">
        <f t="shared" ca="1" si="0"/>
        <v>#NAME?</v>
      </c>
      <c r="H82" s="274">
        <f t="shared" si="1"/>
        <v>0</v>
      </c>
      <c r="K82" s="274"/>
    </row>
    <row r="83" spans="2:11" ht="13.5" customHeight="1">
      <c r="B83" s="209" t="s">
        <v>2128</v>
      </c>
      <c r="C83" s="209" t="s">
        <v>3273</v>
      </c>
      <c r="D83" s="406" t="str">
        <f t="shared" si="2"/>
        <v>11-12</v>
      </c>
      <c r="E83" s="273" t="e">
        <f ca="1">_xludf.IFNA(VLOOKUP('Comp X - Kilter'!B83,'Kilter Holds'!$P$37:$AB$662,5,0),0)</f>
        <v>#NAME?</v>
      </c>
      <c r="F83" s="274"/>
      <c r="G83" s="274" t="e">
        <f t="shared" ca="1" si="0"/>
        <v>#NAME?</v>
      </c>
      <c r="H83" s="274">
        <f t="shared" si="1"/>
        <v>0</v>
      </c>
      <c r="K83" s="274"/>
    </row>
    <row r="84" spans="2:11" ht="13.5" customHeight="1">
      <c r="B84" s="209" t="s">
        <v>2128</v>
      </c>
      <c r="C84" s="209" t="s">
        <v>3273</v>
      </c>
      <c r="D84" s="408" t="str">
        <f t="shared" si="2"/>
        <v>14-01</v>
      </c>
      <c r="E84" s="273" t="e">
        <f ca="1">_xludf.IFNA(VLOOKUP('Comp X - Kilter'!B84,'Kilter Holds'!$P$37:$AB$662,6,0),0)</f>
        <v>#NAME?</v>
      </c>
      <c r="F84" s="274"/>
      <c r="G84" s="274" t="e">
        <f t="shared" ca="1" si="0"/>
        <v>#NAME?</v>
      </c>
      <c r="H84" s="274">
        <f t="shared" si="1"/>
        <v>0</v>
      </c>
      <c r="K84" s="274"/>
    </row>
    <row r="85" spans="2:11" ht="13.5" customHeight="1">
      <c r="B85" s="209" t="s">
        <v>2128</v>
      </c>
      <c r="C85" s="209" t="s">
        <v>3273</v>
      </c>
      <c r="D85" s="409" t="str">
        <f t="shared" si="2"/>
        <v>15-12</v>
      </c>
      <c r="E85" s="273" t="e">
        <f ca="1">_xludf.IFNA(VLOOKUP('Comp X - Kilter'!B85,'Kilter Holds'!$P$37:$AB$662,7,0),0)</f>
        <v>#NAME?</v>
      </c>
      <c r="F85" s="274"/>
      <c r="G85" s="274" t="e">
        <f t="shared" ca="1" si="0"/>
        <v>#NAME?</v>
      </c>
      <c r="H85" s="274">
        <f t="shared" si="1"/>
        <v>0</v>
      </c>
      <c r="K85" s="274"/>
    </row>
    <row r="86" spans="2:11" ht="13.5" customHeight="1">
      <c r="B86" s="209" t="s">
        <v>2128</v>
      </c>
      <c r="C86" s="209" t="s">
        <v>3273</v>
      </c>
      <c r="D86" s="410" t="str">
        <f t="shared" si="2"/>
        <v>16-16</v>
      </c>
      <c r="E86" s="273" t="e">
        <f ca="1">_xludf.IFNA(VLOOKUP('Comp X - Kilter'!B86,'Kilter Holds'!$P$37:$AB$662,8,0),0)</f>
        <v>#NAME?</v>
      </c>
      <c r="F86" s="274"/>
      <c r="G86" s="274" t="e">
        <f t="shared" ca="1" si="0"/>
        <v>#NAME?</v>
      </c>
      <c r="H86" s="274">
        <f t="shared" si="1"/>
        <v>0</v>
      </c>
      <c r="K86" s="274"/>
    </row>
    <row r="87" spans="2:11" ht="13.5" customHeight="1">
      <c r="B87" s="209" t="s">
        <v>2128</v>
      </c>
      <c r="C87" s="209" t="s">
        <v>3273</v>
      </c>
      <c r="D87" s="411" t="str">
        <f t="shared" si="2"/>
        <v>13-01</v>
      </c>
      <c r="E87" s="273" t="e">
        <f ca="1">_xludf.IFNA(VLOOKUP('Comp X - Kilter'!B87,'Kilter Holds'!$P$37:$AB$662,9,0),0)</f>
        <v>#NAME?</v>
      </c>
      <c r="F87" s="274"/>
      <c r="G87" s="274" t="e">
        <f t="shared" ca="1" si="0"/>
        <v>#NAME?</v>
      </c>
      <c r="H87" s="274">
        <f t="shared" si="1"/>
        <v>0</v>
      </c>
      <c r="K87" s="274"/>
    </row>
    <row r="88" spans="2:11" ht="13.5" customHeight="1">
      <c r="B88" s="209" t="s">
        <v>2128</v>
      </c>
      <c r="C88" s="209" t="s">
        <v>3273</v>
      </c>
      <c r="D88" s="413" t="str">
        <f t="shared" si="2"/>
        <v>07-13</v>
      </c>
      <c r="E88" s="273" t="e">
        <f ca="1">_xludf.IFNA(VLOOKUP('Comp X - Kilter'!B88,'Kilter Holds'!$P$37:$AB$662,10,0),0)</f>
        <v>#NAME?</v>
      </c>
      <c r="F88" s="274"/>
      <c r="G88" s="274" t="e">
        <f t="shared" ca="1" si="0"/>
        <v>#NAME?</v>
      </c>
      <c r="H88" s="274">
        <f t="shared" si="1"/>
        <v>0</v>
      </c>
      <c r="K88" s="274"/>
    </row>
    <row r="89" spans="2:11" ht="13.5" customHeight="1">
      <c r="B89" s="209" t="s">
        <v>2128</v>
      </c>
      <c r="C89" s="209" t="s">
        <v>3273</v>
      </c>
      <c r="D89" s="414" t="str">
        <f t="shared" si="2"/>
        <v>11-26</v>
      </c>
      <c r="E89" s="273" t="e">
        <f ca="1">_xludf.IFNA(VLOOKUP('Comp X - Kilter'!B89,'Kilter Holds'!$P$37:$AB$662,11,0),0)</f>
        <v>#NAME?</v>
      </c>
      <c r="F89" s="274"/>
      <c r="G89" s="274" t="e">
        <f t="shared" ca="1" si="0"/>
        <v>#NAME?</v>
      </c>
      <c r="H89" s="274">
        <f t="shared" si="1"/>
        <v>0</v>
      </c>
      <c r="K89" s="274"/>
    </row>
    <row r="90" spans="2:11" ht="13.5" customHeight="1">
      <c r="B90" s="209" t="s">
        <v>2128</v>
      </c>
      <c r="C90" s="209" t="s">
        <v>3273</v>
      </c>
      <c r="D90" s="415" t="str">
        <f t="shared" si="2"/>
        <v>18-01</v>
      </c>
      <c r="E90" s="273" t="e">
        <f ca="1">_xludf.IFNA(VLOOKUP('Comp X - Kilter'!B90,'Kilter Holds'!$P$37:$AB$662,12,0),0)</f>
        <v>#NAME?</v>
      </c>
      <c r="F90" s="274"/>
      <c r="G90" s="274" t="e">
        <f t="shared" ca="1" si="0"/>
        <v>#NAME?</v>
      </c>
      <c r="H90" s="274">
        <f t="shared" si="1"/>
        <v>0</v>
      </c>
      <c r="K90" s="274"/>
    </row>
    <row r="91" spans="2:11" ht="13.5" customHeight="1">
      <c r="B91" s="209" t="s">
        <v>2128</v>
      </c>
      <c r="C91" s="209" t="s">
        <v>3273</v>
      </c>
      <c r="D91" s="416" t="str">
        <f t="shared" si="2"/>
        <v>Color Code</v>
      </c>
      <c r="E91" s="273" t="e">
        <f ca="1">_xludf.IFNA(VLOOKUP('Comp X - Kilter'!B91,'Kilter Holds'!$P$37:$AB$662,13,0),0)</f>
        <v>#NAME?</v>
      </c>
      <c r="F91" s="274"/>
      <c r="G91" s="274" t="e">
        <f t="shared" ca="1" si="0"/>
        <v>#NAME?</v>
      </c>
      <c r="H91" s="274">
        <f t="shared" si="1"/>
        <v>0</v>
      </c>
      <c r="K91" s="274"/>
    </row>
    <row r="92" spans="2:11" ht="13.5" customHeight="1">
      <c r="B92" s="209" t="s">
        <v>2173</v>
      </c>
      <c r="C92" s="209" t="s">
        <v>3274</v>
      </c>
      <c r="D92" s="406" t="str">
        <f t="shared" si="2"/>
        <v>11-12</v>
      </c>
      <c r="E92" s="273" t="e">
        <f ca="1">_xludf.IFNA(VLOOKUP('Comp X - Kilter'!B92,'Kilter Holds'!$P$37:$AB$662,5,0),0)</f>
        <v>#NAME?</v>
      </c>
      <c r="F92" s="274"/>
      <c r="G92" s="274" t="e">
        <f t="shared" ca="1" si="0"/>
        <v>#NAME?</v>
      </c>
      <c r="H92" s="274">
        <f t="shared" si="1"/>
        <v>0</v>
      </c>
      <c r="K92" s="274"/>
    </row>
    <row r="93" spans="2:11" ht="13.5" customHeight="1">
      <c r="B93" s="209" t="s">
        <v>2173</v>
      </c>
      <c r="C93" s="209" t="s">
        <v>3274</v>
      </c>
      <c r="D93" s="408" t="str">
        <f t="shared" si="2"/>
        <v>14-01</v>
      </c>
      <c r="E93" s="273" t="e">
        <f ca="1">_xludf.IFNA(VLOOKUP('Comp X - Kilter'!B93,'Kilter Holds'!$P$37:$AB$662,6,0),0)</f>
        <v>#NAME?</v>
      </c>
      <c r="F93" s="274"/>
      <c r="G93" s="274" t="e">
        <f t="shared" ca="1" si="0"/>
        <v>#NAME?</v>
      </c>
      <c r="H93" s="274">
        <f t="shared" si="1"/>
        <v>0</v>
      </c>
      <c r="K93" s="274"/>
    </row>
    <row r="94" spans="2:11" ht="13.5" customHeight="1">
      <c r="B94" s="209" t="s">
        <v>2173</v>
      </c>
      <c r="C94" s="209" t="s">
        <v>3274</v>
      </c>
      <c r="D94" s="409" t="str">
        <f t="shared" si="2"/>
        <v>15-12</v>
      </c>
      <c r="E94" s="273" t="e">
        <f ca="1">_xludf.IFNA(VLOOKUP('Comp X - Kilter'!B94,'Kilter Holds'!$P$37:$AB$662,7,0),0)</f>
        <v>#NAME?</v>
      </c>
      <c r="F94" s="274"/>
      <c r="G94" s="274" t="e">
        <f t="shared" ca="1" si="0"/>
        <v>#NAME?</v>
      </c>
      <c r="H94" s="274">
        <f t="shared" si="1"/>
        <v>0</v>
      </c>
      <c r="K94" s="274"/>
    </row>
    <row r="95" spans="2:11" ht="13.5" customHeight="1">
      <c r="B95" s="209" t="s">
        <v>2173</v>
      </c>
      <c r="C95" s="209" t="s">
        <v>3274</v>
      </c>
      <c r="D95" s="410" t="str">
        <f t="shared" si="2"/>
        <v>16-16</v>
      </c>
      <c r="E95" s="273" t="e">
        <f ca="1">_xludf.IFNA(VLOOKUP('Comp X - Kilter'!B95,'Kilter Holds'!$P$37:$AB$662,8,0),0)</f>
        <v>#NAME?</v>
      </c>
      <c r="F95" s="274"/>
      <c r="G95" s="274" t="e">
        <f t="shared" ca="1" si="0"/>
        <v>#NAME?</v>
      </c>
      <c r="H95" s="274">
        <f t="shared" si="1"/>
        <v>0</v>
      </c>
      <c r="K95" s="274"/>
    </row>
    <row r="96" spans="2:11" ht="13.5" customHeight="1">
      <c r="B96" s="209" t="s">
        <v>2173</v>
      </c>
      <c r="C96" s="209" t="s">
        <v>3274</v>
      </c>
      <c r="D96" s="411" t="str">
        <f t="shared" si="2"/>
        <v>13-01</v>
      </c>
      <c r="E96" s="273" t="e">
        <f ca="1">_xludf.IFNA(VLOOKUP('Comp X - Kilter'!B96,'Kilter Holds'!$P$37:$AB$662,9,0),0)</f>
        <v>#NAME?</v>
      </c>
      <c r="F96" s="274"/>
      <c r="G96" s="274" t="e">
        <f t="shared" ca="1" si="0"/>
        <v>#NAME?</v>
      </c>
      <c r="H96" s="274">
        <f t="shared" si="1"/>
        <v>0</v>
      </c>
      <c r="K96" s="274"/>
    </row>
    <row r="97" spans="2:11" ht="13.5" customHeight="1">
      <c r="B97" s="209" t="s">
        <v>2173</v>
      </c>
      <c r="C97" s="209" t="s">
        <v>3274</v>
      </c>
      <c r="D97" s="413" t="str">
        <f t="shared" si="2"/>
        <v>07-13</v>
      </c>
      <c r="E97" s="273" t="e">
        <f ca="1">_xludf.IFNA(VLOOKUP('Comp X - Kilter'!B97,'Kilter Holds'!$P$37:$AB$662,10,0),0)</f>
        <v>#NAME?</v>
      </c>
      <c r="F97" s="274"/>
      <c r="G97" s="274" t="e">
        <f t="shared" ca="1" si="0"/>
        <v>#NAME?</v>
      </c>
      <c r="H97" s="274">
        <f t="shared" si="1"/>
        <v>0</v>
      </c>
      <c r="K97" s="274"/>
    </row>
    <row r="98" spans="2:11" ht="13.5" customHeight="1">
      <c r="B98" s="209" t="s">
        <v>2173</v>
      </c>
      <c r="C98" s="209" t="s">
        <v>3274</v>
      </c>
      <c r="D98" s="414" t="str">
        <f t="shared" si="2"/>
        <v>11-26</v>
      </c>
      <c r="E98" s="273" t="e">
        <f ca="1">_xludf.IFNA(VLOOKUP('Comp X - Kilter'!B98,'Kilter Holds'!$P$37:$AB$662,11,0),0)</f>
        <v>#NAME?</v>
      </c>
      <c r="F98" s="274"/>
      <c r="G98" s="274" t="e">
        <f t="shared" ca="1" si="0"/>
        <v>#NAME?</v>
      </c>
      <c r="H98" s="274">
        <f t="shared" si="1"/>
        <v>0</v>
      </c>
      <c r="K98" s="274"/>
    </row>
    <row r="99" spans="2:11" ht="13.5" customHeight="1">
      <c r="B99" s="209" t="s">
        <v>2173</v>
      </c>
      <c r="C99" s="209" t="s">
        <v>3274</v>
      </c>
      <c r="D99" s="415" t="str">
        <f t="shared" si="2"/>
        <v>18-01</v>
      </c>
      <c r="E99" s="273" t="e">
        <f ca="1">_xludf.IFNA(VLOOKUP('Comp X - Kilter'!B99,'Kilter Holds'!$P$37:$AB$662,12,0),0)</f>
        <v>#NAME?</v>
      </c>
      <c r="F99" s="274"/>
      <c r="G99" s="274" t="e">
        <f t="shared" ca="1" si="0"/>
        <v>#NAME?</v>
      </c>
      <c r="H99" s="274">
        <f t="shared" si="1"/>
        <v>0</v>
      </c>
      <c r="K99" s="274"/>
    </row>
    <row r="100" spans="2:11" ht="13.5" customHeight="1">
      <c r="B100" s="209" t="s">
        <v>2173</v>
      </c>
      <c r="C100" s="209" t="s">
        <v>3274</v>
      </c>
      <c r="D100" s="416" t="str">
        <f t="shared" si="2"/>
        <v>Color Code</v>
      </c>
      <c r="E100" s="273" t="e">
        <f ca="1">_xludf.IFNA(VLOOKUP('Comp X - Kilter'!B100,'Kilter Holds'!$P$37:$AB$662,13,0),0)</f>
        <v>#NAME?</v>
      </c>
      <c r="F100" s="274"/>
      <c r="G100" s="274" t="e">
        <f t="shared" ca="1" si="0"/>
        <v>#NAME?</v>
      </c>
      <c r="H100" s="274">
        <f t="shared" si="1"/>
        <v>0</v>
      </c>
      <c r="K100" s="274"/>
    </row>
    <row r="101" spans="2:11" ht="13.5" customHeight="1">
      <c r="B101" s="209" t="s">
        <v>2174</v>
      </c>
      <c r="C101" s="209" t="s">
        <v>3275</v>
      </c>
      <c r="D101" s="406" t="str">
        <f t="shared" si="2"/>
        <v>11-12</v>
      </c>
      <c r="E101" s="273" t="e">
        <f ca="1">_xludf.IFNA(VLOOKUP('Comp X - Kilter'!B101,'Kilter Holds'!$P$37:$AB$662,5,0),0)</f>
        <v>#NAME?</v>
      </c>
      <c r="F101" s="274"/>
      <c r="G101" s="274" t="e">
        <f t="shared" ca="1" si="0"/>
        <v>#NAME?</v>
      </c>
      <c r="H101" s="274">
        <f t="shared" si="1"/>
        <v>0</v>
      </c>
      <c r="K101" s="274"/>
    </row>
    <row r="102" spans="2:11" ht="13.5" customHeight="1">
      <c r="B102" s="209" t="s">
        <v>2174</v>
      </c>
      <c r="C102" s="209" t="s">
        <v>3275</v>
      </c>
      <c r="D102" s="408" t="str">
        <f t="shared" si="2"/>
        <v>14-01</v>
      </c>
      <c r="E102" s="273" t="e">
        <f ca="1">_xludf.IFNA(VLOOKUP('Comp X - Kilter'!B102,'Kilter Holds'!$P$37:$AB$662,6,0),0)</f>
        <v>#NAME?</v>
      </c>
      <c r="F102" s="274"/>
      <c r="G102" s="274" t="e">
        <f t="shared" ca="1" si="0"/>
        <v>#NAME?</v>
      </c>
      <c r="H102" s="274">
        <f t="shared" si="1"/>
        <v>0</v>
      </c>
      <c r="K102" s="274"/>
    </row>
    <row r="103" spans="2:11" ht="13.5" customHeight="1">
      <c r="B103" s="209" t="s">
        <v>2174</v>
      </c>
      <c r="C103" s="209" t="s">
        <v>3275</v>
      </c>
      <c r="D103" s="409" t="str">
        <f t="shared" si="2"/>
        <v>15-12</v>
      </c>
      <c r="E103" s="273" t="e">
        <f ca="1">_xludf.IFNA(VLOOKUP('Comp X - Kilter'!B103,'Kilter Holds'!$P$37:$AB$662,7,0),0)</f>
        <v>#NAME?</v>
      </c>
      <c r="F103" s="274"/>
      <c r="G103" s="274" t="e">
        <f t="shared" ca="1" si="0"/>
        <v>#NAME?</v>
      </c>
      <c r="H103" s="274">
        <f t="shared" si="1"/>
        <v>0</v>
      </c>
      <c r="K103" s="274"/>
    </row>
    <row r="104" spans="2:11" ht="13.5" customHeight="1">
      <c r="B104" s="209" t="s">
        <v>2174</v>
      </c>
      <c r="C104" s="209" t="s">
        <v>3275</v>
      </c>
      <c r="D104" s="410" t="str">
        <f t="shared" si="2"/>
        <v>16-16</v>
      </c>
      <c r="E104" s="273" t="e">
        <f ca="1">_xludf.IFNA(VLOOKUP('Comp X - Kilter'!B104,'Kilter Holds'!$P$37:$AB$662,8,0),0)</f>
        <v>#NAME?</v>
      </c>
      <c r="F104" s="274"/>
      <c r="G104" s="274" t="e">
        <f t="shared" ca="1" si="0"/>
        <v>#NAME?</v>
      </c>
      <c r="H104" s="274">
        <f t="shared" si="1"/>
        <v>0</v>
      </c>
      <c r="K104" s="274"/>
    </row>
    <row r="105" spans="2:11" ht="13.5" customHeight="1">
      <c r="B105" s="209" t="s">
        <v>2174</v>
      </c>
      <c r="C105" s="209" t="s">
        <v>3275</v>
      </c>
      <c r="D105" s="411" t="str">
        <f t="shared" si="2"/>
        <v>13-01</v>
      </c>
      <c r="E105" s="273" t="e">
        <f ca="1">_xludf.IFNA(VLOOKUP('Comp X - Kilter'!B105,'Kilter Holds'!$P$37:$AB$662,9,0),0)</f>
        <v>#NAME?</v>
      </c>
      <c r="F105" s="274"/>
      <c r="G105" s="274" t="e">
        <f t="shared" ca="1" si="0"/>
        <v>#NAME?</v>
      </c>
      <c r="H105" s="274">
        <f t="shared" si="1"/>
        <v>0</v>
      </c>
      <c r="K105" s="274"/>
    </row>
    <row r="106" spans="2:11" ht="13.5" customHeight="1">
      <c r="B106" s="209" t="s">
        <v>2174</v>
      </c>
      <c r="C106" s="209" t="s">
        <v>3275</v>
      </c>
      <c r="D106" s="413" t="str">
        <f t="shared" si="2"/>
        <v>07-13</v>
      </c>
      <c r="E106" s="273" t="e">
        <f ca="1">_xludf.IFNA(VLOOKUP('Comp X - Kilter'!B106,'Kilter Holds'!$P$37:$AB$662,10,0),0)</f>
        <v>#NAME?</v>
      </c>
      <c r="F106" s="274"/>
      <c r="G106" s="274" t="e">
        <f t="shared" ca="1" si="0"/>
        <v>#NAME?</v>
      </c>
      <c r="H106" s="274">
        <f t="shared" si="1"/>
        <v>0</v>
      </c>
      <c r="K106" s="274"/>
    </row>
    <row r="107" spans="2:11" ht="13.5" customHeight="1">
      <c r="B107" s="209" t="s">
        <v>2174</v>
      </c>
      <c r="C107" s="209" t="s">
        <v>3275</v>
      </c>
      <c r="D107" s="414" t="str">
        <f t="shared" si="2"/>
        <v>11-26</v>
      </c>
      <c r="E107" s="273" t="e">
        <f ca="1">_xludf.IFNA(VLOOKUP('Comp X - Kilter'!B107,'Kilter Holds'!$P$37:$AB$662,11,0),0)</f>
        <v>#NAME?</v>
      </c>
      <c r="F107" s="274"/>
      <c r="G107" s="274" t="e">
        <f t="shared" ca="1" si="0"/>
        <v>#NAME?</v>
      </c>
      <c r="H107" s="274">
        <f t="shared" si="1"/>
        <v>0</v>
      </c>
      <c r="K107" s="274"/>
    </row>
    <row r="108" spans="2:11" ht="13.5" customHeight="1">
      <c r="B108" s="209" t="s">
        <v>2174</v>
      </c>
      <c r="C108" s="209" t="s">
        <v>3275</v>
      </c>
      <c r="D108" s="415" t="str">
        <f t="shared" si="2"/>
        <v>18-01</v>
      </c>
      <c r="E108" s="273" t="e">
        <f ca="1">_xludf.IFNA(VLOOKUP('Comp X - Kilter'!B108,'Kilter Holds'!$P$37:$AB$662,12,0),0)</f>
        <v>#NAME?</v>
      </c>
      <c r="F108" s="274"/>
      <c r="G108" s="274" t="e">
        <f t="shared" ca="1" si="0"/>
        <v>#NAME?</v>
      </c>
      <c r="H108" s="274">
        <f t="shared" si="1"/>
        <v>0</v>
      </c>
      <c r="K108" s="274"/>
    </row>
    <row r="109" spans="2:11" ht="13.5" customHeight="1">
      <c r="B109" s="209" t="s">
        <v>2174</v>
      </c>
      <c r="C109" s="209" t="s">
        <v>3275</v>
      </c>
      <c r="D109" s="416" t="str">
        <f t="shared" si="2"/>
        <v>Color Code</v>
      </c>
      <c r="E109" s="273" t="e">
        <f ca="1">_xludf.IFNA(VLOOKUP('Comp X - Kilter'!B109,'Kilter Holds'!$P$37:$AB$662,13,0),0)</f>
        <v>#NAME?</v>
      </c>
      <c r="F109" s="274"/>
      <c r="G109" s="274" t="e">
        <f t="shared" ca="1" si="0"/>
        <v>#NAME?</v>
      </c>
      <c r="H109" s="274">
        <f t="shared" si="1"/>
        <v>0</v>
      </c>
      <c r="K109" s="274"/>
    </row>
    <row r="110" spans="2:11" ht="13.5" customHeight="1">
      <c r="B110" s="209" t="s">
        <v>2175</v>
      </c>
      <c r="C110" s="209" t="s">
        <v>3276</v>
      </c>
      <c r="D110" s="406" t="str">
        <f t="shared" si="2"/>
        <v>11-12</v>
      </c>
      <c r="E110" s="273" t="e">
        <f ca="1">_xludf.IFNA(VLOOKUP('Comp X - Kilter'!B110,'Kilter Holds'!$P$37:$AB$662,5,0),0)</f>
        <v>#NAME?</v>
      </c>
      <c r="F110" s="274"/>
      <c r="G110" s="274" t="e">
        <f t="shared" ca="1" si="0"/>
        <v>#NAME?</v>
      </c>
      <c r="H110" s="274">
        <f t="shared" si="1"/>
        <v>0</v>
      </c>
      <c r="K110" s="274"/>
    </row>
    <row r="111" spans="2:11" ht="13.5" customHeight="1">
      <c r="B111" s="209" t="s">
        <v>2175</v>
      </c>
      <c r="C111" s="209" t="s">
        <v>3276</v>
      </c>
      <c r="D111" s="408" t="str">
        <f t="shared" si="2"/>
        <v>14-01</v>
      </c>
      <c r="E111" s="273" t="e">
        <f ca="1">_xludf.IFNA(VLOOKUP('Comp X - Kilter'!B111,'Kilter Holds'!$P$37:$AB$662,6,0),0)</f>
        <v>#NAME?</v>
      </c>
      <c r="F111" s="274"/>
      <c r="G111" s="274" t="e">
        <f t="shared" ca="1" si="0"/>
        <v>#NAME?</v>
      </c>
      <c r="H111" s="274">
        <f t="shared" si="1"/>
        <v>0</v>
      </c>
      <c r="K111" s="274"/>
    </row>
    <row r="112" spans="2:11" ht="13.5" customHeight="1">
      <c r="B112" s="209" t="s">
        <v>2175</v>
      </c>
      <c r="C112" s="209" t="s">
        <v>3276</v>
      </c>
      <c r="D112" s="409" t="str">
        <f t="shared" si="2"/>
        <v>15-12</v>
      </c>
      <c r="E112" s="273" t="e">
        <f ca="1">_xludf.IFNA(VLOOKUP('Comp X - Kilter'!B112,'Kilter Holds'!$P$37:$AB$662,7,0),0)</f>
        <v>#NAME?</v>
      </c>
      <c r="F112" s="274"/>
      <c r="G112" s="274" t="e">
        <f t="shared" ca="1" si="0"/>
        <v>#NAME?</v>
      </c>
      <c r="H112" s="274">
        <f t="shared" si="1"/>
        <v>0</v>
      </c>
      <c r="K112" s="274"/>
    </row>
    <row r="113" spans="2:11" ht="13.5" customHeight="1">
      <c r="B113" s="209" t="s">
        <v>2175</v>
      </c>
      <c r="C113" s="209" t="s">
        <v>3276</v>
      </c>
      <c r="D113" s="410" t="str">
        <f t="shared" si="2"/>
        <v>16-16</v>
      </c>
      <c r="E113" s="273" t="e">
        <f ca="1">_xludf.IFNA(VLOOKUP('Comp X - Kilter'!B113,'Kilter Holds'!$P$37:$AB$662,8,0),0)</f>
        <v>#NAME?</v>
      </c>
      <c r="F113" s="274"/>
      <c r="G113" s="274" t="e">
        <f t="shared" ca="1" si="0"/>
        <v>#NAME?</v>
      </c>
      <c r="H113" s="274">
        <f t="shared" si="1"/>
        <v>0</v>
      </c>
      <c r="K113" s="274"/>
    </row>
    <row r="114" spans="2:11" ht="13.5" customHeight="1">
      <c r="B114" s="209" t="s">
        <v>2175</v>
      </c>
      <c r="C114" s="209" t="s">
        <v>3276</v>
      </c>
      <c r="D114" s="411" t="str">
        <f t="shared" si="2"/>
        <v>13-01</v>
      </c>
      <c r="E114" s="273" t="e">
        <f ca="1">_xludf.IFNA(VLOOKUP('Comp X - Kilter'!B114,'Kilter Holds'!$P$37:$AB$662,9,0),0)</f>
        <v>#NAME?</v>
      </c>
      <c r="F114" s="274"/>
      <c r="G114" s="274" t="e">
        <f t="shared" ca="1" si="0"/>
        <v>#NAME?</v>
      </c>
      <c r="H114" s="274">
        <f t="shared" si="1"/>
        <v>0</v>
      </c>
      <c r="K114" s="274"/>
    </row>
    <row r="115" spans="2:11" ht="13.5" customHeight="1">
      <c r="B115" s="209" t="s">
        <v>2175</v>
      </c>
      <c r="C115" s="209" t="s">
        <v>3276</v>
      </c>
      <c r="D115" s="413" t="str">
        <f t="shared" si="2"/>
        <v>07-13</v>
      </c>
      <c r="E115" s="273" t="e">
        <f ca="1">_xludf.IFNA(VLOOKUP('Comp X - Kilter'!B115,'Kilter Holds'!$P$37:$AB$662,10,0),0)</f>
        <v>#NAME?</v>
      </c>
      <c r="F115" s="274"/>
      <c r="G115" s="274" t="e">
        <f t="shared" ca="1" si="0"/>
        <v>#NAME?</v>
      </c>
      <c r="H115" s="274">
        <f t="shared" si="1"/>
        <v>0</v>
      </c>
      <c r="K115" s="274"/>
    </row>
    <row r="116" spans="2:11" ht="13.5" customHeight="1">
      <c r="B116" s="209" t="s">
        <v>2175</v>
      </c>
      <c r="C116" s="209" t="s">
        <v>3276</v>
      </c>
      <c r="D116" s="414" t="str">
        <f t="shared" si="2"/>
        <v>11-26</v>
      </c>
      <c r="E116" s="273" t="e">
        <f ca="1">_xludf.IFNA(VLOOKUP('Comp X - Kilter'!B116,'Kilter Holds'!$P$37:$AB$662,11,0),0)</f>
        <v>#NAME?</v>
      </c>
      <c r="F116" s="274"/>
      <c r="G116" s="274" t="e">
        <f t="shared" ca="1" si="0"/>
        <v>#NAME?</v>
      </c>
      <c r="H116" s="274">
        <f t="shared" si="1"/>
        <v>0</v>
      </c>
      <c r="K116" s="274"/>
    </row>
    <row r="117" spans="2:11" ht="13.5" customHeight="1">
      <c r="B117" s="209" t="s">
        <v>2175</v>
      </c>
      <c r="C117" s="209" t="s">
        <v>3276</v>
      </c>
      <c r="D117" s="415" t="str">
        <f t="shared" si="2"/>
        <v>18-01</v>
      </c>
      <c r="E117" s="273" t="e">
        <f ca="1">_xludf.IFNA(VLOOKUP('Comp X - Kilter'!B117,'Kilter Holds'!$P$37:$AB$662,12,0),0)</f>
        <v>#NAME?</v>
      </c>
      <c r="F117" s="274"/>
      <c r="G117" s="274" t="e">
        <f t="shared" ca="1" si="0"/>
        <v>#NAME?</v>
      </c>
      <c r="H117" s="274">
        <f t="shared" si="1"/>
        <v>0</v>
      </c>
      <c r="K117" s="274"/>
    </row>
    <row r="118" spans="2:11" ht="13.5" customHeight="1">
      <c r="B118" s="209" t="s">
        <v>2175</v>
      </c>
      <c r="C118" s="209" t="s">
        <v>3276</v>
      </c>
      <c r="D118" s="416" t="str">
        <f t="shared" si="2"/>
        <v>Color Code</v>
      </c>
      <c r="E118" s="273" t="e">
        <f ca="1">_xludf.IFNA(VLOOKUP('Comp X - Kilter'!B118,'Kilter Holds'!$P$37:$AB$662,13,0),0)</f>
        <v>#NAME?</v>
      </c>
      <c r="F118" s="274"/>
      <c r="G118" s="274" t="e">
        <f t="shared" ca="1" si="0"/>
        <v>#NAME?</v>
      </c>
      <c r="H118" s="274">
        <f t="shared" si="1"/>
        <v>0</v>
      </c>
      <c r="K118" s="274"/>
    </row>
    <row r="119" spans="2:11" ht="13.5" customHeight="1">
      <c r="B119" s="209" t="s">
        <v>2176</v>
      </c>
      <c r="C119" s="209" t="s">
        <v>3277</v>
      </c>
      <c r="D119" s="406" t="str">
        <f t="shared" si="2"/>
        <v>11-12</v>
      </c>
      <c r="E119" s="273" t="e">
        <f ca="1">_xludf.IFNA(VLOOKUP('Comp X - Kilter'!B119,'Kilter Holds'!$P$37:$AB$662,5,0),0)</f>
        <v>#NAME?</v>
      </c>
      <c r="F119" s="274"/>
      <c r="G119" s="274" t="e">
        <f t="shared" ca="1" si="0"/>
        <v>#NAME?</v>
      </c>
      <c r="H119" s="274">
        <f t="shared" si="1"/>
        <v>0</v>
      </c>
      <c r="K119" s="274"/>
    </row>
    <row r="120" spans="2:11" ht="13.5" customHeight="1">
      <c r="B120" s="209" t="s">
        <v>2176</v>
      </c>
      <c r="C120" s="209" t="s">
        <v>3277</v>
      </c>
      <c r="D120" s="408" t="str">
        <f t="shared" si="2"/>
        <v>14-01</v>
      </c>
      <c r="E120" s="273" t="e">
        <f ca="1">_xludf.IFNA(VLOOKUP('Comp X - Kilter'!B120,'Kilter Holds'!$P$37:$AB$662,6,0),0)</f>
        <v>#NAME?</v>
      </c>
      <c r="F120" s="274"/>
      <c r="G120" s="274" t="e">
        <f t="shared" ca="1" si="0"/>
        <v>#NAME?</v>
      </c>
      <c r="H120" s="274">
        <f t="shared" si="1"/>
        <v>0</v>
      </c>
      <c r="K120" s="274"/>
    </row>
    <row r="121" spans="2:11" ht="13.5" customHeight="1">
      <c r="B121" s="209" t="s">
        <v>2176</v>
      </c>
      <c r="C121" s="209" t="s">
        <v>3277</v>
      </c>
      <c r="D121" s="409" t="str">
        <f t="shared" si="2"/>
        <v>15-12</v>
      </c>
      <c r="E121" s="273" t="e">
        <f ca="1">_xludf.IFNA(VLOOKUP('Comp X - Kilter'!B121,'Kilter Holds'!$P$37:$AB$662,7,0),0)</f>
        <v>#NAME?</v>
      </c>
      <c r="F121" s="274"/>
      <c r="G121" s="274" t="e">
        <f t="shared" ca="1" si="0"/>
        <v>#NAME?</v>
      </c>
      <c r="H121" s="274">
        <f t="shared" si="1"/>
        <v>0</v>
      </c>
      <c r="K121" s="274"/>
    </row>
    <row r="122" spans="2:11" ht="13.5" customHeight="1">
      <c r="B122" s="209" t="s">
        <v>2176</v>
      </c>
      <c r="C122" s="209" t="s">
        <v>3277</v>
      </c>
      <c r="D122" s="410" t="str">
        <f t="shared" si="2"/>
        <v>16-16</v>
      </c>
      <c r="E122" s="273" t="e">
        <f ca="1">_xludf.IFNA(VLOOKUP('Comp X - Kilter'!B122,'Kilter Holds'!$P$37:$AB$662,8,0),0)</f>
        <v>#NAME?</v>
      </c>
      <c r="F122" s="274"/>
      <c r="G122" s="274" t="e">
        <f t="shared" ca="1" si="0"/>
        <v>#NAME?</v>
      </c>
      <c r="H122" s="274">
        <f t="shared" si="1"/>
        <v>0</v>
      </c>
      <c r="K122" s="274"/>
    </row>
    <row r="123" spans="2:11" ht="13.5" customHeight="1">
      <c r="B123" s="209" t="s">
        <v>2176</v>
      </c>
      <c r="C123" s="209" t="s">
        <v>3277</v>
      </c>
      <c r="D123" s="411" t="str">
        <f t="shared" si="2"/>
        <v>13-01</v>
      </c>
      <c r="E123" s="273" t="e">
        <f ca="1">_xludf.IFNA(VLOOKUP('Comp X - Kilter'!B123,'Kilter Holds'!$P$37:$AB$662,9,0),0)</f>
        <v>#NAME?</v>
      </c>
      <c r="F123" s="274"/>
      <c r="G123" s="274" t="e">
        <f t="shared" ca="1" si="0"/>
        <v>#NAME?</v>
      </c>
      <c r="H123" s="274">
        <f t="shared" si="1"/>
        <v>0</v>
      </c>
      <c r="K123" s="274"/>
    </row>
    <row r="124" spans="2:11" ht="13.5" customHeight="1">
      <c r="B124" s="209" t="s">
        <v>2176</v>
      </c>
      <c r="C124" s="209" t="s">
        <v>3277</v>
      </c>
      <c r="D124" s="413" t="str">
        <f t="shared" si="2"/>
        <v>07-13</v>
      </c>
      <c r="E124" s="273" t="e">
        <f ca="1">_xludf.IFNA(VLOOKUP('Comp X - Kilter'!B124,'Kilter Holds'!$P$37:$AB$662,10,0),0)</f>
        <v>#NAME?</v>
      </c>
      <c r="F124" s="274"/>
      <c r="G124" s="274" t="e">
        <f t="shared" ca="1" si="0"/>
        <v>#NAME?</v>
      </c>
      <c r="H124" s="274">
        <f t="shared" si="1"/>
        <v>0</v>
      </c>
      <c r="K124" s="274"/>
    </row>
    <row r="125" spans="2:11" ht="13.5" customHeight="1">
      <c r="B125" s="209" t="s">
        <v>2176</v>
      </c>
      <c r="C125" s="209" t="s">
        <v>3277</v>
      </c>
      <c r="D125" s="414" t="str">
        <f t="shared" si="2"/>
        <v>11-26</v>
      </c>
      <c r="E125" s="273" t="e">
        <f ca="1">_xludf.IFNA(VLOOKUP('Comp X - Kilter'!B125,'Kilter Holds'!$P$37:$AB$662,11,0),0)</f>
        <v>#NAME?</v>
      </c>
      <c r="F125" s="274"/>
      <c r="G125" s="274" t="e">
        <f t="shared" ca="1" si="0"/>
        <v>#NAME?</v>
      </c>
      <c r="H125" s="274">
        <f t="shared" si="1"/>
        <v>0</v>
      </c>
      <c r="K125" s="274"/>
    </row>
    <row r="126" spans="2:11" ht="13.5" customHeight="1">
      <c r="B126" s="209" t="s">
        <v>2176</v>
      </c>
      <c r="C126" s="209" t="s">
        <v>3277</v>
      </c>
      <c r="D126" s="415" t="str">
        <f t="shared" si="2"/>
        <v>18-01</v>
      </c>
      <c r="E126" s="273" t="e">
        <f ca="1">_xludf.IFNA(VLOOKUP('Comp X - Kilter'!B126,'Kilter Holds'!$P$37:$AB$662,12,0),0)</f>
        <v>#NAME?</v>
      </c>
      <c r="F126" s="274"/>
      <c r="G126" s="274" t="e">
        <f t="shared" ca="1" si="0"/>
        <v>#NAME?</v>
      </c>
      <c r="H126" s="274">
        <f t="shared" si="1"/>
        <v>0</v>
      </c>
      <c r="K126" s="274"/>
    </row>
    <row r="127" spans="2:11" ht="13.5" customHeight="1">
      <c r="B127" s="209" t="s">
        <v>2176</v>
      </c>
      <c r="C127" s="209" t="s">
        <v>3277</v>
      </c>
      <c r="D127" s="416" t="str">
        <f t="shared" si="2"/>
        <v>Color Code</v>
      </c>
      <c r="E127" s="273" t="e">
        <f ca="1">_xludf.IFNA(VLOOKUP('Comp X - Kilter'!B127,'Kilter Holds'!$P$37:$AB$662,13,0),0)</f>
        <v>#NAME?</v>
      </c>
      <c r="F127" s="274"/>
      <c r="G127" s="274" t="e">
        <f t="shared" ca="1" si="0"/>
        <v>#NAME?</v>
      </c>
      <c r="H127" s="274">
        <f t="shared" si="1"/>
        <v>0</v>
      </c>
      <c r="K127" s="274"/>
    </row>
    <row r="128" spans="2:11" ht="13.5" customHeight="1">
      <c r="B128" s="209" t="s">
        <v>2185</v>
      </c>
      <c r="C128" s="209" t="s">
        <v>3278</v>
      </c>
      <c r="D128" s="406" t="str">
        <f t="shared" si="2"/>
        <v>11-12</v>
      </c>
      <c r="E128" s="273" t="e">
        <f ca="1">_xludf.IFNA(VLOOKUP('Comp X - Kilter'!B128,'Kilter Holds'!$P$37:$AB$662,5,0),0)</f>
        <v>#NAME?</v>
      </c>
      <c r="F128" s="274"/>
      <c r="G128" s="274" t="e">
        <f t="shared" ca="1" si="0"/>
        <v>#NAME?</v>
      </c>
      <c r="H128" s="274">
        <f t="shared" si="1"/>
        <v>0</v>
      </c>
      <c r="K128" s="274"/>
    </row>
    <row r="129" spans="2:11" ht="13.5" customHeight="1">
      <c r="B129" s="209" t="s">
        <v>2185</v>
      </c>
      <c r="C129" s="209" t="s">
        <v>3278</v>
      </c>
      <c r="D129" s="408" t="str">
        <f t="shared" si="2"/>
        <v>14-01</v>
      </c>
      <c r="E129" s="273" t="e">
        <f ca="1">_xludf.IFNA(VLOOKUP('Comp X - Kilter'!B129,'Kilter Holds'!$P$37:$AB$662,6,0),0)</f>
        <v>#NAME?</v>
      </c>
      <c r="F129" s="274"/>
      <c r="G129" s="274" t="e">
        <f t="shared" ca="1" si="0"/>
        <v>#NAME?</v>
      </c>
      <c r="H129" s="274">
        <f t="shared" si="1"/>
        <v>0</v>
      </c>
      <c r="K129" s="274"/>
    </row>
    <row r="130" spans="2:11" ht="13.5" customHeight="1">
      <c r="B130" s="209" t="s">
        <v>2185</v>
      </c>
      <c r="C130" s="209" t="s">
        <v>3278</v>
      </c>
      <c r="D130" s="409" t="str">
        <f t="shared" si="2"/>
        <v>15-12</v>
      </c>
      <c r="E130" s="273" t="e">
        <f ca="1">_xludf.IFNA(VLOOKUP('Comp X - Kilter'!B130,'Kilter Holds'!$P$37:$AB$662,7,0),0)</f>
        <v>#NAME?</v>
      </c>
      <c r="F130" s="274"/>
      <c r="G130" s="274" t="e">
        <f t="shared" ca="1" si="0"/>
        <v>#NAME?</v>
      </c>
      <c r="H130" s="274">
        <f t="shared" si="1"/>
        <v>0</v>
      </c>
      <c r="K130" s="274"/>
    </row>
    <row r="131" spans="2:11" ht="13.5" customHeight="1">
      <c r="B131" s="209" t="s">
        <v>2185</v>
      </c>
      <c r="C131" s="209" t="s">
        <v>3278</v>
      </c>
      <c r="D131" s="410" t="str">
        <f t="shared" si="2"/>
        <v>16-16</v>
      </c>
      <c r="E131" s="273" t="e">
        <f ca="1">_xludf.IFNA(VLOOKUP('Comp X - Kilter'!B131,'Kilter Holds'!$P$37:$AB$662,8,0),0)</f>
        <v>#NAME?</v>
      </c>
      <c r="F131" s="274"/>
      <c r="G131" s="274" t="e">
        <f t="shared" ca="1" si="0"/>
        <v>#NAME?</v>
      </c>
      <c r="H131" s="274">
        <f t="shared" si="1"/>
        <v>0</v>
      </c>
      <c r="K131" s="274"/>
    </row>
    <row r="132" spans="2:11" ht="13.5" customHeight="1">
      <c r="B132" s="209" t="s">
        <v>2185</v>
      </c>
      <c r="C132" s="209" t="s">
        <v>3278</v>
      </c>
      <c r="D132" s="411" t="str">
        <f t="shared" si="2"/>
        <v>13-01</v>
      </c>
      <c r="E132" s="273" t="e">
        <f ca="1">_xludf.IFNA(VLOOKUP('Comp X - Kilter'!B132,'Kilter Holds'!$P$37:$AB$662,9,0),0)</f>
        <v>#NAME?</v>
      </c>
      <c r="F132" s="274"/>
      <c r="G132" s="274" t="e">
        <f t="shared" ca="1" si="0"/>
        <v>#NAME?</v>
      </c>
      <c r="H132" s="274">
        <f t="shared" si="1"/>
        <v>0</v>
      </c>
      <c r="K132" s="274"/>
    </row>
    <row r="133" spans="2:11" ht="13.5" customHeight="1">
      <c r="B133" s="209" t="s">
        <v>2185</v>
      </c>
      <c r="C133" s="209" t="s">
        <v>3278</v>
      </c>
      <c r="D133" s="413" t="str">
        <f t="shared" si="2"/>
        <v>07-13</v>
      </c>
      <c r="E133" s="273" t="e">
        <f ca="1">_xludf.IFNA(VLOOKUP('Comp X - Kilter'!B133,'Kilter Holds'!$P$37:$AB$662,10,0),0)</f>
        <v>#NAME?</v>
      </c>
      <c r="F133" s="274"/>
      <c r="G133" s="274" t="e">
        <f t="shared" ca="1" si="0"/>
        <v>#NAME?</v>
      </c>
      <c r="H133" s="274">
        <f t="shared" si="1"/>
        <v>0</v>
      </c>
      <c r="K133" s="274"/>
    </row>
    <row r="134" spans="2:11" ht="13.5" customHeight="1">
      <c r="B134" s="209" t="s">
        <v>2185</v>
      </c>
      <c r="C134" s="209" t="s">
        <v>3278</v>
      </c>
      <c r="D134" s="414" t="str">
        <f t="shared" si="2"/>
        <v>11-26</v>
      </c>
      <c r="E134" s="273" t="e">
        <f ca="1">_xludf.IFNA(VLOOKUP('Comp X - Kilter'!B134,'Kilter Holds'!$P$37:$AB$662,11,0),0)</f>
        <v>#NAME?</v>
      </c>
      <c r="F134" s="274"/>
      <c r="G134" s="274" t="e">
        <f t="shared" ca="1" si="0"/>
        <v>#NAME?</v>
      </c>
      <c r="H134" s="274">
        <f t="shared" si="1"/>
        <v>0</v>
      </c>
      <c r="K134" s="274"/>
    </row>
    <row r="135" spans="2:11" ht="13.5" customHeight="1">
      <c r="B135" s="209" t="s">
        <v>2185</v>
      </c>
      <c r="C135" s="209" t="s">
        <v>3278</v>
      </c>
      <c r="D135" s="415" t="str">
        <f t="shared" si="2"/>
        <v>18-01</v>
      </c>
      <c r="E135" s="273" t="e">
        <f ca="1">_xludf.IFNA(VLOOKUP('Comp X - Kilter'!B135,'Kilter Holds'!$P$37:$AB$662,12,0),0)</f>
        <v>#NAME?</v>
      </c>
      <c r="F135" s="274"/>
      <c r="G135" s="274" t="e">
        <f t="shared" ca="1" si="0"/>
        <v>#NAME?</v>
      </c>
      <c r="H135" s="274">
        <f t="shared" si="1"/>
        <v>0</v>
      </c>
      <c r="K135" s="274"/>
    </row>
    <row r="136" spans="2:11" ht="13.5" customHeight="1">
      <c r="B136" s="209" t="s">
        <v>2185</v>
      </c>
      <c r="C136" s="209" t="s">
        <v>3278</v>
      </c>
      <c r="D136" s="416" t="str">
        <f t="shared" si="2"/>
        <v>Color Code</v>
      </c>
      <c r="E136" s="273" t="e">
        <f ca="1">_xludf.IFNA(VLOOKUP('Comp X - Kilter'!B136,'Kilter Holds'!$P$37:$AB$662,13,0),0)</f>
        <v>#NAME?</v>
      </c>
      <c r="F136" s="274"/>
      <c r="G136" s="274" t="e">
        <f t="shared" ca="1" si="0"/>
        <v>#NAME?</v>
      </c>
      <c r="H136" s="274">
        <f t="shared" si="1"/>
        <v>0</v>
      </c>
      <c r="K136" s="274"/>
    </row>
    <row r="137" spans="2:11" ht="13.5" customHeight="1">
      <c r="B137" s="209" t="s">
        <v>2180</v>
      </c>
      <c r="C137" s="209" t="s">
        <v>3279</v>
      </c>
      <c r="D137" s="406" t="str">
        <f t="shared" si="2"/>
        <v>11-12</v>
      </c>
      <c r="E137" s="273" t="e">
        <f ca="1">_xludf.IFNA(VLOOKUP('Comp X - Kilter'!B137,'Kilter Holds'!$P$37:$AB$662,5,0),0)</f>
        <v>#NAME?</v>
      </c>
      <c r="F137" s="274"/>
      <c r="G137" s="274" t="e">
        <f t="shared" ca="1" si="0"/>
        <v>#NAME?</v>
      </c>
      <c r="H137" s="274">
        <f t="shared" si="1"/>
        <v>0</v>
      </c>
      <c r="K137" s="274"/>
    </row>
    <row r="138" spans="2:11" ht="13.5" customHeight="1">
      <c r="B138" s="209" t="s">
        <v>2180</v>
      </c>
      <c r="C138" s="209" t="s">
        <v>3279</v>
      </c>
      <c r="D138" s="408" t="str">
        <f t="shared" si="2"/>
        <v>14-01</v>
      </c>
      <c r="E138" s="273" t="e">
        <f ca="1">_xludf.IFNA(VLOOKUP('Comp X - Kilter'!B138,'Kilter Holds'!$P$37:$AB$662,6,0),0)</f>
        <v>#NAME?</v>
      </c>
      <c r="F138" s="274"/>
      <c r="G138" s="274" t="e">
        <f t="shared" ca="1" si="0"/>
        <v>#NAME?</v>
      </c>
      <c r="H138" s="274">
        <f t="shared" si="1"/>
        <v>0</v>
      </c>
      <c r="K138" s="274"/>
    </row>
    <row r="139" spans="2:11" ht="13.5" customHeight="1">
      <c r="B139" s="209" t="s">
        <v>2180</v>
      </c>
      <c r="C139" s="209" t="s">
        <v>3279</v>
      </c>
      <c r="D139" s="409" t="str">
        <f t="shared" si="2"/>
        <v>15-12</v>
      </c>
      <c r="E139" s="273" t="e">
        <f ca="1">_xludf.IFNA(VLOOKUP('Comp X - Kilter'!B139,'Kilter Holds'!$P$37:$AB$662,7,0),0)</f>
        <v>#NAME?</v>
      </c>
      <c r="F139" s="274"/>
      <c r="G139" s="274" t="e">
        <f t="shared" ca="1" si="0"/>
        <v>#NAME?</v>
      </c>
      <c r="H139" s="274">
        <f t="shared" si="1"/>
        <v>0</v>
      </c>
      <c r="K139" s="274"/>
    </row>
    <row r="140" spans="2:11" ht="13.5" customHeight="1">
      <c r="B140" s="209" t="s">
        <v>2180</v>
      </c>
      <c r="C140" s="209" t="s">
        <v>3279</v>
      </c>
      <c r="D140" s="410" t="str">
        <f t="shared" si="2"/>
        <v>16-16</v>
      </c>
      <c r="E140" s="273" t="e">
        <f ca="1">_xludf.IFNA(VLOOKUP('Comp X - Kilter'!B140,'Kilter Holds'!$P$37:$AB$662,8,0),0)</f>
        <v>#NAME?</v>
      </c>
      <c r="F140" s="274"/>
      <c r="G140" s="274" t="e">
        <f t="shared" ca="1" si="0"/>
        <v>#NAME?</v>
      </c>
      <c r="H140" s="274">
        <f t="shared" si="1"/>
        <v>0</v>
      </c>
      <c r="K140" s="274"/>
    </row>
    <row r="141" spans="2:11" ht="13.5" customHeight="1">
      <c r="B141" s="209" t="s">
        <v>2180</v>
      </c>
      <c r="C141" s="209" t="s">
        <v>3279</v>
      </c>
      <c r="D141" s="411" t="str">
        <f t="shared" si="2"/>
        <v>13-01</v>
      </c>
      <c r="E141" s="273" t="e">
        <f ca="1">_xludf.IFNA(VLOOKUP('Comp X - Kilter'!B141,'Kilter Holds'!$P$37:$AB$662,9,0),0)</f>
        <v>#NAME?</v>
      </c>
      <c r="F141" s="274"/>
      <c r="G141" s="274" t="e">
        <f t="shared" ca="1" si="0"/>
        <v>#NAME?</v>
      </c>
      <c r="H141" s="274">
        <f t="shared" si="1"/>
        <v>0</v>
      </c>
      <c r="K141" s="274"/>
    </row>
    <row r="142" spans="2:11" ht="13.5" customHeight="1">
      <c r="B142" s="209" t="s">
        <v>2180</v>
      </c>
      <c r="C142" s="209" t="s">
        <v>3279</v>
      </c>
      <c r="D142" s="413" t="str">
        <f t="shared" si="2"/>
        <v>07-13</v>
      </c>
      <c r="E142" s="273" t="e">
        <f ca="1">_xludf.IFNA(VLOOKUP('Comp X - Kilter'!B142,'Kilter Holds'!$P$37:$AB$662,10,0),0)</f>
        <v>#NAME?</v>
      </c>
      <c r="F142" s="274"/>
      <c r="G142" s="274" t="e">
        <f t="shared" ca="1" si="0"/>
        <v>#NAME?</v>
      </c>
      <c r="H142" s="274">
        <f t="shared" si="1"/>
        <v>0</v>
      </c>
      <c r="K142" s="274"/>
    </row>
    <row r="143" spans="2:11" ht="13.5" customHeight="1">
      <c r="B143" s="209" t="s">
        <v>2180</v>
      </c>
      <c r="C143" s="209" t="s">
        <v>3279</v>
      </c>
      <c r="D143" s="414" t="str">
        <f t="shared" si="2"/>
        <v>11-26</v>
      </c>
      <c r="E143" s="273" t="e">
        <f ca="1">_xludf.IFNA(VLOOKUP('Comp X - Kilter'!B143,'Kilter Holds'!$P$37:$AB$662,11,0),0)</f>
        <v>#NAME?</v>
      </c>
      <c r="F143" s="274"/>
      <c r="G143" s="274" t="e">
        <f t="shared" ca="1" si="0"/>
        <v>#NAME?</v>
      </c>
      <c r="H143" s="274">
        <f t="shared" si="1"/>
        <v>0</v>
      </c>
      <c r="K143" s="274"/>
    </row>
    <row r="144" spans="2:11" ht="13.5" customHeight="1">
      <c r="B144" s="209" t="s">
        <v>2180</v>
      </c>
      <c r="C144" s="209" t="s">
        <v>3279</v>
      </c>
      <c r="D144" s="415" t="str">
        <f t="shared" si="2"/>
        <v>18-01</v>
      </c>
      <c r="E144" s="273" t="e">
        <f ca="1">_xludf.IFNA(VLOOKUP('Comp X - Kilter'!B144,'Kilter Holds'!$P$37:$AB$662,12,0),0)</f>
        <v>#NAME?</v>
      </c>
      <c r="F144" s="274"/>
      <c r="G144" s="274" t="e">
        <f t="shared" ca="1" si="0"/>
        <v>#NAME?</v>
      </c>
      <c r="H144" s="274">
        <f t="shared" si="1"/>
        <v>0</v>
      </c>
      <c r="K144" s="274"/>
    </row>
    <row r="145" spans="2:11" ht="13.5" customHeight="1">
      <c r="B145" s="209" t="s">
        <v>2180</v>
      </c>
      <c r="C145" s="209" t="s">
        <v>3279</v>
      </c>
      <c r="D145" s="416" t="str">
        <f t="shared" si="2"/>
        <v>Color Code</v>
      </c>
      <c r="E145" s="273" t="e">
        <f ca="1">_xludf.IFNA(VLOOKUP('Comp X - Kilter'!B145,'Kilter Holds'!$P$37:$AB$662,13,0),0)</f>
        <v>#NAME?</v>
      </c>
      <c r="F145" s="274"/>
      <c r="G145" s="274" t="e">
        <f t="shared" ca="1" si="0"/>
        <v>#NAME?</v>
      </c>
      <c r="H145" s="274">
        <f t="shared" si="1"/>
        <v>0</v>
      </c>
      <c r="K145" s="274"/>
    </row>
    <row r="146" spans="2:11" ht="13.5" customHeight="1">
      <c r="B146" s="209" t="s">
        <v>2177</v>
      </c>
      <c r="C146" s="209" t="s">
        <v>3280</v>
      </c>
      <c r="D146" s="406" t="str">
        <f t="shared" si="2"/>
        <v>11-12</v>
      </c>
      <c r="E146" s="273" t="e">
        <f ca="1">_xludf.IFNA(VLOOKUP('Comp X - Kilter'!B146,'Kilter Holds'!$P$37:$AB$662,5,0),0)</f>
        <v>#NAME?</v>
      </c>
      <c r="F146" s="274"/>
      <c r="G146" s="274" t="e">
        <f t="shared" ca="1" si="0"/>
        <v>#NAME?</v>
      </c>
      <c r="H146" s="274">
        <f t="shared" si="1"/>
        <v>0</v>
      </c>
      <c r="K146" s="274"/>
    </row>
    <row r="147" spans="2:11" ht="13.5" customHeight="1">
      <c r="B147" s="209" t="s">
        <v>2177</v>
      </c>
      <c r="C147" s="209" t="s">
        <v>3280</v>
      </c>
      <c r="D147" s="408" t="str">
        <f t="shared" si="2"/>
        <v>14-01</v>
      </c>
      <c r="E147" s="273" t="e">
        <f ca="1">_xludf.IFNA(VLOOKUP('Comp X - Kilter'!B147,'Kilter Holds'!$P$37:$AB$662,6,0),0)</f>
        <v>#NAME?</v>
      </c>
      <c r="F147" s="274"/>
      <c r="G147" s="274" t="e">
        <f t="shared" ca="1" si="0"/>
        <v>#NAME?</v>
      </c>
      <c r="H147" s="274">
        <f t="shared" si="1"/>
        <v>0</v>
      </c>
      <c r="K147" s="274"/>
    </row>
    <row r="148" spans="2:11" ht="13.5" customHeight="1">
      <c r="B148" s="209" t="s">
        <v>2177</v>
      </c>
      <c r="C148" s="209" t="s">
        <v>3280</v>
      </c>
      <c r="D148" s="409" t="str">
        <f t="shared" si="2"/>
        <v>15-12</v>
      </c>
      <c r="E148" s="273" t="e">
        <f ca="1">_xludf.IFNA(VLOOKUP('Comp X - Kilter'!B148,'Kilter Holds'!$P$37:$AB$662,7,0),0)</f>
        <v>#NAME?</v>
      </c>
      <c r="F148" s="274"/>
      <c r="G148" s="274" t="e">
        <f t="shared" ca="1" si="0"/>
        <v>#NAME?</v>
      </c>
      <c r="H148" s="274">
        <f t="shared" si="1"/>
        <v>0</v>
      </c>
      <c r="K148" s="274"/>
    </row>
    <row r="149" spans="2:11" ht="13.5" customHeight="1">
      <c r="B149" s="209" t="s">
        <v>2177</v>
      </c>
      <c r="C149" s="209" t="s">
        <v>3280</v>
      </c>
      <c r="D149" s="410" t="str">
        <f t="shared" si="2"/>
        <v>16-16</v>
      </c>
      <c r="E149" s="273" t="e">
        <f ca="1">_xludf.IFNA(VLOOKUP('Comp X - Kilter'!B149,'Kilter Holds'!$P$37:$AB$662,8,0),0)</f>
        <v>#NAME?</v>
      </c>
      <c r="F149" s="274"/>
      <c r="G149" s="274" t="e">
        <f t="shared" ca="1" si="0"/>
        <v>#NAME?</v>
      </c>
      <c r="H149" s="274">
        <f t="shared" si="1"/>
        <v>0</v>
      </c>
      <c r="K149" s="274"/>
    </row>
    <row r="150" spans="2:11" ht="13.5" customHeight="1">
      <c r="B150" s="209" t="s">
        <v>2177</v>
      </c>
      <c r="C150" s="209" t="s">
        <v>3280</v>
      </c>
      <c r="D150" s="411" t="str">
        <f t="shared" si="2"/>
        <v>13-01</v>
      </c>
      <c r="E150" s="273" t="e">
        <f ca="1">_xludf.IFNA(VLOOKUP('Comp X - Kilter'!B150,'Kilter Holds'!$P$37:$AB$662,9,0),0)</f>
        <v>#NAME?</v>
      </c>
      <c r="F150" s="274"/>
      <c r="G150" s="274" t="e">
        <f t="shared" ca="1" si="0"/>
        <v>#NAME?</v>
      </c>
      <c r="H150" s="274">
        <f t="shared" si="1"/>
        <v>0</v>
      </c>
      <c r="K150" s="274"/>
    </row>
    <row r="151" spans="2:11" ht="13.5" customHeight="1">
      <c r="B151" s="209" t="s">
        <v>2177</v>
      </c>
      <c r="C151" s="209" t="s">
        <v>3280</v>
      </c>
      <c r="D151" s="413" t="str">
        <f t="shared" si="2"/>
        <v>07-13</v>
      </c>
      <c r="E151" s="273" t="e">
        <f ca="1">_xludf.IFNA(VLOOKUP('Comp X - Kilter'!B151,'Kilter Holds'!$P$37:$AB$662,10,0),0)</f>
        <v>#NAME?</v>
      </c>
      <c r="F151" s="274"/>
      <c r="G151" s="274" t="e">
        <f t="shared" ca="1" si="0"/>
        <v>#NAME?</v>
      </c>
      <c r="H151" s="274">
        <f t="shared" si="1"/>
        <v>0</v>
      </c>
      <c r="K151" s="274"/>
    </row>
    <row r="152" spans="2:11" ht="13.5" customHeight="1">
      <c r="B152" s="209" t="s">
        <v>2177</v>
      </c>
      <c r="C152" s="209" t="s">
        <v>3280</v>
      </c>
      <c r="D152" s="414" t="str">
        <f t="shared" si="2"/>
        <v>11-26</v>
      </c>
      <c r="E152" s="273" t="e">
        <f ca="1">_xludf.IFNA(VLOOKUP('Comp X - Kilter'!B152,'Kilter Holds'!$P$37:$AB$662,11,0),0)</f>
        <v>#NAME?</v>
      </c>
      <c r="F152" s="274"/>
      <c r="G152" s="274" t="e">
        <f t="shared" ca="1" si="0"/>
        <v>#NAME?</v>
      </c>
      <c r="H152" s="274">
        <f t="shared" si="1"/>
        <v>0</v>
      </c>
      <c r="K152" s="274"/>
    </row>
    <row r="153" spans="2:11" ht="13.5" customHeight="1">
      <c r="B153" s="209" t="s">
        <v>2177</v>
      </c>
      <c r="C153" s="209" t="s">
        <v>3280</v>
      </c>
      <c r="D153" s="415" t="str">
        <f t="shared" si="2"/>
        <v>18-01</v>
      </c>
      <c r="E153" s="273" t="e">
        <f ca="1">_xludf.IFNA(VLOOKUP('Comp X - Kilter'!B153,'Kilter Holds'!$P$37:$AB$662,12,0),0)</f>
        <v>#NAME?</v>
      </c>
      <c r="F153" s="274"/>
      <c r="G153" s="274" t="e">
        <f t="shared" ca="1" si="0"/>
        <v>#NAME?</v>
      </c>
      <c r="H153" s="274">
        <f t="shared" si="1"/>
        <v>0</v>
      </c>
      <c r="K153" s="274"/>
    </row>
    <row r="154" spans="2:11" ht="13.5" customHeight="1">
      <c r="B154" s="209" t="s">
        <v>2177</v>
      </c>
      <c r="C154" s="209" t="s">
        <v>3280</v>
      </c>
      <c r="D154" s="416" t="str">
        <f t="shared" si="2"/>
        <v>Color Code</v>
      </c>
      <c r="E154" s="273" t="e">
        <f ca="1">_xludf.IFNA(VLOOKUP('Comp X - Kilter'!B154,'Kilter Holds'!$P$37:$AB$662,13,0),0)</f>
        <v>#NAME?</v>
      </c>
      <c r="F154" s="274"/>
      <c r="G154" s="274" t="e">
        <f t="shared" ca="1" si="0"/>
        <v>#NAME?</v>
      </c>
      <c r="H154" s="274">
        <f t="shared" si="1"/>
        <v>0</v>
      </c>
      <c r="K154" s="274"/>
    </row>
    <row r="155" spans="2:11" ht="13.5" customHeight="1">
      <c r="B155" s="209" t="s">
        <v>2171</v>
      </c>
      <c r="C155" s="209" t="s">
        <v>3281</v>
      </c>
      <c r="D155" s="406" t="str">
        <f t="shared" si="2"/>
        <v>11-12</v>
      </c>
      <c r="E155" s="273" t="e">
        <f ca="1">_xludf.IFNA(VLOOKUP('Comp X - Kilter'!B155,'Kilter Holds'!$P$37:$AB$662,5,0),0)</f>
        <v>#NAME?</v>
      </c>
      <c r="F155" s="274"/>
      <c r="G155" s="274" t="e">
        <f t="shared" ca="1" si="0"/>
        <v>#NAME?</v>
      </c>
      <c r="H155" s="274">
        <f t="shared" si="1"/>
        <v>0</v>
      </c>
      <c r="K155" s="274"/>
    </row>
    <row r="156" spans="2:11" ht="13.5" customHeight="1">
      <c r="B156" s="209" t="s">
        <v>2171</v>
      </c>
      <c r="C156" s="209" t="s">
        <v>3281</v>
      </c>
      <c r="D156" s="408" t="str">
        <f t="shared" si="2"/>
        <v>14-01</v>
      </c>
      <c r="E156" s="273" t="e">
        <f ca="1">_xludf.IFNA(VLOOKUP('Comp X - Kilter'!B156,'Kilter Holds'!$P$37:$AB$662,6,0),0)</f>
        <v>#NAME?</v>
      </c>
      <c r="F156" s="274"/>
      <c r="G156" s="274" t="e">
        <f t="shared" ca="1" si="0"/>
        <v>#NAME?</v>
      </c>
      <c r="H156" s="274">
        <f t="shared" si="1"/>
        <v>0</v>
      </c>
      <c r="K156" s="274"/>
    </row>
    <row r="157" spans="2:11" ht="13.5" customHeight="1">
      <c r="B157" s="209" t="s">
        <v>2171</v>
      </c>
      <c r="C157" s="209" t="s">
        <v>3281</v>
      </c>
      <c r="D157" s="409" t="str">
        <f t="shared" si="2"/>
        <v>15-12</v>
      </c>
      <c r="E157" s="273" t="e">
        <f ca="1">_xludf.IFNA(VLOOKUP('Comp X - Kilter'!B157,'Kilter Holds'!$P$37:$AB$662,7,0),0)</f>
        <v>#NAME?</v>
      </c>
      <c r="F157" s="274"/>
      <c r="G157" s="274" t="e">
        <f t="shared" ca="1" si="0"/>
        <v>#NAME?</v>
      </c>
      <c r="H157" s="274">
        <f t="shared" si="1"/>
        <v>0</v>
      </c>
      <c r="K157" s="274"/>
    </row>
    <row r="158" spans="2:11" ht="13.5" customHeight="1">
      <c r="B158" s="209" t="s">
        <v>2171</v>
      </c>
      <c r="C158" s="209" t="s">
        <v>3281</v>
      </c>
      <c r="D158" s="410" t="str">
        <f t="shared" si="2"/>
        <v>16-16</v>
      </c>
      <c r="E158" s="273" t="e">
        <f ca="1">_xludf.IFNA(VLOOKUP('Comp X - Kilter'!B158,'Kilter Holds'!$P$37:$AB$662,8,0),0)</f>
        <v>#NAME?</v>
      </c>
      <c r="F158" s="274"/>
      <c r="G158" s="274" t="e">
        <f t="shared" ca="1" si="0"/>
        <v>#NAME?</v>
      </c>
      <c r="H158" s="274">
        <f t="shared" si="1"/>
        <v>0</v>
      </c>
      <c r="K158" s="274"/>
    </row>
    <row r="159" spans="2:11" ht="13.5" customHeight="1">
      <c r="B159" s="209" t="s">
        <v>2171</v>
      </c>
      <c r="C159" s="209" t="s">
        <v>3281</v>
      </c>
      <c r="D159" s="411" t="str">
        <f t="shared" si="2"/>
        <v>13-01</v>
      </c>
      <c r="E159" s="273" t="e">
        <f ca="1">_xludf.IFNA(VLOOKUP('Comp X - Kilter'!B159,'Kilter Holds'!$P$37:$AB$662,9,0),0)</f>
        <v>#NAME?</v>
      </c>
      <c r="F159" s="274"/>
      <c r="G159" s="274" t="e">
        <f t="shared" ca="1" si="0"/>
        <v>#NAME?</v>
      </c>
      <c r="H159" s="274">
        <f t="shared" si="1"/>
        <v>0</v>
      </c>
      <c r="K159" s="274"/>
    </row>
    <row r="160" spans="2:11" ht="13.5" customHeight="1">
      <c r="B160" s="209" t="s">
        <v>2171</v>
      </c>
      <c r="C160" s="209" t="s">
        <v>3281</v>
      </c>
      <c r="D160" s="413" t="str">
        <f t="shared" si="2"/>
        <v>07-13</v>
      </c>
      <c r="E160" s="273" t="e">
        <f ca="1">_xludf.IFNA(VLOOKUP('Comp X - Kilter'!B160,'Kilter Holds'!$P$37:$AB$662,10,0),0)</f>
        <v>#NAME?</v>
      </c>
      <c r="F160" s="274"/>
      <c r="G160" s="274" t="e">
        <f t="shared" ca="1" si="0"/>
        <v>#NAME?</v>
      </c>
      <c r="H160" s="274">
        <f t="shared" si="1"/>
        <v>0</v>
      </c>
      <c r="K160" s="274"/>
    </row>
    <row r="161" spans="2:11" ht="13.5" customHeight="1">
      <c r="B161" s="209" t="s">
        <v>2171</v>
      </c>
      <c r="C161" s="209" t="s">
        <v>3281</v>
      </c>
      <c r="D161" s="414" t="str">
        <f t="shared" si="2"/>
        <v>11-26</v>
      </c>
      <c r="E161" s="273" t="e">
        <f ca="1">_xludf.IFNA(VLOOKUP('Comp X - Kilter'!B161,'Kilter Holds'!$P$37:$AB$662,11,0),0)</f>
        <v>#NAME?</v>
      </c>
      <c r="F161" s="274"/>
      <c r="G161" s="274" t="e">
        <f t="shared" ca="1" si="0"/>
        <v>#NAME?</v>
      </c>
      <c r="H161" s="274">
        <f t="shared" si="1"/>
        <v>0</v>
      </c>
      <c r="K161" s="274"/>
    </row>
    <row r="162" spans="2:11" ht="13.5" customHeight="1">
      <c r="B162" s="209" t="s">
        <v>2171</v>
      </c>
      <c r="C162" s="209" t="s">
        <v>3281</v>
      </c>
      <c r="D162" s="415" t="str">
        <f t="shared" si="2"/>
        <v>18-01</v>
      </c>
      <c r="E162" s="273" t="e">
        <f ca="1">_xludf.IFNA(VLOOKUP('Comp X - Kilter'!B162,'Kilter Holds'!$P$37:$AB$662,12,0),0)</f>
        <v>#NAME?</v>
      </c>
      <c r="F162" s="274"/>
      <c r="G162" s="274" t="e">
        <f t="shared" ca="1" si="0"/>
        <v>#NAME?</v>
      </c>
      <c r="H162" s="274">
        <f t="shared" si="1"/>
        <v>0</v>
      </c>
      <c r="K162" s="274"/>
    </row>
    <row r="163" spans="2:11" ht="13.5" customHeight="1">
      <c r="B163" s="209" t="s">
        <v>2171</v>
      </c>
      <c r="C163" s="209" t="s">
        <v>3281</v>
      </c>
      <c r="D163" s="416" t="str">
        <f t="shared" si="2"/>
        <v>Color Code</v>
      </c>
      <c r="E163" s="273" t="e">
        <f ca="1">_xludf.IFNA(VLOOKUP('Comp X - Kilter'!B163,'Kilter Holds'!$P$37:$AB$662,13,0),0)</f>
        <v>#NAME?</v>
      </c>
      <c r="F163" s="274"/>
      <c r="G163" s="274" t="e">
        <f t="shared" ca="1" si="0"/>
        <v>#NAME?</v>
      </c>
      <c r="H163" s="274">
        <f t="shared" si="1"/>
        <v>0</v>
      </c>
      <c r="K163" s="274"/>
    </row>
    <row r="164" spans="2:11" ht="13.5" customHeight="1">
      <c r="B164" s="209" t="s">
        <v>2137</v>
      </c>
      <c r="C164" s="209" t="s">
        <v>3282</v>
      </c>
      <c r="D164" s="406" t="str">
        <f t="shared" si="2"/>
        <v>11-12</v>
      </c>
      <c r="E164" s="273" t="e">
        <f ca="1">_xludf.IFNA(VLOOKUP('Comp X - Kilter'!B164,'Kilter Holds'!$P$37:$AB$662,5,0),0)</f>
        <v>#NAME?</v>
      </c>
      <c r="F164" s="274"/>
      <c r="G164" s="274" t="e">
        <f t="shared" ca="1" si="0"/>
        <v>#NAME?</v>
      </c>
      <c r="H164" s="274">
        <f t="shared" si="1"/>
        <v>0</v>
      </c>
      <c r="K164" s="274"/>
    </row>
    <row r="165" spans="2:11" ht="13.5" customHeight="1">
      <c r="B165" s="209" t="s">
        <v>2137</v>
      </c>
      <c r="C165" s="209" t="s">
        <v>3282</v>
      </c>
      <c r="D165" s="408" t="str">
        <f t="shared" si="2"/>
        <v>14-01</v>
      </c>
      <c r="E165" s="273" t="e">
        <f ca="1">_xludf.IFNA(VLOOKUP('Comp X - Kilter'!B165,'Kilter Holds'!$P$37:$AB$662,6,0),0)</f>
        <v>#NAME?</v>
      </c>
      <c r="F165" s="274"/>
      <c r="G165" s="274" t="e">
        <f t="shared" ca="1" si="0"/>
        <v>#NAME?</v>
      </c>
      <c r="H165" s="274">
        <f t="shared" si="1"/>
        <v>0</v>
      </c>
      <c r="K165" s="274"/>
    </row>
    <row r="166" spans="2:11" ht="13.5" customHeight="1">
      <c r="B166" s="209" t="s">
        <v>2137</v>
      </c>
      <c r="C166" s="209" t="s">
        <v>3282</v>
      </c>
      <c r="D166" s="409" t="str">
        <f t="shared" si="2"/>
        <v>15-12</v>
      </c>
      <c r="E166" s="273" t="e">
        <f ca="1">_xludf.IFNA(VLOOKUP('Comp X - Kilter'!B166,'Kilter Holds'!$P$37:$AB$662,7,0),0)</f>
        <v>#NAME?</v>
      </c>
      <c r="F166" s="274"/>
      <c r="G166" s="274" t="e">
        <f t="shared" ca="1" si="0"/>
        <v>#NAME?</v>
      </c>
      <c r="H166" s="274">
        <f t="shared" si="1"/>
        <v>0</v>
      </c>
      <c r="K166" s="274"/>
    </row>
    <row r="167" spans="2:11" ht="13.5" customHeight="1">
      <c r="B167" s="209" t="s">
        <v>2137</v>
      </c>
      <c r="C167" s="209" t="s">
        <v>3282</v>
      </c>
      <c r="D167" s="410" t="str">
        <f t="shared" si="2"/>
        <v>16-16</v>
      </c>
      <c r="E167" s="273" t="e">
        <f ca="1">_xludf.IFNA(VLOOKUP('Comp X - Kilter'!B167,'Kilter Holds'!$P$37:$AB$662,8,0),0)</f>
        <v>#NAME?</v>
      </c>
      <c r="F167" s="274"/>
      <c r="G167" s="274" t="e">
        <f t="shared" ca="1" si="0"/>
        <v>#NAME?</v>
      </c>
      <c r="H167" s="274">
        <f t="shared" si="1"/>
        <v>0</v>
      </c>
      <c r="K167" s="274"/>
    </row>
    <row r="168" spans="2:11" ht="13.5" customHeight="1">
      <c r="B168" s="209" t="s">
        <v>2137</v>
      </c>
      <c r="C168" s="209" t="s">
        <v>3282</v>
      </c>
      <c r="D168" s="411" t="str">
        <f t="shared" si="2"/>
        <v>13-01</v>
      </c>
      <c r="E168" s="273" t="e">
        <f ca="1">_xludf.IFNA(VLOOKUP('Comp X - Kilter'!B168,'Kilter Holds'!$P$37:$AB$662,9,0),0)</f>
        <v>#NAME?</v>
      </c>
      <c r="F168" s="274"/>
      <c r="G168" s="274" t="e">
        <f t="shared" ca="1" si="0"/>
        <v>#NAME?</v>
      </c>
      <c r="H168" s="274">
        <f t="shared" si="1"/>
        <v>0</v>
      </c>
      <c r="K168" s="274"/>
    </row>
    <row r="169" spans="2:11" ht="13.5" customHeight="1">
      <c r="B169" s="209" t="s">
        <v>2137</v>
      </c>
      <c r="C169" s="209" t="s">
        <v>3282</v>
      </c>
      <c r="D169" s="413" t="str">
        <f t="shared" si="2"/>
        <v>07-13</v>
      </c>
      <c r="E169" s="273" t="e">
        <f ca="1">_xludf.IFNA(VLOOKUP('Comp X - Kilter'!B169,'Kilter Holds'!$P$37:$AB$662,10,0),0)</f>
        <v>#NAME?</v>
      </c>
      <c r="F169" s="274"/>
      <c r="G169" s="274" t="e">
        <f t="shared" ca="1" si="0"/>
        <v>#NAME?</v>
      </c>
      <c r="H169" s="274">
        <f t="shared" si="1"/>
        <v>0</v>
      </c>
      <c r="K169" s="274"/>
    </row>
    <row r="170" spans="2:11" ht="13.5" customHeight="1">
      <c r="B170" s="209" t="s">
        <v>2137</v>
      </c>
      <c r="C170" s="209" t="s">
        <v>3282</v>
      </c>
      <c r="D170" s="414" t="str">
        <f t="shared" si="2"/>
        <v>11-26</v>
      </c>
      <c r="E170" s="273" t="e">
        <f ca="1">_xludf.IFNA(VLOOKUP('Comp X - Kilter'!B170,'Kilter Holds'!$P$37:$AB$662,11,0),0)</f>
        <v>#NAME?</v>
      </c>
      <c r="F170" s="274"/>
      <c r="G170" s="274" t="e">
        <f t="shared" ca="1" si="0"/>
        <v>#NAME?</v>
      </c>
      <c r="H170" s="274">
        <f t="shared" si="1"/>
        <v>0</v>
      </c>
      <c r="K170" s="274"/>
    </row>
    <row r="171" spans="2:11" ht="13.5" customHeight="1">
      <c r="B171" s="209" t="s">
        <v>2137</v>
      </c>
      <c r="C171" s="209" t="s">
        <v>3282</v>
      </c>
      <c r="D171" s="415" t="str">
        <f t="shared" si="2"/>
        <v>18-01</v>
      </c>
      <c r="E171" s="273" t="e">
        <f ca="1">_xludf.IFNA(VLOOKUP('Comp X - Kilter'!B171,'Kilter Holds'!$P$37:$AB$662,12,0),0)</f>
        <v>#NAME?</v>
      </c>
      <c r="F171" s="274"/>
      <c r="G171" s="274" t="e">
        <f t="shared" ca="1" si="0"/>
        <v>#NAME?</v>
      </c>
      <c r="H171" s="274">
        <f t="shared" si="1"/>
        <v>0</v>
      </c>
      <c r="K171" s="274"/>
    </row>
    <row r="172" spans="2:11" ht="13.5" customHeight="1">
      <c r="B172" s="209" t="s">
        <v>2137</v>
      </c>
      <c r="C172" s="209" t="s">
        <v>3282</v>
      </c>
      <c r="D172" s="416" t="str">
        <f t="shared" si="2"/>
        <v>Color Code</v>
      </c>
      <c r="E172" s="273" t="e">
        <f ca="1">_xludf.IFNA(VLOOKUP('Comp X - Kilter'!B172,'Kilter Holds'!$P$37:$AB$662,13,0),0)</f>
        <v>#NAME?</v>
      </c>
      <c r="F172" s="274"/>
      <c r="G172" s="274" t="e">
        <f t="shared" ca="1" si="0"/>
        <v>#NAME?</v>
      </c>
      <c r="H172" s="274">
        <f t="shared" si="1"/>
        <v>0</v>
      </c>
      <c r="K172" s="274"/>
    </row>
    <row r="173" spans="2:11" ht="13.5" customHeight="1">
      <c r="B173" s="209" t="s">
        <v>2146</v>
      </c>
      <c r="C173" s="209" t="s">
        <v>3283</v>
      </c>
      <c r="D173" s="406" t="str">
        <f t="shared" si="2"/>
        <v>11-12</v>
      </c>
      <c r="E173" s="273" t="e">
        <f ca="1">_xludf.IFNA(VLOOKUP('Comp X - Kilter'!B173,'Kilter Holds'!$P$37:$AB$662,5,0),0)</f>
        <v>#NAME?</v>
      </c>
      <c r="F173" s="274"/>
      <c r="G173" s="274" t="e">
        <f t="shared" ca="1" si="0"/>
        <v>#NAME?</v>
      </c>
      <c r="H173" s="274">
        <f t="shared" si="1"/>
        <v>0</v>
      </c>
      <c r="K173" s="274"/>
    </row>
    <row r="174" spans="2:11" ht="13.5" customHeight="1">
      <c r="B174" s="209" t="s">
        <v>2146</v>
      </c>
      <c r="C174" s="209" t="s">
        <v>3283</v>
      </c>
      <c r="D174" s="408" t="str">
        <f t="shared" si="2"/>
        <v>14-01</v>
      </c>
      <c r="E174" s="273" t="e">
        <f ca="1">_xludf.IFNA(VLOOKUP('Comp X - Kilter'!B174,'Kilter Holds'!$P$37:$AB$662,6,0),0)</f>
        <v>#NAME?</v>
      </c>
      <c r="F174" s="274"/>
      <c r="G174" s="274" t="e">
        <f t="shared" ca="1" si="0"/>
        <v>#NAME?</v>
      </c>
      <c r="H174" s="274">
        <f t="shared" si="1"/>
        <v>0</v>
      </c>
      <c r="K174" s="274"/>
    </row>
    <row r="175" spans="2:11" ht="13.5" customHeight="1">
      <c r="B175" s="209" t="s">
        <v>2146</v>
      </c>
      <c r="C175" s="209" t="s">
        <v>3283</v>
      </c>
      <c r="D175" s="409" t="str">
        <f t="shared" si="2"/>
        <v>15-12</v>
      </c>
      <c r="E175" s="273" t="e">
        <f ca="1">_xludf.IFNA(VLOOKUP('Comp X - Kilter'!B175,'Kilter Holds'!$P$37:$AB$662,7,0),0)</f>
        <v>#NAME?</v>
      </c>
      <c r="F175" s="274"/>
      <c r="G175" s="274" t="e">
        <f t="shared" ca="1" si="0"/>
        <v>#NAME?</v>
      </c>
      <c r="H175" s="274">
        <f t="shared" si="1"/>
        <v>0</v>
      </c>
      <c r="K175" s="274"/>
    </row>
    <row r="176" spans="2:11" ht="13.5" customHeight="1">
      <c r="B176" s="209" t="s">
        <v>2146</v>
      </c>
      <c r="C176" s="209" t="s">
        <v>3283</v>
      </c>
      <c r="D176" s="410" t="str">
        <f t="shared" si="2"/>
        <v>16-16</v>
      </c>
      <c r="E176" s="273" t="e">
        <f ca="1">_xludf.IFNA(VLOOKUP('Comp X - Kilter'!B176,'Kilter Holds'!$P$37:$AB$662,8,0),0)</f>
        <v>#NAME?</v>
      </c>
      <c r="F176" s="274"/>
      <c r="G176" s="274" t="e">
        <f t="shared" ca="1" si="0"/>
        <v>#NAME?</v>
      </c>
      <c r="H176" s="274">
        <f t="shared" si="1"/>
        <v>0</v>
      </c>
      <c r="K176" s="274"/>
    </row>
    <row r="177" spans="2:11" ht="13.5" customHeight="1">
      <c r="B177" s="209" t="s">
        <v>2146</v>
      </c>
      <c r="C177" s="209" t="s">
        <v>3283</v>
      </c>
      <c r="D177" s="411" t="str">
        <f t="shared" si="2"/>
        <v>13-01</v>
      </c>
      <c r="E177" s="273" t="e">
        <f ca="1">_xludf.IFNA(VLOOKUP('Comp X - Kilter'!B177,'Kilter Holds'!$P$37:$AB$662,9,0),0)</f>
        <v>#NAME?</v>
      </c>
      <c r="F177" s="274"/>
      <c r="G177" s="274" t="e">
        <f t="shared" ca="1" si="0"/>
        <v>#NAME?</v>
      </c>
      <c r="H177" s="274">
        <f t="shared" si="1"/>
        <v>0</v>
      </c>
      <c r="K177" s="274"/>
    </row>
    <row r="178" spans="2:11" ht="13.5" customHeight="1">
      <c r="B178" s="209" t="s">
        <v>2146</v>
      </c>
      <c r="C178" s="209" t="s">
        <v>3283</v>
      </c>
      <c r="D178" s="413" t="str">
        <f t="shared" si="2"/>
        <v>07-13</v>
      </c>
      <c r="E178" s="273" t="e">
        <f ca="1">_xludf.IFNA(VLOOKUP('Comp X - Kilter'!B178,'Kilter Holds'!$P$37:$AB$662,10,0),0)</f>
        <v>#NAME?</v>
      </c>
      <c r="F178" s="274"/>
      <c r="G178" s="274" t="e">
        <f t="shared" ca="1" si="0"/>
        <v>#NAME?</v>
      </c>
      <c r="H178" s="274">
        <f t="shared" si="1"/>
        <v>0</v>
      </c>
      <c r="K178" s="274"/>
    </row>
    <row r="179" spans="2:11" ht="13.5" customHeight="1">
      <c r="B179" s="209" t="s">
        <v>2146</v>
      </c>
      <c r="C179" s="209" t="s">
        <v>3283</v>
      </c>
      <c r="D179" s="414" t="str">
        <f t="shared" si="2"/>
        <v>11-26</v>
      </c>
      <c r="E179" s="273" t="e">
        <f ca="1">_xludf.IFNA(VLOOKUP('Comp X - Kilter'!B179,'Kilter Holds'!$P$37:$AB$662,11,0),0)</f>
        <v>#NAME?</v>
      </c>
      <c r="F179" s="274"/>
      <c r="G179" s="274" t="e">
        <f t="shared" ca="1" si="0"/>
        <v>#NAME?</v>
      </c>
      <c r="H179" s="274">
        <f t="shared" si="1"/>
        <v>0</v>
      </c>
      <c r="K179" s="274"/>
    </row>
    <row r="180" spans="2:11" ht="13.5" customHeight="1">
      <c r="B180" s="209" t="s">
        <v>2146</v>
      </c>
      <c r="C180" s="209" t="s">
        <v>3283</v>
      </c>
      <c r="D180" s="415" t="str">
        <f t="shared" si="2"/>
        <v>18-01</v>
      </c>
      <c r="E180" s="273" t="e">
        <f ca="1">_xludf.IFNA(VLOOKUP('Comp X - Kilter'!B180,'Kilter Holds'!$P$37:$AB$662,12,0),0)</f>
        <v>#NAME?</v>
      </c>
      <c r="F180" s="274"/>
      <c r="G180" s="274" t="e">
        <f t="shared" ca="1" si="0"/>
        <v>#NAME?</v>
      </c>
      <c r="H180" s="274">
        <f t="shared" si="1"/>
        <v>0</v>
      </c>
      <c r="K180" s="274"/>
    </row>
    <row r="181" spans="2:11" ht="13.5" customHeight="1">
      <c r="B181" s="209" t="s">
        <v>2146</v>
      </c>
      <c r="C181" s="209" t="s">
        <v>3283</v>
      </c>
      <c r="D181" s="416" t="str">
        <f t="shared" si="2"/>
        <v>Color Code</v>
      </c>
      <c r="E181" s="273" t="e">
        <f ca="1">_xludf.IFNA(VLOOKUP('Comp X - Kilter'!B181,'Kilter Holds'!$P$37:$AB$662,13,0),0)</f>
        <v>#NAME?</v>
      </c>
      <c r="F181" s="274"/>
      <c r="G181" s="274" t="e">
        <f t="shared" ca="1" si="0"/>
        <v>#NAME?</v>
      </c>
      <c r="H181" s="274">
        <f t="shared" si="1"/>
        <v>0</v>
      </c>
      <c r="K181" s="274"/>
    </row>
    <row r="182" spans="2:11" ht="13.5" customHeight="1">
      <c r="B182" s="209" t="s">
        <v>2145</v>
      </c>
      <c r="C182" s="209" t="s">
        <v>3284</v>
      </c>
      <c r="D182" s="406" t="str">
        <f t="shared" si="2"/>
        <v>11-12</v>
      </c>
      <c r="E182" s="273" t="e">
        <f ca="1">_xludf.IFNA(VLOOKUP('Comp X - Kilter'!B182,'Kilter Holds'!$P$37:$AB$662,5,0),0)</f>
        <v>#NAME?</v>
      </c>
      <c r="F182" s="274"/>
      <c r="G182" s="274" t="e">
        <f t="shared" ca="1" si="0"/>
        <v>#NAME?</v>
      </c>
      <c r="H182" s="274">
        <f t="shared" si="1"/>
        <v>0</v>
      </c>
      <c r="K182" s="274"/>
    </row>
    <row r="183" spans="2:11" ht="13.5" customHeight="1">
      <c r="B183" s="209" t="s">
        <v>2145</v>
      </c>
      <c r="C183" s="209" t="s">
        <v>3284</v>
      </c>
      <c r="D183" s="408" t="str">
        <f t="shared" si="2"/>
        <v>14-01</v>
      </c>
      <c r="E183" s="273" t="e">
        <f ca="1">_xludf.IFNA(VLOOKUP('Comp X - Kilter'!B183,'Kilter Holds'!$P$37:$AB$662,6,0),0)</f>
        <v>#NAME?</v>
      </c>
      <c r="F183" s="274"/>
      <c r="G183" s="274" t="e">
        <f t="shared" ca="1" si="0"/>
        <v>#NAME?</v>
      </c>
      <c r="H183" s="274">
        <f t="shared" si="1"/>
        <v>0</v>
      </c>
      <c r="K183" s="274"/>
    </row>
    <row r="184" spans="2:11" ht="13.5" customHeight="1">
      <c r="B184" s="209" t="s">
        <v>2145</v>
      </c>
      <c r="C184" s="209" t="s">
        <v>3284</v>
      </c>
      <c r="D184" s="409" t="str">
        <f t="shared" si="2"/>
        <v>15-12</v>
      </c>
      <c r="E184" s="273" t="e">
        <f ca="1">_xludf.IFNA(VLOOKUP('Comp X - Kilter'!B184,'Kilter Holds'!$P$37:$AB$662,7,0),0)</f>
        <v>#NAME?</v>
      </c>
      <c r="F184" s="274"/>
      <c r="G184" s="274" t="e">
        <f t="shared" ca="1" si="0"/>
        <v>#NAME?</v>
      </c>
      <c r="H184" s="274">
        <f t="shared" si="1"/>
        <v>0</v>
      </c>
      <c r="K184" s="274"/>
    </row>
    <row r="185" spans="2:11" ht="13.5" customHeight="1">
      <c r="B185" s="209" t="s">
        <v>2145</v>
      </c>
      <c r="C185" s="209" t="s">
        <v>3284</v>
      </c>
      <c r="D185" s="410" t="str">
        <f t="shared" si="2"/>
        <v>16-16</v>
      </c>
      <c r="E185" s="273" t="e">
        <f ca="1">_xludf.IFNA(VLOOKUP('Comp X - Kilter'!B185,'Kilter Holds'!$P$37:$AB$662,8,0),0)</f>
        <v>#NAME?</v>
      </c>
      <c r="F185" s="274"/>
      <c r="G185" s="274" t="e">
        <f t="shared" ca="1" si="0"/>
        <v>#NAME?</v>
      </c>
      <c r="H185" s="274">
        <f t="shared" si="1"/>
        <v>0</v>
      </c>
      <c r="K185" s="274"/>
    </row>
    <row r="186" spans="2:11" ht="13.5" customHeight="1">
      <c r="B186" s="209" t="s">
        <v>2145</v>
      </c>
      <c r="C186" s="209" t="s">
        <v>3284</v>
      </c>
      <c r="D186" s="411" t="str">
        <f t="shared" si="2"/>
        <v>13-01</v>
      </c>
      <c r="E186" s="273" t="e">
        <f ca="1">_xludf.IFNA(VLOOKUP('Comp X - Kilter'!B186,'Kilter Holds'!$P$37:$AB$662,9,0),0)</f>
        <v>#NAME?</v>
      </c>
      <c r="F186" s="274"/>
      <c r="G186" s="274" t="e">
        <f t="shared" ca="1" si="0"/>
        <v>#NAME?</v>
      </c>
      <c r="H186" s="274">
        <f t="shared" si="1"/>
        <v>0</v>
      </c>
      <c r="K186" s="274"/>
    </row>
    <row r="187" spans="2:11" ht="13.5" customHeight="1">
      <c r="B187" s="209" t="s">
        <v>2145</v>
      </c>
      <c r="C187" s="209" t="s">
        <v>3284</v>
      </c>
      <c r="D187" s="413" t="str">
        <f t="shared" si="2"/>
        <v>07-13</v>
      </c>
      <c r="E187" s="273" t="e">
        <f ca="1">_xludf.IFNA(VLOOKUP('Comp X - Kilter'!B187,'Kilter Holds'!$P$37:$AB$662,10,0),0)</f>
        <v>#NAME?</v>
      </c>
      <c r="F187" s="274"/>
      <c r="G187" s="274" t="e">
        <f t="shared" ca="1" si="0"/>
        <v>#NAME?</v>
      </c>
      <c r="H187" s="274">
        <f t="shared" si="1"/>
        <v>0</v>
      </c>
      <c r="K187" s="274"/>
    </row>
    <row r="188" spans="2:11" ht="13.5" customHeight="1">
      <c r="B188" s="209" t="s">
        <v>2145</v>
      </c>
      <c r="C188" s="209" t="s">
        <v>3284</v>
      </c>
      <c r="D188" s="414" t="str">
        <f t="shared" si="2"/>
        <v>11-26</v>
      </c>
      <c r="E188" s="273" t="e">
        <f ca="1">_xludf.IFNA(VLOOKUP('Comp X - Kilter'!B188,'Kilter Holds'!$P$37:$AB$662,11,0),0)</f>
        <v>#NAME?</v>
      </c>
      <c r="F188" s="274"/>
      <c r="G188" s="274" t="e">
        <f t="shared" ca="1" si="0"/>
        <v>#NAME?</v>
      </c>
      <c r="H188" s="274">
        <f t="shared" si="1"/>
        <v>0</v>
      </c>
      <c r="K188" s="274"/>
    </row>
    <row r="189" spans="2:11" ht="13.5" customHeight="1">
      <c r="B189" s="209" t="s">
        <v>2145</v>
      </c>
      <c r="C189" s="209" t="s">
        <v>3284</v>
      </c>
      <c r="D189" s="415" t="str">
        <f t="shared" si="2"/>
        <v>18-01</v>
      </c>
      <c r="E189" s="273" t="e">
        <f ca="1">_xludf.IFNA(VLOOKUP('Comp X - Kilter'!B189,'Kilter Holds'!$P$37:$AB$662,12,0),0)</f>
        <v>#NAME?</v>
      </c>
      <c r="F189" s="274"/>
      <c r="G189" s="274" t="e">
        <f t="shared" ca="1" si="0"/>
        <v>#NAME?</v>
      </c>
      <c r="H189" s="274">
        <f t="shared" si="1"/>
        <v>0</v>
      </c>
      <c r="K189" s="274"/>
    </row>
    <row r="190" spans="2:11" ht="13.5" customHeight="1">
      <c r="B190" s="209" t="s">
        <v>2145</v>
      </c>
      <c r="C190" s="209" t="s">
        <v>3284</v>
      </c>
      <c r="D190" s="416" t="str">
        <f t="shared" si="2"/>
        <v>Color Code</v>
      </c>
      <c r="E190" s="273" t="e">
        <f ca="1">_xludf.IFNA(VLOOKUP('Comp X - Kilter'!B190,'Kilter Holds'!$P$37:$AB$662,13,0),0)</f>
        <v>#NAME?</v>
      </c>
      <c r="F190" s="274"/>
      <c r="G190" s="274" t="e">
        <f t="shared" ca="1" si="0"/>
        <v>#NAME?</v>
      </c>
      <c r="H190" s="274">
        <f t="shared" si="1"/>
        <v>0</v>
      </c>
      <c r="K190" s="274"/>
    </row>
    <row r="191" spans="2:11" ht="13.5" customHeight="1">
      <c r="B191" s="209" t="s">
        <v>2135</v>
      </c>
      <c r="C191" s="209" t="s">
        <v>3285</v>
      </c>
      <c r="D191" s="406" t="str">
        <f t="shared" si="2"/>
        <v>11-12</v>
      </c>
      <c r="E191" s="273" t="e">
        <f ca="1">_xludf.IFNA(VLOOKUP('Comp X - Kilter'!B191,'Kilter Holds'!$P$37:$AB$662,5,0),0)</f>
        <v>#NAME?</v>
      </c>
      <c r="F191" s="274"/>
      <c r="G191" s="274" t="e">
        <f t="shared" ca="1" si="0"/>
        <v>#NAME?</v>
      </c>
      <c r="H191" s="274">
        <f t="shared" si="1"/>
        <v>0</v>
      </c>
      <c r="K191" s="274"/>
    </row>
    <row r="192" spans="2:11" ht="13.5" customHeight="1">
      <c r="B192" s="209" t="s">
        <v>2135</v>
      </c>
      <c r="C192" s="209" t="s">
        <v>3285</v>
      </c>
      <c r="D192" s="408" t="str">
        <f t="shared" si="2"/>
        <v>14-01</v>
      </c>
      <c r="E192" s="273" t="e">
        <f ca="1">_xludf.IFNA(VLOOKUP('Comp X - Kilter'!B192,'Kilter Holds'!$P$37:$AB$662,6,0),0)</f>
        <v>#NAME?</v>
      </c>
      <c r="F192" s="274"/>
      <c r="G192" s="274" t="e">
        <f t="shared" ca="1" si="0"/>
        <v>#NAME?</v>
      </c>
      <c r="H192" s="274">
        <f t="shared" si="1"/>
        <v>0</v>
      </c>
      <c r="K192" s="274"/>
    </row>
    <row r="193" spans="2:11" ht="13.5" customHeight="1">
      <c r="B193" s="209" t="s">
        <v>2135</v>
      </c>
      <c r="C193" s="209" t="s">
        <v>3285</v>
      </c>
      <c r="D193" s="409" t="str">
        <f t="shared" si="2"/>
        <v>15-12</v>
      </c>
      <c r="E193" s="273" t="e">
        <f ca="1">_xludf.IFNA(VLOOKUP('Comp X - Kilter'!B193,'Kilter Holds'!$P$37:$AB$662,7,0),0)</f>
        <v>#NAME?</v>
      </c>
      <c r="F193" s="274"/>
      <c r="G193" s="274" t="e">
        <f t="shared" ca="1" si="0"/>
        <v>#NAME?</v>
      </c>
      <c r="H193" s="274">
        <f t="shared" si="1"/>
        <v>0</v>
      </c>
      <c r="K193" s="274"/>
    </row>
    <row r="194" spans="2:11" ht="13.5" customHeight="1">
      <c r="B194" s="209" t="s">
        <v>2135</v>
      </c>
      <c r="C194" s="209" t="s">
        <v>3285</v>
      </c>
      <c r="D194" s="410" t="str">
        <f t="shared" si="2"/>
        <v>16-16</v>
      </c>
      <c r="E194" s="273" t="e">
        <f ca="1">_xludf.IFNA(VLOOKUP('Comp X - Kilter'!B194,'Kilter Holds'!$P$37:$AB$662,8,0),0)</f>
        <v>#NAME?</v>
      </c>
      <c r="F194" s="274"/>
      <c r="G194" s="274" t="e">
        <f t="shared" ca="1" si="0"/>
        <v>#NAME?</v>
      </c>
      <c r="H194" s="274">
        <f t="shared" si="1"/>
        <v>0</v>
      </c>
      <c r="K194" s="274"/>
    </row>
    <row r="195" spans="2:11" ht="13.5" customHeight="1">
      <c r="B195" s="209" t="s">
        <v>2135</v>
      </c>
      <c r="C195" s="209" t="s">
        <v>3285</v>
      </c>
      <c r="D195" s="411" t="str">
        <f t="shared" si="2"/>
        <v>13-01</v>
      </c>
      <c r="E195" s="273" t="e">
        <f ca="1">_xludf.IFNA(VLOOKUP('Comp X - Kilter'!B195,'Kilter Holds'!$P$37:$AB$662,9,0),0)</f>
        <v>#NAME?</v>
      </c>
      <c r="F195" s="274"/>
      <c r="G195" s="274" t="e">
        <f t="shared" ca="1" si="0"/>
        <v>#NAME?</v>
      </c>
      <c r="H195" s="274">
        <f t="shared" si="1"/>
        <v>0</v>
      </c>
      <c r="K195" s="274"/>
    </row>
    <row r="196" spans="2:11" ht="13.5" customHeight="1">
      <c r="B196" s="209" t="s">
        <v>2135</v>
      </c>
      <c r="C196" s="209" t="s">
        <v>3285</v>
      </c>
      <c r="D196" s="413" t="str">
        <f t="shared" si="2"/>
        <v>07-13</v>
      </c>
      <c r="E196" s="273" t="e">
        <f ca="1">_xludf.IFNA(VLOOKUP('Comp X - Kilter'!B196,'Kilter Holds'!$P$37:$AB$662,10,0),0)</f>
        <v>#NAME?</v>
      </c>
      <c r="F196" s="274"/>
      <c r="G196" s="274" t="e">
        <f t="shared" ca="1" si="0"/>
        <v>#NAME?</v>
      </c>
      <c r="H196" s="274">
        <f t="shared" si="1"/>
        <v>0</v>
      </c>
      <c r="K196" s="274"/>
    </row>
    <row r="197" spans="2:11" ht="13.5" customHeight="1">
      <c r="B197" s="209" t="s">
        <v>2135</v>
      </c>
      <c r="C197" s="209" t="s">
        <v>3285</v>
      </c>
      <c r="D197" s="414" t="str">
        <f t="shared" si="2"/>
        <v>11-26</v>
      </c>
      <c r="E197" s="273" t="e">
        <f ca="1">_xludf.IFNA(VLOOKUP('Comp X - Kilter'!B197,'Kilter Holds'!$P$37:$AB$662,11,0),0)</f>
        <v>#NAME?</v>
      </c>
      <c r="F197" s="274"/>
      <c r="G197" s="274" t="e">
        <f t="shared" ca="1" si="0"/>
        <v>#NAME?</v>
      </c>
      <c r="H197" s="274">
        <f t="shared" si="1"/>
        <v>0</v>
      </c>
      <c r="K197" s="274"/>
    </row>
    <row r="198" spans="2:11" ht="13.5" customHeight="1">
      <c r="B198" s="209" t="s">
        <v>2135</v>
      </c>
      <c r="C198" s="209" t="s">
        <v>3285</v>
      </c>
      <c r="D198" s="415" t="str">
        <f t="shared" si="2"/>
        <v>18-01</v>
      </c>
      <c r="E198" s="273" t="e">
        <f ca="1">_xludf.IFNA(VLOOKUP('Comp X - Kilter'!B198,'Kilter Holds'!$P$37:$AB$662,12,0),0)</f>
        <v>#NAME?</v>
      </c>
      <c r="F198" s="274"/>
      <c r="G198" s="274" t="e">
        <f t="shared" ca="1" si="0"/>
        <v>#NAME?</v>
      </c>
      <c r="H198" s="274">
        <f t="shared" si="1"/>
        <v>0</v>
      </c>
      <c r="K198" s="274"/>
    </row>
    <row r="199" spans="2:11" ht="13.5" customHeight="1">
      <c r="B199" s="209" t="s">
        <v>2135</v>
      </c>
      <c r="C199" s="209" t="s">
        <v>3285</v>
      </c>
      <c r="D199" s="416" t="str">
        <f t="shared" si="2"/>
        <v>Color Code</v>
      </c>
      <c r="E199" s="273" t="e">
        <f ca="1">_xludf.IFNA(VLOOKUP('Comp X - Kilter'!B199,'Kilter Holds'!$P$37:$AB$662,13,0),0)</f>
        <v>#NAME?</v>
      </c>
      <c r="F199" s="274"/>
      <c r="G199" s="274" t="e">
        <f t="shared" ca="1" si="0"/>
        <v>#NAME?</v>
      </c>
      <c r="H199" s="274">
        <f t="shared" si="1"/>
        <v>0</v>
      </c>
      <c r="K199" s="274"/>
    </row>
    <row r="200" spans="2:11" ht="13.5" customHeight="1">
      <c r="B200" s="209" t="s">
        <v>2181</v>
      </c>
      <c r="C200" s="209" t="s">
        <v>3286</v>
      </c>
      <c r="D200" s="406" t="str">
        <f t="shared" si="2"/>
        <v>11-12</v>
      </c>
      <c r="E200" s="273" t="e">
        <f ca="1">_xludf.IFNA(VLOOKUP('Comp X - Kilter'!B200,'Kilter Holds'!$P$37:$AB$662,5,0),0)</f>
        <v>#NAME?</v>
      </c>
      <c r="F200" s="274"/>
      <c r="G200" s="274" t="e">
        <f t="shared" ca="1" si="0"/>
        <v>#NAME?</v>
      </c>
      <c r="H200" s="274">
        <f t="shared" si="1"/>
        <v>0</v>
      </c>
      <c r="K200" s="274"/>
    </row>
    <row r="201" spans="2:11" ht="13.5" customHeight="1">
      <c r="B201" s="209" t="s">
        <v>2181</v>
      </c>
      <c r="C201" s="209" t="s">
        <v>3286</v>
      </c>
      <c r="D201" s="408" t="str">
        <f t="shared" si="2"/>
        <v>14-01</v>
      </c>
      <c r="E201" s="273" t="e">
        <f ca="1">_xludf.IFNA(VLOOKUP('Comp X - Kilter'!B201,'Kilter Holds'!$P$37:$AB$662,6,0),0)</f>
        <v>#NAME?</v>
      </c>
      <c r="F201" s="274"/>
      <c r="G201" s="274" t="e">
        <f t="shared" ca="1" si="0"/>
        <v>#NAME?</v>
      </c>
      <c r="H201" s="274">
        <f t="shared" si="1"/>
        <v>0</v>
      </c>
      <c r="K201" s="274"/>
    </row>
    <row r="202" spans="2:11" ht="13.5" customHeight="1">
      <c r="B202" s="209" t="s">
        <v>2181</v>
      </c>
      <c r="C202" s="209" t="s">
        <v>3286</v>
      </c>
      <c r="D202" s="409" t="str">
        <f t="shared" si="2"/>
        <v>15-12</v>
      </c>
      <c r="E202" s="273" t="e">
        <f ca="1">_xludf.IFNA(VLOOKUP('Comp X - Kilter'!B202,'Kilter Holds'!$P$37:$AB$662,7,0),0)</f>
        <v>#NAME?</v>
      </c>
      <c r="F202" s="274"/>
      <c r="G202" s="274" t="e">
        <f t="shared" ca="1" si="0"/>
        <v>#NAME?</v>
      </c>
      <c r="H202" s="274">
        <f t="shared" si="1"/>
        <v>0</v>
      </c>
      <c r="K202" s="274"/>
    </row>
    <row r="203" spans="2:11" ht="13.5" customHeight="1">
      <c r="B203" s="209" t="s">
        <v>2181</v>
      </c>
      <c r="C203" s="209" t="s">
        <v>3286</v>
      </c>
      <c r="D203" s="410" t="str">
        <f t="shared" si="2"/>
        <v>16-16</v>
      </c>
      <c r="E203" s="273" t="e">
        <f ca="1">_xludf.IFNA(VLOOKUP('Comp X - Kilter'!B203,'Kilter Holds'!$P$37:$AB$662,8,0),0)</f>
        <v>#NAME?</v>
      </c>
      <c r="F203" s="274"/>
      <c r="G203" s="274" t="e">
        <f t="shared" ca="1" si="0"/>
        <v>#NAME?</v>
      </c>
      <c r="H203" s="274">
        <f t="shared" si="1"/>
        <v>0</v>
      </c>
      <c r="K203" s="274"/>
    </row>
    <row r="204" spans="2:11" ht="13.5" customHeight="1">
      <c r="B204" s="209" t="s">
        <v>2181</v>
      </c>
      <c r="C204" s="209" t="s">
        <v>3286</v>
      </c>
      <c r="D204" s="411" t="str">
        <f t="shared" si="2"/>
        <v>13-01</v>
      </c>
      <c r="E204" s="273" t="e">
        <f ca="1">_xludf.IFNA(VLOOKUP('Comp X - Kilter'!B204,'Kilter Holds'!$P$37:$AB$662,9,0),0)</f>
        <v>#NAME?</v>
      </c>
      <c r="F204" s="274"/>
      <c r="G204" s="274" t="e">
        <f t="shared" ca="1" si="0"/>
        <v>#NAME?</v>
      </c>
      <c r="H204" s="274">
        <f t="shared" si="1"/>
        <v>0</v>
      </c>
      <c r="K204" s="274"/>
    </row>
    <row r="205" spans="2:11" ht="13.5" customHeight="1">
      <c r="B205" s="209" t="s">
        <v>2181</v>
      </c>
      <c r="C205" s="209" t="s">
        <v>3286</v>
      </c>
      <c r="D205" s="413" t="str">
        <f t="shared" si="2"/>
        <v>07-13</v>
      </c>
      <c r="E205" s="273" t="e">
        <f ca="1">_xludf.IFNA(VLOOKUP('Comp X - Kilter'!B205,'Kilter Holds'!$P$37:$AB$662,10,0),0)</f>
        <v>#NAME?</v>
      </c>
      <c r="F205" s="274"/>
      <c r="G205" s="274" t="e">
        <f t="shared" ca="1" si="0"/>
        <v>#NAME?</v>
      </c>
      <c r="H205" s="274">
        <f t="shared" si="1"/>
        <v>0</v>
      </c>
      <c r="K205" s="274"/>
    </row>
    <row r="206" spans="2:11" ht="13.5" customHeight="1">
      <c r="B206" s="209" t="s">
        <v>2181</v>
      </c>
      <c r="C206" s="209" t="s">
        <v>3286</v>
      </c>
      <c r="D206" s="414" t="str">
        <f t="shared" si="2"/>
        <v>11-26</v>
      </c>
      <c r="E206" s="273" t="e">
        <f ca="1">_xludf.IFNA(VLOOKUP('Comp X - Kilter'!B206,'Kilter Holds'!$P$37:$AB$662,11,0),0)</f>
        <v>#NAME?</v>
      </c>
      <c r="F206" s="274"/>
      <c r="G206" s="274" t="e">
        <f t="shared" ca="1" si="0"/>
        <v>#NAME?</v>
      </c>
      <c r="H206" s="274">
        <f t="shared" si="1"/>
        <v>0</v>
      </c>
      <c r="K206" s="274"/>
    </row>
    <row r="207" spans="2:11" ht="13.5" customHeight="1">
      <c r="B207" s="209" t="s">
        <v>2181</v>
      </c>
      <c r="C207" s="209" t="s">
        <v>3286</v>
      </c>
      <c r="D207" s="415" t="str">
        <f t="shared" si="2"/>
        <v>18-01</v>
      </c>
      <c r="E207" s="273" t="e">
        <f ca="1">_xludf.IFNA(VLOOKUP('Comp X - Kilter'!B207,'Kilter Holds'!$P$37:$AB$662,12,0),0)</f>
        <v>#NAME?</v>
      </c>
      <c r="F207" s="274"/>
      <c r="G207" s="274" t="e">
        <f t="shared" ca="1" si="0"/>
        <v>#NAME?</v>
      </c>
      <c r="H207" s="274">
        <f t="shared" si="1"/>
        <v>0</v>
      </c>
      <c r="K207" s="274"/>
    </row>
    <row r="208" spans="2:11" ht="13.5" customHeight="1">
      <c r="B208" s="209" t="s">
        <v>2181</v>
      </c>
      <c r="C208" s="209" t="s">
        <v>3286</v>
      </c>
      <c r="D208" s="416" t="str">
        <f t="shared" si="2"/>
        <v>Color Code</v>
      </c>
      <c r="E208" s="273" t="e">
        <f ca="1">_xludf.IFNA(VLOOKUP('Comp X - Kilter'!B208,'Kilter Holds'!$P$37:$AB$662,13,0),0)</f>
        <v>#NAME?</v>
      </c>
      <c r="F208" s="274"/>
      <c r="G208" s="274" t="e">
        <f t="shared" ca="1" si="0"/>
        <v>#NAME?</v>
      </c>
      <c r="H208" s="274">
        <f t="shared" si="1"/>
        <v>0</v>
      </c>
      <c r="K208" s="274"/>
    </row>
    <row r="209" spans="2:11" ht="13.5" customHeight="1">
      <c r="B209" s="209" t="s">
        <v>2190</v>
      </c>
      <c r="C209" s="209" t="s">
        <v>3287</v>
      </c>
      <c r="D209" s="406" t="str">
        <f t="shared" si="2"/>
        <v>11-12</v>
      </c>
      <c r="E209" s="273" t="e">
        <f ca="1">_xludf.IFNA(VLOOKUP('Comp X - Kilter'!B209,'Kilter Holds'!$P$37:$AB$662,5,0),0)</f>
        <v>#NAME?</v>
      </c>
      <c r="F209" s="274"/>
      <c r="G209" s="274" t="e">
        <f t="shared" ca="1" si="0"/>
        <v>#NAME?</v>
      </c>
      <c r="H209" s="274">
        <f t="shared" si="1"/>
        <v>0</v>
      </c>
      <c r="K209" s="274"/>
    </row>
    <row r="210" spans="2:11" ht="13.5" customHeight="1">
      <c r="B210" s="209" t="s">
        <v>2190</v>
      </c>
      <c r="C210" s="209" t="s">
        <v>3287</v>
      </c>
      <c r="D210" s="408" t="str">
        <f t="shared" si="2"/>
        <v>14-01</v>
      </c>
      <c r="E210" s="273" t="e">
        <f ca="1">_xludf.IFNA(VLOOKUP('Comp X - Kilter'!B210,'Kilter Holds'!$P$37:$AB$662,6,0),0)</f>
        <v>#NAME?</v>
      </c>
      <c r="F210" s="274"/>
      <c r="G210" s="274" t="e">
        <f t="shared" ca="1" si="0"/>
        <v>#NAME?</v>
      </c>
      <c r="H210" s="274">
        <f t="shared" si="1"/>
        <v>0</v>
      </c>
      <c r="K210" s="274"/>
    </row>
    <row r="211" spans="2:11" ht="13.5" customHeight="1">
      <c r="B211" s="209" t="s">
        <v>2190</v>
      </c>
      <c r="C211" s="209" t="s">
        <v>3287</v>
      </c>
      <c r="D211" s="409" t="str">
        <f t="shared" si="2"/>
        <v>15-12</v>
      </c>
      <c r="E211" s="273" t="e">
        <f ca="1">_xludf.IFNA(VLOOKUP('Comp X - Kilter'!B211,'Kilter Holds'!$P$37:$AB$662,7,0),0)</f>
        <v>#NAME?</v>
      </c>
      <c r="F211" s="274"/>
      <c r="G211" s="274" t="e">
        <f t="shared" ca="1" si="0"/>
        <v>#NAME?</v>
      </c>
      <c r="H211" s="274">
        <f t="shared" si="1"/>
        <v>0</v>
      </c>
      <c r="K211" s="274"/>
    </row>
    <row r="212" spans="2:11" ht="13.5" customHeight="1">
      <c r="B212" s="209" t="s">
        <v>2190</v>
      </c>
      <c r="C212" s="209" t="s">
        <v>3287</v>
      </c>
      <c r="D212" s="410" t="str">
        <f t="shared" si="2"/>
        <v>16-16</v>
      </c>
      <c r="E212" s="273" t="e">
        <f ca="1">_xludf.IFNA(VLOOKUP('Comp X - Kilter'!B212,'Kilter Holds'!$P$37:$AB$662,8,0),0)</f>
        <v>#NAME?</v>
      </c>
      <c r="F212" s="274"/>
      <c r="G212" s="274" t="e">
        <f t="shared" ca="1" si="0"/>
        <v>#NAME?</v>
      </c>
      <c r="H212" s="274">
        <f t="shared" si="1"/>
        <v>0</v>
      </c>
      <c r="K212" s="274"/>
    </row>
    <row r="213" spans="2:11" ht="13.5" customHeight="1">
      <c r="B213" s="209" t="s">
        <v>2190</v>
      </c>
      <c r="C213" s="209" t="s">
        <v>3287</v>
      </c>
      <c r="D213" s="411" t="str">
        <f t="shared" si="2"/>
        <v>13-01</v>
      </c>
      <c r="E213" s="273" t="e">
        <f ca="1">_xludf.IFNA(VLOOKUP('Comp X - Kilter'!B213,'Kilter Holds'!$P$37:$AB$662,9,0),0)</f>
        <v>#NAME?</v>
      </c>
      <c r="F213" s="274"/>
      <c r="G213" s="274" t="e">
        <f t="shared" ca="1" si="0"/>
        <v>#NAME?</v>
      </c>
      <c r="H213" s="274">
        <f t="shared" si="1"/>
        <v>0</v>
      </c>
      <c r="K213" s="274"/>
    </row>
    <row r="214" spans="2:11" ht="13.5" customHeight="1">
      <c r="B214" s="209" t="s">
        <v>2190</v>
      </c>
      <c r="C214" s="209" t="s">
        <v>3287</v>
      </c>
      <c r="D214" s="413" t="str">
        <f t="shared" si="2"/>
        <v>07-13</v>
      </c>
      <c r="E214" s="273" t="e">
        <f ca="1">_xludf.IFNA(VLOOKUP('Comp X - Kilter'!B214,'Kilter Holds'!$P$37:$AB$662,10,0),0)</f>
        <v>#NAME?</v>
      </c>
      <c r="F214" s="274"/>
      <c r="G214" s="274" t="e">
        <f t="shared" ca="1" si="0"/>
        <v>#NAME?</v>
      </c>
      <c r="H214" s="274">
        <f t="shared" si="1"/>
        <v>0</v>
      </c>
      <c r="K214" s="274"/>
    </row>
    <row r="215" spans="2:11" ht="13.5" customHeight="1">
      <c r="B215" s="209" t="s">
        <v>2190</v>
      </c>
      <c r="C215" s="209" t="s">
        <v>3287</v>
      </c>
      <c r="D215" s="414" t="str">
        <f t="shared" si="2"/>
        <v>11-26</v>
      </c>
      <c r="E215" s="273" t="e">
        <f ca="1">_xludf.IFNA(VLOOKUP('Comp X - Kilter'!B215,'Kilter Holds'!$P$37:$AB$662,11,0),0)</f>
        <v>#NAME?</v>
      </c>
      <c r="F215" s="274"/>
      <c r="G215" s="274" t="e">
        <f t="shared" ca="1" si="0"/>
        <v>#NAME?</v>
      </c>
      <c r="H215" s="274">
        <f t="shared" si="1"/>
        <v>0</v>
      </c>
      <c r="K215" s="274"/>
    </row>
    <row r="216" spans="2:11" ht="13.5" customHeight="1">
      <c r="B216" s="209" t="s">
        <v>2190</v>
      </c>
      <c r="C216" s="209" t="s">
        <v>3287</v>
      </c>
      <c r="D216" s="415" t="str">
        <f t="shared" si="2"/>
        <v>18-01</v>
      </c>
      <c r="E216" s="273" t="e">
        <f ca="1">_xludf.IFNA(VLOOKUP('Comp X - Kilter'!B216,'Kilter Holds'!$P$37:$AB$662,12,0),0)</f>
        <v>#NAME?</v>
      </c>
      <c r="F216" s="274"/>
      <c r="G216" s="274" t="e">
        <f t="shared" ca="1" si="0"/>
        <v>#NAME?</v>
      </c>
      <c r="H216" s="274">
        <f t="shared" si="1"/>
        <v>0</v>
      </c>
      <c r="K216" s="274"/>
    </row>
    <row r="217" spans="2:11" ht="13.5" customHeight="1">
      <c r="B217" s="209" t="s">
        <v>2190</v>
      </c>
      <c r="C217" s="209" t="s">
        <v>3287</v>
      </c>
      <c r="D217" s="416" t="str">
        <f t="shared" si="2"/>
        <v>Color Code</v>
      </c>
      <c r="E217" s="273" t="e">
        <f ca="1">_xludf.IFNA(VLOOKUP('Comp X - Kilter'!B217,'Kilter Holds'!$P$37:$AB$662,13,0),0)</f>
        <v>#NAME?</v>
      </c>
      <c r="F217" s="274"/>
      <c r="G217" s="274" t="e">
        <f t="shared" ca="1" si="0"/>
        <v>#NAME?</v>
      </c>
      <c r="H217" s="274">
        <f t="shared" si="1"/>
        <v>0</v>
      </c>
      <c r="K217" s="274"/>
    </row>
    <row r="218" spans="2:11" ht="13.5" customHeight="1">
      <c r="B218" s="209" t="s">
        <v>2191</v>
      </c>
      <c r="C218" s="209" t="s">
        <v>3288</v>
      </c>
      <c r="D218" s="406" t="str">
        <f t="shared" si="2"/>
        <v>11-12</v>
      </c>
      <c r="E218" s="273" t="e">
        <f ca="1">_xludf.IFNA(VLOOKUP('Comp X - Kilter'!B218,'Kilter Holds'!$P$37:$AB$662,5,0),0)</f>
        <v>#NAME?</v>
      </c>
      <c r="F218" s="274"/>
      <c r="G218" s="274" t="e">
        <f t="shared" ca="1" si="0"/>
        <v>#NAME?</v>
      </c>
      <c r="H218" s="274">
        <f t="shared" si="1"/>
        <v>0</v>
      </c>
      <c r="K218" s="274"/>
    </row>
    <row r="219" spans="2:11" ht="13.5" customHeight="1">
      <c r="B219" s="209" t="s">
        <v>2191</v>
      </c>
      <c r="C219" s="209" t="s">
        <v>3288</v>
      </c>
      <c r="D219" s="408" t="str">
        <f t="shared" si="2"/>
        <v>14-01</v>
      </c>
      <c r="E219" s="273" t="e">
        <f ca="1">_xludf.IFNA(VLOOKUP('Comp X - Kilter'!B219,'Kilter Holds'!$P$37:$AB$662,6,0),0)</f>
        <v>#NAME?</v>
      </c>
      <c r="F219" s="274"/>
      <c r="G219" s="274" t="e">
        <f t="shared" ca="1" si="0"/>
        <v>#NAME?</v>
      </c>
      <c r="H219" s="274">
        <f t="shared" si="1"/>
        <v>0</v>
      </c>
      <c r="K219" s="274"/>
    </row>
    <row r="220" spans="2:11" ht="13.5" customHeight="1">
      <c r="B220" s="209" t="s">
        <v>2191</v>
      </c>
      <c r="C220" s="209" t="s">
        <v>3288</v>
      </c>
      <c r="D220" s="409" t="str">
        <f t="shared" si="2"/>
        <v>15-12</v>
      </c>
      <c r="E220" s="273" t="e">
        <f ca="1">_xludf.IFNA(VLOOKUP('Comp X - Kilter'!B220,'Kilter Holds'!$P$37:$AB$662,7,0),0)</f>
        <v>#NAME?</v>
      </c>
      <c r="F220" s="274"/>
      <c r="G220" s="274" t="e">
        <f t="shared" ca="1" si="0"/>
        <v>#NAME?</v>
      </c>
      <c r="H220" s="274">
        <f t="shared" si="1"/>
        <v>0</v>
      </c>
      <c r="K220" s="274"/>
    </row>
    <row r="221" spans="2:11" ht="13.5" customHeight="1">
      <c r="B221" s="209" t="s">
        <v>2191</v>
      </c>
      <c r="C221" s="209" t="s">
        <v>3288</v>
      </c>
      <c r="D221" s="410" t="str">
        <f t="shared" si="2"/>
        <v>16-16</v>
      </c>
      <c r="E221" s="273" t="e">
        <f ca="1">_xludf.IFNA(VLOOKUP('Comp X - Kilter'!B221,'Kilter Holds'!$P$37:$AB$662,8,0),0)</f>
        <v>#NAME?</v>
      </c>
      <c r="F221" s="274"/>
      <c r="G221" s="274" t="e">
        <f t="shared" ca="1" si="0"/>
        <v>#NAME?</v>
      </c>
      <c r="H221" s="274">
        <f t="shared" si="1"/>
        <v>0</v>
      </c>
      <c r="K221" s="274"/>
    </row>
    <row r="222" spans="2:11" ht="13.5" customHeight="1">
      <c r="B222" s="209" t="s">
        <v>2191</v>
      </c>
      <c r="C222" s="209" t="s">
        <v>3288</v>
      </c>
      <c r="D222" s="411" t="str">
        <f t="shared" si="2"/>
        <v>13-01</v>
      </c>
      <c r="E222" s="273" t="e">
        <f ca="1">_xludf.IFNA(VLOOKUP('Comp X - Kilter'!B222,'Kilter Holds'!$P$37:$AB$662,9,0),0)</f>
        <v>#NAME?</v>
      </c>
      <c r="F222" s="274"/>
      <c r="G222" s="274" t="e">
        <f t="shared" ca="1" si="0"/>
        <v>#NAME?</v>
      </c>
      <c r="H222" s="274">
        <f t="shared" si="1"/>
        <v>0</v>
      </c>
      <c r="K222" s="274"/>
    </row>
    <row r="223" spans="2:11" ht="13.5" customHeight="1">
      <c r="B223" s="209" t="s">
        <v>2191</v>
      </c>
      <c r="C223" s="209" t="s">
        <v>3288</v>
      </c>
      <c r="D223" s="413" t="str">
        <f t="shared" si="2"/>
        <v>07-13</v>
      </c>
      <c r="E223" s="273" t="e">
        <f ca="1">_xludf.IFNA(VLOOKUP('Comp X - Kilter'!B223,'Kilter Holds'!$P$37:$AB$662,10,0),0)</f>
        <v>#NAME?</v>
      </c>
      <c r="F223" s="274"/>
      <c r="G223" s="274" t="e">
        <f t="shared" ca="1" si="0"/>
        <v>#NAME?</v>
      </c>
      <c r="H223" s="274">
        <f t="shared" si="1"/>
        <v>0</v>
      </c>
      <c r="K223" s="274"/>
    </row>
    <row r="224" spans="2:11" ht="13.5" customHeight="1">
      <c r="B224" s="209" t="s">
        <v>2191</v>
      </c>
      <c r="C224" s="209" t="s">
        <v>3288</v>
      </c>
      <c r="D224" s="414" t="str">
        <f t="shared" si="2"/>
        <v>11-26</v>
      </c>
      <c r="E224" s="273" t="e">
        <f ca="1">_xludf.IFNA(VLOOKUP('Comp X - Kilter'!B224,'Kilter Holds'!$P$37:$AB$662,11,0),0)</f>
        <v>#NAME?</v>
      </c>
      <c r="F224" s="274"/>
      <c r="G224" s="274" t="e">
        <f t="shared" ca="1" si="0"/>
        <v>#NAME?</v>
      </c>
      <c r="H224" s="274">
        <f t="shared" si="1"/>
        <v>0</v>
      </c>
      <c r="K224" s="274"/>
    </row>
    <row r="225" spans="2:11" ht="13.5" customHeight="1">
      <c r="B225" s="209" t="s">
        <v>2191</v>
      </c>
      <c r="C225" s="209" t="s">
        <v>3288</v>
      </c>
      <c r="D225" s="415" t="str">
        <f t="shared" si="2"/>
        <v>18-01</v>
      </c>
      <c r="E225" s="273" t="e">
        <f ca="1">_xludf.IFNA(VLOOKUP('Comp X - Kilter'!B225,'Kilter Holds'!$P$37:$AB$662,12,0),0)</f>
        <v>#NAME?</v>
      </c>
      <c r="F225" s="274"/>
      <c r="G225" s="274" t="e">
        <f t="shared" ca="1" si="0"/>
        <v>#NAME?</v>
      </c>
      <c r="H225" s="274">
        <f t="shared" si="1"/>
        <v>0</v>
      </c>
      <c r="K225" s="274"/>
    </row>
    <row r="226" spans="2:11" ht="13.5" customHeight="1">
      <c r="B226" s="209" t="s">
        <v>2191</v>
      </c>
      <c r="C226" s="209" t="s">
        <v>3288</v>
      </c>
      <c r="D226" s="416" t="str">
        <f t="shared" si="2"/>
        <v>Color Code</v>
      </c>
      <c r="E226" s="273" t="e">
        <f ca="1">_xludf.IFNA(VLOOKUP('Comp X - Kilter'!B226,'Kilter Holds'!$P$37:$AB$662,13,0),0)</f>
        <v>#NAME?</v>
      </c>
      <c r="F226" s="274"/>
      <c r="G226" s="274" t="e">
        <f t="shared" ca="1" si="0"/>
        <v>#NAME?</v>
      </c>
      <c r="H226" s="274">
        <f t="shared" si="1"/>
        <v>0</v>
      </c>
      <c r="K226" s="274"/>
    </row>
    <row r="227" spans="2:11" ht="13.5" customHeight="1">
      <c r="B227" s="209" t="s">
        <v>2129</v>
      </c>
      <c r="C227" s="209" t="s">
        <v>3289</v>
      </c>
      <c r="D227" s="406" t="str">
        <f t="shared" si="2"/>
        <v>11-12</v>
      </c>
      <c r="E227" s="273" t="e">
        <f ca="1">_xludf.IFNA(VLOOKUP('Comp X - Kilter'!B227,'Kilter Holds'!$P$37:$AB$662,5,0),0)</f>
        <v>#NAME?</v>
      </c>
      <c r="F227" s="274"/>
      <c r="G227" s="274" t="e">
        <f t="shared" ca="1" si="0"/>
        <v>#NAME?</v>
      </c>
      <c r="H227" s="274">
        <f t="shared" si="1"/>
        <v>0</v>
      </c>
      <c r="K227" s="274"/>
    </row>
    <row r="228" spans="2:11" ht="13.5" customHeight="1">
      <c r="B228" s="209" t="s">
        <v>2129</v>
      </c>
      <c r="C228" s="209" t="s">
        <v>3289</v>
      </c>
      <c r="D228" s="408" t="str">
        <f t="shared" si="2"/>
        <v>14-01</v>
      </c>
      <c r="E228" s="273" t="e">
        <f ca="1">_xludf.IFNA(VLOOKUP('Comp X - Kilter'!B228,'Kilter Holds'!$P$37:$AB$662,6,0),0)</f>
        <v>#NAME?</v>
      </c>
      <c r="F228" s="274"/>
      <c r="G228" s="274" t="e">
        <f t="shared" ca="1" si="0"/>
        <v>#NAME?</v>
      </c>
      <c r="H228" s="274">
        <f t="shared" si="1"/>
        <v>0</v>
      </c>
      <c r="K228" s="274"/>
    </row>
    <row r="229" spans="2:11" ht="13.5" customHeight="1">
      <c r="B229" s="209" t="s">
        <v>2129</v>
      </c>
      <c r="C229" s="209" t="s">
        <v>3289</v>
      </c>
      <c r="D229" s="409" t="str">
        <f t="shared" si="2"/>
        <v>15-12</v>
      </c>
      <c r="E229" s="273" t="e">
        <f ca="1">_xludf.IFNA(VLOOKUP('Comp X - Kilter'!B229,'Kilter Holds'!$P$37:$AB$662,7,0),0)</f>
        <v>#NAME?</v>
      </c>
      <c r="F229" s="274"/>
      <c r="G229" s="274" t="e">
        <f t="shared" ca="1" si="0"/>
        <v>#NAME?</v>
      </c>
      <c r="H229" s="274">
        <f t="shared" si="1"/>
        <v>0</v>
      </c>
      <c r="K229" s="274"/>
    </row>
    <row r="230" spans="2:11" ht="13.5" customHeight="1">
      <c r="B230" s="209" t="s">
        <v>2129</v>
      </c>
      <c r="C230" s="209" t="s">
        <v>3289</v>
      </c>
      <c r="D230" s="410" t="str">
        <f t="shared" si="2"/>
        <v>16-16</v>
      </c>
      <c r="E230" s="273" t="e">
        <f ca="1">_xludf.IFNA(VLOOKUP('Comp X - Kilter'!B230,'Kilter Holds'!$P$37:$AB$662,8,0),0)</f>
        <v>#NAME?</v>
      </c>
      <c r="F230" s="274"/>
      <c r="G230" s="274" t="e">
        <f t="shared" ca="1" si="0"/>
        <v>#NAME?</v>
      </c>
      <c r="H230" s="274">
        <f t="shared" si="1"/>
        <v>0</v>
      </c>
      <c r="K230" s="274"/>
    </row>
    <row r="231" spans="2:11" ht="13.5" customHeight="1">
      <c r="B231" s="209" t="s">
        <v>2129</v>
      </c>
      <c r="C231" s="209" t="s">
        <v>3289</v>
      </c>
      <c r="D231" s="411" t="str">
        <f t="shared" si="2"/>
        <v>13-01</v>
      </c>
      <c r="E231" s="273" t="e">
        <f ca="1">_xludf.IFNA(VLOOKUP('Comp X - Kilter'!B231,'Kilter Holds'!$P$37:$AB$662,9,0),0)</f>
        <v>#NAME?</v>
      </c>
      <c r="F231" s="274"/>
      <c r="G231" s="274" t="e">
        <f t="shared" ca="1" si="0"/>
        <v>#NAME?</v>
      </c>
      <c r="H231" s="274">
        <f t="shared" si="1"/>
        <v>0</v>
      </c>
      <c r="K231" s="274"/>
    </row>
    <row r="232" spans="2:11" ht="13.5" customHeight="1">
      <c r="B232" s="209" t="s">
        <v>2129</v>
      </c>
      <c r="C232" s="209" t="s">
        <v>3289</v>
      </c>
      <c r="D232" s="413" t="str">
        <f t="shared" si="2"/>
        <v>07-13</v>
      </c>
      <c r="E232" s="273" t="e">
        <f ca="1">_xludf.IFNA(VLOOKUP('Comp X - Kilter'!B232,'Kilter Holds'!$P$37:$AB$662,10,0),0)</f>
        <v>#NAME?</v>
      </c>
      <c r="F232" s="274"/>
      <c r="G232" s="274" t="e">
        <f t="shared" ca="1" si="0"/>
        <v>#NAME?</v>
      </c>
      <c r="H232" s="274">
        <f t="shared" si="1"/>
        <v>0</v>
      </c>
      <c r="K232" s="274"/>
    </row>
    <row r="233" spans="2:11" ht="13.5" customHeight="1">
      <c r="B233" s="209" t="s">
        <v>2129</v>
      </c>
      <c r="C233" s="209" t="s">
        <v>3289</v>
      </c>
      <c r="D233" s="414" t="str">
        <f t="shared" si="2"/>
        <v>11-26</v>
      </c>
      <c r="E233" s="273" t="e">
        <f ca="1">_xludf.IFNA(VLOOKUP('Comp X - Kilter'!B233,'Kilter Holds'!$P$37:$AB$662,11,0),0)</f>
        <v>#NAME?</v>
      </c>
      <c r="F233" s="274"/>
      <c r="G233" s="274" t="e">
        <f t="shared" ca="1" si="0"/>
        <v>#NAME?</v>
      </c>
      <c r="H233" s="274">
        <f t="shared" si="1"/>
        <v>0</v>
      </c>
      <c r="K233" s="274"/>
    </row>
    <row r="234" spans="2:11" ht="13.5" customHeight="1">
      <c r="B234" s="209" t="s">
        <v>2129</v>
      </c>
      <c r="C234" s="209" t="s">
        <v>3289</v>
      </c>
      <c r="D234" s="415" t="str">
        <f t="shared" si="2"/>
        <v>18-01</v>
      </c>
      <c r="E234" s="273" t="e">
        <f ca="1">_xludf.IFNA(VLOOKUP('Comp X - Kilter'!B234,'Kilter Holds'!$P$37:$AB$662,12,0),0)</f>
        <v>#NAME?</v>
      </c>
      <c r="F234" s="274"/>
      <c r="G234" s="274" t="e">
        <f t="shared" ca="1" si="0"/>
        <v>#NAME?</v>
      </c>
      <c r="H234" s="274">
        <f t="shared" si="1"/>
        <v>0</v>
      </c>
      <c r="K234" s="274"/>
    </row>
    <row r="235" spans="2:11" ht="13.5" customHeight="1">
      <c r="B235" s="209" t="s">
        <v>2129</v>
      </c>
      <c r="C235" s="209" t="s">
        <v>3289</v>
      </c>
      <c r="D235" s="416" t="str">
        <f t="shared" si="2"/>
        <v>Color Code</v>
      </c>
      <c r="E235" s="273" t="e">
        <f ca="1">_xludf.IFNA(VLOOKUP('Comp X - Kilter'!B235,'Kilter Holds'!$P$37:$AB$662,13,0),0)</f>
        <v>#NAME?</v>
      </c>
      <c r="F235" s="274"/>
      <c r="G235" s="274" t="e">
        <f t="shared" ca="1" si="0"/>
        <v>#NAME?</v>
      </c>
      <c r="H235" s="274">
        <f t="shared" si="1"/>
        <v>0</v>
      </c>
      <c r="K235" s="274"/>
    </row>
    <row r="236" spans="2:11" ht="13.5" customHeight="1">
      <c r="B236" s="209" t="s">
        <v>2141</v>
      </c>
      <c r="C236" s="209" t="s">
        <v>3290</v>
      </c>
      <c r="D236" s="406" t="str">
        <f t="shared" si="2"/>
        <v>11-12</v>
      </c>
      <c r="E236" s="273" t="e">
        <f ca="1">_xludf.IFNA(VLOOKUP('Comp X - Kilter'!B236,'Kilter Holds'!$P$37:$AB$662,5,0),0)</f>
        <v>#NAME?</v>
      </c>
      <c r="F236" s="274"/>
      <c r="G236" s="274" t="e">
        <f t="shared" ca="1" si="0"/>
        <v>#NAME?</v>
      </c>
      <c r="H236" s="274">
        <f t="shared" si="1"/>
        <v>0</v>
      </c>
      <c r="K236" s="274"/>
    </row>
    <row r="237" spans="2:11" ht="13.5" customHeight="1">
      <c r="B237" s="209" t="s">
        <v>2141</v>
      </c>
      <c r="C237" s="209" t="s">
        <v>3290</v>
      </c>
      <c r="D237" s="408" t="str">
        <f t="shared" si="2"/>
        <v>14-01</v>
      </c>
      <c r="E237" s="273" t="e">
        <f ca="1">_xludf.IFNA(VLOOKUP('Comp X - Kilter'!B237,'Kilter Holds'!$P$37:$AB$662,6,0),0)</f>
        <v>#NAME?</v>
      </c>
      <c r="F237" s="274"/>
      <c r="G237" s="274" t="e">
        <f t="shared" ca="1" si="0"/>
        <v>#NAME?</v>
      </c>
      <c r="H237" s="274">
        <f t="shared" si="1"/>
        <v>0</v>
      </c>
      <c r="K237" s="274"/>
    </row>
    <row r="238" spans="2:11" ht="13.5" customHeight="1">
      <c r="B238" s="209" t="s">
        <v>2141</v>
      </c>
      <c r="C238" s="209" t="s">
        <v>3290</v>
      </c>
      <c r="D238" s="409" t="str">
        <f t="shared" si="2"/>
        <v>15-12</v>
      </c>
      <c r="E238" s="273" t="e">
        <f ca="1">_xludf.IFNA(VLOOKUP('Comp X - Kilter'!B238,'Kilter Holds'!$P$37:$AB$662,7,0),0)</f>
        <v>#NAME?</v>
      </c>
      <c r="F238" s="274"/>
      <c r="G238" s="274" t="e">
        <f t="shared" ca="1" si="0"/>
        <v>#NAME?</v>
      </c>
      <c r="H238" s="274">
        <f t="shared" si="1"/>
        <v>0</v>
      </c>
      <c r="K238" s="274"/>
    </row>
    <row r="239" spans="2:11" ht="13.5" customHeight="1">
      <c r="B239" s="209" t="s">
        <v>2141</v>
      </c>
      <c r="C239" s="209" t="s">
        <v>3290</v>
      </c>
      <c r="D239" s="410" t="str">
        <f t="shared" si="2"/>
        <v>16-16</v>
      </c>
      <c r="E239" s="273" t="e">
        <f ca="1">_xludf.IFNA(VLOOKUP('Comp X - Kilter'!B239,'Kilter Holds'!$P$37:$AB$662,8,0),0)</f>
        <v>#NAME?</v>
      </c>
      <c r="F239" s="274"/>
      <c r="G239" s="274" t="e">
        <f t="shared" ca="1" si="0"/>
        <v>#NAME?</v>
      </c>
      <c r="H239" s="274">
        <f t="shared" si="1"/>
        <v>0</v>
      </c>
      <c r="K239" s="274"/>
    </row>
    <row r="240" spans="2:11" ht="13.5" customHeight="1">
      <c r="B240" s="209" t="s">
        <v>2141</v>
      </c>
      <c r="C240" s="209" t="s">
        <v>3290</v>
      </c>
      <c r="D240" s="411" t="str">
        <f t="shared" si="2"/>
        <v>13-01</v>
      </c>
      <c r="E240" s="273" t="e">
        <f ca="1">_xludf.IFNA(VLOOKUP('Comp X - Kilter'!B240,'Kilter Holds'!$P$37:$AB$662,9,0),0)</f>
        <v>#NAME?</v>
      </c>
      <c r="F240" s="274"/>
      <c r="G240" s="274" t="e">
        <f t="shared" ca="1" si="0"/>
        <v>#NAME?</v>
      </c>
      <c r="H240" s="274">
        <f t="shared" si="1"/>
        <v>0</v>
      </c>
      <c r="K240" s="274"/>
    </row>
    <row r="241" spans="2:11" ht="13.5" customHeight="1">
      <c r="B241" s="209" t="s">
        <v>2141</v>
      </c>
      <c r="C241" s="209" t="s">
        <v>3290</v>
      </c>
      <c r="D241" s="413" t="str">
        <f t="shared" si="2"/>
        <v>07-13</v>
      </c>
      <c r="E241" s="273" t="e">
        <f ca="1">_xludf.IFNA(VLOOKUP('Comp X - Kilter'!B241,'Kilter Holds'!$P$37:$AB$662,10,0),0)</f>
        <v>#NAME?</v>
      </c>
      <c r="F241" s="274"/>
      <c r="G241" s="274" t="e">
        <f t="shared" ca="1" si="0"/>
        <v>#NAME?</v>
      </c>
      <c r="H241" s="274">
        <f t="shared" si="1"/>
        <v>0</v>
      </c>
      <c r="K241" s="274"/>
    </row>
    <row r="242" spans="2:11" ht="13.5" customHeight="1">
      <c r="B242" s="209" t="s">
        <v>2141</v>
      </c>
      <c r="C242" s="209" t="s">
        <v>3290</v>
      </c>
      <c r="D242" s="414" t="str">
        <f t="shared" si="2"/>
        <v>11-26</v>
      </c>
      <c r="E242" s="273" t="e">
        <f ca="1">_xludf.IFNA(VLOOKUP('Comp X - Kilter'!B242,'Kilter Holds'!$P$37:$AB$662,11,0),0)</f>
        <v>#NAME?</v>
      </c>
      <c r="F242" s="274"/>
      <c r="G242" s="274" t="e">
        <f t="shared" ca="1" si="0"/>
        <v>#NAME?</v>
      </c>
      <c r="H242" s="274">
        <f t="shared" si="1"/>
        <v>0</v>
      </c>
      <c r="K242" s="274"/>
    </row>
    <row r="243" spans="2:11" ht="13.5" customHeight="1">
      <c r="B243" s="209" t="s">
        <v>2141</v>
      </c>
      <c r="C243" s="209" t="s">
        <v>3290</v>
      </c>
      <c r="D243" s="415" t="str">
        <f t="shared" si="2"/>
        <v>18-01</v>
      </c>
      <c r="E243" s="273" t="e">
        <f ca="1">_xludf.IFNA(VLOOKUP('Comp X - Kilter'!B243,'Kilter Holds'!$P$37:$AB$662,12,0),0)</f>
        <v>#NAME?</v>
      </c>
      <c r="F243" s="274"/>
      <c r="G243" s="274" t="e">
        <f t="shared" ca="1" si="0"/>
        <v>#NAME?</v>
      </c>
      <c r="H243" s="274">
        <f t="shared" si="1"/>
        <v>0</v>
      </c>
      <c r="K243" s="274"/>
    </row>
    <row r="244" spans="2:11" ht="13.5" customHeight="1">
      <c r="B244" s="209" t="s">
        <v>2141</v>
      </c>
      <c r="C244" s="209" t="s">
        <v>3290</v>
      </c>
      <c r="D244" s="416" t="str">
        <f t="shared" si="2"/>
        <v>Color Code</v>
      </c>
      <c r="E244" s="273" t="e">
        <f ca="1">_xludf.IFNA(VLOOKUP('Comp X - Kilter'!B244,'Kilter Holds'!$P$37:$AB$662,13,0),0)</f>
        <v>#NAME?</v>
      </c>
      <c r="F244" s="274"/>
      <c r="G244" s="274" t="e">
        <f t="shared" ca="1" si="0"/>
        <v>#NAME?</v>
      </c>
      <c r="H244" s="274">
        <f t="shared" si="1"/>
        <v>0</v>
      </c>
      <c r="K244" s="274"/>
    </row>
    <row r="245" spans="2:11" ht="13.5" customHeight="1">
      <c r="B245" s="209" t="s">
        <v>2178</v>
      </c>
      <c r="C245" s="209" t="s">
        <v>3291</v>
      </c>
      <c r="D245" s="406" t="str">
        <f t="shared" si="2"/>
        <v>11-12</v>
      </c>
      <c r="E245" s="273" t="e">
        <f ca="1">_xludf.IFNA(VLOOKUP('Comp X - Kilter'!B245,'Kilter Holds'!$P$37:$AB$662,5,0),0)</f>
        <v>#NAME?</v>
      </c>
      <c r="F245" s="274"/>
      <c r="G245" s="274" t="e">
        <f t="shared" ca="1" si="0"/>
        <v>#NAME?</v>
      </c>
      <c r="H245" s="274">
        <f t="shared" si="1"/>
        <v>0</v>
      </c>
      <c r="K245" s="274"/>
    </row>
    <row r="246" spans="2:11" ht="13.5" customHeight="1">
      <c r="B246" s="209" t="s">
        <v>2178</v>
      </c>
      <c r="C246" s="209" t="s">
        <v>3291</v>
      </c>
      <c r="D246" s="408" t="str">
        <f t="shared" si="2"/>
        <v>14-01</v>
      </c>
      <c r="E246" s="273" t="e">
        <f ca="1">_xludf.IFNA(VLOOKUP('Comp X - Kilter'!B246,'Kilter Holds'!$P$37:$AB$662,6,0),0)</f>
        <v>#NAME?</v>
      </c>
      <c r="F246" s="274"/>
      <c r="G246" s="274" t="e">
        <f t="shared" ca="1" si="0"/>
        <v>#NAME?</v>
      </c>
      <c r="H246" s="274">
        <f t="shared" si="1"/>
        <v>0</v>
      </c>
      <c r="K246" s="274"/>
    </row>
    <row r="247" spans="2:11" ht="13.5" customHeight="1">
      <c r="B247" s="209" t="s">
        <v>2178</v>
      </c>
      <c r="C247" s="209" t="s">
        <v>3291</v>
      </c>
      <c r="D247" s="409" t="str">
        <f t="shared" si="2"/>
        <v>15-12</v>
      </c>
      <c r="E247" s="273" t="e">
        <f ca="1">_xludf.IFNA(VLOOKUP('Comp X - Kilter'!B247,'Kilter Holds'!$P$37:$AB$662,7,0),0)</f>
        <v>#NAME?</v>
      </c>
      <c r="F247" s="274"/>
      <c r="G247" s="274" t="e">
        <f t="shared" ca="1" si="0"/>
        <v>#NAME?</v>
      </c>
      <c r="H247" s="274">
        <f t="shared" si="1"/>
        <v>0</v>
      </c>
      <c r="K247" s="274"/>
    </row>
    <row r="248" spans="2:11" ht="13.5" customHeight="1">
      <c r="B248" s="209" t="s">
        <v>2178</v>
      </c>
      <c r="C248" s="209" t="s">
        <v>3291</v>
      </c>
      <c r="D248" s="410" t="str">
        <f t="shared" si="2"/>
        <v>16-16</v>
      </c>
      <c r="E248" s="273" t="e">
        <f ca="1">_xludf.IFNA(VLOOKUP('Comp X - Kilter'!B248,'Kilter Holds'!$P$37:$AB$662,8,0),0)</f>
        <v>#NAME?</v>
      </c>
      <c r="F248" s="274"/>
      <c r="G248" s="274" t="e">
        <f t="shared" ca="1" si="0"/>
        <v>#NAME?</v>
      </c>
      <c r="H248" s="274">
        <f t="shared" si="1"/>
        <v>0</v>
      </c>
      <c r="K248" s="274"/>
    </row>
    <row r="249" spans="2:11" ht="13.5" customHeight="1">
      <c r="B249" s="209" t="s">
        <v>2178</v>
      </c>
      <c r="C249" s="209" t="s">
        <v>3291</v>
      </c>
      <c r="D249" s="411" t="str">
        <f t="shared" si="2"/>
        <v>13-01</v>
      </c>
      <c r="E249" s="273" t="e">
        <f ca="1">_xludf.IFNA(VLOOKUP('Comp X - Kilter'!B249,'Kilter Holds'!$P$37:$AB$662,9,0),0)</f>
        <v>#NAME?</v>
      </c>
      <c r="F249" s="274"/>
      <c r="G249" s="274" t="e">
        <f t="shared" ca="1" si="0"/>
        <v>#NAME?</v>
      </c>
      <c r="H249" s="274">
        <f t="shared" si="1"/>
        <v>0</v>
      </c>
      <c r="K249" s="274"/>
    </row>
    <row r="250" spans="2:11" ht="13.5" customHeight="1">
      <c r="B250" s="209" t="s">
        <v>2178</v>
      </c>
      <c r="C250" s="209" t="s">
        <v>3291</v>
      </c>
      <c r="D250" s="413" t="str">
        <f t="shared" si="2"/>
        <v>07-13</v>
      </c>
      <c r="E250" s="273" t="e">
        <f ca="1">_xludf.IFNA(VLOOKUP('Comp X - Kilter'!B250,'Kilter Holds'!$P$37:$AB$662,10,0),0)</f>
        <v>#NAME?</v>
      </c>
      <c r="F250" s="274"/>
      <c r="G250" s="274" t="e">
        <f t="shared" ca="1" si="0"/>
        <v>#NAME?</v>
      </c>
      <c r="H250" s="274">
        <f t="shared" si="1"/>
        <v>0</v>
      </c>
      <c r="K250" s="274"/>
    </row>
    <row r="251" spans="2:11" ht="13.5" customHeight="1">
      <c r="B251" s="209" t="s">
        <v>2178</v>
      </c>
      <c r="C251" s="209" t="s">
        <v>3291</v>
      </c>
      <c r="D251" s="414" t="str">
        <f t="shared" si="2"/>
        <v>11-26</v>
      </c>
      <c r="E251" s="273" t="e">
        <f ca="1">_xludf.IFNA(VLOOKUP('Comp X - Kilter'!B251,'Kilter Holds'!$P$37:$AB$662,11,0),0)</f>
        <v>#NAME?</v>
      </c>
      <c r="F251" s="274"/>
      <c r="G251" s="274" t="e">
        <f t="shared" ca="1" si="0"/>
        <v>#NAME?</v>
      </c>
      <c r="H251" s="274">
        <f t="shared" si="1"/>
        <v>0</v>
      </c>
      <c r="K251" s="274"/>
    </row>
    <row r="252" spans="2:11" ht="13.5" customHeight="1">
      <c r="B252" s="209" t="s">
        <v>2178</v>
      </c>
      <c r="C252" s="209" t="s">
        <v>3291</v>
      </c>
      <c r="D252" s="415" t="str">
        <f t="shared" si="2"/>
        <v>18-01</v>
      </c>
      <c r="E252" s="273" t="e">
        <f ca="1">_xludf.IFNA(VLOOKUP('Comp X - Kilter'!B252,'Kilter Holds'!$P$37:$AB$662,12,0),0)</f>
        <v>#NAME?</v>
      </c>
      <c r="F252" s="274"/>
      <c r="G252" s="274" t="e">
        <f t="shared" ca="1" si="0"/>
        <v>#NAME?</v>
      </c>
      <c r="H252" s="274">
        <f t="shared" si="1"/>
        <v>0</v>
      </c>
      <c r="K252" s="274"/>
    </row>
    <row r="253" spans="2:11" ht="13.5" customHeight="1">
      <c r="B253" s="209" t="s">
        <v>2178</v>
      </c>
      <c r="C253" s="209" t="s">
        <v>3291</v>
      </c>
      <c r="D253" s="416" t="str">
        <f t="shared" si="2"/>
        <v>Color Code</v>
      </c>
      <c r="E253" s="273" t="e">
        <f ca="1">_xludf.IFNA(VLOOKUP('Comp X - Kilter'!B253,'Kilter Holds'!$P$37:$AB$662,13,0),0)</f>
        <v>#NAME?</v>
      </c>
      <c r="F253" s="274"/>
      <c r="G253" s="274" t="e">
        <f t="shared" ca="1" si="0"/>
        <v>#NAME?</v>
      </c>
      <c r="H253" s="274">
        <f t="shared" si="1"/>
        <v>0</v>
      </c>
      <c r="K253" s="274"/>
    </row>
    <row r="254" spans="2:11" ht="13.5" customHeight="1">
      <c r="B254" s="209" t="s">
        <v>2144</v>
      </c>
      <c r="C254" s="209" t="s">
        <v>3292</v>
      </c>
      <c r="D254" s="406" t="str">
        <f t="shared" si="2"/>
        <v>11-12</v>
      </c>
      <c r="E254" s="273" t="e">
        <f ca="1">_xludf.IFNA(VLOOKUP('Comp X - Kilter'!B254,'Kilter Holds'!$P$37:$AB$662,5,0),0)</f>
        <v>#NAME?</v>
      </c>
      <c r="F254" s="274"/>
      <c r="G254" s="274" t="e">
        <f t="shared" ca="1" si="0"/>
        <v>#NAME?</v>
      </c>
      <c r="H254" s="274">
        <f t="shared" si="1"/>
        <v>0</v>
      </c>
      <c r="K254" s="274"/>
    </row>
    <row r="255" spans="2:11" ht="13.5" customHeight="1">
      <c r="B255" s="209" t="s">
        <v>2144</v>
      </c>
      <c r="C255" s="209" t="s">
        <v>3292</v>
      </c>
      <c r="D255" s="408" t="str">
        <f t="shared" si="2"/>
        <v>14-01</v>
      </c>
      <c r="E255" s="273" t="e">
        <f ca="1">_xludf.IFNA(VLOOKUP('Comp X - Kilter'!B255,'Kilter Holds'!$P$37:$AB$662,6,0),0)</f>
        <v>#NAME?</v>
      </c>
      <c r="F255" s="274"/>
      <c r="G255" s="274" t="e">
        <f t="shared" ca="1" si="0"/>
        <v>#NAME?</v>
      </c>
      <c r="H255" s="274">
        <f t="shared" si="1"/>
        <v>0</v>
      </c>
      <c r="K255" s="274"/>
    </row>
    <row r="256" spans="2:11" ht="13.5" customHeight="1">
      <c r="B256" s="209" t="s">
        <v>2144</v>
      </c>
      <c r="C256" s="209" t="s">
        <v>3292</v>
      </c>
      <c r="D256" s="409" t="str">
        <f t="shared" si="2"/>
        <v>15-12</v>
      </c>
      <c r="E256" s="273" t="e">
        <f ca="1">_xludf.IFNA(VLOOKUP('Comp X - Kilter'!B256,'Kilter Holds'!$P$37:$AB$662,7,0),0)</f>
        <v>#NAME?</v>
      </c>
      <c r="F256" s="274"/>
      <c r="G256" s="274" t="e">
        <f t="shared" ca="1" si="0"/>
        <v>#NAME?</v>
      </c>
      <c r="H256" s="274">
        <f t="shared" si="1"/>
        <v>0</v>
      </c>
      <c r="K256" s="274"/>
    </row>
    <row r="257" spans="2:11" ht="13.5" customHeight="1">
      <c r="B257" s="209" t="s">
        <v>2144</v>
      </c>
      <c r="C257" s="209" t="s">
        <v>3292</v>
      </c>
      <c r="D257" s="410" t="str">
        <f t="shared" si="2"/>
        <v>16-16</v>
      </c>
      <c r="E257" s="273" t="e">
        <f ca="1">_xludf.IFNA(VLOOKUP('Comp X - Kilter'!B257,'Kilter Holds'!$P$37:$AB$662,8,0),0)</f>
        <v>#NAME?</v>
      </c>
      <c r="F257" s="274"/>
      <c r="G257" s="274" t="e">
        <f t="shared" ref="G257:G511" ca="1" si="3">E257*F257</f>
        <v>#NAME?</v>
      </c>
      <c r="H257" s="274">
        <f t="shared" ref="H257:H511" si="4">IF($S$11="Y",G257*0.15,0)</f>
        <v>0</v>
      </c>
      <c r="K257" s="274"/>
    </row>
    <row r="258" spans="2:11" ht="13.5" customHeight="1">
      <c r="B258" s="209" t="s">
        <v>2144</v>
      </c>
      <c r="C258" s="209" t="s">
        <v>3292</v>
      </c>
      <c r="D258" s="411" t="str">
        <f t="shared" si="2"/>
        <v>13-01</v>
      </c>
      <c r="E258" s="273" t="e">
        <f ca="1">_xludf.IFNA(VLOOKUP('Comp X - Kilter'!B258,'Kilter Holds'!$P$37:$AB$662,9,0),0)</f>
        <v>#NAME?</v>
      </c>
      <c r="F258" s="274"/>
      <c r="G258" s="274" t="e">
        <f t="shared" ca="1" si="3"/>
        <v>#NAME?</v>
      </c>
      <c r="H258" s="274">
        <f t="shared" si="4"/>
        <v>0</v>
      </c>
      <c r="K258" s="274"/>
    </row>
    <row r="259" spans="2:11" ht="13.5" customHeight="1">
      <c r="B259" s="209" t="s">
        <v>2144</v>
      </c>
      <c r="C259" s="209" t="s">
        <v>3292</v>
      </c>
      <c r="D259" s="413" t="str">
        <f t="shared" si="2"/>
        <v>07-13</v>
      </c>
      <c r="E259" s="273" t="e">
        <f ca="1">_xludf.IFNA(VLOOKUP('Comp X - Kilter'!B259,'Kilter Holds'!$P$37:$AB$662,10,0),0)</f>
        <v>#NAME?</v>
      </c>
      <c r="F259" s="274"/>
      <c r="G259" s="274" t="e">
        <f t="shared" ca="1" si="3"/>
        <v>#NAME?</v>
      </c>
      <c r="H259" s="274">
        <f t="shared" si="4"/>
        <v>0</v>
      </c>
      <c r="K259" s="274"/>
    </row>
    <row r="260" spans="2:11" ht="13.5" customHeight="1">
      <c r="B260" s="209" t="s">
        <v>2144</v>
      </c>
      <c r="C260" s="209" t="s">
        <v>3292</v>
      </c>
      <c r="D260" s="414" t="str">
        <f t="shared" si="2"/>
        <v>11-26</v>
      </c>
      <c r="E260" s="273" t="e">
        <f ca="1">_xludf.IFNA(VLOOKUP('Comp X - Kilter'!B260,'Kilter Holds'!$P$37:$AB$662,11,0),0)</f>
        <v>#NAME?</v>
      </c>
      <c r="F260" s="274"/>
      <c r="G260" s="274" t="e">
        <f t="shared" ca="1" si="3"/>
        <v>#NAME?</v>
      </c>
      <c r="H260" s="274">
        <f t="shared" si="4"/>
        <v>0</v>
      </c>
      <c r="K260" s="274"/>
    </row>
    <row r="261" spans="2:11" ht="13.5" customHeight="1">
      <c r="B261" s="209" t="s">
        <v>2144</v>
      </c>
      <c r="C261" s="209" t="s">
        <v>3292</v>
      </c>
      <c r="D261" s="415" t="str">
        <f t="shared" si="2"/>
        <v>18-01</v>
      </c>
      <c r="E261" s="273" t="e">
        <f ca="1">_xludf.IFNA(VLOOKUP('Comp X - Kilter'!B261,'Kilter Holds'!$P$37:$AB$662,12,0),0)</f>
        <v>#NAME?</v>
      </c>
      <c r="F261" s="274"/>
      <c r="G261" s="274" t="e">
        <f t="shared" ca="1" si="3"/>
        <v>#NAME?</v>
      </c>
      <c r="H261" s="274">
        <f t="shared" si="4"/>
        <v>0</v>
      </c>
      <c r="K261" s="274"/>
    </row>
    <row r="262" spans="2:11" ht="13.5" customHeight="1">
      <c r="B262" s="209" t="s">
        <v>2144</v>
      </c>
      <c r="C262" s="209" t="s">
        <v>3292</v>
      </c>
      <c r="D262" s="416" t="str">
        <f t="shared" si="2"/>
        <v>Color Code</v>
      </c>
      <c r="E262" s="273" t="e">
        <f ca="1">_xludf.IFNA(VLOOKUP('Comp X - Kilter'!B262,'Kilter Holds'!$P$37:$AB$662,13,0),0)</f>
        <v>#NAME?</v>
      </c>
      <c r="F262" s="274"/>
      <c r="G262" s="274" t="e">
        <f t="shared" ca="1" si="3"/>
        <v>#NAME?</v>
      </c>
      <c r="H262" s="274">
        <f t="shared" si="4"/>
        <v>0</v>
      </c>
      <c r="K262" s="274"/>
    </row>
    <row r="263" spans="2:11" ht="13.5" customHeight="1">
      <c r="B263" s="209" t="s">
        <v>2130</v>
      </c>
      <c r="C263" s="209" t="s">
        <v>3293</v>
      </c>
      <c r="D263" s="406" t="str">
        <f t="shared" si="2"/>
        <v>11-12</v>
      </c>
      <c r="E263" s="273" t="e">
        <f ca="1">_xludf.IFNA(VLOOKUP('Comp X - Kilter'!B263,'Kilter Holds'!$P$37:$AB$662,5,0),0)</f>
        <v>#NAME?</v>
      </c>
      <c r="F263" s="274"/>
      <c r="G263" s="274" t="e">
        <f t="shared" ca="1" si="3"/>
        <v>#NAME?</v>
      </c>
      <c r="H263" s="274">
        <f t="shared" si="4"/>
        <v>0</v>
      </c>
      <c r="K263" s="274"/>
    </row>
    <row r="264" spans="2:11" ht="13.5" customHeight="1">
      <c r="B264" s="209" t="s">
        <v>2130</v>
      </c>
      <c r="C264" s="209" t="s">
        <v>3293</v>
      </c>
      <c r="D264" s="408" t="str">
        <f t="shared" si="2"/>
        <v>14-01</v>
      </c>
      <c r="E264" s="273" t="e">
        <f ca="1">_xludf.IFNA(VLOOKUP('Comp X - Kilter'!B264,'Kilter Holds'!$P$37:$AB$662,6,0),0)</f>
        <v>#NAME?</v>
      </c>
      <c r="F264" s="274"/>
      <c r="G264" s="274" t="e">
        <f t="shared" ca="1" si="3"/>
        <v>#NAME?</v>
      </c>
      <c r="H264" s="274">
        <f t="shared" si="4"/>
        <v>0</v>
      </c>
      <c r="K264" s="274"/>
    </row>
    <row r="265" spans="2:11" ht="13.5" customHeight="1">
      <c r="B265" s="209" t="s">
        <v>2130</v>
      </c>
      <c r="C265" s="209" t="s">
        <v>3293</v>
      </c>
      <c r="D265" s="409" t="str">
        <f t="shared" si="2"/>
        <v>15-12</v>
      </c>
      <c r="E265" s="273" t="e">
        <f ca="1">_xludf.IFNA(VLOOKUP('Comp X - Kilter'!B265,'Kilter Holds'!$P$37:$AB$662,7,0),0)</f>
        <v>#NAME?</v>
      </c>
      <c r="F265" s="274"/>
      <c r="G265" s="274" t="e">
        <f t="shared" ca="1" si="3"/>
        <v>#NAME?</v>
      </c>
      <c r="H265" s="274">
        <f t="shared" si="4"/>
        <v>0</v>
      </c>
      <c r="K265" s="274"/>
    </row>
    <row r="266" spans="2:11" ht="13.5" customHeight="1">
      <c r="B266" s="209" t="s">
        <v>2130</v>
      </c>
      <c r="C266" s="209" t="s">
        <v>3293</v>
      </c>
      <c r="D266" s="410" t="str">
        <f t="shared" ref="D266:D460" si="5">D257</f>
        <v>16-16</v>
      </c>
      <c r="E266" s="273" t="e">
        <f ca="1">_xludf.IFNA(VLOOKUP('Comp X - Kilter'!B266,'Kilter Holds'!$P$37:$AB$662,8,0),0)</f>
        <v>#NAME?</v>
      </c>
      <c r="F266" s="274"/>
      <c r="G266" s="274" t="e">
        <f t="shared" ca="1" si="3"/>
        <v>#NAME?</v>
      </c>
      <c r="H266" s="274">
        <f t="shared" si="4"/>
        <v>0</v>
      </c>
      <c r="K266" s="274"/>
    </row>
    <row r="267" spans="2:11" ht="13.5" customHeight="1">
      <c r="B267" s="209" t="s">
        <v>2130</v>
      </c>
      <c r="C267" s="209" t="s">
        <v>3293</v>
      </c>
      <c r="D267" s="411" t="str">
        <f t="shared" si="5"/>
        <v>13-01</v>
      </c>
      <c r="E267" s="273" t="e">
        <f ca="1">_xludf.IFNA(VLOOKUP('Comp X - Kilter'!B267,'Kilter Holds'!$P$37:$AB$662,9,0),0)</f>
        <v>#NAME?</v>
      </c>
      <c r="F267" s="274"/>
      <c r="G267" s="274" t="e">
        <f t="shared" ca="1" si="3"/>
        <v>#NAME?</v>
      </c>
      <c r="H267" s="274">
        <f t="shared" si="4"/>
        <v>0</v>
      </c>
      <c r="K267" s="274"/>
    </row>
    <row r="268" spans="2:11" ht="13.5" customHeight="1">
      <c r="B268" s="209" t="s">
        <v>2130</v>
      </c>
      <c r="C268" s="209" t="s">
        <v>3293</v>
      </c>
      <c r="D268" s="413" t="str">
        <f t="shared" si="5"/>
        <v>07-13</v>
      </c>
      <c r="E268" s="273" t="e">
        <f ca="1">_xludf.IFNA(VLOOKUP('Comp X - Kilter'!B268,'Kilter Holds'!$P$37:$AB$662,10,0),0)</f>
        <v>#NAME?</v>
      </c>
      <c r="F268" s="274"/>
      <c r="G268" s="274" t="e">
        <f t="shared" ca="1" si="3"/>
        <v>#NAME?</v>
      </c>
      <c r="H268" s="274">
        <f t="shared" si="4"/>
        <v>0</v>
      </c>
      <c r="K268" s="274"/>
    </row>
    <row r="269" spans="2:11" ht="13.5" customHeight="1">
      <c r="B269" s="209" t="s">
        <v>2130</v>
      </c>
      <c r="C269" s="209" t="s">
        <v>3293</v>
      </c>
      <c r="D269" s="414" t="str">
        <f t="shared" si="5"/>
        <v>11-26</v>
      </c>
      <c r="E269" s="273" t="e">
        <f ca="1">_xludf.IFNA(VLOOKUP('Comp X - Kilter'!B269,'Kilter Holds'!$P$37:$AB$662,11,0),0)</f>
        <v>#NAME?</v>
      </c>
      <c r="F269" s="274"/>
      <c r="G269" s="274" t="e">
        <f t="shared" ca="1" si="3"/>
        <v>#NAME?</v>
      </c>
      <c r="H269" s="274">
        <f t="shared" si="4"/>
        <v>0</v>
      </c>
      <c r="K269" s="274"/>
    </row>
    <row r="270" spans="2:11" ht="13.5" customHeight="1">
      <c r="B270" s="209" t="s">
        <v>2130</v>
      </c>
      <c r="C270" s="209" t="s">
        <v>3293</v>
      </c>
      <c r="D270" s="415" t="str">
        <f t="shared" si="5"/>
        <v>18-01</v>
      </c>
      <c r="E270" s="273" t="e">
        <f ca="1">_xludf.IFNA(VLOOKUP('Comp X - Kilter'!B270,'Kilter Holds'!$P$37:$AB$662,12,0),0)</f>
        <v>#NAME?</v>
      </c>
      <c r="F270" s="274"/>
      <c r="G270" s="274" t="e">
        <f t="shared" ca="1" si="3"/>
        <v>#NAME?</v>
      </c>
      <c r="H270" s="274">
        <f t="shared" si="4"/>
        <v>0</v>
      </c>
      <c r="K270" s="274"/>
    </row>
    <row r="271" spans="2:11" ht="13.5" customHeight="1">
      <c r="B271" s="209" t="s">
        <v>2130</v>
      </c>
      <c r="C271" s="209" t="s">
        <v>3293</v>
      </c>
      <c r="D271" s="416" t="str">
        <f t="shared" si="5"/>
        <v>Color Code</v>
      </c>
      <c r="E271" s="273" t="e">
        <f ca="1">_xludf.IFNA(VLOOKUP('Comp X - Kilter'!B271,'Kilter Holds'!$P$37:$AB$662,13,0),0)</f>
        <v>#NAME?</v>
      </c>
      <c r="F271" s="274"/>
      <c r="G271" s="274" t="e">
        <f t="shared" ca="1" si="3"/>
        <v>#NAME?</v>
      </c>
      <c r="H271" s="274">
        <f t="shared" si="4"/>
        <v>0</v>
      </c>
      <c r="K271" s="274"/>
    </row>
    <row r="272" spans="2:11" ht="13.5" customHeight="1">
      <c r="B272" s="209" t="s">
        <v>2131</v>
      </c>
      <c r="C272" s="209" t="s">
        <v>3294</v>
      </c>
      <c r="D272" s="406" t="str">
        <f t="shared" si="5"/>
        <v>11-12</v>
      </c>
      <c r="E272" s="273" t="e">
        <f ca="1">_xludf.IFNA(VLOOKUP('Comp X - Kilter'!B272,'Kilter Holds'!$P$37:$AB$662,5,0),0)</f>
        <v>#NAME?</v>
      </c>
      <c r="F272" s="274"/>
      <c r="G272" s="274" t="e">
        <f t="shared" ca="1" si="3"/>
        <v>#NAME?</v>
      </c>
      <c r="H272" s="274">
        <f t="shared" si="4"/>
        <v>0</v>
      </c>
      <c r="K272" s="274"/>
    </row>
    <row r="273" spans="2:11" ht="13.5" customHeight="1">
      <c r="B273" s="209" t="s">
        <v>2131</v>
      </c>
      <c r="C273" s="209" t="s">
        <v>3294</v>
      </c>
      <c r="D273" s="408" t="str">
        <f t="shared" si="5"/>
        <v>14-01</v>
      </c>
      <c r="E273" s="273" t="e">
        <f ca="1">_xludf.IFNA(VLOOKUP('Comp X - Kilter'!B273,'Kilter Holds'!$P$37:$AB$662,6,0),0)</f>
        <v>#NAME?</v>
      </c>
      <c r="F273" s="274"/>
      <c r="G273" s="274" t="e">
        <f t="shared" ca="1" si="3"/>
        <v>#NAME?</v>
      </c>
      <c r="H273" s="274">
        <f t="shared" si="4"/>
        <v>0</v>
      </c>
      <c r="K273" s="274"/>
    </row>
    <row r="274" spans="2:11" ht="13.5" customHeight="1">
      <c r="B274" s="209" t="s">
        <v>2131</v>
      </c>
      <c r="C274" s="209" t="s">
        <v>3294</v>
      </c>
      <c r="D274" s="409" t="str">
        <f t="shared" si="5"/>
        <v>15-12</v>
      </c>
      <c r="E274" s="273" t="e">
        <f ca="1">_xludf.IFNA(VLOOKUP('Comp X - Kilter'!B274,'Kilter Holds'!$P$37:$AB$662,7,0),0)</f>
        <v>#NAME?</v>
      </c>
      <c r="F274" s="274"/>
      <c r="G274" s="274" t="e">
        <f t="shared" ca="1" si="3"/>
        <v>#NAME?</v>
      </c>
      <c r="H274" s="274">
        <f t="shared" si="4"/>
        <v>0</v>
      </c>
      <c r="K274" s="274"/>
    </row>
    <row r="275" spans="2:11" ht="13.5" customHeight="1">
      <c r="B275" s="209" t="s">
        <v>2131</v>
      </c>
      <c r="C275" s="209" t="s">
        <v>3294</v>
      </c>
      <c r="D275" s="410" t="str">
        <f t="shared" si="5"/>
        <v>16-16</v>
      </c>
      <c r="E275" s="273" t="e">
        <f ca="1">_xludf.IFNA(VLOOKUP('Comp X - Kilter'!B275,'Kilter Holds'!$P$37:$AB$662,8,0),0)</f>
        <v>#NAME?</v>
      </c>
      <c r="F275" s="274"/>
      <c r="G275" s="274" t="e">
        <f t="shared" ca="1" si="3"/>
        <v>#NAME?</v>
      </c>
      <c r="H275" s="274">
        <f t="shared" si="4"/>
        <v>0</v>
      </c>
      <c r="K275" s="274"/>
    </row>
    <row r="276" spans="2:11" ht="13.5" customHeight="1">
      <c r="B276" s="209" t="s">
        <v>2131</v>
      </c>
      <c r="C276" s="209" t="s">
        <v>3294</v>
      </c>
      <c r="D276" s="411" t="str">
        <f t="shared" si="5"/>
        <v>13-01</v>
      </c>
      <c r="E276" s="273" t="e">
        <f ca="1">_xludf.IFNA(VLOOKUP('Comp X - Kilter'!B276,'Kilter Holds'!$P$37:$AB$662,9,0),0)</f>
        <v>#NAME?</v>
      </c>
      <c r="F276" s="274"/>
      <c r="G276" s="274" t="e">
        <f t="shared" ca="1" si="3"/>
        <v>#NAME?</v>
      </c>
      <c r="H276" s="274">
        <f t="shared" si="4"/>
        <v>0</v>
      </c>
      <c r="K276" s="274"/>
    </row>
    <row r="277" spans="2:11" ht="13.5" customHeight="1">
      <c r="B277" s="209" t="s">
        <v>2131</v>
      </c>
      <c r="C277" s="209" t="s">
        <v>3294</v>
      </c>
      <c r="D277" s="413" t="str">
        <f t="shared" si="5"/>
        <v>07-13</v>
      </c>
      <c r="E277" s="273" t="e">
        <f ca="1">_xludf.IFNA(VLOOKUP('Comp X - Kilter'!B277,'Kilter Holds'!$P$37:$AB$662,10,0),0)</f>
        <v>#NAME?</v>
      </c>
      <c r="F277" s="274"/>
      <c r="G277" s="274" t="e">
        <f t="shared" ca="1" si="3"/>
        <v>#NAME?</v>
      </c>
      <c r="H277" s="274">
        <f t="shared" si="4"/>
        <v>0</v>
      </c>
      <c r="K277" s="274"/>
    </row>
    <row r="278" spans="2:11" ht="13.5" customHeight="1">
      <c r="B278" s="209" t="s">
        <v>2131</v>
      </c>
      <c r="C278" s="209" t="s">
        <v>3294</v>
      </c>
      <c r="D278" s="414" t="str">
        <f t="shared" si="5"/>
        <v>11-26</v>
      </c>
      <c r="E278" s="273" t="e">
        <f ca="1">_xludf.IFNA(VLOOKUP('Comp X - Kilter'!B278,'Kilter Holds'!$P$37:$AB$662,11,0),0)</f>
        <v>#NAME?</v>
      </c>
      <c r="F278" s="274"/>
      <c r="G278" s="274" t="e">
        <f t="shared" ca="1" si="3"/>
        <v>#NAME?</v>
      </c>
      <c r="H278" s="274">
        <f t="shared" si="4"/>
        <v>0</v>
      </c>
      <c r="K278" s="274"/>
    </row>
    <row r="279" spans="2:11" ht="13.5" customHeight="1">
      <c r="B279" s="209" t="s">
        <v>2131</v>
      </c>
      <c r="C279" s="209" t="s">
        <v>3294</v>
      </c>
      <c r="D279" s="415" t="str">
        <f t="shared" si="5"/>
        <v>18-01</v>
      </c>
      <c r="E279" s="273" t="e">
        <f ca="1">_xludf.IFNA(VLOOKUP('Comp X - Kilter'!B279,'Kilter Holds'!$P$37:$AB$662,12,0),0)</f>
        <v>#NAME?</v>
      </c>
      <c r="F279" s="274"/>
      <c r="G279" s="274" t="e">
        <f t="shared" ca="1" si="3"/>
        <v>#NAME?</v>
      </c>
      <c r="H279" s="274">
        <f t="shared" si="4"/>
        <v>0</v>
      </c>
      <c r="K279" s="274"/>
    </row>
    <row r="280" spans="2:11" ht="13.5" customHeight="1">
      <c r="B280" s="209" t="s">
        <v>2131</v>
      </c>
      <c r="C280" s="209" t="s">
        <v>3294</v>
      </c>
      <c r="D280" s="416" t="str">
        <f t="shared" si="5"/>
        <v>Color Code</v>
      </c>
      <c r="E280" s="273" t="e">
        <f ca="1">_xludf.IFNA(VLOOKUP('Comp X - Kilter'!B280,'Kilter Holds'!$P$37:$AB$662,13,0),0)</f>
        <v>#NAME?</v>
      </c>
      <c r="F280" s="274"/>
      <c r="G280" s="274" t="e">
        <f t="shared" ca="1" si="3"/>
        <v>#NAME?</v>
      </c>
      <c r="H280" s="274">
        <f t="shared" si="4"/>
        <v>0</v>
      </c>
      <c r="K280" s="274"/>
    </row>
    <row r="281" spans="2:11" ht="13.5" customHeight="1">
      <c r="B281" s="209" t="s">
        <v>2148</v>
      </c>
      <c r="C281" s="209" t="s">
        <v>3295</v>
      </c>
      <c r="D281" s="406" t="str">
        <f t="shared" si="5"/>
        <v>11-12</v>
      </c>
      <c r="E281" s="273" t="e">
        <f ca="1">_xludf.IFNA(VLOOKUP('Comp X - Kilter'!B281,'Kilter Holds'!$P$37:$AB$662,5,0),0)</f>
        <v>#NAME?</v>
      </c>
      <c r="F281" s="274"/>
      <c r="G281" s="274" t="e">
        <f t="shared" ca="1" si="3"/>
        <v>#NAME?</v>
      </c>
      <c r="H281" s="274">
        <f t="shared" si="4"/>
        <v>0</v>
      </c>
      <c r="K281" s="274"/>
    </row>
    <row r="282" spans="2:11" ht="13.5" customHeight="1">
      <c r="B282" s="209" t="s">
        <v>2148</v>
      </c>
      <c r="C282" s="209" t="s">
        <v>3295</v>
      </c>
      <c r="D282" s="408" t="str">
        <f t="shared" si="5"/>
        <v>14-01</v>
      </c>
      <c r="E282" s="273" t="e">
        <f ca="1">_xludf.IFNA(VLOOKUP('Comp X - Kilter'!B282,'Kilter Holds'!$P$37:$AB$662,6,0),0)</f>
        <v>#NAME?</v>
      </c>
      <c r="F282" s="274"/>
      <c r="G282" s="274" t="e">
        <f t="shared" ca="1" si="3"/>
        <v>#NAME?</v>
      </c>
      <c r="H282" s="274">
        <f t="shared" si="4"/>
        <v>0</v>
      </c>
      <c r="K282" s="274"/>
    </row>
    <row r="283" spans="2:11" ht="13.5" customHeight="1">
      <c r="B283" s="209" t="s">
        <v>2148</v>
      </c>
      <c r="C283" s="209" t="s">
        <v>3295</v>
      </c>
      <c r="D283" s="409" t="str">
        <f t="shared" si="5"/>
        <v>15-12</v>
      </c>
      <c r="E283" s="273" t="e">
        <f ca="1">_xludf.IFNA(VLOOKUP('Comp X - Kilter'!B283,'Kilter Holds'!$P$37:$AB$662,7,0),0)</f>
        <v>#NAME?</v>
      </c>
      <c r="F283" s="274"/>
      <c r="G283" s="274" t="e">
        <f t="shared" ca="1" si="3"/>
        <v>#NAME?</v>
      </c>
      <c r="H283" s="274">
        <f t="shared" si="4"/>
        <v>0</v>
      </c>
      <c r="K283" s="274"/>
    </row>
    <row r="284" spans="2:11" ht="13.5" customHeight="1">
      <c r="B284" s="209" t="s">
        <v>2148</v>
      </c>
      <c r="C284" s="209" t="s">
        <v>3295</v>
      </c>
      <c r="D284" s="410" t="str">
        <f t="shared" si="5"/>
        <v>16-16</v>
      </c>
      <c r="E284" s="273" t="e">
        <f ca="1">_xludf.IFNA(VLOOKUP('Comp X - Kilter'!B284,'Kilter Holds'!$P$37:$AB$662,8,0),0)</f>
        <v>#NAME?</v>
      </c>
      <c r="F284" s="274"/>
      <c r="G284" s="274" t="e">
        <f t="shared" ca="1" si="3"/>
        <v>#NAME?</v>
      </c>
      <c r="H284" s="274">
        <f t="shared" si="4"/>
        <v>0</v>
      </c>
      <c r="K284" s="274"/>
    </row>
    <row r="285" spans="2:11" ht="13.5" customHeight="1">
      <c r="B285" s="209" t="s">
        <v>2148</v>
      </c>
      <c r="C285" s="209" t="s">
        <v>3295</v>
      </c>
      <c r="D285" s="411" t="str">
        <f t="shared" si="5"/>
        <v>13-01</v>
      </c>
      <c r="E285" s="273" t="e">
        <f ca="1">_xludf.IFNA(VLOOKUP('Comp X - Kilter'!B285,'Kilter Holds'!$P$37:$AB$662,9,0),0)</f>
        <v>#NAME?</v>
      </c>
      <c r="F285" s="274"/>
      <c r="G285" s="274" t="e">
        <f t="shared" ca="1" si="3"/>
        <v>#NAME?</v>
      </c>
      <c r="H285" s="274">
        <f t="shared" si="4"/>
        <v>0</v>
      </c>
      <c r="K285" s="274"/>
    </row>
    <row r="286" spans="2:11" ht="13.5" customHeight="1">
      <c r="B286" s="209" t="s">
        <v>2148</v>
      </c>
      <c r="C286" s="209" t="s">
        <v>3295</v>
      </c>
      <c r="D286" s="413" t="str">
        <f t="shared" si="5"/>
        <v>07-13</v>
      </c>
      <c r="E286" s="273" t="e">
        <f ca="1">_xludf.IFNA(VLOOKUP('Comp X - Kilter'!B286,'Kilter Holds'!$P$37:$AB$662,10,0),0)</f>
        <v>#NAME?</v>
      </c>
      <c r="F286" s="274"/>
      <c r="G286" s="274" t="e">
        <f t="shared" ca="1" si="3"/>
        <v>#NAME?</v>
      </c>
      <c r="H286" s="274">
        <f t="shared" si="4"/>
        <v>0</v>
      </c>
      <c r="K286" s="274"/>
    </row>
    <row r="287" spans="2:11" ht="13.5" customHeight="1">
      <c r="B287" s="209" t="s">
        <v>2148</v>
      </c>
      <c r="C287" s="209" t="s">
        <v>3295</v>
      </c>
      <c r="D287" s="414" t="str">
        <f t="shared" si="5"/>
        <v>11-26</v>
      </c>
      <c r="E287" s="273" t="e">
        <f ca="1">_xludf.IFNA(VLOOKUP('Comp X - Kilter'!B287,'Kilter Holds'!$P$37:$AB$662,11,0),0)</f>
        <v>#NAME?</v>
      </c>
      <c r="F287" s="274"/>
      <c r="G287" s="274" t="e">
        <f t="shared" ca="1" si="3"/>
        <v>#NAME?</v>
      </c>
      <c r="H287" s="274">
        <f t="shared" si="4"/>
        <v>0</v>
      </c>
      <c r="K287" s="274"/>
    </row>
    <row r="288" spans="2:11" ht="13.5" customHeight="1">
      <c r="B288" s="209" t="s">
        <v>2148</v>
      </c>
      <c r="C288" s="209" t="s">
        <v>3295</v>
      </c>
      <c r="D288" s="415" t="str">
        <f t="shared" si="5"/>
        <v>18-01</v>
      </c>
      <c r="E288" s="273" t="e">
        <f ca="1">_xludf.IFNA(VLOOKUP('Comp X - Kilter'!B288,'Kilter Holds'!$P$37:$AB$662,12,0),0)</f>
        <v>#NAME?</v>
      </c>
      <c r="F288" s="274"/>
      <c r="G288" s="274" t="e">
        <f t="shared" ca="1" si="3"/>
        <v>#NAME?</v>
      </c>
      <c r="H288" s="274">
        <f t="shared" si="4"/>
        <v>0</v>
      </c>
      <c r="K288" s="274"/>
    </row>
    <row r="289" spans="2:11" ht="13.5" customHeight="1">
      <c r="B289" s="209" t="s">
        <v>2148</v>
      </c>
      <c r="C289" s="209" t="s">
        <v>3295</v>
      </c>
      <c r="D289" s="416" t="str">
        <f t="shared" si="5"/>
        <v>Color Code</v>
      </c>
      <c r="E289" s="273" t="e">
        <f ca="1">_xludf.IFNA(VLOOKUP('Comp X - Kilter'!B289,'Kilter Holds'!$P$37:$AB$662,13,0),0)</f>
        <v>#NAME?</v>
      </c>
      <c r="F289" s="274"/>
      <c r="G289" s="274" t="e">
        <f t="shared" ca="1" si="3"/>
        <v>#NAME?</v>
      </c>
      <c r="H289" s="274">
        <f t="shared" si="4"/>
        <v>0</v>
      </c>
      <c r="K289" s="274"/>
    </row>
    <row r="290" spans="2:11" ht="13.5" customHeight="1">
      <c r="B290" s="209" t="s">
        <v>2149</v>
      </c>
      <c r="C290" s="209" t="s">
        <v>3296</v>
      </c>
      <c r="D290" s="406" t="str">
        <f t="shared" si="5"/>
        <v>11-12</v>
      </c>
      <c r="E290" s="273" t="e">
        <f ca="1">_xludf.IFNA(VLOOKUP('Comp X - Kilter'!B290,'Kilter Holds'!$P$37:$AB$662,5,0),0)</f>
        <v>#NAME?</v>
      </c>
      <c r="F290" s="274"/>
      <c r="G290" s="274" t="e">
        <f t="shared" ca="1" si="3"/>
        <v>#NAME?</v>
      </c>
      <c r="H290" s="274">
        <f t="shared" si="4"/>
        <v>0</v>
      </c>
      <c r="K290" s="274"/>
    </row>
    <row r="291" spans="2:11" ht="13.5" customHeight="1">
      <c r="B291" s="209" t="s">
        <v>2149</v>
      </c>
      <c r="C291" s="209" t="s">
        <v>3296</v>
      </c>
      <c r="D291" s="408" t="str">
        <f t="shared" si="5"/>
        <v>14-01</v>
      </c>
      <c r="E291" s="273" t="e">
        <f ca="1">_xludf.IFNA(VLOOKUP('Comp X - Kilter'!B291,'Kilter Holds'!$P$37:$AB$662,6,0),0)</f>
        <v>#NAME?</v>
      </c>
      <c r="F291" s="274"/>
      <c r="G291" s="274" t="e">
        <f t="shared" ca="1" si="3"/>
        <v>#NAME?</v>
      </c>
      <c r="H291" s="274">
        <f t="shared" si="4"/>
        <v>0</v>
      </c>
      <c r="K291" s="274"/>
    </row>
    <row r="292" spans="2:11" ht="13.5" customHeight="1">
      <c r="B292" s="209" t="s">
        <v>2149</v>
      </c>
      <c r="C292" s="209" t="s">
        <v>3296</v>
      </c>
      <c r="D292" s="409" t="str">
        <f t="shared" si="5"/>
        <v>15-12</v>
      </c>
      <c r="E292" s="273" t="e">
        <f ca="1">_xludf.IFNA(VLOOKUP('Comp X - Kilter'!B292,'Kilter Holds'!$P$37:$AB$662,7,0),0)</f>
        <v>#NAME?</v>
      </c>
      <c r="F292" s="274"/>
      <c r="G292" s="274" t="e">
        <f t="shared" ca="1" si="3"/>
        <v>#NAME?</v>
      </c>
      <c r="H292" s="274">
        <f t="shared" si="4"/>
        <v>0</v>
      </c>
      <c r="K292" s="274"/>
    </row>
    <row r="293" spans="2:11" ht="13.5" customHeight="1">
      <c r="B293" s="209" t="s">
        <v>2149</v>
      </c>
      <c r="C293" s="209" t="s">
        <v>3296</v>
      </c>
      <c r="D293" s="410" t="str">
        <f t="shared" si="5"/>
        <v>16-16</v>
      </c>
      <c r="E293" s="273" t="e">
        <f ca="1">_xludf.IFNA(VLOOKUP('Comp X - Kilter'!B293,'Kilter Holds'!$P$37:$AB$662,8,0),0)</f>
        <v>#NAME?</v>
      </c>
      <c r="F293" s="274"/>
      <c r="G293" s="274" t="e">
        <f t="shared" ca="1" si="3"/>
        <v>#NAME?</v>
      </c>
      <c r="H293" s="274">
        <f t="shared" si="4"/>
        <v>0</v>
      </c>
      <c r="K293" s="274"/>
    </row>
    <row r="294" spans="2:11" ht="13.5" customHeight="1">
      <c r="B294" s="209" t="s">
        <v>2149</v>
      </c>
      <c r="C294" s="209" t="s">
        <v>3296</v>
      </c>
      <c r="D294" s="411" t="str">
        <f t="shared" si="5"/>
        <v>13-01</v>
      </c>
      <c r="E294" s="273" t="e">
        <f ca="1">_xludf.IFNA(VLOOKUP('Comp X - Kilter'!B294,'Kilter Holds'!$P$37:$AB$662,9,0),0)</f>
        <v>#NAME?</v>
      </c>
      <c r="F294" s="274"/>
      <c r="G294" s="274" t="e">
        <f t="shared" ca="1" si="3"/>
        <v>#NAME?</v>
      </c>
      <c r="H294" s="274">
        <f t="shared" si="4"/>
        <v>0</v>
      </c>
      <c r="K294" s="274"/>
    </row>
    <row r="295" spans="2:11" ht="13.5" customHeight="1">
      <c r="B295" s="209" t="s">
        <v>2149</v>
      </c>
      <c r="C295" s="209" t="s">
        <v>3296</v>
      </c>
      <c r="D295" s="413" t="str">
        <f t="shared" si="5"/>
        <v>07-13</v>
      </c>
      <c r="E295" s="273" t="e">
        <f ca="1">_xludf.IFNA(VLOOKUP('Comp X - Kilter'!B295,'Kilter Holds'!$P$37:$AB$662,10,0),0)</f>
        <v>#NAME?</v>
      </c>
      <c r="F295" s="274"/>
      <c r="G295" s="274" t="e">
        <f t="shared" ca="1" si="3"/>
        <v>#NAME?</v>
      </c>
      <c r="H295" s="274">
        <f t="shared" si="4"/>
        <v>0</v>
      </c>
      <c r="K295" s="274"/>
    </row>
    <row r="296" spans="2:11" ht="13.5" customHeight="1">
      <c r="B296" s="209" t="s">
        <v>2149</v>
      </c>
      <c r="C296" s="209" t="s">
        <v>3296</v>
      </c>
      <c r="D296" s="414" t="str">
        <f t="shared" si="5"/>
        <v>11-26</v>
      </c>
      <c r="E296" s="273" t="e">
        <f ca="1">_xludf.IFNA(VLOOKUP('Comp X - Kilter'!B296,'Kilter Holds'!$P$37:$AB$662,11,0),0)</f>
        <v>#NAME?</v>
      </c>
      <c r="F296" s="274"/>
      <c r="G296" s="274" t="e">
        <f t="shared" ca="1" si="3"/>
        <v>#NAME?</v>
      </c>
      <c r="H296" s="274">
        <f t="shared" si="4"/>
        <v>0</v>
      </c>
      <c r="K296" s="274"/>
    </row>
    <row r="297" spans="2:11" ht="13.5" customHeight="1">
      <c r="B297" s="209" t="s">
        <v>2149</v>
      </c>
      <c r="C297" s="209" t="s">
        <v>3296</v>
      </c>
      <c r="D297" s="415" t="str">
        <f t="shared" si="5"/>
        <v>18-01</v>
      </c>
      <c r="E297" s="273" t="e">
        <f ca="1">_xludf.IFNA(VLOOKUP('Comp X - Kilter'!B297,'Kilter Holds'!$P$37:$AB$662,12,0),0)</f>
        <v>#NAME?</v>
      </c>
      <c r="F297" s="274"/>
      <c r="G297" s="274" t="e">
        <f t="shared" ca="1" si="3"/>
        <v>#NAME?</v>
      </c>
      <c r="H297" s="274">
        <f t="shared" si="4"/>
        <v>0</v>
      </c>
      <c r="K297" s="274"/>
    </row>
    <row r="298" spans="2:11" ht="13.5" customHeight="1">
      <c r="B298" s="209" t="s">
        <v>2149</v>
      </c>
      <c r="C298" s="209" t="s">
        <v>3296</v>
      </c>
      <c r="D298" s="416" t="str">
        <f t="shared" si="5"/>
        <v>Color Code</v>
      </c>
      <c r="E298" s="273" t="e">
        <f ca="1">_xludf.IFNA(VLOOKUP('Comp X - Kilter'!B298,'Kilter Holds'!$P$37:$AB$662,13,0),0)</f>
        <v>#NAME?</v>
      </c>
      <c r="F298" s="274"/>
      <c r="G298" s="274" t="e">
        <f t="shared" ca="1" si="3"/>
        <v>#NAME?</v>
      </c>
      <c r="H298" s="274">
        <f t="shared" si="4"/>
        <v>0</v>
      </c>
      <c r="K298" s="274"/>
    </row>
    <row r="299" spans="2:11" ht="13.5" customHeight="1">
      <c r="B299" s="209" t="s">
        <v>2150</v>
      </c>
      <c r="C299" s="209" t="s">
        <v>3297</v>
      </c>
      <c r="D299" s="406" t="str">
        <f t="shared" si="5"/>
        <v>11-12</v>
      </c>
      <c r="E299" s="273" t="e">
        <f ca="1">_xludf.IFNA(VLOOKUP('Comp X - Kilter'!B299,'Kilter Holds'!$P$37:$AB$662,5,0),0)</f>
        <v>#NAME?</v>
      </c>
      <c r="F299" s="274"/>
      <c r="G299" s="274" t="e">
        <f t="shared" ca="1" si="3"/>
        <v>#NAME?</v>
      </c>
      <c r="H299" s="274">
        <f t="shared" si="4"/>
        <v>0</v>
      </c>
      <c r="K299" s="274"/>
    </row>
    <row r="300" spans="2:11" ht="13.5" customHeight="1">
      <c r="B300" s="209" t="s">
        <v>2150</v>
      </c>
      <c r="C300" s="209" t="s">
        <v>3297</v>
      </c>
      <c r="D300" s="408" t="str">
        <f t="shared" si="5"/>
        <v>14-01</v>
      </c>
      <c r="E300" s="273" t="e">
        <f ca="1">_xludf.IFNA(VLOOKUP('Comp X - Kilter'!B300,'Kilter Holds'!$P$37:$AB$662,6,0),0)</f>
        <v>#NAME?</v>
      </c>
      <c r="F300" s="274"/>
      <c r="G300" s="274" t="e">
        <f t="shared" ca="1" si="3"/>
        <v>#NAME?</v>
      </c>
      <c r="H300" s="274">
        <f t="shared" si="4"/>
        <v>0</v>
      </c>
      <c r="K300" s="274"/>
    </row>
    <row r="301" spans="2:11" ht="13.5" customHeight="1">
      <c r="B301" s="209" t="s">
        <v>2150</v>
      </c>
      <c r="C301" s="209" t="s">
        <v>3297</v>
      </c>
      <c r="D301" s="409" t="str">
        <f t="shared" si="5"/>
        <v>15-12</v>
      </c>
      <c r="E301" s="273" t="e">
        <f ca="1">_xludf.IFNA(VLOOKUP('Comp X - Kilter'!B301,'Kilter Holds'!$P$37:$AB$662,7,0),0)</f>
        <v>#NAME?</v>
      </c>
      <c r="F301" s="274"/>
      <c r="G301" s="274" t="e">
        <f t="shared" ca="1" si="3"/>
        <v>#NAME?</v>
      </c>
      <c r="H301" s="274">
        <f t="shared" si="4"/>
        <v>0</v>
      </c>
      <c r="K301" s="274"/>
    </row>
    <row r="302" spans="2:11" ht="13.5" customHeight="1">
      <c r="B302" s="209" t="s">
        <v>2150</v>
      </c>
      <c r="C302" s="209" t="s">
        <v>3297</v>
      </c>
      <c r="D302" s="410" t="str">
        <f t="shared" si="5"/>
        <v>16-16</v>
      </c>
      <c r="E302" s="273" t="e">
        <f ca="1">_xludf.IFNA(VLOOKUP('Comp X - Kilter'!B302,'Kilter Holds'!$P$37:$AB$662,8,0),0)</f>
        <v>#NAME?</v>
      </c>
      <c r="F302" s="274"/>
      <c r="G302" s="274" t="e">
        <f t="shared" ca="1" si="3"/>
        <v>#NAME?</v>
      </c>
      <c r="H302" s="274">
        <f t="shared" si="4"/>
        <v>0</v>
      </c>
      <c r="K302" s="274"/>
    </row>
    <row r="303" spans="2:11" ht="13.5" customHeight="1">
      <c r="B303" s="209" t="s">
        <v>2150</v>
      </c>
      <c r="C303" s="209" t="s">
        <v>3297</v>
      </c>
      <c r="D303" s="411" t="str">
        <f t="shared" si="5"/>
        <v>13-01</v>
      </c>
      <c r="E303" s="273" t="e">
        <f ca="1">_xludf.IFNA(VLOOKUP('Comp X - Kilter'!B303,'Kilter Holds'!$P$37:$AB$662,9,0),0)</f>
        <v>#NAME?</v>
      </c>
      <c r="F303" s="274"/>
      <c r="G303" s="274" t="e">
        <f t="shared" ca="1" si="3"/>
        <v>#NAME?</v>
      </c>
      <c r="H303" s="274">
        <f t="shared" si="4"/>
        <v>0</v>
      </c>
      <c r="K303" s="274"/>
    </row>
    <row r="304" spans="2:11" ht="13.5" customHeight="1">
      <c r="B304" s="209" t="s">
        <v>2150</v>
      </c>
      <c r="C304" s="209" t="s">
        <v>3297</v>
      </c>
      <c r="D304" s="413" t="str">
        <f t="shared" si="5"/>
        <v>07-13</v>
      </c>
      <c r="E304" s="273" t="e">
        <f ca="1">_xludf.IFNA(VLOOKUP('Comp X - Kilter'!B304,'Kilter Holds'!$P$37:$AB$662,10,0),0)</f>
        <v>#NAME?</v>
      </c>
      <c r="F304" s="274"/>
      <c r="G304" s="274" t="e">
        <f t="shared" ca="1" si="3"/>
        <v>#NAME?</v>
      </c>
      <c r="H304" s="274">
        <f t="shared" si="4"/>
        <v>0</v>
      </c>
      <c r="K304" s="274"/>
    </row>
    <row r="305" spans="2:11" ht="13.5" customHeight="1">
      <c r="B305" s="209" t="s">
        <v>2150</v>
      </c>
      <c r="C305" s="209" t="s">
        <v>3297</v>
      </c>
      <c r="D305" s="414" t="str">
        <f t="shared" si="5"/>
        <v>11-26</v>
      </c>
      <c r="E305" s="273" t="e">
        <f ca="1">_xludf.IFNA(VLOOKUP('Comp X - Kilter'!B305,'Kilter Holds'!$P$37:$AB$662,11,0),0)</f>
        <v>#NAME?</v>
      </c>
      <c r="F305" s="274"/>
      <c r="G305" s="274" t="e">
        <f t="shared" ca="1" si="3"/>
        <v>#NAME?</v>
      </c>
      <c r="H305" s="274">
        <f t="shared" si="4"/>
        <v>0</v>
      </c>
      <c r="K305" s="274"/>
    </row>
    <row r="306" spans="2:11" ht="13.5" customHeight="1">
      <c r="B306" s="209" t="s">
        <v>2150</v>
      </c>
      <c r="C306" s="209" t="s">
        <v>3297</v>
      </c>
      <c r="D306" s="415" t="str">
        <f t="shared" si="5"/>
        <v>18-01</v>
      </c>
      <c r="E306" s="273" t="e">
        <f ca="1">_xludf.IFNA(VLOOKUP('Comp X - Kilter'!B306,'Kilter Holds'!$P$37:$AB$662,12,0),0)</f>
        <v>#NAME?</v>
      </c>
      <c r="F306" s="274"/>
      <c r="G306" s="274" t="e">
        <f t="shared" ca="1" si="3"/>
        <v>#NAME?</v>
      </c>
      <c r="H306" s="274">
        <f t="shared" si="4"/>
        <v>0</v>
      </c>
      <c r="K306" s="274"/>
    </row>
    <row r="307" spans="2:11" ht="13.5" customHeight="1">
      <c r="B307" s="209" t="s">
        <v>2150</v>
      </c>
      <c r="C307" s="209" t="s">
        <v>3297</v>
      </c>
      <c r="D307" s="416" t="str">
        <f t="shared" si="5"/>
        <v>Color Code</v>
      </c>
      <c r="E307" s="273" t="e">
        <f ca="1">_xludf.IFNA(VLOOKUP('Comp X - Kilter'!B307,'Kilter Holds'!$P$37:$AB$662,13,0),0)</f>
        <v>#NAME?</v>
      </c>
      <c r="F307" s="274"/>
      <c r="G307" s="274" t="e">
        <f t="shared" ca="1" si="3"/>
        <v>#NAME?</v>
      </c>
      <c r="H307" s="274">
        <f t="shared" si="4"/>
        <v>0</v>
      </c>
      <c r="K307" s="274"/>
    </row>
    <row r="308" spans="2:11" ht="13.5" customHeight="1">
      <c r="B308" s="209" t="s">
        <v>2154</v>
      </c>
      <c r="C308" s="209" t="s">
        <v>3298</v>
      </c>
      <c r="D308" s="406" t="str">
        <f t="shared" si="5"/>
        <v>11-12</v>
      </c>
      <c r="E308" s="273" t="e">
        <f ca="1">_xludf.IFNA(VLOOKUP('Comp X - Kilter'!B308,'Kilter Holds'!$P$37:$AB$662,5,0),0)</f>
        <v>#NAME?</v>
      </c>
      <c r="F308" s="274"/>
      <c r="G308" s="274" t="e">
        <f t="shared" ca="1" si="3"/>
        <v>#NAME?</v>
      </c>
      <c r="H308" s="274">
        <f t="shared" si="4"/>
        <v>0</v>
      </c>
      <c r="K308" s="274"/>
    </row>
    <row r="309" spans="2:11" ht="13.5" customHeight="1">
      <c r="B309" s="209" t="s">
        <v>2154</v>
      </c>
      <c r="C309" s="209" t="s">
        <v>3298</v>
      </c>
      <c r="D309" s="408" t="str">
        <f t="shared" si="5"/>
        <v>14-01</v>
      </c>
      <c r="E309" s="273" t="e">
        <f ca="1">_xludf.IFNA(VLOOKUP('Comp X - Kilter'!B309,'Kilter Holds'!$P$37:$AB$662,6,0),0)</f>
        <v>#NAME?</v>
      </c>
      <c r="F309" s="274"/>
      <c r="G309" s="274" t="e">
        <f t="shared" ca="1" si="3"/>
        <v>#NAME?</v>
      </c>
      <c r="H309" s="274">
        <f t="shared" si="4"/>
        <v>0</v>
      </c>
      <c r="K309" s="274"/>
    </row>
    <row r="310" spans="2:11" ht="13.5" customHeight="1">
      <c r="B310" s="209" t="s">
        <v>2154</v>
      </c>
      <c r="C310" s="209" t="s">
        <v>3298</v>
      </c>
      <c r="D310" s="409" t="str">
        <f t="shared" si="5"/>
        <v>15-12</v>
      </c>
      <c r="E310" s="273" t="e">
        <f ca="1">_xludf.IFNA(VLOOKUP('Comp X - Kilter'!B310,'Kilter Holds'!$P$37:$AB$662,7,0),0)</f>
        <v>#NAME?</v>
      </c>
      <c r="F310" s="274"/>
      <c r="G310" s="274" t="e">
        <f t="shared" ca="1" si="3"/>
        <v>#NAME?</v>
      </c>
      <c r="H310" s="274">
        <f t="shared" si="4"/>
        <v>0</v>
      </c>
      <c r="K310" s="274"/>
    </row>
    <row r="311" spans="2:11" ht="13.5" customHeight="1">
      <c r="B311" s="209" t="s">
        <v>2154</v>
      </c>
      <c r="C311" s="209" t="s">
        <v>3298</v>
      </c>
      <c r="D311" s="410" t="str">
        <f t="shared" si="5"/>
        <v>16-16</v>
      </c>
      <c r="E311" s="273" t="e">
        <f ca="1">_xludf.IFNA(VLOOKUP('Comp X - Kilter'!B311,'Kilter Holds'!$P$37:$AB$662,8,0),0)</f>
        <v>#NAME?</v>
      </c>
      <c r="F311" s="274"/>
      <c r="G311" s="274" t="e">
        <f t="shared" ca="1" si="3"/>
        <v>#NAME?</v>
      </c>
      <c r="H311" s="274">
        <f t="shared" si="4"/>
        <v>0</v>
      </c>
      <c r="K311" s="274"/>
    </row>
    <row r="312" spans="2:11" ht="13.5" customHeight="1">
      <c r="B312" s="209" t="s">
        <v>2154</v>
      </c>
      <c r="C312" s="209" t="s">
        <v>3298</v>
      </c>
      <c r="D312" s="411" t="str">
        <f t="shared" si="5"/>
        <v>13-01</v>
      </c>
      <c r="E312" s="273" t="e">
        <f ca="1">_xludf.IFNA(VLOOKUP('Comp X - Kilter'!B312,'Kilter Holds'!$P$37:$AB$662,9,0),0)</f>
        <v>#NAME?</v>
      </c>
      <c r="F312" s="274"/>
      <c r="G312" s="274" t="e">
        <f t="shared" ca="1" si="3"/>
        <v>#NAME?</v>
      </c>
      <c r="H312" s="274">
        <f t="shared" si="4"/>
        <v>0</v>
      </c>
      <c r="K312" s="274"/>
    </row>
    <row r="313" spans="2:11" ht="13.5" customHeight="1">
      <c r="B313" s="209" t="s">
        <v>2154</v>
      </c>
      <c r="C313" s="209" t="s">
        <v>3298</v>
      </c>
      <c r="D313" s="413" t="str">
        <f t="shared" si="5"/>
        <v>07-13</v>
      </c>
      <c r="E313" s="273" t="e">
        <f ca="1">_xludf.IFNA(VLOOKUP('Comp X - Kilter'!B313,'Kilter Holds'!$P$37:$AB$662,10,0),0)</f>
        <v>#NAME?</v>
      </c>
      <c r="F313" s="274"/>
      <c r="G313" s="274" t="e">
        <f t="shared" ca="1" si="3"/>
        <v>#NAME?</v>
      </c>
      <c r="H313" s="274">
        <f t="shared" si="4"/>
        <v>0</v>
      </c>
      <c r="K313" s="274"/>
    </row>
    <row r="314" spans="2:11" ht="13.5" customHeight="1">
      <c r="B314" s="209" t="s">
        <v>2154</v>
      </c>
      <c r="C314" s="209" t="s">
        <v>3298</v>
      </c>
      <c r="D314" s="414" t="str">
        <f t="shared" si="5"/>
        <v>11-26</v>
      </c>
      <c r="E314" s="273" t="e">
        <f ca="1">_xludf.IFNA(VLOOKUP('Comp X - Kilter'!B314,'Kilter Holds'!$P$37:$AB$662,11,0),0)</f>
        <v>#NAME?</v>
      </c>
      <c r="F314" s="274"/>
      <c r="G314" s="274" t="e">
        <f t="shared" ca="1" si="3"/>
        <v>#NAME?</v>
      </c>
      <c r="H314" s="274">
        <f t="shared" si="4"/>
        <v>0</v>
      </c>
      <c r="K314" s="274"/>
    </row>
    <row r="315" spans="2:11" ht="13.5" customHeight="1">
      <c r="B315" s="209" t="s">
        <v>2154</v>
      </c>
      <c r="C315" s="209" t="s">
        <v>3298</v>
      </c>
      <c r="D315" s="415" t="str">
        <f t="shared" si="5"/>
        <v>18-01</v>
      </c>
      <c r="E315" s="273" t="e">
        <f ca="1">_xludf.IFNA(VLOOKUP('Comp X - Kilter'!B315,'Kilter Holds'!$P$37:$AB$662,12,0),0)</f>
        <v>#NAME?</v>
      </c>
      <c r="F315" s="274"/>
      <c r="G315" s="274" t="e">
        <f t="shared" ca="1" si="3"/>
        <v>#NAME?</v>
      </c>
      <c r="H315" s="274">
        <f t="shared" si="4"/>
        <v>0</v>
      </c>
      <c r="K315" s="274"/>
    </row>
    <row r="316" spans="2:11" ht="13.5" customHeight="1">
      <c r="B316" s="209" t="s">
        <v>2154</v>
      </c>
      <c r="C316" s="209" t="s">
        <v>3298</v>
      </c>
      <c r="D316" s="416" t="str">
        <f t="shared" si="5"/>
        <v>Color Code</v>
      </c>
      <c r="E316" s="273" t="e">
        <f ca="1">_xludf.IFNA(VLOOKUP('Comp X - Kilter'!B316,'Kilter Holds'!$P$37:$AB$662,13,0),0)</f>
        <v>#NAME?</v>
      </c>
      <c r="F316" s="274"/>
      <c r="G316" s="274" t="e">
        <f t="shared" ca="1" si="3"/>
        <v>#NAME?</v>
      </c>
      <c r="H316" s="274">
        <f t="shared" si="4"/>
        <v>0</v>
      </c>
      <c r="K316" s="274"/>
    </row>
    <row r="317" spans="2:11" ht="13.5" customHeight="1">
      <c r="B317" s="209" t="s">
        <v>2155</v>
      </c>
      <c r="C317" s="209" t="s">
        <v>3299</v>
      </c>
      <c r="D317" s="406" t="str">
        <f t="shared" si="5"/>
        <v>11-12</v>
      </c>
      <c r="E317" s="273" t="e">
        <f ca="1">_xludf.IFNA(VLOOKUP('Comp X - Kilter'!B317,'Kilter Holds'!$P$37:$AB$662,5,0),0)</f>
        <v>#NAME?</v>
      </c>
      <c r="F317" s="274"/>
      <c r="G317" s="274" t="e">
        <f t="shared" ca="1" si="3"/>
        <v>#NAME?</v>
      </c>
      <c r="H317" s="274">
        <f t="shared" si="4"/>
        <v>0</v>
      </c>
      <c r="K317" s="274"/>
    </row>
    <row r="318" spans="2:11" ht="13.5" customHeight="1">
      <c r="B318" s="209" t="s">
        <v>2155</v>
      </c>
      <c r="C318" s="209" t="s">
        <v>3299</v>
      </c>
      <c r="D318" s="408" t="str">
        <f t="shared" si="5"/>
        <v>14-01</v>
      </c>
      <c r="E318" s="273" t="e">
        <f ca="1">_xludf.IFNA(VLOOKUP('Comp X - Kilter'!B318,'Kilter Holds'!$P$37:$AB$662,6,0),0)</f>
        <v>#NAME?</v>
      </c>
      <c r="F318" s="274"/>
      <c r="G318" s="274" t="e">
        <f t="shared" ca="1" si="3"/>
        <v>#NAME?</v>
      </c>
      <c r="H318" s="274">
        <f t="shared" si="4"/>
        <v>0</v>
      </c>
      <c r="K318" s="274"/>
    </row>
    <row r="319" spans="2:11" ht="13.5" customHeight="1">
      <c r="B319" s="209" t="s">
        <v>2155</v>
      </c>
      <c r="C319" s="209" t="s">
        <v>3299</v>
      </c>
      <c r="D319" s="409" t="str">
        <f t="shared" si="5"/>
        <v>15-12</v>
      </c>
      <c r="E319" s="273" t="e">
        <f ca="1">_xludf.IFNA(VLOOKUP('Comp X - Kilter'!B319,'Kilter Holds'!$P$37:$AB$662,7,0),0)</f>
        <v>#NAME?</v>
      </c>
      <c r="F319" s="274"/>
      <c r="G319" s="274" t="e">
        <f t="shared" ca="1" si="3"/>
        <v>#NAME?</v>
      </c>
      <c r="H319" s="274">
        <f t="shared" si="4"/>
        <v>0</v>
      </c>
      <c r="K319" s="274"/>
    </row>
    <row r="320" spans="2:11" ht="13.5" customHeight="1">
      <c r="B320" s="209" t="s">
        <v>2155</v>
      </c>
      <c r="C320" s="209" t="s">
        <v>3299</v>
      </c>
      <c r="D320" s="410" t="str">
        <f t="shared" si="5"/>
        <v>16-16</v>
      </c>
      <c r="E320" s="273" t="e">
        <f ca="1">_xludf.IFNA(VLOOKUP('Comp X - Kilter'!B320,'Kilter Holds'!$P$37:$AB$662,8,0),0)</f>
        <v>#NAME?</v>
      </c>
      <c r="F320" s="274"/>
      <c r="G320" s="274" t="e">
        <f t="shared" ca="1" si="3"/>
        <v>#NAME?</v>
      </c>
      <c r="H320" s="274">
        <f t="shared" si="4"/>
        <v>0</v>
      </c>
      <c r="K320" s="274"/>
    </row>
    <row r="321" spans="2:11" ht="13.5" customHeight="1">
      <c r="B321" s="209" t="s">
        <v>2155</v>
      </c>
      <c r="C321" s="209" t="s">
        <v>3299</v>
      </c>
      <c r="D321" s="411" t="str">
        <f t="shared" si="5"/>
        <v>13-01</v>
      </c>
      <c r="E321" s="273" t="e">
        <f ca="1">_xludf.IFNA(VLOOKUP('Comp X - Kilter'!B321,'Kilter Holds'!$P$37:$AB$662,9,0),0)</f>
        <v>#NAME?</v>
      </c>
      <c r="F321" s="274"/>
      <c r="G321" s="274" t="e">
        <f t="shared" ca="1" si="3"/>
        <v>#NAME?</v>
      </c>
      <c r="H321" s="274">
        <f t="shared" si="4"/>
        <v>0</v>
      </c>
      <c r="K321" s="274"/>
    </row>
    <row r="322" spans="2:11" ht="13.5" customHeight="1">
      <c r="B322" s="209" t="s">
        <v>2155</v>
      </c>
      <c r="C322" s="209" t="s">
        <v>3299</v>
      </c>
      <c r="D322" s="413" t="str">
        <f t="shared" si="5"/>
        <v>07-13</v>
      </c>
      <c r="E322" s="273" t="e">
        <f ca="1">_xludf.IFNA(VLOOKUP('Comp X - Kilter'!B322,'Kilter Holds'!$P$37:$AB$662,10,0),0)</f>
        <v>#NAME?</v>
      </c>
      <c r="F322" s="274"/>
      <c r="G322" s="274" t="e">
        <f t="shared" ca="1" si="3"/>
        <v>#NAME?</v>
      </c>
      <c r="H322" s="274">
        <f t="shared" si="4"/>
        <v>0</v>
      </c>
      <c r="K322" s="274"/>
    </row>
    <row r="323" spans="2:11" ht="13.5" customHeight="1">
      <c r="B323" s="209" t="s">
        <v>2155</v>
      </c>
      <c r="C323" s="209" t="s">
        <v>3299</v>
      </c>
      <c r="D323" s="414" t="str">
        <f t="shared" si="5"/>
        <v>11-26</v>
      </c>
      <c r="E323" s="273" t="e">
        <f ca="1">_xludf.IFNA(VLOOKUP('Comp X - Kilter'!B323,'Kilter Holds'!$P$37:$AB$662,11,0),0)</f>
        <v>#NAME?</v>
      </c>
      <c r="F323" s="274"/>
      <c r="G323" s="274" t="e">
        <f t="shared" ca="1" si="3"/>
        <v>#NAME?</v>
      </c>
      <c r="H323" s="274">
        <f t="shared" si="4"/>
        <v>0</v>
      </c>
      <c r="K323" s="274"/>
    </row>
    <row r="324" spans="2:11" ht="13.5" customHeight="1">
      <c r="B324" s="209" t="s">
        <v>2155</v>
      </c>
      <c r="C324" s="209" t="s">
        <v>3299</v>
      </c>
      <c r="D324" s="415" t="str">
        <f t="shared" si="5"/>
        <v>18-01</v>
      </c>
      <c r="E324" s="273" t="e">
        <f ca="1">_xludf.IFNA(VLOOKUP('Comp X - Kilter'!B324,'Kilter Holds'!$P$37:$AB$662,12,0),0)</f>
        <v>#NAME?</v>
      </c>
      <c r="F324" s="274"/>
      <c r="G324" s="274" t="e">
        <f t="shared" ca="1" si="3"/>
        <v>#NAME?</v>
      </c>
      <c r="H324" s="274">
        <f t="shared" si="4"/>
        <v>0</v>
      </c>
      <c r="K324" s="274"/>
    </row>
    <row r="325" spans="2:11" ht="13.5" customHeight="1">
      <c r="B325" s="209" t="s">
        <v>2155</v>
      </c>
      <c r="C325" s="209" t="s">
        <v>3299</v>
      </c>
      <c r="D325" s="416" t="str">
        <f t="shared" si="5"/>
        <v>Color Code</v>
      </c>
      <c r="E325" s="273" t="e">
        <f ca="1">_xludf.IFNA(VLOOKUP('Comp X - Kilter'!B325,'Kilter Holds'!$P$37:$AB$662,13,0),0)</f>
        <v>#NAME?</v>
      </c>
      <c r="F325" s="274"/>
      <c r="G325" s="274" t="e">
        <f t="shared" ca="1" si="3"/>
        <v>#NAME?</v>
      </c>
      <c r="H325" s="274">
        <f t="shared" si="4"/>
        <v>0</v>
      </c>
      <c r="K325" s="274"/>
    </row>
    <row r="326" spans="2:11" ht="13.5" customHeight="1">
      <c r="B326" s="209" t="s">
        <v>2156</v>
      </c>
      <c r="C326" s="209" t="s">
        <v>3300</v>
      </c>
      <c r="D326" s="406" t="str">
        <f t="shared" si="5"/>
        <v>11-12</v>
      </c>
      <c r="E326" s="273" t="e">
        <f ca="1">_xludf.IFNA(VLOOKUP('Comp X - Kilter'!B326,'Kilter Holds'!$P$37:$AB$662,5,0),0)</f>
        <v>#NAME?</v>
      </c>
      <c r="F326" s="274"/>
      <c r="G326" s="274" t="e">
        <f t="shared" ca="1" si="3"/>
        <v>#NAME?</v>
      </c>
      <c r="H326" s="274">
        <f t="shared" si="4"/>
        <v>0</v>
      </c>
      <c r="K326" s="274"/>
    </row>
    <row r="327" spans="2:11" ht="13.5" customHeight="1">
      <c r="B327" s="209" t="s">
        <v>2156</v>
      </c>
      <c r="C327" s="209" t="s">
        <v>3300</v>
      </c>
      <c r="D327" s="408" t="str">
        <f t="shared" si="5"/>
        <v>14-01</v>
      </c>
      <c r="E327" s="273" t="e">
        <f ca="1">_xludf.IFNA(VLOOKUP('Comp X - Kilter'!B327,'Kilter Holds'!$P$37:$AB$662,6,0),0)</f>
        <v>#NAME?</v>
      </c>
      <c r="F327" s="274"/>
      <c r="G327" s="274" t="e">
        <f t="shared" ca="1" si="3"/>
        <v>#NAME?</v>
      </c>
      <c r="H327" s="274">
        <f t="shared" si="4"/>
        <v>0</v>
      </c>
      <c r="K327" s="274"/>
    </row>
    <row r="328" spans="2:11" ht="13.5" customHeight="1">
      <c r="B328" s="209" t="s">
        <v>2156</v>
      </c>
      <c r="C328" s="209" t="s">
        <v>3300</v>
      </c>
      <c r="D328" s="409" t="str">
        <f t="shared" si="5"/>
        <v>15-12</v>
      </c>
      <c r="E328" s="273" t="e">
        <f ca="1">_xludf.IFNA(VLOOKUP('Comp X - Kilter'!B328,'Kilter Holds'!$P$37:$AB$662,7,0),0)</f>
        <v>#NAME?</v>
      </c>
      <c r="F328" s="274"/>
      <c r="G328" s="274" t="e">
        <f t="shared" ca="1" si="3"/>
        <v>#NAME?</v>
      </c>
      <c r="H328" s="274">
        <f t="shared" si="4"/>
        <v>0</v>
      </c>
      <c r="K328" s="274"/>
    </row>
    <row r="329" spans="2:11" ht="13.5" customHeight="1">
      <c r="B329" s="209" t="s">
        <v>2156</v>
      </c>
      <c r="C329" s="209" t="s">
        <v>3300</v>
      </c>
      <c r="D329" s="410" t="str">
        <f t="shared" si="5"/>
        <v>16-16</v>
      </c>
      <c r="E329" s="273" t="e">
        <f ca="1">_xludf.IFNA(VLOOKUP('Comp X - Kilter'!B329,'Kilter Holds'!$P$37:$AB$662,8,0),0)</f>
        <v>#NAME?</v>
      </c>
      <c r="F329" s="274"/>
      <c r="G329" s="274" t="e">
        <f t="shared" ca="1" si="3"/>
        <v>#NAME?</v>
      </c>
      <c r="H329" s="274">
        <f t="shared" si="4"/>
        <v>0</v>
      </c>
      <c r="K329" s="274"/>
    </row>
    <row r="330" spans="2:11" ht="13.5" customHeight="1">
      <c r="B330" s="209" t="s">
        <v>2156</v>
      </c>
      <c r="C330" s="209" t="s">
        <v>3300</v>
      </c>
      <c r="D330" s="411" t="str">
        <f t="shared" si="5"/>
        <v>13-01</v>
      </c>
      <c r="E330" s="273" t="e">
        <f ca="1">_xludf.IFNA(VLOOKUP('Comp X - Kilter'!B330,'Kilter Holds'!$P$37:$AB$662,9,0),0)</f>
        <v>#NAME?</v>
      </c>
      <c r="F330" s="274"/>
      <c r="G330" s="274" t="e">
        <f t="shared" ca="1" si="3"/>
        <v>#NAME?</v>
      </c>
      <c r="H330" s="274">
        <f t="shared" si="4"/>
        <v>0</v>
      </c>
      <c r="K330" s="274"/>
    </row>
    <row r="331" spans="2:11" ht="13.5" customHeight="1">
      <c r="B331" s="209" t="s">
        <v>2156</v>
      </c>
      <c r="C331" s="209" t="s">
        <v>3300</v>
      </c>
      <c r="D331" s="413" t="str">
        <f t="shared" si="5"/>
        <v>07-13</v>
      </c>
      <c r="E331" s="273" t="e">
        <f ca="1">_xludf.IFNA(VLOOKUP('Comp X - Kilter'!B331,'Kilter Holds'!$P$37:$AB$662,10,0),0)</f>
        <v>#NAME?</v>
      </c>
      <c r="F331" s="274"/>
      <c r="G331" s="274" t="e">
        <f t="shared" ca="1" si="3"/>
        <v>#NAME?</v>
      </c>
      <c r="H331" s="274">
        <f t="shared" si="4"/>
        <v>0</v>
      </c>
      <c r="K331" s="274"/>
    </row>
    <row r="332" spans="2:11" ht="13.5" customHeight="1">
      <c r="B332" s="209" t="s">
        <v>2156</v>
      </c>
      <c r="C332" s="209" t="s">
        <v>3300</v>
      </c>
      <c r="D332" s="414" t="str">
        <f t="shared" si="5"/>
        <v>11-26</v>
      </c>
      <c r="E332" s="273" t="e">
        <f ca="1">_xludf.IFNA(VLOOKUP('Comp X - Kilter'!B332,'Kilter Holds'!$P$37:$AB$662,11,0),0)</f>
        <v>#NAME?</v>
      </c>
      <c r="F332" s="274"/>
      <c r="G332" s="274" t="e">
        <f t="shared" ca="1" si="3"/>
        <v>#NAME?</v>
      </c>
      <c r="H332" s="274">
        <f t="shared" si="4"/>
        <v>0</v>
      </c>
      <c r="K332" s="274"/>
    </row>
    <row r="333" spans="2:11" ht="13.5" customHeight="1">
      <c r="B333" s="209" t="s">
        <v>2156</v>
      </c>
      <c r="C333" s="209" t="s">
        <v>3300</v>
      </c>
      <c r="D333" s="415" t="str">
        <f t="shared" si="5"/>
        <v>18-01</v>
      </c>
      <c r="E333" s="273" t="e">
        <f ca="1">_xludf.IFNA(VLOOKUP('Comp X - Kilter'!B333,'Kilter Holds'!$P$37:$AB$662,12,0),0)</f>
        <v>#NAME?</v>
      </c>
      <c r="F333" s="274"/>
      <c r="G333" s="274" t="e">
        <f t="shared" ca="1" si="3"/>
        <v>#NAME?</v>
      </c>
      <c r="H333" s="274">
        <f t="shared" si="4"/>
        <v>0</v>
      </c>
      <c r="K333" s="274"/>
    </row>
    <row r="334" spans="2:11" ht="13.5" customHeight="1">
      <c r="B334" s="209" t="s">
        <v>2156</v>
      </c>
      <c r="C334" s="209" t="s">
        <v>3300</v>
      </c>
      <c r="D334" s="416" t="str">
        <f t="shared" si="5"/>
        <v>Color Code</v>
      </c>
      <c r="E334" s="273" t="e">
        <f ca="1">_xludf.IFNA(VLOOKUP('Comp X - Kilter'!B334,'Kilter Holds'!$P$37:$AB$662,13,0),0)</f>
        <v>#NAME?</v>
      </c>
      <c r="F334" s="274"/>
      <c r="G334" s="274" t="e">
        <f t="shared" ca="1" si="3"/>
        <v>#NAME?</v>
      </c>
      <c r="H334" s="274">
        <f t="shared" si="4"/>
        <v>0</v>
      </c>
      <c r="K334" s="274"/>
    </row>
    <row r="335" spans="2:11" ht="13.5" customHeight="1">
      <c r="B335" s="209" t="s">
        <v>2163</v>
      </c>
      <c r="C335" s="209" t="s">
        <v>3301</v>
      </c>
      <c r="D335" s="406" t="str">
        <f t="shared" si="5"/>
        <v>11-12</v>
      </c>
      <c r="E335" s="273" t="e">
        <f ca="1">_xludf.IFNA(VLOOKUP('Comp X - Kilter'!B335,'Kilter Holds'!$P$37:$AB$662,5,0),0)</f>
        <v>#NAME?</v>
      </c>
      <c r="F335" s="274"/>
      <c r="G335" s="274" t="e">
        <f t="shared" ca="1" si="3"/>
        <v>#NAME?</v>
      </c>
      <c r="H335" s="274">
        <f t="shared" si="4"/>
        <v>0</v>
      </c>
      <c r="K335" s="274"/>
    </row>
    <row r="336" spans="2:11" ht="13.5" customHeight="1">
      <c r="B336" s="209" t="s">
        <v>2163</v>
      </c>
      <c r="C336" s="209" t="s">
        <v>3301</v>
      </c>
      <c r="D336" s="408" t="str">
        <f t="shared" si="5"/>
        <v>14-01</v>
      </c>
      <c r="E336" s="273" t="e">
        <f ca="1">_xludf.IFNA(VLOOKUP('Comp X - Kilter'!B336,'Kilter Holds'!$P$37:$AB$662,6,0),0)</f>
        <v>#NAME?</v>
      </c>
      <c r="F336" s="274"/>
      <c r="G336" s="274" t="e">
        <f t="shared" ca="1" si="3"/>
        <v>#NAME?</v>
      </c>
      <c r="H336" s="274">
        <f t="shared" si="4"/>
        <v>0</v>
      </c>
      <c r="K336" s="274"/>
    </row>
    <row r="337" spans="2:11" ht="13.5" customHeight="1">
      <c r="B337" s="209" t="s">
        <v>2163</v>
      </c>
      <c r="C337" s="209" t="s">
        <v>3301</v>
      </c>
      <c r="D337" s="409" t="str">
        <f t="shared" si="5"/>
        <v>15-12</v>
      </c>
      <c r="E337" s="273" t="e">
        <f ca="1">_xludf.IFNA(VLOOKUP('Comp X - Kilter'!B337,'Kilter Holds'!$P$37:$AB$662,7,0),0)</f>
        <v>#NAME?</v>
      </c>
      <c r="F337" s="274"/>
      <c r="G337" s="274" t="e">
        <f t="shared" ca="1" si="3"/>
        <v>#NAME?</v>
      </c>
      <c r="H337" s="274">
        <f t="shared" si="4"/>
        <v>0</v>
      </c>
      <c r="K337" s="274"/>
    </row>
    <row r="338" spans="2:11" ht="13.5" customHeight="1">
      <c r="B338" s="209" t="s">
        <v>2163</v>
      </c>
      <c r="C338" s="209" t="s">
        <v>3301</v>
      </c>
      <c r="D338" s="410" t="str">
        <f t="shared" si="5"/>
        <v>16-16</v>
      </c>
      <c r="E338" s="273" t="e">
        <f ca="1">_xludf.IFNA(VLOOKUP('Comp X - Kilter'!B338,'Kilter Holds'!$P$37:$AB$662,8,0),0)</f>
        <v>#NAME?</v>
      </c>
      <c r="F338" s="274"/>
      <c r="G338" s="274" t="e">
        <f t="shared" ca="1" si="3"/>
        <v>#NAME?</v>
      </c>
      <c r="H338" s="274">
        <f t="shared" si="4"/>
        <v>0</v>
      </c>
      <c r="K338" s="274"/>
    </row>
    <row r="339" spans="2:11" ht="13.5" customHeight="1">
      <c r="B339" s="209" t="s">
        <v>2163</v>
      </c>
      <c r="C339" s="209" t="s">
        <v>3301</v>
      </c>
      <c r="D339" s="411" t="str">
        <f t="shared" si="5"/>
        <v>13-01</v>
      </c>
      <c r="E339" s="273" t="e">
        <f ca="1">_xludf.IFNA(VLOOKUP('Comp X - Kilter'!B339,'Kilter Holds'!$P$37:$AB$662,9,0),0)</f>
        <v>#NAME?</v>
      </c>
      <c r="F339" s="274"/>
      <c r="G339" s="274" t="e">
        <f t="shared" ca="1" si="3"/>
        <v>#NAME?</v>
      </c>
      <c r="H339" s="274">
        <f t="shared" si="4"/>
        <v>0</v>
      </c>
      <c r="K339" s="274"/>
    </row>
    <row r="340" spans="2:11" ht="13.5" customHeight="1">
      <c r="B340" s="209" t="s">
        <v>2163</v>
      </c>
      <c r="C340" s="209" t="s">
        <v>3301</v>
      </c>
      <c r="D340" s="413" t="str">
        <f t="shared" si="5"/>
        <v>07-13</v>
      </c>
      <c r="E340" s="273" t="e">
        <f ca="1">_xludf.IFNA(VLOOKUP('Comp X - Kilter'!B340,'Kilter Holds'!$P$37:$AB$662,10,0),0)</f>
        <v>#NAME?</v>
      </c>
      <c r="F340" s="274"/>
      <c r="G340" s="274" t="e">
        <f t="shared" ca="1" si="3"/>
        <v>#NAME?</v>
      </c>
      <c r="H340" s="274">
        <f t="shared" si="4"/>
        <v>0</v>
      </c>
      <c r="K340" s="274"/>
    </row>
    <row r="341" spans="2:11" ht="13.5" customHeight="1">
      <c r="B341" s="209" t="s">
        <v>2163</v>
      </c>
      <c r="C341" s="209" t="s">
        <v>3301</v>
      </c>
      <c r="D341" s="414" t="str">
        <f t="shared" si="5"/>
        <v>11-26</v>
      </c>
      <c r="E341" s="273" t="e">
        <f ca="1">_xludf.IFNA(VLOOKUP('Comp X - Kilter'!B341,'Kilter Holds'!$P$37:$AB$662,11,0),0)</f>
        <v>#NAME?</v>
      </c>
      <c r="F341" s="274"/>
      <c r="G341" s="274" t="e">
        <f t="shared" ca="1" si="3"/>
        <v>#NAME?</v>
      </c>
      <c r="H341" s="274">
        <f t="shared" si="4"/>
        <v>0</v>
      </c>
      <c r="K341" s="274"/>
    </row>
    <row r="342" spans="2:11" ht="13.5" customHeight="1">
      <c r="B342" s="209" t="s">
        <v>2163</v>
      </c>
      <c r="C342" s="209" t="s">
        <v>3301</v>
      </c>
      <c r="D342" s="415" t="str">
        <f t="shared" si="5"/>
        <v>18-01</v>
      </c>
      <c r="E342" s="273" t="e">
        <f ca="1">_xludf.IFNA(VLOOKUP('Comp X - Kilter'!B342,'Kilter Holds'!$P$37:$AB$662,12,0),0)</f>
        <v>#NAME?</v>
      </c>
      <c r="F342" s="274"/>
      <c r="G342" s="274" t="e">
        <f t="shared" ca="1" si="3"/>
        <v>#NAME?</v>
      </c>
      <c r="H342" s="274">
        <f t="shared" si="4"/>
        <v>0</v>
      </c>
      <c r="K342" s="274"/>
    </row>
    <row r="343" spans="2:11" ht="13.5" customHeight="1">
      <c r="B343" s="209" t="s">
        <v>2163</v>
      </c>
      <c r="C343" s="209" t="s">
        <v>3301</v>
      </c>
      <c r="D343" s="416" t="str">
        <f t="shared" si="5"/>
        <v>Color Code</v>
      </c>
      <c r="E343" s="273" t="e">
        <f ca="1">_xludf.IFNA(VLOOKUP('Comp X - Kilter'!B343,'Kilter Holds'!$P$37:$AB$662,13,0),0)</f>
        <v>#NAME?</v>
      </c>
      <c r="F343" s="274"/>
      <c r="G343" s="274" t="e">
        <f t="shared" ca="1" si="3"/>
        <v>#NAME?</v>
      </c>
      <c r="H343" s="274">
        <f t="shared" si="4"/>
        <v>0</v>
      </c>
      <c r="K343" s="274"/>
    </row>
    <row r="344" spans="2:11" ht="13.5" customHeight="1">
      <c r="B344" s="209" t="s">
        <v>2164</v>
      </c>
      <c r="C344" s="209" t="s">
        <v>3302</v>
      </c>
      <c r="D344" s="406" t="str">
        <f t="shared" si="5"/>
        <v>11-12</v>
      </c>
      <c r="E344" s="273" t="e">
        <f ca="1">_xludf.IFNA(VLOOKUP('Comp X - Kilter'!B344,'Kilter Holds'!$P$37:$AB$662,5,0),0)</f>
        <v>#NAME?</v>
      </c>
      <c r="F344" s="274"/>
      <c r="G344" s="274" t="e">
        <f t="shared" ca="1" si="3"/>
        <v>#NAME?</v>
      </c>
      <c r="H344" s="274">
        <f t="shared" si="4"/>
        <v>0</v>
      </c>
      <c r="K344" s="274"/>
    </row>
    <row r="345" spans="2:11" ht="13.5" customHeight="1">
      <c r="B345" s="209" t="s">
        <v>2164</v>
      </c>
      <c r="C345" s="209" t="s">
        <v>3302</v>
      </c>
      <c r="D345" s="408" t="str">
        <f t="shared" si="5"/>
        <v>14-01</v>
      </c>
      <c r="E345" s="273" t="e">
        <f ca="1">_xludf.IFNA(VLOOKUP('Comp X - Kilter'!B345,'Kilter Holds'!$P$37:$AB$662,6,0),0)</f>
        <v>#NAME?</v>
      </c>
      <c r="F345" s="274"/>
      <c r="G345" s="274" t="e">
        <f t="shared" ca="1" si="3"/>
        <v>#NAME?</v>
      </c>
      <c r="H345" s="274">
        <f t="shared" si="4"/>
        <v>0</v>
      </c>
      <c r="K345" s="274"/>
    </row>
    <row r="346" spans="2:11" ht="13.5" customHeight="1">
      <c r="B346" s="209" t="s">
        <v>2164</v>
      </c>
      <c r="C346" s="209" t="s">
        <v>3302</v>
      </c>
      <c r="D346" s="409" t="str">
        <f t="shared" si="5"/>
        <v>15-12</v>
      </c>
      <c r="E346" s="273" t="e">
        <f ca="1">_xludf.IFNA(VLOOKUP('Comp X - Kilter'!B346,'Kilter Holds'!$P$37:$AB$662,7,0),0)</f>
        <v>#NAME?</v>
      </c>
      <c r="F346" s="274"/>
      <c r="G346" s="274" t="e">
        <f t="shared" ca="1" si="3"/>
        <v>#NAME?</v>
      </c>
      <c r="H346" s="274">
        <f t="shared" si="4"/>
        <v>0</v>
      </c>
      <c r="K346" s="274"/>
    </row>
    <row r="347" spans="2:11" ht="13.5" customHeight="1">
      <c r="B347" s="209" t="s">
        <v>2164</v>
      </c>
      <c r="C347" s="209" t="s">
        <v>3302</v>
      </c>
      <c r="D347" s="410" t="str">
        <f t="shared" si="5"/>
        <v>16-16</v>
      </c>
      <c r="E347" s="273" t="e">
        <f ca="1">_xludf.IFNA(VLOOKUP('Comp X - Kilter'!B347,'Kilter Holds'!$P$37:$AB$662,8,0),0)</f>
        <v>#NAME?</v>
      </c>
      <c r="F347" s="274"/>
      <c r="G347" s="274" t="e">
        <f t="shared" ca="1" si="3"/>
        <v>#NAME?</v>
      </c>
      <c r="H347" s="274">
        <f t="shared" si="4"/>
        <v>0</v>
      </c>
      <c r="K347" s="274"/>
    </row>
    <row r="348" spans="2:11" ht="13.5" customHeight="1">
      <c r="B348" s="209" t="s">
        <v>2164</v>
      </c>
      <c r="C348" s="209" t="s">
        <v>3302</v>
      </c>
      <c r="D348" s="411" t="str">
        <f t="shared" si="5"/>
        <v>13-01</v>
      </c>
      <c r="E348" s="273" t="e">
        <f ca="1">_xludf.IFNA(VLOOKUP('Comp X - Kilter'!B348,'Kilter Holds'!$P$37:$AB$662,9,0),0)</f>
        <v>#NAME?</v>
      </c>
      <c r="F348" s="274"/>
      <c r="G348" s="274" t="e">
        <f t="shared" ca="1" si="3"/>
        <v>#NAME?</v>
      </c>
      <c r="H348" s="274">
        <f t="shared" si="4"/>
        <v>0</v>
      </c>
      <c r="K348" s="274"/>
    </row>
    <row r="349" spans="2:11" ht="13.5" customHeight="1">
      <c r="B349" s="209" t="s">
        <v>2164</v>
      </c>
      <c r="C349" s="209" t="s">
        <v>3302</v>
      </c>
      <c r="D349" s="413" t="str">
        <f t="shared" si="5"/>
        <v>07-13</v>
      </c>
      <c r="E349" s="273" t="e">
        <f ca="1">_xludf.IFNA(VLOOKUP('Comp X - Kilter'!B349,'Kilter Holds'!$P$37:$AB$662,10,0),0)</f>
        <v>#NAME?</v>
      </c>
      <c r="F349" s="274"/>
      <c r="G349" s="274" t="e">
        <f t="shared" ca="1" si="3"/>
        <v>#NAME?</v>
      </c>
      <c r="H349" s="274">
        <f t="shared" si="4"/>
        <v>0</v>
      </c>
      <c r="K349" s="274"/>
    </row>
    <row r="350" spans="2:11" ht="13.5" customHeight="1">
      <c r="B350" s="209" t="s">
        <v>2164</v>
      </c>
      <c r="C350" s="209" t="s">
        <v>3302</v>
      </c>
      <c r="D350" s="414" t="str">
        <f t="shared" si="5"/>
        <v>11-26</v>
      </c>
      <c r="E350" s="273" t="e">
        <f ca="1">_xludf.IFNA(VLOOKUP('Comp X - Kilter'!B350,'Kilter Holds'!$P$37:$AB$662,11,0),0)</f>
        <v>#NAME?</v>
      </c>
      <c r="F350" s="274"/>
      <c r="G350" s="274" t="e">
        <f t="shared" ca="1" si="3"/>
        <v>#NAME?</v>
      </c>
      <c r="H350" s="274">
        <f t="shared" si="4"/>
        <v>0</v>
      </c>
      <c r="K350" s="274"/>
    </row>
    <row r="351" spans="2:11" ht="13.5" customHeight="1">
      <c r="B351" s="209" t="s">
        <v>2164</v>
      </c>
      <c r="C351" s="209" t="s">
        <v>3302</v>
      </c>
      <c r="D351" s="415" t="str">
        <f t="shared" si="5"/>
        <v>18-01</v>
      </c>
      <c r="E351" s="273" t="e">
        <f ca="1">_xludf.IFNA(VLOOKUP('Comp X - Kilter'!B351,'Kilter Holds'!$P$37:$AB$662,12,0),0)</f>
        <v>#NAME?</v>
      </c>
      <c r="F351" s="274"/>
      <c r="G351" s="274" t="e">
        <f t="shared" ca="1" si="3"/>
        <v>#NAME?</v>
      </c>
      <c r="H351" s="274">
        <f t="shared" si="4"/>
        <v>0</v>
      </c>
      <c r="K351" s="274"/>
    </row>
    <row r="352" spans="2:11" ht="13.5" customHeight="1">
      <c r="B352" s="209" t="s">
        <v>2164</v>
      </c>
      <c r="C352" s="209" t="s">
        <v>3302</v>
      </c>
      <c r="D352" s="416" t="str">
        <f t="shared" si="5"/>
        <v>Color Code</v>
      </c>
      <c r="E352" s="273" t="e">
        <f ca="1">_xludf.IFNA(VLOOKUP('Comp X - Kilter'!B352,'Kilter Holds'!$P$37:$AB$662,13,0),0)</f>
        <v>#NAME?</v>
      </c>
      <c r="F352" s="274"/>
      <c r="G352" s="274" t="e">
        <f t="shared" ca="1" si="3"/>
        <v>#NAME?</v>
      </c>
      <c r="H352" s="274">
        <f t="shared" si="4"/>
        <v>0</v>
      </c>
      <c r="K352" s="274"/>
    </row>
    <row r="353" spans="2:11" ht="13.5" customHeight="1">
      <c r="B353" s="209" t="s">
        <v>2157</v>
      </c>
      <c r="C353" s="209" t="s">
        <v>3303</v>
      </c>
      <c r="D353" s="406" t="str">
        <f t="shared" si="5"/>
        <v>11-12</v>
      </c>
      <c r="E353" s="273" t="e">
        <f ca="1">_xludf.IFNA(VLOOKUP('Comp X - Kilter'!B353,'Kilter Holds'!$P$37:$AB$662,5,0),0)</f>
        <v>#NAME?</v>
      </c>
      <c r="F353" s="274"/>
      <c r="G353" s="274" t="e">
        <f t="shared" ca="1" si="3"/>
        <v>#NAME?</v>
      </c>
      <c r="H353" s="274">
        <f t="shared" si="4"/>
        <v>0</v>
      </c>
      <c r="K353" s="274"/>
    </row>
    <row r="354" spans="2:11" ht="13.5" customHeight="1">
      <c r="B354" s="209" t="s">
        <v>2157</v>
      </c>
      <c r="C354" s="209" t="s">
        <v>3303</v>
      </c>
      <c r="D354" s="408" t="str">
        <f t="shared" si="5"/>
        <v>14-01</v>
      </c>
      <c r="E354" s="273" t="e">
        <f ca="1">_xludf.IFNA(VLOOKUP('Comp X - Kilter'!B354,'Kilter Holds'!$P$37:$AB$662,6,0),0)</f>
        <v>#NAME?</v>
      </c>
      <c r="F354" s="274"/>
      <c r="G354" s="274" t="e">
        <f t="shared" ca="1" si="3"/>
        <v>#NAME?</v>
      </c>
      <c r="H354" s="274">
        <f t="shared" si="4"/>
        <v>0</v>
      </c>
      <c r="K354" s="274"/>
    </row>
    <row r="355" spans="2:11" ht="13.5" customHeight="1">
      <c r="B355" s="209" t="s">
        <v>2157</v>
      </c>
      <c r="C355" s="209" t="s">
        <v>3303</v>
      </c>
      <c r="D355" s="409" t="str">
        <f t="shared" si="5"/>
        <v>15-12</v>
      </c>
      <c r="E355" s="273" t="e">
        <f ca="1">_xludf.IFNA(VLOOKUP('Comp X - Kilter'!B355,'Kilter Holds'!$P$37:$AB$662,7,0),0)</f>
        <v>#NAME?</v>
      </c>
      <c r="F355" s="274"/>
      <c r="G355" s="274" t="e">
        <f t="shared" ca="1" si="3"/>
        <v>#NAME?</v>
      </c>
      <c r="H355" s="274">
        <f t="shared" si="4"/>
        <v>0</v>
      </c>
      <c r="K355" s="274"/>
    </row>
    <row r="356" spans="2:11" ht="13.5" customHeight="1">
      <c r="B356" s="209" t="s">
        <v>2157</v>
      </c>
      <c r="C356" s="209" t="s">
        <v>3303</v>
      </c>
      <c r="D356" s="410" t="str">
        <f t="shared" si="5"/>
        <v>16-16</v>
      </c>
      <c r="E356" s="273" t="e">
        <f ca="1">_xludf.IFNA(VLOOKUP('Comp X - Kilter'!B356,'Kilter Holds'!$P$37:$AB$662,8,0),0)</f>
        <v>#NAME?</v>
      </c>
      <c r="F356" s="274"/>
      <c r="G356" s="274" t="e">
        <f t="shared" ca="1" si="3"/>
        <v>#NAME?</v>
      </c>
      <c r="H356" s="274">
        <f t="shared" si="4"/>
        <v>0</v>
      </c>
      <c r="K356" s="274"/>
    </row>
    <row r="357" spans="2:11" ht="13.5" customHeight="1">
      <c r="B357" s="209" t="s">
        <v>2157</v>
      </c>
      <c r="C357" s="209" t="s">
        <v>3303</v>
      </c>
      <c r="D357" s="411" t="str">
        <f t="shared" si="5"/>
        <v>13-01</v>
      </c>
      <c r="E357" s="273" t="e">
        <f ca="1">_xludf.IFNA(VLOOKUP('Comp X - Kilter'!B357,'Kilter Holds'!$P$37:$AB$662,9,0),0)</f>
        <v>#NAME?</v>
      </c>
      <c r="F357" s="274"/>
      <c r="G357" s="274" t="e">
        <f t="shared" ca="1" si="3"/>
        <v>#NAME?</v>
      </c>
      <c r="H357" s="274">
        <f t="shared" si="4"/>
        <v>0</v>
      </c>
      <c r="K357" s="274"/>
    </row>
    <row r="358" spans="2:11" ht="13.5" customHeight="1">
      <c r="B358" s="209" t="s">
        <v>2157</v>
      </c>
      <c r="C358" s="209" t="s">
        <v>3303</v>
      </c>
      <c r="D358" s="413" t="str">
        <f t="shared" si="5"/>
        <v>07-13</v>
      </c>
      <c r="E358" s="273" t="e">
        <f ca="1">_xludf.IFNA(VLOOKUP('Comp X - Kilter'!B358,'Kilter Holds'!$P$37:$AB$662,10,0),0)</f>
        <v>#NAME?</v>
      </c>
      <c r="F358" s="274"/>
      <c r="G358" s="274" t="e">
        <f t="shared" ca="1" si="3"/>
        <v>#NAME?</v>
      </c>
      <c r="H358" s="274">
        <f t="shared" si="4"/>
        <v>0</v>
      </c>
      <c r="K358" s="274"/>
    </row>
    <row r="359" spans="2:11" ht="13.5" customHeight="1">
      <c r="B359" s="209" t="s">
        <v>2157</v>
      </c>
      <c r="C359" s="209" t="s">
        <v>3303</v>
      </c>
      <c r="D359" s="414" t="str">
        <f t="shared" si="5"/>
        <v>11-26</v>
      </c>
      <c r="E359" s="273" t="e">
        <f ca="1">_xludf.IFNA(VLOOKUP('Comp X - Kilter'!B359,'Kilter Holds'!$P$37:$AB$662,11,0),0)</f>
        <v>#NAME?</v>
      </c>
      <c r="F359" s="274"/>
      <c r="G359" s="274" t="e">
        <f t="shared" ca="1" si="3"/>
        <v>#NAME?</v>
      </c>
      <c r="H359" s="274">
        <f t="shared" si="4"/>
        <v>0</v>
      </c>
      <c r="K359" s="274"/>
    </row>
    <row r="360" spans="2:11" ht="13.5" customHeight="1">
      <c r="B360" s="209" t="s">
        <v>2157</v>
      </c>
      <c r="C360" s="209" t="s">
        <v>3303</v>
      </c>
      <c r="D360" s="415" t="str">
        <f t="shared" si="5"/>
        <v>18-01</v>
      </c>
      <c r="E360" s="273" t="e">
        <f ca="1">_xludf.IFNA(VLOOKUP('Comp X - Kilter'!B360,'Kilter Holds'!$P$37:$AB$662,12,0),0)</f>
        <v>#NAME?</v>
      </c>
      <c r="F360" s="274"/>
      <c r="G360" s="274" t="e">
        <f t="shared" ca="1" si="3"/>
        <v>#NAME?</v>
      </c>
      <c r="H360" s="274">
        <f t="shared" si="4"/>
        <v>0</v>
      </c>
      <c r="K360" s="274"/>
    </row>
    <row r="361" spans="2:11" ht="13.5" customHeight="1">
      <c r="B361" s="209" t="s">
        <v>2157</v>
      </c>
      <c r="C361" s="209" t="s">
        <v>3303</v>
      </c>
      <c r="D361" s="416" t="str">
        <f t="shared" si="5"/>
        <v>Color Code</v>
      </c>
      <c r="E361" s="273" t="e">
        <f ca="1">_xludf.IFNA(VLOOKUP('Comp X - Kilter'!B361,'Kilter Holds'!$P$37:$AB$662,13,0),0)</f>
        <v>#NAME?</v>
      </c>
      <c r="F361" s="274"/>
      <c r="G361" s="274" t="e">
        <f t="shared" ca="1" si="3"/>
        <v>#NAME?</v>
      </c>
      <c r="H361" s="274">
        <f t="shared" si="4"/>
        <v>0</v>
      </c>
      <c r="K361" s="274"/>
    </row>
    <row r="362" spans="2:11" ht="13.5" customHeight="1">
      <c r="B362" s="209" t="s">
        <v>2158</v>
      </c>
      <c r="C362" s="209" t="s">
        <v>3304</v>
      </c>
      <c r="D362" s="406" t="str">
        <f t="shared" si="5"/>
        <v>11-12</v>
      </c>
      <c r="E362" s="273" t="e">
        <f ca="1">_xludf.IFNA(VLOOKUP('Comp X - Kilter'!B362,'Kilter Holds'!$P$37:$AB$662,5,0),0)</f>
        <v>#NAME?</v>
      </c>
      <c r="F362" s="274"/>
      <c r="G362" s="274" t="e">
        <f t="shared" ca="1" si="3"/>
        <v>#NAME?</v>
      </c>
      <c r="H362" s="274">
        <f t="shared" si="4"/>
        <v>0</v>
      </c>
      <c r="K362" s="274"/>
    </row>
    <row r="363" spans="2:11" ht="13.5" customHeight="1">
      <c r="B363" s="209" t="s">
        <v>2158</v>
      </c>
      <c r="C363" s="209" t="s">
        <v>3304</v>
      </c>
      <c r="D363" s="408" t="str">
        <f t="shared" si="5"/>
        <v>14-01</v>
      </c>
      <c r="E363" s="273" t="e">
        <f ca="1">_xludf.IFNA(VLOOKUP('Comp X - Kilter'!B363,'Kilter Holds'!$P$37:$AB$662,6,0),0)</f>
        <v>#NAME?</v>
      </c>
      <c r="F363" s="274"/>
      <c r="G363" s="274" t="e">
        <f t="shared" ca="1" si="3"/>
        <v>#NAME?</v>
      </c>
      <c r="H363" s="274">
        <f t="shared" si="4"/>
        <v>0</v>
      </c>
      <c r="K363" s="274"/>
    </row>
    <row r="364" spans="2:11" ht="13.5" customHeight="1">
      <c r="B364" s="209" t="s">
        <v>2158</v>
      </c>
      <c r="C364" s="209" t="s">
        <v>3304</v>
      </c>
      <c r="D364" s="409" t="str">
        <f t="shared" si="5"/>
        <v>15-12</v>
      </c>
      <c r="E364" s="273" t="e">
        <f ca="1">_xludf.IFNA(VLOOKUP('Comp X - Kilter'!B364,'Kilter Holds'!$P$37:$AB$662,7,0),0)</f>
        <v>#NAME?</v>
      </c>
      <c r="F364" s="274"/>
      <c r="G364" s="274" t="e">
        <f t="shared" ca="1" si="3"/>
        <v>#NAME?</v>
      </c>
      <c r="H364" s="274">
        <f t="shared" si="4"/>
        <v>0</v>
      </c>
      <c r="K364" s="274"/>
    </row>
    <row r="365" spans="2:11" ht="13.5" customHeight="1">
      <c r="B365" s="209" t="s">
        <v>2158</v>
      </c>
      <c r="C365" s="209" t="s">
        <v>3304</v>
      </c>
      <c r="D365" s="410" t="str">
        <f t="shared" si="5"/>
        <v>16-16</v>
      </c>
      <c r="E365" s="273" t="e">
        <f ca="1">_xludf.IFNA(VLOOKUP('Comp X - Kilter'!B365,'Kilter Holds'!$P$37:$AB$662,8,0),0)</f>
        <v>#NAME?</v>
      </c>
      <c r="F365" s="274"/>
      <c r="G365" s="274" t="e">
        <f t="shared" ca="1" si="3"/>
        <v>#NAME?</v>
      </c>
      <c r="H365" s="274">
        <f t="shared" si="4"/>
        <v>0</v>
      </c>
      <c r="K365" s="274"/>
    </row>
    <row r="366" spans="2:11" ht="13.5" customHeight="1">
      <c r="B366" s="209" t="s">
        <v>2158</v>
      </c>
      <c r="C366" s="209" t="s">
        <v>3304</v>
      </c>
      <c r="D366" s="411" t="str">
        <f t="shared" si="5"/>
        <v>13-01</v>
      </c>
      <c r="E366" s="273" t="e">
        <f ca="1">_xludf.IFNA(VLOOKUP('Comp X - Kilter'!B366,'Kilter Holds'!$P$37:$AB$662,9,0),0)</f>
        <v>#NAME?</v>
      </c>
      <c r="F366" s="274"/>
      <c r="G366" s="274" t="e">
        <f t="shared" ca="1" si="3"/>
        <v>#NAME?</v>
      </c>
      <c r="H366" s="274">
        <f t="shared" si="4"/>
        <v>0</v>
      </c>
      <c r="K366" s="274"/>
    </row>
    <row r="367" spans="2:11" ht="13.5" customHeight="1">
      <c r="B367" s="209" t="s">
        <v>2158</v>
      </c>
      <c r="C367" s="209" t="s">
        <v>3304</v>
      </c>
      <c r="D367" s="413" t="str">
        <f t="shared" si="5"/>
        <v>07-13</v>
      </c>
      <c r="E367" s="273" t="e">
        <f ca="1">_xludf.IFNA(VLOOKUP('Comp X - Kilter'!B367,'Kilter Holds'!$P$37:$AB$662,10,0),0)</f>
        <v>#NAME?</v>
      </c>
      <c r="F367" s="274"/>
      <c r="G367" s="274" t="e">
        <f t="shared" ca="1" si="3"/>
        <v>#NAME?</v>
      </c>
      <c r="H367" s="274">
        <f t="shared" si="4"/>
        <v>0</v>
      </c>
      <c r="K367" s="274"/>
    </row>
    <row r="368" spans="2:11" ht="13.5" customHeight="1">
      <c r="B368" s="209" t="s">
        <v>2158</v>
      </c>
      <c r="C368" s="209" t="s">
        <v>3304</v>
      </c>
      <c r="D368" s="414" t="str">
        <f t="shared" si="5"/>
        <v>11-26</v>
      </c>
      <c r="E368" s="273" t="e">
        <f ca="1">_xludf.IFNA(VLOOKUP('Comp X - Kilter'!B368,'Kilter Holds'!$P$37:$AB$662,11,0),0)</f>
        <v>#NAME?</v>
      </c>
      <c r="F368" s="274"/>
      <c r="G368" s="274" t="e">
        <f t="shared" ca="1" si="3"/>
        <v>#NAME?</v>
      </c>
      <c r="H368" s="274">
        <f t="shared" si="4"/>
        <v>0</v>
      </c>
      <c r="K368" s="274"/>
    </row>
    <row r="369" spans="2:11" ht="13.5" customHeight="1">
      <c r="B369" s="209" t="s">
        <v>2158</v>
      </c>
      <c r="C369" s="209" t="s">
        <v>3304</v>
      </c>
      <c r="D369" s="415" t="str">
        <f t="shared" si="5"/>
        <v>18-01</v>
      </c>
      <c r="E369" s="273" t="e">
        <f ca="1">_xludf.IFNA(VLOOKUP('Comp X - Kilter'!B369,'Kilter Holds'!$P$37:$AB$662,12,0),0)</f>
        <v>#NAME?</v>
      </c>
      <c r="F369" s="274"/>
      <c r="G369" s="274" t="e">
        <f t="shared" ca="1" si="3"/>
        <v>#NAME?</v>
      </c>
      <c r="H369" s="274">
        <f t="shared" si="4"/>
        <v>0</v>
      </c>
      <c r="K369" s="274"/>
    </row>
    <row r="370" spans="2:11" ht="13.5" customHeight="1">
      <c r="B370" s="209" t="s">
        <v>2158</v>
      </c>
      <c r="C370" s="209" t="s">
        <v>3304</v>
      </c>
      <c r="D370" s="416" t="str">
        <f t="shared" si="5"/>
        <v>Color Code</v>
      </c>
      <c r="E370" s="273" t="e">
        <f ca="1">_xludf.IFNA(VLOOKUP('Comp X - Kilter'!B370,'Kilter Holds'!$P$37:$AB$662,13,0),0)</f>
        <v>#NAME?</v>
      </c>
      <c r="F370" s="274"/>
      <c r="G370" s="274" t="e">
        <f t="shared" ca="1" si="3"/>
        <v>#NAME?</v>
      </c>
      <c r="H370" s="274">
        <f t="shared" si="4"/>
        <v>0</v>
      </c>
      <c r="K370" s="274"/>
    </row>
    <row r="371" spans="2:11" ht="13.5" customHeight="1">
      <c r="B371" s="209" t="s">
        <v>2182</v>
      </c>
      <c r="C371" s="209" t="s">
        <v>3305</v>
      </c>
      <c r="D371" s="406" t="str">
        <f t="shared" si="5"/>
        <v>11-12</v>
      </c>
      <c r="E371" s="273" t="e">
        <f ca="1">_xludf.IFNA(VLOOKUP('Comp X - Kilter'!B371,'Kilter Holds'!$P$37:$AB$662,5,0),0)</f>
        <v>#NAME?</v>
      </c>
      <c r="F371" s="274"/>
      <c r="G371" s="274" t="e">
        <f t="shared" ca="1" si="3"/>
        <v>#NAME?</v>
      </c>
      <c r="H371" s="274">
        <f t="shared" si="4"/>
        <v>0</v>
      </c>
      <c r="K371" s="274"/>
    </row>
    <row r="372" spans="2:11" ht="13.5" customHeight="1">
      <c r="B372" s="209" t="s">
        <v>2182</v>
      </c>
      <c r="C372" s="209" t="s">
        <v>3305</v>
      </c>
      <c r="D372" s="408" t="str">
        <f t="shared" si="5"/>
        <v>14-01</v>
      </c>
      <c r="E372" s="273" t="e">
        <f ca="1">_xludf.IFNA(VLOOKUP('Comp X - Kilter'!B372,'Kilter Holds'!$P$37:$AB$662,6,0),0)</f>
        <v>#NAME?</v>
      </c>
      <c r="F372" s="274"/>
      <c r="G372" s="274" t="e">
        <f t="shared" ca="1" si="3"/>
        <v>#NAME?</v>
      </c>
      <c r="H372" s="274">
        <f t="shared" si="4"/>
        <v>0</v>
      </c>
      <c r="K372" s="274"/>
    </row>
    <row r="373" spans="2:11" ht="13.5" customHeight="1">
      <c r="B373" s="209" t="s">
        <v>2182</v>
      </c>
      <c r="C373" s="209" t="s">
        <v>3305</v>
      </c>
      <c r="D373" s="409" t="str">
        <f t="shared" si="5"/>
        <v>15-12</v>
      </c>
      <c r="E373" s="273" t="e">
        <f ca="1">_xludf.IFNA(VLOOKUP('Comp X - Kilter'!B373,'Kilter Holds'!$P$37:$AB$662,7,0),0)</f>
        <v>#NAME?</v>
      </c>
      <c r="F373" s="274"/>
      <c r="G373" s="274" t="e">
        <f t="shared" ca="1" si="3"/>
        <v>#NAME?</v>
      </c>
      <c r="H373" s="274">
        <f t="shared" si="4"/>
        <v>0</v>
      </c>
      <c r="K373" s="274"/>
    </row>
    <row r="374" spans="2:11" ht="13.5" customHeight="1">
      <c r="B374" s="209" t="s">
        <v>2182</v>
      </c>
      <c r="C374" s="209" t="s">
        <v>3305</v>
      </c>
      <c r="D374" s="410" t="str">
        <f t="shared" si="5"/>
        <v>16-16</v>
      </c>
      <c r="E374" s="273" t="e">
        <f ca="1">_xludf.IFNA(VLOOKUP('Comp X - Kilter'!B374,'Kilter Holds'!$P$37:$AB$662,8,0),0)</f>
        <v>#NAME?</v>
      </c>
      <c r="F374" s="274"/>
      <c r="G374" s="274" t="e">
        <f t="shared" ca="1" si="3"/>
        <v>#NAME?</v>
      </c>
      <c r="H374" s="274">
        <f t="shared" si="4"/>
        <v>0</v>
      </c>
      <c r="K374" s="274"/>
    </row>
    <row r="375" spans="2:11" ht="13.5" customHeight="1">
      <c r="B375" s="209" t="s">
        <v>2182</v>
      </c>
      <c r="C375" s="209" t="s">
        <v>3305</v>
      </c>
      <c r="D375" s="411" t="str">
        <f t="shared" si="5"/>
        <v>13-01</v>
      </c>
      <c r="E375" s="273" t="e">
        <f ca="1">_xludf.IFNA(VLOOKUP('Comp X - Kilter'!B375,'Kilter Holds'!$P$37:$AB$662,9,0),0)</f>
        <v>#NAME?</v>
      </c>
      <c r="F375" s="274"/>
      <c r="G375" s="274" t="e">
        <f t="shared" ca="1" si="3"/>
        <v>#NAME?</v>
      </c>
      <c r="H375" s="274">
        <f t="shared" si="4"/>
        <v>0</v>
      </c>
      <c r="K375" s="274"/>
    </row>
    <row r="376" spans="2:11" ht="13.5" customHeight="1">
      <c r="B376" s="209" t="s">
        <v>2182</v>
      </c>
      <c r="C376" s="209" t="s">
        <v>3305</v>
      </c>
      <c r="D376" s="413" t="str">
        <f t="shared" si="5"/>
        <v>07-13</v>
      </c>
      <c r="E376" s="273" t="e">
        <f ca="1">_xludf.IFNA(VLOOKUP('Comp X - Kilter'!B376,'Kilter Holds'!$P$37:$AB$662,10,0),0)</f>
        <v>#NAME?</v>
      </c>
      <c r="F376" s="274"/>
      <c r="G376" s="274" t="e">
        <f t="shared" ca="1" si="3"/>
        <v>#NAME?</v>
      </c>
      <c r="H376" s="274">
        <f t="shared" si="4"/>
        <v>0</v>
      </c>
      <c r="K376" s="274"/>
    </row>
    <row r="377" spans="2:11" ht="13.5" customHeight="1">
      <c r="B377" s="209" t="s">
        <v>2182</v>
      </c>
      <c r="C377" s="209" t="s">
        <v>3305</v>
      </c>
      <c r="D377" s="414" t="str">
        <f t="shared" si="5"/>
        <v>11-26</v>
      </c>
      <c r="E377" s="273" t="e">
        <f ca="1">_xludf.IFNA(VLOOKUP('Comp X - Kilter'!B377,'Kilter Holds'!$P$37:$AB$662,11,0),0)</f>
        <v>#NAME?</v>
      </c>
      <c r="F377" s="274"/>
      <c r="G377" s="274" t="e">
        <f t="shared" ca="1" si="3"/>
        <v>#NAME?</v>
      </c>
      <c r="H377" s="274">
        <f t="shared" si="4"/>
        <v>0</v>
      </c>
      <c r="K377" s="274"/>
    </row>
    <row r="378" spans="2:11" ht="13.5" customHeight="1">
      <c r="B378" s="209" t="s">
        <v>2182</v>
      </c>
      <c r="C378" s="209" t="s">
        <v>3305</v>
      </c>
      <c r="D378" s="415" t="str">
        <f t="shared" si="5"/>
        <v>18-01</v>
      </c>
      <c r="E378" s="273" t="e">
        <f ca="1">_xludf.IFNA(VLOOKUP('Comp X - Kilter'!B378,'Kilter Holds'!$P$37:$AB$662,12,0),0)</f>
        <v>#NAME?</v>
      </c>
      <c r="F378" s="274"/>
      <c r="G378" s="274" t="e">
        <f t="shared" ca="1" si="3"/>
        <v>#NAME?</v>
      </c>
      <c r="H378" s="274">
        <f t="shared" si="4"/>
        <v>0</v>
      </c>
      <c r="K378" s="274"/>
    </row>
    <row r="379" spans="2:11" ht="13.5" customHeight="1">
      <c r="B379" s="209" t="s">
        <v>2182</v>
      </c>
      <c r="C379" s="209" t="s">
        <v>3305</v>
      </c>
      <c r="D379" s="416" t="str">
        <f t="shared" si="5"/>
        <v>Color Code</v>
      </c>
      <c r="E379" s="273" t="e">
        <f ca="1">_xludf.IFNA(VLOOKUP('Comp X - Kilter'!B379,'Kilter Holds'!$P$37:$AB$662,13,0),0)</f>
        <v>#NAME?</v>
      </c>
      <c r="F379" s="274"/>
      <c r="G379" s="274" t="e">
        <f t="shared" ca="1" si="3"/>
        <v>#NAME?</v>
      </c>
      <c r="H379" s="274">
        <f t="shared" si="4"/>
        <v>0</v>
      </c>
      <c r="K379" s="274"/>
    </row>
    <row r="380" spans="2:11" ht="13.5" customHeight="1">
      <c r="B380" s="209" t="s">
        <v>2186</v>
      </c>
      <c r="C380" s="209" t="s">
        <v>3306</v>
      </c>
      <c r="D380" s="406" t="str">
        <f t="shared" si="5"/>
        <v>11-12</v>
      </c>
      <c r="E380" s="273" t="e">
        <f ca="1">_xludf.IFNA(VLOOKUP('Comp X - Kilter'!B380,'Kilter Holds'!$P$37:$AB$662,5,0),0)</f>
        <v>#NAME?</v>
      </c>
      <c r="F380" s="274"/>
      <c r="G380" s="274" t="e">
        <f t="shared" ca="1" si="3"/>
        <v>#NAME?</v>
      </c>
      <c r="H380" s="274">
        <f t="shared" si="4"/>
        <v>0</v>
      </c>
      <c r="K380" s="274"/>
    </row>
    <row r="381" spans="2:11" ht="13.5" customHeight="1">
      <c r="B381" s="209" t="s">
        <v>2186</v>
      </c>
      <c r="C381" s="209" t="s">
        <v>3306</v>
      </c>
      <c r="D381" s="408" t="str">
        <f t="shared" si="5"/>
        <v>14-01</v>
      </c>
      <c r="E381" s="273" t="e">
        <f ca="1">_xludf.IFNA(VLOOKUP('Comp X - Kilter'!B381,'Kilter Holds'!$P$37:$AB$662,6,0),0)</f>
        <v>#NAME?</v>
      </c>
      <c r="F381" s="274"/>
      <c r="G381" s="274" t="e">
        <f t="shared" ca="1" si="3"/>
        <v>#NAME?</v>
      </c>
      <c r="H381" s="274">
        <f t="shared" si="4"/>
        <v>0</v>
      </c>
      <c r="K381" s="274"/>
    </row>
    <row r="382" spans="2:11" ht="13.5" customHeight="1">
      <c r="B382" s="209" t="s">
        <v>2186</v>
      </c>
      <c r="C382" s="209" t="s">
        <v>3306</v>
      </c>
      <c r="D382" s="409" t="str">
        <f t="shared" si="5"/>
        <v>15-12</v>
      </c>
      <c r="E382" s="273" t="e">
        <f ca="1">_xludf.IFNA(VLOOKUP('Comp X - Kilter'!B382,'Kilter Holds'!$P$37:$AB$662,7,0),0)</f>
        <v>#NAME?</v>
      </c>
      <c r="F382" s="274"/>
      <c r="G382" s="274" t="e">
        <f t="shared" ca="1" si="3"/>
        <v>#NAME?</v>
      </c>
      <c r="H382" s="274">
        <f t="shared" si="4"/>
        <v>0</v>
      </c>
      <c r="K382" s="274"/>
    </row>
    <row r="383" spans="2:11" ht="13.5" customHeight="1">
      <c r="B383" s="209" t="s">
        <v>2186</v>
      </c>
      <c r="C383" s="209" t="s">
        <v>3306</v>
      </c>
      <c r="D383" s="410" t="str">
        <f t="shared" si="5"/>
        <v>16-16</v>
      </c>
      <c r="E383" s="273" t="e">
        <f ca="1">_xludf.IFNA(VLOOKUP('Comp X - Kilter'!B383,'Kilter Holds'!$P$37:$AB$662,8,0),0)</f>
        <v>#NAME?</v>
      </c>
      <c r="F383" s="274"/>
      <c r="G383" s="274" t="e">
        <f t="shared" ca="1" si="3"/>
        <v>#NAME?</v>
      </c>
      <c r="H383" s="274">
        <f t="shared" si="4"/>
        <v>0</v>
      </c>
      <c r="K383" s="274"/>
    </row>
    <row r="384" spans="2:11" ht="13.5" customHeight="1">
      <c r="B384" s="209" t="s">
        <v>2186</v>
      </c>
      <c r="C384" s="209" t="s">
        <v>3306</v>
      </c>
      <c r="D384" s="411" t="str">
        <f t="shared" si="5"/>
        <v>13-01</v>
      </c>
      <c r="E384" s="273" t="e">
        <f ca="1">_xludf.IFNA(VLOOKUP('Comp X - Kilter'!B384,'Kilter Holds'!$P$37:$AB$662,9,0),0)</f>
        <v>#NAME?</v>
      </c>
      <c r="F384" s="274"/>
      <c r="G384" s="274" t="e">
        <f t="shared" ca="1" si="3"/>
        <v>#NAME?</v>
      </c>
      <c r="H384" s="274">
        <f t="shared" si="4"/>
        <v>0</v>
      </c>
      <c r="K384" s="274"/>
    </row>
    <row r="385" spans="2:11" ht="13.5" customHeight="1">
      <c r="B385" s="209" t="s">
        <v>2186</v>
      </c>
      <c r="C385" s="209" t="s">
        <v>3306</v>
      </c>
      <c r="D385" s="413" t="str">
        <f t="shared" si="5"/>
        <v>07-13</v>
      </c>
      <c r="E385" s="273" t="e">
        <f ca="1">_xludf.IFNA(VLOOKUP('Comp X - Kilter'!B385,'Kilter Holds'!$P$37:$AB$662,10,0),0)</f>
        <v>#NAME?</v>
      </c>
      <c r="F385" s="274"/>
      <c r="G385" s="274" t="e">
        <f t="shared" ca="1" si="3"/>
        <v>#NAME?</v>
      </c>
      <c r="H385" s="274">
        <f t="shared" si="4"/>
        <v>0</v>
      </c>
      <c r="K385" s="274"/>
    </row>
    <row r="386" spans="2:11" ht="13.5" customHeight="1">
      <c r="B386" s="209" t="s">
        <v>2186</v>
      </c>
      <c r="C386" s="209" t="s">
        <v>3306</v>
      </c>
      <c r="D386" s="414" t="str">
        <f t="shared" si="5"/>
        <v>11-26</v>
      </c>
      <c r="E386" s="273" t="e">
        <f ca="1">_xludf.IFNA(VLOOKUP('Comp X - Kilter'!B386,'Kilter Holds'!$P$37:$AB$662,11,0),0)</f>
        <v>#NAME?</v>
      </c>
      <c r="F386" s="274"/>
      <c r="G386" s="274" t="e">
        <f t="shared" ca="1" si="3"/>
        <v>#NAME?</v>
      </c>
      <c r="H386" s="274">
        <f t="shared" si="4"/>
        <v>0</v>
      </c>
      <c r="K386" s="274"/>
    </row>
    <row r="387" spans="2:11" ht="13.5" customHeight="1">
      <c r="B387" s="209" t="s">
        <v>2186</v>
      </c>
      <c r="C387" s="209" t="s">
        <v>3306</v>
      </c>
      <c r="D387" s="415" t="str">
        <f t="shared" si="5"/>
        <v>18-01</v>
      </c>
      <c r="E387" s="273" t="e">
        <f ca="1">_xludf.IFNA(VLOOKUP('Comp X - Kilter'!B387,'Kilter Holds'!$P$37:$AB$662,12,0),0)</f>
        <v>#NAME?</v>
      </c>
      <c r="F387" s="274"/>
      <c r="G387" s="274" t="e">
        <f t="shared" ca="1" si="3"/>
        <v>#NAME?</v>
      </c>
      <c r="H387" s="274">
        <f t="shared" si="4"/>
        <v>0</v>
      </c>
      <c r="K387" s="274"/>
    </row>
    <row r="388" spans="2:11" ht="13.5" customHeight="1">
      <c r="B388" s="209" t="s">
        <v>2186</v>
      </c>
      <c r="C388" s="209" t="s">
        <v>3306</v>
      </c>
      <c r="D388" s="416" t="str">
        <f t="shared" si="5"/>
        <v>Color Code</v>
      </c>
      <c r="E388" s="273" t="e">
        <f ca="1">_xludf.IFNA(VLOOKUP('Comp X - Kilter'!B388,'Kilter Holds'!$P$37:$AB$662,13,0),0)</f>
        <v>#NAME?</v>
      </c>
      <c r="F388" s="274"/>
      <c r="G388" s="274" t="e">
        <f t="shared" ca="1" si="3"/>
        <v>#NAME?</v>
      </c>
      <c r="H388" s="274">
        <f t="shared" si="4"/>
        <v>0</v>
      </c>
      <c r="K388" s="274"/>
    </row>
    <row r="389" spans="2:11" ht="13.5" customHeight="1">
      <c r="B389" s="209" t="s">
        <v>2159</v>
      </c>
      <c r="C389" s="209" t="s">
        <v>3307</v>
      </c>
      <c r="D389" s="406" t="str">
        <f t="shared" si="5"/>
        <v>11-12</v>
      </c>
      <c r="E389" s="273" t="e">
        <f ca="1">_xludf.IFNA(VLOOKUP('Comp X - Kilter'!B389,'Kilter Holds'!$P$37:$AB$662,5,0),0)</f>
        <v>#NAME?</v>
      </c>
      <c r="F389" s="274"/>
      <c r="G389" s="274" t="e">
        <f t="shared" ca="1" si="3"/>
        <v>#NAME?</v>
      </c>
      <c r="H389" s="274">
        <f t="shared" si="4"/>
        <v>0</v>
      </c>
      <c r="K389" s="274"/>
    </row>
    <row r="390" spans="2:11" ht="13.5" customHeight="1">
      <c r="B390" s="209" t="s">
        <v>2159</v>
      </c>
      <c r="C390" s="209" t="s">
        <v>3307</v>
      </c>
      <c r="D390" s="408" t="str">
        <f t="shared" si="5"/>
        <v>14-01</v>
      </c>
      <c r="E390" s="273" t="e">
        <f ca="1">_xludf.IFNA(VLOOKUP('Comp X - Kilter'!B390,'Kilter Holds'!$P$37:$AB$662,6,0),0)</f>
        <v>#NAME?</v>
      </c>
      <c r="F390" s="274"/>
      <c r="G390" s="274" t="e">
        <f t="shared" ca="1" si="3"/>
        <v>#NAME?</v>
      </c>
      <c r="H390" s="274">
        <f t="shared" si="4"/>
        <v>0</v>
      </c>
      <c r="K390" s="274"/>
    </row>
    <row r="391" spans="2:11" ht="13.5" customHeight="1">
      <c r="B391" s="209" t="s">
        <v>2159</v>
      </c>
      <c r="C391" s="209" t="s">
        <v>3307</v>
      </c>
      <c r="D391" s="409" t="str">
        <f t="shared" si="5"/>
        <v>15-12</v>
      </c>
      <c r="E391" s="273" t="e">
        <f ca="1">_xludf.IFNA(VLOOKUP('Comp X - Kilter'!B391,'Kilter Holds'!$P$37:$AB$662,7,0),0)</f>
        <v>#NAME?</v>
      </c>
      <c r="F391" s="274"/>
      <c r="G391" s="274" t="e">
        <f t="shared" ca="1" si="3"/>
        <v>#NAME?</v>
      </c>
      <c r="H391" s="274">
        <f t="shared" si="4"/>
        <v>0</v>
      </c>
      <c r="K391" s="274"/>
    </row>
    <row r="392" spans="2:11" ht="13.5" customHeight="1">
      <c r="B392" s="209" t="s">
        <v>2159</v>
      </c>
      <c r="C392" s="209" t="s">
        <v>3307</v>
      </c>
      <c r="D392" s="410" t="str">
        <f t="shared" si="5"/>
        <v>16-16</v>
      </c>
      <c r="E392" s="273" t="e">
        <f ca="1">_xludf.IFNA(VLOOKUP('Comp X - Kilter'!B392,'Kilter Holds'!$P$37:$AB$662,8,0),0)</f>
        <v>#NAME?</v>
      </c>
      <c r="F392" s="274"/>
      <c r="G392" s="274" t="e">
        <f t="shared" ca="1" si="3"/>
        <v>#NAME?</v>
      </c>
      <c r="H392" s="274">
        <f t="shared" si="4"/>
        <v>0</v>
      </c>
      <c r="K392" s="274"/>
    </row>
    <row r="393" spans="2:11" ht="13.5" customHeight="1">
      <c r="B393" s="209" t="s">
        <v>2159</v>
      </c>
      <c r="C393" s="209" t="s">
        <v>3307</v>
      </c>
      <c r="D393" s="411" t="str">
        <f t="shared" si="5"/>
        <v>13-01</v>
      </c>
      <c r="E393" s="273" t="e">
        <f ca="1">_xludf.IFNA(VLOOKUP('Comp X - Kilter'!B393,'Kilter Holds'!$P$37:$AB$662,9,0),0)</f>
        <v>#NAME?</v>
      </c>
      <c r="F393" s="274"/>
      <c r="G393" s="274" t="e">
        <f t="shared" ca="1" si="3"/>
        <v>#NAME?</v>
      </c>
      <c r="H393" s="274">
        <f t="shared" si="4"/>
        <v>0</v>
      </c>
      <c r="K393" s="274"/>
    </row>
    <row r="394" spans="2:11" ht="13.5" customHeight="1">
      <c r="B394" s="209" t="s">
        <v>2159</v>
      </c>
      <c r="C394" s="209" t="s">
        <v>3307</v>
      </c>
      <c r="D394" s="413" t="str">
        <f t="shared" si="5"/>
        <v>07-13</v>
      </c>
      <c r="E394" s="273" t="e">
        <f ca="1">_xludf.IFNA(VLOOKUP('Comp X - Kilter'!B394,'Kilter Holds'!$P$37:$AB$662,10,0),0)</f>
        <v>#NAME?</v>
      </c>
      <c r="F394" s="274"/>
      <c r="G394" s="274" t="e">
        <f t="shared" ca="1" si="3"/>
        <v>#NAME?</v>
      </c>
      <c r="H394" s="274">
        <f t="shared" si="4"/>
        <v>0</v>
      </c>
      <c r="K394" s="274"/>
    </row>
    <row r="395" spans="2:11" ht="13.5" customHeight="1">
      <c r="B395" s="209" t="s">
        <v>2159</v>
      </c>
      <c r="C395" s="209" t="s">
        <v>3307</v>
      </c>
      <c r="D395" s="414" t="str">
        <f t="shared" si="5"/>
        <v>11-26</v>
      </c>
      <c r="E395" s="273" t="e">
        <f ca="1">_xludf.IFNA(VLOOKUP('Comp X - Kilter'!B395,'Kilter Holds'!$P$37:$AB$662,11,0),0)</f>
        <v>#NAME?</v>
      </c>
      <c r="F395" s="274"/>
      <c r="G395" s="274" t="e">
        <f t="shared" ca="1" si="3"/>
        <v>#NAME?</v>
      </c>
      <c r="H395" s="274">
        <f t="shared" si="4"/>
        <v>0</v>
      </c>
      <c r="K395" s="274"/>
    </row>
    <row r="396" spans="2:11" ht="13.5" customHeight="1">
      <c r="B396" s="209" t="s">
        <v>2159</v>
      </c>
      <c r="C396" s="209" t="s">
        <v>3307</v>
      </c>
      <c r="D396" s="415" t="str">
        <f t="shared" si="5"/>
        <v>18-01</v>
      </c>
      <c r="E396" s="273" t="e">
        <f ca="1">_xludf.IFNA(VLOOKUP('Comp X - Kilter'!B396,'Kilter Holds'!$P$37:$AB$662,12,0),0)</f>
        <v>#NAME?</v>
      </c>
      <c r="F396" s="274"/>
      <c r="G396" s="274" t="e">
        <f t="shared" ca="1" si="3"/>
        <v>#NAME?</v>
      </c>
      <c r="H396" s="274">
        <f t="shared" si="4"/>
        <v>0</v>
      </c>
      <c r="K396" s="274"/>
    </row>
    <row r="397" spans="2:11" ht="13.5" customHeight="1">
      <c r="B397" s="209" t="s">
        <v>2159</v>
      </c>
      <c r="C397" s="209" t="s">
        <v>3307</v>
      </c>
      <c r="D397" s="416" t="str">
        <f t="shared" si="5"/>
        <v>Color Code</v>
      </c>
      <c r="E397" s="273" t="e">
        <f ca="1">_xludf.IFNA(VLOOKUP('Comp X - Kilter'!B397,'Kilter Holds'!$P$37:$AB$662,13,0),0)</f>
        <v>#NAME?</v>
      </c>
      <c r="F397" s="274"/>
      <c r="G397" s="274" t="e">
        <f t="shared" ca="1" si="3"/>
        <v>#NAME?</v>
      </c>
      <c r="H397" s="274">
        <f t="shared" si="4"/>
        <v>0</v>
      </c>
      <c r="K397" s="274"/>
    </row>
    <row r="398" spans="2:11" ht="13.5" customHeight="1">
      <c r="B398" s="209" t="s">
        <v>2160</v>
      </c>
      <c r="C398" s="209" t="s">
        <v>3308</v>
      </c>
      <c r="D398" s="406" t="str">
        <f t="shared" si="5"/>
        <v>11-12</v>
      </c>
      <c r="E398" s="273" t="e">
        <f ca="1">_xludf.IFNA(VLOOKUP('Comp X - Kilter'!B398,'Kilter Holds'!$P$37:$AB$662,5,0),0)</f>
        <v>#NAME?</v>
      </c>
      <c r="F398" s="274"/>
      <c r="G398" s="274" t="e">
        <f t="shared" ca="1" si="3"/>
        <v>#NAME?</v>
      </c>
      <c r="H398" s="274">
        <f t="shared" si="4"/>
        <v>0</v>
      </c>
      <c r="K398" s="274"/>
    </row>
    <row r="399" spans="2:11" ht="13.5" customHeight="1">
      <c r="B399" s="209" t="s">
        <v>2160</v>
      </c>
      <c r="C399" s="209" t="s">
        <v>3308</v>
      </c>
      <c r="D399" s="408" t="str">
        <f t="shared" si="5"/>
        <v>14-01</v>
      </c>
      <c r="E399" s="273" t="e">
        <f ca="1">_xludf.IFNA(VLOOKUP('Comp X - Kilter'!B399,'Kilter Holds'!$P$37:$AB$662,6,0),0)</f>
        <v>#NAME?</v>
      </c>
      <c r="F399" s="274"/>
      <c r="G399" s="274" t="e">
        <f t="shared" ca="1" si="3"/>
        <v>#NAME?</v>
      </c>
      <c r="H399" s="274">
        <f t="shared" si="4"/>
        <v>0</v>
      </c>
      <c r="K399" s="274"/>
    </row>
    <row r="400" spans="2:11" ht="13.5" customHeight="1">
      <c r="B400" s="209" t="s">
        <v>2160</v>
      </c>
      <c r="C400" s="209" t="s">
        <v>3308</v>
      </c>
      <c r="D400" s="409" t="str">
        <f t="shared" si="5"/>
        <v>15-12</v>
      </c>
      <c r="E400" s="273" t="e">
        <f ca="1">_xludf.IFNA(VLOOKUP('Comp X - Kilter'!B400,'Kilter Holds'!$P$37:$AB$662,7,0),0)</f>
        <v>#NAME?</v>
      </c>
      <c r="F400" s="274"/>
      <c r="G400" s="274" t="e">
        <f t="shared" ca="1" si="3"/>
        <v>#NAME?</v>
      </c>
      <c r="H400" s="274">
        <f t="shared" si="4"/>
        <v>0</v>
      </c>
      <c r="K400" s="274"/>
    </row>
    <row r="401" spans="2:11" ht="13.5" customHeight="1">
      <c r="B401" s="209" t="s">
        <v>2160</v>
      </c>
      <c r="C401" s="209" t="s">
        <v>3308</v>
      </c>
      <c r="D401" s="410" t="str">
        <f t="shared" si="5"/>
        <v>16-16</v>
      </c>
      <c r="E401" s="273" t="e">
        <f ca="1">_xludf.IFNA(VLOOKUP('Comp X - Kilter'!B401,'Kilter Holds'!$P$37:$AB$662,8,0),0)</f>
        <v>#NAME?</v>
      </c>
      <c r="F401" s="274"/>
      <c r="G401" s="274" t="e">
        <f t="shared" ca="1" si="3"/>
        <v>#NAME?</v>
      </c>
      <c r="H401" s="274">
        <f t="shared" si="4"/>
        <v>0</v>
      </c>
      <c r="K401" s="274"/>
    </row>
    <row r="402" spans="2:11" ht="13.5" customHeight="1">
      <c r="B402" s="209" t="s">
        <v>2160</v>
      </c>
      <c r="C402" s="209" t="s">
        <v>3308</v>
      </c>
      <c r="D402" s="411" t="str">
        <f t="shared" si="5"/>
        <v>13-01</v>
      </c>
      <c r="E402" s="273" t="e">
        <f ca="1">_xludf.IFNA(VLOOKUP('Comp X - Kilter'!B402,'Kilter Holds'!$P$37:$AB$662,9,0),0)</f>
        <v>#NAME?</v>
      </c>
      <c r="F402" s="274"/>
      <c r="G402" s="274" t="e">
        <f t="shared" ca="1" si="3"/>
        <v>#NAME?</v>
      </c>
      <c r="H402" s="274">
        <f t="shared" si="4"/>
        <v>0</v>
      </c>
      <c r="K402" s="274"/>
    </row>
    <row r="403" spans="2:11" ht="13.5" customHeight="1">
      <c r="B403" s="209" t="s">
        <v>2160</v>
      </c>
      <c r="C403" s="209" t="s">
        <v>3308</v>
      </c>
      <c r="D403" s="413" t="str">
        <f t="shared" si="5"/>
        <v>07-13</v>
      </c>
      <c r="E403" s="273" t="e">
        <f ca="1">_xludf.IFNA(VLOOKUP('Comp X - Kilter'!B403,'Kilter Holds'!$P$37:$AB$662,10,0),0)</f>
        <v>#NAME?</v>
      </c>
      <c r="F403" s="274"/>
      <c r="G403" s="274" t="e">
        <f t="shared" ca="1" si="3"/>
        <v>#NAME?</v>
      </c>
      <c r="H403" s="274">
        <f t="shared" si="4"/>
        <v>0</v>
      </c>
      <c r="K403" s="274"/>
    </row>
    <row r="404" spans="2:11" ht="13.5" customHeight="1">
      <c r="B404" s="209" t="s">
        <v>2160</v>
      </c>
      <c r="C404" s="209" t="s">
        <v>3308</v>
      </c>
      <c r="D404" s="414" t="str">
        <f t="shared" si="5"/>
        <v>11-26</v>
      </c>
      <c r="E404" s="273" t="e">
        <f ca="1">_xludf.IFNA(VLOOKUP('Comp X - Kilter'!B404,'Kilter Holds'!$P$37:$AB$662,11,0),0)</f>
        <v>#NAME?</v>
      </c>
      <c r="F404" s="274"/>
      <c r="G404" s="274" t="e">
        <f t="shared" ca="1" si="3"/>
        <v>#NAME?</v>
      </c>
      <c r="H404" s="274">
        <f t="shared" si="4"/>
        <v>0</v>
      </c>
      <c r="K404" s="274"/>
    </row>
    <row r="405" spans="2:11" ht="13.5" customHeight="1">
      <c r="B405" s="209" t="s">
        <v>2160</v>
      </c>
      <c r="C405" s="209" t="s">
        <v>3308</v>
      </c>
      <c r="D405" s="415" t="str">
        <f t="shared" si="5"/>
        <v>18-01</v>
      </c>
      <c r="E405" s="273" t="e">
        <f ca="1">_xludf.IFNA(VLOOKUP('Comp X - Kilter'!B405,'Kilter Holds'!$P$37:$AB$662,12,0),0)</f>
        <v>#NAME?</v>
      </c>
      <c r="F405" s="274"/>
      <c r="G405" s="274" t="e">
        <f t="shared" ca="1" si="3"/>
        <v>#NAME?</v>
      </c>
      <c r="H405" s="274">
        <f t="shared" si="4"/>
        <v>0</v>
      </c>
      <c r="K405" s="274"/>
    </row>
    <row r="406" spans="2:11" ht="13.5" customHeight="1">
      <c r="B406" s="209" t="s">
        <v>2160</v>
      </c>
      <c r="C406" s="209" t="s">
        <v>3308</v>
      </c>
      <c r="D406" s="416" t="str">
        <f t="shared" si="5"/>
        <v>Color Code</v>
      </c>
      <c r="E406" s="273" t="e">
        <f ca="1">_xludf.IFNA(VLOOKUP('Comp X - Kilter'!B406,'Kilter Holds'!$P$37:$AB$662,13,0),0)</f>
        <v>#NAME?</v>
      </c>
      <c r="F406" s="274"/>
      <c r="G406" s="274" t="e">
        <f t="shared" ca="1" si="3"/>
        <v>#NAME?</v>
      </c>
      <c r="H406" s="274">
        <f t="shared" si="4"/>
        <v>0</v>
      </c>
      <c r="K406" s="274"/>
    </row>
    <row r="407" spans="2:11" ht="13.5" customHeight="1">
      <c r="B407" s="209" t="s">
        <v>2161</v>
      </c>
      <c r="C407" s="209" t="s">
        <v>3309</v>
      </c>
      <c r="D407" s="406" t="str">
        <f t="shared" si="5"/>
        <v>11-12</v>
      </c>
      <c r="E407" s="273" t="e">
        <f ca="1">_xludf.IFNA(VLOOKUP('Comp X - Kilter'!B407,'Kilter Holds'!$P$37:$AB$662,5,0),0)</f>
        <v>#NAME?</v>
      </c>
      <c r="F407" s="274"/>
      <c r="G407" s="274" t="e">
        <f t="shared" ca="1" si="3"/>
        <v>#NAME?</v>
      </c>
      <c r="H407" s="274">
        <f t="shared" si="4"/>
        <v>0</v>
      </c>
      <c r="K407" s="274"/>
    </row>
    <row r="408" spans="2:11" ht="13.5" customHeight="1">
      <c r="B408" s="209" t="s">
        <v>2161</v>
      </c>
      <c r="C408" s="209" t="s">
        <v>3309</v>
      </c>
      <c r="D408" s="408" t="str">
        <f t="shared" si="5"/>
        <v>14-01</v>
      </c>
      <c r="E408" s="273" t="e">
        <f ca="1">_xludf.IFNA(VLOOKUP('Comp X - Kilter'!B408,'Kilter Holds'!$P$37:$AB$662,6,0),0)</f>
        <v>#NAME?</v>
      </c>
      <c r="F408" s="274"/>
      <c r="G408" s="274" t="e">
        <f t="shared" ca="1" si="3"/>
        <v>#NAME?</v>
      </c>
      <c r="H408" s="274">
        <f t="shared" si="4"/>
        <v>0</v>
      </c>
      <c r="K408" s="274"/>
    </row>
    <row r="409" spans="2:11" ht="13.5" customHeight="1">
      <c r="B409" s="209" t="s">
        <v>2161</v>
      </c>
      <c r="C409" s="209" t="s">
        <v>3309</v>
      </c>
      <c r="D409" s="409" t="str">
        <f t="shared" si="5"/>
        <v>15-12</v>
      </c>
      <c r="E409" s="273" t="e">
        <f ca="1">_xludf.IFNA(VLOOKUP('Comp X - Kilter'!B409,'Kilter Holds'!$P$37:$AB$662,7,0),0)</f>
        <v>#NAME?</v>
      </c>
      <c r="F409" s="274"/>
      <c r="G409" s="274" t="e">
        <f t="shared" ca="1" si="3"/>
        <v>#NAME?</v>
      </c>
      <c r="H409" s="274">
        <f t="shared" si="4"/>
        <v>0</v>
      </c>
      <c r="K409" s="274"/>
    </row>
    <row r="410" spans="2:11" ht="13.5" customHeight="1">
      <c r="B410" s="209" t="s">
        <v>2161</v>
      </c>
      <c r="C410" s="209" t="s">
        <v>3309</v>
      </c>
      <c r="D410" s="410" t="str">
        <f t="shared" si="5"/>
        <v>16-16</v>
      </c>
      <c r="E410" s="273" t="e">
        <f ca="1">_xludf.IFNA(VLOOKUP('Comp X - Kilter'!B410,'Kilter Holds'!$P$37:$AB$662,8,0),0)</f>
        <v>#NAME?</v>
      </c>
      <c r="F410" s="274"/>
      <c r="G410" s="274" t="e">
        <f t="shared" ca="1" si="3"/>
        <v>#NAME?</v>
      </c>
      <c r="H410" s="274">
        <f t="shared" si="4"/>
        <v>0</v>
      </c>
      <c r="K410" s="274"/>
    </row>
    <row r="411" spans="2:11" ht="13.5" customHeight="1">
      <c r="B411" s="209" t="s">
        <v>2161</v>
      </c>
      <c r="C411" s="209" t="s">
        <v>3309</v>
      </c>
      <c r="D411" s="411" t="str">
        <f t="shared" si="5"/>
        <v>13-01</v>
      </c>
      <c r="E411" s="273" t="e">
        <f ca="1">_xludf.IFNA(VLOOKUP('Comp X - Kilter'!B411,'Kilter Holds'!$P$37:$AB$662,9,0),0)</f>
        <v>#NAME?</v>
      </c>
      <c r="F411" s="274"/>
      <c r="G411" s="274" t="e">
        <f t="shared" ca="1" si="3"/>
        <v>#NAME?</v>
      </c>
      <c r="H411" s="274">
        <f t="shared" si="4"/>
        <v>0</v>
      </c>
      <c r="K411" s="274"/>
    </row>
    <row r="412" spans="2:11" ht="13.5" customHeight="1">
      <c r="B412" s="209" t="s">
        <v>2161</v>
      </c>
      <c r="C412" s="209" t="s">
        <v>3309</v>
      </c>
      <c r="D412" s="413" t="str">
        <f t="shared" si="5"/>
        <v>07-13</v>
      </c>
      <c r="E412" s="273" t="e">
        <f ca="1">_xludf.IFNA(VLOOKUP('Comp X - Kilter'!B412,'Kilter Holds'!$P$37:$AB$662,10,0),0)</f>
        <v>#NAME?</v>
      </c>
      <c r="F412" s="274"/>
      <c r="G412" s="274" t="e">
        <f t="shared" ca="1" si="3"/>
        <v>#NAME?</v>
      </c>
      <c r="H412" s="274">
        <f t="shared" si="4"/>
        <v>0</v>
      </c>
      <c r="K412" s="274"/>
    </row>
    <row r="413" spans="2:11" ht="13.5" customHeight="1">
      <c r="B413" s="209" t="s">
        <v>2161</v>
      </c>
      <c r="C413" s="209" t="s">
        <v>3309</v>
      </c>
      <c r="D413" s="414" t="str">
        <f t="shared" si="5"/>
        <v>11-26</v>
      </c>
      <c r="E413" s="273" t="e">
        <f ca="1">_xludf.IFNA(VLOOKUP('Comp X - Kilter'!B413,'Kilter Holds'!$P$37:$AB$662,11,0),0)</f>
        <v>#NAME?</v>
      </c>
      <c r="F413" s="274"/>
      <c r="G413" s="274" t="e">
        <f t="shared" ca="1" si="3"/>
        <v>#NAME?</v>
      </c>
      <c r="H413" s="274">
        <f t="shared" si="4"/>
        <v>0</v>
      </c>
      <c r="K413" s="274"/>
    </row>
    <row r="414" spans="2:11" ht="13.5" customHeight="1">
      <c r="B414" s="209" t="s">
        <v>2161</v>
      </c>
      <c r="C414" s="209" t="s">
        <v>3309</v>
      </c>
      <c r="D414" s="415" t="str">
        <f t="shared" si="5"/>
        <v>18-01</v>
      </c>
      <c r="E414" s="273" t="e">
        <f ca="1">_xludf.IFNA(VLOOKUP('Comp X - Kilter'!B414,'Kilter Holds'!$P$37:$AB$662,12,0),0)</f>
        <v>#NAME?</v>
      </c>
      <c r="F414" s="274"/>
      <c r="G414" s="274" t="e">
        <f t="shared" ca="1" si="3"/>
        <v>#NAME?</v>
      </c>
      <c r="H414" s="274">
        <f t="shared" si="4"/>
        <v>0</v>
      </c>
      <c r="K414" s="274"/>
    </row>
    <row r="415" spans="2:11" ht="13.5" customHeight="1">
      <c r="B415" s="209" t="s">
        <v>2161</v>
      </c>
      <c r="C415" s="209" t="s">
        <v>3309</v>
      </c>
      <c r="D415" s="416" t="str">
        <f t="shared" si="5"/>
        <v>Color Code</v>
      </c>
      <c r="E415" s="273" t="e">
        <f ca="1">_xludf.IFNA(VLOOKUP('Comp X - Kilter'!B415,'Kilter Holds'!$P$37:$AB$662,13,0),0)</f>
        <v>#NAME?</v>
      </c>
      <c r="F415" s="274"/>
      <c r="G415" s="274" t="e">
        <f t="shared" ca="1" si="3"/>
        <v>#NAME?</v>
      </c>
      <c r="H415" s="274">
        <f t="shared" si="4"/>
        <v>0</v>
      </c>
      <c r="K415" s="274"/>
    </row>
    <row r="416" spans="2:11" ht="13.5" customHeight="1">
      <c r="B416" s="209" t="s">
        <v>2172</v>
      </c>
      <c r="C416" s="209" t="s">
        <v>3310</v>
      </c>
      <c r="D416" s="406" t="str">
        <f t="shared" si="5"/>
        <v>11-12</v>
      </c>
      <c r="E416" s="273" t="e">
        <f ca="1">_xludf.IFNA(VLOOKUP('Comp X - Kilter'!B416,'Kilter Holds'!$P$37:$AB$662,5,0),0)</f>
        <v>#NAME?</v>
      </c>
      <c r="F416" s="274"/>
      <c r="G416" s="274" t="e">
        <f t="shared" ca="1" si="3"/>
        <v>#NAME?</v>
      </c>
      <c r="H416" s="274">
        <f t="shared" si="4"/>
        <v>0</v>
      </c>
      <c r="K416" s="274"/>
    </row>
    <row r="417" spans="2:11" ht="13.5" customHeight="1">
      <c r="B417" s="209" t="s">
        <v>2172</v>
      </c>
      <c r="C417" s="209" t="s">
        <v>3310</v>
      </c>
      <c r="D417" s="408" t="str">
        <f t="shared" si="5"/>
        <v>14-01</v>
      </c>
      <c r="E417" s="273" t="e">
        <f ca="1">_xludf.IFNA(VLOOKUP('Comp X - Kilter'!B417,'Kilter Holds'!$P$37:$AB$662,6,0),0)</f>
        <v>#NAME?</v>
      </c>
      <c r="F417" s="274"/>
      <c r="G417" s="274" t="e">
        <f t="shared" ca="1" si="3"/>
        <v>#NAME?</v>
      </c>
      <c r="H417" s="274">
        <f t="shared" si="4"/>
        <v>0</v>
      </c>
      <c r="K417" s="274"/>
    </row>
    <row r="418" spans="2:11" ht="13.5" customHeight="1">
      <c r="B418" s="209" t="s">
        <v>2172</v>
      </c>
      <c r="C418" s="209" t="s">
        <v>3310</v>
      </c>
      <c r="D418" s="409" t="str">
        <f t="shared" si="5"/>
        <v>15-12</v>
      </c>
      <c r="E418" s="273" t="e">
        <f ca="1">_xludf.IFNA(VLOOKUP('Comp X - Kilter'!B418,'Kilter Holds'!$P$37:$AB$662,7,0),0)</f>
        <v>#NAME?</v>
      </c>
      <c r="F418" s="274"/>
      <c r="G418" s="274" t="e">
        <f t="shared" ca="1" si="3"/>
        <v>#NAME?</v>
      </c>
      <c r="H418" s="274">
        <f t="shared" si="4"/>
        <v>0</v>
      </c>
      <c r="K418" s="274"/>
    </row>
    <row r="419" spans="2:11" ht="13.5" customHeight="1">
      <c r="B419" s="209" t="s">
        <v>2172</v>
      </c>
      <c r="C419" s="209" t="s">
        <v>3310</v>
      </c>
      <c r="D419" s="410" t="str">
        <f t="shared" si="5"/>
        <v>16-16</v>
      </c>
      <c r="E419" s="273" t="e">
        <f ca="1">_xludf.IFNA(VLOOKUP('Comp X - Kilter'!B419,'Kilter Holds'!$P$37:$AB$662,8,0),0)</f>
        <v>#NAME?</v>
      </c>
      <c r="F419" s="274"/>
      <c r="G419" s="274" t="e">
        <f t="shared" ca="1" si="3"/>
        <v>#NAME?</v>
      </c>
      <c r="H419" s="274">
        <f t="shared" si="4"/>
        <v>0</v>
      </c>
      <c r="K419" s="274"/>
    </row>
    <row r="420" spans="2:11" ht="13.5" customHeight="1">
      <c r="B420" s="209" t="s">
        <v>2172</v>
      </c>
      <c r="C420" s="209" t="s">
        <v>3310</v>
      </c>
      <c r="D420" s="411" t="str">
        <f t="shared" si="5"/>
        <v>13-01</v>
      </c>
      <c r="E420" s="273" t="e">
        <f ca="1">_xludf.IFNA(VLOOKUP('Comp X - Kilter'!B420,'Kilter Holds'!$P$37:$AB$662,9,0),0)</f>
        <v>#NAME?</v>
      </c>
      <c r="F420" s="274"/>
      <c r="G420" s="274" t="e">
        <f t="shared" ca="1" si="3"/>
        <v>#NAME?</v>
      </c>
      <c r="H420" s="274">
        <f t="shared" si="4"/>
        <v>0</v>
      </c>
      <c r="K420" s="274"/>
    </row>
    <row r="421" spans="2:11" ht="13.5" customHeight="1">
      <c r="B421" s="209" t="s">
        <v>2172</v>
      </c>
      <c r="C421" s="209" t="s">
        <v>3310</v>
      </c>
      <c r="D421" s="413" t="str">
        <f t="shared" si="5"/>
        <v>07-13</v>
      </c>
      <c r="E421" s="273" t="e">
        <f ca="1">_xludf.IFNA(VLOOKUP('Comp X - Kilter'!B421,'Kilter Holds'!$P$37:$AB$662,10,0),0)</f>
        <v>#NAME?</v>
      </c>
      <c r="F421" s="274"/>
      <c r="G421" s="274" t="e">
        <f t="shared" ca="1" si="3"/>
        <v>#NAME?</v>
      </c>
      <c r="H421" s="274">
        <f t="shared" si="4"/>
        <v>0</v>
      </c>
      <c r="K421" s="274"/>
    </row>
    <row r="422" spans="2:11" ht="13.5" customHeight="1">
      <c r="B422" s="209" t="s">
        <v>2172</v>
      </c>
      <c r="C422" s="209" t="s">
        <v>3310</v>
      </c>
      <c r="D422" s="414" t="str">
        <f t="shared" si="5"/>
        <v>11-26</v>
      </c>
      <c r="E422" s="273" t="e">
        <f ca="1">_xludf.IFNA(VLOOKUP('Comp X - Kilter'!B422,'Kilter Holds'!$P$37:$AB$662,11,0),0)</f>
        <v>#NAME?</v>
      </c>
      <c r="F422" s="274"/>
      <c r="G422" s="274" t="e">
        <f t="shared" ca="1" si="3"/>
        <v>#NAME?</v>
      </c>
      <c r="H422" s="274">
        <f t="shared" si="4"/>
        <v>0</v>
      </c>
      <c r="K422" s="274"/>
    </row>
    <row r="423" spans="2:11" ht="13.5" customHeight="1">
      <c r="B423" s="209" t="s">
        <v>2172</v>
      </c>
      <c r="C423" s="209" t="s">
        <v>3310</v>
      </c>
      <c r="D423" s="415" t="str">
        <f t="shared" si="5"/>
        <v>18-01</v>
      </c>
      <c r="E423" s="273" t="e">
        <f ca="1">_xludf.IFNA(VLOOKUP('Comp X - Kilter'!B423,'Kilter Holds'!$P$37:$AB$662,12,0),0)</f>
        <v>#NAME?</v>
      </c>
      <c r="F423" s="274"/>
      <c r="G423" s="274" t="e">
        <f t="shared" ca="1" si="3"/>
        <v>#NAME?</v>
      </c>
      <c r="H423" s="274">
        <f t="shared" si="4"/>
        <v>0</v>
      </c>
      <c r="K423" s="274"/>
    </row>
    <row r="424" spans="2:11" ht="13.5" customHeight="1">
      <c r="B424" s="209" t="s">
        <v>2172</v>
      </c>
      <c r="C424" s="209" t="s">
        <v>3310</v>
      </c>
      <c r="D424" s="416" t="str">
        <f t="shared" si="5"/>
        <v>Color Code</v>
      </c>
      <c r="E424" s="273" t="e">
        <f ca="1">_xludf.IFNA(VLOOKUP('Comp X - Kilter'!B424,'Kilter Holds'!$P$37:$AB$662,13,0),0)</f>
        <v>#NAME?</v>
      </c>
      <c r="F424" s="274"/>
      <c r="G424" s="274" t="e">
        <f t="shared" ca="1" si="3"/>
        <v>#NAME?</v>
      </c>
      <c r="H424" s="274">
        <f t="shared" si="4"/>
        <v>0</v>
      </c>
      <c r="K424" s="274"/>
    </row>
    <row r="425" spans="2:11" ht="13.5" customHeight="1">
      <c r="B425" s="209" t="s">
        <v>2188</v>
      </c>
      <c r="C425" s="209" t="s">
        <v>3311</v>
      </c>
      <c r="D425" s="406" t="str">
        <f t="shared" si="5"/>
        <v>11-12</v>
      </c>
      <c r="E425" s="273" t="e">
        <f ca="1">_xludf.IFNA(VLOOKUP('Comp X - Kilter'!B425,'Kilter Holds'!$P$37:$AB$662,5,0),0)</f>
        <v>#NAME?</v>
      </c>
      <c r="F425" s="274"/>
      <c r="G425" s="274" t="e">
        <f t="shared" ca="1" si="3"/>
        <v>#NAME?</v>
      </c>
      <c r="H425" s="274">
        <f t="shared" si="4"/>
        <v>0</v>
      </c>
      <c r="K425" s="274"/>
    </row>
    <row r="426" spans="2:11" ht="13.5" customHeight="1">
      <c r="B426" s="209" t="s">
        <v>2188</v>
      </c>
      <c r="C426" s="209" t="s">
        <v>3311</v>
      </c>
      <c r="D426" s="408" t="str">
        <f t="shared" si="5"/>
        <v>14-01</v>
      </c>
      <c r="E426" s="273" t="e">
        <f ca="1">_xludf.IFNA(VLOOKUP('Comp X - Kilter'!B426,'Kilter Holds'!$P$37:$AB$662,6,0),0)</f>
        <v>#NAME?</v>
      </c>
      <c r="F426" s="274"/>
      <c r="G426" s="274" t="e">
        <f t="shared" ca="1" si="3"/>
        <v>#NAME?</v>
      </c>
      <c r="H426" s="274">
        <f t="shared" si="4"/>
        <v>0</v>
      </c>
      <c r="K426" s="274"/>
    </row>
    <row r="427" spans="2:11" ht="13.5" customHeight="1">
      <c r="B427" s="209" t="s">
        <v>2188</v>
      </c>
      <c r="C427" s="209" t="s">
        <v>3311</v>
      </c>
      <c r="D427" s="409" t="str">
        <f t="shared" si="5"/>
        <v>15-12</v>
      </c>
      <c r="E427" s="273" t="e">
        <f ca="1">_xludf.IFNA(VLOOKUP('Comp X - Kilter'!B427,'Kilter Holds'!$P$37:$AB$662,7,0),0)</f>
        <v>#NAME?</v>
      </c>
      <c r="F427" s="274"/>
      <c r="G427" s="274" t="e">
        <f t="shared" ca="1" si="3"/>
        <v>#NAME?</v>
      </c>
      <c r="H427" s="274">
        <f t="shared" si="4"/>
        <v>0</v>
      </c>
      <c r="K427" s="274"/>
    </row>
    <row r="428" spans="2:11" ht="13.5" customHeight="1">
      <c r="B428" s="209" t="s">
        <v>2188</v>
      </c>
      <c r="C428" s="209" t="s">
        <v>3311</v>
      </c>
      <c r="D428" s="410" t="str">
        <f t="shared" si="5"/>
        <v>16-16</v>
      </c>
      <c r="E428" s="273" t="e">
        <f ca="1">_xludf.IFNA(VLOOKUP('Comp X - Kilter'!B428,'Kilter Holds'!$P$37:$AB$662,8,0),0)</f>
        <v>#NAME?</v>
      </c>
      <c r="F428" s="274"/>
      <c r="G428" s="274" t="e">
        <f t="shared" ca="1" si="3"/>
        <v>#NAME?</v>
      </c>
      <c r="H428" s="274">
        <f t="shared" si="4"/>
        <v>0</v>
      </c>
      <c r="K428" s="274"/>
    </row>
    <row r="429" spans="2:11" ht="13.5" customHeight="1">
      <c r="B429" s="209" t="s">
        <v>2188</v>
      </c>
      <c r="C429" s="209" t="s">
        <v>3311</v>
      </c>
      <c r="D429" s="411" t="str">
        <f t="shared" si="5"/>
        <v>13-01</v>
      </c>
      <c r="E429" s="273" t="e">
        <f ca="1">_xludf.IFNA(VLOOKUP('Comp X - Kilter'!B429,'Kilter Holds'!$P$37:$AB$662,9,0),0)</f>
        <v>#NAME?</v>
      </c>
      <c r="F429" s="274"/>
      <c r="G429" s="274" t="e">
        <f t="shared" ca="1" si="3"/>
        <v>#NAME?</v>
      </c>
      <c r="H429" s="274">
        <f t="shared" si="4"/>
        <v>0</v>
      </c>
      <c r="K429" s="274"/>
    </row>
    <row r="430" spans="2:11" ht="13.5" customHeight="1">
      <c r="B430" s="209" t="s">
        <v>2188</v>
      </c>
      <c r="C430" s="209" t="s">
        <v>3311</v>
      </c>
      <c r="D430" s="413" t="str">
        <f t="shared" si="5"/>
        <v>07-13</v>
      </c>
      <c r="E430" s="273" t="e">
        <f ca="1">_xludf.IFNA(VLOOKUP('Comp X - Kilter'!B430,'Kilter Holds'!$P$37:$AB$662,10,0),0)</f>
        <v>#NAME?</v>
      </c>
      <c r="F430" s="274"/>
      <c r="G430" s="274" t="e">
        <f t="shared" ca="1" si="3"/>
        <v>#NAME?</v>
      </c>
      <c r="H430" s="274">
        <f t="shared" si="4"/>
        <v>0</v>
      </c>
      <c r="K430" s="274"/>
    </row>
    <row r="431" spans="2:11" ht="13.5" customHeight="1">
      <c r="B431" s="209" t="s">
        <v>2188</v>
      </c>
      <c r="C431" s="209" t="s">
        <v>3311</v>
      </c>
      <c r="D431" s="414" t="str">
        <f t="shared" si="5"/>
        <v>11-26</v>
      </c>
      <c r="E431" s="273" t="e">
        <f ca="1">_xludf.IFNA(VLOOKUP('Comp X - Kilter'!B431,'Kilter Holds'!$P$37:$AB$662,11,0),0)</f>
        <v>#NAME?</v>
      </c>
      <c r="F431" s="274"/>
      <c r="G431" s="274" t="e">
        <f t="shared" ca="1" si="3"/>
        <v>#NAME?</v>
      </c>
      <c r="H431" s="274">
        <f t="shared" si="4"/>
        <v>0</v>
      </c>
      <c r="K431" s="274"/>
    </row>
    <row r="432" spans="2:11" ht="13.5" customHeight="1">
      <c r="B432" s="209" t="s">
        <v>2188</v>
      </c>
      <c r="C432" s="209" t="s">
        <v>3311</v>
      </c>
      <c r="D432" s="415" t="str">
        <f t="shared" si="5"/>
        <v>18-01</v>
      </c>
      <c r="E432" s="273" t="e">
        <f ca="1">_xludf.IFNA(VLOOKUP('Comp X - Kilter'!B432,'Kilter Holds'!$P$37:$AB$662,12,0),0)</f>
        <v>#NAME?</v>
      </c>
      <c r="F432" s="274"/>
      <c r="G432" s="274" t="e">
        <f t="shared" ca="1" si="3"/>
        <v>#NAME?</v>
      </c>
      <c r="H432" s="274">
        <f t="shared" si="4"/>
        <v>0</v>
      </c>
      <c r="K432" s="274"/>
    </row>
    <row r="433" spans="2:11" ht="13.5" customHeight="1">
      <c r="B433" s="209" t="s">
        <v>2188</v>
      </c>
      <c r="C433" s="209" t="s">
        <v>3311</v>
      </c>
      <c r="D433" s="416" t="str">
        <f t="shared" si="5"/>
        <v>Color Code</v>
      </c>
      <c r="E433" s="273" t="e">
        <f ca="1">_xludf.IFNA(VLOOKUP('Comp X - Kilter'!B433,'Kilter Holds'!$P$37:$AB$662,13,0),0)</f>
        <v>#NAME?</v>
      </c>
      <c r="F433" s="274"/>
      <c r="G433" s="274" t="e">
        <f t="shared" ca="1" si="3"/>
        <v>#NAME?</v>
      </c>
      <c r="H433" s="274">
        <f t="shared" si="4"/>
        <v>0</v>
      </c>
      <c r="K433" s="274"/>
    </row>
    <row r="434" spans="2:11" ht="13.5" customHeight="1">
      <c r="B434" s="209" t="s">
        <v>2189</v>
      </c>
      <c r="C434" s="209" t="s">
        <v>3312</v>
      </c>
      <c r="D434" s="406" t="str">
        <f t="shared" si="5"/>
        <v>11-12</v>
      </c>
      <c r="E434" s="273" t="e">
        <f ca="1">_xludf.IFNA(VLOOKUP('Comp X - Kilter'!B434,'Kilter Holds'!$P$37:$AB$662,5,0),0)</f>
        <v>#NAME?</v>
      </c>
      <c r="F434" s="274"/>
      <c r="G434" s="274" t="e">
        <f t="shared" ca="1" si="3"/>
        <v>#NAME?</v>
      </c>
      <c r="H434" s="274">
        <f t="shared" si="4"/>
        <v>0</v>
      </c>
      <c r="K434" s="274"/>
    </row>
    <row r="435" spans="2:11" ht="13.5" customHeight="1">
      <c r="B435" s="209" t="s">
        <v>2189</v>
      </c>
      <c r="C435" s="209" t="s">
        <v>3312</v>
      </c>
      <c r="D435" s="408" t="str">
        <f t="shared" si="5"/>
        <v>14-01</v>
      </c>
      <c r="E435" s="273" t="e">
        <f ca="1">_xludf.IFNA(VLOOKUP('Comp X - Kilter'!B435,'Kilter Holds'!$P$37:$AB$662,6,0),0)</f>
        <v>#NAME?</v>
      </c>
      <c r="F435" s="274"/>
      <c r="G435" s="274" t="e">
        <f t="shared" ca="1" si="3"/>
        <v>#NAME?</v>
      </c>
      <c r="H435" s="274">
        <f t="shared" si="4"/>
        <v>0</v>
      </c>
      <c r="K435" s="274"/>
    </row>
    <row r="436" spans="2:11" ht="13.5" customHeight="1">
      <c r="B436" s="209" t="s">
        <v>2189</v>
      </c>
      <c r="C436" s="209" t="s">
        <v>3312</v>
      </c>
      <c r="D436" s="409" t="str">
        <f t="shared" si="5"/>
        <v>15-12</v>
      </c>
      <c r="E436" s="273" t="e">
        <f ca="1">_xludf.IFNA(VLOOKUP('Comp X - Kilter'!B436,'Kilter Holds'!$P$37:$AB$662,7,0),0)</f>
        <v>#NAME?</v>
      </c>
      <c r="F436" s="274"/>
      <c r="G436" s="274" t="e">
        <f t="shared" ca="1" si="3"/>
        <v>#NAME?</v>
      </c>
      <c r="H436" s="274">
        <f t="shared" si="4"/>
        <v>0</v>
      </c>
      <c r="K436" s="274"/>
    </row>
    <row r="437" spans="2:11" ht="13.5" customHeight="1">
      <c r="B437" s="209" t="s">
        <v>2189</v>
      </c>
      <c r="C437" s="209" t="s">
        <v>3312</v>
      </c>
      <c r="D437" s="410" t="str">
        <f t="shared" si="5"/>
        <v>16-16</v>
      </c>
      <c r="E437" s="273" t="e">
        <f ca="1">_xludf.IFNA(VLOOKUP('Comp X - Kilter'!B437,'Kilter Holds'!$P$37:$AB$662,8,0),0)</f>
        <v>#NAME?</v>
      </c>
      <c r="F437" s="274"/>
      <c r="G437" s="274" t="e">
        <f t="shared" ca="1" si="3"/>
        <v>#NAME?</v>
      </c>
      <c r="H437" s="274">
        <f t="shared" si="4"/>
        <v>0</v>
      </c>
      <c r="K437" s="274"/>
    </row>
    <row r="438" spans="2:11" ht="13.5" customHeight="1">
      <c r="B438" s="209" t="s">
        <v>2189</v>
      </c>
      <c r="C438" s="209" t="s">
        <v>3312</v>
      </c>
      <c r="D438" s="411" t="str">
        <f t="shared" si="5"/>
        <v>13-01</v>
      </c>
      <c r="E438" s="273" t="e">
        <f ca="1">_xludf.IFNA(VLOOKUP('Comp X - Kilter'!B438,'Kilter Holds'!$P$37:$AB$662,9,0),0)</f>
        <v>#NAME?</v>
      </c>
      <c r="F438" s="274"/>
      <c r="G438" s="274" t="e">
        <f t="shared" ca="1" si="3"/>
        <v>#NAME?</v>
      </c>
      <c r="H438" s="274">
        <f t="shared" si="4"/>
        <v>0</v>
      </c>
      <c r="K438" s="274"/>
    </row>
    <row r="439" spans="2:11" ht="13.5" customHeight="1">
      <c r="B439" s="209" t="s">
        <v>2189</v>
      </c>
      <c r="C439" s="209" t="s">
        <v>3312</v>
      </c>
      <c r="D439" s="413" t="str">
        <f t="shared" si="5"/>
        <v>07-13</v>
      </c>
      <c r="E439" s="273" t="e">
        <f ca="1">_xludf.IFNA(VLOOKUP('Comp X - Kilter'!B439,'Kilter Holds'!$P$37:$AB$662,10,0),0)</f>
        <v>#NAME?</v>
      </c>
      <c r="F439" s="274"/>
      <c r="G439" s="274" t="e">
        <f t="shared" ca="1" si="3"/>
        <v>#NAME?</v>
      </c>
      <c r="H439" s="274">
        <f t="shared" si="4"/>
        <v>0</v>
      </c>
      <c r="K439" s="274"/>
    </row>
    <row r="440" spans="2:11" ht="13.5" customHeight="1">
      <c r="B440" s="209" t="s">
        <v>2189</v>
      </c>
      <c r="C440" s="209" t="s">
        <v>3312</v>
      </c>
      <c r="D440" s="414" t="str">
        <f t="shared" si="5"/>
        <v>11-26</v>
      </c>
      <c r="E440" s="273" t="e">
        <f ca="1">_xludf.IFNA(VLOOKUP('Comp X - Kilter'!B440,'Kilter Holds'!$P$37:$AB$662,11,0),0)</f>
        <v>#NAME?</v>
      </c>
      <c r="F440" s="274"/>
      <c r="G440" s="274" t="e">
        <f t="shared" ca="1" si="3"/>
        <v>#NAME?</v>
      </c>
      <c r="H440" s="274">
        <f t="shared" si="4"/>
        <v>0</v>
      </c>
      <c r="K440" s="274"/>
    </row>
    <row r="441" spans="2:11" ht="13.5" customHeight="1">
      <c r="B441" s="209" t="s">
        <v>2189</v>
      </c>
      <c r="C441" s="209" t="s">
        <v>3312</v>
      </c>
      <c r="D441" s="415" t="str">
        <f t="shared" si="5"/>
        <v>18-01</v>
      </c>
      <c r="E441" s="273" t="e">
        <f ca="1">_xludf.IFNA(VLOOKUP('Comp X - Kilter'!B441,'Kilter Holds'!$P$37:$AB$662,12,0),0)</f>
        <v>#NAME?</v>
      </c>
      <c r="F441" s="274"/>
      <c r="G441" s="274" t="e">
        <f t="shared" ca="1" si="3"/>
        <v>#NAME?</v>
      </c>
      <c r="H441" s="274">
        <f t="shared" si="4"/>
        <v>0</v>
      </c>
      <c r="K441" s="274"/>
    </row>
    <row r="442" spans="2:11" ht="13.5" customHeight="1">
      <c r="B442" s="209" t="s">
        <v>2189</v>
      </c>
      <c r="C442" s="209" t="s">
        <v>3312</v>
      </c>
      <c r="D442" s="416" t="str">
        <f t="shared" si="5"/>
        <v>Color Code</v>
      </c>
      <c r="E442" s="273" t="e">
        <f ca="1">_xludf.IFNA(VLOOKUP('Comp X - Kilter'!B442,'Kilter Holds'!$P$37:$AB$662,13,0),0)</f>
        <v>#NAME?</v>
      </c>
      <c r="F442" s="274"/>
      <c r="G442" s="274" t="e">
        <f t="shared" ca="1" si="3"/>
        <v>#NAME?</v>
      </c>
      <c r="H442" s="274">
        <f t="shared" si="4"/>
        <v>0</v>
      </c>
      <c r="K442" s="274"/>
    </row>
    <row r="443" spans="2:11" ht="13.5" customHeight="1">
      <c r="B443" s="209" t="s">
        <v>2165</v>
      </c>
      <c r="C443" s="209" t="s">
        <v>3313</v>
      </c>
      <c r="D443" s="406" t="str">
        <f t="shared" si="5"/>
        <v>11-12</v>
      </c>
      <c r="E443" s="273" t="e">
        <f ca="1">_xludf.IFNA(VLOOKUP('Comp X - Kilter'!B443,'Kilter Holds'!$P$37:$AB$662,5,0),0)</f>
        <v>#NAME?</v>
      </c>
      <c r="F443" s="274"/>
      <c r="G443" s="274" t="e">
        <f t="shared" ca="1" si="3"/>
        <v>#NAME?</v>
      </c>
      <c r="H443" s="274">
        <f t="shared" si="4"/>
        <v>0</v>
      </c>
      <c r="K443" s="274"/>
    </row>
    <row r="444" spans="2:11" ht="13.5" customHeight="1">
      <c r="B444" s="209" t="s">
        <v>2165</v>
      </c>
      <c r="C444" s="209" t="s">
        <v>3313</v>
      </c>
      <c r="D444" s="408" t="str">
        <f t="shared" si="5"/>
        <v>14-01</v>
      </c>
      <c r="E444" s="273" t="e">
        <f ca="1">_xludf.IFNA(VLOOKUP('Comp X - Kilter'!B444,'Kilter Holds'!$P$37:$AB$662,6,0),0)</f>
        <v>#NAME?</v>
      </c>
      <c r="F444" s="274"/>
      <c r="G444" s="274" t="e">
        <f t="shared" ca="1" si="3"/>
        <v>#NAME?</v>
      </c>
      <c r="H444" s="274">
        <f t="shared" si="4"/>
        <v>0</v>
      </c>
      <c r="K444" s="274"/>
    </row>
    <row r="445" spans="2:11" ht="13.5" customHeight="1">
      <c r="B445" s="209" t="s">
        <v>2165</v>
      </c>
      <c r="C445" s="209" t="s">
        <v>3313</v>
      </c>
      <c r="D445" s="409" t="str">
        <f t="shared" si="5"/>
        <v>15-12</v>
      </c>
      <c r="E445" s="273" t="e">
        <f ca="1">_xludf.IFNA(VLOOKUP('Comp X - Kilter'!B445,'Kilter Holds'!$P$37:$AB$662,7,0),0)</f>
        <v>#NAME?</v>
      </c>
      <c r="F445" s="274"/>
      <c r="G445" s="274" t="e">
        <f t="shared" ca="1" si="3"/>
        <v>#NAME?</v>
      </c>
      <c r="H445" s="274">
        <f t="shared" si="4"/>
        <v>0</v>
      </c>
      <c r="K445" s="274"/>
    </row>
    <row r="446" spans="2:11" ht="13.5" customHeight="1">
      <c r="B446" s="209" t="s">
        <v>2165</v>
      </c>
      <c r="C446" s="209" t="s">
        <v>3313</v>
      </c>
      <c r="D446" s="410" t="str">
        <f t="shared" si="5"/>
        <v>16-16</v>
      </c>
      <c r="E446" s="273" t="e">
        <f ca="1">_xludf.IFNA(VLOOKUP('Comp X - Kilter'!B446,'Kilter Holds'!$P$37:$AB$662,8,0),0)</f>
        <v>#NAME?</v>
      </c>
      <c r="F446" s="274"/>
      <c r="G446" s="274" t="e">
        <f t="shared" ca="1" si="3"/>
        <v>#NAME?</v>
      </c>
      <c r="H446" s="274">
        <f t="shared" si="4"/>
        <v>0</v>
      </c>
      <c r="K446" s="274"/>
    </row>
    <row r="447" spans="2:11" ht="13.5" customHeight="1">
      <c r="B447" s="209" t="s">
        <v>2165</v>
      </c>
      <c r="C447" s="209" t="s">
        <v>3313</v>
      </c>
      <c r="D447" s="411" t="str">
        <f t="shared" si="5"/>
        <v>13-01</v>
      </c>
      <c r="E447" s="273" t="e">
        <f ca="1">_xludf.IFNA(VLOOKUP('Comp X - Kilter'!B447,'Kilter Holds'!$P$37:$AB$662,9,0),0)</f>
        <v>#NAME?</v>
      </c>
      <c r="F447" s="274"/>
      <c r="G447" s="274" t="e">
        <f t="shared" ca="1" si="3"/>
        <v>#NAME?</v>
      </c>
      <c r="H447" s="274">
        <f t="shared" si="4"/>
        <v>0</v>
      </c>
      <c r="K447" s="274"/>
    </row>
    <row r="448" spans="2:11" ht="13.5" customHeight="1">
      <c r="B448" s="209" t="s">
        <v>2165</v>
      </c>
      <c r="C448" s="209" t="s">
        <v>3313</v>
      </c>
      <c r="D448" s="413" t="str">
        <f t="shared" si="5"/>
        <v>07-13</v>
      </c>
      <c r="E448" s="273" t="e">
        <f ca="1">_xludf.IFNA(VLOOKUP('Comp X - Kilter'!B448,'Kilter Holds'!$P$37:$AB$662,10,0),0)</f>
        <v>#NAME?</v>
      </c>
      <c r="F448" s="274"/>
      <c r="G448" s="274" t="e">
        <f t="shared" ca="1" si="3"/>
        <v>#NAME?</v>
      </c>
      <c r="H448" s="274">
        <f t="shared" si="4"/>
        <v>0</v>
      </c>
      <c r="K448" s="274"/>
    </row>
    <row r="449" spans="2:11" ht="13.5" customHeight="1">
      <c r="B449" s="209" t="s">
        <v>2165</v>
      </c>
      <c r="C449" s="209" t="s">
        <v>3313</v>
      </c>
      <c r="D449" s="414" t="str">
        <f t="shared" si="5"/>
        <v>11-26</v>
      </c>
      <c r="E449" s="273" t="e">
        <f ca="1">_xludf.IFNA(VLOOKUP('Comp X - Kilter'!B449,'Kilter Holds'!$P$37:$AB$662,11,0),0)</f>
        <v>#NAME?</v>
      </c>
      <c r="F449" s="274"/>
      <c r="G449" s="274" t="e">
        <f t="shared" ca="1" si="3"/>
        <v>#NAME?</v>
      </c>
      <c r="H449" s="274">
        <f t="shared" si="4"/>
        <v>0</v>
      </c>
      <c r="K449" s="274"/>
    </row>
    <row r="450" spans="2:11" ht="13.5" customHeight="1">
      <c r="B450" s="209" t="s">
        <v>2165</v>
      </c>
      <c r="C450" s="209" t="s">
        <v>3313</v>
      </c>
      <c r="D450" s="415" t="str">
        <f t="shared" si="5"/>
        <v>18-01</v>
      </c>
      <c r="E450" s="273" t="e">
        <f ca="1">_xludf.IFNA(VLOOKUP('Comp X - Kilter'!B450,'Kilter Holds'!$P$37:$AB$662,12,0),0)</f>
        <v>#NAME?</v>
      </c>
      <c r="F450" s="274"/>
      <c r="G450" s="274" t="e">
        <f t="shared" ca="1" si="3"/>
        <v>#NAME?</v>
      </c>
      <c r="H450" s="274">
        <f t="shared" si="4"/>
        <v>0</v>
      </c>
      <c r="K450" s="274"/>
    </row>
    <row r="451" spans="2:11" ht="13.5" customHeight="1">
      <c r="B451" s="209" t="s">
        <v>2165</v>
      </c>
      <c r="C451" s="209" t="s">
        <v>3313</v>
      </c>
      <c r="D451" s="416" t="str">
        <f t="shared" si="5"/>
        <v>Color Code</v>
      </c>
      <c r="E451" s="273" t="e">
        <f ca="1">_xludf.IFNA(VLOOKUP('Comp X - Kilter'!B451,'Kilter Holds'!$P$37:$AB$662,13,0),0)</f>
        <v>#NAME?</v>
      </c>
      <c r="F451" s="274"/>
      <c r="G451" s="274" t="e">
        <f t="shared" ca="1" si="3"/>
        <v>#NAME?</v>
      </c>
      <c r="H451" s="274">
        <f t="shared" si="4"/>
        <v>0</v>
      </c>
      <c r="K451" s="274"/>
    </row>
    <row r="452" spans="2:11" ht="13.5" customHeight="1">
      <c r="B452" s="209" t="s">
        <v>2166</v>
      </c>
      <c r="C452" s="209" t="s">
        <v>3314</v>
      </c>
      <c r="D452" s="406" t="str">
        <f t="shared" si="5"/>
        <v>11-12</v>
      </c>
      <c r="E452" s="273" t="e">
        <f ca="1">_xludf.IFNA(VLOOKUP('Comp X - Kilter'!B452,'Kilter Holds'!$P$37:$AB$662,5,0),0)</f>
        <v>#NAME?</v>
      </c>
      <c r="F452" s="274"/>
      <c r="G452" s="274" t="e">
        <f t="shared" ca="1" si="3"/>
        <v>#NAME?</v>
      </c>
      <c r="H452" s="274">
        <f t="shared" si="4"/>
        <v>0</v>
      </c>
      <c r="K452" s="274"/>
    </row>
    <row r="453" spans="2:11" ht="13.5" customHeight="1">
      <c r="B453" s="209" t="s">
        <v>2166</v>
      </c>
      <c r="C453" s="209" t="s">
        <v>3314</v>
      </c>
      <c r="D453" s="408" t="str">
        <f t="shared" si="5"/>
        <v>14-01</v>
      </c>
      <c r="E453" s="273" t="e">
        <f ca="1">_xludf.IFNA(VLOOKUP('Comp X - Kilter'!B453,'Kilter Holds'!$P$37:$AB$662,6,0),0)</f>
        <v>#NAME?</v>
      </c>
      <c r="F453" s="274"/>
      <c r="G453" s="274" t="e">
        <f t="shared" ca="1" si="3"/>
        <v>#NAME?</v>
      </c>
      <c r="H453" s="274">
        <f t="shared" si="4"/>
        <v>0</v>
      </c>
      <c r="K453" s="274"/>
    </row>
    <row r="454" spans="2:11" ht="13.5" customHeight="1">
      <c r="B454" s="209" t="s">
        <v>2166</v>
      </c>
      <c r="C454" s="209" t="s">
        <v>3314</v>
      </c>
      <c r="D454" s="409" t="str">
        <f t="shared" si="5"/>
        <v>15-12</v>
      </c>
      <c r="E454" s="273" t="e">
        <f ca="1">_xludf.IFNA(VLOOKUP('Comp X - Kilter'!B454,'Kilter Holds'!$P$37:$AB$662,7,0),0)</f>
        <v>#NAME?</v>
      </c>
      <c r="F454" s="274"/>
      <c r="G454" s="274" t="e">
        <f t="shared" ca="1" si="3"/>
        <v>#NAME?</v>
      </c>
      <c r="H454" s="274">
        <f t="shared" si="4"/>
        <v>0</v>
      </c>
      <c r="K454" s="274"/>
    </row>
    <row r="455" spans="2:11" ht="13.5" customHeight="1">
      <c r="B455" s="209" t="s">
        <v>2166</v>
      </c>
      <c r="C455" s="209" t="s">
        <v>3314</v>
      </c>
      <c r="D455" s="410" t="str">
        <f t="shared" si="5"/>
        <v>16-16</v>
      </c>
      <c r="E455" s="273" t="e">
        <f ca="1">_xludf.IFNA(VLOOKUP('Comp X - Kilter'!B455,'Kilter Holds'!$P$37:$AB$662,8,0),0)</f>
        <v>#NAME?</v>
      </c>
      <c r="F455" s="274"/>
      <c r="G455" s="274" t="e">
        <f t="shared" ca="1" si="3"/>
        <v>#NAME?</v>
      </c>
      <c r="H455" s="274">
        <f t="shared" si="4"/>
        <v>0</v>
      </c>
      <c r="K455" s="274"/>
    </row>
    <row r="456" spans="2:11" ht="13.5" customHeight="1">
      <c r="B456" s="209" t="s">
        <v>2166</v>
      </c>
      <c r="C456" s="209" t="s">
        <v>3314</v>
      </c>
      <c r="D456" s="411" t="str">
        <f t="shared" si="5"/>
        <v>13-01</v>
      </c>
      <c r="E456" s="273" t="e">
        <f ca="1">_xludf.IFNA(VLOOKUP('Comp X - Kilter'!B456,'Kilter Holds'!$P$37:$AB$662,9,0),0)</f>
        <v>#NAME?</v>
      </c>
      <c r="F456" s="274"/>
      <c r="G456" s="274" t="e">
        <f t="shared" ca="1" si="3"/>
        <v>#NAME?</v>
      </c>
      <c r="H456" s="274">
        <f t="shared" si="4"/>
        <v>0</v>
      </c>
      <c r="K456" s="274"/>
    </row>
    <row r="457" spans="2:11" ht="13.5" customHeight="1">
      <c r="B457" s="209" t="s">
        <v>2166</v>
      </c>
      <c r="C457" s="209" t="s">
        <v>3314</v>
      </c>
      <c r="D457" s="413" t="str">
        <f t="shared" si="5"/>
        <v>07-13</v>
      </c>
      <c r="E457" s="273" t="e">
        <f ca="1">_xludf.IFNA(VLOOKUP('Comp X - Kilter'!B457,'Kilter Holds'!$P$37:$AB$662,10,0),0)</f>
        <v>#NAME?</v>
      </c>
      <c r="F457" s="274"/>
      <c r="G457" s="274" t="e">
        <f t="shared" ca="1" si="3"/>
        <v>#NAME?</v>
      </c>
      <c r="H457" s="274">
        <f t="shared" si="4"/>
        <v>0</v>
      </c>
      <c r="K457" s="274"/>
    </row>
    <row r="458" spans="2:11" ht="13.5" customHeight="1">
      <c r="B458" s="209" t="s">
        <v>2166</v>
      </c>
      <c r="C458" s="209" t="s">
        <v>3314</v>
      </c>
      <c r="D458" s="414" t="str">
        <f t="shared" si="5"/>
        <v>11-26</v>
      </c>
      <c r="E458" s="273" t="e">
        <f ca="1">_xludf.IFNA(VLOOKUP('Comp X - Kilter'!B458,'Kilter Holds'!$P$37:$AB$662,11,0),0)</f>
        <v>#NAME?</v>
      </c>
      <c r="F458" s="274"/>
      <c r="G458" s="274" t="e">
        <f t="shared" ca="1" si="3"/>
        <v>#NAME?</v>
      </c>
      <c r="H458" s="274">
        <f t="shared" si="4"/>
        <v>0</v>
      </c>
      <c r="K458" s="274"/>
    </row>
    <row r="459" spans="2:11" ht="13.5" customHeight="1">
      <c r="B459" s="209" t="s">
        <v>2166</v>
      </c>
      <c r="C459" s="209" t="s">
        <v>3314</v>
      </c>
      <c r="D459" s="415" t="str">
        <f t="shared" si="5"/>
        <v>18-01</v>
      </c>
      <c r="E459" s="273" t="e">
        <f ca="1">_xludf.IFNA(VLOOKUP('Comp X - Kilter'!B459,'Kilter Holds'!$P$37:$AB$662,12,0),0)</f>
        <v>#NAME?</v>
      </c>
      <c r="F459" s="274"/>
      <c r="G459" s="274" t="e">
        <f t="shared" ca="1" si="3"/>
        <v>#NAME?</v>
      </c>
      <c r="H459" s="274">
        <f t="shared" si="4"/>
        <v>0</v>
      </c>
      <c r="K459" s="274"/>
    </row>
    <row r="460" spans="2:11" ht="13.5" customHeight="1">
      <c r="B460" s="209" t="s">
        <v>2166</v>
      </c>
      <c r="C460" s="209" t="s">
        <v>3314</v>
      </c>
      <c r="D460" s="416" t="str">
        <f t="shared" si="5"/>
        <v>Color Code</v>
      </c>
      <c r="E460" s="273" t="e">
        <f ca="1">_xludf.IFNA(VLOOKUP('Comp X - Kilter'!B460,'Kilter Holds'!$P$37:$AB$662,13,0),0)</f>
        <v>#NAME?</v>
      </c>
      <c r="F460" s="274"/>
      <c r="G460" s="274" t="e">
        <f t="shared" ca="1" si="3"/>
        <v>#NAME?</v>
      </c>
      <c r="H460" s="274">
        <f t="shared" si="4"/>
        <v>0</v>
      </c>
      <c r="K460" s="274"/>
    </row>
    <row r="461" spans="2:11" ht="13.5" customHeight="1">
      <c r="B461" s="209" t="s">
        <v>2118</v>
      </c>
      <c r="C461" s="209" t="s">
        <v>3315</v>
      </c>
      <c r="D461" s="406" t="str">
        <f t="shared" ref="D461:D469" si="6">D434</f>
        <v>11-12</v>
      </c>
      <c r="E461" s="273" t="e">
        <f ca="1">_xludf.IFNA(VLOOKUP('Comp X - Kilter'!B461,'Kilter Holds'!$P$37:$AB$662,5,0),0)</f>
        <v>#NAME?</v>
      </c>
      <c r="F461" s="274"/>
      <c r="G461" s="274" t="e">
        <f t="shared" ca="1" si="3"/>
        <v>#NAME?</v>
      </c>
      <c r="H461" s="274">
        <f t="shared" si="4"/>
        <v>0</v>
      </c>
      <c r="K461" s="274"/>
    </row>
    <row r="462" spans="2:11" ht="13.5" customHeight="1">
      <c r="B462" s="209" t="s">
        <v>2118</v>
      </c>
      <c r="C462" s="209" t="s">
        <v>3315</v>
      </c>
      <c r="D462" s="408" t="str">
        <f t="shared" si="6"/>
        <v>14-01</v>
      </c>
      <c r="E462" s="273" t="e">
        <f ca="1">_xludf.IFNA(VLOOKUP('Comp X - Kilter'!B462,'Kilter Holds'!$P$37:$AB$662,6,0),0)</f>
        <v>#NAME?</v>
      </c>
      <c r="F462" s="274"/>
      <c r="G462" s="274" t="e">
        <f t="shared" ca="1" si="3"/>
        <v>#NAME?</v>
      </c>
      <c r="H462" s="274">
        <f t="shared" si="4"/>
        <v>0</v>
      </c>
      <c r="K462" s="274"/>
    </row>
    <row r="463" spans="2:11" ht="13.5" customHeight="1">
      <c r="B463" s="209" t="s">
        <v>2118</v>
      </c>
      <c r="C463" s="209" t="s">
        <v>3315</v>
      </c>
      <c r="D463" s="409" t="str">
        <f t="shared" si="6"/>
        <v>15-12</v>
      </c>
      <c r="E463" s="273" t="e">
        <f ca="1">_xludf.IFNA(VLOOKUP('Comp X - Kilter'!B463,'Kilter Holds'!$P$37:$AB$662,7,0),0)</f>
        <v>#NAME?</v>
      </c>
      <c r="F463" s="274"/>
      <c r="G463" s="274" t="e">
        <f t="shared" ca="1" si="3"/>
        <v>#NAME?</v>
      </c>
      <c r="H463" s="274">
        <f t="shared" si="4"/>
        <v>0</v>
      </c>
      <c r="K463" s="274"/>
    </row>
    <row r="464" spans="2:11" ht="13.5" customHeight="1">
      <c r="B464" s="209" t="s">
        <v>2118</v>
      </c>
      <c r="C464" s="209" t="s">
        <v>3315</v>
      </c>
      <c r="D464" s="410" t="str">
        <f t="shared" si="6"/>
        <v>16-16</v>
      </c>
      <c r="E464" s="273" t="e">
        <f ca="1">_xludf.IFNA(VLOOKUP('Comp X - Kilter'!B464,'Kilter Holds'!$P$37:$AB$662,8,0),0)</f>
        <v>#NAME?</v>
      </c>
      <c r="F464" s="274"/>
      <c r="G464" s="274" t="e">
        <f t="shared" ca="1" si="3"/>
        <v>#NAME?</v>
      </c>
      <c r="H464" s="274">
        <f t="shared" si="4"/>
        <v>0</v>
      </c>
      <c r="K464" s="274"/>
    </row>
    <row r="465" spans="2:11" ht="13.5" customHeight="1">
      <c r="B465" s="209" t="s">
        <v>2118</v>
      </c>
      <c r="C465" s="209" t="s">
        <v>3315</v>
      </c>
      <c r="D465" s="411" t="str">
        <f t="shared" si="6"/>
        <v>13-01</v>
      </c>
      <c r="E465" s="273" t="e">
        <f ca="1">_xludf.IFNA(VLOOKUP('Comp X - Kilter'!B465,'Kilter Holds'!$P$37:$AB$662,9,0),0)</f>
        <v>#NAME?</v>
      </c>
      <c r="F465" s="274"/>
      <c r="G465" s="274" t="e">
        <f t="shared" ca="1" si="3"/>
        <v>#NAME?</v>
      </c>
      <c r="H465" s="274">
        <f t="shared" si="4"/>
        <v>0</v>
      </c>
      <c r="K465" s="274"/>
    </row>
    <row r="466" spans="2:11" ht="13.5" customHeight="1">
      <c r="B466" s="209" t="s">
        <v>2118</v>
      </c>
      <c r="C466" s="209" t="s">
        <v>3315</v>
      </c>
      <c r="D466" s="413" t="str">
        <f t="shared" si="6"/>
        <v>07-13</v>
      </c>
      <c r="E466" s="273" t="e">
        <f ca="1">_xludf.IFNA(VLOOKUP('Comp X - Kilter'!B466,'Kilter Holds'!$P$37:$AB$662,10,0),0)</f>
        <v>#NAME?</v>
      </c>
      <c r="F466" s="274"/>
      <c r="G466" s="274" t="e">
        <f t="shared" ca="1" si="3"/>
        <v>#NAME?</v>
      </c>
      <c r="H466" s="274">
        <f t="shared" si="4"/>
        <v>0</v>
      </c>
      <c r="K466" s="274"/>
    </row>
    <row r="467" spans="2:11" ht="13.5" customHeight="1">
      <c r="B467" s="209" t="s">
        <v>2118</v>
      </c>
      <c r="C467" s="209" t="s">
        <v>3315</v>
      </c>
      <c r="D467" s="414" t="str">
        <f t="shared" si="6"/>
        <v>11-26</v>
      </c>
      <c r="E467" s="273" t="e">
        <f ca="1">_xludf.IFNA(VLOOKUP('Comp X - Kilter'!B467,'Kilter Holds'!$P$37:$AB$662,11,0),0)</f>
        <v>#NAME?</v>
      </c>
      <c r="F467" s="274"/>
      <c r="G467" s="274" t="e">
        <f t="shared" ca="1" si="3"/>
        <v>#NAME?</v>
      </c>
      <c r="H467" s="274">
        <f t="shared" si="4"/>
        <v>0</v>
      </c>
      <c r="K467" s="274"/>
    </row>
    <row r="468" spans="2:11" ht="13.5" customHeight="1">
      <c r="B468" s="209" t="s">
        <v>2118</v>
      </c>
      <c r="C468" s="209" t="s">
        <v>3315</v>
      </c>
      <c r="D468" s="415" t="str">
        <f t="shared" si="6"/>
        <v>18-01</v>
      </c>
      <c r="E468" s="273" t="e">
        <f ca="1">_xludf.IFNA(VLOOKUP('Comp X - Kilter'!B468,'Kilter Holds'!$P$37:$AB$662,12,0),0)</f>
        <v>#NAME?</v>
      </c>
      <c r="F468" s="274"/>
      <c r="G468" s="274" t="e">
        <f t="shared" ca="1" si="3"/>
        <v>#NAME?</v>
      </c>
      <c r="H468" s="274">
        <f t="shared" si="4"/>
        <v>0</v>
      </c>
      <c r="K468" s="274"/>
    </row>
    <row r="469" spans="2:11" ht="13.5" customHeight="1">
      <c r="B469" s="209" t="s">
        <v>2118</v>
      </c>
      <c r="C469" s="209" t="s">
        <v>3315</v>
      </c>
      <c r="D469" s="416" t="str">
        <f t="shared" si="6"/>
        <v>Color Code</v>
      </c>
      <c r="E469" s="273" t="e">
        <f ca="1">_xludf.IFNA(VLOOKUP('Comp X - Kilter'!B469,'Kilter Holds'!$P$37:$AB$662,13,0),0)</f>
        <v>#NAME?</v>
      </c>
      <c r="F469" s="274"/>
      <c r="G469" s="274" t="e">
        <f t="shared" ca="1" si="3"/>
        <v>#NAME?</v>
      </c>
      <c r="H469" s="274">
        <f t="shared" si="4"/>
        <v>0</v>
      </c>
      <c r="K469" s="274"/>
    </row>
    <row r="470" spans="2:11" ht="13.5" customHeight="1">
      <c r="B470" s="209" t="s">
        <v>2167</v>
      </c>
      <c r="C470" s="209" t="s">
        <v>3316</v>
      </c>
      <c r="D470" s="406" t="str">
        <f t="shared" ref="D470:D550" si="7">D461</f>
        <v>11-12</v>
      </c>
      <c r="E470" s="273" t="e">
        <f ca="1">_xludf.IFNA(VLOOKUP('Comp X - Kilter'!B470,'Kilter Holds'!$P$37:$AB$662,5,0),0)</f>
        <v>#NAME?</v>
      </c>
      <c r="F470" s="274"/>
      <c r="G470" s="274" t="e">
        <f t="shared" ca="1" si="3"/>
        <v>#NAME?</v>
      </c>
      <c r="H470" s="274">
        <f t="shared" si="4"/>
        <v>0</v>
      </c>
      <c r="K470" s="274"/>
    </row>
    <row r="471" spans="2:11" ht="13.5" customHeight="1">
      <c r="B471" s="209" t="s">
        <v>2167</v>
      </c>
      <c r="C471" s="209" t="s">
        <v>3316</v>
      </c>
      <c r="D471" s="408" t="str">
        <f t="shared" si="7"/>
        <v>14-01</v>
      </c>
      <c r="E471" s="273" t="e">
        <f ca="1">_xludf.IFNA(VLOOKUP('Comp X - Kilter'!B471,'Kilter Holds'!$P$37:$AB$662,6,0),0)</f>
        <v>#NAME?</v>
      </c>
      <c r="F471" s="274"/>
      <c r="G471" s="274" t="e">
        <f t="shared" ca="1" si="3"/>
        <v>#NAME?</v>
      </c>
      <c r="H471" s="274">
        <f t="shared" si="4"/>
        <v>0</v>
      </c>
      <c r="K471" s="274"/>
    </row>
    <row r="472" spans="2:11" ht="13.5" customHeight="1">
      <c r="B472" s="209" t="s">
        <v>2167</v>
      </c>
      <c r="C472" s="209" t="s">
        <v>3316</v>
      </c>
      <c r="D472" s="409" t="str">
        <f t="shared" si="7"/>
        <v>15-12</v>
      </c>
      <c r="E472" s="273" t="e">
        <f ca="1">_xludf.IFNA(VLOOKUP('Comp X - Kilter'!B472,'Kilter Holds'!$P$37:$AB$662,7,0),0)</f>
        <v>#NAME?</v>
      </c>
      <c r="F472" s="274"/>
      <c r="G472" s="274" t="e">
        <f t="shared" ca="1" si="3"/>
        <v>#NAME?</v>
      </c>
      <c r="H472" s="274">
        <f t="shared" si="4"/>
        <v>0</v>
      </c>
      <c r="K472" s="274"/>
    </row>
    <row r="473" spans="2:11" ht="13.5" customHeight="1">
      <c r="B473" s="209" t="s">
        <v>2167</v>
      </c>
      <c r="C473" s="209" t="s">
        <v>3316</v>
      </c>
      <c r="D473" s="410" t="str">
        <f t="shared" si="7"/>
        <v>16-16</v>
      </c>
      <c r="E473" s="273" t="e">
        <f ca="1">_xludf.IFNA(VLOOKUP('Comp X - Kilter'!B473,'Kilter Holds'!$P$37:$AB$662,8,0),0)</f>
        <v>#NAME?</v>
      </c>
      <c r="F473" s="274"/>
      <c r="G473" s="274" t="e">
        <f t="shared" ca="1" si="3"/>
        <v>#NAME?</v>
      </c>
      <c r="H473" s="274">
        <f t="shared" si="4"/>
        <v>0</v>
      </c>
      <c r="K473" s="274"/>
    </row>
    <row r="474" spans="2:11" ht="13.5" customHeight="1">
      <c r="B474" s="209" t="s">
        <v>2167</v>
      </c>
      <c r="C474" s="209" t="s">
        <v>3316</v>
      </c>
      <c r="D474" s="411" t="str">
        <f t="shared" si="7"/>
        <v>13-01</v>
      </c>
      <c r="E474" s="273" t="e">
        <f ca="1">_xludf.IFNA(VLOOKUP('Comp X - Kilter'!B474,'Kilter Holds'!$P$37:$AB$662,9,0),0)</f>
        <v>#NAME?</v>
      </c>
      <c r="F474" s="274"/>
      <c r="G474" s="274" t="e">
        <f t="shared" ca="1" si="3"/>
        <v>#NAME?</v>
      </c>
      <c r="H474" s="274">
        <f t="shared" si="4"/>
        <v>0</v>
      </c>
      <c r="K474" s="274"/>
    </row>
    <row r="475" spans="2:11" ht="13.5" customHeight="1">
      <c r="B475" s="209" t="s">
        <v>2167</v>
      </c>
      <c r="C475" s="209" t="s">
        <v>3316</v>
      </c>
      <c r="D475" s="413" t="str">
        <f t="shared" si="7"/>
        <v>07-13</v>
      </c>
      <c r="E475" s="273" t="e">
        <f ca="1">_xludf.IFNA(VLOOKUP('Comp X - Kilter'!B475,'Kilter Holds'!$P$37:$AB$662,10,0),0)</f>
        <v>#NAME?</v>
      </c>
      <c r="F475" s="274"/>
      <c r="G475" s="274" t="e">
        <f t="shared" ca="1" si="3"/>
        <v>#NAME?</v>
      </c>
      <c r="H475" s="274">
        <f t="shared" si="4"/>
        <v>0</v>
      </c>
      <c r="K475" s="274"/>
    </row>
    <row r="476" spans="2:11" ht="13.5" customHeight="1">
      <c r="B476" s="209" t="s">
        <v>2167</v>
      </c>
      <c r="C476" s="209" t="s">
        <v>3316</v>
      </c>
      <c r="D476" s="414" t="str">
        <f t="shared" si="7"/>
        <v>11-26</v>
      </c>
      <c r="E476" s="273" t="e">
        <f ca="1">_xludf.IFNA(VLOOKUP('Comp X - Kilter'!B476,'Kilter Holds'!$P$37:$AB$662,11,0),0)</f>
        <v>#NAME?</v>
      </c>
      <c r="F476" s="274"/>
      <c r="G476" s="274" t="e">
        <f t="shared" ca="1" si="3"/>
        <v>#NAME?</v>
      </c>
      <c r="H476" s="274">
        <f t="shared" si="4"/>
        <v>0</v>
      </c>
      <c r="K476" s="274"/>
    </row>
    <row r="477" spans="2:11" ht="13.5" customHeight="1">
      <c r="B477" s="209" t="s">
        <v>2167</v>
      </c>
      <c r="C477" s="209" t="s">
        <v>3316</v>
      </c>
      <c r="D477" s="415" t="str">
        <f t="shared" si="7"/>
        <v>18-01</v>
      </c>
      <c r="E477" s="273" t="e">
        <f ca="1">_xludf.IFNA(VLOOKUP('Comp X - Kilter'!B477,'Kilter Holds'!$P$37:$AB$662,12,0),0)</f>
        <v>#NAME?</v>
      </c>
      <c r="F477" s="274"/>
      <c r="G477" s="274" t="e">
        <f t="shared" ca="1" si="3"/>
        <v>#NAME?</v>
      </c>
      <c r="H477" s="274">
        <f t="shared" si="4"/>
        <v>0</v>
      </c>
      <c r="K477" s="274"/>
    </row>
    <row r="478" spans="2:11" ht="13.5" customHeight="1">
      <c r="B478" s="209" t="s">
        <v>2167</v>
      </c>
      <c r="C478" s="209" t="s">
        <v>3316</v>
      </c>
      <c r="D478" s="416" t="str">
        <f t="shared" si="7"/>
        <v>Color Code</v>
      </c>
      <c r="E478" s="273" t="e">
        <f ca="1">_xludf.IFNA(VLOOKUP('Comp X - Kilter'!B478,'Kilter Holds'!$P$37:$AB$662,13,0),0)</f>
        <v>#NAME?</v>
      </c>
      <c r="F478" s="274"/>
      <c r="G478" s="274" t="e">
        <f t="shared" ca="1" si="3"/>
        <v>#NAME?</v>
      </c>
      <c r="H478" s="274">
        <f t="shared" si="4"/>
        <v>0</v>
      </c>
      <c r="K478" s="274"/>
    </row>
    <row r="479" spans="2:11" ht="13.5" customHeight="1">
      <c r="B479" s="209" t="s">
        <v>2168</v>
      </c>
      <c r="C479" s="209" t="s">
        <v>3317</v>
      </c>
      <c r="D479" s="406" t="str">
        <f t="shared" si="7"/>
        <v>11-12</v>
      </c>
      <c r="E479" s="273" t="e">
        <f ca="1">_xludf.IFNA(VLOOKUP('Comp X - Kilter'!B479,'Kilter Holds'!$P$37:$AB$662,5,0),0)</f>
        <v>#NAME?</v>
      </c>
      <c r="F479" s="274"/>
      <c r="G479" s="274" t="e">
        <f t="shared" ca="1" si="3"/>
        <v>#NAME?</v>
      </c>
      <c r="H479" s="274">
        <f t="shared" si="4"/>
        <v>0</v>
      </c>
      <c r="K479" s="274"/>
    </row>
    <row r="480" spans="2:11" ht="13.5" customHeight="1">
      <c r="B480" s="209" t="s">
        <v>2168</v>
      </c>
      <c r="C480" s="209" t="s">
        <v>3317</v>
      </c>
      <c r="D480" s="408" t="str">
        <f t="shared" si="7"/>
        <v>14-01</v>
      </c>
      <c r="E480" s="273" t="e">
        <f ca="1">_xludf.IFNA(VLOOKUP('Comp X - Kilter'!B480,'Kilter Holds'!$P$37:$AB$662,6,0),0)</f>
        <v>#NAME?</v>
      </c>
      <c r="F480" s="274"/>
      <c r="G480" s="274" t="e">
        <f t="shared" ca="1" si="3"/>
        <v>#NAME?</v>
      </c>
      <c r="H480" s="274">
        <f t="shared" si="4"/>
        <v>0</v>
      </c>
      <c r="K480" s="274"/>
    </row>
    <row r="481" spans="2:11" ht="13.5" customHeight="1">
      <c r="B481" s="209" t="s">
        <v>2168</v>
      </c>
      <c r="C481" s="209" t="s">
        <v>3317</v>
      </c>
      <c r="D481" s="409" t="str">
        <f t="shared" si="7"/>
        <v>15-12</v>
      </c>
      <c r="E481" s="273" t="e">
        <f ca="1">_xludf.IFNA(VLOOKUP('Comp X - Kilter'!B481,'Kilter Holds'!$P$37:$AB$662,7,0),0)</f>
        <v>#NAME?</v>
      </c>
      <c r="F481" s="274"/>
      <c r="G481" s="274" t="e">
        <f t="shared" ca="1" si="3"/>
        <v>#NAME?</v>
      </c>
      <c r="H481" s="274">
        <f t="shared" si="4"/>
        <v>0</v>
      </c>
      <c r="K481" s="274"/>
    </row>
    <row r="482" spans="2:11" ht="13.5" customHeight="1">
      <c r="B482" s="209" t="s">
        <v>2168</v>
      </c>
      <c r="C482" s="209" t="s">
        <v>3317</v>
      </c>
      <c r="D482" s="410" t="str">
        <f t="shared" si="7"/>
        <v>16-16</v>
      </c>
      <c r="E482" s="273" t="e">
        <f ca="1">_xludf.IFNA(VLOOKUP('Comp X - Kilter'!B482,'Kilter Holds'!$P$37:$AB$662,8,0),0)</f>
        <v>#NAME?</v>
      </c>
      <c r="F482" s="274"/>
      <c r="G482" s="274" t="e">
        <f t="shared" ca="1" si="3"/>
        <v>#NAME?</v>
      </c>
      <c r="H482" s="274">
        <f t="shared" si="4"/>
        <v>0</v>
      </c>
      <c r="K482" s="274"/>
    </row>
    <row r="483" spans="2:11" ht="13.5" customHeight="1">
      <c r="B483" s="209" t="s">
        <v>2168</v>
      </c>
      <c r="C483" s="209" t="s">
        <v>3317</v>
      </c>
      <c r="D483" s="411" t="str">
        <f t="shared" si="7"/>
        <v>13-01</v>
      </c>
      <c r="E483" s="273" t="e">
        <f ca="1">_xludf.IFNA(VLOOKUP('Comp X - Kilter'!B483,'Kilter Holds'!$P$37:$AB$662,9,0),0)</f>
        <v>#NAME?</v>
      </c>
      <c r="F483" s="274"/>
      <c r="G483" s="274" t="e">
        <f t="shared" ca="1" si="3"/>
        <v>#NAME?</v>
      </c>
      <c r="H483" s="274">
        <f t="shared" si="4"/>
        <v>0</v>
      </c>
      <c r="K483" s="274"/>
    </row>
    <row r="484" spans="2:11" ht="13.5" customHeight="1">
      <c r="B484" s="209" t="s">
        <v>2168</v>
      </c>
      <c r="C484" s="209" t="s">
        <v>3317</v>
      </c>
      <c r="D484" s="413" t="str">
        <f t="shared" si="7"/>
        <v>07-13</v>
      </c>
      <c r="E484" s="273" t="e">
        <f ca="1">_xludf.IFNA(VLOOKUP('Comp X - Kilter'!B484,'Kilter Holds'!$P$37:$AB$662,10,0),0)</f>
        <v>#NAME?</v>
      </c>
      <c r="F484" s="274"/>
      <c r="G484" s="274" t="e">
        <f t="shared" ca="1" si="3"/>
        <v>#NAME?</v>
      </c>
      <c r="H484" s="274">
        <f t="shared" si="4"/>
        <v>0</v>
      </c>
      <c r="K484" s="274"/>
    </row>
    <row r="485" spans="2:11" ht="13.5" customHeight="1">
      <c r="B485" s="209" t="s">
        <v>2168</v>
      </c>
      <c r="C485" s="209" t="s">
        <v>3317</v>
      </c>
      <c r="D485" s="414" t="str">
        <f t="shared" si="7"/>
        <v>11-26</v>
      </c>
      <c r="E485" s="273" t="e">
        <f ca="1">_xludf.IFNA(VLOOKUP('Comp X - Kilter'!B485,'Kilter Holds'!$P$37:$AB$662,11,0),0)</f>
        <v>#NAME?</v>
      </c>
      <c r="F485" s="274"/>
      <c r="G485" s="274" t="e">
        <f t="shared" ca="1" si="3"/>
        <v>#NAME?</v>
      </c>
      <c r="H485" s="274">
        <f t="shared" si="4"/>
        <v>0</v>
      </c>
      <c r="K485" s="274"/>
    </row>
    <row r="486" spans="2:11" ht="13.5" customHeight="1">
      <c r="B486" s="209" t="s">
        <v>2168</v>
      </c>
      <c r="C486" s="209" t="s">
        <v>3317</v>
      </c>
      <c r="D486" s="415" t="str">
        <f t="shared" si="7"/>
        <v>18-01</v>
      </c>
      <c r="E486" s="273" t="e">
        <f ca="1">_xludf.IFNA(VLOOKUP('Comp X - Kilter'!B486,'Kilter Holds'!$P$37:$AB$662,12,0),0)</f>
        <v>#NAME?</v>
      </c>
      <c r="F486" s="274"/>
      <c r="G486" s="274" t="e">
        <f t="shared" ca="1" si="3"/>
        <v>#NAME?</v>
      </c>
      <c r="H486" s="274">
        <f t="shared" si="4"/>
        <v>0</v>
      </c>
      <c r="K486" s="274"/>
    </row>
    <row r="487" spans="2:11" ht="13.5" customHeight="1">
      <c r="B487" s="209" t="s">
        <v>2168</v>
      </c>
      <c r="C487" s="209" t="s">
        <v>3317</v>
      </c>
      <c r="D487" s="416" t="str">
        <f t="shared" si="7"/>
        <v>Color Code</v>
      </c>
      <c r="E487" s="273" t="e">
        <f ca="1">_xludf.IFNA(VLOOKUP('Comp X - Kilter'!B487,'Kilter Holds'!$P$37:$AB$662,13,0),0)</f>
        <v>#NAME?</v>
      </c>
      <c r="F487" s="274"/>
      <c r="G487" s="274" t="e">
        <f t="shared" ca="1" si="3"/>
        <v>#NAME?</v>
      </c>
      <c r="H487" s="274">
        <f t="shared" si="4"/>
        <v>0</v>
      </c>
      <c r="K487" s="274"/>
    </row>
    <row r="488" spans="2:11" ht="13.5" customHeight="1">
      <c r="B488" s="209" t="s">
        <v>2169</v>
      </c>
      <c r="C488" s="209" t="s">
        <v>3318</v>
      </c>
      <c r="D488" s="406" t="str">
        <f t="shared" si="7"/>
        <v>11-12</v>
      </c>
      <c r="E488" s="273" t="e">
        <f ca="1">_xludf.IFNA(VLOOKUP('Comp X - Kilter'!B488,'Kilter Holds'!$P$37:$AB$662,5,0),0)</f>
        <v>#NAME?</v>
      </c>
      <c r="F488" s="274"/>
      <c r="G488" s="274" t="e">
        <f t="shared" ca="1" si="3"/>
        <v>#NAME?</v>
      </c>
      <c r="H488" s="274">
        <f t="shared" si="4"/>
        <v>0</v>
      </c>
      <c r="K488" s="274"/>
    </row>
    <row r="489" spans="2:11" ht="13.5" customHeight="1">
      <c r="B489" s="209" t="s">
        <v>2169</v>
      </c>
      <c r="C489" s="209" t="s">
        <v>3318</v>
      </c>
      <c r="D489" s="408" t="str">
        <f t="shared" si="7"/>
        <v>14-01</v>
      </c>
      <c r="E489" s="273" t="e">
        <f ca="1">_xludf.IFNA(VLOOKUP('Comp X - Kilter'!B489,'Kilter Holds'!$P$37:$AB$662,6,0),0)</f>
        <v>#NAME?</v>
      </c>
      <c r="F489" s="274"/>
      <c r="G489" s="274" t="e">
        <f t="shared" ca="1" si="3"/>
        <v>#NAME?</v>
      </c>
      <c r="H489" s="274">
        <f t="shared" si="4"/>
        <v>0</v>
      </c>
      <c r="K489" s="274"/>
    </row>
    <row r="490" spans="2:11" ht="13.5" customHeight="1">
      <c r="B490" s="209" t="s">
        <v>2169</v>
      </c>
      <c r="C490" s="209" t="s">
        <v>3318</v>
      </c>
      <c r="D490" s="409" t="str">
        <f t="shared" si="7"/>
        <v>15-12</v>
      </c>
      <c r="E490" s="273" t="e">
        <f ca="1">_xludf.IFNA(VLOOKUP('Comp X - Kilter'!B490,'Kilter Holds'!$P$37:$AB$662,7,0),0)</f>
        <v>#NAME?</v>
      </c>
      <c r="F490" s="274"/>
      <c r="G490" s="274" t="e">
        <f t="shared" ca="1" si="3"/>
        <v>#NAME?</v>
      </c>
      <c r="H490" s="274">
        <f t="shared" si="4"/>
        <v>0</v>
      </c>
      <c r="K490" s="274"/>
    </row>
    <row r="491" spans="2:11" ht="13.5" customHeight="1">
      <c r="B491" s="209" t="s">
        <v>2169</v>
      </c>
      <c r="C491" s="209" t="s">
        <v>3318</v>
      </c>
      <c r="D491" s="410" t="str">
        <f t="shared" si="7"/>
        <v>16-16</v>
      </c>
      <c r="E491" s="273" t="e">
        <f ca="1">_xludf.IFNA(VLOOKUP('Comp X - Kilter'!B491,'Kilter Holds'!$P$37:$AB$662,8,0),0)</f>
        <v>#NAME?</v>
      </c>
      <c r="F491" s="274"/>
      <c r="G491" s="274" t="e">
        <f t="shared" ca="1" si="3"/>
        <v>#NAME?</v>
      </c>
      <c r="H491" s="274">
        <f t="shared" si="4"/>
        <v>0</v>
      </c>
      <c r="K491" s="274"/>
    </row>
    <row r="492" spans="2:11" ht="13.5" customHeight="1">
      <c r="B492" s="209" t="s">
        <v>2169</v>
      </c>
      <c r="C492" s="209" t="s">
        <v>3318</v>
      </c>
      <c r="D492" s="411" t="str">
        <f t="shared" si="7"/>
        <v>13-01</v>
      </c>
      <c r="E492" s="273" t="e">
        <f ca="1">_xludf.IFNA(VLOOKUP('Comp X - Kilter'!B492,'Kilter Holds'!$P$37:$AB$662,9,0),0)</f>
        <v>#NAME?</v>
      </c>
      <c r="F492" s="274"/>
      <c r="G492" s="274" t="e">
        <f t="shared" ca="1" si="3"/>
        <v>#NAME?</v>
      </c>
      <c r="H492" s="274">
        <f t="shared" si="4"/>
        <v>0</v>
      </c>
      <c r="K492" s="274"/>
    </row>
    <row r="493" spans="2:11" ht="13.5" customHeight="1">
      <c r="B493" s="209" t="s">
        <v>2169</v>
      </c>
      <c r="C493" s="209" t="s">
        <v>3318</v>
      </c>
      <c r="D493" s="413" t="str">
        <f t="shared" si="7"/>
        <v>07-13</v>
      </c>
      <c r="E493" s="273" t="e">
        <f ca="1">_xludf.IFNA(VLOOKUP('Comp X - Kilter'!B493,'Kilter Holds'!$P$37:$AB$662,10,0),0)</f>
        <v>#NAME?</v>
      </c>
      <c r="F493" s="274"/>
      <c r="G493" s="274" t="e">
        <f t="shared" ca="1" si="3"/>
        <v>#NAME?</v>
      </c>
      <c r="H493" s="274">
        <f t="shared" si="4"/>
        <v>0</v>
      </c>
      <c r="K493" s="274"/>
    </row>
    <row r="494" spans="2:11" ht="13.5" customHeight="1">
      <c r="B494" s="209" t="s">
        <v>2169</v>
      </c>
      <c r="C494" s="209" t="s">
        <v>3318</v>
      </c>
      <c r="D494" s="414" t="str">
        <f t="shared" si="7"/>
        <v>11-26</v>
      </c>
      <c r="E494" s="273" t="e">
        <f ca="1">_xludf.IFNA(VLOOKUP('Comp X - Kilter'!B494,'Kilter Holds'!$P$37:$AB$662,11,0),0)</f>
        <v>#NAME?</v>
      </c>
      <c r="F494" s="274"/>
      <c r="G494" s="274" t="e">
        <f t="shared" ca="1" si="3"/>
        <v>#NAME?</v>
      </c>
      <c r="H494" s="274">
        <f t="shared" si="4"/>
        <v>0</v>
      </c>
      <c r="K494" s="274"/>
    </row>
    <row r="495" spans="2:11" ht="13.5" customHeight="1">
      <c r="B495" s="209" t="s">
        <v>2169</v>
      </c>
      <c r="C495" s="209" t="s">
        <v>3318</v>
      </c>
      <c r="D495" s="415" t="str">
        <f t="shared" si="7"/>
        <v>18-01</v>
      </c>
      <c r="E495" s="273" t="e">
        <f ca="1">_xludf.IFNA(VLOOKUP('Comp X - Kilter'!B495,'Kilter Holds'!$P$37:$AB$662,12,0),0)</f>
        <v>#NAME?</v>
      </c>
      <c r="F495" s="274"/>
      <c r="G495" s="274" t="e">
        <f t="shared" ca="1" si="3"/>
        <v>#NAME?</v>
      </c>
      <c r="H495" s="274">
        <f t="shared" si="4"/>
        <v>0</v>
      </c>
      <c r="K495" s="274"/>
    </row>
    <row r="496" spans="2:11" ht="13.5" customHeight="1">
      <c r="B496" s="209" t="s">
        <v>2169</v>
      </c>
      <c r="C496" s="209" t="s">
        <v>3318</v>
      </c>
      <c r="D496" s="416" t="str">
        <f t="shared" si="7"/>
        <v>Color Code</v>
      </c>
      <c r="E496" s="273" t="e">
        <f ca="1">_xludf.IFNA(VLOOKUP('Comp X - Kilter'!B496,'Kilter Holds'!$P$37:$AB$662,13,0),0)</f>
        <v>#NAME?</v>
      </c>
      <c r="F496" s="274"/>
      <c r="G496" s="274" t="e">
        <f t="shared" ca="1" si="3"/>
        <v>#NAME?</v>
      </c>
      <c r="H496" s="274">
        <f t="shared" si="4"/>
        <v>0</v>
      </c>
      <c r="K496" s="274"/>
    </row>
    <row r="497" spans="2:11" ht="13.5" customHeight="1">
      <c r="B497" s="209" t="s">
        <v>2139</v>
      </c>
      <c r="C497" s="209" t="s">
        <v>3319</v>
      </c>
      <c r="D497" s="406" t="str">
        <f t="shared" si="7"/>
        <v>11-12</v>
      </c>
      <c r="E497" s="273" t="e">
        <f ca="1">_xludf.IFNA(VLOOKUP('Comp X - Kilter'!B497,'Kilter Holds'!$P$37:$AB$662,5,0),0)</f>
        <v>#NAME?</v>
      </c>
      <c r="F497" s="274"/>
      <c r="G497" s="274" t="e">
        <f t="shared" ca="1" si="3"/>
        <v>#NAME?</v>
      </c>
      <c r="H497" s="274">
        <f t="shared" si="4"/>
        <v>0</v>
      </c>
      <c r="K497" s="274"/>
    </row>
    <row r="498" spans="2:11" ht="13.5" customHeight="1">
      <c r="B498" s="209" t="s">
        <v>2139</v>
      </c>
      <c r="C498" s="209" t="s">
        <v>3319</v>
      </c>
      <c r="D498" s="408" t="str">
        <f t="shared" si="7"/>
        <v>14-01</v>
      </c>
      <c r="E498" s="273" t="e">
        <f ca="1">_xludf.IFNA(VLOOKUP('Comp X - Kilter'!B498,'Kilter Holds'!$P$37:$AB$662,6,0),0)</f>
        <v>#NAME?</v>
      </c>
      <c r="F498" s="274"/>
      <c r="G498" s="274" t="e">
        <f t="shared" ca="1" si="3"/>
        <v>#NAME?</v>
      </c>
      <c r="H498" s="274">
        <f t="shared" si="4"/>
        <v>0</v>
      </c>
      <c r="K498" s="274"/>
    </row>
    <row r="499" spans="2:11" ht="13.5" customHeight="1">
      <c r="B499" s="209" t="s">
        <v>2139</v>
      </c>
      <c r="C499" s="209" t="s">
        <v>3319</v>
      </c>
      <c r="D499" s="409" t="str">
        <f t="shared" si="7"/>
        <v>15-12</v>
      </c>
      <c r="E499" s="273" t="e">
        <f ca="1">_xludf.IFNA(VLOOKUP('Comp X - Kilter'!B499,'Kilter Holds'!$P$37:$AB$662,7,0),0)</f>
        <v>#NAME?</v>
      </c>
      <c r="F499" s="274"/>
      <c r="G499" s="274" t="e">
        <f t="shared" ca="1" si="3"/>
        <v>#NAME?</v>
      </c>
      <c r="H499" s="274">
        <f t="shared" si="4"/>
        <v>0</v>
      </c>
      <c r="K499" s="274"/>
    </row>
    <row r="500" spans="2:11" ht="13.5" customHeight="1">
      <c r="B500" s="209" t="s">
        <v>2139</v>
      </c>
      <c r="C500" s="209" t="s">
        <v>3319</v>
      </c>
      <c r="D500" s="410" t="str">
        <f t="shared" si="7"/>
        <v>16-16</v>
      </c>
      <c r="E500" s="273" t="e">
        <f ca="1">_xludf.IFNA(VLOOKUP('Comp X - Kilter'!B500,'Kilter Holds'!$P$37:$AB$662,8,0),0)</f>
        <v>#NAME?</v>
      </c>
      <c r="F500" s="274"/>
      <c r="G500" s="274" t="e">
        <f t="shared" ca="1" si="3"/>
        <v>#NAME?</v>
      </c>
      <c r="H500" s="274">
        <f t="shared" si="4"/>
        <v>0</v>
      </c>
      <c r="K500" s="274"/>
    </row>
    <row r="501" spans="2:11" ht="13.5" customHeight="1">
      <c r="B501" s="209" t="s">
        <v>2139</v>
      </c>
      <c r="C501" s="209" t="s">
        <v>3319</v>
      </c>
      <c r="D501" s="411" t="str">
        <f t="shared" si="7"/>
        <v>13-01</v>
      </c>
      <c r="E501" s="273" t="e">
        <f ca="1">_xludf.IFNA(VLOOKUP('Comp X - Kilter'!B501,'Kilter Holds'!$P$37:$AB$662,9,0),0)</f>
        <v>#NAME?</v>
      </c>
      <c r="F501" s="274"/>
      <c r="G501" s="274" t="e">
        <f t="shared" ca="1" si="3"/>
        <v>#NAME?</v>
      </c>
      <c r="H501" s="274">
        <f t="shared" si="4"/>
        <v>0</v>
      </c>
      <c r="K501" s="274"/>
    </row>
    <row r="502" spans="2:11" ht="13.5" customHeight="1">
      <c r="B502" s="209" t="s">
        <v>2139</v>
      </c>
      <c r="C502" s="209" t="s">
        <v>3319</v>
      </c>
      <c r="D502" s="413" t="str">
        <f t="shared" si="7"/>
        <v>07-13</v>
      </c>
      <c r="E502" s="273" t="e">
        <f ca="1">_xludf.IFNA(VLOOKUP('Comp X - Kilter'!B502,'Kilter Holds'!$P$37:$AB$662,10,0),0)</f>
        <v>#NAME?</v>
      </c>
      <c r="F502" s="274"/>
      <c r="G502" s="274" t="e">
        <f t="shared" ca="1" si="3"/>
        <v>#NAME?</v>
      </c>
      <c r="H502" s="274">
        <f t="shared" si="4"/>
        <v>0</v>
      </c>
      <c r="K502" s="274"/>
    </row>
    <row r="503" spans="2:11" ht="13.5" customHeight="1">
      <c r="B503" s="209" t="s">
        <v>2139</v>
      </c>
      <c r="C503" s="209" t="s">
        <v>3319</v>
      </c>
      <c r="D503" s="414" t="str">
        <f t="shared" si="7"/>
        <v>11-26</v>
      </c>
      <c r="E503" s="273" t="e">
        <f ca="1">_xludf.IFNA(VLOOKUP('Comp X - Kilter'!B503,'Kilter Holds'!$P$37:$AB$662,11,0),0)</f>
        <v>#NAME?</v>
      </c>
      <c r="F503" s="274"/>
      <c r="G503" s="274" t="e">
        <f t="shared" ca="1" si="3"/>
        <v>#NAME?</v>
      </c>
      <c r="H503" s="274">
        <f t="shared" si="4"/>
        <v>0</v>
      </c>
      <c r="K503" s="274"/>
    </row>
    <row r="504" spans="2:11" ht="13.5" customHeight="1">
      <c r="B504" s="209" t="s">
        <v>2139</v>
      </c>
      <c r="C504" s="209" t="s">
        <v>3319</v>
      </c>
      <c r="D504" s="415" t="str">
        <f t="shared" si="7"/>
        <v>18-01</v>
      </c>
      <c r="E504" s="273" t="e">
        <f ca="1">_xludf.IFNA(VLOOKUP('Comp X - Kilter'!B504,'Kilter Holds'!$P$37:$AB$662,12,0),0)</f>
        <v>#NAME?</v>
      </c>
      <c r="F504" s="274"/>
      <c r="G504" s="274" t="e">
        <f t="shared" ca="1" si="3"/>
        <v>#NAME?</v>
      </c>
      <c r="H504" s="274">
        <f t="shared" si="4"/>
        <v>0</v>
      </c>
      <c r="K504" s="274"/>
    </row>
    <row r="505" spans="2:11" ht="13.5" customHeight="1">
      <c r="B505" s="209" t="s">
        <v>2139</v>
      </c>
      <c r="C505" s="209" t="s">
        <v>3319</v>
      </c>
      <c r="D505" s="416" t="str">
        <f t="shared" si="7"/>
        <v>Color Code</v>
      </c>
      <c r="E505" s="273" t="e">
        <f ca="1">_xludf.IFNA(VLOOKUP('Comp X - Kilter'!B505,'Kilter Holds'!$P$37:$AB$662,13,0),0)</f>
        <v>#NAME?</v>
      </c>
      <c r="F505" s="274"/>
      <c r="G505" s="274" t="e">
        <f t="shared" ca="1" si="3"/>
        <v>#NAME?</v>
      </c>
      <c r="H505" s="274">
        <f t="shared" si="4"/>
        <v>0</v>
      </c>
      <c r="K505" s="274"/>
    </row>
    <row r="506" spans="2:11" ht="13.5" customHeight="1">
      <c r="B506" s="209" t="s">
        <v>2183</v>
      </c>
      <c r="C506" s="209" t="s">
        <v>3320</v>
      </c>
      <c r="D506" s="406" t="str">
        <f t="shared" si="7"/>
        <v>11-12</v>
      </c>
      <c r="E506" s="273" t="e">
        <f ca="1">_xludf.IFNA(VLOOKUP('Comp X - Kilter'!B506,'Kilter Holds'!$P$37:$AB$662,5,0),0)</f>
        <v>#NAME?</v>
      </c>
      <c r="F506" s="274"/>
      <c r="G506" s="274" t="e">
        <f t="shared" ca="1" si="3"/>
        <v>#NAME?</v>
      </c>
      <c r="H506" s="274">
        <f t="shared" si="4"/>
        <v>0</v>
      </c>
      <c r="K506" s="274"/>
    </row>
    <row r="507" spans="2:11" ht="13.5" customHeight="1">
      <c r="B507" s="209" t="s">
        <v>2183</v>
      </c>
      <c r="C507" s="209" t="s">
        <v>3320</v>
      </c>
      <c r="D507" s="408" t="str">
        <f t="shared" si="7"/>
        <v>14-01</v>
      </c>
      <c r="E507" s="273" t="e">
        <f ca="1">_xludf.IFNA(VLOOKUP('Comp X - Kilter'!B507,'Kilter Holds'!$P$37:$AB$662,6,0),0)</f>
        <v>#NAME?</v>
      </c>
      <c r="F507" s="274"/>
      <c r="G507" s="274" t="e">
        <f t="shared" ca="1" si="3"/>
        <v>#NAME?</v>
      </c>
      <c r="H507" s="274">
        <f t="shared" si="4"/>
        <v>0</v>
      </c>
      <c r="K507" s="274"/>
    </row>
    <row r="508" spans="2:11" ht="13.5" customHeight="1">
      <c r="B508" s="209" t="s">
        <v>2183</v>
      </c>
      <c r="C508" s="209" t="s">
        <v>3320</v>
      </c>
      <c r="D508" s="409" t="str">
        <f t="shared" si="7"/>
        <v>15-12</v>
      </c>
      <c r="E508" s="273" t="e">
        <f ca="1">_xludf.IFNA(VLOOKUP('Comp X - Kilter'!B508,'Kilter Holds'!$P$37:$AB$662,7,0),0)</f>
        <v>#NAME?</v>
      </c>
      <c r="F508" s="274"/>
      <c r="G508" s="274" t="e">
        <f t="shared" ca="1" si="3"/>
        <v>#NAME?</v>
      </c>
      <c r="H508" s="274">
        <f t="shared" si="4"/>
        <v>0</v>
      </c>
      <c r="K508" s="274"/>
    </row>
    <row r="509" spans="2:11" ht="13.5" customHeight="1">
      <c r="B509" s="209" t="s">
        <v>2183</v>
      </c>
      <c r="C509" s="209" t="s">
        <v>3320</v>
      </c>
      <c r="D509" s="410" t="str">
        <f t="shared" si="7"/>
        <v>16-16</v>
      </c>
      <c r="E509" s="273" t="e">
        <f ca="1">_xludf.IFNA(VLOOKUP('Comp X - Kilter'!B509,'Kilter Holds'!$P$37:$AB$662,8,0),0)</f>
        <v>#NAME?</v>
      </c>
      <c r="F509" s="274"/>
      <c r="G509" s="274" t="e">
        <f t="shared" ca="1" si="3"/>
        <v>#NAME?</v>
      </c>
      <c r="H509" s="274">
        <f t="shared" si="4"/>
        <v>0</v>
      </c>
      <c r="K509" s="274"/>
    </row>
    <row r="510" spans="2:11" ht="13.5" customHeight="1">
      <c r="B510" s="209" t="s">
        <v>2183</v>
      </c>
      <c r="C510" s="209" t="s">
        <v>3320</v>
      </c>
      <c r="D510" s="411" t="str">
        <f t="shared" si="7"/>
        <v>13-01</v>
      </c>
      <c r="E510" s="273" t="e">
        <f ca="1">_xludf.IFNA(VLOOKUP('Comp X - Kilter'!B510,'Kilter Holds'!$P$37:$AB$662,9,0),0)</f>
        <v>#NAME?</v>
      </c>
      <c r="F510" s="274"/>
      <c r="G510" s="274" t="e">
        <f t="shared" ca="1" si="3"/>
        <v>#NAME?</v>
      </c>
      <c r="H510" s="274">
        <f t="shared" si="4"/>
        <v>0</v>
      </c>
      <c r="K510" s="274"/>
    </row>
    <row r="511" spans="2:11" ht="13.5" customHeight="1">
      <c r="B511" s="209" t="s">
        <v>2183</v>
      </c>
      <c r="C511" s="209" t="s">
        <v>3320</v>
      </c>
      <c r="D511" s="413" t="str">
        <f t="shared" si="7"/>
        <v>07-13</v>
      </c>
      <c r="E511" s="273" t="e">
        <f ca="1">_xludf.IFNA(VLOOKUP('Comp X - Kilter'!B511,'Kilter Holds'!$P$37:$AB$662,10,0),0)</f>
        <v>#NAME?</v>
      </c>
      <c r="F511" s="274"/>
      <c r="G511" s="274" t="e">
        <f t="shared" ca="1" si="3"/>
        <v>#NAME?</v>
      </c>
      <c r="H511" s="274">
        <f t="shared" si="4"/>
        <v>0</v>
      </c>
      <c r="K511" s="274"/>
    </row>
    <row r="512" spans="2:11" ht="13.5" customHeight="1">
      <c r="B512" s="209" t="s">
        <v>2183</v>
      </c>
      <c r="C512" s="209" t="s">
        <v>3320</v>
      </c>
      <c r="D512" s="414" t="str">
        <f t="shared" si="7"/>
        <v>11-26</v>
      </c>
      <c r="E512" s="273" t="e">
        <f ca="1">_xludf.IFNA(VLOOKUP('Comp X - Kilter'!B512,'Kilter Holds'!$P$37:$AB$662,11,0),0)</f>
        <v>#NAME?</v>
      </c>
      <c r="F512" s="274"/>
      <c r="G512" s="274" t="e">
        <f t="shared" ref="G512:G766" ca="1" si="8">E512*F512</f>
        <v>#NAME?</v>
      </c>
      <c r="H512" s="274">
        <f t="shared" ref="H512:H766" si="9">IF($S$11="Y",G512*0.15,0)</f>
        <v>0</v>
      </c>
      <c r="K512" s="274"/>
    </row>
    <row r="513" spans="2:11" ht="13.5" customHeight="1">
      <c r="B513" s="209" t="s">
        <v>2183</v>
      </c>
      <c r="C513" s="209" t="s">
        <v>3320</v>
      </c>
      <c r="D513" s="415" t="str">
        <f t="shared" si="7"/>
        <v>18-01</v>
      </c>
      <c r="E513" s="273" t="e">
        <f ca="1">_xludf.IFNA(VLOOKUP('Comp X - Kilter'!B513,'Kilter Holds'!$P$37:$AB$662,12,0),0)</f>
        <v>#NAME?</v>
      </c>
      <c r="F513" s="274"/>
      <c r="G513" s="274" t="e">
        <f t="shared" ca="1" si="8"/>
        <v>#NAME?</v>
      </c>
      <c r="H513" s="274">
        <f t="shared" si="9"/>
        <v>0</v>
      </c>
      <c r="K513" s="274"/>
    </row>
    <row r="514" spans="2:11" ht="13.5" customHeight="1">
      <c r="B514" s="209" t="s">
        <v>2183</v>
      </c>
      <c r="C514" s="209" t="s">
        <v>3320</v>
      </c>
      <c r="D514" s="416" t="str">
        <f t="shared" si="7"/>
        <v>Color Code</v>
      </c>
      <c r="E514" s="273" t="e">
        <f ca="1">_xludf.IFNA(VLOOKUP('Comp X - Kilter'!B514,'Kilter Holds'!$P$37:$AB$662,13,0),0)</f>
        <v>#NAME?</v>
      </c>
      <c r="F514" s="274"/>
      <c r="G514" s="274" t="e">
        <f t="shared" ca="1" si="8"/>
        <v>#NAME?</v>
      </c>
      <c r="H514" s="274">
        <f t="shared" si="9"/>
        <v>0</v>
      </c>
      <c r="K514" s="274"/>
    </row>
    <row r="515" spans="2:11" ht="13.5" customHeight="1">
      <c r="B515" s="209" t="s">
        <v>2136</v>
      </c>
      <c r="C515" s="209" t="s">
        <v>3321</v>
      </c>
      <c r="D515" s="406" t="str">
        <f t="shared" si="7"/>
        <v>11-12</v>
      </c>
      <c r="E515" s="273" t="e">
        <f ca="1">_xludf.IFNA(VLOOKUP('Comp X - Kilter'!B515,'Kilter Holds'!$P$37:$AB$662,5,0),0)</f>
        <v>#NAME?</v>
      </c>
      <c r="F515" s="274"/>
      <c r="G515" s="274" t="e">
        <f t="shared" ca="1" si="8"/>
        <v>#NAME?</v>
      </c>
      <c r="H515" s="274">
        <f t="shared" si="9"/>
        <v>0</v>
      </c>
      <c r="K515" s="274"/>
    </row>
    <row r="516" spans="2:11" ht="13.5" customHeight="1">
      <c r="B516" s="209" t="s">
        <v>2136</v>
      </c>
      <c r="C516" s="209" t="s">
        <v>3321</v>
      </c>
      <c r="D516" s="408" t="str">
        <f t="shared" si="7"/>
        <v>14-01</v>
      </c>
      <c r="E516" s="273" t="e">
        <f ca="1">_xludf.IFNA(VLOOKUP('Comp X - Kilter'!B516,'Kilter Holds'!$P$37:$AB$662,6,0),0)</f>
        <v>#NAME?</v>
      </c>
      <c r="F516" s="274"/>
      <c r="G516" s="274" t="e">
        <f t="shared" ca="1" si="8"/>
        <v>#NAME?</v>
      </c>
      <c r="H516" s="274">
        <f t="shared" si="9"/>
        <v>0</v>
      </c>
      <c r="K516" s="274"/>
    </row>
    <row r="517" spans="2:11" ht="13.5" customHeight="1">
      <c r="B517" s="209" t="s">
        <v>2136</v>
      </c>
      <c r="C517" s="209" t="s">
        <v>3321</v>
      </c>
      <c r="D517" s="409" t="str">
        <f t="shared" si="7"/>
        <v>15-12</v>
      </c>
      <c r="E517" s="273" t="e">
        <f ca="1">_xludf.IFNA(VLOOKUP('Comp X - Kilter'!B517,'Kilter Holds'!$P$37:$AB$662,7,0),0)</f>
        <v>#NAME?</v>
      </c>
      <c r="F517" s="274"/>
      <c r="G517" s="274" t="e">
        <f t="shared" ca="1" si="8"/>
        <v>#NAME?</v>
      </c>
      <c r="H517" s="274">
        <f t="shared" si="9"/>
        <v>0</v>
      </c>
      <c r="K517" s="274"/>
    </row>
    <row r="518" spans="2:11" ht="13.5" customHeight="1">
      <c r="B518" s="209" t="s">
        <v>2136</v>
      </c>
      <c r="C518" s="209" t="s">
        <v>3321</v>
      </c>
      <c r="D518" s="410" t="str">
        <f t="shared" si="7"/>
        <v>16-16</v>
      </c>
      <c r="E518" s="273" t="e">
        <f ca="1">_xludf.IFNA(VLOOKUP('Comp X - Kilter'!B518,'Kilter Holds'!$P$37:$AB$662,8,0),0)</f>
        <v>#NAME?</v>
      </c>
      <c r="F518" s="274"/>
      <c r="G518" s="274" t="e">
        <f t="shared" ca="1" si="8"/>
        <v>#NAME?</v>
      </c>
      <c r="H518" s="274">
        <f t="shared" si="9"/>
        <v>0</v>
      </c>
      <c r="K518" s="274"/>
    </row>
    <row r="519" spans="2:11" ht="13.5" customHeight="1">
      <c r="B519" s="209" t="s">
        <v>2136</v>
      </c>
      <c r="C519" s="209" t="s">
        <v>3321</v>
      </c>
      <c r="D519" s="411" t="str">
        <f t="shared" si="7"/>
        <v>13-01</v>
      </c>
      <c r="E519" s="273" t="e">
        <f ca="1">_xludf.IFNA(VLOOKUP('Comp X - Kilter'!B519,'Kilter Holds'!$P$37:$AB$662,9,0),0)</f>
        <v>#NAME?</v>
      </c>
      <c r="F519" s="274"/>
      <c r="G519" s="274" t="e">
        <f t="shared" ca="1" si="8"/>
        <v>#NAME?</v>
      </c>
      <c r="H519" s="274">
        <f t="shared" si="9"/>
        <v>0</v>
      </c>
      <c r="K519" s="274"/>
    </row>
    <row r="520" spans="2:11" ht="13.5" customHeight="1">
      <c r="B520" s="209" t="s">
        <v>2136</v>
      </c>
      <c r="C520" s="209" t="s">
        <v>3321</v>
      </c>
      <c r="D520" s="413" t="str">
        <f t="shared" si="7"/>
        <v>07-13</v>
      </c>
      <c r="E520" s="273" t="e">
        <f ca="1">_xludf.IFNA(VLOOKUP('Comp X - Kilter'!B520,'Kilter Holds'!$P$37:$AB$662,10,0),0)</f>
        <v>#NAME?</v>
      </c>
      <c r="F520" s="274"/>
      <c r="G520" s="274" t="e">
        <f t="shared" ca="1" si="8"/>
        <v>#NAME?</v>
      </c>
      <c r="H520" s="274">
        <f t="shared" si="9"/>
        <v>0</v>
      </c>
      <c r="K520" s="274"/>
    </row>
    <row r="521" spans="2:11" ht="13.5" customHeight="1">
      <c r="B521" s="209" t="s">
        <v>2136</v>
      </c>
      <c r="C521" s="209" t="s">
        <v>3321</v>
      </c>
      <c r="D521" s="414" t="str">
        <f t="shared" si="7"/>
        <v>11-26</v>
      </c>
      <c r="E521" s="273" t="e">
        <f ca="1">_xludf.IFNA(VLOOKUP('Comp X - Kilter'!B521,'Kilter Holds'!$P$37:$AB$662,11,0),0)</f>
        <v>#NAME?</v>
      </c>
      <c r="F521" s="274"/>
      <c r="G521" s="274" t="e">
        <f t="shared" ca="1" si="8"/>
        <v>#NAME?</v>
      </c>
      <c r="H521" s="274">
        <f t="shared" si="9"/>
        <v>0</v>
      </c>
      <c r="K521" s="274"/>
    </row>
    <row r="522" spans="2:11" ht="13.5" customHeight="1">
      <c r="B522" s="209" t="s">
        <v>2136</v>
      </c>
      <c r="C522" s="209" t="s">
        <v>3321</v>
      </c>
      <c r="D522" s="415" t="str">
        <f t="shared" si="7"/>
        <v>18-01</v>
      </c>
      <c r="E522" s="273" t="e">
        <f ca="1">_xludf.IFNA(VLOOKUP('Comp X - Kilter'!B522,'Kilter Holds'!$P$37:$AB$662,12,0),0)</f>
        <v>#NAME?</v>
      </c>
      <c r="F522" s="274"/>
      <c r="G522" s="274" t="e">
        <f t="shared" ca="1" si="8"/>
        <v>#NAME?</v>
      </c>
      <c r="H522" s="274">
        <f t="shared" si="9"/>
        <v>0</v>
      </c>
      <c r="K522" s="274"/>
    </row>
    <row r="523" spans="2:11" ht="13.5" customHeight="1">
      <c r="B523" s="209" t="s">
        <v>2136</v>
      </c>
      <c r="C523" s="209" t="s">
        <v>3321</v>
      </c>
      <c r="D523" s="416" t="str">
        <f t="shared" si="7"/>
        <v>Color Code</v>
      </c>
      <c r="E523" s="273" t="e">
        <f ca="1">_xludf.IFNA(VLOOKUP('Comp X - Kilter'!B523,'Kilter Holds'!$P$37:$AB$662,13,0),0)</f>
        <v>#NAME?</v>
      </c>
      <c r="F523" s="274"/>
      <c r="G523" s="274" t="e">
        <f t="shared" ca="1" si="8"/>
        <v>#NAME?</v>
      </c>
      <c r="H523" s="274">
        <f t="shared" si="9"/>
        <v>0</v>
      </c>
      <c r="K523" s="274"/>
    </row>
    <row r="524" spans="2:11" ht="13.5" customHeight="1">
      <c r="B524" s="209" t="s">
        <v>2187</v>
      </c>
      <c r="C524" s="209" t="s">
        <v>3322</v>
      </c>
      <c r="D524" s="406" t="str">
        <f t="shared" si="7"/>
        <v>11-12</v>
      </c>
      <c r="E524" s="273" t="e">
        <f ca="1">_xludf.IFNA(VLOOKUP('Comp X - Kilter'!B524,'Kilter Holds'!$P$37:$AB$662,5,0),0)</f>
        <v>#NAME?</v>
      </c>
      <c r="F524" s="274"/>
      <c r="G524" s="274" t="e">
        <f t="shared" ca="1" si="8"/>
        <v>#NAME?</v>
      </c>
      <c r="H524" s="274">
        <f t="shared" si="9"/>
        <v>0</v>
      </c>
      <c r="K524" s="274"/>
    </row>
    <row r="525" spans="2:11" ht="13.5" customHeight="1">
      <c r="B525" s="209" t="s">
        <v>2187</v>
      </c>
      <c r="C525" s="209" t="s">
        <v>3322</v>
      </c>
      <c r="D525" s="408" t="str">
        <f t="shared" si="7"/>
        <v>14-01</v>
      </c>
      <c r="E525" s="273" t="e">
        <f ca="1">_xludf.IFNA(VLOOKUP('Comp X - Kilter'!B525,'Kilter Holds'!$P$37:$AB$662,6,0),0)</f>
        <v>#NAME?</v>
      </c>
      <c r="F525" s="274"/>
      <c r="G525" s="274" t="e">
        <f t="shared" ca="1" si="8"/>
        <v>#NAME?</v>
      </c>
      <c r="H525" s="274">
        <f t="shared" si="9"/>
        <v>0</v>
      </c>
      <c r="K525" s="274"/>
    </row>
    <row r="526" spans="2:11" ht="13.5" customHeight="1">
      <c r="B526" s="209" t="s">
        <v>2187</v>
      </c>
      <c r="C526" s="209" t="s">
        <v>3322</v>
      </c>
      <c r="D526" s="409" t="str">
        <f t="shared" si="7"/>
        <v>15-12</v>
      </c>
      <c r="E526" s="273" t="e">
        <f ca="1">_xludf.IFNA(VLOOKUP('Comp X - Kilter'!B526,'Kilter Holds'!$P$37:$AB$662,7,0),0)</f>
        <v>#NAME?</v>
      </c>
      <c r="F526" s="274"/>
      <c r="G526" s="274" t="e">
        <f t="shared" ca="1" si="8"/>
        <v>#NAME?</v>
      </c>
      <c r="H526" s="274">
        <f t="shared" si="9"/>
        <v>0</v>
      </c>
      <c r="K526" s="274"/>
    </row>
    <row r="527" spans="2:11" ht="13.5" customHeight="1">
      <c r="B527" s="209" t="s">
        <v>2187</v>
      </c>
      <c r="C527" s="209" t="s">
        <v>3322</v>
      </c>
      <c r="D527" s="410" t="str">
        <f t="shared" si="7"/>
        <v>16-16</v>
      </c>
      <c r="E527" s="273" t="e">
        <f ca="1">_xludf.IFNA(VLOOKUP('Comp X - Kilter'!B527,'Kilter Holds'!$P$37:$AB$662,8,0),0)</f>
        <v>#NAME?</v>
      </c>
      <c r="F527" s="274"/>
      <c r="G527" s="274" t="e">
        <f t="shared" ca="1" si="8"/>
        <v>#NAME?</v>
      </c>
      <c r="H527" s="274">
        <f t="shared" si="9"/>
        <v>0</v>
      </c>
      <c r="K527" s="274"/>
    </row>
    <row r="528" spans="2:11" ht="13.5" customHeight="1">
      <c r="B528" s="209" t="s">
        <v>2187</v>
      </c>
      <c r="C528" s="209" t="s">
        <v>3322</v>
      </c>
      <c r="D528" s="411" t="str">
        <f t="shared" si="7"/>
        <v>13-01</v>
      </c>
      <c r="E528" s="273" t="e">
        <f ca="1">_xludf.IFNA(VLOOKUP('Comp X - Kilter'!B528,'Kilter Holds'!$P$37:$AB$662,9,0),0)</f>
        <v>#NAME?</v>
      </c>
      <c r="F528" s="274"/>
      <c r="G528" s="274" t="e">
        <f t="shared" ca="1" si="8"/>
        <v>#NAME?</v>
      </c>
      <c r="H528" s="274">
        <f t="shared" si="9"/>
        <v>0</v>
      </c>
      <c r="K528" s="274"/>
    </row>
    <row r="529" spans="2:11" ht="13.5" customHeight="1">
      <c r="B529" s="209" t="s">
        <v>2187</v>
      </c>
      <c r="C529" s="209" t="s">
        <v>3322</v>
      </c>
      <c r="D529" s="413" t="str">
        <f t="shared" si="7"/>
        <v>07-13</v>
      </c>
      <c r="E529" s="273" t="e">
        <f ca="1">_xludf.IFNA(VLOOKUP('Comp X - Kilter'!B529,'Kilter Holds'!$P$37:$AB$662,10,0),0)</f>
        <v>#NAME?</v>
      </c>
      <c r="F529" s="274"/>
      <c r="G529" s="274" t="e">
        <f t="shared" ca="1" si="8"/>
        <v>#NAME?</v>
      </c>
      <c r="H529" s="274">
        <f t="shared" si="9"/>
        <v>0</v>
      </c>
      <c r="K529" s="274"/>
    </row>
    <row r="530" spans="2:11" ht="13.5" customHeight="1">
      <c r="B530" s="209" t="s">
        <v>2187</v>
      </c>
      <c r="C530" s="209" t="s">
        <v>3322</v>
      </c>
      <c r="D530" s="414" t="str">
        <f t="shared" si="7"/>
        <v>11-26</v>
      </c>
      <c r="E530" s="273" t="e">
        <f ca="1">_xludf.IFNA(VLOOKUP('Comp X - Kilter'!B530,'Kilter Holds'!$P$37:$AB$662,11,0),0)</f>
        <v>#NAME?</v>
      </c>
      <c r="F530" s="274"/>
      <c r="G530" s="274" t="e">
        <f t="shared" ca="1" si="8"/>
        <v>#NAME?</v>
      </c>
      <c r="H530" s="274">
        <f t="shared" si="9"/>
        <v>0</v>
      </c>
      <c r="K530" s="274"/>
    </row>
    <row r="531" spans="2:11" ht="13.5" customHeight="1">
      <c r="B531" s="209" t="s">
        <v>2187</v>
      </c>
      <c r="C531" s="209" t="s">
        <v>3322</v>
      </c>
      <c r="D531" s="415" t="str">
        <f t="shared" si="7"/>
        <v>18-01</v>
      </c>
      <c r="E531" s="273" t="e">
        <f ca="1">_xludf.IFNA(VLOOKUP('Comp X - Kilter'!B531,'Kilter Holds'!$P$37:$AB$662,12,0),0)</f>
        <v>#NAME?</v>
      </c>
      <c r="F531" s="274"/>
      <c r="G531" s="274" t="e">
        <f t="shared" ca="1" si="8"/>
        <v>#NAME?</v>
      </c>
      <c r="H531" s="274">
        <f t="shared" si="9"/>
        <v>0</v>
      </c>
      <c r="K531" s="274"/>
    </row>
    <row r="532" spans="2:11" ht="13.5" customHeight="1">
      <c r="B532" s="209" t="s">
        <v>2187</v>
      </c>
      <c r="C532" s="209" t="s">
        <v>3322</v>
      </c>
      <c r="D532" s="416" t="str">
        <f t="shared" si="7"/>
        <v>Color Code</v>
      </c>
      <c r="E532" s="273" t="e">
        <f ca="1">_xludf.IFNA(VLOOKUP('Comp X - Kilter'!B532,'Kilter Holds'!$P$37:$AB$662,13,0),0)</f>
        <v>#NAME?</v>
      </c>
      <c r="F532" s="274"/>
      <c r="G532" s="274" t="e">
        <f t="shared" ca="1" si="8"/>
        <v>#NAME?</v>
      </c>
      <c r="H532" s="274">
        <f t="shared" si="9"/>
        <v>0</v>
      </c>
      <c r="K532" s="274"/>
    </row>
    <row r="533" spans="2:11" ht="13.5" customHeight="1">
      <c r="B533" s="209" t="s">
        <v>2142</v>
      </c>
      <c r="C533" s="209" t="s">
        <v>3323</v>
      </c>
      <c r="D533" s="406" t="str">
        <f t="shared" si="7"/>
        <v>11-12</v>
      </c>
      <c r="E533" s="273" t="e">
        <f ca="1">_xludf.IFNA(VLOOKUP('Comp X - Kilter'!B533,'Kilter Holds'!$P$37:$AB$662,5,0),0)</f>
        <v>#NAME?</v>
      </c>
      <c r="F533" s="274"/>
      <c r="G533" s="274" t="e">
        <f t="shared" ca="1" si="8"/>
        <v>#NAME?</v>
      </c>
      <c r="H533" s="274">
        <f t="shared" si="9"/>
        <v>0</v>
      </c>
      <c r="K533" s="274"/>
    </row>
    <row r="534" spans="2:11" ht="13.5" customHeight="1">
      <c r="B534" s="209" t="s">
        <v>2142</v>
      </c>
      <c r="C534" s="209" t="s">
        <v>3323</v>
      </c>
      <c r="D534" s="408" t="str">
        <f t="shared" si="7"/>
        <v>14-01</v>
      </c>
      <c r="E534" s="273" t="e">
        <f ca="1">_xludf.IFNA(VLOOKUP('Comp X - Kilter'!B534,'Kilter Holds'!$P$37:$AB$662,6,0),0)</f>
        <v>#NAME?</v>
      </c>
      <c r="F534" s="274"/>
      <c r="G534" s="274" t="e">
        <f t="shared" ca="1" si="8"/>
        <v>#NAME?</v>
      </c>
      <c r="H534" s="274">
        <f t="shared" si="9"/>
        <v>0</v>
      </c>
      <c r="K534" s="274"/>
    </row>
    <row r="535" spans="2:11" ht="13.5" customHeight="1">
      <c r="B535" s="209" t="s">
        <v>2142</v>
      </c>
      <c r="C535" s="209" t="s">
        <v>3323</v>
      </c>
      <c r="D535" s="409" t="str">
        <f t="shared" si="7"/>
        <v>15-12</v>
      </c>
      <c r="E535" s="273" t="e">
        <f ca="1">_xludf.IFNA(VLOOKUP('Comp X - Kilter'!B535,'Kilter Holds'!$P$37:$AB$662,7,0),0)</f>
        <v>#NAME?</v>
      </c>
      <c r="F535" s="274"/>
      <c r="G535" s="274" t="e">
        <f t="shared" ca="1" si="8"/>
        <v>#NAME?</v>
      </c>
      <c r="H535" s="274">
        <f t="shared" si="9"/>
        <v>0</v>
      </c>
      <c r="K535" s="274"/>
    </row>
    <row r="536" spans="2:11" ht="13.5" customHeight="1">
      <c r="B536" s="209" t="s">
        <v>2142</v>
      </c>
      <c r="C536" s="209" t="s">
        <v>3323</v>
      </c>
      <c r="D536" s="410" t="str">
        <f t="shared" si="7"/>
        <v>16-16</v>
      </c>
      <c r="E536" s="273" t="e">
        <f ca="1">_xludf.IFNA(VLOOKUP('Comp X - Kilter'!B536,'Kilter Holds'!$P$37:$AB$662,8,0),0)</f>
        <v>#NAME?</v>
      </c>
      <c r="F536" s="274"/>
      <c r="G536" s="274" t="e">
        <f t="shared" ca="1" si="8"/>
        <v>#NAME?</v>
      </c>
      <c r="H536" s="274">
        <f t="shared" si="9"/>
        <v>0</v>
      </c>
      <c r="K536" s="274"/>
    </row>
    <row r="537" spans="2:11" ht="13.5" customHeight="1">
      <c r="B537" s="209" t="s">
        <v>2142</v>
      </c>
      <c r="C537" s="209" t="s">
        <v>3323</v>
      </c>
      <c r="D537" s="411" t="str">
        <f t="shared" si="7"/>
        <v>13-01</v>
      </c>
      <c r="E537" s="273" t="e">
        <f ca="1">_xludf.IFNA(VLOOKUP('Comp X - Kilter'!B537,'Kilter Holds'!$P$37:$AB$662,9,0),0)</f>
        <v>#NAME?</v>
      </c>
      <c r="F537" s="274"/>
      <c r="G537" s="274" t="e">
        <f t="shared" ca="1" si="8"/>
        <v>#NAME?</v>
      </c>
      <c r="H537" s="274">
        <f t="shared" si="9"/>
        <v>0</v>
      </c>
      <c r="K537" s="274"/>
    </row>
    <row r="538" spans="2:11" ht="13.5" customHeight="1">
      <c r="B538" s="209" t="s">
        <v>2142</v>
      </c>
      <c r="C538" s="209" t="s">
        <v>3323</v>
      </c>
      <c r="D538" s="413" t="str">
        <f t="shared" si="7"/>
        <v>07-13</v>
      </c>
      <c r="E538" s="273" t="e">
        <f ca="1">_xludf.IFNA(VLOOKUP('Comp X - Kilter'!B538,'Kilter Holds'!$P$37:$AB$662,10,0),0)</f>
        <v>#NAME?</v>
      </c>
      <c r="F538" s="274"/>
      <c r="G538" s="274" t="e">
        <f t="shared" ca="1" si="8"/>
        <v>#NAME?</v>
      </c>
      <c r="H538" s="274">
        <f t="shared" si="9"/>
        <v>0</v>
      </c>
      <c r="K538" s="274"/>
    </row>
    <row r="539" spans="2:11" ht="13.5" customHeight="1">
      <c r="B539" s="209" t="s">
        <v>2142</v>
      </c>
      <c r="C539" s="209" t="s">
        <v>3323</v>
      </c>
      <c r="D539" s="414" t="str">
        <f t="shared" si="7"/>
        <v>11-26</v>
      </c>
      <c r="E539" s="273" t="e">
        <f ca="1">_xludf.IFNA(VLOOKUP('Comp X - Kilter'!B539,'Kilter Holds'!$P$37:$AB$662,11,0),0)</f>
        <v>#NAME?</v>
      </c>
      <c r="F539" s="274"/>
      <c r="G539" s="274" t="e">
        <f t="shared" ca="1" si="8"/>
        <v>#NAME?</v>
      </c>
      <c r="H539" s="274">
        <f t="shared" si="9"/>
        <v>0</v>
      </c>
      <c r="K539" s="274"/>
    </row>
    <row r="540" spans="2:11" ht="13.5" customHeight="1">
      <c r="B540" s="209" t="s">
        <v>2142</v>
      </c>
      <c r="C540" s="209" t="s">
        <v>3323</v>
      </c>
      <c r="D540" s="415" t="str">
        <f t="shared" si="7"/>
        <v>18-01</v>
      </c>
      <c r="E540" s="273" t="e">
        <f ca="1">_xludf.IFNA(VLOOKUP('Comp X - Kilter'!B540,'Kilter Holds'!$P$37:$AB$662,12,0),0)</f>
        <v>#NAME?</v>
      </c>
      <c r="F540" s="274"/>
      <c r="G540" s="274" t="e">
        <f t="shared" ca="1" si="8"/>
        <v>#NAME?</v>
      </c>
      <c r="H540" s="274">
        <f t="shared" si="9"/>
        <v>0</v>
      </c>
      <c r="K540" s="274"/>
    </row>
    <row r="541" spans="2:11" ht="13.5" customHeight="1">
      <c r="B541" s="209" t="s">
        <v>2142</v>
      </c>
      <c r="C541" s="209" t="s">
        <v>3323</v>
      </c>
      <c r="D541" s="416" t="str">
        <f t="shared" si="7"/>
        <v>Color Code</v>
      </c>
      <c r="E541" s="273" t="e">
        <f ca="1">_xludf.IFNA(VLOOKUP('Comp X - Kilter'!B541,'Kilter Holds'!$P$37:$AB$662,13,0),0)</f>
        <v>#NAME?</v>
      </c>
      <c r="F541" s="274"/>
      <c r="G541" s="274" t="e">
        <f t="shared" ca="1" si="8"/>
        <v>#NAME?</v>
      </c>
      <c r="H541" s="274">
        <f t="shared" si="9"/>
        <v>0</v>
      </c>
      <c r="K541" s="274"/>
    </row>
    <row r="542" spans="2:11" ht="13.5" customHeight="1">
      <c r="B542" s="209" t="s">
        <v>2138</v>
      </c>
      <c r="C542" s="209" t="s">
        <v>3324</v>
      </c>
      <c r="D542" s="406" t="str">
        <f t="shared" si="7"/>
        <v>11-12</v>
      </c>
      <c r="E542" s="273" t="e">
        <f ca="1">_xludf.IFNA(VLOOKUP('Comp X - Kilter'!B542,'Kilter Holds'!$P$37:$AB$662,5,0),0)</f>
        <v>#NAME?</v>
      </c>
      <c r="F542" s="274"/>
      <c r="G542" s="274" t="e">
        <f t="shared" ca="1" si="8"/>
        <v>#NAME?</v>
      </c>
      <c r="H542" s="274">
        <f t="shared" si="9"/>
        <v>0</v>
      </c>
      <c r="K542" s="274"/>
    </row>
    <row r="543" spans="2:11" ht="13.5" customHeight="1">
      <c r="B543" s="209" t="s">
        <v>2138</v>
      </c>
      <c r="C543" s="209" t="s">
        <v>3324</v>
      </c>
      <c r="D543" s="408" t="str">
        <f t="shared" si="7"/>
        <v>14-01</v>
      </c>
      <c r="E543" s="273" t="e">
        <f ca="1">_xludf.IFNA(VLOOKUP('Comp X - Kilter'!B543,'Kilter Holds'!$P$37:$AB$662,6,0),0)</f>
        <v>#NAME?</v>
      </c>
      <c r="F543" s="274"/>
      <c r="G543" s="274" t="e">
        <f t="shared" ca="1" si="8"/>
        <v>#NAME?</v>
      </c>
      <c r="H543" s="274">
        <f t="shared" si="9"/>
        <v>0</v>
      </c>
      <c r="K543" s="274"/>
    </row>
    <row r="544" spans="2:11" ht="13.5" customHeight="1">
      <c r="B544" s="209" t="s">
        <v>2138</v>
      </c>
      <c r="C544" s="209" t="s">
        <v>3324</v>
      </c>
      <c r="D544" s="409" t="str">
        <f t="shared" si="7"/>
        <v>15-12</v>
      </c>
      <c r="E544" s="273" t="e">
        <f ca="1">_xludf.IFNA(VLOOKUP('Comp X - Kilter'!B544,'Kilter Holds'!$P$37:$AB$662,7,0),0)</f>
        <v>#NAME?</v>
      </c>
      <c r="F544" s="274"/>
      <c r="G544" s="274" t="e">
        <f t="shared" ca="1" si="8"/>
        <v>#NAME?</v>
      </c>
      <c r="H544" s="274">
        <f t="shared" si="9"/>
        <v>0</v>
      </c>
      <c r="K544" s="274"/>
    </row>
    <row r="545" spans="2:11" ht="13.5" customHeight="1">
      <c r="B545" s="209" t="s">
        <v>2138</v>
      </c>
      <c r="C545" s="209" t="s">
        <v>3324</v>
      </c>
      <c r="D545" s="410" t="str">
        <f t="shared" si="7"/>
        <v>16-16</v>
      </c>
      <c r="E545" s="273" t="e">
        <f ca="1">_xludf.IFNA(VLOOKUP('Comp X - Kilter'!B545,'Kilter Holds'!$P$37:$AB$662,8,0),0)</f>
        <v>#NAME?</v>
      </c>
      <c r="F545" s="274"/>
      <c r="G545" s="274" t="e">
        <f t="shared" ca="1" si="8"/>
        <v>#NAME?</v>
      </c>
      <c r="H545" s="274">
        <f t="shared" si="9"/>
        <v>0</v>
      </c>
      <c r="K545" s="274"/>
    </row>
    <row r="546" spans="2:11" ht="13.5" customHeight="1">
      <c r="B546" s="209" t="s">
        <v>2138</v>
      </c>
      <c r="C546" s="209" t="s">
        <v>3324</v>
      </c>
      <c r="D546" s="411" t="str">
        <f t="shared" si="7"/>
        <v>13-01</v>
      </c>
      <c r="E546" s="273" t="e">
        <f ca="1">_xludf.IFNA(VLOOKUP('Comp X - Kilter'!B546,'Kilter Holds'!$P$37:$AB$662,9,0),0)</f>
        <v>#NAME?</v>
      </c>
      <c r="F546" s="274"/>
      <c r="G546" s="274" t="e">
        <f t="shared" ca="1" si="8"/>
        <v>#NAME?</v>
      </c>
      <c r="H546" s="274">
        <f t="shared" si="9"/>
        <v>0</v>
      </c>
      <c r="K546" s="274"/>
    </row>
    <row r="547" spans="2:11" ht="13.5" customHeight="1">
      <c r="B547" s="209" t="s">
        <v>2138</v>
      </c>
      <c r="C547" s="209" t="s">
        <v>3324</v>
      </c>
      <c r="D547" s="413" t="str">
        <f t="shared" si="7"/>
        <v>07-13</v>
      </c>
      <c r="E547" s="273" t="e">
        <f ca="1">_xludf.IFNA(VLOOKUP('Comp X - Kilter'!B547,'Kilter Holds'!$P$37:$AB$662,10,0),0)</f>
        <v>#NAME?</v>
      </c>
      <c r="F547" s="274"/>
      <c r="G547" s="274" t="e">
        <f t="shared" ca="1" si="8"/>
        <v>#NAME?</v>
      </c>
      <c r="H547" s="274">
        <f t="shared" si="9"/>
        <v>0</v>
      </c>
      <c r="K547" s="274"/>
    </row>
    <row r="548" spans="2:11" ht="13.5" customHeight="1">
      <c r="B548" s="209" t="s">
        <v>2138</v>
      </c>
      <c r="C548" s="209" t="s">
        <v>3324</v>
      </c>
      <c r="D548" s="414" t="str">
        <f t="shared" si="7"/>
        <v>11-26</v>
      </c>
      <c r="E548" s="273" t="e">
        <f ca="1">_xludf.IFNA(VLOOKUP('Comp X - Kilter'!B548,'Kilter Holds'!$P$37:$AB$662,11,0),0)</f>
        <v>#NAME?</v>
      </c>
      <c r="F548" s="274"/>
      <c r="G548" s="274" t="e">
        <f t="shared" ca="1" si="8"/>
        <v>#NAME?</v>
      </c>
      <c r="H548" s="274">
        <f t="shared" si="9"/>
        <v>0</v>
      </c>
      <c r="K548" s="274"/>
    </row>
    <row r="549" spans="2:11" ht="13.5" customHeight="1">
      <c r="B549" s="209" t="s">
        <v>2138</v>
      </c>
      <c r="C549" s="209" t="s">
        <v>3324</v>
      </c>
      <c r="D549" s="415" t="str">
        <f t="shared" si="7"/>
        <v>18-01</v>
      </c>
      <c r="E549" s="273" t="e">
        <f ca="1">_xludf.IFNA(VLOOKUP('Comp X - Kilter'!B549,'Kilter Holds'!$P$37:$AB$662,12,0),0)</f>
        <v>#NAME?</v>
      </c>
      <c r="F549" s="274"/>
      <c r="G549" s="274" t="e">
        <f t="shared" ca="1" si="8"/>
        <v>#NAME?</v>
      </c>
      <c r="H549" s="274">
        <f t="shared" si="9"/>
        <v>0</v>
      </c>
      <c r="K549" s="274"/>
    </row>
    <row r="550" spans="2:11" ht="13.5" customHeight="1">
      <c r="B550" s="209" t="s">
        <v>2138</v>
      </c>
      <c r="C550" s="209" t="s">
        <v>3324</v>
      </c>
      <c r="D550" s="416" t="str">
        <f t="shared" si="7"/>
        <v>Color Code</v>
      </c>
      <c r="E550" s="273" t="e">
        <f ca="1">_xludf.IFNA(VLOOKUP('Comp X - Kilter'!B550,'Kilter Holds'!$P$37:$AB$662,13,0),0)</f>
        <v>#NAME?</v>
      </c>
      <c r="F550" s="274"/>
      <c r="G550" s="274" t="e">
        <f t="shared" ca="1" si="8"/>
        <v>#NAME?</v>
      </c>
      <c r="H550" s="274">
        <f t="shared" si="9"/>
        <v>0</v>
      </c>
      <c r="K550" s="274"/>
    </row>
    <row r="551" spans="2:11" ht="13.5" customHeight="1">
      <c r="B551" s="209" t="s">
        <v>2112</v>
      </c>
      <c r="C551" s="209" t="s">
        <v>3325</v>
      </c>
      <c r="D551" s="406" t="str">
        <f t="shared" ref="D551:D559" si="10">D533</f>
        <v>11-12</v>
      </c>
      <c r="E551" s="273" t="e">
        <f ca="1">_xludf.IFNA(VLOOKUP('Comp X - Kilter'!B551,'Kilter Holds'!$P$37:$AB$662,5,0),0)</f>
        <v>#NAME?</v>
      </c>
      <c r="F551" s="274"/>
      <c r="G551" s="274" t="e">
        <f t="shared" ca="1" si="8"/>
        <v>#NAME?</v>
      </c>
      <c r="H551" s="274">
        <f t="shared" si="9"/>
        <v>0</v>
      </c>
      <c r="K551" s="274"/>
    </row>
    <row r="552" spans="2:11" ht="13.5" customHeight="1">
      <c r="B552" s="209" t="s">
        <v>2112</v>
      </c>
      <c r="C552" s="209" t="s">
        <v>3325</v>
      </c>
      <c r="D552" s="408" t="str">
        <f t="shared" si="10"/>
        <v>14-01</v>
      </c>
      <c r="E552" s="273" t="e">
        <f ca="1">_xludf.IFNA(VLOOKUP('Comp X - Kilter'!B552,'Kilter Holds'!$P$37:$AB$662,6,0),0)</f>
        <v>#NAME?</v>
      </c>
      <c r="F552" s="274"/>
      <c r="G552" s="274" t="e">
        <f t="shared" ca="1" si="8"/>
        <v>#NAME?</v>
      </c>
      <c r="H552" s="274">
        <f t="shared" si="9"/>
        <v>0</v>
      </c>
      <c r="K552" s="274"/>
    </row>
    <row r="553" spans="2:11" ht="13.5" customHeight="1">
      <c r="B553" s="209" t="s">
        <v>2112</v>
      </c>
      <c r="C553" s="209" t="s">
        <v>3325</v>
      </c>
      <c r="D553" s="409" t="str">
        <f t="shared" si="10"/>
        <v>15-12</v>
      </c>
      <c r="E553" s="273" t="e">
        <f ca="1">_xludf.IFNA(VLOOKUP('Comp X - Kilter'!B553,'Kilter Holds'!$P$37:$AB$662,7,0),0)</f>
        <v>#NAME?</v>
      </c>
      <c r="F553" s="274"/>
      <c r="G553" s="274" t="e">
        <f t="shared" ca="1" si="8"/>
        <v>#NAME?</v>
      </c>
      <c r="H553" s="274">
        <f t="shared" si="9"/>
        <v>0</v>
      </c>
      <c r="K553" s="274"/>
    </row>
    <row r="554" spans="2:11" ht="13.5" customHeight="1">
      <c r="B554" s="209" t="s">
        <v>2112</v>
      </c>
      <c r="C554" s="209" t="s">
        <v>3325</v>
      </c>
      <c r="D554" s="410" t="str">
        <f t="shared" si="10"/>
        <v>16-16</v>
      </c>
      <c r="E554" s="273" t="e">
        <f ca="1">_xludf.IFNA(VLOOKUP('Comp X - Kilter'!B554,'Kilter Holds'!$P$37:$AB$662,8,0),0)</f>
        <v>#NAME?</v>
      </c>
      <c r="F554" s="274"/>
      <c r="G554" s="274" t="e">
        <f t="shared" ca="1" si="8"/>
        <v>#NAME?</v>
      </c>
      <c r="H554" s="274">
        <f t="shared" si="9"/>
        <v>0</v>
      </c>
      <c r="K554" s="274"/>
    </row>
    <row r="555" spans="2:11" ht="13.5" customHeight="1">
      <c r="B555" s="209" t="s">
        <v>2112</v>
      </c>
      <c r="C555" s="209" t="s">
        <v>3325</v>
      </c>
      <c r="D555" s="411" t="str">
        <f t="shared" si="10"/>
        <v>13-01</v>
      </c>
      <c r="E555" s="273" t="e">
        <f ca="1">_xludf.IFNA(VLOOKUP('Comp X - Kilter'!B555,'Kilter Holds'!$P$37:$AB$662,9,0),0)</f>
        <v>#NAME?</v>
      </c>
      <c r="F555" s="274"/>
      <c r="G555" s="274" t="e">
        <f t="shared" ca="1" si="8"/>
        <v>#NAME?</v>
      </c>
      <c r="H555" s="274">
        <f t="shared" si="9"/>
        <v>0</v>
      </c>
      <c r="K555" s="274"/>
    </row>
    <row r="556" spans="2:11" ht="13.5" customHeight="1">
      <c r="B556" s="209" t="s">
        <v>2112</v>
      </c>
      <c r="C556" s="209" t="s">
        <v>3325</v>
      </c>
      <c r="D556" s="413" t="str">
        <f t="shared" si="10"/>
        <v>07-13</v>
      </c>
      <c r="E556" s="273" t="e">
        <f ca="1">_xludf.IFNA(VLOOKUP('Comp X - Kilter'!B556,'Kilter Holds'!$P$37:$AB$662,10,0),0)</f>
        <v>#NAME?</v>
      </c>
      <c r="F556" s="274"/>
      <c r="G556" s="274" t="e">
        <f t="shared" ca="1" si="8"/>
        <v>#NAME?</v>
      </c>
      <c r="H556" s="274">
        <f t="shared" si="9"/>
        <v>0</v>
      </c>
      <c r="K556" s="274"/>
    </row>
    <row r="557" spans="2:11" ht="13.5" customHeight="1">
      <c r="B557" s="209" t="s">
        <v>2112</v>
      </c>
      <c r="C557" s="209" t="s">
        <v>3325</v>
      </c>
      <c r="D557" s="414" t="str">
        <f t="shared" si="10"/>
        <v>11-26</v>
      </c>
      <c r="E557" s="273" t="e">
        <f ca="1">_xludf.IFNA(VLOOKUP('Comp X - Kilter'!B557,'Kilter Holds'!$P$37:$AB$662,11,0),0)</f>
        <v>#NAME?</v>
      </c>
      <c r="F557" s="274"/>
      <c r="G557" s="274" t="e">
        <f t="shared" ca="1" si="8"/>
        <v>#NAME?</v>
      </c>
      <c r="H557" s="274">
        <f t="shared" si="9"/>
        <v>0</v>
      </c>
      <c r="K557" s="274"/>
    </row>
    <row r="558" spans="2:11" ht="13.5" customHeight="1">
      <c r="B558" s="209" t="s">
        <v>2112</v>
      </c>
      <c r="C558" s="209" t="s">
        <v>3325</v>
      </c>
      <c r="D558" s="415" t="str">
        <f t="shared" si="10"/>
        <v>18-01</v>
      </c>
      <c r="E558" s="273" t="e">
        <f ca="1">_xludf.IFNA(VLOOKUP('Comp X - Kilter'!B558,'Kilter Holds'!$P$37:$AB$662,12,0),0)</f>
        <v>#NAME?</v>
      </c>
      <c r="F558" s="274"/>
      <c r="G558" s="274" t="e">
        <f t="shared" ca="1" si="8"/>
        <v>#NAME?</v>
      </c>
      <c r="H558" s="274">
        <f t="shared" si="9"/>
        <v>0</v>
      </c>
      <c r="K558" s="274"/>
    </row>
    <row r="559" spans="2:11" ht="13.5" customHeight="1">
      <c r="B559" s="209" t="s">
        <v>2112</v>
      </c>
      <c r="C559" s="209" t="s">
        <v>3325</v>
      </c>
      <c r="D559" s="416" t="str">
        <f t="shared" si="10"/>
        <v>Color Code</v>
      </c>
      <c r="E559" s="273" t="e">
        <f ca="1">_xludf.IFNA(VLOOKUP('Comp X - Kilter'!B559,'Kilter Holds'!$P$37:$AB$662,13,0),0)</f>
        <v>#NAME?</v>
      </c>
      <c r="F559" s="274"/>
      <c r="G559" s="274" t="e">
        <f t="shared" ca="1" si="8"/>
        <v>#NAME?</v>
      </c>
      <c r="H559" s="274">
        <f t="shared" si="9"/>
        <v>0</v>
      </c>
      <c r="K559" s="274"/>
    </row>
    <row r="560" spans="2:11" ht="13.5" customHeight="1">
      <c r="B560" s="209" t="s">
        <v>2184</v>
      </c>
      <c r="C560" s="209" t="s">
        <v>3326</v>
      </c>
      <c r="D560" s="406" t="str">
        <f t="shared" ref="D560:D595" si="11">D551</f>
        <v>11-12</v>
      </c>
      <c r="E560" s="273" t="e">
        <f ca="1">_xludf.IFNA(VLOOKUP('Comp X - Kilter'!B560,'Kilter Holds'!$P$37:$AB$662,5,0),0)</f>
        <v>#NAME?</v>
      </c>
      <c r="F560" s="274"/>
      <c r="G560" s="274" t="e">
        <f t="shared" ca="1" si="8"/>
        <v>#NAME?</v>
      </c>
      <c r="H560" s="274">
        <f t="shared" si="9"/>
        <v>0</v>
      </c>
      <c r="K560" s="274"/>
    </row>
    <row r="561" spans="2:11" ht="13.5" customHeight="1">
      <c r="B561" s="209" t="s">
        <v>2184</v>
      </c>
      <c r="C561" s="209" t="s">
        <v>3326</v>
      </c>
      <c r="D561" s="408" t="str">
        <f t="shared" si="11"/>
        <v>14-01</v>
      </c>
      <c r="E561" s="273" t="e">
        <f ca="1">_xludf.IFNA(VLOOKUP('Comp X - Kilter'!B561,'Kilter Holds'!$P$37:$AB$662,6,0),0)</f>
        <v>#NAME?</v>
      </c>
      <c r="F561" s="274"/>
      <c r="G561" s="274" t="e">
        <f t="shared" ca="1" si="8"/>
        <v>#NAME?</v>
      </c>
      <c r="H561" s="274">
        <f t="shared" si="9"/>
        <v>0</v>
      </c>
      <c r="K561" s="274"/>
    </row>
    <row r="562" spans="2:11" ht="13.5" customHeight="1">
      <c r="B562" s="209" t="s">
        <v>2184</v>
      </c>
      <c r="C562" s="209" t="s">
        <v>3326</v>
      </c>
      <c r="D562" s="409" t="str">
        <f t="shared" si="11"/>
        <v>15-12</v>
      </c>
      <c r="E562" s="273" t="e">
        <f ca="1">_xludf.IFNA(VLOOKUP('Comp X - Kilter'!B562,'Kilter Holds'!$P$37:$AB$662,7,0),0)</f>
        <v>#NAME?</v>
      </c>
      <c r="F562" s="274"/>
      <c r="G562" s="274" t="e">
        <f t="shared" ca="1" si="8"/>
        <v>#NAME?</v>
      </c>
      <c r="H562" s="274">
        <f t="shared" si="9"/>
        <v>0</v>
      </c>
      <c r="K562" s="274"/>
    </row>
    <row r="563" spans="2:11" ht="13.5" customHeight="1">
      <c r="B563" s="209" t="s">
        <v>2184</v>
      </c>
      <c r="C563" s="209" t="s">
        <v>3326</v>
      </c>
      <c r="D563" s="410" t="str">
        <f t="shared" si="11"/>
        <v>16-16</v>
      </c>
      <c r="E563" s="273" t="e">
        <f ca="1">_xludf.IFNA(VLOOKUP('Comp X - Kilter'!B563,'Kilter Holds'!$P$37:$AB$662,8,0),0)</f>
        <v>#NAME?</v>
      </c>
      <c r="F563" s="274"/>
      <c r="G563" s="274" t="e">
        <f t="shared" ca="1" si="8"/>
        <v>#NAME?</v>
      </c>
      <c r="H563" s="274">
        <f t="shared" si="9"/>
        <v>0</v>
      </c>
      <c r="K563" s="274"/>
    </row>
    <row r="564" spans="2:11" ht="13.5" customHeight="1">
      <c r="B564" s="209" t="s">
        <v>2184</v>
      </c>
      <c r="C564" s="209" t="s">
        <v>3326</v>
      </c>
      <c r="D564" s="411" t="str">
        <f t="shared" si="11"/>
        <v>13-01</v>
      </c>
      <c r="E564" s="273" t="e">
        <f ca="1">_xludf.IFNA(VLOOKUP('Comp X - Kilter'!B564,'Kilter Holds'!$P$37:$AB$662,9,0),0)</f>
        <v>#NAME?</v>
      </c>
      <c r="F564" s="274"/>
      <c r="G564" s="274" t="e">
        <f t="shared" ca="1" si="8"/>
        <v>#NAME?</v>
      </c>
      <c r="H564" s="274">
        <f t="shared" si="9"/>
        <v>0</v>
      </c>
      <c r="K564" s="274"/>
    </row>
    <row r="565" spans="2:11" ht="13.5" customHeight="1">
      <c r="B565" s="209" t="s">
        <v>2184</v>
      </c>
      <c r="C565" s="209" t="s">
        <v>3326</v>
      </c>
      <c r="D565" s="413" t="str">
        <f t="shared" si="11"/>
        <v>07-13</v>
      </c>
      <c r="E565" s="273" t="e">
        <f ca="1">_xludf.IFNA(VLOOKUP('Comp X - Kilter'!B565,'Kilter Holds'!$P$37:$AB$662,10,0),0)</f>
        <v>#NAME?</v>
      </c>
      <c r="F565" s="274"/>
      <c r="G565" s="274" t="e">
        <f t="shared" ca="1" si="8"/>
        <v>#NAME?</v>
      </c>
      <c r="H565" s="274">
        <f t="shared" si="9"/>
        <v>0</v>
      </c>
      <c r="K565" s="274"/>
    </row>
    <row r="566" spans="2:11" ht="13.5" customHeight="1">
      <c r="B566" s="209" t="s">
        <v>2184</v>
      </c>
      <c r="C566" s="209" t="s">
        <v>3326</v>
      </c>
      <c r="D566" s="414" t="str">
        <f t="shared" si="11"/>
        <v>11-26</v>
      </c>
      <c r="E566" s="273" t="e">
        <f ca="1">_xludf.IFNA(VLOOKUP('Comp X - Kilter'!B566,'Kilter Holds'!$P$37:$AB$662,11,0),0)</f>
        <v>#NAME?</v>
      </c>
      <c r="F566" s="274"/>
      <c r="G566" s="274" t="e">
        <f t="shared" ca="1" si="8"/>
        <v>#NAME?</v>
      </c>
      <c r="H566" s="274">
        <f t="shared" si="9"/>
        <v>0</v>
      </c>
      <c r="K566" s="274"/>
    </row>
    <row r="567" spans="2:11" ht="13.5" customHeight="1">
      <c r="B567" s="209" t="s">
        <v>2184</v>
      </c>
      <c r="C567" s="209" t="s">
        <v>3326</v>
      </c>
      <c r="D567" s="415" t="str">
        <f t="shared" si="11"/>
        <v>18-01</v>
      </c>
      <c r="E567" s="273" t="e">
        <f ca="1">_xludf.IFNA(VLOOKUP('Comp X - Kilter'!B567,'Kilter Holds'!$P$37:$AB$662,12,0),0)</f>
        <v>#NAME?</v>
      </c>
      <c r="F567" s="274"/>
      <c r="G567" s="274" t="e">
        <f t="shared" ca="1" si="8"/>
        <v>#NAME?</v>
      </c>
      <c r="H567" s="274">
        <f t="shared" si="9"/>
        <v>0</v>
      </c>
      <c r="K567" s="274"/>
    </row>
    <row r="568" spans="2:11" ht="13.5" customHeight="1">
      <c r="B568" s="209" t="s">
        <v>2184</v>
      </c>
      <c r="C568" s="209" t="s">
        <v>3326</v>
      </c>
      <c r="D568" s="416" t="str">
        <f t="shared" si="11"/>
        <v>Color Code</v>
      </c>
      <c r="E568" s="273" t="e">
        <f ca="1">_xludf.IFNA(VLOOKUP('Comp X - Kilter'!B568,'Kilter Holds'!$P$37:$AB$662,13,0),0)</f>
        <v>#NAME?</v>
      </c>
      <c r="F568" s="274"/>
      <c r="G568" s="274" t="e">
        <f t="shared" ca="1" si="8"/>
        <v>#NAME?</v>
      </c>
      <c r="H568" s="274">
        <f t="shared" si="9"/>
        <v>0</v>
      </c>
      <c r="K568" s="274"/>
    </row>
    <row r="569" spans="2:11" ht="13.5" customHeight="1">
      <c r="B569" s="209" t="s">
        <v>2162</v>
      </c>
      <c r="C569" s="209" t="s">
        <v>3327</v>
      </c>
      <c r="D569" s="406" t="str">
        <f t="shared" si="11"/>
        <v>11-12</v>
      </c>
      <c r="E569" s="273" t="e">
        <f ca="1">_xludf.IFNA(VLOOKUP('Comp X - Kilter'!B569,'Kilter Holds'!$P$37:$AB$662,5,0),0)</f>
        <v>#NAME?</v>
      </c>
      <c r="F569" s="274"/>
      <c r="G569" s="274" t="e">
        <f t="shared" ca="1" si="8"/>
        <v>#NAME?</v>
      </c>
      <c r="H569" s="274">
        <f t="shared" si="9"/>
        <v>0</v>
      </c>
      <c r="K569" s="274"/>
    </row>
    <row r="570" spans="2:11" ht="13.5" customHeight="1">
      <c r="B570" s="209" t="s">
        <v>2162</v>
      </c>
      <c r="C570" s="209" t="s">
        <v>3327</v>
      </c>
      <c r="D570" s="408" t="str">
        <f t="shared" si="11"/>
        <v>14-01</v>
      </c>
      <c r="E570" s="273" t="e">
        <f ca="1">_xludf.IFNA(VLOOKUP('Comp X - Kilter'!B570,'Kilter Holds'!$P$37:$AB$662,6,0),0)</f>
        <v>#NAME?</v>
      </c>
      <c r="F570" s="274"/>
      <c r="G570" s="274" t="e">
        <f t="shared" ca="1" si="8"/>
        <v>#NAME?</v>
      </c>
      <c r="H570" s="274">
        <f t="shared" si="9"/>
        <v>0</v>
      </c>
      <c r="K570" s="274"/>
    </row>
    <row r="571" spans="2:11" ht="13.5" customHeight="1">
      <c r="B571" s="209" t="s">
        <v>2162</v>
      </c>
      <c r="C571" s="209" t="s">
        <v>3327</v>
      </c>
      <c r="D571" s="409" t="str">
        <f t="shared" si="11"/>
        <v>15-12</v>
      </c>
      <c r="E571" s="273" t="e">
        <f ca="1">_xludf.IFNA(VLOOKUP('Comp X - Kilter'!B571,'Kilter Holds'!$P$37:$AB$662,7,0),0)</f>
        <v>#NAME?</v>
      </c>
      <c r="F571" s="274"/>
      <c r="G571" s="274" t="e">
        <f t="shared" ca="1" si="8"/>
        <v>#NAME?</v>
      </c>
      <c r="H571" s="274">
        <f t="shared" si="9"/>
        <v>0</v>
      </c>
      <c r="K571" s="274"/>
    </row>
    <row r="572" spans="2:11" ht="13.5" customHeight="1">
      <c r="B572" s="209" t="s">
        <v>2162</v>
      </c>
      <c r="C572" s="209" t="s">
        <v>3327</v>
      </c>
      <c r="D572" s="410" t="str">
        <f t="shared" si="11"/>
        <v>16-16</v>
      </c>
      <c r="E572" s="273" t="e">
        <f ca="1">_xludf.IFNA(VLOOKUP('Comp X - Kilter'!B572,'Kilter Holds'!$P$37:$AB$662,8,0),0)</f>
        <v>#NAME?</v>
      </c>
      <c r="F572" s="274"/>
      <c r="G572" s="274" t="e">
        <f t="shared" ca="1" si="8"/>
        <v>#NAME?</v>
      </c>
      <c r="H572" s="274">
        <f t="shared" si="9"/>
        <v>0</v>
      </c>
      <c r="K572" s="274"/>
    </row>
    <row r="573" spans="2:11" ht="13.5" customHeight="1">
      <c r="B573" s="209" t="s">
        <v>2162</v>
      </c>
      <c r="C573" s="209" t="s">
        <v>3327</v>
      </c>
      <c r="D573" s="411" t="str">
        <f t="shared" si="11"/>
        <v>13-01</v>
      </c>
      <c r="E573" s="273" t="e">
        <f ca="1">_xludf.IFNA(VLOOKUP('Comp X - Kilter'!B573,'Kilter Holds'!$P$37:$AB$662,9,0),0)</f>
        <v>#NAME?</v>
      </c>
      <c r="F573" s="274"/>
      <c r="G573" s="274" t="e">
        <f t="shared" ca="1" si="8"/>
        <v>#NAME?</v>
      </c>
      <c r="H573" s="274">
        <f t="shared" si="9"/>
        <v>0</v>
      </c>
      <c r="K573" s="274"/>
    </row>
    <row r="574" spans="2:11" ht="13.5" customHeight="1">
      <c r="B574" s="209" t="s">
        <v>2162</v>
      </c>
      <c r="C574" s="209" t="s">
        <v>3327</v>
      </c>
      <c r="D574" s="413" t="str">
        <f t="shared" si="11"/>
        <v>07-13</v>
      </c>
      <c r="E574" s="273" t="e">
        <f ca="1">_xludf.IFNA(VLOOKUP('Comp X - Kilter'!B574,'Kilter Holds'!$P$37:$AB$662,10,0),0)</f>
        <v>#NAME?</v>
      </c>
      <c r="F574" s="274"/>
      <c r="G574" s="274" t="e">
        <f t="shared" ca="1" si="8"/>
        <v>#NAME?</v>
      </c>
      <c r="H574" s="274">
        <f t="shared" si="9"/>
        <v>0</v>
      </c>
      <c r="K574" s="274"/>
    </row>
    <row r="575" spans="2:11" ht="13.5" customHeight="1">
      <c r="B575" s="209" t="s">
        <v>2162</v>
      </c>
      <c r="C575" s="209" t="s">
        <v>3327</v>
      </c>
      <c r="D575" s="414" t="str">
        <f t="shared" si="11"/>
        <v>11-26</v>
      </c>
      <c r="E575" s="273" t="e">
        <f ca="1">_xludf.IFNA(VLOOKUP('Comp X - Kilter'!B575,'Kilter Holds'!$P$37:$AB$662,11,0),0)</f>
        <v>#NAME?</v>
      </c>
      <c r="F575" s="274"/>
      <c r="G575" s="274" t="e">
        <f t="shared" ca="1" si="8"/>
        <v>#NAME?</v>
      </c>
      <c r="H575" s="274">
        <f t="shared" si="9"/>
        <v>0</v>
      </c>
      <c r="K575" s="274"/>
    </row>
    <row r="576" spans="2:11" ht="13.5" customHeight="1">
      <c r="B576" s="209" t="s">
        <v>2162</v>
      </c>
      <c r="C576" s="209" t="s">
        <v>3327</v>
      </c>
      <c r="D576" s="415" t="str">
        <f t="shared" si="11"/>
        <v>18-01</v>
      </c>
      <c r="E576" s="273" t="e">
        <f ca="1">_xludf.IFNA(VLOOKUP('Comp X - Kilter'!B576,'Kilter Holds'!$P$37:$AB$662,12,0),0)</f>
        <v>#NAME?</v>
      </c>
      <c r="F576" s="274"/>
      <c r="G576" s="274" t="e">
        <f t="shared" ca="1" si="8"/>
        <v>#NAME?</v>
      </c>
      <c r="H576" s="274">
        <f t="shared" si="9"/>
        <v>0</v>
      </c>
      <c r="K576" s="274"/>
    </row>
    <row r="577" spans="2:11" ht="13.5" customHeight="1">
      <c r="B577" s="209" t="s">
        <v>2162</v>
      </c>
      <c r="C577" s="209" t="s">
        <v>3327</v>
      </c>
      <c r="D577" s="416" t="str">
        <f t="shared" si="11"/>
        <v>Color Code</v>
      </c>
      <c r="E577" s="273" t="e">
        <f ca="1">_xludf.IFNA(VLOOKUP('Comp X - Kilter'!B577,'Kilter Holds'!$P$37:$AB$662,13,0),0)</f>
        <v>#NAME?</v>
      </c>
      <c r="F577" s="274"/>
      <c r="G577" s="274" t="e">
        <f t="shared" ca="1" si="8"/>
        <v>#NAME?</v>
      </c>
      <c r="H577" s="274">
        <f t="shared" si="9"/>
        <v>0</v>
      </c>
      <c r="K577" s="274"/>
    </row>
    <row r="578" spans="2:11" ht="13.5" customHeight="1">
      <c r="B578" s="209" t="s">
        <v>2140</v>
      </c>
      <c r="C578" s="209" t="s">
        <v>3328</v>
      </c>
      <c r="D578" s="406" t="str">
        <f t="shared" si="11"/>
        <v>11-12</v>
      </c>
      <c r="E578" s="273" t="e">
        <f ca="1">_xludf.IFNA(VLOOKUP('Comp X - Kilter'!B578,'Kilter Holds'!$P$37:$AB$662,5,0),0)</f>
        <v>#NAME?</v>
      </c>
      <c r="F578" s="274"/>
      <c r="G578" s="274" t="e">
        <f t="shared" ca="1" si="8"/>
        <v>#NAME?</v>
      </c>
      <c r="H578" s="274">
        <f t="shared" si="9"/>
        <v>0</v>
      </c>
      <c r="K578" s="274"/>
    </row>
    <row r="579" spans="2:11" ht="13.5" customHeight="1">
      <c r="B579" s="209" t="s">
        <v>2140</v>
      </c>
      <c r="C579" s="209" t="s">
        <v>3328</v>
      </c>
      <c r="D579" s="408" t="str">
        <f t="shared" si="11"/>
        <v>14-01</v>
      </c>
      <c r="E579" s="273" t="e">
        <f ca="1">_xludf.IFNA(VLOOKUP('Comp X - Kilter'!B579,'Kilter Holds'!$P$37:$AB$662,6,0),0)</f>
        <v>#NAME?</v>
      </c>
      <c r="F579" s="274"/>
      <c r="G579" s="274" t="e">
        <f t="shared" ca="1" si="8"/>
        <v>#NAME?</v>
      </c>
      <c r="H579" s="274">
        <f t="shared" si="9"/>
        <v>0</v>
      </c>
      <c r="K579" s="274"/>
    </row>
    <row r="580" spans="2:11" ht="13.5" customHeight="1">
      <c r="B580" s="209" t="s">
        <v>2140</v>
      </c>
      <c r="C580" s="209" t="s">
        <v>3328</v>
      </c>
      <c r="D580" s="409" t="str">
        <f t="shared" si="11"/>
        <v>15-12</v>
      </c>
      <c r="E580" s="273" t="e">
        <f ca="1">_xludf.IFNA(VLOOKUP('Comp X - Kilter'!B580,'Kilter Holds'!$P$37:$AB$662,7,0),0)</f>
        <v>#NAME?</v>
      </c>
      <c r="F580" s="274"/>
      <c r="G580" s="274" t="e">
        <f t="shared" ca="1" si="8"/>
        <v>#NAME?</v>
      </c>
      <c r="H580" s="274">
        <f t="shared" si="9"/>
        <v>0</v>
      </c>
      <c r="K580" s="274"/>
    </row>
    <row r="581" spans="2:11" ht="13.5" customHeight="1">
      <c r="B581" s="209" t="s">
        <v>2140</v>
      </c>
      <c r="C581" s="209" t="s">
        <v>3328</v>
      </c>
      <c r="D581" s="410" t="str">
        <f t="shared" si="11"/>
        <v>16-16</v>
      </c>
      <c r="E581" s="273" t="e">
        <f ca="1">_xludf.IFNA(VLOOKUP('Comp X - Kilter'!B581,'Kilter Holds'!$P$37:$AB$662,8,0),0)</f>
        <v>#NAME?</v>
      </c>
      <c r="F581" s="274"/>
      <c r="G581" s="274" t="e">
        <f t="shared" ca="1" si="8"/>
        <v>#NAME?</v>
      </c>
      <c r="H581" s="274">
        <f t="shared" si="9"/>
        <v>0</v>
      </c>
      <c r="K581" s="274"/>
    </row>
    <row r="582" spans="2:11" ht="13.5" customHeight="1">
      <c r="B582" s="209" t="s">
        <v>2140</v>
      </c>
      <c r="C582" s="209" t="s">
        <v>3328</v>
      </c>
      <c r="D582" s="411" t="str">
        <f t="shared" si="11"/>
        <v>13-01</v>
      </c>
      <c r="E582" s="273" t="e">
        <f ca="1">_xludf.IFNA(VLOOKUP('Comp X - Kilter'!B582,'Kilter Holds'!$P$37:$AB$662,9,0),0)</f>
        <v>#NAME?</v>
      </c>
      <c r="F582" s="274"/>
      <c r="G582" s="274" t="e">
        <f t="shared" ca="1" si="8"/>
        <v>#NAME?</v>
      </c>
      <c r="H582" s="274">
        <f t="shared" si="9"/>
        <v>0</v>
      </c>
      <c r="K582" s="274"/>
    </row>
    <row r="583" spans="2:11" ht="13.5" customHeight="1">
      <c r="B583" s="209" t="s">
        <v>2140</v>
      </c>
      <c r="C583" s="209" t="s">
        <v>3328</v>
      </c>
      <c r="D583" s="413" t="str">
        <f t="shared" si="11"/>
        <v>07-13</v>
      </c>
      <c r="E583" s="273" t="e">
        <f ca="1">_xludf.IFNA(VLOOKUP('Comp X - Kilter'!B583,'Kilter Holds'!$P$37:$AB$662,10,0),0)</f>
        <v>#NAME?</v>
      </c>
      <c r="F583" s="274"/>
      <c r="G583" s="274" t="e">
        <f t="shared" ca="1" si="8"/>
        <v>#NAME?</v>
      </c>
      <c r="H583" s="274">
        <f t="shared" si="9"/>
        <v>0</v>
      </c>
      <c r="K583" s="274"/>
    </row>
    <row r="584" spans="2:11" ht="13.5" customHeight="1">
      <c r="B584" s="209" t="s">
        <v>2140</v>
      </c>
      <c r="C584" s="209" t="s">
        <v>3328</v>
      </c>
      <c r="D584" s="414" t="str">
        <f t="shared" si="11"/>
        <v>11-26</v>
      </c>
      <c r="E584" s="273" t="e">
        <f ca="1">_xludf.IFNA(VLOOKUP('Comp X - Kilter'!B584,'Kilter Holds'!$P$37:$AB$662,11,0),0)</f>
        <v>#NAME?</v>
      </c>
      <c r="F584" s="274"/>
      <c r="G584" s="274" t="e">
        <f t="shared" ca="1" si="8"/>
        <v>#NAME?</v>
      </c>
      <c r="H584" s="274">
        <f t="shared" si="9"/>
        <v>0</v>
      </c>
      <c r="K584" s="274"/>
    </row>
    <row r="585" spans="2:11" ht="13.5" customHeight="1">
      <c r="B585" s="209" t="s">
        <v>2140</v>
      </c>
      <c r="C585" s="209" t="s">
        <v>3328</v>
      </c>
      <c r="D585" s="415" t="str">
        <f t="shared" si="11"/>
        <v>18-01</v>
      </c>
      <c r="E585" s="273" t="e">
        <f ca="1">_xludf.IFNA(VLOOKUP('Comp X - Kilter'!B585,'Kilter Holds'!$P$37:$AB$662,12,0),0)</f>
        <v>#NAME?</v>
      </c>
      <c r="F585" s="274"/>
      <c r="G585" s="274" t="e">
        <f t="shared" ca="1" si="8"/>
        <v>#NAME?</v>
      </c>
      <c r="H585" s="274">
        <f t="shared" si="9"/>
        <v>0</v>
      </c>
      <c r="K585" s="274"/>
    </row>
    <row r="586" spans="2:11" ht="13.5" customHeight="1">
      <c r="B586" s="209" t="s">
        <v>2140</v>
      </c>
      <c r="C586" s="209" t="s">
        <v>3328</v>
      </c>
      <c r="D586" s="416" t="str">
        <f t="shared" si="11"/>
        <v>Color Code</v>
      </c>
      <c r="E586" s="273" t="e">
        <f ca="1">_xludf.IFNA(VLOOKUP('Comp X - Kilter'!B586,'Kilter Holds'!$P$37:$AB$662,13,0),0)</f>
        <v>#NAME?</v>
      </c>
      <c r="F586" s="274"/>
      <c r="G586" s="274" t="e">
        <f t="shared" ca="1" si="8"/>
        <v>#NAME?</v>
      </c>
      <c r="H586" s="274">
        <f t="shared" si="9"/>
        <v>0</v>
      </c>
      <c r="K586" s="274"/>
    </row>
    <row r="587" spans="2:11" ht="13.5" customHeight="1">
      <c r="B587" s="209" t="s">
        <v>2147</v>
      </c>
      <c r="C587" s="209" t="s">
        <v>3329</v>
      </c>
      <c r="D587" s="406" t="str">
        <f t="shared" si="11"/>
        <v>11-12</v>
      </c>
      <c r="E587" s="273" t="e">
        <f ca="1">_xludf.IFNA(VLOOKUP('Comp X - Kilter'!B587,'Kilter Holds'!$P$37:$AB$662,5,0),0)</f>
        <v>#NAME?</v>
      </c>
      <c r="F587" s="274"/>
      <c r="G587" s="274" t="e">
        <f t="shared" ca="1" si="8"/>
        <v>#NAME?</v>
      </c>
      <c r="H587" s="274">
        <f t="shared" si="9"/>
        <v>0</v>
      </c>
      <c r="K587" s="274"/>
    </row>
    <row r="588" spans="2:11" ht="13.5" customHeight="1">
      <c r="B588" s="209" t="s">
        <v>2147</v>
      </c>
      <c r="C588" s="209" t="s">
        <v>3329</v>
      </c>
      <c r="D588" s="408" t="str">
        <f t="shared" si="11"/>
        <v>14-01</v>
      </c>
      <c r="E588" s="273" t="e">
        <f ca="1">_xludf.IFNA(VLOOKUP('Comp X - Kilter'!B588,'Kilter Holds'!$P$37:$AB$662,6,0),0)</f>
        <v>#NAME?</v>
      </c>
      <c r="F588" s="274"/>
      <c r="G588" s="274" t="e">
        <f t="shared" ca="1" si="8"/>
        <v>#NAME?</v>
      </c>
      <c r="H588" s="274">
        <f t="shared" si="9"/>
        <v>0</v>
      </c>
      <c r="K588" s="274"/>
    </row>
    <row r="589" spans="2:11" ht="13.5" customHeight="1">
      <c r="B589" s="209" t="s">
        <v>2147</v>
      </c>
      <c r="C589" s="209" t="s">
        <v>3329</v>
      </c>
      <c r="D589" s="409" t="str">
        <f t="shared" si="11"/>
        <v>15-12</v>
      </c>
      <c r="E589" s="273" t="e">
        <f ca="1">_xludf.IFNA(VLOOKUP('Comp X - Kilter'!B589,'Kilter Holds'!$P$37:$AB$662,7,0),0)</f>
        <v>#NAME?</v>
      </c>
      <c r="F589" s="274"/>
      <c r="G589" s="274" t="e">
        <f t="shared" ca="1" si="8"/>
        <v>#NAME?</v>
      </c>
      <c r="H589" s="274">
        <f t="shared" si="9"/>
        <v>0</v>
      </c>
      <c r="K589" s="274"/>
    </row>
    <row r="590" spans="2:11" ht="13.5" customHeight="1">
      <c r="B590" s="209" t="s">
        <v>2147</v>
      </c>
      <c r="C590" s="209" t="s">
        <v>3329</v>
      </c>
      <c r="D590" s="410" t="str">
        <f t="shared" si="11"/>
        <v>16-16</v>
      </c>
      <c r="E590" s="273" t="e">
        <f ca="1">_xludf.IFNA(VLOOKUP('Comp X - Kilter'!B590,'Kilter Holds'!$P$37:$AB$662,8,0),0)</f>
        <v>#NAME?</v>
      </c>
      <c r="F590" s="274"/>
      <c r="G590" s="274" t="e">
        <f t="shared" ca="1" si="8"/>
        <v>#NAME?</v>
      </c>
      <c r="H590" s="274">
        <f t="shared" si="9"/>
        <v>0</v>
      </c>
      <c r="K590" s="274"/>
    </row>
    <row r="591" spans="2:11" ht="13.5" customHeight="1">
      <c r="B591" s="209" t="s">
        <v>2147</v>
      </c>
      <c r="C591" s="209" t="s">
        <v>3329</v>
      </c>
      <c r="D591" s="411" t="str">
        <f t="shared" si="11"/>
        <v>13-01</v>
      </c>
      <c r="E591" s="273" t="e">
        <f ca="1">_xludf.IFNA(VLOOKUP('Comp X - Kilter'!B591,'Kilter Holds'!$P$37:$AB$662,9,0),0)</f>
        <v>#NAME?</v>
      </c>
      <c r="F591" s="274"/>
      <c r="G591" s="274" t="e">
        <f t="shared" ca="1" si="8"/>
        <v>#NAME?</v>
      </c>
      <c r="H591" s="274">
        <f t="shared" si="9"/>
        <v>0</v>
      </c>
      <c r="K591" s="274"/>
    </row>
    <row r="592" spans="2:11" ht="13.5" customHeight="1">
      <c r="B592" s="209" t="s">
        <v>2147</v>
      </c>
      <c r="C592" s="209" t="s">
        <v>3329</v>
      </c>
      <c r="D592" s="413" t="str">
        <f t="shared" si="11"/>
        <v>07-13</v>
      </c>
      <c r="E592" s="273" t="e">
        <f ca="1">_xludf.IFNA(VLOOKUP('Comp X - Kilter'!B592,'Kilter Holds'!$P$37:$AB$662,10,0),0)</f>
        <v>#NAME?</v>
      </c>
      <c r="F592" s="274"/>
      <c r="G592" s="274" t="e">
        <f t="shared" ca="1" si="8"/>
        <v>#NAME?</v>
      </c>
      <c r="H592" s="274">
        <f t="shared" si="9"/>
        <v>0</v>
      </c>
      <c r="K592" s="274"/>
    </row>
    <row r="593" spans="2:11" ht="13.5" customHeight="1">
      <c r="B593" s="209" t="s">
        <v>2147</v>
      </c>
      <c r="C593" s="209" t="s">
        <v>3329</v>
      </c>
      <c r="D593" s="414" t="str">
        <f t="shared" si="11"/>
        <v>11-26</v>
      </c>
      <c r="E593" s="273" t="e">
        <f ca="1">_xludf.IFNA(VLOOKUP('Comp X - Kilter'!B593,'Kilter Holds'!$P$37:$AB$662,11,0),0)</f>
        <v>#NAME?</v>
      </c>
      <c r="F593" s="274"/>
      <c r="G593" s="274" t="e">
        <f t="shared" ca="1" si="8"/>
        <v>#NAME?</v>
      </c>
      <c r="H593" s="274">
        <f t="shared" si="9"/>
        <v>0</v>
      </c>
      <c r="K593" s="274"/>
    </row>
    <row r="594" spans="2:11" ht="13.5" customHeight="1">
      <c r="B594" s="209" t="s">
        <v>2147</v>
      </c>
      <c r="C594" s="209" t="s">
        <v>3329</v>
      </c>
      <c r="D594" s="415" t="str">
        <f t="shared" si="11"/>
        <v>18-01</v>
      </c>
      <c r="E594" s="273" t="e">
        <f ca="1">_xludf.IFNA(VLOOKUP('Comp X - Kilter'!B594,'Kilter Holds'!$P$37:$AB$662,12,0),0)</f>
        <v>#NAME?</v>
      </c>
      <c r="F594" s="274"/>
      <c r="G594" s="274" t="e">
        <f t="shared" ca="1" si="8"/>
        <v>#NAME?</v>
      </c>
      <c r="H594" s="274">
        <f t="shared" si="9"/>
        <v>0</v>
      </c>
      <c r="K594" s="274"/>
    </row>
    <row r="595" spans="2:11" ht="13.5" customHeight="1">
      <c r="B595" s="209" t="s">
        <v>2147</v>
      </c>
      <c r="C595" s="209" t="s">
        <v>3329</v>
      </c>
      <c r="D595" s="416" t="str">
        <f t="shared" si="11"/>
        <v>Color Code</v>
      </c>
      <c r="E595" s="273" t="e">
        <f ca="1">_xludf.IFNA(VLOOKUP('Comp X - Kilter'!B595,'Kilter Holds'!$P$37:$AB$662,13,0),0)</f>
        <v>#NAME?</v>
      </c>
      <c r="F595" s="274"/>
      <c r="G595" s="274" t="e">
        <f t="shared" ca="1" si="8"/>
        <v>#NAME?</v>
      </c>
      <c r="H595" s="274">
        <f t="shared" si="9"/>
        <v>0</v>
      </c>
      <c r="K595" s="274"/>
    </row>
    <row r="596" spans="2:11" ht="13.5" customHeight="1">
      <c r="B596" s="209" t="s">
        <v>2143</v>
      </c>
      <c r="C596" s="209" t="s">
        <v>3330</v>
      </c>
      <c r="D596" s="406" t="str">
        <f t="shared" ref="D596:D604" si="12">D560</f>
        <v>11-12</v>
      </c>
      <c r="E596" s="273" t="e">
        <f ca="1">_xludf.IFNA(VLOOKUP('Comp X - Kilter'!B596,'Kilter Holds'!$P$37:$AB$662,5,0),0)</f>
        <v>#NAME?</v>
      </c>
      <c r="F596" s="274"/>
      <c r="G596" s="274" t="e">
        <f t="shared" ca="1" si="8"/>
        <v>#NAME?</v>
      </c>
      <c r="H596" s="274">
        <f t="shared" si="9"/>
        <v>0</v>
      </c>
      <c r="K596" s="274"/>
    </row>
    <row r="597" spans="2:11" ht="13.5" customHeight="1">
      <c r="B597" s="209" t="s">
        <v>2143</v>
      </c>
      <c r="C597" s="209" t="s">
        <v>3330</v>
      </c>
      <c r="D597" s="408" t="str">
        <f t="shared" si="12"/>
        <v>14-01</v>
      </c>
      <c r="E597" s="273" t="e">
        <f ca="1">_xludf.IFNA(VLOOKUP('Comp X - Kilter'!B597,'Kilter Holds'!$P$37:$AB$662,6,0),0)</f>
        <v>#NAME?</v>
      </c>
      <c r="F597" s="274"/>
      <c r="G597" s="274" t="e">
        <f t="shared" ca="1" si="8"/>
        <v>#NAME?</v>
      </c>
      <c r="H597" s="274">
        <f t="shared" si="9"/>
        <v>0</v>
      </c>
      <c r="K597" s="274"/>
    </row>
    <row r="598" spans="2:11" ht="13.5" customHeight="1">
      <c r="B598" s="209" t="s">
        <v>2143</v>
      </c>
      <c r="C598" s="209" t="s">
        <v>3330</v>
      </c>
      <c r="D598" s="409" t="str">
        <f t="shared" si="12"/>
        <v>15-12</v>
      </c>
      <c r="E598" s="273" t="e">
        <f ca="1">_xludf.IFNA(VLOOKUP('Comp X - Kilter'!B598,'Kilter Holds'!$P$37:$AB$662,7,0),0)</f>
        <v>#NAME?</v>
      </c>
      <c r="F598" s="274"/>
      <c r="G598" s="274" t="e">
        <f t="shared" ca="1" si="8"/>
        <v>#NAME?</v>
      </c>
      <c r="H598" s="274">
        <f t="shared" si="9"/>
        <v>0</v>
      </c>
      <c r="K598" s="274"/>
    </row>
    <row r="599" spans="2:11" ht="13.5" customHeight="1">
      <c r="B599" s="209" t="s">
        <v>2143</v>
      </c>
      <c r="C599" s="209" t="s">
        <v>3330</v>
      </c>
      <c r="D599" s="410" t="str">
        <f t="shared" si="12"/>
        <v>16-16</v>
      </c>
      <c r="E599" s="273" t="e">
        <f ca="1">_xludf.IFNA(VLOOKUP('Comp X - Kilter'!B599,'Kilter Holds'!$P$37:$AB$662,8,0),0)</f>
        <v>#NAME?</v>
      </c>
      <c r="F599" s="274"/>
      <c r="G599" s="274" t="e">
        <f t="shared" ca="1" si="8"/>
        <v>#NAME?</v>
      </c>
      <c r="H599" s="274">
        <f t="shared" si="9"/>
        <v>0</v>
      </c>
      <c r="K599" s="274"/>
    </row>
    <row r="600" spans="2:11" ht="13.5" customHeight="1">
      <c r="B600" s="209" t="s">
        <v>2143</v>
      </c>
      <c r="C600" s="209" t="s">
        <v>3330</v>
      </c>
      <c r="D600" s="411" t="str">
        <f t="shared" si="12"/>
        <v>13-01</v>
      </c>
      <c r="E600" s="273" t="e">
        <f ca="1">_xludf.IFNA(VLOOKUP('Comp X - Kilter'!B600,'Kilter Holds'!$P$37:$AB$662,9,0),0)</f>
        <v>#NAME?</v>
      </c>
      <c r="F600" s="274"/>
      <c r="G600" s="274" t="e">
        <f t="shared" ca="1" si="8"/>
        <v>#NAME?</v>
      </c>
      <c r="H600" s="274">
        <f t="shared" si="9"/>
        <v>0</v>
      </c>
      <c r="K600" s="274"/>
    </row>
    <row r="601" spans="2:11" ht="13.5" customHeight="1">
      <c r="B601" s="209" t="s">
        <v>2143</v>
      </c>
      <c r="C601" s="209" t="s">
        <v>3330</v>
      </c>
      <c r="D601" s="413" t="str">
        <f t="shared" si="12"/>
        <v>07-13</v>
      </c>
      <c r="E601" s="273" t="e">
        <f ca="1">_xludf.IFNA(VLOOKUP('Comp X - Kilter'!B601,'Kilter Holds'!$P$37:$AB$662,10,0),0)</f>
        <v>#NAME?</v>
      </c>
      <c r="F601" s="274"/>
      <c r="G601" s="274" t="e">
        <f t="shared" ca="1" si="8"/>
        <v>#NAME?</v>
      </c>
      <c r="H601" s="274">
        <f t="shared" si="9"/>
        <v>0</v>
      </c>
      <c r="K601" s="274"/>
    </row>
    <row r="602" spans="2:11" ht="13.5" customHeight="1">
      <c r="B602" s="209" t="s">
        <v>2143</v>
      </c>
      <c r="C602" s="209" t="s">
        <v>3330</v>
      </c>
      <c r="D602" s="414" t="str">
        <f t="shared" si="12"/>
        <v>11-26</v>
      </c>
      <c r="E602" s="273" t="e">
        <f ca="1">_xludf.IFNA(VLOOKUP('Comp X - Kilter'!B602,'Kilter Holds'!$P$37:$AB$662,11,0),0)</f>
        <v>#NAME?</v>
      </c>
      <c r="F602" s="274"/>
      <c r="G602" s="274" t="e">
        <f t="shared" ca="1" si="8"/>
        <v>#NAME?</v>
      </c>
      <c r="H602" s="274">
        <f t="shared" si="9"/>
        <v>0</v>
      </c>
      <c r="K602" s="274"/>
    </row>
    <row r="603" spans="2:11" ht="13.5" customHeight="1">
      <c r="B603" s="209" t="s">
        <v>2143</v>
      </c>
      <c r="C603" s="209" t="s">
        <v>3330</v>
      </c>
      <c r="D603" s="415" t="str">
        <f t="shared" si="12"/>
        <v>18-01</v>
      </c>
      <c r="E603" s="273" t="e">
        <f ca="1">_xludf.IFNA(VLOOKUP('Comp X - Kilter'!B603,'Kilter Holds'!$P$37:$AB$662,12,0),0)</f>
        <v>#NAME?</v>
      </c>
      <c r="F603" s="274"/>
      <c r="G603" s="274" t="e">
        <f t="shared" ca="1" si="8"/>
        <v>#NAME?</v>
      </c>
      <c r="H603" s="274">
        <f t="shared" si="9"/>
        <v>0</v>
      </c>
      <c r="K603" s="274"/>
    </row>
    <row r="604" spans="2:11" ht="13.5" customHeight="1">
      <c r="B604" s="209" t="s">
        <v>2143</v>
      </c>
      <c r="C604" s="209" t="s">
        <v>3330</v>
      </c>
      <c r="D604" s="416" t="str">
        <f t="shared" si="12"/>
        <v>Color Code</v>
      </c>
      <c r="E604" s="273" t="e">
        <f ca="1">_xludf.IFNA(VLOOKUP('Comp X - Kilter'!B604,'Kilter Holds'!$P$37:$AB$662,13,0),0)</f>
        <v>#NAME?</v>
      </c>
      <c r="F604" s="274"/>
      <c r="G604" s="274" t="e">
        <f t="shared" ca="1" si="8"/>
        <v>#NAME?</v>
      </c>
      <c r="H604" s="274">
        <f t="shared" si="9"/>
        <v>0</v>
      </c>
      <c r="K604" s="274"/>
    </row>
    <row r="605" spans="2:11" ht="13.5" customHeight="1">
      <c r="B605" s="209" t="s">
        <v>2121</v>
      </c>
      <c r="C605" s="209" t="s">
        <v>3331</v>
      </c>
      <c r="D605" s="406" t="str">
        <f t="shared" ref="D605:D631" si="13">D596</f>
        <v>11-12</v>
      </c>
      <c r="E605" s="273" t="e">
        <f ca="1">_xludf.IFNA(VLOOKUP('Comp X - Kilter'!B605,'Kilter Holds'!$P$37:$AB$662,5,0),0)</f>
        <v>#NAME?</v>
      </c>
      <c r="F605" s="274"/>
      <c r="G605" s="274" t="e">
        <f t="shared" ca="1" si="8"/>
        <v>#NAME?</v>
      </c>
      <c r="H605" s="274">
        <f t="shared" si="9"/>
        <v>0</v>
      </c>
      <c r="K605" s="274"/>
    </row>
    <row r="606" spans="2:11" ht="13.5" customHeight="1">
      <c r="B606" s="209" t="s">
        <v>2121</v>
      </c>
      <c r="C606" s="209" t="s">
        <v>3331</v>
      </c>
      <c r="D606" s="408" t="str">
        <f t="shared" si="13"/>
        <v>14-01</v>
      </c>
      <c r="E606" s="273" t="e">
        <f ca="1">_xludf.IFNA(VLOOKUP('Comp X - Kilter'!B606,'Kilter Holds'!$P$37:$AB$662,6,0),0)</f>
        <v>#NAME?</v>
      </c>
      <c r="F606" s="274"/>
      <c r="G606" s="274" t="e">
        <f t="shared" ca="1" si="8"/>
        <v>#NAME?</v>
      </c>
      <c r="H606" s="274">
        <f t="shared" si="9"/>
        <v>0</v>
      </c>
      <c r="K606" s="274"/>
    </row>
    <row r="607" spans="2:11" ht="13.5" customHeight="1">
      <c r="B607" s="209" t="s">
        <v>2121</v>
      </c>
      <c r="C607" s="209" t="s">
        <v>3331</v>
      </c>
      <c r="D607" s="409" t="str">
        <f t="shared" si="13"/>
        <v>15-12</v>
      </c>
      <c r="E607" s="273" t="e">
        <f ca="1">_xludf.IFNA(VLOOKUP('Comp X - Kilter'!B607,'Kilter Holds'!$P$37:$AB$662,7,0),0)</f>
        <v>#NAME?</v>
      </c>
      <c r="F607" s="274"/>
      <c r="G607" s="274" t="e">
        <f t="shared" ca="1" si="8"/>
        <v>#NAME?</v>
      </c>
      <c r="H607" s="274">
        <f t="shared" si="9"/>
        <v>0</v>
      </c>
      <c r="K607" s="274"/>
    </row>
    <row r="608" spans="2:11" ht="13.5" customHeight="1">
      <c r="B608" s="209" t="s">
        <v>2121</v>
      </c>
      <c r="C608" s="209" t="s">
        <v>3331</v>
      </c>
      <c r="D608" s="410" t="str">
        <f t="shared" si="13"/>
        <v>16-16</v>
      </c>
      <c r="E608" s="273" t="e">
        <f ca="1">_xludf.IFNA(VLOOKUP('Comp X - Kilter'!B608,'Kilter Holds'!$P$37:$AB$662,8,0),0)</f>
        <v>#NAME?</v>
      </c>
      <c r="F608" s="274"/>
      <c r="G608" s="274" t="e">
        <f t="shared" ca="1" si="8"/>
        <v>#NAME?</v>
      </c>
      <c r="H608" s="274">
        <f t="shared" si="9"/>
        <v>0</v>
      </c>
      <c r="K608" s="274"/>
    </row>
    <row r="609" spans="2:11" ht="13.5" customHeight="1">
      <c r="B609" s="209" t="s">
        <v>2121</v>
      </c>
      <c r="C609" s="209" t="s">
        <v>3331</v>
      </c>
      <c r="D609" s="411" t="str">
        <f t="shared" si="13"/>
        <v>13-01</v>
      </c>
      <c r="E609" s="273" t="e">
        <f ca="1">_xludf.IFNA(VLOOKUP('Comp X - Kilter'!B609,'Kilter Holds'!$P$37:$AB$662,9,0),0)</f>
        <v>#NAME?</v>
      </c>
      <c r="F609" s="274"/>
      <c r="G609" s="274" t="e">
        <f t="shared" ca="1" si="8"/>
        <v>#NAME?</v>
      </c>
      <c r="H609" s="274">
        <f t="shared" si="9"/>
        <v>0</v>
      </c>
      <c r="K609" s="274"/>
    </row>
    <row r="610" spans="2:11" ht="13.5" customHeight="1">
      <c r="B610" s="209" t="s">
        <v>2121</v>
      </c>
      <c r="C610" s="209" t="s">
        <v>3331</v>
      </c>
      <c r="D610" s="413" t="str">
        <f t="shared" si="13"/>
        <v>07-13</v>
      </c>
      <c r="E610" s="273" t="e">
        <f ca="1">_xludf.IFNA(VLOOKUP('Comp X - Kilter'!B610,'Kilter Holds'!$P$37:$AB$662,10,0),0)</f>
        <v>#NAME?</v>
      </c>
      <c r="F610" s="274"/>
      <c r="G610" s="274" t="e">
        <f t="shared" ca="1" si="8"/>
        <v>#NAME?</v>
      </c>
      <c r="H610" s="274">
        <f t="shared" si="9"/>
        <v>0</v>
      </c>
      <c r="K610" s="274"/>
    </row>
    <row r="611" spans="2:11" ht="13.5" customHeight="1">
      <c r="B611" s="209" t="s">
        <v>2121</v>
      </c>
      <c r="C611" s="209" t="s">
        <v>3331</v>
      </c>
      <c r="D611" s="414" t="str">
        <f t="shared" si="13"/>
        <v>11-26</v>
      </c>
      <c r="E611" s="273" t="e">
        <f ca="1">_xludf.IFNA(VLOOKUP('Comp X - Kilter'!B611,'Kilter Holds'!$P$37:$AB$662,11,0),0)</f>
        <v>#NAME?</v>
      </c>
      <c r="F611" s="274"/>
      <c r="G611" s="274" t="e">
        <f t="shared" ca="1" si="8"/>
        <v>#NAME?</v>
      </c>
      <c r="H611" s="274">
        <f t="shared" si="9"/>
        <v>0</v>
      </c>
      <c r="K611" s="274"/>
    </row>
    <row r="612" spans="2:11" ht="13.5" customHeight="1">
      <c r="B612" s="209" t="s">
        <v>2121</v>
      </c>
      <c r="C612" s="209" t="s">
        <v>3331</v>
      </c>
      <c r="D612" s="415" t="str">
        <f t="shared" si="13"/>
        <v>18-01</v>
      </c>
      <c r="E612" s="273" t="e">
        <f ca="1">_xludf.IFNA(VLOOKUP('Comp X - Kilter'!B612,'Kilter Holds'!$P$37:$AB$662,12,0),0)</f>
        <v>#NAME?</v>
      </c>
      <c r="F612" s="274"/>
      <c r="G612" s="274" t="e">
        <f t="shared" ca="1" si="8"/>
        <v>#NAME?</v>
      </c>
      <c r="H612" s="274">
        <f t="shared" si="9"/>
        <v>0</v>
      </c>
      <c r="K612" s="274"/>
    </row>
    <row r="613" spans="2:11" ht="13.5" customHeight="1">
      <c r="B613" s="209" t="s">
        <v>2121</v>
      </c>
      <c r="C613" s="209" t="s">
        <v>3331</v>
      </c>
      <c r="D613" s="416" t="str">
        <f t="shared" si="13"/>
        <v>Color Code</v>
      </c>
      <c r="E613" s="273" t="e">
        <f ca="1">_xludf.IFNA(VLOOKUP('Comp X - Kilter'!B613,'Kilter Holds'!$P$37:$AB$662,13,0),0)</f>
        <v>#NAME?</v>
      </c>
      <c r="F613" s="274"/>
      <c r="G613" s="274" t="e">
        <f t="shared" ca="1" si="8"/>
        <v>#NAME?</v>
      </c>
      <c r="H613" s="274">
        <f t="shared" si="9"/>
        <v>0</v>
      </c>
      <c r="K613" s="274"/>
    </row>
    <row r="614" spans="2:11" ht="13.5" customHeight="1">
      <c r="B614" s="209" t="s">
        <v>2151</v>
      </c>
      <c r="C614" s="209" t="s">
        <v>3332</v>
      </c>
      <c r="D614" s="406" t="str">
        <f t="shared" si="13"/>
        <v>11-12</v>
      </c>
      <c r="E614" s="273" t="e">
        <f ca="1">_xludf.IFNA(VLOOKUP('Comp X - Kilter'!B614,'Kilter Holds'!$P$37:$AB$662,5,0),0)</f>
        <v>#NAME?</v>
      </c>
      <c r="F614" s="274"/>
      <c r="G614" s="274" t="e">
        <f t="shared" ca="1" si="8"/>
        <v>#NAME?</v>
      </c>
      <c r="H614" s="274">
        <f t="shared" si="9"/>
        <v>0</v>
      </c>
      <c r="K614" s="274"/>
    </row>
    <row r="615" spans="2:11" ht="13.5" customHeight="1">
      <c r="B615" s="209" t="s">
        <v>2151</v>
      </c>
      <c r="C615" s="209" t="s">
        <v>3332</v>
      </c>
      <c r="D615" s="408" t="str">
        <f t="shared" si="13"/>
        <v>14-01</v>
      </c>
      <c r="E615" s="273" t="e">
        <f ca="1">_xludf.IFNA(VLOOKUP('Comp X - Kilter'!B615,'Kilter Holds'!$P$37:$AB$662,6,0),0)</f>
        <v>#NAME?</v>
      </c>
      <c r="F615" s="274"/>
      <c r="G615" s="274" t="e">
        <f t="shared" ca="1" si="8"/>
        <v>#NAME?</v>
      </c>
      <c r="H615" s="274">
        <f t="shared" si="9"/>
        <v>0</v>
      </c>
      <c r="K615" s="274"/>
    </row>
    <row r="616" spans="2:11" ht="13.5" customHeight="1">
      <c r="B616" s="209" t="s">
        <v>2151</v>
      </c>
      <c r="C616" s="209" t="s">
        <v>3332</v>
      </c>
      <c r="D616" s="409" t="str">
        <f t="shared" si="13"/>
        <v>15-12</v>
      </c>
      <c r="E616" s="273" t="e">
        <f ca="1">_xludf.IFNA(VLOOKUP('Comp X - Kilter'!B616,'Kilter Holds'!$P$37:$AB$662,7,0),0)</f>
        <v>#NAME?</v>
      </c>
      <c r="F616" s="274"/>
      <c r="G616" s="274" t="e">
        <f t="shared" ca="1" si="8"/>
        <v>#NAME?</v>
      </c>
      <c r="H616" s="274">
        <f t="shared" si="9"/>
        <v>0</v>
      </c>
      <c r="K616" s="274"/>
    </row>
    <row r="617" spans="2:11" ht="13.5" customHeight="1">
      <c r="B617" s="209" t="s">
        <v>2151</v>
      </c>
      <c r="C617" s="209" t="s">
        <v>3332</v>
      </c>
      <c r="D617" s="410" t="str">
        <f t="shared" si="13"/>
        <v>16-16</v>
      </c>
      <c r="E617" s="273" t="e">
        <f ca="1">_xludf.IFNA(VLOOKUP('Comp X - Kilter'!B617,'Kilter Holds'!$P$37:$AB$662,8,0),0)</f>
        <v>#NAME?</v>
      </c>
      <c r="F617" s="274"/>
      <c r="G617" s="274" t="e">
        <f t="shared" ca="1" si="8"/>
        <v>#NAME?</v>
      </c>
      <c r="H617" s="274">
        <f t="shared" si="9"/>
        <v>0</v>
      </c>
      <c r="K617" s="274"/>
    </row>
    <row r="618" spans="2:11" ht="13.5" customHeight="1">
      <c r="B618" s="209" t="s">
        <v>2151</v>
      </c>
      <c r="C618" s="209" t="s">
        <v>3332</v>
      </c>
      <c r="D618" s="411" t="str">
        <f t="shared" si="13"/>
        <v>13-01</v>
      </c>
      <c r="E618" s="273" t="e">
        <f ca="1">_xludf.IFNA(VLOOKUP('Comp X - Kilter'!B618,'Kilter Holds'!$P$37:$AB$662,9,0),0)</f>
        <v>#NAME?</v>
      </c>
      <c r="F618" s="274"/>
      <c r="G618" s="274" t="e">
        <f t="shared" ca="1" si="8"/>
        <v>#NAME?</v>
      </c>
      <c r="H618" s="274">
        <f t="shared" si="9"/>
        <v>0</v>
      </c>
      <c r="K618" s="274"/>
    </row>
    <row r="619" spans="2:11" ht="13.5" customHeight="1">
      <c r="B619" s="209" t="s">
        <v>2151</v>
      </c>
      <c r="C619" s="209" t="s">
        <v>3332</v>
      </c>
      <c r="D619" s="413" t="str">
        <f t="shared" si="13"/>
        <v>07-13</v>
      </c>
      <c r="E619" s="273" t="e">
        <f ca="1">_xludf.IFNA(VLOOKUP('Comp X - Kilter'!B619,'Kilter Holds'!$P$37:$AB$662,10,0),0)</f>
        <v>#NAME?</v>
      </c>
      <c r="F619" s="274"/>
      <c r="G619" s="274" t="e">
        <f t="shared" ca="1" si="8"/>
        <v>#NAME?</v>
      </c>
      <c r="H619" s="274">
        <f t="shared" si="9"/>
        <v>0</v>
      </c>
      <c r="K619" s="274"/>
    </row>
    <row r="620" spans="2:11" ht="13.5" customHeight="1">
      <c r="B620" s="209" t="s">
        <v>2151</v>
      </c>
      <c r="C620" s="209" t="s">
        <v>3332</v>
      </c>
      <c r="D620" s="414" t="str">
        <f t="shared" si="13"/>
        <v>11-26</v>
      </c>
      <c r="E620" s="273" t="e">
        <f ca="1">_xludf.IFNA(VLOOKUP('Comp X - Kilter'!B620,'Kilter Holds'!$P$37:$AB$662,11,0),0)</f>
        <v>#NAME?</v>
      </c>
      <c r="F620" s="274"/>
      <c r="G620" s="274" t="e">
        <f t="shared" ca="1" si="8"/>
        <v>#NAME?</v>
      </c>
      <c r="H620" s="274">
        <f t="shared" si="9"/>
        <v>0</v>
      </c>
      <c r="K620" s="274"/>
    </row>
    <row r="621" spans="2:11" ht="13.5" customHeight="1">
      <c r="B621" s="209" t="s">
        <v>2151</v>
      </c>
      <c r="C621" s="209" t="s">
        <v>3332</v>
      </c>
      <c r="D621" s="415" t="str">
        <f t="shared" si="13"/>
        <v>18-01</v>
      </c>
      <c r="E621" s="273" t="e">
        <f ca="1">_xludf.IFNA(VLOOKUP('Comp X - Kilter'!B621,'Kilter Holds'!$P$37:$AB$662,12,0),0)</f>
        <v>#NAME?</v>
      </c>
      <c r="F621" s="274"/>
      <c r="G621" s="274" t="e">
        <f t="shared" ca="1" si="8"/>
        <v>#NAME?</v>
      </c>
      <c r="H621" s="274">
        <f t="shared" si="9"/>
        <v>0</v>
      </c>
      <c r="K621" s="274"/>
    </row>
    <row r="622" spans="2:11" ht="13.5" customHeight="1">
      <c r="B622" s="209" t="s">
        <v>2151</v>
      </c>
      <c r="C622" s="209" t="s">
        <v>3332</v>
      </c>
      <c r="D622" s="416" t="str">
        <f t="shared" si="13"/>
        <v>Color Code</v>
      </c>
      <c r="E622" s="273" t="e">
        <f ca="1">_xludf.IFNA(VLOOKUP('Comp X - Kilter'!B622,'Kilter Holds'!$P$37:$AB$662,13,0),0)</f>
        <v>#NAME?</v>
      </c>
      <c r="F622" s="274"/>
      <c r="G622" s="274" t="e">
        <f t="shared" ca="1" si="8"/>
        <v>#NAME?</v>
      </c>
      <c r="H622" s="274">
        <f t="shared" si="9"/>
        <v>0</v>
      </c>
      <c r="K622" s="274"/>
    </row>
    <row r="623" spans="2:11" ht="13.5" customHeight="1">
      <c r="B623" s="209" t="s">
        <v>2152</v>
      </c>
      <c r="C623" s="209" t="s">
        <v>3333</v>
      </c>
      <c r="D623" s="406" t="str">
        <f t="shared" si="13"/>
        <v>11-12</v>
      </c>
      <c r="E623" s="273" t="e">
        <f ca="1">_xludf.IFNA(VLOOKUP('Comp X - Kilter'!B623,'Kilter Holds'!$P$37:$AB$662,5,0),0)</f>
        <v>#NAME?</v>
      </c>
      <c r="F623" s="274"/>
      <c r="G623" s="274" t="e">
        <f t="shared" ca="1" si="8"/>
        <v>#NAME?</v>
      </c>
      <c r="H623" s="274">
        <f t="shared" si="9"/>
        <v>0</v>
      </c>
      <c r="K623" s="274"/>
    </row>
    <row r="624" spans="2:11" ht="13.5" customHeight="1">
      <c r="B624" s="209" t="s">
        <v>2152</v>
      </c>
      <c r="C624" s="209" t="s">
        <v>3333</v>
      </c>
      <c r="D624" s="408" t="str">
        <f t="shared" si="13"/>
        <v>14-01</v>
      </c>
      <c r="E624" s="273" t="e">
        <f ca="1">_xludf.IFNA(VLOOKUP('Comp X - Kilter'!B624,'Kilter Holds'!$P$37:$AB$662,6,0),0)</f>
        <v>#NAME?</v>
      </c>
      <c r="F624" s="274"/>
      <c r="G624" s="274" t="e">
        <f t="shared" ca="1" si="8"/>
        <v>#NAME?</v>
      </c>
      <c r="H624" s="274">
        <f t="shared" si="9"/>
        <v>0</v>
      </c>
      <c r="K624" s="274"/>
    </row>
    <row r="625" spans="2:11" ht="13.5" customHeight="1">
      <c r="B625" s="209" t="s">
        <v>2152</v>
      </c>
      <c r="C625" s="209" t="s">
        <v>3333</v>
      </c>
      <c r="D625" s="409" t="str">
        <f t="shared" si="13"/>
        <v>15-12</v>
      </c>
      <c r="E625" s="273" t="e">
        <f ca="1">_xludf.IFNA(VLOOKUP('Comp X - Kilter'!B625,'Kilter Holds'!$P$37:$AB$662,7,0),0)</f>
        <v>#NAME?</v>
      </c>
      <c r="F625" s="274"/>
      <c r="G625" s="274" t="e">
        <f t="shared" ca="1" si="8"/>
        <v>#NAME?</v>
      </c>
      <c r="H625" s="274">
        <f t="shared" si="9"/>
        <v>0</v>
      </c>
      <c r="K625" s="274"/>
    </row>
    <row r="626" spans="2:11" ht="13.5" customHeight="1">
      <c r="B626" s="209" t="s">
        <v>2152</v>
      </c>
      <c r="C626" s="209" t="s">
        <v>3333</v>
      </c>
      <c r="D626" s="410" t="str">
        <f t="shared" si="13"/>
        <v>16-16</v>
      </c>
      <c r="E626" s="273" t="e">
        <f ca="1">_xludf.IFNA(VLOOKUP('Comp X - Kilter'!B626,'Kilter Holds'!$P$37:$AB$662,8,0),0)</f>
        <v>#NAME?</v>
      </c>
      <c r="F626" s="274"/>
      <c r="G626" s="274" t="e">
        <f t="shared" ca="1" si="8"/>
        <v>#NAME?</v>
      </c>
      <c r="H626" s="274">
        <f t="shared" si="9"/>
        <v>0</v>
      </c>
      <c r="K626" s="274"/>
    </row>
    <row r="627" spans="2:11" ht="13.5" customHeight="1">
      <c r="B627" s="209" t="s">
        <v>2152</v>
      </c>
      <c r="C627" s="209" t="s">
        <v>3333</v>
      </c>
      <c r="D627" s="411" t="str">
        <f t="shared" si="13"/>
        <v>13-01</v>
      </c>
      <c r="E627" s="273" t="e">
        <f ca="1">_xludf.IFNA(VLOOKUP('Comp X - Kilter'!B627,'Kilter Holds'!$P$37:$AB$662,9,0),0)</f>
        <v>#NAME?</v>
      </c>
      <c r="F627" s="274"/>
      <c r="G627" s="274" t="e">
        <f t="shared" ca="1" si="8"/>
        <v>#NAME?</v>
      </c>
      <c r="H627" s="274">
        <f t="shared" si="9"/>
        <v>0</v>
      </c>
      <c r="K627" s="274"/>
    </row>
    <row r="628" spans="2:11" ht="13.5" customHeight="1">
      <c r="B628" s="209" t="s">
        <v>2152</v>
      </c>
      <c r="C628" s="209" t="s">
        <v>3333</v>
      </c>
      <c r="D628" s="413" t="str">
        <f t="shared" si="13"/>
        <v>07-13</v>
      </c>
      <c r="E628" s="273" t="e">
        <f ca="1">_xludf.IFNA(VLOOKUP('Comp X - Kilter'!B628,'Kilter Holds'!$P$37:$AB$662,10,0),0)</f>
        <v>#NAME?</v>
      </c>
      <c r="F628" s="274"/>
      <c r="G628" s="274" t="e">
        <f t="shared" ca="1" si="8"/>
        <v>#NAME?</v>
      </c>
      <c r="H628" s="274">
        <f t="shared" si="9"/>
        <v>0</v>
      </c>
      <c r="K628" s="274"/>
    </row>
    <row r="629" spans="2:11" ht="13.5" customHeight="1">
      <c r="B629" s="209" t="s">
        <v>2152</v>
      </c>
      <c r="C629" s="209" t="s">
        <v>3333</v>
      </c>
      <c r="D629" s="414" t="str">
        <f t="shared" si="13"/>
        <v>11-26</v>
      </c>
      <c r="E629" s="273" t="e">
        <f ca="1">_xludf.IFNA(VLOOKUP('Comp X - Kilter'!B629,'Kilter Holds'!$P$37:$AB$662,11,0),0)</f>
        <v>#NAME?</v>
      </c>
      <c r="F629" s="274"/>
      <c r="G629" s="274" t="e">
        <f t="shared" ca="1" si="8"/>
        <v>#NAME?</v>
      </c>
      <c r="H629" s="274">
        <f t="shared" si="9"/>
        <v>0</v>
      </c>
      <c r="K629" s="274"/>
    </row>
    <row r="630" spans="2:11" ht="13.5" customHeight="1">
      <c r="B630" s="209" t="s">
        <v>2152</v>
      </c>
      <c r="C630" s="209" t="s">
        <v>3333</v>
      </c>
      <c r="D630" s="415" t="str">
        <f t="shared" si="13"/>
        <v>18-01</v>
      </c>
      <c r="E630" s="273" t="e">
        <f ca="1">_xludf.IFNA(VLOOKUP('Comp X - Kilter'!B630,'Kilter Holds'!$P$37:$AB$662,12,0),0)</f>
        <v>#NAME?</v>
      </c>
      <c r="F630" s="274"/>
      <c r="G630" s="274" t="e">
        <f t="shared" ca="1" si="8"/>
        <v>#NAME?</v>
      </c>
      <c r="H630" s="274">
        <f t="shared" si="9"/>
        <v>0</v>
      </c>
      <c r="K630" s="274"/>
    </row>
    <row r="631" spans="2:11" ht="13.5" customHeight="1">
      <c r="B631" s="209" t="s">
        <v>2152</v>
      </c>
      <c r="C631" s="209" t="s">
        <v>3333</v>
      </c>
      <c r="D631" s="416" t="str">
        <f t="shared" si="13"/>
        <v>Color Code</v>
      </c>
      <c r="E631" s="273" t="e">
        <f ca="1">_xludf.IFNA(VLOOKUP('Comp X - Kilter'!B631,'Kilter Holds'!$P$37:$AB$662,13,0),0)</f>
        <v>#NAME?</v>
      </c>
      <c r="F631" s="274"/>
      <c r="G631" s="274" t="e">
        <f t="shared" ca="1" si="8"/>
        <v>#NAME?</v>
      </c>
      <c r="H631" s="274">
        <f t="shared" si="9"/>
        <v>0</v>
      </c>
      <c r="K631" s="274"/>
    </row>
    <row r="632" spans="2:11" ht="13.5" customHeight="1">
      <c r="B632" s="1" t="s">
        <v>2170</v>
      </c>
      <c r="C632" s="1" t="s">
        <v>3334</v>
      </c>
      <c r="D632" s="406" t="str">
        <f t="shared" ref="D632:D640" si="14">D614</f>
        <v>11-12</v>
      </c>
      <c r="E632" s="273" t="e">
        <f ca="1">_xludf.IFNA(VLOOKUP('Comp X - Kilter'!B632,'Kilter Holds'!$P$37:$AB$662,5,0),0)</f>
        <v>#NAME?</v>
      </c>
      <c r="F632" s="274"/>
      <c r="G632" s="274" t="e">
        <f t="shared" ca="1" si="8"/>
        <v>#NAME?</v>
      </c>
      <c r="H632" s="274">
        <f t="shared" si="9"/>
        <v>0</v>
      </c>
      <c r="K632" s="274"/>
    </row>
    <row r="633" spans="2:11" ht="13.5" customHeight="1">
      <c r="B633" s="1" t="s">
        <v>2170</v>
      </c>
      <c r="C633" s="1" t="s">
        <v>3334</v>
      </c>
      <c r="D633" s="408" t="str">
        <f t="shared" si="14"/>
        <v>14-01</v>
      </c>
      <c r="E633" s="273" t="e">
        <f ca="1">_xludf.IFNA(VLOOKUP('Comp X - Kilter'!B633,'Kilter Holds'!$P$37:$AB$662,6,0),0)</f>
        <v>#NAME?</v>
      </c>
      <c r="F633" s="274"/>
      <c r="G633" s="274" t="e">
        <f t="shared" ca="1" si="8"/>
        <v>#NAME?</v>
      </c>
      <c r="H633" s="274">
        <f t="shared" si="9"/>
        <v>0</v>
      </c>
      <c r="K633" s="274"/>
    </row>
    <row r="634" spans="2:11" ht="13.5" customHeight="1">
      <c r="B634" s="1" t="s">
        <v>2170</v>
      </c>
      <c r="C634" s="1" t="s">
        <v>3334</v>
      </c>
      <c r="D634" s="409" t="str">
        <f t="shared" si="14"/>
        <v>15-12</v>
      </c>
      <c r="E634" s="273" t="e">
        <f ca="1">_xludf.IFNA(VLOOKUP('Comp X - Kilter'!B634,'Kilter Holds'!$P$37:$AB$662,7,0),0)</f>
        <v>#NAME?</v>
      </c>
      <c r="F634" s="274"/>
      <c r="G634" s="274" t="e">
        <f t="shared" ca="1" si="8"/>
        <v>#NAME?</v>
      </c>
      <c r="H634" s="274">
        <f t="shared" si="9"/>
        <v>0</v>
      </c>
      <c r="K634" s="274"/>
    </row>
    <row r="635" spans="2:11" ht="13.5" customHeight="1">
      <c r="B635" s="1" t="s">
        <v>2170</v>
      </c>
      <c r="C635" s="1" t="s">
        <v>3334</v>
      </c>
      <c r="D635" s="410" t="str">
        <f t="shared" si="14"/>
        <v>16-16</v>
      </c>
      <c r="E635" s="273" t="e">
        <f ca="1">_xludf.IFNA(VLOOKUP('Comp X - Kilter'!B635,'Kilter Holds'!$P$37:$AB$662,8,0),0)</f>
        <v>#NAME?</v>
      </c>
      <c r="F635" s="274"/>
      <c r="G635" s="274" t="e">
        <f t="shared" ca="1" si="8"/>
        <v>#NAME?</v>
      </c>
      <c r="H635" s="274">
        <f t="shared" si="9"/>
        <v>0</v>
      </c>
      <c r="K635" s="274"/>
    </row>
    <row r="636" spans="2:11" ht="13.5" customHeight="1">
      <c r="B636" s="1" t="s">
        <v>2170</v>
      </c>
      <c r="C636" s="1" t="s">
        <v>3334</v>
      </c>
      <c r="D636" s="411" t="str">
        <f t="shared" si="14"/>
        <v>13-01</v>
      </c>
      <c r="E636" s="273" t="e">
        <f ca="1">_xludf.IFNA(VLOOKUP('Comp X - Kilter'!B636,'Kilter Holds'!$P$37:$AB$662,9,0),0)</f>
        <v>#NAME?</v>
      </c>
      <c r="F636" s="274"/>
      <c r="G636" s="274" t="e">
        <f t="shared" ca="1" si="8"/>
        <v>#NAME?</v>
      </c>
      <c r="H636" s="274">
        <f t="shared" si="9"/>
        <v>0</v>
      </c>
      <c r="K636" s="274"/>
    </row>
    <row r="637" spans="2:11" ht="13.5" customHeight="1">
      <c r="B637" s="1" t="s">
        <v>2170</v>
      </c>
      <c r="C637" s="1" t="s">
        <v>3334</v>
      </c>
      <c r="D637" s="413" t="str">
        <f t="shared" si="14"/>
        <v>07-13</v>
      </c>
      <c r="E637" s="273" t="e">
        <f ca="1">_xludf.IFNA(VLOOKUP('Comp X - Kilter'!B637,'Kilter Holds'!$P$37:$AB$662,10,0),0)</f>
        <v>#NAME?</v>
      </c>
      <c r="F637" s="274"/>
      <c r="G637" s="274" t="e">
        <f t="shared" ca="1" si="8"/>
        <v>#NAME?</v>
      </c>
      <c r="H637" s="274">
        <f t="shared" si="9"/>
        <v>0</v>
      </c>
      <c r="K637" s="274"/>
    </row>
    <row r="638" spans="2:11" ht="13.5" customHeight="1">
      <c r="B638" s="1" t="s">
        <v>2170</v>
      </c>
      <c r="C638" s="1" t="s">
        <v>3334</v>
      </c>
      <c r="D638" s="414" t="str">
        <f t="shared" si="14"/>
        <v>11-26</v>
      </c>
      <c r="E638" s="273" t="e">
        <f ca="1">_xludf.IFNA(VLOOKUP('Comp X - Kilter'!B638,'Kilter Holds'!$P$37:$AB$662,11,0),0)</f>
        <v>#NAME?</v>
      </c>
      <c r="F638" s="274"/>
      <c r="G638" s="274" t="e">
        <f t="shared" ca="1" si="8"/>
        <v>#NAME?</v>
      </c>
      <c r="H638" s="274">
        <f t="shared" si="9"/>
        <v>0</v>
      </c>
      <c r="K638" s="274"/>
    </row>
    <row r="639" spans="2:11" ht="13.5" customHeight="1">
      <c r="B639" s="1" t="s">
        <v>2170</v>
      </c>
      <c r="C639" s="1" t="s">
        <v>3334</v>
      </c>
      <c r="D639" s="415" t="str">
        <f t="shared" si="14"/>
        <v>18-01</v>
      </c>
      <c r="E639" s="273" t="e">
        <f ca="1">_xludf.IFNA(VLOOKUP('Comp X - Kilter'!B639,'Kilter Holds'!$P$37:$AB$662,12,0),0)</f>
        <v>#NAME?</v>
      </c>
      <c r="F639" s="274"/>
      <c r="G639" s="274" t="e">
        <f t="shared" ca="1" si="8"/>
        <v>#NAME?</v>
      </c>
      <c r="H639" s="274">
        <f t="shared" si="9"/>
        <v>0</v>
      </c>
      <c r="K639" s="274"/>
    </row>
    <row r="640" spans="2:11" ht="13.5" customHeight="1">
      <c r="B640" s="1" t="s">
        <v>2170</v>
      </c>
      <c r="C640" s="1" t="s">
        <v>3334</v>
      </c>
      <c r="D640" s="416" t="str">
        <f t="shared" si="14"/>
        <v>Color Code</v>
      </c>
      <c r="E640" s="273" t="e">
        <f ca="1">_xludf.IFNA(VLOOKUP('Comp X - Kilter'!B640,'Kilter Holds'!$P$37:$AB$662,13,0),0)</f>
        <v>#NAME?</v>
      </c>
      <c r="F640" s="274"/>
      <c r="G640" s="274" t="e">
        <f t="shared" ca="1" si="8"/>
        <v>#NAME?</v>
      </c>
      <c r="H640" s="274">
        <f t="shared" si="9"/>
        <v>0</v>
      </c>
      <c r="K640" s="274"/>
    </row>
    <row r="641" spans="2:11" ht="13.5" customHeight="1">
      <c r="B641" s="1" t="s">
        <v>2008</v>
      </c>
      <c r="C641" s="1" t="s">
        <v>3335</v>
      </c>
      <c r="D641" s="406" t="str">
        <f t="shared" ref="D641:D649" si="15">D614</f>
        <v>11-12</v>
      </c>
      <c r="E641" s="273" t="e">
        <f ca="1">_xludf.IFNA(VLOOKUP('Comp X - Kilter'!B641,'Kilter Holds'!$P$37:$AB$662,5,0),0)</f>
        <v>#NAME?</v>
      </c>
      <c r="F641" s="274"/>
      <c r="G641" s="274" t="e">
        <f t="shared" ca="1" si="8"/>
        <v>#NAME?</v>
      </c>
      <c r="H641" s="274">
        <f t="shared" si="9"/>
        <v>0</v>
      </c>
      <c r="K641" s="274"/>
    </row>
    <row r="642" spans="2:11" ht="13.5" customHeight="1">
      <c r="B642" s="1" t="s">
        <v>2008</v>
      </c>
      <c r="C642" s="1" t="s">
        <v>3335</v>
      </c>
      <c r="D642" s="408" t="str">
        <f t="shared" si="15"/>
        <v>14-01</v>
      </c>
      <c r="E642" s="273" t="e">
        <f ca="1">_xludf.IFNA(VLOOKUP('Comp X - Kilter'!B642,'Kilter Holds'!$P$37:$AB$662,6,0),0)</f>
        <v>#NAME?</v>
      </c>
      <c r="F642" s="274"/>
      <c r="G642" s="274" t="e">
        <f t="shared" ca="1" si="8"/>
        <v>#NAME?</v>
      </c>
      <c r="H642" s="274">
        <f t="shared" si="9"/>
        <v>0</v>
      </c>
      <c r="K642" s="274"/>
    </row>
    <row r="643" spans="2:11" ht="13.5" customHeight="1">
      <c r="B643" s="1" t="s">
        <v>2008</v>
      </c>
      <c r="C643" s="1" t="s">
        <v>3335</v>
      </c>
      <c r="D643" s="409" t="str">
        <f t="shared" si="15"/>
        <v>15-12</v>
      </c>
      <c r="E643" s="273" t="e">
        <f ca="1">_xludf.IFNA(VLOOKUP('Comp X - Kilter'!B643,'Kilter Holds'!$P$37:$AB$662,7,0),0)</f>
        <v>#NAME?</v>
      </c>
      <c r="F643" s="274"/>
      <c r="G643" s="274" t="e">
        <f t="shared" ca="1" si="8"/>
        <v>#NAME?</v>
      </c>
      <c r="H643" s="274">
        <f t="shared" si="9"/>
        <v>0</v>
      </c>
      <c r="K643" s="274"/>
    </row>
    <row r="644" spans="2:11" ht="13.5" customHeight="1">
      <c r="B644" s="1" t="s">
        <v>2008</v>
      </c>
      <c r="C644" s="1" t="s">
        <v>3335</v>
      </c>
      <c r="D644" s="410" t="str">
        <f t="shared" si="15"/>
        <v>16-16</v>
      </c>
      <c r="E644" s="273" t="e">
        <f ca="1">_xludf.IFNA(VLOOKUP('Comp X - Kilter'!B644,'Kilter Holds'!$P$37:$AB$662,8,0),0)</f>
        <v>#NAME?</v>
      </c>
      <c r="F644" s="274"/>
      <c r="G644" s="274" t="e">
        <f t="shared" ca="1" si="8"/>
        <v>#NAME?</v>
      </c>
      <c r="H644" s="274">
        <f t="shared" si="9"/>
        <v>0</v>
      </c>
      <c r="K644" s="274"/>
    </row>
    <row r="645" spans="2:11" ht="13.5" customHeight="1">
      <c r="B645" s="1" t="s">
        <v>2008</v>
      </c>
      <c r="C645" s="1" t="s">
        <v>3335</v>
      </c>
      <c r="D645" s="411" t="str">
        <f t="shared" si="15"/>
        <v>13-01</v>
      </c>
      <c r="E645" s="273" t="e">
        <f ca="1">_xludf.IFNA(VLOOKUP('Comp X - Kilter'!B645,'Kilter Holds'!$P$37:$AB$662,9,0),0)</f>
        <v>#NAME?</v>
      </c>
      <c r="F645" s="274"/>
      <c r="G645" s="274" t="e">
        <f t="shared" ca="1" si="8"/>
        <v>#NAME?</v>
      </c>
      <c r="H645" s="274">
        <f t="shared" si="9"/>
        <v>0</v>
      </c>
      <c r="K645" s="274"/>
    </row>
    <row r="646" spans="2:11" ht="13.5" customHeight="1">
      <c r="B646" s="1" t="s">
        <v>2008</v>
      </c>
      <c r="C646" s="1" t="s">
        <v>3335</v>
      </c>
      <c r="D646" s="413" t="str">
        <f t="shared" si="15"/>
        <v>07-13</v>
      </c>
      <c r="E646" s="273" t="e">
        <f ca="1">_xludf.IFNA(VLOOKUP('Comp X - Kilter'!B646,'Kilter Holds'!$P$37:$AB$662,10,0),0)</f>
        <v>#NAME?</v>
      </c>
      <c r="F646" s="274"/>
      <c r="G646" s="274" t="e">
        <f t="shared" ca="1" si="8"/>
        <v>#NAME?</v>
      </c>
      <c r="H646" s="274">
        <f t="shared" si="9"/>
        <v>0</v>
      </c>
      <c r="K646" s="274"/>
    </row>
    <row r="647" spans="2:11" ht="13.5" customHeight="1">
      <c r="B647" s="1" t="s">
        <v>2008</v>
      </c>
      <c r="C647" s="1" t="s">
        <v>3335</v>
      </c>
      <c r="D647" s="414" t="str">
        <f t="shared" si="15"/>
        <v>11-26</v>
      </c>
      <c r="E647" s="273" t="e">
        <f ca="1">_xludf.IFNA(VLOOKUP('Comp X - Kilter'!B647,'Kilter Holds'!$P$37:$AB$662,11,0),0)</f>
        <v>#NAME?</v>
      </c>
      <c r="F647" s="274"/>
      <c r="G647" s="274" t="e">
        <f t="shared" ca="1" si="8"/>
        <v>#NAME?</v>
      </c>
      <c r="H647" s="274">
        <f t="shared" si="9"/>
        <v>0</v>
      </c>
      <c r="K647" s="274"/>
    </row>
    <row r="648" spans="2:11" ht="13.5" customHeight="1">
      <c r="B648" s="1" t="s">
        <v>2008</v>
      </c>
      <c r="C648" s="1" t="s">
        <v>3335</v>
      </c>
      <c r="D648" s="415" t="str">
        <f t="shared" si="15"/>
        <v>18-01</v>
      </c>
      <c r="E648" s="273" t="e">
        <f ca="1">_xludf.IFNA(VLOOKUP('Comp X - Kilter'!B648,'Kilter Holds'!$P$37:$AB$662,12,0),0)</f>
        <v>#NAME?</v>
      </c>
      <c r="F648" s="274"/>
      <c r="G648" s="274" t="e">
        <f t="shared" ca="1" si="8"/>
        <v>#NAME?</v>
      </c>
      <c r="H648" s="274">
        <f t="shared" si="9"/>
        <v>0</v>
      </c>
      <c r="K648" s="274"/>
    </row>
    <row r="649" spans="2:11" ht="13.5" customHeight="1">
      <c r="B649" s="1" t="s">
        <v>2008</v>
      </c>
      <c r="C649" s="1" t="s">
        <v>3335</v>
      </c>
      <c r="D649" s="416" t="str">
        <f t="shared" si="15"/>
        <v>Color Code</v>
      </c>
      <c r="E649" s="273" t="e">
        <f ca="1">_xludf.IFNA(VLOOKUP('Comp X - Kilter'!B649,'Kilter Holds'!$P$37:$AB$662,13,0),0)</f>
        <v>#NAME?</v>
      </c>
      <c r="F649" s="274"/>
      <c r="G649" s="274" t="e">
        <f t="shared" ca="1" si="8"/>
        <v>#NAME?</v>
      </c>
      <c r="H649" s="274">
        <f t="shared" si="9"/>
        <v>0</v>
      </c>
      <c r="K649" s="274"/>
    </row>
    <row r="650" spans="2:11" ht="13.5" customHeight="1">
      <c r="B650" s="1" t="s">
        <v>2113</v>
      </c>
      <c r="C650" s="1" t="s">
        <v>3336</v>
      </c>
      <c r="D650" s="406" t="str">
        <f t="shared" ref="D650:D658" si="16">D641</f>
        <v>11-12</v>
      </c>
      <c r="E650" s="273" t="e">
        <f ca="1">_xludf.IFNA(VLOOKUP('Comp X - Kilter'!B650,'Kilter Holds'!$P$37:$AB$662,5,0),0)</f>
        <v>#NAME?</v>
      </c>
      <c r="F650" s="274"/>
      <c r="G650" s="274" t="e">
        <f t="shared" ca="1" si="8"/>
        <v>#NAME?</v>
      </c>
      <c r="H650" s="274">
        <f t="shared" si="9"/>
        <v>0</v>
      </c>
      <c r="K650" s="274"/>
    </row>
    <row r="651" spans="2:11" ht="13.5" customHeight="1">
      <c r="B651" s="1" t="s">
        <v>2113</v>
      </c>
      <c r="C651" s="1" t="s">
        <v>3336</v>
      </c>
      <c r="D651" s="408" t="str">
        <f t="shared" si="16"/>
        <v>14-01</v>
      </c>
      <c r="E651" s="273" t="e">
        <f ca="1">_xludf.IFNA(VLOOKUP('Comp X - Kilter'!B651,'Kilter Holds'!$P$37:$AB$662,6,0),0)</f>
        <v>#NAME?</v>
      </c>
      <c r="F651" s="274"/>
      <c r="G651" s="274" t="e">
        <f t="shared" ca="1" si="8"/>
        <v>#NAME?</v>
      </c>
      <c r="H651" s="274">
        <f t="shared" si="9"/>
        <v>0</v>
      </c>
      <c r="K651" s="274"/>
    </row>
    <row r="652" spans="2:11" ht="13.5" customHeight="1">
      <c r="B652" s="1" t="s">
        <v>2113</v>
      </c>
      <c r="C652" s="1" t="s">
        <v>3336</v>
      </c>
      <c r="D652" s="409" t="str">
        <f t="shared" si="16"/>
        <v>15-12</v>
      </c>
      <c r="E652" s="273" t="e">
        <f ca="1">_xludf.IFNA(VLOOKUP('Comp X - Kilter'!B652,'Kilter Holds'!$P$37:$AB$662,7,0),0)</f>
        <v>#NAME?</v>
      </c>
      <c r="F652" s="274"/>
      <c r="G652" s="274" t="e">
        <f t="shared" ca="1" si="8"/>
        <v>#NAME?</v>
      </c>
      <c r="H652" s="274">
        <f t="shared" si="9"/>
        <v>0</v>
      </c>
      <c r="K652" s="274"/>
    </row>
    <row r="653" spans="2:11" ht="13.5" customHeight="1">
      <c r="B653" s="1" t="s">
        <v>2113</v>
      </c>
      <c r="C653" s="1" t="s">
        <v>3336</v>
      </c>
      <c r="D653" s="410" t="str">
        <f t="shared" si="16"/>
        <v>16-16</v>
      </c>
      <c r="E653" s="273" t="e">
        <f ca="1">_xludf.IFNA(VLOOKUP('Comp X - Kilter'!B653,'Kilter Holds'!$P$37:$AB$662,8,0),0)</f>
        <v>#NAME?</v>
      </c>
      <c r="F653" s="274"/>
      <c r="G653" s="274" t="e">
        <f t="shared" ca="1" si="8"/>
        <v>#NAME?</v>
      </c>
      <c r="H653" s="274">
        <f t="shared" si="9"/>
        <v>0</v>
      </c>
      <c r="K653" s="274"/>
    </row>
    <row r="654" spans="2:11" ht="13.5" customHeight="1">
      <c r="B654" s="1" t="s">
        <v>2113</v>
      </c>
      <c r="C654" s="1" t="s">
        <v>3336</v>
      </c>
      <c r="D654" s="411" t="str">
        <f t="shared" si="16"/>
        <v>13-01</v>
      </c>
      <c r="E654" s="273" t="e">
        <f ca="1">_xludf.IFNA(VLOOKUP('Comp X - Kilter'!B654,'Kilter Holds'!$P$37:$AB$662,9,0),0)</f>
        <v>#NAME?</v>
      </c>
      <c r="F654" s="274"/>
      <c r="G654" s="274" t="e">
        <f t="shared" ca="1" si="8"/>
        <v>#NAME?</v>
      </c>
      <c r="H654" s="274">
        <f t="shared" si="9"/>
        <v>0</v>
      </c>
      <c r="K654" s="274"/>
    </row>
    <row r="655" spans="2:11" ht="13.5" customHeight="1">
      <c r="B655" s="1" t="s">
        <v>2113</v>
      </c>
      <c r="C655" s="1" t="s">
        <v>3336</v>
      </c>
      <c r="D655" s="413" t="str">
        <f t="shared" si="16"/>
        <v>07-13</v>
      </c>
      <c r="E655" s="273" t="e">
        <f ca="1">_xludf.IFNA(VLOOKUP('Comp X - Kilter'!B655,'Kilter Holds'!$P$37:$AB$662,10,0),0)</f>
        <v>#NAME?</v>
      </c>
      <c r="F655" s="274"/>
      <c r="G655" s="274" t="e">
        <f t="shared" ca="1" si="8"/>
        <v>#NAME?</v>
      </c>
      <c r="H655" s="274">
        <f t="shared" si="9"/>
        <v>0</v>
      </c>
      <c r="K655" s="274"/>
    </row>
    <row r="656" spans="2:11" ht="13.5" customHeight="1">
      <c r="B656" s="1" t="s">
        <v>2113</v>
      </c>
      <c r="C656" s="1" t="s">
        <v>3336</v>
      </c>
      <c r="D656" s="414" t="str">
        <f t="shared" si="16"/>
        <v>11-26</v>
      </c>
      <c r="E656" s="273" t="e">
        <f ca="1">_xludf.IFNA(VLOOKUP('Comp X - Kilter'!B656,'Kilter Holds'!$P$37:$AB$662,11,0),0)</f>
        <v>#NAME?</v>
      </c>
      <c r="F656" s="274"/>
      <c r="G656" s="274" t="e">
        <f t="shared" ca="1" si="8"/>
        <v>#NAME?</v>
      </c>
      <c r="H656" s="274">
        <f t="shared" si="9"/>
        <v>0</v>
      </c>
      <c r="K656" s="274"/>
    </row>
    <row r="657" spans="1:11" ht="13.5" customHeight="1">
      <c r="B657" s="1" t="s">
        <v>2113</v>
      </c>
      <c r="C657" s="1" t="s">
        <v>3336</v>
      </c>
      <c r="D657" s="415" t="str">
        <f t="shared" si="16"/>
        <v>18-01</v>
      </c>
      <c r="E657" s="273" t="e">
        <f ca="1">_xludf.IFNA(VLOOKUP('Comp X - Kilter'!B657,'Kilter Holds'!$P$37:$AB$662,12,0),0)</f>
        <v>#NAME?</v>
      </c>
      <c r="F657" s="274"/>
      <c r="G657" s="274" t="e">
        <f t="shared" ca="1" si="8"/>
        <v>#NAME?</v>
      </c>
      <c r="H657" s="274">
        <f t="shared" si="9"/>
        <v>0</v>
      </c>
      <c r="K657" s="274"/>
    </row>
    <row r="658" spans="1:11" ht="13.5" customHeight="1">
      <c r="B658" s="1" t="s">
        <v>2113</v>
      </c>
      <c r="C658" s="1" t="s">
        <v>3336</v>
      </c>
      <c r="D658" s="416" t="str">
        <f t="shared" si="16"/>
        <v>Color Code</v>
      </c>
      <c r="E658" s="273" t="e">
        <f ca="1">_xludf.IFNA(VLOOKUP('Comp X - Kilter'!B658,'Kilter Holds'!$P$37:$AB$662,13,0),0)</f>
        <v>#NAME?</v>
      </c>
      <c r="F658" s="274"/>
      <c r="G658" s="274" t="e">
        <f t="shared" ca="1" si="8"/>
        <v>#NAME?</v>
      </c>
      <c r="H658" s="274">
        <f t="shared" si="9"/>
        <v>0</v>
      </c>
      <c r="K658" s="274"/>
    </row>
    <row r="659" spans="1:11" ht="13.5" customHeight="1">
      <c r="B659" s="209" t="s">
        <v>2114</v>
      </c>
      <c r="C659" s="209" t="s">
        <v>3337</v>
      </c>
      <c r="D659" s="406" t="str">
        <f t="shared" ref="D659:D667" si="17">D560</f>
        <v>11-12</v>
      </c>
      <c r="E659" s="273" t="e">
        <f ca="1">_xludf.IFNA(VLOOKUP('Comp X - Kilter'!B659,'Kilter Holds'!$P$37:$AB$662,5,0),0)</f>
        <v>#NAME?</v>
      </c>
      <c r="F659" s="274"/>
      <c r="G659" s="274" t="e">
        <f t="shared" ca="1" si="8"/>
        <v>#NAME?</v>
      </c>
      <c r="H659" s="274">
        <f t="shared" si="9"/>
        <v>0</v>
      </c>
      <c r="K659" s="274"/>
    </row>
    <row r="660" spans="1:11" ht="13.5" customHeight="1">
      <c r="B660" s="209" t="s">
        <v>2114</v>
      </c>
      <c r="C660" s="209" t="s">
        <v>3337</v>
      </c>
      <c r="D660" s="408" t="str">
        <f t="shared" si="17"/>
        <v>14-01</v>
      </c>
      <c r="E660" s="273" t="e">
        <f ca="1">_xludf.IFNA(VLOOKUP('Comp X - Kilter'!B660,'Kilter Holds'!$P$37:$AB$662,6,0),0)</f>
        <v>#NAME?</v>
      </c>
      <c r="F660" s="274"/>
      <c r="G660" s="274" t="e">
        <f t="shared" ca="1" si="8"/>
        <v>#NAME?</v>
      </c>
      <c r="H660" s="274">
        <f t="shared" si="9"/>
        <v>0</v>
      </c>
      <c r="K660" s="274"/>
    </row>
    <row r="661" spans="1:11" ht="13.5" customHeight="1">
      <c r="B661" s="209" t="s">
        <v>2114</v>
      </c>
      <c r="C661" s="209" t="s">
        <v>3337</v>
      </c>
      <c r="D661" s="409" t="str">
        <f t="shared" si="17"/>
        <v>15-12</v>
      </c>
      <c r="E661" s="273" t="e">
        <f ca="1">_xludf.IFNA(VLOOKUP('Comp X - Kilter'!B661,'Kilter Holds'!$P$37:$AB$662,7,0),0)</f>
        <v>#NAME?</v>
      </c>
      <c r="F661" s="274"/>
      <c r="G661" s="274" t="e">
        <f t="shared" ca="1" si="8"/>
        <v>#NAME?</v>
      </c>
      <c r="H661" s="274">
        <f t="shared" si="9"/>
        <v>0</v>
      </c>
      <c r="K661" s="274"/>
    </row>
    <row r="662" spans="1:11" ht="13.5" customHeight="1">
      <c r="B662" s="209" t="s">
        <v>2114</v>
      </c>
      <c r="C662" s="209" t="s">
        <v>3337</v>
      </c>
      <c r="D662" s="410" t="str">
        <f t="shared" si="17"/>
        <v>16-16</v>
      </c>
      <c r="E662" s="273" t="e">
        <f ca="1">_xludf.IFNA(VLOOKUP('Comp X - Kilter'!B662,'Kilter Holds'!$P$37:$AB$662,8,0),0)</f>
        <v>#NAME?</v>
      </c>
      <c r="F662" s="274"/>
      <c r="G662" s="274" t="e">
        <f t="shared" ca="1" si="8"/>
        <v>#NAME?</v>
      </c>
      <c r="H662" s="274">
        <f t="shared" si="9"/>
        <v>0</v>
      </c>
      <c r="K662" s="274"/>
    </row>
    <row r="663" spans="1:11" ht="13.5" customHeight="1">
      <c r="B663" s="209" t="s">
        <v>2114</v>
      </c>
      <c r="C663" s="209" t="s">
        <v>3337</v>
      </c>
      <c r="D663" s="411" t="str">
        <f t="shared" si="17"/>
        <v>13-01</v>
      </c>
      <c r="E663" s="273" t="e">
        <f ca="1">_xludf.IFNA(VLOOKUP('Comp X - Kilter'!B663,'Kilter Holds'!$P$37:$AB$662,9,0),0)</f>
        <v>#NAME?</v>
      </c>
      <c r="F663" s="274"/>
      <c r="G663" s="274" t="e">
        <f t="shared" ca="1" si="8"/>
        <v>#NAME?</v>
      </c>
      <c r="H663" s="274">
        <f t="shared" si="9"/>
        <v>0</v>
      </c>
      <c r="K663" s="274"/>
    </row>
    <row r="664" spans="1:11" ht="13.5" customHeight="1">
      <c r="B664" s="209" t="s">
        <v>2114</v>
      </c>
      <c r="C664" s="209" t="s">
        <v>3337</v>
      </c>
      <c r="D664" s="413" t="str">
        <f t="shared" si="17"/>
        <v>07-13</v>
      </c>
      <c r="E664" s="273" t="e">
        <f ca="1">_xludf.IFNA(VLOOKUP('Comp X - Kilter'!B664,'Kilter Holds'!$P$37:$AB$662,10,0),0)</f>
        <v>#NAME?</v>
      </c>
      <c r="F664" s="274"/>
      <c r="G664" s="274" t="e">
        <f t="shared" ca="1" si="8"/>
        <v>#NAME?</v>
      </c>
      <c r="H664" s="274">
        <f t="shared" si="9"/>
        <v>0</v>
      </c>
      <c r="K664" s="274"/>
    </row>
    <row r="665" spans="1:11" ht="13.5" customHeight="1">
      <c r="B665" s="209" t="s">
        <v>2114</v>
      </c>
      <c r="C665" s="209" t="s">
        <v>3337</v>
      </c>
      <c r="D665" s="414" t="str">
        <f t="shared" si="17"/>
        <v>11-26</v>
      </c>
      <c r="E665" s="273" t="e">
        <f ca="1">_xludf.IFNA(VLOOKUP('Comp X - Kilter'!B665,'Kilter Holds'!$P$37:$AB$662,11,0),0)</f>
        <v>#NAME?</v>
      </c>
      <c r="F665" s="274"/>
      <c r="G665" s="274" t="e">
        <f t="shared" ca="1" si="8"/>
        <v>#NAME?</v>
      </c>
      <c r="H665" s="274">
        <f t="shared" si="9"/>
        <v>0</v>
      </c>
      <c r="K665" s="274"/>
    </row>
    <row r="666" spans="1:11" ht="13.5" customHeight="1">
      <c r="B666" s="209" t="s">
        <v>2114</v>
      </c>
      <c r="C666" s="209" t="s">
        <v>3337</v>
      </c>
      <c r="D666" s="415" t="str">
        <f t="shared" si="17"/>
        <v>18-01</v>
      </c>
      <c r="E666" s="273" t="e">
        <f ca="1">_xludf.IFNA(VLOOKUP('Comp X - Kilter'!B666,'Kilter Holds'!$P$37:$AB$662,12,0),0)</f>
        <v>#NAME?</v>
      </c>
      <c r="F666" s="274"/>
      <c r="G666" s="274" t="e">
        <f t="shared" ca="1" si="8"/>
        <v>#NAME?</v>
      </c>
      <c r="H666" s="274">
        <f t="shared" si="9"/>
        <v>0</v>
      </c>
      <c r="K666" s="274"/>
    </row>
    <row r="667" spans="1:11" ht="13.5" customHeight="1">
      <c r="B667" s="209" t="s">
        <v>2114</v>
      </c>
      <c r="C667" s="209" t="s">
        <v>3337</v>
      </c>
      <c r="D667" s="416" t="str">
        <f t="shared" si="17"/>
        <v>Color Code</v>
      </c>
      <c r="E667" s="273" t="e">
        <f ca="1">_xludf.IFNA(VLOOKUP('Comp X - Kilter'!B667,'Kilter Holds'!$P$37:$AB$662,13,0),0)</f>
        <v>#NAME?</v>
      </c>
      <c r="F667" s="274"/>
      <c r="G667" s="274" t="e">
        <f t="shared" ca="1" si="8"/>
        <v>#NAME?</v>
      </c>
      <c r="H667" s="274">
        <f t="shared" si="9"/>
        <v>0</v>
      </c>
      <c r="K667" s="274"/>
    </row>
    <row r="668" spans="1:11" ht="13.5" customHeight="1">
      <c r="A668" s="1" t="s">
        <v>2009</v>
      </c>
      <c r="B668" s="1" t="s">
        <v>2010</v>
      </c>
      <c r="C668" s="1" t="s">
        <v>3338</v>
      </c>
      <c r="D668" s="406" t="str">
        <f t="shared" ref="D668:D703" si="18">D596</f>
        <v>11-12</v>
      </c>
      <c r="E668" s="273" t="e">
        <f ca="1">_xludf.IFNA(VLOOKUP(B668,'Kilter Holds'!$P$37:$AB$662,5,0),0)+_xludf.IFNA(VLOOKUP(A668,'Kilter Holds'!$P$37:$AB$662,5,0),0)</f>
        <v>#NAME?</v>
      </c>
      <c r="F668" s="274"/>
      <c r="G668" s="274" t="e">
        <f t="shared" ca="1" si="8"/>
        <v>#NAME?</v>
      </c>
      <c r="H668" s="274">
        <f t="shared" si="9"/>
        <v>0</v>
      </c>
      <c r="K668" s="274"/>
    </row>
    <row r="669" spans="1:11" ht="13.5" customHeight="1">
      <c r="A669" s="1" t="s">
        <v>2009</v>
      </c>
      <c r="B669" s="1" t="s">
        <v>2010</v>
      </c>
      <c r="C669" s="1" t="s">
        <v>3338</v>
      </c>
      <c r="D669" s="408" t="str">
        <f t="shared" si="18"/>
        <v>14-01</v>
      </c>
      <c r="E669" s="273" t="e">
        <f ca="1">_xludf.IFNA(VLOOKUP(B669,'Kilter Holds'!$P$37:$AB$662,6,0),0)+_xludf.IFNA(VLOOKUP(A669,'Kilter Holds'!$P$37:$AB$662,6,0),0)</f>
        <v>#NAME?</v>
      </c>
      <c r="F669" s="274"/>
      <c r="G669" s="274" t="e">
        <f t="shared" ca="1" si="8"/>
        <v>#NAME?</v>
      </c>
      <c r="H669" s="274">
        <f t="shared" si="9"/>
        <v>0</v>
      </c>
      <c r="K669" s="274"/>
    </row>
    <row r="670" spans="1:11" ht="13.5" customHeight="1">
      <c r="A670" s="1" t="s">
        <v>2009</v>
      </c>
      <c r="B670" s="1" t="s">
        <v>2010</v>
      </c>
      <c r="C670" s="1" t="s">
        <v>3338</v>
      </c>
      <c r="D670" s="409" t="str">
        <f t="shared" si="18"/>
        <v>15-12</v>
      </c>
      <c r="E670" s="273" t="e">
        <f ca="1">_xludf.IFNA(VLOOKUP(B670,'Kilter Holds'!$P$37:$AB$662,7,0),0)+_xludf.IFNA(VLOOKUP(A670,'Kilter Holds'!$P$37:$AB$662,7,0),0)</f>
        <v>#NAME?</v>
      </c>
      <c r="F670" s="274"/>
      <c r="G670" s="274" t="e">
        <f t="shared" ca="1" si="8"/>
        <v>#NAME?</v>
      </c>
      <c r="H670" s="274">
        <f t="shared" si="9"/>
        <v>0</v>
      </c>
      <c r="K670" s="274"/>
    </row>
    <row r="671" spans="1:11" ht="13.5" customHeight="1">
      <c r="A671" s="1" t="s">
        <v>2009</v>
      </c>
      <c r="B671" s="1" t="s">
        <v>2010</v>
      </c>
      <c r="C671" s="1" t="s">
        <v>3338</v>
      </c>
      <c r="D671" s="410" t="str">
        <f t="shared" si="18"/>
        <v>16-16</v>
      </c>
      <c r="E671" s="273" t="e">
        <f ca="1">_xludf.IFNA(VLOOKUP(B671,'Kilter Holds'!$P$37:$AB$662,8,0),0)+_xludf.IFNA(VLOOKUP(A671,'Kilter Holds'!$P$37:$AB$662,8,0),0)</f>
        <v>#NAME?</v>
      </c>
      <c r="F671" s="274"/>
      <c r="G671" s="274" t="e">
        <f t="shared" ca="1" si="8"/>
        <v>#NAME?</v>
      </c>
      <c r="H671" s="274">
        <f t="shared" si="9"/>
        <v>0</v>
      </c>
      <c r="K671" s="274"/>
    </row>
    <row r="672" spans="1:11" ht="13.5" customHeight="1">
      <c r="A672" s="1" t="s">
        <v>2009</v>
      </c>
      <c r="B672" s="1" t="s">
        <v>2010</v>
      </c>
      <c r="C672" s="1" t="s">
        <v>3338</v>
      </c>
      <c r="D672" s="411" t="str">
        <f t="shared" si="18"/>
        <v>13-01</v>
      </c>
      <c r="E672" s="273" t="e">
        <f ca="1">_xludf.IFNA(VLOOKUP(B672,'Kilter Holds'!$P$37:$AB$662,9,0),0)+_xludf.IFNA(VLOOKUP(A672,'Kilter Holds'!$P$37:$AB$662,9,0),0)</f>
        <v>#NAME?</v>
      </c>
      <c r="F672" s="274"/>
      <c r="G672" s="274" t="e">
        <f t="shared" ca="1" si="8"/>
        <v>#NAME?</v>
      </c>
      <c r="H672" s="274">
        <f t="shared" si="9"/>
        <v>0</v>
      </c>
      <c r="K672" s="274"/>
    </row>
    <row r="673" spans="1:11" ht="13.5" customHeight="1">
      <c r="A673" s="1" t="s">
        <v>2009</v>
      </c>
      <c r="B673" s="1" t="s">
        <v>2010</v>
      </c>
      <c r="C673" s="1" t="s">
        <v>3338</v>
      </c>
      <c r="D673" s="413" t="str">
        <f t="shared" si="18"/>
        <v>07-13</v>
      </c>
      <c r="E673" s="273" t="e">
        <f ca="1">_xludf.IFNA(VLOOKUP(B673,'Kilter Holds'!$P$37:$AB$662,10,0),0)+_xludf.IFNA(VLOOKUP(A673,'Kilter Holds'!$P$37:$AB$662,10,0),0)</f>
        <v>#NAME?</v>
      </c>
      <c r="F673" s="274"/>
      <c r="G673" s="274" t="e">
        <f t="shared" ca="1" si="8"/>
        <v>#NAME?</v>
      </c>
      <c r="H673" s="274">
        <f t="shared" si="9"/>
        <v>0</v>
      </c>
      <c r="K673" s="274"/>
    </row>
    <row r="674" spans="1:11" ht="13.5" customHeight="1">
      <c r="A674" s="1" t="s">
        <v>2009</v>
      </c>
      <c r="B674" s="1" t="s">
        <v>2010</v>
      </c>
      <c r="C674" s="1" t="s">
        <v>3338</v>
      </c>
      <c r="D674" s="414" t="str">
        <f t="shared" si="18"/>
        <v>11-26</v>
      </c>
      <c r="E674" s="273" t="e">
        <f ca="1">_xludf.IFNA(VLOOKUP(B674,'Kilter Holds'!$P$37:$AB$662,11,0),0)+_xludf.IFNA(VLOOKUP(A674,'Kilter Holds'!$P$37:$AB$662,11,0),0)</f>
        <v>#NAME?</v>
      </c>
      <c r="F674" s="274"/>
      <c r="G674" s="274" t="e">
        <f t="shared" ca="1" si="8"/>
        <v>#NAME?</v>
      </c>
      <c r="H674" s="274">
        <f t="shared" si="9"/>
        <v>0</v>
      </c>
      <c r="K674" s="274"/>
    </row>
    <row r="675" spans="1:11" ht="13.5" customHeight="1">
      <c r="A675" s="1" t="s">
        <v>2009</v>
      </c>
      <c r="B675" s="1" t="s">
        <v>2010</v>
      </c>
      <c r="C675" s="1" t="s">
        <v>3338</v>
      </c>
      <c r="D675" s="415" t="str">
        <f t="shared" si="18"/>
        <v>18-01</v>
      </c>
      <c r="E675" s="273" t="e">
        <f ca="1">_xludf.IFNA(VLOOKUP(B675,'Kilter Holds'!$P$37:$AB$662,12,0),0)+_xludf.IFNA(VLOOKUP(A675,'Kilter Holds'!$P$37:$AB$662,12,0),0)</f>
        <v>#NAME?</v>
      </c>
      <c r="F675" s="274"/>
      <c r="G675" s="274" t="e">
        <f t="shared" ca="1" si="8"/>
        <v>#NAME?</v>
      </c>
      <c r="H675" s="274">
        <f t="shared" si="9"/>
        <v>0</v>
      </c>
      <c r="K675" s="274"/>
    </row>
    <row r="676" spans="1:11" ht="13.5" customHeight="1">
      <c r="A676" s="1" t="s">
        <v>2009</v>
      </c>
      <c r="B676" s="1" t="s">
        <v>2010</v>
      </c>
      <c r="C676" s="1" t="s">
        <v>3338</v>
      </c>
      <c r="D676" s="416" t="str">
        <f t="shared" si="18"/>
        <v>Color Code</v>
      </c>
      <c r="E676" s="273" t="e">
        <f ca="1">_xludf.IFNA(VLOOKUP(B676,'Kilter Holds'!$P$37:$AB$662,13,0),0)+_xludf.IFNA(VLOOKUP(A676,'Kilter Holds'!$P$37:$AB$662,13,0),0)</f>
        <v>#NAME?</v>
      </c>
      <c r="F676" s="274"/>
      <c r="G676" s="274" t="e">
        <f t="shared" ca="1" si="8"/>
        <v>#NAME?</v>
      </c>
      <c r="H676" s="274">
        <f t="shared" si="9"/>
        <v>0</v>
      </c>
      <c r="K676" s="274"/>
    </row>
    <row r="677" spans="1:11" ht="13.5" customHeight="1">
      <c r="A677" s="1" t="s">
        <v>2009</v>
      </c>
      <c r="B677" s="209" t="s">
        <v>2011</v>
      </c>
      <c r="C677" s="209" t="s">
        <v>3339</v>
      </c>
      <c r="D677" s="406" t="str">
        <f t="shared" si="18"/>
        <v>11-12</v>
      </c>
      <c r="E677" s="273" t="e">
        <f ca="1">_xludf.IFNA(VLOOKUP(B677,'Kilter Holds'!$P$37:$AB$662,5,0),0)+_xludf.IFNA(VLOOKUP(A677,'Kilter Holds'!$P$37:$AB$662,5,0),0)</f>
        <v>#NAME?</v>
      </c>
      <c r="F677" s="274"/>
      <c r="G677" s="274" t="e">
        <f t="shared" ca="1" si="8"/>
        <v>#NAME?</v>
      </c>
      <c r="H677" s="274">
        <f t="shared" si="9"/>
        <v>0</v>
      </c>
      <c r="K677" s="274"/>
    </row>
    <row r="678" spans="1:11" ht="13.5" customHeight="1">
      <c r="A678" s="1" t="s">
        <v>2009</v>
      </c>
      <c r="B678" s="209" t="s">
        <v>2011</v>
      </c>
      <c r="C678" s="209" t="s">
        <v>3339</v>
      </c>
      <c r="D678" s="408" t="str">
        <f t="shared" si="18"/>
        <v>14-01</v>
      </c>
      <c r="E678" s="273" t="e">
        <f ca="1">_xludf.IFNA(VLOOKUP(B678,'Kilter Holds'!$P$37:$AB$662,6,0),0)+_xludf.IFNA(VLOOKUP(A678,'Kilter Holds'!$P$37:$AB$662,6,0),0)</f>
        <v>#NAME?</v>
      </c>
      <c r="F678" s="274"/>
      <c r="G678" s="274" t="e">
        <f t="shared" ca="1" si="8"/>
        <v>#NAME?</v>
      </c>
      <c r="H678" s="274">
        <f t="shared" si="9"/>
        <v>0</v>
      </c>
      <c r="K678" s="274"/>
    </row>
    <row r="679" spans="1:11" ht="13.5" customHeight="1">
      <c r="A679" s="1" t="s">
        <v>2009</v>
      </c>
      <c r="B679" s="209" t="s">
        <v>2011</v>
      </c>
      <c r="C679" s="209" t="s">
        <v>3339</v>
      </c>
      <c r="D679" s="409" t="str">
        <f t="shared" si="18"/>
        <v>15-12</v>
      </c>
      <c r="E679" s="273" t="e">
        <f ca="1">_xludf.IFNA(VLOOKUP(B679,'Kilter Holds'!$P$37:$AB$662,7,0),0)+_xludf.IFNA(VLOOKUP(A679,'Kilter Holds'!$P$37:$AB$662,7,0),0)</f>
        <v>#NAME?</v>
      </c>
      <c r="F679" s="274"/>
      <c r="G679" s="274" t="e">
        <f t="shared" ca="1" si="8"/>
        <v>#NAME?</v>
      </c>
      <c r="H679" s="274">
        <f t="shared" si="9"/>
        <v>0</v>
      </c>
      <c r="K679" s="274"/>
    </row>
    <row r="680" spans="1:11" ht="13.5" customHeight="1">
      <c r="A680" s="1" t="s">
        <v>2009</v>
      </c>
      <c r="B680" s="209" t="s">
        <v>2011</v>
      </c>
      <c r="C680" s="209" t="s">
        <v>3339</v>
      </c>
      <c r="D680" s="410" t="str">
        <f t="shared" si="18"/>
        <v>16-16</v>
      </c>
      <c r="E680" s="273" t="e">
        <f ca="1">_xludf.IFNA(VLOOKUP(B680,'Kilter Holds'!$P$37:$AB$662,8,0),0)+_xludf.IFNA(VLOOKUP(A680,'Kilter Holds'!$P$37:$AB$662,8,0),0)</f>
        <v>#NAME?</v>
      </c>
      <c r="F680" s="274"/>
      <c r="G680" s="274" t="e">
        <f t="shared" ca="1" si="8"/>
        <v>#NAME?</v>
      </c>
      <c r="H680" s="274">
        <f t="shared" si="9"/>
        <v>0</v>
      </c>
      <c r="K680" s="274"/>
    </row>
    <row r="681" spans="1:11" ht="13.5" customHeight="1">
      <c r="A681" s="1" t="s">
        <v>2009</v>
      </c>
      <c r="B681" s="209" t="s">
        <v>2011</v>
      </c>
      <c r="C681" s="209" t="s">
        <v>3339</v>
      </c>
      <c r="D681" s="411" t="str">
        <f t="shared" si="18"/>
        <v>13-01</v>
      </c>
      <c r="E681" s="273" t="e">
        <f ca="1">_xludf.IFNA(VLOOKUP(B681,'Kilter Holds'!$P$37:$AB$662,9,0),0)+_xludf.IFNA(VLOOKUP(A681,'Kilter Holds'!$P$37:$AB$662,9,0),0)</f>
        <v>#NAME?</v>
      </c>
      <c r="F681" s="274"/>
      <c r="G681" s="274" t="e">
        <f t="shared" ca="1" si="8"/>
        <v>#NAME?</v>
      </c>
      <c r="H681" s="274">
        <f t="shared" si="9"/>
        <v>0</v>
      </c>
      <c r="K681" s="274"/>
    </row>
    <row r="682" spans="1:11" ht="13.5" customHeight="1">
      <c r="A682" s="1" t="s">
        <v>2009</v>
      </c>
      <c r="B682" s="209" t="s">
        <v>2011</v>
      </c>
      <c r="C682" s="209" t="s">
        <v>3339</v>
      </c>
      <c r="D682" s="413" t="str">
        <f t="shared" si="18"/>
        <v>07-13</v>
      </c>
      <c r="E682" s="273" t="e">
        <f ca="1">_xludf.IFNA(VLOOKUP(B682,'Kilter Holds'!$P$37:$AB$662,10,0),0)+_xludf.IFNA(VLOOKUP(A682,'Kilter Holds'!$P$37:$AB$662,10,0),0)</f>
        <v>#NAME?</v>
      </c>
      <c r="F682" s="274"/>
      <c r="G682" s="274" t="e">
        <f t="shared" ca="1" si="8"/>
        <v>#NAME?</v>
      </c>
      <c r="H682" s="274">
        <f t="shared" si="9"/>
        <v>0</v>
      </c>
      <c r="K682" s="274"/>
    </row>
    <row r="683" spans="1:11" ht="13.5" customHeight="1">
      <c r="A683" s="1" t="s">
        <v>2009</v>
      </c>
      <c r="B683" s="209" t="s">
        <v>2011</v>
      </c>
      <c r="C683" s="209" t="s">
        <v>3339</v>
      </c>
      <c r="D683" s="414" t="str">
        <f t="shared" si="18"/>
        <v>11-26</v>
      </c>
      <c r="E683" s="273" t="e">
        <f ca="1">_xludf.IFNA(VLOOKUP(B683,'Kilter Holds'!$P$37:$AB$662,11,0),0)+_xludf.IFNA(VLOOKUP(A683,'Kilter Holds'!$P$37:$AB$662,11,0),0)</f>
        <v>#NAME?</v>
      </c>
      <c r="F683" s="274"/>
      <c r="G683" s="274" t="e">
        <f t="shared" ca="1" si="8"/>
        <v>#NAME?</v>
      </c>
      <c r="H683" s="274">
        <f t="shared" si="9"/>
        <v>0</v>
      </c>
      <c r="K683" s="274"/>
    </row>
    <row r="684" spans="1:11" ht="13.5" customHeight="1">
      <c r="A684" s="1" t="s">
        <v>2009</v>
      </c>
      <c r="B684" s="209" t="s">
        <v>2011</v>
      </c>
      <c r="C684" s="209" t="s">
        <v>3339</v>
      </c>
      <c r="D684" s="415" t="str">
        <f t="shared" si="18"/>
        <v>18-01</v>
      </c>
      <c r="E684" s="273" t="e">
        <f ca="1">_xludf.IFNA(VLOOKUP(B684,'Kilter Holds'!$P$37:$AB$662,12,0),0)+_xludf.IFNA(VLOOKUP(A684,'Kilter Holds'!$P$37:$AB$662,12,0),0)</f>
        <v>#NAME?</v>
      </c>
      <c r="F684" s="274"/>
      <c r="G684" s="274" t="e">
        <f t="shared" ca="1" si="8"/>
        <v>#NAME?</v>
      </c>
      <c r="H684" s="274">
        <f t="shared" si="9"/>
        <v>0</v>
      </c>
      <c r="K684" s="274"/>
    </row>
    <row r="685" spans="1:11" ht="13.5" customHeight="1">
      <c r="A685" s="1" t="s">
        <v>2009</v>
      </c>
      <c r="B685" s="209" t="s">
        <v>2011</v>
      </c>
      <c r="C685" s="209" t="s">
        <v>3339</v>
      </c>
      <c r="D685" s="416" t="str">
        <f t="shared" si="18"/>
        <v>Color Code</v>
      </c>
      <c r="E685" s="273" t="e">
        <f ca="1">_xludf.IFNA(VLOOKUP(B685,'Kilter Holds'!$P$37:$AB$662,13,0),0)+_xludf.IFNA(VLOOKUP(A685,'Kilter Holds'!$P$37:$AB$662,13,0),0)</f>
        <v>#NAME?</v>
      </c>
      <c r="F685" s="274"/>
      <c r="G685" s="274" t="e">
        <f t="shared" ca="1" si="8"/>
        <v>#NAME?</v>
      </c>
      <c r="H685" s="274">
        <f t="shared" si="9"/>
        <v>0</v>
      </c>
      <c r="K685" s="274"/>
    </row>
    <row r="686" spans="1:11" ht="13.5" customHeight="1">
      <c r="A686" s="1" t="s">
        <v>2012</v>
      </c>
      <c r="B686" s="1" t="s">
        <v>2013</v>
      </c>
      <c r="C686" s="1" t="s">
        <v>3340</v>
      </c>
      <c r="D686" s="406" t="str">
        <f t="shared" si="18"/>
        <v>11-12</v>
      </c>
      <c r="E686" s="273" t="e">
        <f ca="1">_xludf.IFNA(VLOOKUP(B686,'Kilter Holds'!$P$37:$AB$662,5,0),0)+_xludf.IFNA(VLOOKUP(A686,'Kilter Holds'!$P$37:$AB$662,5,0),0)</f>
        <v>#NAME?</v>
      </c>
      <c r="F686" s="274"/>
      <c r="G686" s="274" t="e">
        <f t="shared" ca="1" si="8"/>
        <v>#NAME?</v>
      </c>
      <c r="H686" s="274">
        <f t="shared" si="9"/>
        <v>0</v>
      </c>
      <c r="K686" s="274"/>
    </row>
    <row r="687" spans="1:11" ht="13.5" customHeight="1">
      <c r="A687" s="1" t="s">
        <v>2012</v>
      </c>
      <c r="B687" s="1" t="s">
        <v>2013</v>
      </c>
      <c r="C687" s="1" t="s">
        <v>3340</v>
      </c>
      <c r="D687" s="408" t="str">
        <f t="shared" si="18"/>
        <v>14-01</v>
      </c>
      <c r="E687" s="273" t="e">
        <f ca="1">_xludf.IFNA(VLOOKUP(B687,'Kilter Holds'!$P$37:$AB$662,6,0),0)+_xludf.IFNA(VLOOKUP(A687,'Kilter Holds'!$P$37:$AB$662,6,0),0)</f>
        <v>#NAME?</v>
      </c>
      <c r="F687" s="274"/>
      <c r="G687" s="274" t="e">
        <f t="shared" ca="1" si="8"/>
        <v>#NAME?</v>
      </c>
      <c r="H687" s="274">
        <f t="shared" si="9"/>
        <v>0</v>
      </c>
      <c r="K687" s="274"/>
    </row>
    <row r="688" spans="1:11" ht="13.5" customHeight="1">
      <c r="A688" s="1" t="s">
        <v>2012</v>
      </c>
      <c r="B688" s="1" t="s">
        <v>2013</v>
      </c>
      <c r="C688" s="1" t="s">
        <v>3340</v>
      </c>
      <c r="D688" s="409" t="str">
        <f t="shared" si="18"/>
        <v>15-12</v>
      </c>
      <c r="E688" s="273" t="e">
        <f ca="1">_xludf.IFNA(VLOOKUP(B688,'Kilter Holds'!$P$37:$AB$662,7,0),0)+_xludf.IFNA(VLOOKUP(A688,'Kilter Holds'!$P$37:$AB$662,7,0),0)</f>
        <v>#NAME?</v>
      </c>
      <c r="F688" s="274"/>
      <c r="G688" s="274" t="e">
        <f t="shared" ca="1" si="8"/>
        <v>#NAME?</v>
      </c>
      <c r="H688" s="274">
        <f t="shared" si="9"/>
        <v>0</v>
      </c>
      <c r="K688" s="274"/>
    </row>
    <row r="689" spans="1:11" ht="13.5" customHeight="1">
      <c r="A689" s="1" t="s">
        <v>2012</v>
      </c>
      <c r="B689" s="1" t="s">
        <v>2013</v>
      </c>
      <c r="C689" s="1" t="s">
        <v>3340</v>
      </c>
      <c r="D689" s="410" t="str">
        <f t="shared" si="18"/>
        <v>16-16</v>
      </c>
      <c r="E689" s="273" t="e">
        <f ca="1">_xludf.IFNA(VLOOKUP(B689,'Kilter Holds'!$P$37:$AB$662,8,0),0)+_xludf.IFNA(VLOOKUP(A689,'Kilter Holds'!$P$37:$AB$662,8,0),0)</f>
        <v>#NAME?</v>
      </c>
      <c r="F689" s="274"/>
      <c r="G689" s="274" t="e">
        <f t="shared" ca="1" si="8"/>
        <v>#NAME?</v>
      </c>
      <c r="H689" s="274">
        <f t="shared" si="9"/>
        <v>0</v>
      </c>
      <c r="K689" s="274"/>
    </row>
    <row r="690" spans="1:11" ht="13.5" customHeight="1">
      <c r="A690" s="1" t="s">
        <v>2012</v>
      </c>
      <c r="B690" s="1" t="s">
        <v>2013</v>
      </c>
      <c r="C690" s="1" t="s">
        <v>3340</v>
      </c>
      <c r="D690" s="411" t="str">
        <f t="shared" si="18"/>
        <v>13-01</v>
      </c>
      <c r="E690" s="273" t="e">
        <f ca="1">_xludf.IFNA(VLOOKUP(B690,'Kilter Holds'!$P$37:$AB$662,9,0),0)+_xludf.IFNA(VLOOKUP(A690,'Kilter Holds'!$P$37:$AB$662,9,0),0)</f>
        <v>#NAME?</v>
      </c>
      <c r="F690" s="274"/>
      <c r="G690" s="274" t="e">
        <f t="shared" ca="1" si="8"/>
        <v>#NAME?</v>
      </c>
      <c r="H690" s="274">
        <f t="shared" si="9"/>
        <v>0</v>
      </c>
      <c r="K690" s="274"/>
    </row>
    <row r="691" spans="1:11" ht="13.5" customHeight="1">
      <c r="A691" s="1" t="s">
        <v>2012</v>
      </c>
      <c r="B691" s="1" t="s">
        <v>2013</v>
      </c>
      <c r="C691" s="1" t="s">
        <v>3340</v>
      </c>
      <c r="D691" s="413" t="str">
        <f t="shared" si="18"/>
        <v>07-13</v>
      </c>
      <c r="E691" s="273" t="e">
        <f ca="1">_xludf.IFNA(VLOOKUP(B691,'Kilter Holds'!$P$37:$AB$662,10,0),0)+_xludf.IFNA(VLOOKUP(A691,'Kilter Holds'!$P$37:$AB$662,10,0),0)</f>
        <v>#NAME?</v>
      </c>
      <c r="F691" s="274"/>
      <c r="G691" s="274" t="e">
        <f t="shared" ca="1" si="8"/>
        <v>#NAME?</v>
      </c>
      <c r="H691" s="274">
        <f t="shared" si="9"/>
        <v>0</v>
      </c>
      <c r="K691" s="274"/>
    </row>
    <row r="692" spans="1:11" ht="13.5" customHeight="1">
      <c r="A692" s="1" t="s">
        <v>2012</v>
      </c>
      <c r="B692" s="1" t="s">
        <v>2013</v>
      </c>
      <c r="C692" s="1" t="s">
        <v>3340</v>
      </c>
      <c r="D692" s="414" t="str">
        <f t="shared" si="18"/>
        <v>11-26</v>
      </c>
      <c r="E692" s="273" t="e">
        <f ca="1">_xludf.IFNA(VLOOKUP(B692,'Kilter Holds'!$P$37:$AB$662,11,0),0)+_xludf.IFNA(VLOOKUP(A692,'Kilter Holds'!$P$37:$AB$662,11,0),0)</f>
        <v>#NAME?</v>
      </c>
      <c r="F692" s="274"/>
      <c r="G692" s="274" t="e">
        <f t="shared" ca="1" si="8"/>
        <v>#NAME?</v>
      </c>
      <c r="H692" s="274">
        <f t="shared" si="9"/>
        <v>0</v>
      </c>
      <c r="K692" s="274"/>
    </row>
    <row r="693" spans="1:11" ht="13.5" customHeight="1">
      <c r="A693" s="1" t="s">
        <v>2012</v>
      </c>
      <c r="B693" s="1" t="s">
        <v>2013</v>
      </c>
      <c r="C693" s="1" t="s">
        <v>3340</v>
      </c>
      <c r="D693" s="415" t="str">
        <f t="shared" si="18"/>
        <v>18-01</v>
      </c>
      <c r="E693" s="273" t="e">
        <f ca="1">_xludf.IFNA(VLOOKUP(B693,'Kilter Holds'!$P$37:$AB$662,12,0),0)+_xludf.IFNA(VLOOKUP(A693,'Kilter Holds'!$P$37:$AB$662,12,0),0)</f>
        <v>#NAME?</v>
      </c>
      <c r="F693" s="274"/>
      <c r="G693" s="274" t="e">
        <f t="shared" ca="1" si="8"/>
        <v>#NAME?</v>
      </c>
      <c r="H693" s="274">
        <f t="shared" si="9"/>
        <v>0</v>
      </c>
      <c r="K693" s="274"/>
    </row>
    <row r="694" spans="1:11" ht="13.5" customHeight="1">
      <c r="A694" s="1" t="s">
        <v>2012</v>
      </c>
      <c r="B694" s="1" t="s">
        <v>2013</v>
      </c>
      <c r="C694" s="1" t="s">
        <v>3340</v>
      </c>
      <c r="D694" s="416" t="str">
        <f t="shared" si="18"/>
        <v>Color Code</v>
      </c>
      <c r="E694" s="273" t="e">
        <f ca="1">_xludf.IFNA(VLOOKUP(B694,'Kilter Holds'!$P$37:$AB$662,13,0),0)+_xludf.IFNA(VLOOKUP(A694,'Kilter Holds'!$P$37:$AB$662,13,0),0)</f>
        <v>#NAME?</v>
      </c>
      <c r="F694" s="274"/>
      <c r="G694" s="274" t="e">
        <f t="shared" ca="1" si="8"/>
        <v>#NAME?</v>
      </c>
      <c r="H694" s="274">
        <f t="shared" si="9"/>
        <v>0</v>
      </c>
      <c r="K694" s="274"/>
    </row>
    <row r="695" spans="1:11" ht="13.5" customHeight="1">
      <c r="A695" s="1" t="s">
        <v>2012</v>
      </c>
      <c r="B695" s="209" t="s">
        <v>2014</v>
      </c>
      <c r="C695" s="209" t="s">
        <v>3341</v>
      </c>
      <c r="D695" s="406" t="str">
        <f t="shared" si="18"/>
        <v>11-12</v>
      </c>
      <c r="E695" s="273" t="e">
        <f ca="1">_xludf.IFNA(VLOOKUP(B695,'Kilter Holds'!$P$37:$AB$662,5,0),0)+_xludf.IFNA(VLOOKUP(A695,'Kilter Holds'!$P$37:$AB$662,5,0),0)</f>
        <v>#NAME?</v>
      </c>
      <c r="F695" s="274"/>
      <c r="G695" s="274" t="e">
        <f t="shared" ca="1" si="8"/>
        <v>#NAME?</v>
      </c>
      <c r="H695" s="274">
        <f t="shared" si="9"/>
        <v>0</v>
      </c>
      <c r="K695" s="274"/>
    </row>
    <row r="696" spans="1:11" ht="13.5" customHeight="1">
      <c r="A696" s="1" t="s">
        <v>2012</v>
      </c>
      <c r="B696" s="209" t="s">
        <v>2014</v>
      </c>
      <c r="C696" s="209" t="s">
        <v>3341</v>
      </c>
      <c r="D696" s="408" t="str">
        <f t="shared" si="18"/>
        <v>14-01</v>
      </c>
      <c r="E696" s="273" t="e">
        <f ca="1">_xludf.IFNA(VLOOKUP(B696,'Kilter Holds'!$P$37:$AB$662,6,0),0)+_xludf.IFNA(VLOOKUP(A696,'Kilter Holds'!$P$37:$AB$662,6,0),0)</f>
        <v>#NAME?</v>
      </c>
      <c r="F696" s="274"/>
      <c r="G696" s="274" t="e">
        <f t="shared" ca="1" si="8"/>
        <v>#NAME?</v>
      </c>
      <c r="H696" s="274">
        <f t="shared" si="9"/>
        <v>0</v>
      </c>
      <c r="K696" s="274"/>
    </row>
    <row r="697" spans="1:11" ht="13.5" customHeight="1">
      <c r="A697" s="1" t="s">
        <v>2012</v>
      </c>
      <c r="B697" s="209" t="s">
        <v>2014</v>
      </c>
      <c r="C697" s="209" t="s">
        <v>3341</v>
      </c>
      <c r="D697" s="409" t="str">
        <f t="shared" si="18"/>
        <v>15-12</v>
      </c>
      <c r="E697" s="273" t="e">
        <f ca="1">_xludf.IFNA(VLOOKUP(B697,'Kilter Holds'!$P$37:$AB$662,7,0),0)+_xludf.IFNA(VLOOKUP(A697,'Kilter Holds'!$P$37:$AB$662,7,0),0)</f>
        <v>#NAME?</v>
      </c>
      <c r="F697" s="274"/>
      <c r="G697" s="274" t="e">
        <f t="shared" ca="1" si="8"/>
        <v>#NAME?</v>
      </c>
      <c r="H697" s="274">
        <f t="shared" si="9"/>
        <v>0</v>
      </c>
      <c r="K697" s="274"/>
    </row>
    <row r="698" spans="1:11" ht="13.5" customHeight="1">
      <c r="A698" s="1" t="s">
        <v>2012</v>
      </c>
      <c r="B698" s="209" t="s">
        <v>2014</v>
      </c>
      <c r="C698" s="209" t="s">
        <v>3341</v>
      </c>
      <c r="D698" s="410" t="str">
        <f t="shared" si="18"/>
        <v>16-16</v>
      </c>
      <c r="E698" s="273" t="e">
        <f ca="1">_xludf.IFNA(VLOOKUP(B698,'Kilter Holds'!$P$37:$AB$662,8,0),0)+_xludf.IFNA(VLOOKUP(A698,'Kilter Holds'!$P$37:$AB$662,8,0),0)</f>
        <v>#NAME?</v>
      </c>
      <c r="F698" s="274"/>
      <c r="G698" s="274" t="e">
        <f t="shared" ca="1" si="8"/>
        <v>#NAME?</v>
      </c>
      <c r="H698" s="274">
        <f t="shared" si="9"/>
        <v>0</v>
      </c>
      <c r="K698" s="274"/>
    </row>
    <row r="699" spans="1:11" ht="13.5" customHeight="1">
      <c r="A699" s="1" t="s">
        <v>2012</v>
      </c>
      <c r="B699" s="209" t="s">
        <v>2014</v>
      </c>
      <c r="C699" s="209" t="s">
        <v>3341</v>
      </c>
      <c r="D699" s="411" t="str">
        <f t="shared" si="18"/>
        <v>13-01</v>
      </c>
      <c r="E699" s="273" t="e">
        <f ca="1">_xludf.IFNA(VLOOKUP(B699,'Kilter Holds'!$P$37:$AB$662,9,0),0)+_xludf.IFNA(VLOOKUP(A699,'Kilter Holds'!$P$37:$AB$662,9,0),0)</f>
        <v>#NAME?</v>
      </c>
      <c r="F699" s="274"/>
      <c r="G699" s="274" t="e">
        <f t="shared" ca="1" si="8"/>
        <v>#NAME?</v>
      </c>
      <c r="H699" s="274">
        <f t="shared" si="9"/>
        <v>0</v>
      </c>
      <c r="K699" s="274"/>
    </row>
    <row r="700" spans="1:11" ht="13.5" customHeight="1">
      <c r="A700" s="1" t="s">
        <v>2012</v>
      </c>
      <c r="B700" s="209" t="s">
        <v>2014</v>
      </c>
      <c r="C700" s="209" t="s">
        <v>3341</v>
      </c>
      <c r="D700" s="413" t="str">
        <f t="shared" si="18"/>
        <v>07-13</v>
      </c>
      <c r="E700" s="273" t="e">
        <f ca="1">_xludf.IFNA(VLOOKUP(B700,'Kilter Holds'!$P$37:$AB$662,10,0),0)+_xludf.IFNA(VLOOKUP(A700,'Kilter Holds'!$P$37:$AB$662,10,0),0)</f>
        <v>#NAME?</v>
      </c>
      <c r="F700" s="274"/>
      <c r="G700" s="274" t="e">
        <f t="shared" ca="1" si="8"/>
        <v>#NAME?</v>
      </c>
      <c r="H700" s="274">
        <f t="shared" si="9"/>
        <v>0</v>
      </c>
      <c r="K700" s="274"/>
    </row>
    <row r="701" spans="1:11" ht="13.5" customHeight="1">
      <c r="A701" s="1" t="s">
        <v>2012</v>
      </c>
      <c r="B701" s="209" t="s">
        <v>2014</v>
      </c>
      <c r="C701" s="209" t="s">
        <v>3341</v>
      </c>
      <c r="D701" s="414" t="str">
        <f t="shared" si="18"/>
        <v>11-26</v>
      </c>
      <c r="E701" s="273" t="e">
        <f ca="1">_xludf.IFNA(VLOOKUP(B701,'Kilter Holds'!$P$37:$AB$662,11,0),0)+_xludf.IFNA(VLOOKUP(A701,'Kilter Holds'!$P$37:$AB$662,11,0),0)</f>
        <v>#NAME?</v>
      </c>
      <c r="F701" s="274"/>
      <c r="G701" s="274" t="e">
        <f t="shared" ca="1" si="8"/>
        <v>#NAME?</v>
      </c>
      <c r="H701" s="274">
        <f t="shared" si="9"/>
        <v>0</v>
      </c>
      <c r="K701" s="274"/>
    </row>
    <row r="702" spans="1:11" ht="13.5" customHeight="1">
      <c r="A702" s="1" t="s">
        <v>2012</v>
      </c>
      <c r="B702" s="209" t="s">
        <v>2014</v>
      </c>
      <c r="C702" s="209" t="s">
        <v>3341</v>
      </c>
      <c r="D702" s="415" t="str">
        <f t="shared" si="18"/>
        <v>18-01</v>
      </c>
      <c r="E702" s="273" t="e">
        <f ca="1">_xludf.IFNA(VLOOKUP(B702,'Kilter Holds'!$P$37:$AB$662,12,0),0)+_xludf.IFNA(VLOOKUP(A702,'Kilter Holds'!$P$37:$AB$662,12,0),0)</f>
        <v>#NAME?</v>
      </c>
      <c r="F702" s="274"/>
      <c r="G702" s="274" t="e">
        <f t="shared" ca="1" si="8"/>
        <v>#NAME?</v>
      </c>
      <c r="H702" s="274">
        <f t="shared" si="9"/>
        <v>0</v>
      </c>
      <c r="K702" s="274"/>
    </row>
    <row r="703" spans="1:11" ht="13.5" customHeight="1">
      <c r="A703" s="1" t="s">
        <v>2012</v>
      </c>
      <c r="B703" s="209" t="s">
        <v>2014</v>
      </c>
      <c r="C703" s="209" t="s">
        <v>3341</v>
      </c>
      <c r="D703" s="416" t="str">
        <f t="shared" si="18"/>
        <v>Color Code</v>
      </c>
      <c r="E703" s="273" t="e">
        <f ca="1">_xludf.IFNA(VLOOKUP(B703,'Kilter Holds'!$P$37:$AB$662,13,0),0)+_xludf.IFNA(VLOOKUP(A703,'Kilter Holds'!$P$37:$AB$662,13,0),0)</f>
        <v>#NAME?</v>
      </c>
      <c r="F703" s="274"/>
      <c r="G703" s="274" t="e">
        <f t="shared" ca="1" si="8"/>
        <v>#NAME?</v>
      </c>
      <c r="H703" s="274">
        <f t="shared" si="9"/>
        <v>0</v>
      </c>
      <c r="K703" s="274"/>
    </row>
    <row r="704" spans="1:11" ht="13.5" customHeight="1">
      <c r="B704" s="1" t="s">
        <v>2116</v>
      </c>
      <c r="C704" s="1" t="s">
        <v>3342</v>
      </c>
      <c r="D704" s="406" t="str">
        <f t="shared" ref="D704:D730" si="19">D686</f>
        <v>11-12</v>
      </c>
      <c r="E704" s="273" t="e">
        <f ca="1">_xludf.IFNA(VLOOKUP('Comp X - Kilter'!B704,'Kilter Holds'!$P$37:$AB$662,5,0),0)</f>
        <v>#NAME?</v>
      </c>
      <c r="F704" s="274"/>
      <c r="G704" s="274" t="e">
        <f t="shared" ca="1" si="8"/>
        <v>#NAME?</v>
      </c>
      <c r="H704" s="274">
        <f t="shared" si="9"/>
        <v>0</v>
      </c>
      <c r="K704" s="274"/>
    </row>
    <row r="705" spans="2:11" ht="13.5" customHeight="1">
      <c r="B705" s="1" t="s">
        <v>2116</v>
      </c>
      <c r="C705" s="1" t="s">
        <v>3342</v>
      </c>
      <c r="D705" s="408" t="str">
        <f t="shared" si="19"/>
        <v>14-01</v>
      </c>
      <c r="E705" s="273" t="e">
        <f ca="1">_xludf.IFNA(VLOOKUP('Comp X - Kilter'!B705,'Kilter Holds'!$P$37:$AB$662,6,0),0)</f>
        <v>#NAME?</v>
      </c>
      <c r="F705" s="274"/>
      <c r="G705" s="274" t="e">
        <f t="shared" ca="1" si="8"/>
        <v>#NAME?</v>
      </c>
      <c r="H705" s="274">
        <f t="shared" si="9"/>
        <v>0</v>
      </c>
      <c r="K705" s="274"/>
    </row>
    <row r="706" spans="2:11" ht="13.5" customHeight="1">
      <c r="B706" s="1" t="s">
        <v>2116</v>
      </c>
      <c r="C706" s="1" t="s">
        <v>3342</v>
      </c>
      <c r="D706" s="409" t="str">
        <f t="shared" si="19"/>
        <v>15-12</v>
      </c>
      <c r="E706" s="273" t="e">
        <f ca="1">_xludf.IFNA(VLOOKUP('Comp X - Kilter'!B706,'Kilter Holds'!$P$37:$AB$662,7,0),0)</f>
        <v>#NAME?</v>
      </c>
      <c r="F706" s="274"/>
      <c r="G706" s="274" t="e">
        <f t="shared" ca="1" si="8"/>
        <v>#NAME?</v>
      </c>
      <c r="H706" s="274">
        <f t="shared" si="9"/>
        <v>0</v>
      </c>
      <c r="K706" s="274"/>
    </row>
    <row r="707" spans="2:11" ht="13.5" customHeight="1">
      <c r="B707" s="1" t="s">
        <v>2116</v>
      </c>
      <c r="C707" s="1" t="s">
        <v>3342</v>
      </c>
      <c r="D707" s="410" t="str">
        <f t="shared" si="19"/>
        <v>16-16</v>
      </c>
      <c r="E707" s="273" t="e">
        <f ca="1">_xludf.IFNA(VLOOKUP('Comp X - Kilter'!B707,'Kilter Holds'!$P$37:$AB$662,8,0),0)</f>
        <v>#NAME?</v>
      </c>
      <c r="F707" s="274"/>
      <c r="G707" s="274" t="e">
        <f t="shared" ca="1" si="8"/>
        <v>#NAME?</v>
      </c>
      <c r="H707" s="274">
        <f t="shared" si="9"/>
        <v>0</v>
      </c>
      <c r="K707" s="274"/>
    </row>
    <row r="708" spans="2:11" ht="13.5" customHeight="1">
      <c r="B708" s="1" t="s">
        <v>2116</v>
      </c>
      <c r="C708" s="1" t="s">
        <v>3342</v>
      </c>
      <c r="D708" s="411" t="str">
        <f t="shared" si="19"/>
        <v>13-01</v>
      </c>
      <c r="E708" s="273" t="e">
        <f ca="1">_xludf.IFNA(VLOOKUP('Comp X - Kilter'!B708,'Kilter Holds'!$P$37:$AB$662,9,0),0)</f>
        <v>#NAME?</v>
      </c>
      <c r="F708" s="274"/>
      <c r="G708" s="274" t="e">
        <f t="shared" ca="1" si="8"/>
        <v>#NAME?</v>
      </c>
      <c r="H708" s="274">
        <f t="shared" si="9"/>
        <v>0</v>
      </c>
      <c r="K708" s="274"/>
    </row>
    <row r="709" spans="2:11" ht="13.5" customHeight="1">
      <c r="B709" s="1" t="s">
        <v>2116</v>
      </c>
      <c r="C709" s="1" t="s">
        <v>3342</v>
      </c>
      <c r="D709" s="413" t="str">
        <f t="shared" si="19"/>
        <v>07-13</v>
      </c>
      <c r="E709" s="273" t="e">
        <f ca="1">_xludf.IFNA(VLOOKUP('Comp X - Kilter'!B709,'Kilter Holds'!$P$37:$AB$662,10,0),0)</f>
        <v>#NAME?</v>
      </c>
      <c r="F709" s="274"/>
      <c r="G709" s="274" t="e">
        <f t="shared" ca="1" si="8"/>
        <v>#NAME?</v>
      </c>
      <c r="H709" s="274">
        <f t="shared" si="9"/>
        <v>0</v>
      </c>
      <c r="K709" s="274"/>
    </row>
    <row r="710" spans="2:11" ht="13.5" customHeight="1">
      <c r="B710" s="1" t="s">
        <v>2116</v>
      </c>
      <c r="C710" s="1" t="s">
        <v>3342</v>
      </c>
      <c r="D710" s="414" t="str">
        <f t="shared" si="19"/>
        <v>11-26</v>
      </c>
      <c r="E710" s="273" t="e">
        <f ca="1">_xludf.IFNA(VLOOKUP('Comp X - Kilter'!B710,'Kilter Holds'!$P$37:$AB$662,11,0),0)</f>
        <v>#NAME?</v>
      </c>
      <c r="F710" s="274"/>
      <c r="G710" s="274" t="e">
        <f t="shared" ca="1" si="8"/>
        <v>#NAME?</v>
      </c>
      <c r="H710" s="274">
        <f t="shared" si="9"/>
        <v>0</v>
      </c>
      <c r="K710" s="274"/>
    </row>
    <row r="711" spans="2:11" ht="13.5" customHeight="1">
      <c r="B711" s="1" t="s">
        <v>2116</v>
      </c>
      <c r="C711" s="1" t="s">
        <v>3342</v>
      </c>
      <c r="D711" s="415" t="str">
        <f t="shared" si="19"/>
        <v>18-01</v>
      </c>
      <c r="E711" s="273" t="e">
        <f ca="1">_xludf.IFNA(VLOOKUP('Comp X - Kilter'!B711,'Kilter Holds'!$P$37:$AB$662,12,0),0)</f>
        <v>#NAME?</v>
      </c>
      <c r="F711" s="274"/>
      <c r="G711" s="274" t="e">
        <f t="shared" ca="1" si="8"/>
        <v>#NAME?</v>
      </c>
      <c r="H711" s="274">
        <f t="shared" si="9"/>
        <v>0</v>
      </c>
      <c r="K711" s="274"/>
    </row>
    <row r="712" spans="2:11" ht="13.5" customHeight="1">
      <c r="B712" s="1" t="s">
        <v>2116</v>
      </c>
      <c r="C712" s="1" t="s">
        <v>3342</v>
      </c>
      <c r="D712" s="416" t="str">
        <f t="shared" si="19"/>
        <v>Color Code</v>
      </c>
      <c r="E712" s="273" t="e">
        <f ca="1">_xludf.IFNA(VLOOKUP('Comp X - Kilter'!B712,'Kilter Holds'!$P$37:$AB$662,13,0),0)</f>
        <v>#NAME?</v>
      </c>
      <c r="F712" s="274"/>
      <c r="G712" s="274" t="e">
        <f t="shared" ca="1" si="8"/>
        <v>#NAME?</v>
      </c>
      <c r="H712" s="274">
        <f t="shared" si="9"/>
        <v>0</v>
      </c>
      <c r="K712" s="274"/>
    </row>
    <row r="713" spans="2:11" ht="13.5" customHeight="1">
      <c r="B713" s="1" t="s">
        <v>2110</v>
      </c>
      <c r="C713" s="1" t="s">
        <v>3343</v>
      </c>
      <c r="D713" s="406" t="str">
        <f t="shared" si="19"/>
        <v>11-12</v>
      </c>
      <c r="E713" s="273" t="e">
        <f ca="1">_xludf.IFNA(VLOOKUP('Comp X - Kilter'!B713,'Kilter Holds'!$P$37:$AB$662,5,0),0)</f>
        <v>#NAME?</v>
      </c>
      <c r="F713" s="274"/>
      <c r="G713" s="274" t="e">
        <f t="shared" ca="1" si="8"/>
        <v>#NAME?</v>
      </c>
      <c r="H713" s="274">
        <f t="shared" si="9"/>
        <v>0</v>
      </c>
      <c r="K713" s="274"/>
    </row>
    <row r="714" spans="2:11" ht="13.5" customHeight="1">
      <c r="B714" s="1" t="s">
        <v>2110</v>
      </c>
      <c r="C714" s="1" t="s">
        <v>3343</v>
      </c>
      <c r="D714" s="408" t="str">
        <f t="shared" si="19"/>
        <v>14-01</v>
      </c>
      <c r="E714" s="273" t="e">
        <f ca="1">_xludf.IFNA(VLOOKUP('Comp X - Kilter'!B714,'Kilter Holds'!$P$37:$AB$662,6,0),0)</f>
        <v>#NAME?</v>
      </c>
      <c r="F714" s="274"/>
      <c r="G714" s="274" t="e">
        <f t="shared" ca="1" si="8"/>
        <v>#NAME?</v>
      </c>
      <c r="H714" s="274">
        <f t="shared" si="9"/>
        <v>0</v>
      </c>
      <c r="K714" s="274"/>
    </row>
    <row r="715" spans="2:11" ht="13.5" customHeight="1">
      <c r="B715" s="1" t="s">
        <v>2110</v>
      </c>
      <c r="C715" s="1" t="s">
        <v>3343</v>
      </c>
      <c r="D715" s="409" t="str">
        <f t="shared" si="19"/>
        <v>15-12</v>
      </c>
      <c r="E715" s="273" t="e">
        <f ca="1">_xludf.IFNA(VLOOKUP('Comp X - Kilter'!B715,'Kilter Holds'!$P$37:$AB$662,7,0),0)</f>
        <v>#NAME?</v>
      </c>
      <c r="F715" s="274"/>
      <c r="G715" s="274" t="e">
        <f t="shared" ca="1" si="8"/>
        <v>#NAME?</v>
      </c>
      <c r="H715" s="274">
        <f t="shared" si="9"/>
        <v>0</v>
      </c>
      <c r="K715" s="274"/>
    </row>
    <row r="716" spans="2:11" ht="13.5" customHeight="1">
      <c r="B716" s="1" t="s">
        <v>2110</v>
      </c>
      <c r="C716" s="1" t="s">
        <v>3343</v>
      </c>
      <c r="D716" s="410" t="str">
        <f t="shared" si="19"/>
        <v>16-16</v>
      </c>
      <c r="E716" s="273" t="e">
        <f ca="1">_xludf.IFNA(VLOOKUP('Comp X - Kilter'!B716,'Kilter Holds'!$P$37:$AB$662,8,0),0)</f>
        <v>#NAME?</v>
      </c>
      <c r="F716" s="274"/>
      <c r="G716" s="274" t="e">
        <f t="shared" ca="1" si="8"/>
        <v>#NAME?</v>
      </c>
      <c r="H716" s="274">
        <f t="shared" si="9"/>
        <v>0</v>
      </c>
      <c r="K716" s="274"/>
    </row>
    <row r="717" spans="2:11" ht="13.5" customHeight="1">
      <c r="B717" s="1" t="s">
        <v>2110</v>
      </c>
      <c r="C717" s="1" t="s">
        <v>3343</v>
      </c>
      <c r="D717" s="411" t="str">
        <f t="shared" si="19"/>
        <v>13-01</v>
      </c>
      <c r="E717" s="273" t="e">
        <f ca="1">_xludf.IFNA(VLOOKUP('Comp X - Kilter'!B717,'Kilter Holds'!$P$37:$AB$662,9,0),0)</f>
        <v>#NAME?</v>
      </c>
      <c r="F717" s="274"/>
      <c r="G717" s="274" t="e">
        <f t="shared" ca="1" si="8"/>
        <v>#NAME?</v>
      </c>
      <c r="H717" s="274">
        <f t="shared" si="9"/>
        <v>0</v>
      </c>
      <c r="K717" s="274"/>
    </row>
    <row r="718" spans="2:11" ht="13.5" customHeight="1">
      <c r="B718" s="1" t="s">
        <v>2110</v>
      </c>
      <c r="C718" s="1" t="s">
        <v>3343</v>
      </c>
      <c r="D718" s="413" t="str">
        <f t="shared" si="19"/>
        <v>07-13</v>
      </c>
      <c r="E718" s="273" t="e">
        <f ca="1">_xludf.IFNA(VLOOKUP('Comp X - Kilter'!B718,'Kilter Holds'!$P$37:$AB$662,10,0),0)</f>
        <v>#NAME?</v>
      </c>
      <c r="F718" s="274"/>
      <c r="G718" s="274" t="e">
        <f t="shared" ca="1" si="8"/>
        <v>#NAME?</v>
      </c>
      <c r="H718" s="274">
        <f t="shared" si="9"/>
        <v>0</v>
      </c>
      <c r="K718" s="274"/>
    </row>
    <row r="719" spans="2:11" ht="13.5" customHeight="1">
      <c r="B719" s="1" t="s">
        <v>2110</v>
      </c>
      <c r="C719" s="1" t="s">
        <v>3343</v>
      </c>
      <c r="D719" s="414" t="str">
        <f t="shared" si="19"/>
        <v>11-26</v>
      </c>
      <c r="E719" s="273" t="e">
        <f ca="1">_xludf.IFNA(VLOOKUP('Comp X - Kilter'!B719,'Kilter Holds'!$P$37:$AB$662,11,0),0)</f>
        <v>#NAME?</v>
      </c>
      <c r="F719" s="274"/>
      <c r="G719" s="274" t="e">
        <f t="shared" ca="1" si="8"/>
        <v>#NAME?</v>
      </c>
      <c r="H719" s="274">
        <f t="shared" si="9"/>
        <v>0</v>
      </c>
      <c r="K719" s="274"/>
    </row>
    <row r="720" spans="2:11" ht="13.5" customHeight="1">
      <c r="B720" s="1" t="s">
        <v>2110</v>
      </c>
      <c r="C720" s="1" t="s">
        <v>3343</v>
      </c>
      <c r="D720" s="415" t="str">
        <f t="shared" si="19"/>
        <v>18-01</v>
      </c>
      <c r="E720" s="273" t="e">
        <f ca="1">_xludf.IFNA(VLOOKUP('Comp X - Kilter'!B720,'Kilter Holds'!$P$37:$AB$662,12,0),0)</f>
        <v>#NAME?</v>
      </c>
      <c r="F720" s="274"/>
      <c r="G720" s="274" t="e">
        <f t="shared" ca="1" si="8"/>
        <v>#NAME?</v>
      </c>
      <c r="H720" s="274">
        <f t="shared" si="9"/>
        <v>0</v>
      </c>
      <c r="K720" s="274"/>
    </row>
    <row r="721" spans="2:11" ht="13.5" customHeight="1">
      <c r="B721" s="1" t="s">
        <v>2110</v>
      </c>
      <c r="C721" s="1" t="s">
        <v>3343</v>
      </c>
      <c r="D721" s="416" t="str">
        <f t="shared" si="19"/>
        <v>Color Code</v>
      </c>
      <c r="E721" s="273" t="e">
        <f ca="1">_xludf.IFNA(VLOOKUP('Comp X - Kilter'!B721,'Kilter Holds'!$P$37:$AB$662,13,0),0)</f>
        <v>#NAME?</v>
      </c>
      <c r="F721" s="274"/>
      <c r="G721" s="274" t="e">
        <f t="shared" ca="1" si="8"/>
        <v>#NAME?</v>
      </c>
      <c r="H721" s="274">
        <f t="shared" si="9"/>
        <v>0</v>
      </c>
      <c r="K721" s="274"/>
    </row>
    <row r="722" spans="2:11" ht="13.5" customHeight="1">
      <c r="B722" s="1" t="s">
        <v>2153</v>
      </c>
      <c r="C722" s="1" t="s">
        <v>3344</v>
      </c>
      <c r="D722" s="406" t="str">
        <f t="shared" si="19"/>
        <v>11-12</v>
      </c>
      <c r="E722" s="273" t="e">
        <f ca="1">_xludf.IFNA(VLOOKUP('Comp X - Kilter'!B722,'Kilter Holds'!$P$37:$AB$662,5,0),0)</f>
        <v>#NAME?</v>
      </c>
      <c r="F722" s="274"/>
      <c r="G722" s="274" t="e">
        <f t="shared" ca="1" si="8"/>
        <v>#NAME?</v>
      </c>
      <c r="H722" s="274">
        <f t="shared" si="9"/>
        <v>0</v>
      </c>
      <c r="K722" s="274"/>
    </row>
    <row r="723" spans="2:11" ht="13.5" customHeight="1">
      <c r="B723" s="1" t="s">
        <v>2153</v>
      </c>
      <c r="C723" s="1" t="s">
        <v>3344</v>
      </c>
      <c r="D723" s="408" t="str">
        <f t="shared" si="19"/>
        <v>14-01</v>
      </c>
      <c r="E723" s="273" t="e">
        <f ca="1">_xludf.IFNA(VLOOKUP('Comp X - Kilter'!B723,'Kilter Holds'!$P$37:$AB$662,6,0),0)</f>
        <v>#NAME?</v>
      </c>
      <c r="F723" s="274"/>
      <c r="G723" s="274" t="e">
        <f t="shared" ca="1" si="8"/>
        <v>#NAME?</v>
      </c>
      <c r="H723" s="274">
        <f t="shared" si="9"/>
        <v>0</v>
      </c>
      <c r="K723" s="274"/>
    </row>
    <row r="724" spans="2:11" ht="13.5" customHeight="1">
      <c r="B724" s="1" t="s">
        <v>2153</v>
      </c>
      <c r="C724" s="1" t="s">
        <v>3344</v>
      </c>
      <c r="D724" s="409" t="str">
        <f t="shared" si="19"/>
        <v>15-12</v>
      </c>
      <c r="E724" s="273" t="e">
        <f ca="1">_xludf.IFNA(VLOOKUP('Comp X - Kilter'!B724,'Kilter Holds'!$P$37:$AB$662,7,0),0)</f>
        <v>#NAME?</v>
      </c>
      <c r="F724" s="274"/>
      <c r="G724" s="274" t="e">
        <f t="shared" ca="1" si="8"/>
        <v>#NAME?</v>
      </c>
      <c r="H724" s="274">
        <f t="shared" si="9"/>
        <v>0</v>
      </c>
      <c r="K724" s="274"/>
    </row>
    <row r="725" spans="2:11" ht="13.5" customHeight="1">
      <c r="B725" s="1" t="s">
        <v>2153</v>
      </c>
      <c r="C725" s="1" t="s">
        <v>3344</v>
      </c>
      <c r="D725" s="410" t="str">
        <f t="shared" si="19"/>
        <v>16-16</v>
      </c>
      <c r="E725" s="273" t="e">
        <f ca="1">_xludf.IFNA(VLOOKUP('Comp X - Kilter'!B725,'Kilter Holds'!$P$37:$AB$662,8,0),0)</f>
        <v>#NAME?</v>
      </c>
      <c r="F725" s="274"/>
      <c r="G725" s="274" t="e">
        <f t="shared" ca="1" si="8"/>
        <v>#NAME?</v>
      </c>
      <c r="H725" s="274">
        <f t="shared" si="9"/>
        <v>0</v>
      </c>
      <c r="K725" s="274"/>
    </row>
    <row r="726" spans="2:11" ht="13.5" customHeight="1">
      <c r="B726" s="1" t="s">
        <v>2153</v>
      </c>
      <c r="C726" s="1" t="s">
        <v>3344</v>
      </c>
      <c r="D726" s="411" t="str">
        <f t="shared" si="19"/>
        <v>13-01</v>
      </c>
      <c r="E726" s="273" t="e">
        <f ca="1">_xludf.IFNA(VLOOKUP('Comp X - Kilter'!B726,'Kilter Holds'!$P$37:$AB$662,9,0),0)</f>
        <v>#NAME?</v>
      </c>
      <c r="F726" s="274"/>
      <c r="G726" s="274" t="e">
        <f t="shared" ca="1" si="8"/>
        <v>#NAME?</v>
      </c>
      <c r="H726" s="274">
        <f t="shared" si="9"/>
        <v>0</v>
      </c>
      <c r="K726" s="274"/>
    </row>
    <row r="727" spans="2:11" ht="13.5" customHeight="1">
      <c r="B727" s="1" t="s">
        <v>2153</v>
      </c>
      <c r="C727" s="1" t="s">
        <v>3344</v>
      </c>
      <c r="D727" s="413" t="str">
        <f t="shared" si="19"/>
        <v>07-13</v>
      </c>
      <c r="E727" s="273" t="e">
        <f ca="1">_xludf.IFNA(VLOOKUP('Comp X - Kilter'!B727,'Kilter Holds'!$P$37:$AB$662,10,0),0)</f>
        <v>#NAME?</v>
      </c>
      <c r="F727" s="274"/>
      <c r="G727" s="274" t="e">
        <f t="shared" ca="1" si="8"/>
        <v>#NAME?</v>
      </c>
      <c r="H727" s="274">
        <f t="shared" si="9"/>
        <v>0</v>
      </c>
      <c r="K727" s="274"/>
    </row>
    <row r="728" spans="2:11" ht="13.5" customHeight="1">
      <c r="B728" s="1" t="s">
        <v>2153</v>
      </c>
      <c r="C728" s="1" t="s">
        <v>3344</v>
      </c>
      <c r="D728" s="414" t="str">
        <f t="shared" si="19"/>
        <v>11-26</v>
      </c>
      <c r="E728" s="273" t="e">
        <f ca="1">_xludf.IFNA(VLOOKUP('Comp X - Kilter'!B728,'Kilter Holds'!$P$37:$AB$662,11,0),0)</f>
        <v>#NAME?</v>
      </c>
      <c r="F728" s="274"/>
      <c r="G728" s="274" t="e">
        <f t="shared" ca="1" si="8"/>
        <v>#NAME?</v>
      </c>
      <c r="H728" s="274">
        <f t="shared" si="9"/>
        <v>0</v>
      </c>
      <c r="K728" s="274"/>
    </row>
    <row r="729" spans="2:11" ht="13.5" customHeight="1">
      <c r="B729" s="1" t="s">
        <v>2153</v>
      </c>
      <c r="C729" s="1" t="s">
        <v>3344</v>
      </c>
      <c r="D729" s="415" t="str">
        <f t="shared" si="19"/>
        <v>18-01</v>
      </c>
      <c r="E729" s="273" t="e">
        <f ca="1">_xludf.IFNA(VLOOKUP('Comp X - Kilter'!B729,'Kilter Holds'!$P$37:$AB$662,12,0),0)</f>
        <v>#NAME?</v>
      </c>
      <c r="F729" s="274"/>
      <c r="G729" s="274" t="e">
        <f t="shared" ca="1" si="8"/>
        <v>#NAME?</v>
      </c>
      <c r="H729" s="274">
        <f t="shared" si="9"/>
        <v>0</v>
      </c>
      <c r="K729" s="274"/>
    </row>
    <row r="730" spans="2:11" ht="13.5" customHeight="1">
      <c r="B730" s="1" t="s">
        <v>2153</v>
      </c>
      <c r="C730" s="1" t="s">
        <v>3344</v>
      </c>
      <c r="D730" s="416" t="str">
        <f t="shared" si="19"/>
        <v>Color Code</v>
      </c>
      <c r="E730" s="273" t="e">
        <f ca="1">_xludf.IFNA(VLOOKUP('Comp X - Kilter'!B730,'Kilter Holds'!$P$37:$AB$662,13,0),0)</f>
        <v>#NAME?</v>
      </c>
      <c r="F730" s="274"/>
      <c r="G730" s="274" t="e">
        <f t="shared" ca="1" si="8"/>
        <v>#NAME?</v>
      </c>
      <c r="H730" s="274">
        <f t="shared" si="9"/>
        <v>0</v>
      </c>
      <c r="K730" s="274"/>
    </row>
    <row r="731" spans="2:11" ht="13.5" customHeight="1">
      <c r="B731" s="1" t="s">
        <v>2115</v>
      </c>
      <c r="C731" s="1" t="s">
        <v>3345</v>
      </c>
      <c r="D731" s="406" t="str">
        <f t="shared" ref="D731:D739" si="20">D695</f>
        <v>11-12</v>
      </c>
      <c r="E731" s="273" t="e">
        <f ca="1">_xludf.IFNA(VLOOKUP('Comp X - Kilter'!B731,'Kilter Holds'!$P$37:$AB$662,5,0),0)</f>
        <v>#NAME?</v>
      </c>
      <c r="F731" s="274"/>
      <c r="G731" s="274" t="e">
        <f t="shared" ca="1" si="8"/>
        <v>#NAME?</v>
      </c>
      <c r="H731" s="274">
        <f t="shared" si="9"/>
        <v>0</v>
      </c>
      <c r="K731" s="274"/>
    </row>
    <row r="732" spans="2:11" ht="13.5" customHeight="1">
      <c r="B732" s="1" t="s">
        <v>2115</v>
      </c>
      <c r="C732" s="1" t="s">
        <v>3345</v>
      </c>
      <c r="D732" s="408" t="str">
        <f t="shared" si="20"/>
        <v>14-01</v>
      </c>
      <c r="E732" s="273" t="e">
        <f ca="1">_xludf.IFNA(VLOOKUP('Comp X - Kilter'!B732,'Kilter Holds'!$P$37:$AB$662,6,0),0)</f>
        <v>#NAME?</v>
      </c>
      <c r="F732" s="274"/>
      <c r="G732" s="274" t="e">
        <f t="shared" ca="1" si="8"/>
        <v>#NAME?</v>
      </c>
      <c r="H732" s="274">
        <f t="shared" si="9"/>
        <v>0</v>
      </c>
      <c r="K732" s="274"/>
    </row>
    <row r="733" spans="2:11" ht="13.5" customHeight="1">
      <c r="B733" s="1" t="s">
        <v>2115</v>
      </c>
      <c r="C733" s="1" t="s">
        <v>3345</v>
      </c>
      <c r="D733" s="409" t="str">
        <f t="shared" si="20"/>
        <v>15-12</v>
      </c>
      <c r="E733" s="273" t="e">
        <f ca="1">_xludf.IFNA(VLOOKUP('Comp X - Kilter'!B733,'Kilter Holds'!$P$37:$AB$662,7,0),0)</f>
        <v>#NAME?</v>
      </c>
      <c r="F733" s="274"/>
      <c r="G733" s="274" t="e">
        <f t="shared" ca="1" si="8"/>
        <v>#NAME?</v>
      </c>
      <c r="H733" s="274">
        <f t="shared" si="9"/>
        <v>0</v>
      </c>
      <c r="K733" s="274"/>
    </row>
    <row r="734" spans="2:11" ht="13.5" customHeight="1">
      <c r="B734" s="1" t="s">
        <v>2115</v>
      </c>
      <c r="C734" s="1" t="s">
        <v>3345</v>
      </c>
      <c r="D734" s="410" t="str">
        <f t="shared" si="20"/>
        <v>16-16</v>
      </c>
      <c r="E734" s="273" t="e">
        <f ca="1">_xludf.IFNA(VLOOKUP('Comp X - Kilter'!B734,'Kilter Holds'!$P$37:$AB$662,8,0),0)</f>
        <v>#NAME?</v>
      </c>
      <c r="F734" s="274"/>
      <c r="G734" s="274" t="e">
        <f t="shared" ca="1" si="8"/>
        <v>#NAME?</v>
      </c>
      <c r="H734" s="274">
        <f t="shared" si="9"/>
        <v>0</v>
      </c>
      <c r="K734" s="274"/>
    </row>
    <row r="735" spans="2:11" ht="13.5" customHeight="1">
      <c r="B735" s="1" t="s">
        <v>2115</v>
      </c>
      <c r="C735" s="1" t="s">
        <v>3345</v>
      </c>
      <c r="D735" s="411" t="str">
        <f t="shared" si="20"/>
        <v>13-01</v>
      </c>
      <c r="E735" s="273" t="e">
        <f ca="1">_xludf.IFNA(VLOOKUP('Comp X - Kilter'!B735,'Kilter Holds'!$P$37:$AB$662,9,0),0)</f>
        <v>#NAME?</v>
      </c>
      <c r="F735" s="274"/>
      <c r="G735" s="274" t="e">
        <f t="shared" ca="1" si="8"/>
        <v>#NAME?</v>
      </c>
      <c r="H735" s="274">
        <f t="shared" si="9"/>
        <v>0</v>
      </c>
      <c r="K735" s="274"/>
    </row>
    <row r="736" spans="2:11" ht="13.5" customHeight="1">
      <c r="B736" s="1" t="s">
        <v>2115</v>
      </c>
      <c r="C736" s="1" t="s">
        <v>3345</v>
      </c>
      <c r="D736" s="413" t="str">
        <f t="shared" si="20"/>
        <v>07-13</v>
      </c>
      <c r="E736" s="273" t="e">
        <f ca="1">_xludf.IFNA(VLOOKUP('Comp X - Kilter'!B736,'Kilter Holds'!$P$37:$AB$662,10,0),0)</f>
        <v>#NAME?</v>
      </c>
      <c r="F736" s="274"/>
      <c r="G736" s="274" t="e">
        <f t="shared" ca="1" si="8"/>
        <v>#NAME?</v>
      </c>
      <c r="H736" s="274">
        <f t="shared" si="9"/>
        <v>0</v>
      </c>
      <c r="K736" s="274"/>
    </row>
    <row r="737" spans="2:11" ht="13.5" customHeight="1">
      <c r="B737" s="1" t="s">
        <v>2115</v>
      </c>
      <c r="C737" s="1" t="s">
        <v>3345</v>
      </c>
      <c r="D737" s="414" t="str">
        <f t="shared" si="20"/>
        <v>11-26</v>
      </c>
      <c r="E737" s="273" t="e">
        <f ca="1">_xludf.IFNA(VLOOKUP('Comp X - Kilter'!B737,'Kilter Holds'!$P$37:$AB$662,11,0),0)</f>
        <v>#NAME?</v>
      </c>
      <c r="F737" s="274"/>
      <c r="G737" s="274" t="e">
        <f t="shared" ca="1" si="8"/>
        <v>#NAME?</v>
      </c>
      <c r="H737" s="274">
        <f t="shared" si="9"/>
        <v>0</v>
      </c>
      <c r="K737" s="274"/>
    </row>
    <row r="738" spans="2:11" ht="13.5" customHeight="1">
      <c r="B738" s="1" t="s">
        <v>2115</v>
      </c>
      <c r="C738" s="1" t="s">
        <v>3345</v>
      </c>
      <c r="D738" s="415" t="str">
        <f t="shared" si="20"/>
        <v>18-01</v>
      </c>
      <c r="E738" s="273" t="e">
        <f ca="1">_xludf.IFNA(VLOOKUP('Comp X - Kilter'!B738,'Kilter Holds'!$P$37:$AB$662,12,0),0)</f>
        <v>#NAME?</v>
      </c>
      <c r="F738" s="274"/>
      <c r="G738" s="274" t="e">
        <f t="shared" ca="1" si="8"/>
        <v>#NAME?</v>
      </c>
      <c r="H738" s="274">
        <f t="shared" si="9"/>
        <v>0</v>
      </c>
      <c r="K738" s="274"/>
    </row>
    <row r="739" spans="2:11" ht="13.5" customHeight="1">
      <c r="B739" s="1" t="s">
        <v>2115</v>
      </c>
      <c r="C739" s="1" t="s">
        <v>3345</v>
      </c>
      <c r="D739" s="416" t="str">
        <f t="shared" si="20"/>
        <v>Color Code</v>
      </c>
      <c r="E739" s="273" t="e">
        <f ca="1">_xludf.IFNA(VLOOKUP('Comp X - Kilter'!B739,'Kilter Holds'!$P$37:$AB$662,13,0),0)</f>
        <v>#NAME?</v>
      </c>
      <c r="F739" s="274"/>
      <c r="G739" s="274" t="e">
        <f t="shared" ca="1" si="8"/>
        <v>#NAME?</v>
      </c>
      <c r="H739" s="274">
        <f t="shared" si="9"/>
        <v>0</v>
      </c>
      <c r="K739" s="274"/>
    </row>
    <row r="740" spans="2:11" ht="13.5" customHeight="1">
      <c r="B740" s="1" t="s">
        <v>2111</v>
      </c>
      <c r="C740" s="1" t="s">
        <v>3346</v>
      </c>
      <c r="D740" s="406" t="str">
        <f t="shared" ref="D740:D748" si="21">D695</f>
        <v>11-12</v>
      </c>
      <c r="E740" s="273" t="e">
        <f ca="1">_xludf.IFNA(VLOOKUP('Comp X - Kilter'!B740,'Kilter Holds'!$P$37:$AB$662,5,0),0)</f>
        <v>#NAME?</v>
      </c>
      <c r="F740" s="274"/>
      <c r="G740" s="274" t="e">
        <f t="shared" ca="1" si="8"/>
        <v>#NAME?</v>
      </c>
      <c r="H740" s="274">
        <f t="shared" si="9"/>
        <v>0</v>
      </c>
      <c r="K740" s="274"/>
    </row>
    <row r="741" spans="2:11" ht="13.5" customHeight="1">
      <c r="B741" s="1" t="s">
        <v>2111</v>
      </c>
      <c r="C741" s="1" t="s">
        <v>3346</v>
      </c>
      <c r="D741" s="408" t="str">
        <f t="shared" si="21"/>
        <v>14-01</v>
      </c>
      <c r="E741" s="273" t="e">
        <f ca="1">_xludf.IFNA(VLOOKUP('Comp X - Kilter'!B741,'Kilter Holds'!$P$37:$AB$662,6,0),0)</f>
        <v>#NAME?</v>
      </c>
      <c r="F741" s="274"/>
      <c r="G741" s="274" t="e">
        <f t="shared" ca="1" si="8"/>
        <v>#NAME?</v>
      </c>
      <c r="H741" s="274">
        <f t="shared" si="9"/>
        <v>0</v>
      </c>
      <c r="K741" s="274"/>
    </row>
    <row r="742" spans="2:11" ht="13.5" customHeight="1">
      <c r="B742" s="1" t="s">
        <v>2111</v>
      </c>
      <c r="C742" s="1" t="s">
        <v>3346</v>
      </c>
      <c r="D742" s="409" t="str">
        <f t="shared" si="21"/>
        <v>15-12</v>
      </c>
      <c r="E742" s="273" t="e">
        <f ca="1">_xludf.IFNA(VLOOKUP('Comp X - Kilter'!B742,'Kilter Holds'!$P$37:$AB$662,7,0),0)</f>
        <v>#NAME?</v>
      </c>
      <c r="F742" s="274"/>
      <c r="G742" s="274" t="e">
        <f t="shared" ca="1" si="8"/>
        <v>#NAME?</v>
      </c>
      <c r="H742" s="274">
        <f t="shared" si="9"/>
        <v>0</v>
      </c>
      <c r="K742" s="274"/>
    </row>
    <row r="743" spans="2:11" ht="13.5" customHeight="1">
      <c r="B743" s="1" t="s">
        <v>2111</v>
      </c>
      <c r="C743" s="1" t="s">
        <v>3346</v>
      </c>
      <c r="D743" s="410" t="str">
        <f t="shared" si="21"/>
        <v>16-16</v>
      </c>
      <c r="E743" s="273" t="e">
        <f ca="1">_xludf.IFNA(VLOOKUP('Comp X - Kilter'!B743,'Kilter Holds'!$P$37:$AB$662,8,0),0)</f>
        <v>#NAME?</v>
      </c>
      <c r="F743" s="274"/>
      <c r="G743" s="274" t="e">
        <f t="shared" ca="1" si="8"/>
        <v>#NAME?</v>
      </c>
      <c r="H743" s="274">
        <f t="shared" si="9"/>
        <v>0</v>
      </c>
      <c r="K743" s="274"/>
    </row>
    <row r="744" spans="2:11" ht="13.5" customHeight="1">
      <c r="B744" s="1" t="s">
        <v>2111</v>
      </c>
      <c r="C744" s="1" t="s">
        <v>3346</v>
      </c>
      <c r="D744" s="411" t="str">
        <f t="shared" si="21"/>
        <v>13-01</v>
      </c>
      <c r="E744" s="273" t="e">
        <f ca="1">_xludf.IFNA(VLOOKUP('Comp X - Kilter'!B744,'Kilter Holds'!$P$37:$AB$662,9,0),0)</f>
        <v>#NAME?</v>
      </c>
      <c r="F744" s="274"/>
      <c r="G744" s="274" t="e">
        <f t="shared" ca="1" si="8"/>
        <v>#NAME?</v>
      </c>
      <c r="H744" s="274">
        <f t="shared" si="9"/>
        <v>0</v>
      </c>
      <c r="K744" s="274"/>
    </row>
    <row r="745" spans="2:11" ht="13.5" customHeight="1">
      <c r="B745" s="1" t="s">
        <v>2111</v>
      </c>
      <c r="C745" s="1" t="s">
        <v>3346</v>
      </c>
      <c r="D745" s="413" t="str">
        <f t="shared" si="21"/>
        <v>07-13</v>
      </c>
      <c r="E745" s="273" t="e">
        <f ca="1">_xludf.IFNA(VLOOKUP('Comp X - Kilter'!B745,'Kilter Holds'!$P$37:$AB$662,10,0),0)</f>
        <v>#NAME?</v>
      </c>
      <c r="F745" s="274"/>
      <c r="G745" s="274" t="e">
        <f t="shared" ca="1" si="8"/>
        <v>#NAME?</v>
      </c>
      <c r="H745" s="274">
        <f t="shared" si="9"/>
        <v>0</v>
      </c>
      <c r="K745" s="274"/>
    </row>
    <row r="746" spans="2:11" ht="13.5" customHeight="1">
      <c r="B746" s="1" t="s">
        <v>2111</v>
      </c>
      <c r="C746" s="1" t="s">
        <v>3346</v>
      </c>
      <c r="D746" s="414" t="str">
        <f t="shared" si="21"/>
        <v>11-26</v>
      </c>
      <c r="E746" s="273" t="e">
        <f ca="1">_xludf.IFNA(VLOOKUP('Comp X - Kilter'!B746,'Kilter Holds'!$P$37:$AB$662,11,0),0)</f>
        <v>#NAME?</v>
      </c>
      <c r="F746" s="274"/>
      <c r="G746" s="274" t="e">
        <f t="shared" ca="1" si="8"/>
        <v>#NAME?</v>
      </c>
      <c r="H746" s="274">
        <f t="shared" si="9"/>
        <v>0</v>
      </c>
      <c r="K746" s="274"/>
    </row>
    <row r="747" spans="2:11" ht="13.5" customHeight="1">
      <c r="B747" s="1" t="s">
        <v>2111</v>
      </c>
      <c r="C747" s="1" t="s">
        <v>3346</v>
      </c>
      <c r="D747" s="415" t="str">
        <f t="shared" si="21"/>
        <v>18-01</v>
      </c>
      <c r="E747" s="273" t="e">
        <f ca="1">_xludf.IFNA(VLOOKUP('Comp X - Kilter'!B747,'Kilter Holds'!$P$37:$AB$662,12,0),0)</f>
        <v>#NAME?</v>
      </c>
      <c r="F747" s="274"/>
      <c r="G747" s="274" t="e">
        <f t="shared" ca="1" si="8"/>
        <v>#NAME?</v>
      </c>
      <c r="H747" s="274">
        <f t="shared" si="9"/>
        <v>0</v>
      </c>
      <c r="K747" s="274"/>
    </row>
    <row r="748" spans="2:11" ht="13.5" customHeight="1">
      <c r="B748" s="1" t="s">
        <v>2111</v>
      </c>
      <c r="C748" s="1" t="s">
        <v>3346</v>
      </c>
      <c r="D748" s="416" t="str">
        <f t="shared" si="21"/>
        <v>Color Code</v>
      </c>
      <c r="E748" s="273" t="e">
        <f ca="1">_xludf.IFNA(VLOOKUP('Comp X - Kilter'!B748,'Kilter Holds'!$P$37:$AB$662,13,0),0)</f>
        <v>#NAME?</v>
      </c>
      <c r="F748" s="274"/>
      <c r="G748" s="274" t="e">
        <f t="shared" ca="1" si="8"/>
        <v>#NAME?</v>
      </c>
      <c r="H748" s="274">
        <f t="shared" si="9"/>
        <v>0</v>
      </c>
      <c r="K748" s="274"/>
    </row>
    <row r="749" spans="2:11" ht="13.5" customHeight="1">
      <c r="B749" s="1" t="s">
        <v>2117</v>
      </c>
      <c r="C749" s="1" t="s">
        <v>3347</v>
      </c>
      <c r="D749" s="406" t="str">
        <f t="shared" ref="D749:D757" si="22">D731</f>
        <v>11-12</v>
      </c>
      <c r="E749" s="273" t="e">
        <f ca="1">_xludf.IFNA(VLOOKUP('Comp X - Kilter'!B749,'Kilter Holds'!$P$37:$AB$662,5,0),0)</f>
        <v>#NAME?</v>
      </c>
      <c r="F749" s="274"/>
      <c r="G749" s="274" t="e">
        <f t="shared" ca="1" si="8"/>
        <v>#NAME?</v>
      </c>
      <c r="H749" s="274">
        <f t="shared" si="9"/>
        <v>0</v>
      </c>
      <c r="K749" s="274"/>
    </row>
    <row r="750" spans="2:11" ht="13.5" customHeight="1">
      <c r="B750" s="1" t="s">
        <v>2117</v>
      </c>
      <c r="C750" s="1" t="s">
        <v>3347</v>
      </c>
      <c r="D750" s="408" t="str">
        <f t="shared" si="22"/>
        <v>14-01</v>
      </c>
      <c r="E750" s="273" t="e">
        <f ca="1">_xludf.IFNA(VLOOKUP('Comp X - Kilter'!B750,'Kilter Holds'!$P$37:$AB$662,6,0),0)</f>
        <v>#NAME?</v>
      </c>
      <c r="F750" s="274"/>
      <c r="G750" s="274" t="e">
        <f t="shared" ca="1" si="8"/>
        <v>#NAME?</v>
      </c>
      <c r="H750" s="274">
        <f t="shared" si="9"/>
        <v>0</v>
      </c>
      <c r="K750" s="274"/>
    </row>
    <row r="751" spans="2:11" ht="13.5" customHeight="1">
      <c r="B751" s="1" t="s">
        <v>2117</v>
      </c>
      <c r="C751" s="1" t="s">
        <v>3347</v>
      </c>
      <c r="D751" s="409" t="str">
        <f t="shared" si="22"/>
        <v>15-12</v>
      </c>
      <c r="E751" s="273" t="e">
        <f ca="1">_xludf.IFNA(VLOOKUP('Comp X - Kilter'!B751,'Kilter Holds'!$P$37:$AB$662,7,0),0)</f>
        <v>#NAME?</v>
      </c>
      <c r="F751" s="274"/>
      <c r="G751" s="274" t="e">
        <f t="shared" ca="1" si="8"/>
        <v>#NAME?</v>
      </c>
      <c r="H751" s="274">
        <f t="shared" si="9"/>
        <v>0</v>
      </c>
      <c r="K751" s="274"/>
    </row>
    <row r="752" spans="2:11" ht="13.5" customHeight="1">
      <c r="B752" s="1" t="s">
        <v>2117</v>
      </c>
      <c r="C752" s="1" t="s">
        <v>3347</v>
      </c>
      <c r="D752" s="410" t="str">
        <f t="shared" si="22"/>
        <v>16-16</v>
      </c>
      <c r="E752" s="273" t="e">
        <f ca="1">_xludf.IFNA(VLOOKUP('Comp X - Kilter'!B752,'Kilter Holds'!$P$37:$AB$662,8,0),0)</f>
        <v>#NAME?</v>
      </c>
      <c r="F752" s="274"/>
      <c r="G752" s="274" t="e">
        <f t="shared" ca="1" si="8"/>
        <v>#NAME?</v>
      </c>
      <c r="H752" s="274">
        <f t="shared" si="9"/>
        <v>0</v>
      </c>
      <c r="K752" s="274"/>
    </row>
    <row r="753" spans="2:11" ht="13.5" customHeight="1">
      <c r="B753" s="1" t="s">
        <v>2117</v>
      </c>
      <c r="C753" s="1" t="s">
        <v>3347</v>
      </c>
      <c r="D753" s="411" t="str">
        <f t="shared" si="22"/>
        <v>13-01</v>
      </c>
      <c r="E753" s="273" t="e">
        <f ca="1">_xludf.IFNA(VLOOKUP('Comp X - Kilter'!B753,'Kilter Holds'!$P$37:$AB$662,9,0),0)</f>
        <v>#NAME?</v>
      </c>
      <c r="F753" s="274"/>
      <c r="G753" s="274" t="e">
        <f t="shared" ca="1" si="8"/>
        <v>#NAME?</v>
      </c>
      <c r="H753" s="274">
        <f t="shared" si="9"/>
        <v>0</v>
      </c>
      <c r="K753" s="274"/>
    </row>
    <row r="754" spans="2:11" ht="13.5" customHeight="1">
      <c r="B754" s="1" t="s">
        <v>2117</v>
      </c>
      <c r="C754" s="1" t="s">
        <v>3347</v>
      </c>
      <c r="D754" s="413" t="str">
        <f t="shared" si="22"/>
        <v>07-13</v>
      </c>
      <c r="E754" s="273" t="e">
        <f ca="1">_xludf.IFNA(VLOOKUP('Comp X - Kilter'!B754,'Kilter Holds'!$P$37:$AB$662,10,0),0)</f>
        <v>#NAME?</v>
      </c>
      <c r="F754" s="274"/>
      <c r="G754" s="274" t="e">
        <f t="shared" ca="1" si="8"/>
        <v>#NAME?</v>
      </c>
      <c r="H754" s="274">
        <f t="shared" si="9"/>
        <v>0</v>
      </c>
      <c r="K754" s="274"/>
    </row>
    <row r="755" spans="2:11" ht="13.5" customHeight="1">
      <c r="B755" s="1" t="s">
        <v>2117</v>
      </c>
      <c r="C755" s="1" t="s">
        <v>3347</v>
      </c>
      <c r="D755" s="414" t="str">
        <f t="shared" si="22"/>
        <v>11-26</v>
      </c>
      <c r="E755" s="273" t="e">
        <f ca="1">_xludf.IFNA(VLOOKUP('Comp X - Kilter'!B755,'Kilter Holds'!$P$37:$AB$662,11,0),0)</f>
        <v>#NAME?</v>
      </c>
      <c r="F755" s="274"/>
      <c r="G755" s="274" t="e">
        <f t="shared" ca="1" si="8"/>
        <v>#NAME?</v>
      </c>
      <c r="H755" s="274">
        <f t="shared" si="9"/>
        <v>0</v>
      </c>
      <c r="K755" s="274"/>
    </row>
    <row r="756" spans="2:11" ht="13.5" customHeight="1">
      <c r="B756" s="1" t="s">
        <v>2117</v>
      </c>
      <c r="C756" s="1" t="s">
        <v>3347</v>
      </c>
      <c r="D756" s="415" t="str">
        <f t="shared" si="22"/>
        <v>18-01</v>
      </c>
      <c r="E756" s="273" t="e">
        <f ca="1">_xludf.IFNA(VLOOKUP('Comp X - Kilter'!B756,'Kilter Holds'!$P$37:$AB$662,12,0),0)</f>
        <v>#NAME?</v>
      </c>
      <c r="F756" s="274"/>
      <c r="G756" s="274" t="e">
        <f t="shared" ca="1" si="8"/>
        <v>#NAME?</v>
      </c>
      <c r="H756" s="274">
        <f t="shared" si="9"/>
        <v>0</v>
      </c>
      <c r="K756" s="274"/>
    </row>
    <row r="757" spans="2:11" ht="13.5" customHeight="1">
      <c r="B757" s="1" t="s">
        <v>2117</v>
      </c>
      <c r="C757" s="1" t="s">
        <v>3347</v>
      </c>
      <c r="D757" s="416" t="str">
        <f t="shared" si="22"/>
        <v>Color Code</v>
      </c>
      <c r="E757" s="273" t="e">
        <f ca="1">_xludf.IFNA(VLOOKUP('Comp X - Kilter'!B757,'Kilter Holds'!$P$37:$AB$662,13,0),0)</f>
        <v>#NAME?</v>
      </c>
      <c r="F757" s="274"/>
      <c r="G757" s="274" t="e">
        <f t="shared" ca="1" si="8"/>
        <v>#NAME?</v>
      </c>
      <c r="H757" s="274">
        <f t="shared" si="9"/>
        <v>0</v>
      </c>
      <c r="K757" s="274"/>
    </row>
    <row r="758" spans="2:11" ht="13.5" customHeight="1">
      <c r="B758" s="1" t="s">
        <v>2132</v>
      </c>
      <c r="C758" s="1" t="s">
        <v>3348</v>
      </c>
      <c r="D758" s="406" t="str">
        <f t="shared" ref="D758:D775" si="23">D695</f>
        <v>11-12</v>
      </c>
      <c r="E758" s="273" t="e">
        <f ca="1">_xludf.IFNA(VLOOKUP('Comp X - Kilter'!B758,'Kilter Holds'!$P$37:$AB$662,5,0),0)</f>
        <v>#NAME?</v>
      </c>
      <c r="F758" s="274"/>
      <c r="G758" s="274" t="e">
        <f t="shared" ca="1" si="8"/>
        <v>#NAME?</v>
      </c>
      <c r="H758" s="274">
        <f t="shared" si="9"/>
        <v>0</v>
      </c>
      <c r="K758" s="274"/>
    </row>
    <row r="759" spans="2:11" ht="13.5" customHeight="1">
      <c r="B759" s="1" t="s">
        <v>2132</v>
      </c>
      <c r="C759" s="1" t="s">
        <v>3348</v>
      </c>
      <c r="D759" s="408" t="str">
        <f t="shared" si="23"/>
        <v>14-01</v>
      </c>
      <c r="E759" s="273" t="e">
        <f ca="1">_xludf.IFNA(VLOOKUP('Comp X - Kilter'!B759,'Kilter Holds'!$P$37:$AB$662,6,0),0)</f>
        <v>#NAME?</v>
      </c>
      <c r="F759" s="274"/>
      <c r="G759" s="274" t="e">
        <f t="shared" ca="1" si="8"/>
        <v>#NAME?</v>
      </c>
      <c r="H759" s="274">
        <f t="shared" si="9"/>
        <v>0</v>
      </c>
      <c r="K759" s="274"/>
    </row>
    <row r="760" spans="2:11" ht="13.5" customHeight="1">
      <c r="B760" s="1" t="s">
        <v>2132</v>
      </c>
      <c r="C760" s="1" t="s">
        <v>3348</v>
      </c>
      <c r="D760" s="409" t="str">
        <f t="shared" si="23"/>
        <v>15-12</v>
      </c>
      <c r="E760" s="273" t="e">
        <f ca="1">_xludf.IFNA(VLOOKUP('Comp X - Kilter'!B760,'Kilter Holds'!$P$37:$AB$662,7,0),0)</f>
        <v>#NAME?</v>
      </c>
      <c r="F760" s="274"/>
      <c r="G760" s="274" t="e">
        <f t="shared" ca="1" si="8"/>
        <v>#NAME?</v>
      </c>
      <c r="H760" s="274">
        <f t="shared" si="9"/>
        <v>0</v>
      </c>
      <c r="K760" s="274"/>
    </row>
    <row r="761" spans="2:11" ht="13.5" customHeight="1">
      <c r="B761" s="1" t="s">
        <v>2132</v>
      </c>
      <c r="C761" s="1" t="s">
        <v>3348</v>
      </c>
      <c r="D761" s="410" t="str">
        <f t="shared" si="23"/>
        <v>16-16</v>
      </c>
      <c r="E761" s="273" t="e">
        <f ca="1">_xludf.IFNA(VLOOKUP('Comp X - Kilter'!B761,'Kilter Holds'!$P$37:$AB$662,8,0),0)</f>
        <v>#NAME?</v>
      </c>
      <c r="F761" s="274"/>
      <c r="G761" s="274" t="e">
        <f t="shared" ca="1" si="8"/>
        <v>#NAME?</v>
      </c>
      <c r="H761" s="274">
        <f t="shared" si="9"/>
        <v>0</v>
      </c>
      <c r="K761" s="274"/>
    </row>
    <row r="762" spans="2:11" ht="13.5" customHeight="1">
      <c r="B762" s="1" t="s">
        <v>2132</v>
      </c>
      <c r="C762" s="1" t="s">
        <v>3348</v>
      </c>
      <c r="D762" s="411" t="str">
        <f t="shared" si="23"/>
        <v>13-01</v>
      </c>
      <c r="E762" s="273" t="e">
        <f ca="1">_xludf.IFNA(VLOOKUP('Comp X - Kilter'!B762,'Kilter Holds'!$P$37:$AB$662,9,0),0)</f>
        <v>#NAME?</v>
      </c>
      <c r="F762" s="274"/>
      <c r="G762" s="274" t="e">
        <f t="shared" ca="1" si="8"/>
        <v>#NAME?</v>
      </c>
      <c r="H762" s="274">
        <f t="shared" si="9"/>
        <v>0</v>
      </c>
      <c r="K762" s="274"/>
    </row>
    <row r="763" spans="2:11" ht="13.5" customHeight="1">
      <c r="B763" s="1" t="s">
        <v>2132</v>
      </c>
      <c r="C763" s="1" t="s">
        <v>3348</v>
      </c>
      <c r="D763" s="413" t="str">
        <f t="shared" si="23"/>
        <v>07-13</v>
      </c>
      <c r="E763" s="273" t="e">
        <f ca="1">_xludf.IFNA(VLOOKUP('Comp X - Kilter'!B763,'Kilter Holds'!$P$37:$AB$662,10,0),0)</f>
        <v>#NAME?</v>
      </c>
      <c r="F763" s="274"/>
      <c r="G763" s="274" t="e">
        <f t="shared" ca="1" si="8"/>
        <v>#NAME?</v>
      </c>
      <c r="H763" s="274">
        <f t="shared" si="9"/>
        <v>0</v>
      </c>
      <c r="K763" s="274"/>
    </row>
    <row r="764" spans="2:11" ht="13.5" customHeight="1">
      <c r="B764" s="1" t="s">
        <v>2132</v>
      </c>
      <c r="C764" s="1" t="s">
        <v>3348</v>
      </c>
      <c r="D764" s="414" t="str">
        <f t="shared" si="23"/>
        <v>11-26</v>
      </c>
      <c r="E764" s="273" t="e">
        <f ca="1">_xludf.IFNA(VLOOKUP('Comp X - Kilter'!B764,'Kilter Holds'!$P$37:$AB$662,11,0),0)</f>
        <v>#NAME?</v>
      </c>
      <c r="F764" s="274"/>
      <c r="G764" s="274" t="e">
        <f t="shared" ca="1" si="8"/>
        <v>#NAME?</v>
      </c>
      <c r="H764" s="274">
        <f t="shared" si="9"/>
        <v>0</v>
      </c>
      <c r="K764" s="274"/>
    </row>
    <row r="765" spans="2:11" ht="13.5" customHeight="1">
      <c r="B765" s="1" t="s">
        <v>2132</v>
      </c>
      <c r="C765" s="1" t="s">
        <v>3348</v>
      </c>
      <c r="D765" s="415" t="str">
        <f t="shared" si="23"/>
        <v>18-01</v>
      </c>
      <c r="E765" s="273" t="e">
        <f ca="1">_xludf.IFNA(VLOOKUP('Comp X - Kilter'!B765,'Kilter Holds'!$P$37:$AB$662,12,0),0)</f>
        <v>#NAME?</v>
      </c>
      <c r="F765" s="274"/>
      <c r="G765" s="274" t="e">
        <f t="shared" ca="1" si="8"/>
        <v>#NAME?</v>
      </c>
      <c r="H765" s="274">
        <f t="shared" si="9"/>
        <v>0</v>
      </c>
      <c r="K765" s="274"/>
    </row>
    <row r="766" spans="2:11" ht="13.5" customHeight="1">
      <c r="B766" s="1" t="s">
        <v>2132</v>
      </c>
      <c r="C766" s="1" t="s">
        <v>3348</v>
      </c>
      <c r="D766" s="416" t="str">
        <f t="shared" si="23"/>
        <v>Color Code</v>
      </c>
      <c r="E766" s="273" t="e">
        <f ca="1">_xludf.IFNA(VLOOKUP('Comp X - Kilter'!B766,'Kilter Holds'!$P$37:$AB$662,13,0),0)</f>
        <v>#NAME?</v>
      </c>
      <c r="F766" s="274"/>
      <c r="G766" s="274" t="e">
        <f t="shared" ca="1" si="8"/>
        <v>#NAME?</v>
      </c>
      <c r="H766" s="274">
        <f t="shared" si="9"/>
        <v>0</v>
      </c>
      <c r="K766" s="274"/>
    </row>
    <row r="767" spans="2:11" ht="13.5" customHeight="1">
      <c r="B767" s="1" t="s">
        <v>2120</v>
      </c>
      <c r="C767" s="1" t="s">
        <v>3349</v>
      </c>
      <c r="D767" s="406" t="str">
        <f t="shared" si="23"/>
        <v>11-12</v>
      </c>
      <c r="E767" s="273" t="e">
        <f ca="1">_xludf.IFNA(VLOOKUP('Comp X - Kilter'!B767,'Kilter Holds'!$P$37:$AB$662,5,0),0)</f>
        <v>#NAME?</v>
      </c>
      <c r="F767" s="274"/>
      <c r="G767" s="274" t="e">
        <f t="shared" ref="G767:G1021" ca="1" si="24">E767*F767</f>
        <v>#NAME?</v>
      </c>
      <c r="H767" s="274">
        <f t="shared" ref="H767:H1021" si="25">IF($S$11="Y",G767*0.15,0)</f>
        <v>0</v>
      </c>
      <c r="K767" s="274"/>
    </row>
    <row r="768" spans="2:11" ht="13.5" customHeight="1">
      <c r="B768" s="1" t="s">
        <v>2120</v>
      </c>
      <c r="C768" s="1" t="s">
        <v>3349</v>
      </c>
      <c r="D768" s="408" t="str">
        <f t="shared" si="23"/>
        <v>14-01</v>
      </c>
      <c r="E768" s="273" t="e">
        <f ca="1">_xludf.IFNA(VLOOKUP('Comp X - Kilter'!B768,'Kilter Holds'!$P$37:$AB$662,6,0),0)</f>
        <v>#NAME?</v>
      </c>
      <c r="F768" s="274"/>
      <c r="G768" s="274" t="e">
        <f t="shared" ca="1" si="24"/>
        <v>#NAME?</v>
      </c>
      <c r="H768" s="274">
        <f t="shared" si="25"/>
        <v>0</v>
      </c>
      <c r="K768" s="274"/>
    </row>
    <row r="769" spans="2:11" ht="13.5" customHeight="1">
      <c r="B769" s="1" t="s">
        <v>2120</v>
      </c>
      <c r="C769" s="1" t="s">
        <v>3349</v>
      </c>
      <c r="D769" s="409" t="str">
        <f t="shared" si="23"/>
        <v>15-12</v>
      </c>
      <c r="E769" s="273" t="e">
        <f ca="1">_xludf.IFNA(VLOOKUP('Comp X - Kilter'!B769,'Kilter Holds'!$P$37:$AB$662,7,0),0)</f>
        <v>#NAME?</v>
      </c>
      <c r="F769" s="274"/>
      <c r="G769" s="274" t="e">
        <f t="shared" ca="1" si="24"/>
        <v>#NAME?</v>
      </c>
      <c r="H769" s="274">
        <f t="shared" si="25"/>
        <v>0</v>
      </c>
      <c r="K769" s="274"/>
    </row>
    <row r="770" spans="2:11" ht="13.5" customHeight="1">
      <c r="B770" s="1" t="s">
        <v>2120</v>
      </c>
      <c r="C770" s="1" t="s">
        <v>3349</v>
      </c>
      <c r="D770" s="410" t="str">
        <f t="shared" si="23"/>
        <v>16-16</v>
      </c>
      <c r="E770" s="273" t="e">
        <f ca="1">_xludf.IFNA(VLOOKUP('Comp X - Kilter'!B770,'Kilter Holds'!$P$37:$AB$662,8,0),0)</f>
        <v>#NAME?</v>
      </c>
      <c r="F770" s="274"/>
      <c r="G770" s="274" t="e">
        <f t="shared" ca="1" si="24"/>
        <v>#NAME?</v>
      </c>
      <c r="H770" s="274">
        <f t="shared" si="25"/>
        <v>0</v>
      </c>
      <c r="K770" s="274"/>
    </row>
    <row r="771" spans="2:11" ht="13.5" customHeight="1">
      <c r="B771" s="1" t="s">
        <v>2120</v>
      </c>
      <c r="C771" s="1" t="s">
        <v>3349</v>
      </c>
      <c r="D771" s="411" t="str">
        <f t="shared" si="23"/>
        <v>13-01</v>
      </c>
      <c r="E771" s="273" t="e">
        <f ca="1">_xludf.IFNA(VLOOKUP('Comp X - Kilter'!B771,'Kilter Holds'!$P$37:$AB$662,9,0),0)</f>
        <v>#NAME?</v>
      </c>
      <c r="F771" s="274"/>
      <c r="G771" s="274" t="e">
        <f t="shared" ca="1" si="24"/>
        <v>#NAME?</v>
      </c>
      <c r="H771" s="274">
        <f t="shared" si="25"/>
        <v>0</v>
      </c>
      <c r="K771" s="274"/>
    </row>
    <row r="772" spans="2:11" ht="13.5" customHeight="1">
      <c r="B772" s="1" t="s">
        <v>2120</v>
      </c>
      <c r="C772" s="1" t="s">
        <v>3349</v>
      </c>
      <c r="D772" s="413" t="str">
        <f t="shared" si="23"/>
        <v>07-13</v>
      </c>
      <c r="E772" s="273" t="e">
        <f ca="1">_xludf.IFNA(VLOOKUP('Comp X - Kilter'!B772,'Kilter Holds'!$P$37:$AB$662,10,0),0)</f>
        <v>#NAME?</v>
      </c>
      <c r="F772" s="274"/>
      <c r="G772" s="274" t="e">
        <f t="shared" ca="1" si="24"/>
        <v>#NAME?</v>
      </c>
      <c r="H772" s="274">
        <f t="shared" si="25"/>
        <v>0</v>
      </c>
      <c r="K772" s="274"/>
    </row>
    <row r="773" spans="2:11" ht="13.5" customHeight="1">
      <c r="B773" s="1" t="s">
        <v>2120</v>
      </c>
      <c r="C773" s="1" t="s">
        <v>3349</v>
      </c>
      <c r="D773" s="414" t="str">
        <f t="shared" si="23"/>
        <v>11-26</v>
      </c>
      <c r="E773" s="273" t="e">
        <f ca="1">_xludf.IFNA(VLOOKUP('Comp X - Kilter'!B773,'Kilter Holds'!$P$37:$AB$662,11,0),0)</f>
        <v>#NAME?</v>
      </c>
      <c r="F773" s="274"/>
      <c r="G773" s="274" t="e">
        <f t="shared" ca="1" si="24"/>
        <v>#NAME?</v>
      </c>
      <c r="H773" s="274">
        <f t="shared" si="25"/>
        <v>0</v>
      </c>
      <c r="K773" s="274"/>
    </row>
    <row r="774" spans="2:11" ht="13.5" customHeight="1">
      <c r="B774" s="1" t="s">
        <v>2120</v>
      </c>
      <c r="C774" s="1" t="s">
        <v>3349</v>
      </c>
      <c r="D774" s="415" t="str">
        <f t="shared" si="23"/>
        <v>18-01</v>
      </c>
      <c r="E774" s="273" t="e">
        <f ca="1">_xludf.IFNA(VLOOKUP('Comp X - Kilter'!B774,'Kilter Holds'!$P$37:$AB$662,12,0),0)</f>
        <v>#NAME?</v>
      </c>
      <c r="F774" s="274"/>
      <c r="G774" s="274" t="e">
        <f t="shared" ca="1" si="24"/>
        <v>#NAME?</v>
      </c>
      <c r="H774" s="274">
        <f t="shared" si="25"/>
        <v>0</v>
      </c>
      <c r="K774" s="274"/>
    </row>
    <row r="775" spans="2:11" ht="13.5" customHeight="1">
      <c r="B775" s="1" t="s">
        <v>2120</v>
      </c>
      <c r="C775" s="1" t="s">
        <v>3349</v>
      </c>
      <c r="D775" s="416" t="str">
        <f t="shared" si="23"/>
        <v>Color Code</v>
      </c>
      <c r="E775" s="273" t="e">
        <f ca="1">_xludf.IFNA(VLOOKUP('Comp X - Kilter'!B775,'Kilter Holds'!$P$37:$AB$662,13,0),0)</f>
        <v>#NAME?</v>
      </c>
      <c r="F775" s="274"/>
      <c r="G775" s="274" t="e">
        <f t="shared" ca="1" si="24"/>
        <v>#NAME?</v>
      </c>
      <c r="H775" s="274">
        <f t="shared" si="25"/>
        <v>0</v>
      </c>
      <c r="K775" s="274"/>
    </row>
    <row r="776" spans="2:11" ht="13.5" customHeight="1">
      <c r="B776" s="209" t="s">
        <v>2119</v>
      </c>
      <c r="C776" s="209" t="s">
        <v>3350</v>
      </c>
      <c r="D776" s="406" t="str">
        <f t="shared" ref="D776:D784" si="26">D695</f>
        <v>11-12</v>
      </c>
      <c r="E776" s="273" t="e">
        <f ca="1">_xludf.IFNA(VLOOKUP('Comp X - Kilter'!B776,'Kilter Holds'!$P$37:$AB$662,5,0),0)</f>
        <v>#NAME?</v>
      </c>
      <c r="F776" s="274"/>
      <c r="G776" s="274" t="e">
        <f t="shared" ca="1" si="24"/>
        <v>#NAME?</v>
      </c>
      <c r="H776" s="274">
        <f t="shared" si="25"/>
        <v>0</v>
      </c>
      <c r="K776" s="274"/>
    </row>
    <row r="777" spans="2:11" ht="13.5" customHeight="1">
      <c r="B777" s="209" t="s">
        <v>2119</v>
      </c>
      <c r="C777" s="209" t="s">
        <v>3350</v>
      </c>
      <c r="D777" s="408" t="str">
        <f t="shared" si="26"/>
        <v>14-01</v>
      </c>
      <c r="E777" s="273" t="e">
        <f ca="1">_xludf.IFNA(VLOOKUP('Comp X - Kilter'!B777,'Kilter Holds'!$P$37:$AB$662,6,0),0)</f>
        <v>#NAME?</v>
      </c>
      <c r="F777" s="274"/>
      <c r="G777" s="274" t="e">
        <f t="shared" ca="1" si="24"/>
        <v>#NAME?</v>
      </c>
      <c r="H777" s="274">
        <f t="shared" si="25"/>
        <v>0</v>
      </c>
      <c r="K777" s="274"/>
    </row>
    <row r="778" spans="2:11" ht="13.5" customHeight="1">
      <c r="B778" s="209" t="s">
        <v>2119</v>
      </c>
      <c r="C778" s="209" t="s">
        <v>3350</v>
      </c>
      <c r="D778" s="409" t="str">
        <f t="shared" si="26"/>
        <v>15-12</v>
      </c>
      <c r="E778" s="273" t="e">
        <f ca="1">_xludf.IFNA(VLOOKUP('Comp X - Kilter'!B778,'Kilter Holds'!$P$37:$AB$662,7,0),0)</f>
        <v>#NAME?</v>
      </c>
      <c r="F778" s="274"/>
      <c r="G778" s="274" t="e">
        <f t="shared" ca="1" si="24"/>
        <v>#NAME?</v>
      </c>
      <c r="H778" s="274">
        <f t="shared" si="25"/>
        <v>0</v>
      </c>
      <c r="K778" s="274"/>
    </row>
    <row r="779" spans="2:11" ht="13.5" customHeight="1">
      <c r="B779" s="209" t="s">
        <v>2119</v>
      </c>
      <c r="C779" s="209" t="s">
        <v>3350</v>
      </c>
      <c r="D779" s="410" t="str">
        <f t="shared" si="26"/>
        <v>16-16</v>
      </c>
      <c r="E779" s="273" t="e">
        <f ca="1">_xludf.IFNA(VLOOKUP('Comp X - Kilter'!B779,'Kilter Holds'!$P$37:$AB$662,8,0),0)</f>
        <v>#NAME?</v>
      </c>
      <c r="F779" s="274"/>
      <c r="G779" s="274" t="e">
        <f t="shared" ca="1" si="24"/>
        <v>#NAME?</v>
      </c>
      <c r="H779" s="274">
        <f t="shared" si="25"/>
        <v>0</v>
      </c>
      <c r="K779" s="274"/>
    </row>
    <row r="780" spans="2:11" ht="13.5" customHeight="1">
      <c r="B780" s="209" t="s">
        <v>2119</v>
      </c>
      <c r="C780" s="209" t="s">
        <v>3350</v>
      </c>
      <c r="D780" s="411" t="str">
        <f t="shared" si="26"/>
        <v>13-01</v>
      </c>
      <c r="E780" s="273" t="e">
        <f ca="1">_xludf.IFNA(VLOOKUP('Comp X - Kilter'!B780,'Kilter Holds'!$P$37:$AB$662,9,0),0)</f>
        <v>#NAME?</v>
      </c>
      <c r="F780" s="274"/>
      <c r="G780" s="274" t="e">
        <f t="shared" ca="1" si="24"/>
        <v>#NAME?</v>
      </c>
      <c r="H780" s="274">
        <f t="shared" si="25"/>
        <v>0</v>
      </c>
      <c r="K780" s="274"/>
    </row>
    <row r="781" spans="2:11" ht="13.5" customHeight="1">
      <c r="B781" s="209" t="s">
        <v>2119</v>
      </c>
      <c r="C781" s="209" t="s">
        <v>3350</v>
      </c>
      <c r="D781" s="413" t="str">
        <f t="shared" si="26"/>
        <v>07-13</v>
      </c>
      <c r="E781" s="273" t="e">
        <f ca="1">_xludf.IFNA(VLOOKUP('Comp X - Kilter'!B781,'Kilter Holds'!$P$37:$AB$662,10,0),0)</f>
        <v>#NAME?</v>
      </c>
      <c r="F781" s="274"/>
      <c r="G781" s="274" t="e">
        <f t="shared" ca="1" si="24"/>
        <v>#NAME?</v>
      </c>
      <c r="H781" s="274">
        <f t="shared" si="25"/>
        <v>0</v>
      </c>
      <c r="K781" s="274"/>
    </row>
    <row r="782" spans="2:11" ht="13.5" customHeight="1">
      <c r="B782" s="209" t="s">
        <v>2119</v>
      </c>
      <c r="C782" s="209" t="s">
        <v>3350</v>
      </c>
      <c r="D782" s="414" t="str">
        <f t="shared" si="26"/>
        <v>11-26</v>
      </c>
      <c r="E782" s="273" t="e">
        <f ca="1">_xludf.IFNA(VLOOKUP('Comp X - Kilter'!B782,'Kilter Holds'!$P$37:$AB$662,11,0),0)</f>
        <v>#NAME?</v>
      </c>
      <c r="F782" s="274"/>
      <c r="G782" s="274" t="e">
        <f t="shared" ca="1" si="24"/>
        <v>#NAME?</v>
      </c>
      <c r="H782" s="274">
        <f t="shared" si="25"/>
        <v>0</v>
      </c>
      <c r="K782" s="274"/>
    </row>
    <row r="783" spans="2:11" ht="13.5" customHeight="1">
      <c r="B783" s="209" t="s">
        <v>2119</v>
      </c>
      <c r="C783" s="209" t="s">
        <v>3350</v>
      </c>
      <c r="D783" s="415" t="str">
        <f t="shared" si="26"/>
        <v>18-01</v>
      </c>
      <c r="E783" s="273" t="e">
        <f ca="1">_xludf.IFNA(VLOOKUP('Comp X - Kilter'!B783,'Kilter Holds'!$P$37:$AB$662,12,0),0)</f>
        <v>#NAME?</v>
      </c>
      <c r="F783" s="274"/>
      <c r="G783" s="274" t="e">
        <f t="shared" ca="1" si="24"/>
        <v>#NAME?</v>
      </c>
      <c r="H783" s="274">
        <f t="shared" si="25"/>
        <v>0</v>
      </c>
      <c r="K783" s="274"/>
    </row>
    <row r="784" spans="2:11" ht="13.5" customHeight="1">
      <c r="B784" s="209" t="s">
        <v>2119</v>
      </c>
      <c r="C784" s="209" t="s">
        <v>3350</v>
      </c>
      <c r="D784" s="416" t="str">
        <f t="shared" si="26"/>
        <v>Color Code</v>
      </c>
      <c r="E784" s="273" t="e">
        <f ca="1">_xludf.IFNA(VLOOKUP('Comp X - Kilter'!B784,'Kilter Holds'!$P$37:$AB$662,13,0),0)</f>
        <v>#NAME?</v>
      </c>
      <c r="F784" s="274"/>
      <c r="G784" s="274" t="e">
        <f t="shared" ca="1" si="24"/>
        <v>#NAME?</v>
      </c>
      <c r="H784" s="274">
        <f t="shared" si="25"/>
        <v>0</v>
      </c>
      <c r="K784" s="274"/>
    </row>
    <row r="785" spans="2:11" ht="13.5" customHeight="1">
      <c r="B785" s="209" t="s">
        <v>3351</v>
      </c>
      <c r="C785" s="209" t="s">
        <v>3352</v>
      </c>
      <c r="D785" s="406" t="str">
        <f t="shared" ref="D785:D793" si="27">D776</f>
        <v>11-12</v>
      </c>
      <c r="E785" s="273" t="e">
        <f ca="1">_xludf.IFNA(VLOOKUP('Comp X - Kilter'!B785,'Kilter Holds'!$P$37:$AB$662,5,0),0)</f>
        <v>#NAME?</v>
      </c>
      <c r="F785" s="274"/>
      <c r="G785" s="274" t="e">
        <f t="shared" ca="1" si="24"/>
        <v>#NAME?</v>
      </c>
      <c r="H785" s="274">
        <f t="shared" si="25"/>
        <v>0</v>
      </c>
      <c r="K785" s="274"/>
    </row>
    <row r="786" spans="2:11" ht="13.5" customHeight="1">
      <c r="B786" s="209" t="s">
        <v>3351</v>
      </c>
      <c r="C786" s="209" t="s">
        <v>3352</v>
      </c>
      <c r="D786" s="408" t="str">
        <f t="shared" si="27"/>
        <v>14-01</v>
      </c>
      <c r="E786" s="273" t="e">
        <f ca="1">_xludf.IFNA(VLOOKUP('Comp X - Kilter'!B786,'Kilter Holds'!$P$37:$AB$662,6,0),0)</f>
        <v>#NAME?</v>
      </c>
      <c r="F786" s="274"/>
      <c r="G786" s="274" t="e">
        <f t="shared" ca="1" si="24"/>
        <v>#NAME?</v>
      </c>
      <c r="H786" s="274">
        <f t="shared" si="25"/>
        <v>0</v>
      </c>
      <c r="K786" s="274"/>
    </row>
    <row r="787" spans="2:11" ht="13.5" customHeight="1">
      <c r="B787" s="209" t="s">
        <v>3351</v>
      </c>
      <c r="C787" s="209" t="s">
        <v>3352</v>
      </c>
      <c r="D787" s="409" t="str">
        <f t="shared" si="27"/>
        <v>15-12</v>
      </c>
      <c r="E787" s="273" t="e">
        <f ca="1">_xludf.IFNA(VLOOKUP('Comp X - Kilter'!B787,'Kilter Holds'!$P$37:$AB$662,7,0),0)</f>
        <v>#NAME?</v>
      </c>
      <c r="F787" s="274"/>
      <c r="G787" s="274" t="e">
        <f t="shared" ca="1" si="24"/>
        <v>#NAME?</v>
      </c>
      <c r="H787" s="274">
        <f t="shared" si="25"/>
        <v>0</v>
      </c>
      <c r="K787" s="274"/>
    </row>
    <row r="788" spans="2:11" ht="13.5" customHeight="1">
      <c r="B788" s="209" t="s">
        <v>3351</v>
      </c>
      <c r="C788" s="209" t="s">
        <v>3352</v>
      </c>
      <c r="D788" s="410" t="str">
        <f t="shared" si="27"/>
        <v>16-16</v>
      </c>
      <c r="E788" s="273" t="e">
        <f ca="1">_xludf.IFNA(VLOOKUP('Comp X - Kilter'!B788,'Kilter Holds'!$P$37:$AB$662,8,0),0)</f>
        <v>#NAME?</v>
      </c>
      <c r="F788" s="274"/>
      <c r="G788" s="274" t="e">
        <f t="shared" ca="1" si="24"/>
        <v>#NAME?</v>
      </c>
      <c r="H788" s="274">
        <f t="shared" si="25"/>
        <v>0</v>
      </c>
      <c r="K788" s="274"/>
    </row>
    <row r="789" spans="2:11" ht="13.5" customHeight="1">
      <c r="B789" s="209" t="s">
        <v>3351</v>
      </c>
      <c r="C789" s="209" t="s">
        <v>3352</v>
      </c>
      <c r="D789" s="411" t="str">
        <f t="shared" si="27"/>
        <v>13-01</v>
      </c>
      <c r="E789" s="273" t="e">
        <f ca="1">_xludf.IFNA(VLOOKUP('Comp X - Kilter'!B789,'Kilter Holds'!$P$37:$AB$662,9,0),0)</f>
        <v>#NAME?</v>
      </c>
      <c r="F789" s="274"/>
      <c r="G789" s="274" t="e">
        <f t="shared" ca="1" si="24"/>
        <v>#NAME?</v>
      </c>
      <c r="H789" s="274">
        <f t="shared" si="25"/>
        <v>0</v>
      </c>
      <c r="K789" s="274"/>
    </row>
    <row r="790" spans="2:11" ht="13.5" customHeight="1">
      <c r="B790" s="209" t="s">
        <v>3351</v>
      </c>
      <c r="C790" s="209" t="s">
        <v>3352</v>
      </c>
      <c r="D790" s="413" t="str">
        <f t="shared" si="27"/>
        <v>07-13</v>
      </c>
      <c r="E790" s="273" t="e">
        <f ca="1">_xludf.IFNA(VLOOKUP('Comp X - Kilter'!B790,'Kilter Holds'!$P$37:$AB$662,10,0),0)</f>
        <v>#NAME?</v>
      </c>
      <c r="F790" s="274"/>
      <c r="G790" s="274" t="e">
        <f t="shared" ca="1" si="24"/>
        <v>#NAME?</v>
      </c>
      <c r="H790" s="274">
        <f t="shared" si="25"/>
        <v>0</v>
      </c>
      <c r="K790" s="274"/>
    </row>
    <row r="791" spans="2:11" ht="13.5" customHeight="1">
      <c r="B791" s="209" t="s">
        <v>3351</v>
      </c>
      <c r="C791" s="209" t="s">
        <v>3352</v>
      </c>
      <c r="D791" s="414" t="str">
        <f t="shared" si="27"/>
        <v>11-26</v>
      </c>
      <c r="E791" s="273" t="e">
        <f ca="1">_xludf.IFNA(VLOOKUP('Comp X - Kilter'!B791,'Kilter Holds'!$P$37:$AB$662,11,0),0)</f>
        <v>#NAME?</v>
      </c>
      <c r="F791" s="274"/>
      <c r="G791" s="274" t="e">
        <f t="shared" ca="1" si="24"/>
        <v>#NAME?</v>
      </c>
      <c r="H791" s="274">
        <f t="shared" si="25"/>
        <v>0</v>
      </c>
      <c r="K791" s="274"/>
    </row>
    <row r="792" spans="2:11" ht="13.5" customHeight="1">
      <c r="B792" s="209" t="s">
        <v>3351</v>
      </c>
      <c r="C792" s="209" t="s">
        <v>3352</v>
      </c>
      <c r="D792" s="415" t="str">
        <f t="shared" si="27"/>
        <v>18-01</v>
      </c>
      <c r="E792" s="273" t="e">
        <f ca="1">_xludf.IFNA(VLOOKUP('Comp X - Kilter'!B792,'Kilter Holds'!$P$37:$AB$662,12,0),0)</f>
        <v>#NAME?</v>
      </c>
      <c r="F792" s="274"/>
      <c r="G792" s="274" t="e">
        <f t="shared" ca="1" si="24"/>
        <v>#NAME?</v>
      </c>
      <c r="H792" s="274">
        <f t="shared" si="25"/>
        <v>0</v>
      </c>
      <c r="K792" s="274"/>
    </row>
    <row r="793" spans="2:11" ht="13.5" customHeight="1">
      <c r="B793" s="209" t="s">
        <v>3351</v>
      </c>
      <c r="C793" s="209" t="s">
        <v>3352</v>
      </c>
      <c r="D793" s="416" t="str">
        <f t="shared" si="27"/>
        <v>Color Code</v>
      </c>
      <c r="E793" s="273" t="e">
        <f ca="1">_xludf.IFNA(VLOOKUP('Comp X - Kilter'!B793,'Kilter Holds'!$P$37:$AB$662,13,0),0)</f>
        <v>#NAME?</v>
      </c>
      <c r="F793" s="274"/>
      <c r="G793" s="274" t="e">
        <f t="shared" ca="1" si="24"/>
        <v>#NAME?</v>
      </c>
      <c r="H793" s="274">
        <f t="shared" si="25"/>
        <v>0</v>
      </c>
      <c r="K793" s="274"/>
    </row>
    <row r="794" spans="2:11" ht="13.5" customHeight="1">
      <c r="B794" s="209" t="s">
        <v>2015</v>
      </c>
      <c r="C794" s="209" t="s">
        <v>3353</v>
      </c>
      <c r="D794" s="406" t="str">
        <f t="shared" ref="D794:D820" si="28">D560</f>
        <v>11-12</v>
      </c>
      <c r="E794" s="273" t="e">
        <f ca="1">_xludf.IFNA(VLOOKUP('Comp X - Kilter'!B794,'Kilter Holds'!$P$37:$AB$662,5,0),0)</f>
        <v>#NAME?</v>
      </c>
      <c r="F794" s="274"/>
      <c r="G794" s="274" t="e">
        <f t="shared" ca="1" si="24"/>
        <v>#NAME?</v>
      </c>
      <c r="H794" s="274">
        <f t="shared" si="25"/>
        <v>0</v>
      </c>
      <c r="K794" s="274"/>
    </row>
    <row r="795" spans="2:11" ht="13.5" customHeight="1">
      <c r="B795" s="209" t="s">
        <v>2015</v>
      </c>
      <c r="C795" s="209" t="s">
        <v>3353</v>
      </c>
      <c r="D795" s="408" t="str">
        <f t="shared" si="28"/>
        <v>14-01</v>
      </c>
      <c r="E795" s="273" t="e">
        <f ca="1">_xludf.IFNA(VLOOKUP('Comp X - Kilter'!B795,'Kilter Holds'!$P$37:$AB$662,6,0),0)</f>
        <v>#NAME?</v>
      </c>
      <c r="F795" s="274"/>
      <c r="G795" s="274" t="e">
        <f t="shared" ca="1" si="24"/>
        <v>#NAME?</v>
      </c>
      <c r="H795" s="274">
        <f t="shared" si="25"/>
        <v>0</v>
      </c>
      <c r="K795" s="274"/>
    </row>
    <row r="796" spans="2:11" ht="13.5" customHeight="1">
      <c r="B796" s="209" t="s">
        <v>2015</v>
      </c>
      <c r="C796" s="209" t="s">
        <v>3353</v>
      </c>
      <c r="D796" s="409" t="str">
        <f t="shared" si="28"/>
        <v>15-12</v>
      </c>
      <c r="E796" s="273" t="e">
        <f ca="1">_xludf.IFNA(VLOOKUP('Comp X - Kilter'!B796,'Kilter Holds'!$P$37:$AB$662,7,0),0)</f>
        <v>#NAME?</v>
      </c>
      <c r="F796" s="274"/>
      <c r="G796" s="274" t="e">
        <f t="shared" ca="1" si="24"/>
        <v>#NAME?</v>
      </c>
      <c r="H796" s="274">
        <f t="shared" si="25"/>
        <v>0</v>
      </c>
      <c r="K796" s="274"/>
    </row>
    <row r="797" spans="2:11" ht="13.5" customHeight="1">
      <c r="B797" s="209" t="s">
        <v>2015</v>
      </c>
      <c r="C797" s="209" t="s">
        <v>3353</v>
      </c>
      <c r="D797" s="410" t="str">
        <f t="shared" si="28"/>
        <v>16-16</v>
      </c>
      <c r="E797" s="273" t="e">
        <f ca="1">_xludf.IFNA(VLOOKUP('Comp X - Kilter'!B797,'Kilter Holds'!$P$37:$AB$662,8,0),0)</f>
        <v>#NAME?</v>
      </c>
      <c r="F797" s="274"/>
      <c r="G797" s="274" t="e">
        <f t="shared" ca="1" si="24"/>
        <v>#NAME?</v>
      </c>
      <c r="H797" s="274">
        <f t="shared" si="25"/>
        <v>0</v>
      </c>
      <c r="K797" s="274"/>
    </row>
    <row r="798" spans="2:11" ht="13.5" customHeight="1">
      <c r="B798" s="209" t="s">
        <v>2015</v>
      </c>
      <c r="C798" s="209" t="s">
        <v>3353</v>
      </c>
      <c r="D798" s="411" t="str">
        <f t="shared" si="28"/>
        <v>13-01</v>
      </c>
      <c r="E798" s="273" t="e">
        <f ca="1">_xludf.IFNA(VLOOKUP('Comp X - Kilter'!B798,'Kilter Holds'!$P$37:$AB$662,9,0),0)</f>
        <v>#NAME?</v>
      </c>
      <c r="F798" s="274"/>
      <c r="G798" s="274" t="e">
        <f t="shared" ca="1" si="24"/>
        <v>#NAME?</v>
      </c>
      <c r="H798" s="274">
        <f t="shared" si="25"/>
        <v>0</v>
      </c>
      <c r="K798" s="274"/>
    </row>
    <row r="799" spans="2:11" ht="13.5" customHeight="1">
      <c r="B799" s="209" t="s">
        <v>2015</v>
      </c>
      <c r="C799" s="209" t="s">
        <v>3353</v>
      </c>
      <c r="D799" s="413" t="str">
        <f t="shared" si="28"/>
        <v>07-13</v>
      </c>
      <c r="E799" s="273" t="e">
        <f ca="1">_xludf.IFNA(VLOOKUP('Comp X - Kilter'!B799,'Kilter Holds'!$P$37:$AB$662,10,0),0)</f>
        <v>#NAME?</v>
      </c>
      <c r="F799" s="274"/>
      <c r="G799" s="274" t="e">
        <f t="shared" ca="1" si="24"/>
        <v>#NAME?</v>
      </c>
      <c r="H799" s="274">
        <f t="shared" si="25"/>
        <v>0</v>
      </c>
      <c r="K799" s="274"/>
    </row>
    <row r="800" spans="2:11" ht="13.5" customHeight="1">
      <c r="B800" s="209" t="s">
        <v>2015</v>
      </c>
      <c r="C800" s="209" t="s">
        <v>3353</v>
      </c>
      <c r="D800" s="414" t="str">
        <f t="shared" si="28"/>
        <v>11-26</v>
      </c>
      <c r="E800" s="273" t="e">
        <f ca="1">_xludf.IFNA(VLOOKUP('Comp X - Kilter'!B800,'Kilter Holds'!$P$37:$AB$662,11,0),0)</f>
        <v>#NAME?</v>
      </c>
      <c r="F800" s="274"/>
      <c r="G800" s="274" t="e">
        <f t="shared" ca="1" si="24"/>
        <v>#NAME?</v>
      </c>
      <c r="H800" s="274">
        <f t="shared" si="25"/>
        <v>0</v>
      </c>
      <c r="K800" s="274"/>
    </row>
    <row r="801" spans="2:11" ht="13.5" customHeight="1">
      <c r="B801" s="209" t="s">
        <v>2015</v>
      </c>
      <c r="C801" s="209" t="s">
        <v>3353</v>
      </c>
      <c r="D801" s="415" t="str">
        <f t="shared" si="28"/>
        <v>18-01</v>
      </c>
      <c r="E801" s="273" t="e">
        <f ca="1">_xludf.IFNA(VLOOKUP('Comp X - Kilter'!B801,'Kilter Holds'!$P$37:$AB$662,12,0),0)</f>
        <v>#NAME?</v>
      </c>
      <c r="F801" s="274"/>
      <c r="G801" s="274" t="e">
        <f t="shared" ca="1" si="24"/>
        <v>#NAME?</v>
      </c>
      <c r="H801" s="274">
        <f t="shared" si="25"/>
        <v>0</v>
      </c>
      <c r="K801" s="274"/>
    </row>
    <row r="802" spans="2:11" ht="13.5" customHeight="1">
      <c r="B802" s="209" t="s">
        <v>2015</v>
      </c>
      <c r="C802" s="209" t="s">
        <v>3353</v>
      </c>
      <c r="D802" s="416" t="str">
        <f t="shared" si="28"/>
        <v>Color Code</v>
      </c>
      <c r="E802" s="273" t="e">
        <f ca="1">_xludf.IFNA(VLOOKUP('Comp X - Kilter'!B802,'Kilter Holds'!$P$37:$AB$662,13,0),0)</f>
        <v>#NAME?</v>
      </c>
      <c r="F802" s="274"/>
      <c r="G802" s="274" t="e">
        <f t="shared" ca="1" si="24"/>
        <v>#NAME?</v>
      </c>
      <c r="H802" s="274">
        <f t="shared" si="25"/>
        <v>0</v>
      </c>
      <c r="K802" s="274"/>
    </row>
    <row r="803" spans="2:11" ht="13.5" customHeight="1">
      <c r="B803" s="209" t="s">
        <v>2106</v>
      </c>
      <c r="C803" s="209" t="s">
        <v>3354</v>
      </c>
      <c r="D803" s="406" t="str">
        <f t="shared" si="28"/>
        <v>11-12</v>
      </c>
      <c r="E803" s="273" t="e">
        <f ca="1">_xludf.IFNA(VLOOKUP('Comp X - Kilter'!B803,'Kilter Holds'!$P$37:$AB$662,5,0),0)</f>
        <v>#NAME?</v>
      </c>
      <c r="F803" s="274"/>
      <c r="G803" s="274" t="e">
        <f t="shared" ca="1" si="24"/>
        <v>#NAME?</v>
      </c>
      <c r="H803" s="274">
        <f t="shared" si="25"/>
        <v>0</v>
      </c>
      <c r="K803" s="274"/>
    </row>
    <row r="804" spans="2:11" ht="13.5" customHeight="1">
      <c r="B804" s="209" t="s">
        <v>2106</v>
      </c>
      <c r="C804" s="209" t="s">
        <v>3354</v>
      </c>
      <c r="D804" s="408" t="str">
        <f t="shared" si="28"/>
        <v>14-01</v>
      </c>
      <c r="E804" s="273" t="e">
        <f ca="1">_xludf.IFNA(VLOOKUP('Comp X - Kilter'!B804,'Kilter Holds'!$P$37:$AB$662,6,0),0)</f>
        <v>#NAME?</v>
      </c>
      <c r="F804" s="274"/>
      <c r="G804" s="274" t="e">
        <f t="shared" ca="1" si="24"/>
        <v>#NAME?</v>
      </c>
      <c r="H804" s="274">
        <f t="shared" si="25"/>
        <v>0</v>
      </c>
      <c r="K804" s="274"/>
    </row>
    <row r="805" spans="2:11" ht="13.5" customHeight="1">
      <c r="B805" s="209" t="s">
        <v>2106</v>
      </c>
      <c r="C805" s="209" t="s">
        <v>3354</v>
      </c>
      <c r="D805" s="409" t="str">
        <f t="shared" si="28"/>
        <v>15-12</v>
      </c>
      <c r="E805" s="273" t="e">
        <f ca="1">_xludf.IFNA(VLOOKUP('Comp X - Kilter'!B805,'Kilter Holds'!$P$37:$AB$662,7,0),0)</f>
        <v>#NAME?</v>
      </c>
      <c r="F805" s="274"/>
      <c r="G805" s="274" t="e">
        <f t="shared" ca="1" si="24"/>
        <v>#NAME?</v>
      </c>
      <c r="H805" s="274">
        <f t="shared" si="25"/>
        <v>0</v>
      </c>
      <c r="K805" s="274"/>
    </row>
    <row r="806" spans="2:11" ht="13.5" customHeight="1">
      <c r="B806" s="209" t="s">
        <v>2106</v>
      </c>
      <c r="C806" s="209" t="s">
        <v>3354</v>
      </c>
      <c r="D806" s="410" t="str">
        <f t="shared" si="28"/>
        <v>16-16</v>
      </c>
      <c r="E806" s="273" t="e">
        <f ca="1">_xludf.IFNA(VLOOKUP('Comp X - Kilter'!B806,'Kilter Holds'!$P$37:$AB$662,8,0),0)</f>
        <v>#NAME?</v>
      </c>
      <c r="F806" s="274"/>
      <c r="G806" s="274" t="e">
        <f t="shared" ca="1" si="24"/>
        <v>#NAME?</v>
      </c>
      <c r="H806" s="274">
        <f t="shared" si="25"/>
        <v>0</v>
      </c>
      <c r="K806" s="274"/>
    </row>
    <row r="807" spans="2:11" ht="13.5" customHeight="1">
      <c r="B807" s="209" t="s">
        <v>2106</v>
      </c>
      <c r="C807" s="209" t="s">
        <v>3354</v>
      </c>
      <c r="D807" s="411" t="str">
        <f t="shared" si="28"/>
        <v>13-01</v>
      </c>
      <c r="E807" s="273" t="e">
        <f ca="1">_xludf.IFNA(VLOOKUP('Comp X - Kilter'!B807,'Kilter Holds'!$P$37:$AB$662,9,0),0)</f>
        <v>#NAME?</v>
      </c>
      <c r="F807" s="274"/>
      <c r="G807" s="274" t="e">
        <f t="shared" ca="1" si="24"/>
        <v>#NAME?</v>
      </c>
      <c r="H807" s="274">
        <f t="shared" si="25"/>
        <v>0</v>
      </c>
      <c r="K807" s="274"/>
    </row>
    <row r="808" spans="2:11" ht="13.5" customHeight="1">
      <c r="B808" s="209" t="s">
        <v>2106</v>
      </c>
      <c r="C808" s="209" t="s">
        <v>3354</v>
      </c>
      <c r="D808" s="413" t="str">
        <f t="shared" si="28"/>
        <v>07-13</v>
      </c>
      <c r="E808" s="273" t="e">
        <f ca="1">_xludf.IFNA(VLOOKUP('Comp X - Kilter'!B808,'Kilter Holds'!$P$37:$AB$662,10,0),0)</f>
        <v>#NAME?</v>
      </c>
      <c r="F808" s="274"/>
      <c r="G808" s="274" t="e">
        <f t="shared" ca="1" si="24"/>
        <v>#NAME?</v>
      </c>
      <c r="H808" s="274">
        <f t="shared" si="25"/>
        <v>0</v>
      </c>
      <c r="K808" s="274"/>
    </row>
    <row r="809" spans="2:11" ht="13.5" customHeight="1">
      <c r="B809" s="209" t="s">
        <v>2106</v>
      </c>
      <c r="C809" s="209" t="s">
        <v>3354</v>
      </c>
      <c r="D809" s="414" t="str">
        <f t="shared" si="28"/>
        <v>11-26</v>
      </c>
      <c r="E809" s="273" t="e">
        <f ca="1">_xludf.IFNA(VLOOKUP('Comp X - Kilter'!B809,'Kilter Holds'!$P$37:$AB$662,11,0),0)</f>
        <v>#NAME?</v>
      </c>
      <c r="F809" s="274"/>
      <c r="G809" s="274" t="e">
        <f t="shared" ca="1" si="24"/>
        <v>#NAME?</v>
      </c>
      <c r="H809" s="274">
        <f t="shared" si="25"/>
        <v>0</v>
      </c>
      <c r="K809" s="274"/>
    </row>
    <row r="810" spans="2:11" ht="13.5" customHeight="1">
      <c r="B810" s="209" t="s">
        <v>2106</v>
      </c>
      <c r="C810" s="209" t="s">
        <v>3354</v>
      </c>
      <c r="D810" s="415" t="str">
        <f t="shared" si="28"/>
        <v>18-01</v>
      </c>
      <c r="E810" s="273" t="e">
        <f ca="1">_xludf.IFNA(VLOOKUP('Comp X - Kilter'!B810,'Kilter Holds'!$P$37:$AB$662,12,0),0)</f>
        <v>#NAME?</v>
      </c>
      <c r="F810" s="274"/>
      <c r="G810" s="274" t="e">
        <f t="shared" ca="1" si="24"/>
        <v>#NAME?</v>
      </c>
      <c r="H810" s="274">
        <f t="shared" si="25"/>
        <v>0</v>
      </c>
      <c r="K810" s="274"/>
    </row>
    <row r="811" spans="2:11" ht="13.5" customHeight="1">
      <c r="B811" s="209" t="s">
        <v>2106</v>
      </c>
      <c r="C811" s="209" t="s">
        <v>3354</v>
      </c>
      <c r="D811" s="416" t="str">
        <f t="shared" si="28"/>
        <v>Color Code</v>
      </c>
      <c r="E811" s="273" t="e">
        <f ca="1">_xludf.IFNA(VLOOKUP('Comp X - Kilter'!B811,'Kilter Holds'!$P$37:$AB$662,13,0),0)</f>
        <v>#NAME?</v>
      </c>
      <c r="F811" s="274"/>
      <c r="G811" s="274" t="e">
        <f t="shared" ca="1" si="24"/>
        <v>#NAME?</v>
      </c>
      <c r="H811" s="274">
        <f t="shared" si="25"/>
        <v>0</v>
      </c>
      <c r="K811" s="274"/>
    </row>
    <row r="812" spans="2:11" ht="13.5" customHeight="1">
      <c r="B812" s="209" t="s">
        <v>2107</v>
      </c>
      <c r="C812" s="209" t="s">
        <v>3355</v>
      </c>
      <c r="D812" s="406" t="str">
        <f t="shared" si="28"/>
        <v>11-12</v>
      </c>
      <c r="E812" s="273" t="e">
        <f ca="1">_xludf.IFNA(VLOOKUP('Comp X - Kilter'!B812,'Kilter Holds'!$P$37:$AB$662,5,0),0)</f>
        <v>#NAME?</v>
      </c>
      <c r="F812" s="274"/>
      <c r="G812" s="274" t="e">
        <f t="shared" ca="1" si="24"/>
        <v>#NAME?</v>
      </c>
      <c r="H812" s="274">
        <f t="shared" si="25"/>
        <v>0</v>
      </c>
      <c r="K812" s="274"/>
    </row>
    <row r="813" spans="2:11" ht="13.5" customHeight="1">
      <c r="B813" s="209" t="s">
        <v>2107</v>
      </c>
      <c r="C813" s="209" t="s">
        <v>3355</v>
      </c>
      <c r="D813" s="408" t="str">
        <f t="shared" si="28"/>
        <v>14-01</v>
      </c>
      <c r="E813" s="273" t="e">
        <f ca="1">_xludf.IFNA(VLOOKUP('Comp X - Kilter'!B813,'Kilter Holds'!$P$37:$AB$662,6,0),0)</f>
        <v>#NAME?</v>
      </c>
      <c r="F813" s="274"/>
      <c r="G813" s="274" t="e">
        <f t="shared" ca="1" si="24"/>
        <v>#NAME?</v>
      </c>
      <c r="H813" s="274">
        <f t="shared" si="25"/>
        <v>0</v>
      </c>
      <c r="K813" s="274"/>
    </row>
    <row r="814" spans="2:11" ht="13.5" customHeight="1">
      <c r="B814" s="209" t="s">
        <v>2107</v>
      </c>
      <c r="C814" s="209" t="s">
        <v>3355</v>
      </c>
      <c r="D814" s="409" t="str">
        <f t="shared" si="28"/>
        <v>15-12</v>
      </c>
      <c r="E814" s="273" t="e">
        <f ca="1">_xludf.IFNA(VLOOKUP('Comp X - Kilter'!B814,'Kilter Holds'!$P$37:$AB$662,7,0),0)</f>
        <v>#NAME?</v>
      </c>
      <c r="F814" s="274"/>
      <c r="G814" s="274" t="e">
        <f t="shared" ca="1" si="24"/>
        <v>#NAME?</v>
      </c>
      <c r="H814" s="274">
        <f t="shared" si="25"/>
        <v>0</v>
      </c>
      <c r="K814" s="274"/>
    </row>
    <row r="815" spans="2:11" ht="13.5" customHeight="1">
      <c r="B815" s="209" t="s">
        <v>2107</v>
      </c>
      <c r="C815" s="209" t="s">
        <v>3355</v>
      </c>
      <c r="D815" s="410" t="str">
        <f t="shared" si="28"/>
        <v>16-16</v>
      </c>
      <c r="E815" s="273" t="e">
        <f ca="1">_xludf.IFNA(VLOOKUP('Comp X - Kilter'!B815,'Kilter Holds'!$P$37:$AB$662,8,0),0)</f>
        <v>#NAME?</v>
      </c>
      <c r="F815" s="274"/>
      <c r="G815" s="274" t="e">
        <f t="shared" ca="1" si="24"/>
        <v>#NAME?</v>
      </c>
      <c r="H815" s="274">
        <f t="shared" si="25"/>
        <v>0</v>
      </c>
      <c r="K815" s="274"/>
    </row>
    <row r="816" spans="2:11" ht="13.5" customHeight="1">
      <c r="B816" s="209" t="s">
        <v>2107</v>
      </c>
      <c r="C816" s="209" t="s">
        <v>3355</v>
      </c>
      <c r="D816" s="411" t="str">
        <f t="shared" si="28"/>
        <v>13-01</v>
      </c>
      <c r="E816" s="273" t="e">
        <f ca="1">_xludf.IFNA(VLOOKUP('Comp X - Kilter'!B816,'Kilter Holds'!$P$37:$AB$662,9,0),0)</f>
        <v>#NAME?</v>
      </c>
      <c r="F816" s="274"/>
      <c r="G816" s="274" t="e">
        <f t="shared" ca="1" si="24"/>
        <v>#NAME?</v>
      </c>
      <c r="H816" s="274">
        <f t="shared" si="25"/>
        <v>0</v>
      </c>
      <c r="K816" s="274"/>
    </row>
    <row r="817" spans="2:11" ht="13.5" customHeight="1">
      <c r="B817" s="209" t="s">
        <v>2107</v>
      </c>
      <c r="C817" s="209" t="s">
        <v>3355</v>
      </c>
      <c r="D817" s="413" t="str">
        <f t="shared" si="28"/>
        <v>07-13</v>
      </c>
      <c r="E817" s="273" t="e">
        <f ca="1">_xludf.IFNA(VLOOKUP('Comp X - Kilter'!B817,'Kilter Holds'!$P$37:$AB$662,10,0),0)</f>
        <v>#NAME?</v>
      </c>
      <c r="F817" s="274"/>
      <c r="G817" s="274" t="e">
        <f t="shared" ca="1" si="24"/>
        <v>#NAME?</v>
      </c>
      <c r="H817" s="274">
        <f t="shared" si="25"/>
        <v>0</v>
      </c>
      <c r="K817" s="274"/>
    </row>
    <row r="818" spans="2:11" ht="13.5" customHeight="1">
      <c r="B818" s="209" t="s">
        <v>2107</v>
      </c>
      <c r="C818" s="209" t="s">
        <v>3355</v>
      </c>
      <c r="D818" s="414" t="str">
        <f t="shared" si="28"/>
        <v>11-26</v>
      </c>
      <c r="E818" s="273" t="e">
        <f ca="1">_xludf.IFNA(VLOOKUP('Comp X - Kilter'!B818,'Kilter Holds'!$P$37:$AB$662,11,0),0)</f>
        <v>#NAME?</v>
      </c>
      <c r="F818" s="274"/>
      <c r="G818" s="274" t="e">
        <f t="shared" ca="1" si="24"/>
        <v>#NAME?</v>
      </c>
      <c r="H818" s="274">
        <f t="shared" si="25"/>
        <v>0</v>
      </c>
      <c r="K818" s="274"/>
    </row>
    <row r="819" spans="2:11" ht="13.5" customHeight="1">
      <c r="B819" s="209" t="s">
        <v>2107</v>
      </c>
      <c r="C819" s="209" t="s">
        <v>3355</v>
      </c>
      <c r="D819" s="415" t="str">
        <f t="shared" si="28"/>
        <v>18-01</v>
      </c>
      <c r="E819" s="273" t="e">
        <f ca="1">_xludf.IFNA(VLOOKUP('Comp X - Kilter'!B819,'Kilter Holds'!$P$37:$AB$662,12,0),0)</f>
        <v>#NAME?</v>
      </c>
      <c r="F819" s="274"/>
      <c r="G819" s="274" t="e">
        <f t="shared" ca="1" si="24"/>
        <v>#NAME?</v>
      </c>
      <c r="H819" s="274">
        <f t="shared" si="25"/>
        <v>0</v>
      </c>
      <c r="K819" s="274"/>
    </row>
    <row r="820" spans="2:11" ht="13.5" customHeight="1">
      <c r="B820" s="209" t="s">
        <v>2107</v>
      </c>
      <c r="C820" s="209" t="s">
        <v>3355</v>
      </c>
      <c r="D820" s="416" t="str">
        <f t="shared" si="28"/>
        <v>Color Code</v>
      </c>
      <c r="E820" s="273" t="e">
        <f ca="1">_xludf.IFNA(VLOOKUP('Comp X - Kilter'!B820,'Kilter Holds'!$P$37:$AB$662,13,0),0)</f>
        <v>#NAME?</v>
      </c>
      <c r="F820" s="274"/>
      <c r="G820" s="274" t="e">
        <f t="shared" ca="1" si="24"/>
        <v>#NAME?</v>
      </c>
      <c r="H820" s="274">
        <f t="shared" si="25"/>
        <v>0</v>
      </c>
      <c r="K820" s="274"/>
    </row>
    <row r="821" spans="2:11" ht="13.5" customHeight="1">
      <c r="B821" s="1" t="s">
        <v>2109</v>
      </c>
      <c r="C821" s="1" t="s">
        <v>3356</v>
      </c>
      <c r="D821" s="406" t="str">
        <f t="shared" ref="D821:D847" si="29">D569</f>
        <v>11-12</v>
      </c>
      <c r="E821" s="273" t="e">
        <f ca="1">_xludf.IFNA(VLOOKUP('Comp X - Kilter'!B821,'Kilter Holds'!$P$37:$AB$662,5,0),0)</f>
        <v>#NAME?</v>
      </c>
      <c r="F821" s="274"/>
      <c r="G821" s="274" t="e">
        <f t="shared" ca="1" si="24"/>
        <v>#NAME?</v>
      </c>
      <c r="H821" s="274">
        <f t="shared" si="25"/>
        <v>0</v>
      </c>
      <c r="K821" s="274"/>
    </row>
    <row r="822" spans="2:11" ht="13.5" customHeight="1">
      <c r="B822" s="1" t="s">
        <v>2109</v>
      </c>
      <c r="C822" s="1" t="s">
        <v>3356</v>
      </c>
      <c r="D822" s="408" t="str">
        <f t="shared" si="29"/>
        <v>14-01</v>
      </c>
      <c r="E822" s="273" t="e">
        <f ca="1">_xludf.IFNA(VLOOKUP('Comp X - Kilter'!B822,'Kilter Holds'!$P$37:$AB$662,6,0),0)</f>
        <v>#NAME?</v>
      </c>
      <c r="F822" s="274"/>
      <c r="G822" s="274" t="e">
        <f t="shared" ca="1" si="24"/>
        <v>#NAME?</v>
      </c>
      <c r="H822" s="274">
        <f t="shared" si="25"/>
        <v>0</v>
      </c>
      <c r="K822" s="274"/>
    </row>
    <row r="823" spans="2:11" ht="13.5" customHeight="1">
      <c r="B823" s="1" t="s">
        <v>2109</v>
      </c>
      <c r="C823" s="1" t="s">
        <v>3356</v>
      </c>
      <c r="D823" s="409" t="str">
        <f t="shared" si="29"/>
        <v>15-12</v>
      </c>
      <c r="E823" s="273" t="e">
        <f ca="1">_xludf.IFNA(VLOOKUP('Comp X - Kilter'!B823,'Kilter Holds'!$P$37:$AB$662,7,0),0)</f>
        <v>#NAME?</v>
      </c>
      <c r="F823" s="274"/>
      <c r="G823" s="274" t="e">
        <f t="shared" ca="1" si="24"/>
        <v>#NAME?</v>
      </c>
      <c r="H823" s="274">
        <f t="shared" si="25"/>
        <v>0</v>
      </c>
      <c r="K823" s="274"/>
    </row>
    <row r="824" spans="2:11" ht="13.5" customHeight="1">
      <c r="B824" s="1" t="s">
        <v>2109</v>
      </c>
      <c r="C824" s="1" t="s">
        <v>3356</v>
      </c>
      <c r="D824" s="410" t="str">
        <f t="shared" si="29"/>
        <v>16-16</v>
      </c>
      <c r="E824" s="273" t="e">
        <f ca="1">_xludf.IFNA(VLOOKUP('Comp X - Kilter'!B824,'Kilter Holds'!$P$37:$AB$662,8,0),0)</f>
        <v>#NAME?</v>
      </c>
      <c r="F824" s="274"/>
      <c r="G824" s="274" t="e">
        <f t="shared" ca="1" si="24"/>
        <v>#NAME?</v>
      </c>
      <c r="H824" s="274">
        <f t="shared" si="25"/>
        <v>0</v>
      </c>
      <c r="K824" s="274"/>
    </row>
    <row r="825" spans="2:11" ht="13.5" customHeight="1">
      <c r="B825" s="1" t="s">
        <v>2109</v>
      </c>
      <c r="C825" s="1" t="s">
        <v>3356</v>
      </c>
      <c r="D825" s="411" t="str">
        <f t="shared" si="29"/>
        <v>13-01</v>
      </c>
      <c r="E825" s="273" t="e">
        <f ca="1">_xludf.IFNA(VLOOKUP('Comp X - Kilter'!B825,'Kilter Holds'!$P$37:$AB$662,9,0),0)</f>
        <v>#NAME?</v>
      </c>
      <c r="F825" s="274"/>
      <c r="G825" s="274" t="e">
        <f t="shared" ca="1" si="24"/>
        <v>#NAME?</v>
      </c>
      <c r="H825" s="274">
        <f t="shared" si="25"/>
        <v>0</v>
      </c>
      <c r="K825" s="274"/>
    </row>
    <row r="826" spans="2:11" ht="13.5" customHeight="1">
      <c r="B826" s="1" t="s">
        <v>2109</v>
      </c>
      <c r="C826" s="1" t="s">
        <v>3356</v>
      </c>
      <c r="D826" s="413" t="str">
        <f t="shared" si="29"/>
        <v>07-13</v>
      </c>
      <c r="E826" s="273" t="e">
        <f ca="1">_xludf.IFNA(VLOOKUP('Comp X - Kilter'!B826,'Kilter Holds'!$P$37:$AB$662,10,0),0)</f>
        <v>#NAME?</v>
      </c>
      <c r="F826" s="274"/>
      <c r="G826" s="274" t="e">
        <f t="shared" ca="1" si="24"/>
        <v>#NAME?</v>
      </c>
      <c r="H826" s="274">
        <f t="shared" si="25"/>
        <v>0</v>
      </c>
      <c r="K826" s="274"/>
    </row>
    <row r="827" spans="2:11" ht="13.5" customHeight="1">
      <c r="B827" s="1" t="s">
        <v>2109</v>
      </c>
      <c r="C827" s="1" t="s">
        <v>3356</v>
      </c>
      <c r="D827" s="414" t="str">
        <f t="shared" si="29"/>
        <v>11-26</v>
      </c>
      <c r="E827" s="273" t="e">
        <f ca="1">_xludf.IFNA(VLOOKUP('Comp X - Kilter'!B827,'Kilter Holds'!$P$37:$AB$662,11,0),0)</f>
        <v>#NAME?</v>
      </c>
      <c r="F827" s="274"/>
      <c r="G827" s="274" t="e">
        <f t="shared" ca="1" si="24"/>
        <v>#NAME?</v>
      </c>
      <c r="H827" s="274">
        <f t="shared" si="25"/>
        <v>0</v>
      </c>
      <c r="K827" s="274"/>
    </row>
    <row r="828" spans="2:11" ht="13.5" customHeight="1">
      <c r="B828" s="1" t="s">
        <v>2109</v>
      </c>
      <c r="C828" s="1" t="s">
        <v>3356</v>
      </c>
      <c r="D828" s="415" t="str">
        <f t="shared" si="29"/>
        <v>18-01</v>
      </c>
      <c r="E828" s="273" t="e">
        <f ca="1">_xludf.IFNA(VLOOKUP('Comp X - Kilter'!B828,'Kilter Holds'!$P$37:$AB$662,12,0),0)</f>
        <v>#NAME?</v>
      </c>
      <c r="F828" s="274"/>
      <c r="G828" s="274" t="e">
        <f t="shared" ca="1" si="24"/>
        <v>#NAME?</v>
      </c>
      <c r="H828" s="274">
        <f t="shared" si="25"/>
        <v>0</v>
      </c>
      <c r="K828" s="274"/>
    </row>
    <row r="829" spans="2:11" ht="13.5" customHeight="1">
      <c r="B829" s="1" t="s">
        <v>2109</v>
      </c>
      <c r="C829" s="1" t="s">
        <v>3356</v>
      </c>
      <c r="D829" s="416" t="str">
        <f t="shared" si="29"/>
        <v>Color Code</v>
      </c>
      <c r="E829" s="273" t="e">
        <f ca="1">_xludf.IFNA(VLOOKUP('Comp X - Kilter'!B829,'Kilter Holds'!$P$37:$AB$662,13,0),0)</f>
        <v>#NAME?</v>
      </c>
      <c r="F829" s="274"/>
      <c r="G829" s="274" t="e">
        <f t="shared" ca="1" si="24"/>
        <v>#NAME?</v>
      </c>
      <c r="H829" s="274">
        <f t="shared" si="25"/>
        <v>0</v>
      </c>
      <c r="K829" s="274"/>
    </row>
    <row r="830" spans="2:11" ht="13.5" customHeight="1">
      <c r="B830" s="1" t="s">
        <v>2007</v>
      </c>
      <c r="C830" s="1" t="s">
        <v>3357</v>
      </c>
      <c r="D830" s="406" t="str">
        <f t="shared" si="29"/>
        <v>11-12</v>
      </c>
      <c r="E830" s="273" t="e">
        <f ca="1">_xludf.IFNA(VLOOKUP('Comp X - Kilter'!B830,'Kilter Holds'!$P$37:$AB$662,5,0),0)</f>
        <v>#NAME?</v>
      </c>
      <c r="F830" s="274"/>
      <c r="G830" s="274" t="e">
        <f t="shared" ca="1" si="24"/>
        <v>#NAME?</v>
      </c>
      <c r="H830" s="274">
        <f t="shared" si="25"/>
        <v>0</v>
      </c>
      <c r="K830" s="274"/>
    </row>
    <row r="831" spans="2:11" ht="13.5" customHeight="1">
      <c r="B831" s="1" t="s">
        <v>2007</v>
      </c>
      <c r="C831" s="1" t="s">
        <v>3357</v>
      </c>
      <c r="D831" s="408" t="str">
        <f t="shared" si="29"/>
        <v>14-01</v>
      </c>
      <c r="E831" s="273" t="e">
        <f ca="1">_xludf.IFNA(VLOOKUP('Comp X - Kilter'!B831,'Kilter Holds'!$P$37:$AB$662,6,0),0)</f>
        <v>#NAME?</v>
      </c>
      <c r="F831" s="274"/>
      <c r="G831" s="274" t="e">
        <f t="shared" ca="1" si="24"/>
        <v>#NAME?</v>
      </c>
      <c r="H831" s="274">
        <f t="shared" si="25"/>
        <v>0</v>
      </c>
      <c r="K831" s="274"/>
    </row>
    <row r="832" spans="2:11" ht="13.5" customHeight="1">
      <c r="B832" s="1" t="s">
        <v>2007</v>
      </c>
      <c r="C832" s="1" t="s">
        <v>3357</v>
      </c>
      <c r="D832" s="409" t="str">
        <f t="shared" si="29"/>
        <v>15-12</v>
      </c>
      <c r="E832" s="273" t="e">
        <f ca="1">_xludf.IFNA(VLOOKUP('Comp X - Kilter'!B832,'Kilter Holds'!$P$37:$AB$662,7,0),0)</f>
        <v>#NAME?</v>
      </c>
      <c r="F832" s="274"/>
      <c r="G832" s="274" t="e">
        <f t="shared" ca="1" si="24"/>
        <v>#NAME?</v>
      </c>
      <c r="H832" s="274">
        <f t="shared" si="25"/>
        <v>0</v>
      </c>
      <c r="K832" s="274"/>
    </row>
    <row r="833" spans="2:11" ht="13.5" customHeight="1">
      <c r="B833" s="1" t="s">
        <v>2007</v>
      </c>
      <c r="C833" s="1" t="s">
        <v>3357</v>
      </c>
      <c r="D833" s="410" t="str">
        <f t="shared" si="29"/>
        <v>16-16</v>
      </c>
      <c r="E833" s="273" t="e">
        <f ca="1">_xludf.IFNA(VLOOKUP('Comp X - Kilter'!B833,'Kilter Holds'!$P$37:$AB$662,8,0),0)</f>
        <v>#NAME?</v>
      </c>
      <c r="F833" s="274"/>
      <c r="G833" s="274" t="e">
        <f t="shared" ca="1" si="24"/>
        <v>#NAME?</v>
      </c>
      <c r="H833" s="274">
        <f t="shared" si="25"/>
        <v>0</v>
      </c>
      <c r="K833" s="274"/>
    </row>
    <row r="834" spans="2:11" ht="13.5" customHeight="1">
      <c r="B834" s="1" t="s">
        <v>2007</v>
      </c>
      <c r="C834" s="1" t="s">
        <v>3357</v>
      </c>
      <c r="D834" s="411" t="str">
        <f t="shared" si="29"/>
        <v>13-01</v>
      </c>
      <c r="E834" s="273" t="e">
        <f ca="1">_xludf.IFNA(VLOOKUP('Comp X - Kilter'!B834,'Kilter Holds'!$P$37:$AB$662,9,0),0)</f>
        <v>#NAME?</v>
      </c>
      <c r="F834" s="274"/>
      <c r="G834" s="274" t="e">
        <f t="shared" ca="1" si="24"/>
        <v>#NAME?</v>
      </c>
      <c r="H834" s="274">
        <f t="shared" si="25"/>
        <v>0</v>
      </c>
      <c r="K834" s="274"/>
    </row>
    <row r="835" spans="2:11" ht="13.5" customHeight="1">
      <c r="B835" s="1" t="s">
        <v>2007</v>
      </c>
      <c r="C835" s="1" t="s">
        <v>3357</v>
      </c>
      <c r="D835" s="413" t="str">
        <f t="shared" si="29"/>
        <v>07-13</v>
      </c>
      <c r="E835" s="273" t="e">
        <f ca="1">_xludf.IFNA(VLOOKUP('Comp X - Kilter'!B835,'Kilter Holds'!$P$37:$AB$662,10,0),0)</f>
        <v>#NAME?</v>
      </c>
      <c r="F835" s="274"/>
      <c r="G835" s="274" t="e">
        <f t="shared" ca="1" si="24"/>
        <v>#NAME?</v>
      </c>
      <c r="H835" s="274">
        <f t="shared" si="25"/>
        <v>0</v>
      </c>
      <c r="K835" s="274"/>
    </row>
    <row r="836" spans="2:11" ht="13.5" customHeight="1">
      <c r="B836" s="1" t="s">
        <v>2007</v>
      </c>
      <c r="C836" s="1" t="s">
        <v>3357</v>
      </c>
      <c r="D836" s="414" t="str">
        <f t="shared" si="29"/>
        <v>11-26</v>
      </c>
      <c r="E836" s="273" t="e">
        <f ca="1">_xludf.IFNA(VLOOKUP('Comp X - Kilter'!B836,'Kilter Holds'!$P$37:$AB$662,11,0),0)</f>
        <v>#NAME?</v>
      </c>
      <c r="F836" s="274"/>
      <c r="G836" s="274" t="e">
        <f t="shared" ca="1" si="24"/>
        <v>#NAME?</v>
      </c>
      <c r="H836" s="274">
        <f t="shared" si="25"/>
        <v>0</v>
      </c>
      <c r="K836" s="274"/>
    </row>
    <row r="837" spans="2:11" ht="13.5" customHeight="1">
      <c r="B837" s="1" t="s">
        <v>2007</v>
      </c>
      <c r="C837" s="1" t="s">
        <v>3357</v>
      </c>
      <c r="D837" s="415" t="str">
        <f t="shared" si="29"/>
        <v>18-01</v>
      </c>
      <c r="E837" s="273" t="e">
        <f ca="1">_xludf.IFNA(VLOOKUP('Comp X - Kilter'!B837,'Kilter Holds'!$P$37:$AB$662,12,0),0)</f>
        <v>#NAME?</v>
      </c>
      <c r="F837" s="274"/>
      <c r="G837" s="274" t="e">
        <f t="shared" ca="1" si="24"/>
        <v>#NAME?</v>
      </c>
      <c r="H837" s="274">
        <f t="shared" si="25"/>
        <v>0</v>
      </c>
      <c r="K837" s="274"/>
    </row>
    <row r="838" spans="2:11" ht="13.5" customHeight="1">
      <c r="B838" s="1" t="s">
        <v>2007</v>
      </c>
      <c r="C838" s="1" t="s">
        <v>3357</v>
      </c>
      <c r="D838" s="416" t="str">
        <f t="shared" si="29"/>
        <v>Color Code</v>
      </c>
      <c r="E838" s="273" t="e">
        <f ca="1">_xludf.IFNA(VLOOKUP('Comp X - Kilter'!B838,'Kilter Holds'!$P$37:$AB$662,13,0),0)</f>
        <v>#NAME?</v>
      </c>
      <c r="F838" s="274"/>
      <c r="G838" s="274" t="e">
        <f t="shared" ca="1" si="24"/>
        <v>#NAME?</v>
      </c>
      <c r="H838" s="274">
        <f t="shared" si="25"/>
        <v>0</v>
      </c>
      <c r="K838" s="274"/>
    </row>
    <row r="839" spans="2:11" ht="13.5" customHeight="1">
      <c r="B839" s="1" t="s">
        <v>2105</v>
      </c>
      <c r="C839" s="1" t="s">
        <v>3358</v>
      </c>
      <c r="D839" s="406" t="str">
        <f t="shared" si="29"/>
        <v>11-12</v>
      </c>
      <c r="E839" s="273" t="e">
        <f ca="1">_xludf.IFNA(VLOOKUP('Comp X - Kilter'!B839,'Kilter Holds'!$P$37:$AB$662,5,0),0)</f>
        <v>#NAME?</v>
      </c>
      <c r="F839" s="274"/>
      <c r="G839" s="274" t="e">
        <f t="shared" ca="1" si="24"/>
        <v>#NAME?</v>
      </c>
      <c r="H839" s="274">
        <f t="shared" si="25"/>
        <v>0</v>
      </c>
      <c r="K839" s="274"/>
    </row>
    <row r="840" spans="2:11" ht="13.5" customHeight="1">
      <c r="B840" s="1" t="s">
        <v>2105</v>
      </c>
      <c r="C840" s="1" t="s">
        <v>3358</v>
      </c>
      <c r="D840" s="408" t="str">
        <f t="shared" si="29"/>
        <v>14-01</v>
      </c>
      <c r="E840" s="273" t="e">
        <f ca="1">_xludf.IFNA(VLOOKUP('Comp X - Kilter'!B840,'Kilter Holds'!$P$37:$AB$662,6,0),0)</f>
        <v>#NAME?</v>
      </c>
      <c r="F840" s="274"/>
      <c r="G840" s="274" t="e">
        <f t="shared" ca="1" si="24"/>
        <v>#NAME?</v>
      </c>
      <c r="H840" s="274">
        <f t="shared" si="25"/>
        <v>0</v>
      </c>
      <c r="K840" s="274"/>
    </row>
    <row r="841" spans="2:11" ht="13.5" customHeight="1">
      <c r="B841" s="1" t="s">
        <v>2105</v>
      </c>
      <c r="C841" s="1" t="s">
        <v>3358</v>
      </c>
      <c r="D841" s="409" t="str">
        <f t="shared" si="29"/>
        <v>15-12</v>
      </c>
      <c r="E841" s="273" t="e">
        <f ca="1">_xludf.IFNA(VLOOKUP('Comp X - Kilter'!B841,'Kilter Holds'!$P$37:$AB$662,7,0),0)</f>
        <v>#NAME?</v>
      </c>
      <c r="F841" s="274"/>
      <c r="G841" s="274" t="e">
        <f t="shared" ca="1" si="24"/>
        <v>#NAME?</v>
      </c>
      <c r="H841" s="274">
        <f t="shared" si="25"/>
        <v>0</v>
      </c>
      <c r="K841" s="274"/>
    </row>
    <row r="842" spans="2:11" ht="13.5" customHeight="1">
      <c r="B842" s="1" t="s">
        <v>2105</v>
      </c>
      <c r="C842" s="1" t="s">
        <v>3358</v>
      </c>
      <c r="D842" s="410" t="str">
        <f t="shared" si="29"/>
        <v>16-16</v>
      </c>
      <c r="E842" s="273" t="e">
        <f ca="1">_xludf.IFNA(VLOOKUP('Comp X - Kilter'!B842,'Kilter Holds'!$P$37:$AB$662,8,0),0)</f>
        <v>#NAME?</v>
      </c>
      <c r="F842" s="274"/>
      <c r="G842" s="274" t="e">
        <f t="shared" ca="1" si="24"/>
        <v>#NAME?</v>
      </c>
      <c r="H842" s="274">
        <f t="shared" si="25"/>
        <v>0</v>
      </c>
      <c r="K842" s="274"/>
    </row>
    <row r="843" spans="2:11" ht="13.5" customHeight="1">
      <c r="B843" s="1" t="s">
        <v>2105</v>
      </c>
      <c r="C843" s="1" t="s">
        <v>3358</v>
      </c>
      <c r="D843" s="411" t="str">
        <f t="shared" si="29"/>
        <v>13-01</v>
      </c>
      <c r="E843" s="273" t="e">
        <f ca="1">_xludf.IFNA(VLOOKUP('Comp X - Kilter'!B843,'Kilter Holds'!$P$37:$AB$662,9,0),0)</f>
        <v>#NAME?</v>
      </c>
      <c r="F843" s="274"/>
      <c r="G843" s="274" t="e">
        <f t="shared" ca="1" si="24"/>
        <v>#NAME?</v>
      </c>
      <c r="H843" s="274">
        <f t="shared" si="25"/>
        <v>0</v>
      </c>
      <c r="K843" s="274"/>
    </row>
    <row r="844" spans="2:11" ht="13.5" customHeight="1">
      <c r="B844" s="1" t="s">
        <v>2105</v>
      </c>
      <c r="C844" s="1" t="s">
        <v>3358</v>
      </c>
      <c r="D844" s="413" t="str">
        <f t="shared" si="29"/>
        <v>07-13</v>
      </c>
      <c r="E844" s="273" t="e">
        <f ca="1">_xludf.IFNA(VLOOKUP('Comp X - Kilter'!B844,'Kilter Holds'!$P$37:$AB$662,10,0),0)</f>
        <v>#NAME?</v>
      </c>
      <c r="F844" s="274"/>
      <c r="G844" s="274" t="e">
        <f t="shared" ca="1" si="24"/>
        <v>#NAME?</v>
      </c>
      <c r="H844" s="274">
        <f t="shared" si="25"/>
        <v>0</v>
      </c>
      <c r="K844" s="274"/>
    </row>
    <row r="845" spans="2:11" ht="13.5" customHeight="1">
      <c r="B845" s="1" t="s">
        <v>2105</v>
      </c>
      <c r="C845" s="1" t="s">
        <v>3358</v>
      </c>
      <c r="D845" s="414" t="str">
        <f t="shared" si="29"/>
        <v>11-26</v>
      </c>
      <c r="E845" s="273" t="e">
        <f ca="1">_xludf.IFNA(VLOOKUP('Comp X - Kilter'!B845,'Kilter Holds'!$P$37:$AB$662,11,0),0)</f>
        <v>#NAME?</v>
      </c>
      <c r="F845" s="274"/>
      <c r="G845" s="274" t="e">
        <f t="shared" ca="1" si="24"/>
        <v>#NAME?</v>
      </c>
      <c r="H845" s="274">
        <f t="shared" si="25"/>
        <v>0</v>
      </c>
      <c r="K845" s="274"/>
    </row>
    <row r="846" spans="2:11" ht="13.5" customHeight="1">
      <c r="B846" s="1" t="s">
        <v>2105</v>
      </c>
      <c r="C846" s="1" t="s">
        <v>3358</v>
      </c>
      <c r="D846" s="415" t="str">
        <f t="shared" si="29"/>
        <v>18-01</v>
      </c>
      <c r="E846" s="273" t="e">
        <f ca="1">_xludf.IFNA(VLOOKUP('Comp X - Kilter'!B846,'Kilter Holds'!$P$37:$AB$662,12,0),0)</f>
        <v>#NAME?</v>
      </c>
      <c r="F846" s="274"/>
      <c r="G846" s="274" t="e">
        <f t="shared" ca="1" si="24"/>
        <v>#NAME?</v>
      </c>
      <c r="H846" s="274">
        <f t="shared" si="25"/>
        <v>0</v>
      </c>
      <c r="K846" s="274"/>
    </row>
    <row r="847" spans="2:11" ht="13.5" customHeight="1">
      <c r="B847" s="1" t="s">
        <v>2105</v>
      </c>
      <c r="C847" s="1" t="s">
        <v>3358</v>
      </c>
      <c r="D847" s="416" t="str">
        <f t="shared" si="29"/>
        <v>Color Code</v>
      </c>
      <c r="E847" s="273" t="e">
        <f ca="1">_xludf.IFNA(VLOOKUP('Comp X - Kilter'!B847,'Kilter Holds'!$P$37:$AB$662,13,0),0)</f>
        <v>#NAME?</v>
      </c>
      <c r="F847" s="274"/>
      <c r="G847" s="274" t="e">
        <f t="shared" ca="1" si="24"/>
        <v>#NAME?</v>
      </c>
      <c r="H847" s="274">
        <f t="shared" si="25"/>
        <v>0</v>
      </c>
      <c r="K847" s="274"/>
    </row>
    <row r="848" spans="2:11" ht="13.5" customHeight="1">
      <c r="B848" s="1" t="s">
        <v>2016</v>
      </c>
      <c r="C848" s="1" t="s">
        <v>3359</v>
      </c>
      <c r="D848" s="406" t="str">
        <f t="shared" ref="D848:D874" si="30">D587</f>
        <v>11-12</v>
      </c>
      <c r="E848" s="273" t="e">
        <f ca="1">_xludf.IFNA(VLOOKUP('Comp X - Kilter'!B848,'Kilter Holds'!$P$37:$AB$662,5,0),0)</f>
        <v>#NAME?</v>
      </c>
      <c r="F848" s="274"/>
      <c r="G848" s="274" t="e">
        <f t="shared" ca="1" si="24"/>
        <v>#NAME?</v>
      </c>
      <c r="H848" s="274">
        <f t="shared" si="25"/>
        <v>0</v>
      </c>
      <c r="K848" s="274"/>
    </row>
    <row r="849" spans="2:11" ht="13.5" customHeight="1">
      <c r="B849" s="1" t="s">
        <v>2016</v>
      </c>
      <c r="C849" s="1" t="s">
        <v>3359</v>
      </c>
      <c r="D849" s="408" t="str">
        <f t="shared" si="30"/>
        <v>14-01</v>
      </c>
      <c r="E849" s="273" t="e">
        <f ca="1">_xludf.IFNA(VLOOKUP('Comp X - Kilter'!B849,'Kilter Holds'!$P$37:$AB$662,6,0),0)</f>
        <v>#NAME?</v>
      </c>
      <c r="F849" s="274"/>
      <c r="G849" s="274" t="e">
        <f t="shared" ca="1" si="24"/>
        <v>#NAME?</v>
      </c>
      <c r="H849" s="274">
        <f t="shared" si="25"/>
        <v>0</v>
      </c>
      <c r="K849" s="274"/>
    </row>
    <row r="850" spans="2:11" ht="13.5" customHeight="1">
      <c r="B850" s="1" t="s">
        <v>2016</v>
      </c>
      <c r="C850" s="1" t="s">
        <v>3359</v>
      </c>
      <c r="D850" s="409" t="str">
        <f t="shared" si="30"/>
        <v>15-12</v>
      </c>
      <c r="E850" s="273" t="e">
        <f ca="1">_xludf.IFNA(VLOOKUP('Comp X - Kilter'!B850,'Kilter Holds'!$P$37:$AB$662,7,0),0)</f>
        <v>#NAME?</v>
      </c>
      <c r="F850" s="274"/>
      <c r="G850" s="274" t="e">
        <f t="shared" ca="1" si="24"/>
        <v>#NAME?</v>
      </c>
      <c r="H850" s="274">
        <f t="shared" si="25"/>
        <v>0</v>
      </c>
      <c r="K850" s="274"/>
    </row>
    <row r="851" spans="2:11" ht="13.5" customHeight="1">
      <c r="B851" s="1" t="s">
        <v>2016</v>
      </c>
      <c r="C851" s="1" t="s">
        <v>3359</v>
      </c>
      <c r="D851" s="410" t="str">
        <f t="shared" si="30"/>
        <v>16-16</v>
      </c>
      <c r="E851" s="273" t="e">
        <f ca="1">_xludf.IFNA(VLOOKUP('Comp X - Kilter'!B851,'Kilter Holds'!$P$37:$AB$662,8,0),0)</f>
        <v>#NAME?</v>
      </c>
      <c r="F851" s="274"/>
      <c r="G851" s="274" t="e">
        <f t="shared" ca="1" si="24"/>
        <v>#NAME?</v>
      </c>
      <c r="H851" s="274">
        <f t="shared" si="25"/>
        <v>0</v>
      </c>
      <c r="K851" s="274"/>
    </row>
    <row r="852" spans="2:11" ht="13.5" customHeight="1">
      <c r="B852" s="1" t="s">
        <v>2016</v>
      </c>
      <c r="C852" s="1" t="s">
        <v>3359</v>
      </c>
      <c r="D852" s="411" t="str">
        <f t="shared" si="30"/>
        <v>13-01</v>
      </c>
      <c r="E852" s="273" t="e">
        <f ca="1">_xludf.IFNA(VLOOKUP('Comp X - Kilter'!B852,'Kilter Holds'!$P$37:$AB$662,9,0),0)</f>
        <v>#NAME?</v>
      </c>
      <c r="F852" s="274"/>
      <c r="G852" s="274" t="e">
        <f t="shared" ca="1" si="24"/>
        <v>#NAME?</v>
      </c>
      <c r="H852" s="274">
        <f t="shared" si="25"/>
        <v>0</v>
      </c>
      <c r="K852" s="274"/>
    </row>
    <row r="853" spans="2:11" ht="13.5" customHeight="1">
      <c r="B853" s="1" t="s">
        <v>2016</v>
      </c>
      <c r="C853" s="1" t="s">
        <v>3359</v>
      </c>
      <c r="D853" s="413" t="str">
        <f t="shared" si="30"/>
        <v>07-13</v>
      </c>
      <c r="E853" s="273" t="e">
        <f ca="1">_xludf.IFNA(VLOOKUP('Comp X - Kilter'!B853,'Kilter Holds'!$P$37:$AB$662,10,0),0)</f>
        <v>#NAME?</v>
      </c>
      <c r="F853" s="274"/>
      <c r="G853" s="274" t="e">
        <f t="shared" ca="1" si="24"/>
        <v>#NAME?</v>
      </c>
      <c r="H853" s="274">
        <f t="shared" si="25"/>
        <v>0</v>
      </c>
      <c r="K853" s="274"/>
    </row>
    <row r="854" spans="2:11" ht="13.5" customHeight="1">
      <c r="B854" s="1" t="s">
        <v>2016</v>
      </c>
      <c r="C854" s="1" t="s">
        <v>3359</v>
      </c>
      <c r="D854" s="414" t="str">
        <f t="shared" si="30"/>
        <v>11-26</v>
      </c>
      <c r="E854" s="273" t="e">
        <f ca="1">_xludf.IFNA(VLOOKUP('Comp X - Kilter'!B854,'Kilter Holds'!$P$37:$AB$662,11,0),0)</f>
        <v>#NAME?</v>
      </c>
      <c r="F854" s="274"/>
      <c r="G854" s="274" t="e">
        <f t="shared" ca="1" si="24"/>
        <v>#NAME?</v>
      </c>
      <c r="H854" s="274">
        <f t="shared" si="25"/>
        <v>0</v>
      </c>
      <c r="K854" s="274"/>
    </row>
    <row r="855" spans="2:11" ht="13.5" customHeight="1">
      <c r="B855" s="1" t="s">
        <v>2016</v>
      </c>
      <c r="C855" s="1" t="s">
        <v>3359</v>
      </c>
      <c r="D855" s="415" t="str">
        <f t="shared" si="30"/>
        <v>18-01</v>
      </c>
      <c r="E855" s="273" t="e">
        <f ca="1">_xludf.IFNA(VLOOKUP('Comp X - Kilter'!B855,'Kilter Holds'!$P$37:$AB$662,12,0),0)</f>
        <v>#NAME?</v>
      </c>
      <c r="F855" s="274"/>
      <c r="G855" s="274" t="e">
        <f t="shared" ca="1" si="24"/>
        <v>#NAME?</v>
      </c>
      <c r="H855" s="274">
        <f t="shared" si="25"/>
        <v>0</v>
      </c>
      <c r="K855" s="274"/>
    </row>
    <row r="856" spans="2:11" ht="13.5" customHeight="1">
      <c r="B856" s="1" t="s">
        <v>2016</v>
      </c>
      <c r="C856" s="1" t="s">
        <v>3359</v>
      </c>
      <c r="D856" s="416" t="str">
        <f t="shared" si="30"/>
        <v>Color Code</v>
      </c>
      <c r="E856" s="273" t="e">
        <f ca="1">_xludf.IFNA(VLOOKUP('Comp X - Kilter'!B856,'Kilter Holds'!$P$37:$AB$662,13,0),0)</f>
        <v>#NAME?</v>
      </c>
      <c r="F856" s="274"/>
      <c r="G856" s="274" t="e">
        <f t="shared" ca="1" si="24"/>
        <v>#NAME?</v>
      </c>
      <c r="H856" s="274">
        <f t="shared" si="25"/>
        <v>0</v>
      </c>
      <c r="K856" s="274"/>
    </row>
    <row r="857" spans="2:11" ht="13.5" customHeight="1">
      <c r="B857" s="1" t="s">
        <v>2017</v>
      </c>
      <c r="C857" s="1" t="s">
        <v>3360</v>
      </c>
      <c r="D857" s="406" t="str">
        <f t="shared" si="30"/>
        <v>11-12</v>
      </c>
      <c r="E857" s="273" t="e">
        <f ca="1">_xludf.IFNA(VLOOKUP('Comp X - Kilter'!B857,'Kilter Holds'!$P$37:$AB$662,5,0),0)</f>
        <v>#NAME?</v>
      </c>
      <c r="F857" s="274"/>
      <c r="G857" s="274" t="e">
        <f t="shared" ca="1" si="24"/>
        <v>#NAME?</v>
      </c>
      <c r="H857" s="274">
        <f t="shared" si="25"/>
        <v>0</v>
      </c>
      <c r="K857" s="274"/>
    </row>
    <row r="858" spans="2:11" ht="13.5" customHeight="1">
      <c r="B858" s="1" t="s">
        <v>2017</v>
      </c>
      <c r="C858" s="1" t="s">
        <v>3360</v>
      </c>
      <c r="D858" s="408" t="str">
        <f t="shared" si="30"/>
        <v>14-01</v>
      </c>
      <c r="E858" s="273" t="e">
        <f ca="1">_xludf.IFNA(VLOOKUP('Comp X - Kilter'!B858,'Kilter Holds'!$P$37:$AB$662,6,0),0)</f>
        <v>#NAME?</v>
      </c>
      <c r="F858" s="274"/>
      <c r="G858" s="274" t="e">
        <f t="shared" ca="1" si="24"/>
        <v>#NAME?</v>
      </c>
      <c r="H858" s="274">
        <f t="shared" si="25"/>
        <v>0</v>
      </c>
      <c r="K858" s="274"/>
    </row>
    <row r="859" spans="2:11" ht="13.5" customHeight="1">
      <c r="B859" s="1" t="s">
        <v>2017</v>
      </c>
      <c r="C859" s="1" t="s">
        <v>3360</v>
      </c>
      <c r="D859" s="409" t="str">
        <f t="shared" si="30"/>
        <v>15-12</v>
      </c>
      <c r="E859" s="273" t="e">
        <f ca="1">_xludf.IFNA(VLOOKUP('Comp X - Kilter'!B859,'Kilter Holds'!$P$37:$AB$662,7,0),0)</f>
        <v>#NAME?</v>
      </c>
      <c r="F859" s="274"/>
      <c r="G859" s="274" t="e">
        <f t="shared" ca="1" si="24"/>
        <v>#NAME?</v>
      </c>
      <c r="H859" s="274">
        <f t="shared" si="25"/>
        <v>0</v>
      </c>
      <c r="K859" s="274"/>
    </row>
    <row r="860" spans="2:11" ht="13.5" customHeight="1">
      <c r="B860" s="1" t="s">
        <v>2017</v>
      </c>
      <c r="C860" s="1" t="s">
        <v>3360</v>
      </c>
      <c r="D860" s="410" t="str">
        <f t="shared" si="30"/>
        <v>16-16</v>
      </c>
      <c r="E860" s="273" t="e">
        <f ca="1">_xludf.IFNA(VLOOKUP('Comp X - Kilter'!B860,'Kilter Holds'!$P$37:$AB$662,8,0),0)</f>
        <v>#NAME?</v>
      </c>
      <c r="F860" s="274"/>
      <c r="G860" s="274" t="e">
        <f t="shared" ca="1" si="24"/>
        <v>#NAME?</v>
      </c>
      <c r="H860" s="274">
        <f t="shared" si="25"/>
        <v>0</v>
      </c>
      <c r="K860" s="274"/>
    </row>
    <row r="861" spans="2:11" ht="13.5" customHeight="1">
      <c r="B861" s="1" t="s">
        <v>2017</v>
      </c>
      <c r="C861" s="1" t="s">
        <v>3360</v>
      </c>
      <c r="D861" s="411" t="str">
        <f t="shared" si="30"/>
        <v>13-01</v>
      </c>
      <c r="E861" s="273" t="e">
        <f ca="1">_xludf.IFNA(VLOOKUP('Comp X - Kilter'!B861,'Kilter Holds'!$P$37:$AB$662,9,0),0)</f>
        <v>#NAME?</v>
      </c>
      <c r="F861" s="274"/>
      <c r="G861" s="274" t="e">
        <f t="shared" ca="1" si="24"/>
        <v>#NAME?</v>
      </c>
      <c r="H861" s="274">
        <f t="shared" si="25"/>
        <v>0</v>
      </c>
      <c r="K861" s="274"/>
    </row>
    <row r="862" spans="2:11" ht="13.5" customHeight="1">
      <c r="B862" s="1" t="s">
        <v>2017</v>
      </c>
      <c r="C862" s="1" t="s">
        <v>3360</v>
      </c>
      <c r="D862" s="413" t="str">
        <f t="shared" si="30"/>
        <v>07-13</v>
      </c>
      <c r="E862" s="273" t="e">
        <f ca="1">_xludf.IFNA(VLOOKUP('Comp X - Kilter'!B862,'Kilter Holds'!$P$37:$AB$662,10,0),0)</f>
        <v>#NAME?</v>
      </c>
      <c r="F862" s="274"/>
      <c r="G862" s="274" t="e">
        <f t="shared" ca="1" si="24"/>
        <v>#NAME?</v>
      </c>
      <c r="H862" s="274">
        <f t="shared" si="25"/>
        <v>0</v>
      </c>
      <c r="K862" s="274"/>
    </row>
    <row r="863" spans="2:11" ht="13.5" customHeight="1">
      <c r="B863" s="1" t="s">
        <v>2017</v>
      </c>
      <c r="C863" s="1" t="s">
        <v>3360</v>
      </c>
      <c r="D863" s="414" t="str">
        <f t="shared" si="30"/>
        <v>11-26</v>
      </c>
      <c r="E863" s="273" t="e">
        <f ca="1">_xludf.IFNA(VLOOKUP('Comp X - Kilter'!B863,'Kilter Holds'!$P$37:$AB$662,11,0),0)</f>
        <v>#NAME?</v>
      </c>
      <c r="F863" s="274"/>
      <c r="G863" s="274" t="e">
        <f t="shared" ca="1" si="24"/>
        <v>#NAME?</v>
      </c>
      <c r="H863" s="274">
        <f t="shared" si="25"/>
        <v>0</v>
      </c>
      <c r="K863" s="274"/>
    </row>
    <row r="864" spans="2:11" ht="13.5" customHeight="1">
      <c r="B864" s="1" t="s">
        <v>2017</v>
      </c>
      <c r="C864" s="1" t="s">
        <v>3360</v>
      </c>
      <c r="D864" s="415" t="str">
        <f t="shared" si="30"/>
        <v>18-01</v>
      </c>
      <c r="E864" s="273" t="e">
        <f ca="1">_xludf.IFNA(VLOOKUP('Comp X - Kilter'!B864,'Kilter Holds'!$P$37:$AB$662,12,0),0)</f>
        <v>#NAME?</v>
      </c>
      <c r="F864" s="274"/>
      <c r="G864" s="274" t="e">
        <f t="shared" ca="1" si="24"/>
        <v>#NAME?</v>
      </c>
      <c r="H864" s="274">
        <f t="shared" si="25"/>
        <v>0</v>
      </c>
      <c r="K864" s="274"/>
    </row>
    <row r="865" spans="1:11" ht="13.5" customHeight="1">
      <c r="B865" s="1" t="s">
        <v>2017</v>
      </c>
      <c r="C865" s="1" t="s">
        <v>3360</v>
      </c>
      <c r="D865" s="416" t="str">
        <f t="shared" si="30"/>
        <v>Color Code</v>
      </c>
      <c r="E865" s="273" t="e">
        <f ca="1">_xludf.IFNA(VLOOKUP('Comp X - Kilter'!B865,'Kilter Holds'!$P$37:$AB$662,13,0),0)</f>
        <v>#NAME?</v>
      </c>
      <c r="F865" s="274"/>
      <c r="G865" s="274" t="e">
        <f t="shared" ca="1" si="24"/>
        <v>#NAME?</v>
      </c>
      <c r="H865" s="274">
        <f t="shared" si="25"/>
        <v>0</v>
      </c>
      <c r="K865" s="274"/>
    </row>
    <row r="866" spans="1:11" ht="13.5" customHeight="1">
      <c r="B866" s="1" t="s">
        <v>2018</v>
      </c>
      <c r="C866" s="1" t="s">
        <v>3361</v>
      </c>
      <c r="D866" s="406" t="str">
        <f t="shared" si="30"/>
        <v>11-12</v>
      </c>
      <c r="E866" s="273" t="e">
        <f ca="1">_xludf.IFNA(VLOOKUP('Comp X - Kilter'!B866,'Kilter Holds'!$P$37:$AB$662,5,0),0)</f>
        <v>#NAME?</v>
      </c>
      <c r="F866" s="274"/>
      <c r="G866" s="274" t="e">
        <f t="shared" ca="1" si="24"/>
        <v>#NAME?</v>
      </c>
      <c r="H866" s="274">
        <f t="shared" si="25"/>
        <v>0</v>
      </c>
      <c r="K866" s="274"/>
    </row>
    <row r="867" spans="1:11" ht="13.5" customHeight="1">
      <c r="B867" s="1" t="s">
        <v>2018</v>
      </c>
      <c r="C867" s="1" t="s">
        <v>3361</v>
      </c>
      <c r="D867" s="408" t="str">
        <f t="shared" si="30"/>
        <v>14-01</v>
      </c>
      <c r="E867" s="273" t="e">
        <f ca="1">_xludf.IFNA(VLOOKUP('Comp X - Kilter'!B867,'Kilter Holds'!$P$37:$AB$662,6,0),0)</f>
        <v>#NAME?</v>
      </c>
      <c r="F867" s="274"/>
      <c r="G867" s="274" t="e">
        <f t="shared" ca="1" si="24"/>
        <v>#NAME?</v>
      </c>
      <c r="H867" s="274">
        <f t="shared" si="25"/>
        <v>0</v>
      </c>
      <c r="K867" s="274"/>
    </row>
    <row r="868" spans="1:11" ht="13.5" customHeight="1">
      <c r="B868" s="1" t="s">
        <v>2018</v>
      </c>
      <c r="C868" s="1" t="s">
        <v>3361</v>
      </c>
      <c r="D868" s="409" t="str">
        <f t="shared" si="30"/>
        <v>15-12</v>
      </c>
      <c r="E868" s="273" t="e">
        <f ca="1">_xludf.IFNA(VLOOKUP('Comp X - Kilter'!B868,'Kilter Holds'!$P$37:$AB$662,7,0),0)</f>
        <v>#NAME?</v>
      </c>
      <c r="F868" s="274"/>
      <c r="G868" s="274" t="e">
        <f t="shared" ca="1" si="24"/>
        <v>#NAME?</v>
      </c>
      <c r="H868" s="274">
        <f t="shared" si="25"/>
        <v>0</v>
      </c>
      <c r="K868" s="274"/>
    </row>
    <row r="869" spans="1:11" ht="13.5" customHeight="1">
      <c r="B869" s="1" t="s">
        <v>2018</v>
      </c>
      <c r="C869" s="1" t="s">
        <v>3361</v>
      </c>
      <c r="D869" s="410" t="str">
        <f t="shared" si="30"/>
        <v>16-16</v>
      </c>
      <c r="E869" s="273" t="e">
        <f ca="1">_xludf.IFNA(VLOOKUP('Comp X - Kilter'!B869,'Kilter Holds'!$P$37:$AB$662,8,0),0)</f>
        <v>#NAME?</v>
      </c>
      <c r="F869" s="274"/>
      <c r="G869" s="274" t="e">
        <f t="shared" ca="1" si="24"/>
        <v>#NAME?</v>
      </c>
      <c r="H869" s="274">
        <f t="shared" si="25"/>
        <v>0</v>
      </c>
      <c r="K869" s="274"/>
    </row>
    <row r="870" spans="1:11" ht="13.5" customHeight="1">
      <c r="B870" s="1" t="s">
        <v>2018</v>
      </c>
      <c r="C870" s="1" t="s">
        <v>3361</v>
      </c>
      <c r="D870" s="411" t="str">
        <f t="shared" si="30"/>
        <v>13-01</v>
      </c>
      <c r="E870" s="273" t="e">
        <f ca="1">_xludf.IFNA(VLOOKUP('Comp X - Kilter'!B870,'Kilter Holds'!$P$37:$AB$662,9,0),0)</f>
        <v>#NAME?</v>
      </c>
      <c r="F870" s="274"/>
      <c r="G870" s="274" t="e">
        <f t="shared" ca="1" si="24"/>
        <v>#NAME?</v>
      </c>
      <c r="H870" s="274">
        <f t="shared" si="25"/>
        <v>0</v>
      </c>
      <c r="K870" s="274"/>
    </row>
    <row r="871" spans="1:11" ht="13.5" customHeight="1">
      <c r="B871" s="1" t="s">
        <v>2018</v>
      </c>
      <c r="C871" s="1" t="s">
        <v>3361</v>
      </c>
      <c r="D871" s="413" t="str">
        <f t="shared" si="30"/>
        <v>07-13</v>
      </c>
      <c r="E871" s="273" t="e">
        <f ca="1">_xludf.IFNA(VLOOKUP('Comp X - Kilter'!B871,'Kilter Holds'!$P$37:$AB$662,10,0),0)</f>
        <v>#NAME?</v>
      </c>
      <c r="F871" s="274"/>
      <c r="G871" s="274" t="e">
        <f t="shared" ca="1" si="24"/>
        <v>#NAME?</v>
      </c>
      <c r="H871" s="274">
        <f t="shared" si="25"/>
        <v>0</v>
      </c>
      <c r="K871" s="274"/>
    </row>
    <row r="872" spans="1:11" ht="13.5" customHeight="1">
      <c r="B872" s="1" t="s">
        <v>2018</v>
      </c>
      <c r="C872" s="1" t="s">
        <v>3361</v>
      </c>
      <c r="D872" s="414" t="str">
        <f t="shared" si="30"/>
        <v>11-26</v>
      </c>
      <c r="E872" s="273" t="e">
        <f ca="1">_xludf.IFNA(VLOOKUP('Comp X - Kilter'!B872,'Kilter Holds'!$P$37:$AB$662,11,0),0)</f>
        <v>#NAME?</v>
      </c>
      <c r="F872" s="274"/>
      <c r="G872" s="274" t="e">
        <f t="shared" ca="1" si="24"/>
        <v>#NAME?</v>
      </c>
      <c r="H872" s="274">
        <f t="shared" si="25"/>
        <v>0</v>
      </c>
      <c r="K872" s="274"/>
    </row>
    <row r="873" spans="1:11" ht="13.5" customHeight="1">
      <c r="B873" s="1" t="s">
        <v>2018</v>
      </c>
      <c r="C873" s="1" t="s">
        <v>3361</v>
      </c>
      <c r="D873" s="415" t="str">
        <f t="shared" si="30"/>
        <v>18-01</v>
      </c>
      <c r="E873" s="273" t="e">
        <f ca="1">_xludf.IFNA(VLOOKUP('Comp X - Kilter'!B873,'Kilter Holds'!$P$37:$AB$662,12,0),0)</f>
        <v>#NAME?</v>
      </c>
      <c r="F873" s="274"/>
      <c r="G873" s="274" t="e">
        <f t="shared" ca="1" si="24"/>
        <v>#NAME?</v>
      </c>
      <c r="H873" s="274">
        <f t="shared" si="25"/>
        <v>0</v>
      </c>
      <c r="K873" s="274"/>
    </row>
    <row r="874" spans="1:11" ht="13.5" customHeight="1">
      <c r="B874" s="1" t="s">
        <v>2018</v>
      </c>
      <c r="C874" s="1" t="s">
        <v>3361</v>
      </c>
      <c r="D874" s="416" t="str">
        <f t="shared" si="30"/>
        <v>Color Code</v>
      </c>
      <c r="E874" s="273" t="e">
        <f ca="1">_xludf.IFNA(VLOOKUP('Comp X - Kilter'!B874,'Kilter Holds'!$P$37:$AB$662,13,0),0)</f>
        <v>#NAME?</v>
      </c>
      <c r="F874" s="274"/>
      <c r="G874" s="274" t="e">
        <f t="shared" ca="1" si="24"/>
        <v>#NAME?</v>
      </c>
      <c r="H874" s="274">
        <f t="shared" si="25"/>
        <v>0</v>
      </c>
      <c r="K874" s="274"/>
    </row>
    <row r="875" spans="1:11" ht="13.5" customHeight="1">
      <c r="A875" s="1" t="s">
        <v>2021</v>
      </c>
      <c r="B875" s="1" t="s">
        <v>2019</v>
      </c>
      <c r="C875" s="1" t="s">
        <v>3362</v>
      </c>
      <c r="D875" s="406" t="str">
        <f t="shared" ref="D875:D910" si="31">D803</f>
        <v>11-12</v>
      </c>
      <c r="E875" s="273" t="e">
        <f ca="1">_xludf.IFNA(VLOOKUP(B875,'Kilter Holds'!$P$37:$AB$662,5,0),0)+_xludf.IFNA(VLOOKUP(A875,'Kilter Holds'!$P$37:$AB$662,5,0),0)</f>
        <v>#NAME?</v>
      </c>
      <c r="F875" s="274"/>
      <c r="G875" s="274" t="e">
        <f t="shared" ca="1" si="24"/>
        <v>#NAME?</v>
      </c>
      <c r="H875" s="274">
        <f t="shared" si="25"/>
        <v>0</v>
      </c>
      <c r="K875" s="274"/>
    </row>
    <row r="876" spans="1:11" ht="13.5" customHeight="1">
      <c r="A876" s="1" t="s">
        <v>2021</v>
      </c>
      <c r="B876" s="1" t="s">
        <v>2019</v>
      </c>
      <c r="C876" s="1" t="s">
        <v>3362</v>
      </c>
      <c r="D876" s="408" t="str">
        <f t="shared" si="31"/>
        <v>14-01</v>
      </c>
      <c r="E876" s="273" t="e">
        <f ca="1">_xludf.IFNA(VLOOKUP(B876,'Kilter Holds'!$P$37:$AB$662,6,0),0)+_xludf.IFNA(VLOOKUP(A876,'Kilter Holds'!$P$37:$AB$662,6,0),0)</f>
        <v>#NAME?</v>
      </c>
      <c r="F876" s="274"/>
      <c r="G876" s="274" t="e">
        <f t="shared" ca="1" si="24"/>
        <v>#NAME?</v>
      </c>
      <c r="H876" s="274">
        <f t="shared" si="25"/>
        <v>0</v>
      </c>
      <c r="K876" s="274"/>
    </row>
    <row r="877" spans="1:11" ht="13.5" customHeight="1">
      <c r="A877" s="1" t="s">
        <v>2021</v>
      </c>
      <c r="B877" s="1" t="s">
        <v>2019</v>
      </c>
      <c r="C877" s="1" t="s">
        <v>3362</v>
      </c>
      <c r="D877" s="409" t="str">
        <f t="shared" si="31"/>
        <v>15-12</v>
      </c>
      <c r="E877" s="273" t="e">
        <f ca="1">_xludf.IFNA(VLOOKUP(B877,'Kilter Holds'!$P$37:$AB$662,7,0),0)+_xludf.IFNA(VLOOKUP(A877,'Kilter Holds'!$P$37:$AB$662,7,0),0)</f>
        <v>#NAME?</v>
      </c>
      <c r="F877" s="274"/>
      <c r="G877" s="274" t="e">
        <f t="shared" ca="1" si="24"/>
        <v>#NAME?</v>
      </c>
      <c r="H877" s="274">
        <f t="shared" si="25"/>
        <v>0</v>
      </c>
      <c r="K877" s="274"/>
    </row>
    <row r="878" spans="1:11" ht="13.5" customHeight="1">
      <c r="A878" s="1" t="s">
        <v>2021</v>
      </c>
      <c r="B878" s="1" t="s">
        <v>2019</v>
      </c>
      <c r="C878" s="1" t="s">
        <v>3362</v>
      </c>
      <c r="D878" s="410" t="str">
        <f t="shared" si="31"/>
        <v>16-16</v>
      </c>
      <c r="E878" s="273" t="e">
        <f ca="1">_xludf.IFNA(VLOOKUP(B878,'Kilter Holds'!$P$37:$AB$662,8,0),0)+_xludf.IFNA(VLOOKUP(A878,'Kilter Holds'!$P$37:$AB$662,8,0),0)</f>
        <v>#NAME?</v>
      </c>
      <c r="F878" s="274"/>
      <c r="G878" s="274" t="e">
        <f t="shared" ca="1" si="24"/>
        <v>#NAME?</v>
      </c>
      <c r="H878" s="274">
        <f t="shared" si="25"/>
        <v>0</v>
      </c>
      <c r="K878" s="274"/>
    </row>
    <row r="879" spans="1:11" ht="13.5" customHeight="1">
      <c r="A879" s="1" t="s">
        <v>2021</v>
      </c>
      <c r="B879" s="1" t="s">
        <v>2019</v>
      </c>
      <c r="C879" s="1" t="s">
        <v>3362</v>
      </c>
      <c r="D879" s="411" t="str">
        <f t="shared" si="31"/>
        <v>13-01</v>
      </c>
      <c r="E879" s="273" t="e">
        <f ca="1">_xludf.IFNA(VLOOKUP(B879,'Kilter Holds'!$P$37:$AB$662,9,0),0)+_xludf.IFNA(VLOOKUP(A879,'Kilter Holds'!$P$37:$AB$662,9,0),0)</f>
        <v>#NAME?</v>
      </c>
      <c r="F879" s="274"/>
      <c r="G879" s="274" t="e">
        <f t="shared" ca="1" si="24"/>
        <v>#NAME?</v>
      </c>
      <c r="H879" s="274">
        <f t="shared" si="25"/>
        <v>0</v>
      </c>
      <c r="K879" s="274"/>
    </row>
    <row r="880" spans="1:11" ht="13.5" customHeight="1">
      <c r="A880" s="1" t="s">
        <v>2021</v>
      </c>
      <c r="B880" s="1" t="s">
        <v>2019</v>
      </c>
      <c r="C880" s="1" t="s">
        <v>3362</v>
      </c>
      <c r="D880" s="413" t="str">
        <f t="shared" si="31"/>
        <v>07-13</v>
      </c>
      <c r="E880" s="273" t="e">
        <f ca="1">_xludf.IFNA(VLOOKUP(B880,'Kilter Holds'!$P$37:$AB$662,10,0),0)+_xludf.IFNA(VLOOKUP(A880,'Kilter Holds'!$P$37:$AB$662,10,0),0)</f>
        <v>#NAME?</v>
      </c>
      <c r="F880" s="274"/>
      <c r="G880" s="274" t="e">
        <f t="shared" ca="1" si="24"/>
        <v>#NAME?</v>
      </c>
      <c r="H880" s="274">
        <f t="shared" si="25"/>
        <v>0</v>
      </c>
      <c r="K880" s="274"/>
    </row>
    <row r="881" spans="1:11" ht="13.5" customHeight="1">
      <c r="A881" s="1" t="s">
        <v>2021</v>
      </c>
      <c r="B881" s="1" t="s">
        <v>2019</v>
      </c>
      <c r="C881" s="1" t="s">
        <v>3362</v>
      </c>
      <c r="D881" s="414" t="str">
        <f t="shared" si="31"/>
        <v>11-26</v>
      </c>
      <c r="E881" s="273" t="e">
        <f ca="1">_xludf.IFNA(VLOOKUP(B881,'Kilter Holds'!$P$37:$AB$662,11,0),0)+_xludf.IFNA(VLOOKUP(A881,'Kilter Holds'!$P$37:$AB$662,11,0),0)</f>
        <v>#NAME?</v>
      </c>
      <c r="F881" s="274"/>
      <c r="G881" s="274" t="e">
        <f t="shared" ca="1" si="24"/>
        <v>#NAME?</v>
      </c>
      <c r="H881" s="274">
        <f t="shared" si="25"/>
        <v>0</v>
      </c>
      <c r="K881" s="274"/>
    </row>
    <row r="882" spans="1:11" ht="13.5" customHeight="1">
      <c r="A882" s="1" t="s">
        <v>2021</v>
      </c>
      <c r="B882" s="1" t="s">
        <v>2019</v>
      </c>
      <c r="C882" s="1" t="s">
        <v>3362</v>
      </c>
      <c r="D882" s="415" t="str">
        <f t="shared" si="31"/>
        <v>18-01</v>
      </c>
      <c r="E882" s="273" t="e">
        <f ca="1">_xludf.IFNA(VLOOKUP(B882,'Kilter Holds'!$P$37:$AB$662,12,0),0)+_xludf.IFNA(VLOOKUP(A882,'Kilter Holds'!$P$37:$AB$662,12,0),0)</f>
        <v>#NAME?</v>
      </c>
      <c r="F882" s="274"/>
      <c r="G882" s="274" t="e">
        <f t="shared" ca="1" si="24"/>
        <v>#NAME?</v>
      </c>
      <c r="H882" s="274">
        <f t="shared" si="25"/>
        <v>0</v>
      </c>
      <c r="K882" s="274"/>
    </row>
    <row r="883" spans="1:11" ht="13.5" customHeight="1">
      <c r="A883" s="1" t="s">
        <v>2021</v>
      </c>
      <c r="B883" s="1" t="s">
        <v>2019</v>
      </c>
      <c r="C883" s="1" t="s">
        <v>3362</v>
      </c>
      <c r="D883" s="416" t="str">
        <f t="shared" si="31"/>
        <v>Color Code</v>
      </c>
      <c r="E883" s="273" t="e">
        <f ca="1">_xludf.IFNA(VLOOKUP(B883,'Kilter Holds'!$P$37:$AB$662,13,0),0)+_xludf.IFNA(VLOOKUP(A883,'Kilter Holds'!$P$37:$AB$662,13,0),0)</f>
        <v>#NAME?</v>
      </c>
      <c r="F883" s="274"/>
      <c r="G883" s="274" t="e">
        <f t="shared" ca="1" si="24"/>
        <v>#NAME?</v>
      </c>
      <c r="H883" s="274">
        <f t="shared" si="25"/>
        <v>0</v>
      </c>
      <c r="K883" s="274"/>
    </row>
    <row r="884" spans="1:11" ht="13.5" customHeight="1">
      <c r="A884" s="1" t="s">
        <v>2021</v>
      </c>
      <c r="B884" s="1" t="s">
        <v>2020</v>
      </c>
      <c r="C884" s="1" t="s">
        <v>3363</v>
      </c>
      <c r="D884" s="406" t="str">
        <f t="shared" si="31"/>
        <v>11-12</v>
      </c>
      <c r="E884" s="273" t="e">
        <f ca="1">_xludf.IFNA(VLOOKUP(B884,'Kilter Holds'!$P$37:$AB$662,5,0),0)+_xludf.IFNA(VLOOKUP(A884,'Kilter Holds'!$P$37:$AB$662,5,0),0)</f>
        <v>#NAME?</v>
      </c>
      <c r="F884" s="274"/>
      <c r="G884" s="274" t="e">
        <f t="shared" ca="1" si="24"/>
        <v>#NAME?</v>
      </c>
      <c r="H884" s="274">
        <f t="shared" si="25"/>
        <v>0</v>
      </c>
      <c r="K884" s="274"/>
    </row>
    <row r="885" spans="1:11" ht="13.5" customHeight="1">
      <c r="A885" s="1" t="s">
        <v>2021</v>
      </c>
      <c r="B885" s="1" t="s">
        <v>2020</v>
      </c>
      <c r="C885" s="1" t="s">
        <v>3363</v>
      </c>
      <c r="D885" s="408" t="str">
        <f t="shared" si="31"/>
        <v>14-01</v>
      </c>
      <c r="E885" s="273" t="e">
        <f ca="1">_xludf.IFNA(VLOOKUP(B885,'Kilter Holds'!$P$37:$AB$662,6,0),0)+_xludf.IFNA(VLOOKUP(A885,'Kilter Holds'!$P$37:$AB$662,6,0),0)</f>
        <v>#NAME?</v>
      </c>
      <c r="F885" s="274"/>
      <c r="G885" s="274" t="e">
        <f t="shared" ca="1" si="24"/>
        <v>#NAME?</v>
      </c>
      <c r="H885" s="274">
        <f t="shared" si="25"/>
        <v>0</v>
      </c>
      <c r="K885" s="274"/>
    </row>
    <row r="886" spans="1:11" ht="13.5" customHeight="1">
      <c r="A886" s="1" t="s">
        <v>2021</v>
      </c>
      <c r="B886" s="1" t="s">
        <v>2020</v>
      </c>
      <c r="C886" s="1" t="s">
        <v>3363</v>
      </c>
      <c r="D886" s="409" t="str">
        <f t="shared" si="31"/>
        <v>15-12</v>
      </c>
      <c r="E886" s="273" t="e">
        <f ca="1">_xludf.IFNA(VLOOKUP(B886,'Kilter Holds'!$P$37:$AB$662,7,0),0)+_xludf.IFNA(VLOOKUP(A886,'Kilter Holds'!$P$37:$AB$662,7,0),0)</f>
        <v>#NAME?</v>
      </c>
      <c r="F886" s="274"/>
      <c r="G886" s="274" t="e">
        <f t="shared" ca="1" si="24"/>
        <v>#NAME?</v>
      </c>
      <c r="H886" s="274">
        <f t="shared" si="25"/>
        <v>0</v>
      </c>
      <c r="K886" s="274"/>
    </row>
    <row r="887" spans="1:11" ht="13.5" customHeight="1">
      <c r="A887" s="1" t="s">
        <v>2021</v>
      </c>
      <c r="B887" s="1" t="s">
        <v>2020</v>
      </c>
      <c r="C887" s="1" t="s">
        <v>3363</v>
      </c>
      <c r="D887" s="410" t="str">
        <f t="shared" si="31"/>
        <v>16-16</v>
      </c>
      <c r="E887" s="273" t="e">
        <f ca="1">_xludf.IFNA(VLOOKUP(B887,'Kilter Holds'!$P$37:$AB$662,8,0),0)+_xludf.IFNA(VLOOKUP(A887,'Kilter Holds'!$P$37:$AB$662,8,0),0)</f>
        <v>#NAME?</v>
      </c>
      <c r="F887" s="274"/>
      <c r="G887" s="274" t="e">
        <f t="shared" ca="1" si="24"/>
        <v>#NAME?</v>
      </c>
      <c r="H887" s="274">
        <f t="shared" si="25"/>
        <v>0</v>
      </c>
      <c r="K887" s="274"/>
    </row>
    <row r="888" spans="1:11" ht="13.5" customHeight="1">
      <c r="A888" s="1" t="s">
        <v>2021</v>
      </c>
      <c r="B888" s="1" t="s">
        <v>2020</v>
      </c>
      <c r="C888" s="1" t="s">
        <v>3363</v>
      </c>
      <c r="D888" s="411" t="str">
        <f t="shared" si="31"/>
        <v>13-01</v>
      </c>
      <c r="E888" s="273" t="e">
        <f ca="1">_xludf.IFNA(VLOOKUP(B888,'Kilter Holds'!$P$37:$AB$662,9,0),0)+_xludf.IFNA(VLOOKUP(A888,'Kilter Holds'!$P$37:$AB$662,9,0),0)</f>
        <v>#NAME?</v>
      </c>
      <c r="F888" s="274"/>
      <c r="G888" s="274" t="e">
        <f t="shared" ca="1" si="24"/>
        <v>#NAME?</v>
      </c>
      <c r="H888" s="274">
        <f t="shared" si="25"/>
        <v>0</v>
      </c>
      <c r="K888" s="274"/>
    </row>
    <row r="889" spans="1:11" ht="13.5" customHeight="1">
      <c r="A889" s="1" t="s">
        <v>2021</v>
      </c>
      <c r="B889" s="1" t="s">
        <v>2020</v>
      </c>
      <c r="C889" s="1" t="s">
        <v>3363</v>
      </c>
      <c r="D889" s="413" t="str">
        <f t="shared" si="31"/>
        <v>07-13</v>
      </c>
      <c r="E889" s="273" t="e">
        <f ca="1">_xludf.IFNA(VLOOKUP(B889,'Kilter Holds'!$P$37:$AB$662,10,0),0)+_xludf.IFNA(VLOOKUP(A889,'Kilter Holds'!$P$37:$AB$662,10,0),0)</f>
        <v>#NAME?</v>
      </c>
      <c r="F889" s="274"/>
      <c r="G889" s="274" t="e">
        <f t="shared" ca="1" si="24"/>
        <v>#NAME?</v>
      </c>
      <c r="H889" s="274">
        <f t="shared" si="25"/>
        <v>0</v>
      </c>
      <c r="K889" s="274"/>
    </row>
    <row r="890" spans="1:11" ht="13.5" customHeight="1">
      <c r="A890" s="1" t="s">
        <v>2021</v>
      </c>
      <c r="B890" s="1" t="s">
        <v>2020</v>
      </c>
      <c r="C890" s="1" t="s">
        <v>3363</v>
      </c>
      <c r="D890" s="414" t="str">
        <f t="shared" si="31"/>
        <v>11-26</v>
      </c>
      <c r="E890" s="273" t="e">
        <f ca="1">_xludf.IFNA(VLOOKUP(B890,'Kilter Holds'!$P$37:$AB$662,11,0),0)+_xludf.IFNA(VLOOKUP(A890,'Kilter Holds'!$P$37:$AB$662,11,0),0)</f>
        <v>#NAME?</v>
      </c>
      <c r="F890" s="274"/>
      <c r="G890" s="274" t="e">
        <f t="shared" ca="1" si="24"/>
        <v>#NAME?</v>
      </c>
      <c r="H890" s="274">
        <f t="shared" si="25"/>
        <v>0</v>
      </c>
      <c r="K890" s="274"/>
    </row>
    <row r="891" spans="1:11" ht="13.5" customHeight="1">
      <c r="A891" s="1" t="s">
        <v>2021</v>
      </c>
      <c r="B891" s="1" t="s">
        <v>2020</v>
      </c>
      <c r="C891" s="1" t="s">
        <v>3363</v>
      </c>
      <c r="D891" s="415" t="str">
        <f t="shared" si="31"/>
        <v>18-01</v>
      </c>
      <c r="E891" s="273" t="e">
        <f ca="1">_xludf.IFNA(VLOOKUP(B891,'Kilter Holds'!$P$37:$AB$662,12,0),0)+_xludf.IFNA(VLOOKUP(A891,'Kilter Holds'!$P$37:$AB$662,12,0),0)</f>
        <v>#NAME?</v>
      </c>
      <c r="F891" s="274"/>
      <c r="G891" s="274" t="e">
        <f t="shared" ca="1" si="24"/>
        <v>#NAME?</v>
      </c>
      <c r="H891" s="274">
        <f t="shared" si="25"/>
        <v>0</v>
      </c>
      <c r="K891" s="274"/>
    </row>
    <row r="892" spans="1:11" ht="13.5" customHeight="1">
      <c r="A892" s="1" t="s">
        <v>2021</v>
      </c>
      <c r="B892" s="1" t="s">
        <v>2020</v>
      </c>
      <c r="C892" s="1" t="s">
        <v>3363</v>
      </c>
      <c r="D892" s="416" t="str">
        <f t="shared" si="31"/>
        <v>Color Code</v>
      </c>
      <c r="E892" s="273" t="e">
        <f ca="1">_xludf.IFNA(VLOOKUP(B892,'Kilter Holds'!$P$37:$AB$662,13,0),0)+_xludf.IFNA(VLOOKUP(A892,'Kilter Holds'!$P$37:$AB$662,13,0),0)</f>
        <v>#NAME?</v>
      </c>
      <c r="F892" s="274"/>
      <c r="G892" s="274" t="e">
        <f t="shared" ca="1" si="24"/>
        <v>#NAME?</v>
      </c>
      <c r="H892" s="274">
        <f t="shared" si="25"/>
        <v>0</v>
      </c>
      <c r="K892" s="274"/>
    </row>
    <row r="893" spans="1:11" ht="13.5" customHeight="1">
      <c r="A893" s="1" t="s">
        <v>2024</v>
      </c>
      <c r="B893" s="1" t="s">
        <v>2022</v>
      </c>
      <c r="C893" s="1" t="s">
        <v>3364</v>
      </c>
      <c r="D893" s="406" t="str">
        <f t="shared" si="31"/>
        <v>11-12</v>
      </c>
      <c r="E893" s="273" t="e">
        <f ca="1">_xludf.IFNA(VLOOKUP(B893,'Kilter Holds'!$P$37:$AB$662,5,0),0)+_xludf.IFNA(VLOOKUP(A893,'Kilter Holds'!$P$37:$AB$662,5,0),0)</f>
        <v>#NAME?</v>
      </c>
      <c r="F893" s="274"/>
      <c r="G893" s="274" t="e">
        <f t="shared" ca="1" si="24"/>
        <v>#NAME?</v>
      </c>
      <c r="H893" s="274">
        <f t="shared" si="25"/>
        <v>0</v>
      </c>
      <c r="K893" s="274"/>
    </row>
    <row r="894" spans="1:11" ht="13.5" customHeight="1">
      <c r="A894" s="1" t="s">
        <v>2024</v>
      </c>
      <c r="B894" s="1" t="s">
        <v>2022</v>
      </c>
      <c r="C894" s="1" t="s">
        <v>3364</v>
      </c>
      <c r="D894" s="408" t="str">
        <f t="shared" si="31"/>
        <v>14-01</v>
      </c>
      <c r="E894" s="273" t="e">
        <f ca="1">_xludf.IFNA(VLOOKUP(B894,'Kilter Holds'!$P$37:$AB$662,6,0),0)+_xludf.IFNA(VLOOKUP(A894,'Kilter Holds'!$P$37:$AB$662,6,0),0)</f>
        <v>#NAME?</v>
      </c>
      <c r="F894" s="274"/>
      <c r="G894" s="274" t="e">
        <f t="shared" ca="1" si="24"/>
        <v>#NAME?</v>
      </c>
      <c r="H894" s="274">
        <f t="shared" si="25"/>
        <v>0</v>
      </c>
      <c r="K894" s="274"/>
    </row>
    <row r="895" spans="1:11" ht="13.5" customHeight="1">
      <c r="A895" s="1" t="s">
        <v>2024</v>
      </c>
      <c r="B895" s="1" t="s">
        <v>2022</v>
      </c>
      <c r="C895" s="1" t="s">
        <v>3364</v>
      </c>
      <c r="D895" s="409" t="str">
        <f t="shared" si="31"/>
        <v>15-12</v>
      </c>
      <c r="E895" s="273" t="e">
        <f ca="1">_xludf.IFNA(VLOOKUP(B895,'Kilter Holds'!$P$37:$AB$662,7,0),0)+_xludf.IFNA(VLOOKUP(A895,'Kilter Holds'!$P$37:$AB$662,7,0),0)</f>
        <v>#NAME?</v>
      </c>
      <c r="F895" s="274"/>
      <c r="G895" s="274" t="e">
        <f t="shared" ca="1" si="24"/>
        <v>#NAME?</v>
      </c>
      <c r="H895" s="274">
        <f t="shared" si="25"/>
        <v>0</v>
      </c>
      <c r="K895" s="274"/>
    </row>
    <row r="896" spans="1:11" ht="13.5" customHeight="1">
      <c r="A896" s="1" t="s">
        <v>2024</v>
      </c>
      <c r="B896" s="1" t="s">
        <v>2022</v>
      </c>
      <c r="C896" s="1" t="s">
        <v>3364</v>
      </c>
      <c r="D896" s="410" t="str">
        <f t="shared" si="31"/>
        <v>16-16</v>
      </c>
      <c r="E896" s="273" t="e">
        <f ca="1">_xludf.IFNA(VLOOKUP(B896,'Kilter Holds'!$P$37:$AB$662,8,0),0)+_xludf.IFNA(VLOOKUP(A896,'Kilter Holds'!$P$37:$AB$662,8,0),0)</f>
        <v>#NAME?</v>
      </c>
      <c r="F896" s="274"/>
      <c r="G896" s="274" t="e">
        <f t="shared" ca="1" si="24"/>
        <v>#NAME?</v>
      </c>
      <c r="H896" s="274">
        <f t="shared" si="25"/>
        <v>0</v>
      </c>
      <c r="K896" s="274"/>
    </row>
    <row r="897" spans="1:11" ht="13.5" customHeight="1">
      <c r="A897" s="1" t="s">
        <v>2024</v>
      </c>
      <c r="B897" s="1" t="s">
        <v>2022</v>
      </c>
      <c r="C897" s="1" t="s">
        <v>3364</v>
      </c>
      <c r="D897" s="411" t="str">
        <f t="shared" si="31"/>
        <v>13-01</v>
      </c>
      <c r="E897" s="273" t="e">
        <f ca="1">_xludf.IFNA(VLOOKUP(B897,'Kilter Holds'!$P$37:$AB$662,9,0),0)+_xludf.IFNA(VLOOKUP(A897,'Kilter Holds'!$P$37:$AB$662,9,0),0)</f>
        <v>#NAME?</v>
      </c>
      <c r="F897" s="274"/>
      <c r="G897" s="274" t="e">
        <f t="shared" ca="1" si="24"/>
        <v>#NAME?</v>
      </c>
      <c r="H897" s="274">
        <f t="shared" si="25"/>
        <v>0</v>
      </c>
      <c r="K897" s="274"/>
    </row>
    <row r="898" spans="1:11" ht="13.5" customHeight="1">
      <c r="A898" s="1" t="s">
        <v>2024</v>
      </c>
      <c r="B898" s="1" t="s">
        <v>2022</v>
      </c>
      <c r="C898" s="1" t="s">
        <v>3364</v>
      </c>
      <c r="D898" s="413" t="str">
        <f t="shared" si="31"/>
        <v>07-13</v>
      </c>
      <c r="E898" s="273" t="e">
        <f ca="1">_xludf.IFNA(VLOOKUP(B898,'Kilter Holds'!$P$37:$AB$662,10,0),0)+_xludf.IFNA(VLOOKUP(A898,'Kilter Holds'!$P$37:$AB$662,10,0),0)</f>
        <v>#NAME?</v>
      </c>
      <c r="F898" s="274"/>
      <c r="G898" s="274" t="e">
        <f t="shared" ca="1" si="24"/>
        <v>#NAME?</v>
      </c>
      <c r="H898" s="274">
        <f t="shared" si="25"/>
        <v>0</v>
      </c>
      <c r="K898" s="274"/>
    </row>
    <row r="899" spans="1:11" ht="13.5" customHeight="1">
      <c r="A899" s="1" t="s">
        <v>2024</v>
      </c>
      <c r="B899" s="1" t="s">
        <v>2022</v>
      </c>
      <c r="C899" s="1" t="s">
        <v>3364</v>
      </c>
      <c r="D899" s="414" t="str">
        <f t="shared" si="31"/>
        <v>11-26</v>
      </c>
      <c r="E899" s="273" t="e">
        <f ca="1">_xludf.IFNA(VLOOKUP(B899,'Kilter Holds'!$P$37:$AB$662,11,0),0)+_xludf.IFNA(VLOOKUP(A899,'Kilter Holds'!$P$37:$AB$662,11,0),0)</f>
        <v>#NAME?</v>
      </c>
      <c r="F899" s="274"/>
      <c r="G899" s="274" t="e">
        <f t="shared" ca="1" si="24"/>
        <v>#NAME?</v>
      </c>
      <c r="H899" s="274">
        <f t="shared" si="25"/>
        <v>0</v>
      </c>
      <c r="K899" s="274"/>
    </row>
    <row r="900" spans="1:11" ht="13.5" customHeight="1">
      <c r="A900" s="1" t="s">
        <v>2024</v>
      </c>
      <c r="B900" s="1" t="s">
        <v>2022</v>
      </c>
      <c r="C900" s="1" t="s">
        <v>3364</v>
      </c>
      <c r="D900" s="415" t="str">
        <f t="shared" si="31"/>
        <v>18-01</v>
      </c>
      <c r="E900" s="273" t="e">
        <f ca="1">_xludf.IFNA(VLOOKUP(B900,'Kilter Holds'!$P$37:$AB$662,12,0),0)+_xludf.IFNA(VLOOKUP(A900,'Kilter Holds'!$P$37:$AB$662,12,0),0)</f>
        <v>#NAME?</v>
      </c>
      <c r="F900" s="274"/>
      <c r="G900" s="274" t="e">
        <f t="shared" ca="1" si="24"/>
        <v>#NAME?</v>
      </c>
      <c r="H900" s="274">
        <f t="shared" si="25"/>
        <v>0</v>
      </c>
      <c r="K900" s="274"/>
    </row>
    <row r="901" spans="1:11" ht="13.5" customHeight="1">
      <c r="A901" s="1" t="s">
        <v>2024</v>
      </c>
      <c r="B901" s="1" t="s">
        <v>2022</v>
      </c>
      <c r="C901" s="1" t="s">
        <v>3364</v>
      </c>
      <c r="D901" s="416" t="str">
        <f t="shared" si="31"/>
        <v>Color Code</v>
      </c>
      <c r="E901" s="273" t="e">
        <f ca="1">_xludf.IFNA(VLOOKUP(B901,'Kilter Holds'!$P$37:$AB$662,13,0),0)+_xludf.IFNA(VLOOKUP(A901,'Kilter Holds'!$P$37:$AB$662,13,0),0)</f>
        <v>#NAME?</v>
      </c>
      <c r="F901" s="274"/>
      <c r="G901" s="274" t="e">
        <f t="shared" ca="1" si="24"/>
        <v>#NAME?</v>
      </c>
      <c r="H901" s="274">
        <f t="shared" si="25"/>
        <v>0</v>
      </c>
      <c r="K901" s="274"/>
    </row>
    <row r="902" spans="1:11" ht="13.5" customHeight="1">
      <c r="A902" s="1" t="s">
        <v>2024</v>
      </c>
      <c r="B902" s="1" t="s">
        <v>2023</v>
      </c>
      <c r="C902" s="1" t="s">
        <v>3365</v>
      </c>
      <c r="D902" s="406" t="str">
        <f t="shared" si="31"/>
        <v>11-12</v>
      </c>
      <c r="E902" s="273" t="e">
        <f ca="1">_xludf.IFNA(VLOOKUP(B902,'Kilter Holds'!$P$37:$AB$662,5,0),0)+_xludf.IFNA(VLOOKUP(A902,'Kilter Holds'!$P$37:$AB$662,5,0),0)</f>
        <v>#NAME?</v>
      </c>
      <c r="F902" s="274"/>
      <c r="G902" s="274" t="e">
        <f t="shared" ca="1" si="24"/>
        <v>#NAME?</v>
      </c>
      <c r="H902" s="274">
        <f t="shared" si="25"/>
        <v>0</v>
      </c>
      <c r="K902" s="274"/>
    </row>
    <row r="903" spans="1:11" ht="13.5" customHeight="1">
      <c r="A903" s="1" t="s">
        <v>2024</v>
      </c>
      <c r="B903" s="1" t="s">
        <v>2023</v>
      </c>
      <c r="C903" s="1" t="s">
        <v>3365</v>
      </c>
      <c r="D903" s="408" t="str">
        <f t="shared" si="31"/>
        <v>14-01</v>
      </c>
      <c r="E903" s="273" t="e">
        <f ca="1">_xludf.IFNA(VLOOKUP(B903,'Kilter Holds'!$P$37:$AB$662,6,0),0)+_xludf.IFNA(VLOOKUP(A903,'Kilter Holds'!$P$37:$AB$662,6,0),0)</f>
        <v>#NAME?</v>
      </c>
      <c r="F903" s="274"/>
      <c r="G903" s="274" t="e">
        <f t="shared" ca="1" si="24"/>
        <v>#NAME?</v>
      </c>
      <c r="H903" s="274">
        <f t="shared" si="25"/>
        <v>0</v>
      </c>
      <c r="K903" s="274"/>
    </row>
    <row r="904" spans="1:11" ht="13.5" customHeight="1">
      <c r="A904" s="1" t="s">
        <v>2024</v>
      </c>
      <c r="B904" s="1" t="s">
        <v>2023</v>
      </c>
      <c r="C904" s="1" t="s">
        <v>3365</v>
      </c>
      <c r="D904" s="409" t="str">
        <f t="shared" si="31"/>
        <v>15-12</v>
      </c>
      <c r="E904" s="273" t="e">
        <f ca="1">_xludf.IFNA(VLOOKUP(B904,'Kilter Holds'!$P$37:$AB$662,7,0),0)+_xludf.IFNA(VLOOKUP(A904,'Kilter Holds'!$P$37:$AB$662,7,0),0)</f>
        <v>#NAME?</v>
      </c>
      <c r="F904" s="274"/>
      <c r="G904" s="274" t="e">
        <f t="shared" ca="1" si="24"/>
        <v>#NAME?</v>
      </c>
      <c r="H904" s="274">
        <f t="shared" si="25"/>
        <v>0</v>
      </c>
      <c r="K904" s="274"/>
    </row>
    <row r="905" spans="1:11" ht="13.5" customHeight="1">
      <c r="A905" s="1" t="s">
        <v>2024</v>
      </c>
      <c r="B905" s="1" t="s">
        <v>2023</v>
      </c>
      <c r="C905" s="1" t="s">
        <v>3365</v>
      </c>
      <c r="D905" s="410" t="str">
        <f t="shared" si="31"/>
        <v>16-16</v>
      </c>
      <c r="E905" s="273" t="e">
        <f ca="1">_xludf.IFNA(VLOOKUP(B905,'Kilter Holds'!$P$37:$AB$662,8,0),0)+_xludf.IFNA(VLOOKUP(A905,'Kilter Holds'!$P$37:$AB$662,8,0),0)</f>
        <v>#NAME?</v>
      </c>
      <c r="F905" s="274"/>
      <c r="G905" s="274" t="e">
        <f t="shared" ca="1" si="24"/>
        <v>#NAME?</v>
      </c>
      <c r="H905" s="274">
        <f t="shared" si="25"/>
        <v>0</v>
      </c>
      <c r="K905" s="274"/>
    </row>
    <row r="906" spans="1:11" ht="13.5" customHeight="1">
      <c r="A906" s="1" t="s">
        <v>2024</v>
      </c>
      <c r="B906" s="1" t="s">
        <v>2023</v>
      </c>
      <c r="C906" s="1" t="s">
        <v>3365</v>
      </c>
      <c r="D906" s="411" t="str">
        <f t="shared" si="31"/>
        <v>13-01</v>
      </c>
      <c r="E906" s="273" t="e">
        <f ca="1">_xludf.IFNA(VLOOKUP(B906,'Kilter Holds'!$P$37:$AB$662,9,0),0)+_xludf.IFNA(VLOOKUP(A906,'Kilter Holds'!$P$37:$AB$662,9,0),0)</f>
        <v>#NAME?</v>
      </c>
      <c r="F906" s="274"/>
      <c r="G906" s="274" t="e">
        <f t="shared" ca="1" si="24"/>
        <v>#NAME?</v>
      </c>
      <c r="H906" s="274">
        <f t="shared" si="25"/>
        <v>0</v>
      </c>
      <c r="K906" s="274"/>
    </row>
    <row r="907" spans="1:11" ht="13.5" customHeight="1">
      <c r="A907" s="1" t="s">
        <v>2024</v>
      </c>
      <c r="B907" s="1" t="s">
        <v>2023</v>
      </c>
      <c r="C907" s="1" t="s">
        <v>3365</v>
      </c>
      <c r="D907" s="413" t="str">
        <f t="shared" si="31"/>
        <v>07-13</v>
      </c>
      <c r="E907" s="273" t="e">
        <f ca="1">_xludf.IFNA(VLOOKUP(B907,'Kilter Holds'!$P$37:$AB$662,10,0),0)+_xludf.IFNA(VLOOKUP(A907,'Kilter Holds'!$P$37:$AB$662,10,0),0)</f>
        <v>#NAME?</v>
      </c>
      <c r="F907" s="274"/>
      <c r="G907" s="274" t="e">
        <f t="shared" ca="1" si="24"/>
        <v>#NAME?</v>
      </c>
      <c r="H907" s="274">
        <f t="shared" si="25"/>
        <v>0</v>
      </c>
      <c r="K907" s="274"/>
    </row>
    <row r="908" spans="1:11" ht="13.5" customHeight="1">
      <c r="A908" s="1" t="s">
        <v>2024</v>
      </c>
      <c r="B908" s="1" t="s">
        <v>2023</v>
      </c>
      <c r="C908" s="1" t="s">
        <v>3365</v>
      </c>
      <c r="D908" s="414" t="str">
        <f t="shared" si="31"/>
        <v>11-26</v>
      </c>
      <c r="E908" s="273" t="e">
        <f ca="1">_xludf.IFNA(VLOOKUP(B908,'Kilter Holds'!$P$37:$AB$662,11,0),0)+_xludf.IFNA(VLOOKUP(A908,'Kilter Holds'!$P$37:$AB$662,11,0),0)</f>
        <v>#NAME?</v>
      </c>
      <c r="F908" s="274"/>
      <c r="G908" s="274" t="e">
        <f t="shared" ca="1" si="24"/>
        <v>#NAME?</v>
      </c>
      <c r="H908" s="274">
        <f t="shared" si="25"/>
        <v>0</v>
      </c>
      <c r="K908" s="274"/>
    </row>
    <row r="909" spans="1:11" ht="13.5" customHeight="1">
      <c r="A909" s="1" t="s">
        <v>2024</v>
      </c>
      <c r="B909" s="1" t="s">
        <v>2023</v>
      </c>
      <c r="C909" s="1" t="s">
        <v>3365</v>
      </c>
      <c r="D909" s="415" t="str">
        <f t="shared" si="31"/>
        <v>18-01</v>
      </c>
      <c r="E909" s="273" t="e">
        <f ca="1">_xludf.IFNA(VLOOKUP(B909,'Kilter Holds'!$P$37:$AB$662,12,0),0)+_xludf.IFNA(VLOOKUP(A909,'Kilter Holds'!$P$37:$AB$662,12,0),0)</f>
        <v>#NAME?</v>
      </c>
      <c r="F909" s="274"/>
      <c r="G909" s="274" t="e">
        <f t="shared" ca="1" si="24"/>
        <v>#NAME?</v>
      </c>
      <c r="H909" s="274">
        <f t="shared" si="25"/>
        <v>0</v>
      </c>
      <c r="K909" s="274"/>
    </row>
    <row r="910" spans="1:11" ht="13.5" customHeight="1">
      <c r="A910" s="1" t="s">
        <v>2024</v>
      </c>
      <c r="B910" s="1" t="s">
        <v>2023</v>
      </c>
      <c r="C910" s="1" t="s">
        <v>3365</v>
      </c>
      <c r="D910" s="416" t="str">
        <f t="shared" si="31"/>
        <v>Color Code</v>
      </c>
      <c r="E910" s="273" t="e">
        <f ca="1">_xludf.IFNA(VLOOKUP(B910,'Kilter Holds'!$P$37:$AB$662,13,0),0)+_xludf.IFNA(VLOOKUP(A910,'Kilter Holds'!$P$37:$AB$662,13,0),0)</f>
        <v>#NAME?</v>
      </c>
      <c r="F910" s="274"/>
      <c r="G910" s="274" t="e">
        <f t="shared" ca="1" si="24"/>
        <v>#NAME?</v>
      </c>
      <c r="H910" s="274">
        <f t="shared" si="25"/>
        <v>0</v>
      </c>
      <c r="K910" s="274"/>
    </row>
    <row r="911" spans="1:11" ht="13.5" customHeight="1">
      <c r="B911" s="1" t="s">
        <v>2025</v>
      </c>
      <c r="C911" s="1" t="s">
        <v>3366</v>
      </c>
      <c r="D911" s="406" t="str">
        <f t="shared" ref="D911:D937" si="32">D623</f>
        <v>11-12</v>
      </c>
      <c r="E911" s="273" t="e">
        <f ca="1">_xludf.IFNA(VLOOKUP('Comp X - Kilter'!B911,'Kilter Holds'!$P$37:$AB$662,5,0),0)</f>
        <v>#NAME?</v>
      </c>
      <c r="F911" s="274"/>
      <c r="G911" s="274" t="e">
        <f t="shared" ca="1" si="24"/>
        <v>#NAME?</v>
      </c>
      <c r="H911" s="274">
        <f t="shared" si="25"/>
        <v>0</v>
      </c>
      <c r="K911" s="274"/>
    </row>
    <row r="912" spans="1:11" ht="13.5" customHeight="1">
      <c r="B912" s="1" t="s">
        <v>2025</v>
      </c>
      <c r="C912" s="1" t="s">
        <v>3366</v>
      </c>
      <c r="D912" s="408" t="str">
        <f t="shared" si="32"/>
        <v>14-01</v>
      </c>
      <c r="E912" s="273" t="e">
        <f ca="1">_xludf.IFNA(VLOOKUP('Comp X - Kilter'!B912,'Kilter Holds'!$P$37:$AB$662,6,0),0)</f>
        <v>#NAME?</v>
      </c>
      <c r="F912" s="274"/>
      <c r="G912" s="274" t="e">
        <f t="shared" ca="1" si="24"/>
        <v>#NAME?</v>
      </c>
      <c r="H912" s="274">
        <f t="shared" si="25"/>
        <v>0</v>
      </c>
      <c r="K912" s="274"/>
    </row>
    <row r="913" spans="2:11" ht="13.5" customHeight="1">
      <c r="B913" s="1" t="s">
        <v>2025</v>
      </c>
      <c r="C913" s="1" t="s">
        <v>3366</v>
      </c>
      <c r="D913" s="409" t="str">
        <f t="shared" si="32"/>
        <v>15-12</v>
      </c>
      <c r="E913" s="273" t="e">
        <f ca="1">_xludf.IFNA(VLOOKUP('Comp X - Kilter'!B913,'Kilter Holds'!$P$37:$AB$662,7,0),0)</f>
        <v>#NAME?</v>
      </c>
      <c r="F913" s="274"/>
      <c r="G913" s="274" t="e">
        <f t="shared" ca="1" si="24"/>
        <v>#NAME?</v>
      </c>
      <c r="H913" s="274">
        <f t="shared" si="25"/>
        <v>0</v>
      </c>
      <c r="K913" s="274"/>
    </row>
    <row r="914" spans="2:11" ht="13.5" customHeight="1">
      <c r="B914" s="1" t="s">
        <v>2025</v>
      </c>
      <c r="C914" s="1" t="s">
        <v>3366</v>
      </c>
      <c r="D914" s="410" t="str">
        <f t="shared" si="32"/>
        <v>16-16</v>
      </c>
      <c r="E914" s="273" t="e">
        <f ca="1">_xludf.IFNA(VLOOKUP('Comp X - Kilter'!B914,'Kilter Holds'!$P$37:$AB$662,8,0),0)</f>
        <v>#NAME?</v>
      </c>
      <c r="F914" s="274"/>
      <c r="G914" s="274" t="e">
        <f t="shared" ca="1" si="24"/>
        <v>#NAME?</v>
      </c>
      <c r="H914" s="274">
        <f t="shared" si="25"/>
        <v>0</v>
      </c>
      <c r="K914" s="274"/>
    </row>
    <row r="915" spans="2:11" ht="13.5" customHeight="1">
      <c r="B915" s="1" t="s">
        <v>2025</v>
      </c>
      <c r="C915" s="1" t="s">
        <v>3366</v>
      </c>
      <c r="D915" s="411" t="str">
        <f t="shared" si="32"/>
        <v>13-01</v>
      </c>
      <c r="E915" s="273" t="e">
        <f ca="1">_xludf.IFNA(VLOOKUP('Comp X - Kilter'!B915,'Kilter Holds'!$P$37:$AB$662,9,0),0)</f>
        <v>#NAME?</v>
      </c>
      <c r="F915" s="274"/>
      <c r="G915" s="274" t="e">
        <f t="shared" ca="1" si="24"/>
        <v>#NAME?</v>
      </c>
      <c r="H915" s="274">
        <f t="shared" si="25"/>
        <v>0</v>
      </c>
      <c r="K915" s="274"/>
    </row>
    <row r="916" spans="2:11" ht="13.5" customHeight="1">
      <c r="B916" s="1" t="s">
        <v>2025</v>
      </c>
      <c r="C916" s="1" t="s">
        <v>3366</v>
      </c>
      <c r="D916" s="413" t="str">
        <f t="shared" si="32"/>
        <v>07-13</v>
      </c>
      <c r="E916" s="273" t="e">
        <f ca="1">_xludf.IFNA(VLOOKUP('Comp X - Kilter'!B916,'Kilter Holds'!$P$37:$AB$662,10,0),0)</f>
        <v>#NAME?</v>
      </c>
      <c r="F916" s="274"/>
      <c r="G916" s="274" t="e">
        <f t="shared" ca="1" si="24"/>
        <v>#NAME?</v>
      </c>
      <c r="H916" s="274">
        <f t="shared" si="25"/>
        <v>0</v>
      </c>
      <c r="K916" s="274"/>
    </row>
    <row r="917" spans="2:11" ht="13.5" customHeight="1">
      <c r="B917" s="1" t="s">
        <v>2025</v>
      </c>
      <c r="C917" s="1" t="s">
        <v>3366</v>
      </c>
      <c r="D917" s="414" t="str">
        <f t="shared" si="32"/>
        <v>11-26</v>
      </c>
      <c r="E917" s="273" t="e">
        <f ca="1">_xludf.IFNA(VLOOKUP('Comp X - Kilter'!B917,'Kilter Holds'!$P$37:$AB$662,11,0),0)</f>
        <v>#NAME?</v>
      </c>
      <c r="F917" s="274"/>
      <c r="G917" s="274" t="e">
        <f t="shared" ca="1" si="24"/>
        <v>#NAME?</v>
      </c>
      <c r="H917" s="274">
        <f t="shared" si="25"/>
        <v>0</v>
      </c>
      <c r="K917" s="274"/>
    </row>
    <row r="918" spans="2:11" ht="13.5" customHeight="1">
      <c r="B918" s="1" t="s">
        <v>2025</v>
      </c>
      <c r="C918" s="1" t="s">
        <v>3366</v>
      </c>
      <c r="D918" s="415" t="str">
        <f t="shared" si="32"/>
        <v>18-01</v>
      </c>
      <c r="E918" s="273" t="e">
        <f ca="1">_xludf.IFNA(VLOOKUP('Comp X - Kilter'!B918,'Kilter Holds'!$P$37:$AB$662,12,0),0)</f>
        <v>#NAME?</v>
      </c>
      <c r="F918" s="274"/>
      <c r="G918" s="274" t="e">
        <f t="shared" ca="1" si="24"/>
        <v>#NAME?</v>
      </c>
      <c r="H918" s="274">
        <f t="shared" si="25"/>
        <v>0</v>
      </c>
      <c r="K918" s="274"/>
    </row>
    <row r="919" spans="2:11" ht="13.5" customHeight="1">
      <c r="B919" s="1" t="s">
        <v>2025</v>
      </c>
      <c r="C919" s="1" t="s">
        <v>3366</v>
      </c>
      <c r="D919" s="416" t="str">
        <f t="shared" si="32"/>
        <v>Color Code</v>
      </c>
      <c r="E919" s="273" t="e">
        <f ca="1">_xludf.IFNA(VLOOKUP('Comp X - Kilter'!B919,'Kilter Holds'!$P$37:$AB$662,13,0),0)</f>
        <v>#NAME?</v>
      </c>
      <c r="F919" s="274"/>
      <c r="G919" s="274" t="e">
        <f t="shared" ca="1" si="24"/>
        <v>#NAME?</v>
      </c>
      <c r="H919" s="274">
        <f t="shared" si="25"/>
        <v>0</v>
      </c>
      <c r="K919" s="274"/>
    </row>
    <row r="920" spans="2:11" ht="13.5" customHeight="1">
      <c r="B920" s="1" t="s">
        <v>2026</v>
      </c>
      <c r="C920" s="1" t="s">
        <v>3367</v>
      </c>
      <c r="D920" s="406" t="str">
        <f t="shared" si="32"/>
        <v>11-12</v>
      </c>
      <c r="E920" s="273" t="e">
        <f ca="1">_xludf.IFNA(VLOOKUP('Comp X - Kilter'!B920,'Kilter Holds'!$P$37:$AB$662,5,0),0)</f>
        <v>#NAME?</v>
      </c>
      <c r="F920" s="274"/>
      <c r="G920" s="274" t="e">
        <f t="shared" ca="1" si="24"/>
        <v>#NAME?</v>
      </c>
      <c r="H920" s="274">
        <f t="shared" si="25"/>
        <v>0</v>
      </c>
      <c r="K920" s="274"/>
    </row>
    <row r="921" spans="2:11" ht="13.5" customHeight="1">
      <c r="B921" s="1" t="s">
        <v>2026</v>
      </c>
      <c r="C921" s="1" t="s">
        <v>3367</v>
      </c>
      <c r="D921" s="408" t="str">
        <f t="shared" si="32"/>
        <v>14-01</v>
      </c>
      <c r="E921" s="273" t="e">
        <f ca="1">_xludf.IFNA(VLOOKUP('Comp X - Kilter'!B921,'Kilter Holds'!$P$37:$AB$662,6,0),0)</f>
        <v>#NAME?</v>
      </c>
      <c r="F921" s="274"/>
      <c r="G921" s="274" t="e">
        <f t="shared" ca="1" si="24"/>
        <v>#NAME?</v>
      </c>
      <c r="H921" s="274">
        <f t="shared" si="25"/>
        <v>0</v>
      </c>
      <c r="K921" s="274"/>
    </row>
    <row r="922" spans="2:11" ht="13.5" customHeight="1">
      <c r="B922" s="1" t="s">
        <v>2026</v>
      </c>
      <c r="C922" s="1" t="s">
        <v>3367</v>
      </c>
      <c r="D922" s="409" t="str">
        <f t="shared" si="32"/>
        <v>15-12</v>
      </c>
      <c r="E922" s="273" t="e">
        <f ca="1">_xludf.IFNA(VLOOKUP('Comp X - Kilter'!B922,'Kilter Holds'!$P$37:$AB$662,7,0),0)</f>
        <v>#NAME?</v>
      </c>
      <c r="F922" s="274"/>
      <c r="G922" s="274" t="e">
        <f t="shared" ca="1" si="24"/>
        <v>#NAME?</v>
      </c>
      <c r="H922" s="274">
        <f t="shared" si="25"/>
        <v>0</v>
      </c>
      <c r="K922" s="274"/>
    </row>
    <row r="923" spans="2:11" ht="13.5" customHeight="1">
      <c r="B923" s="1" t="s">
        <v>2026</v>
      </c>
      <c r="C923" s="1" t="s">
        <v>3367</v>
      </c>
      <c r="D923" s="410" t="str">
        <f t="shared" si="32"/>
        <v>16-16</v>
      </c>
      <c r="E923" s="273" t="e">
        <f ca="1">_xludf.IFNA(VLOOKUP('Comp X - Kilter'!B923,'Kilter Holds'!$P$37:$AB$662,8,0),0)</f>
        <v>#NAME?</v>
      </c>
      <c r="F923" s="274"/>
      <c r="G923" s="274" t="e">
        <f t="shared" ca="1" si="24"/>
        <v>#NAME?</v>
      </c>
      <c r="H923" s="274">
        <f t="shared" si="25"/>
        <v>0</v>
      </c>
      <c r="K923" s="274"/>
    </row>
    <row r="924" spans="2:11" ht="13.5" customHeight="1">
      <c r="B924" s="1" t="s">
        <v>2026</v>
      </c>
      <c r="C924" s="1" t="s">
        <v>3367</v>
      </c>
      <c r="D924" s="411" t="str">
        <f t="shared" si="32"/>
        <v>13-01</v>
      </c>
      <c r="E924" s="273" t="e">
        <f ca="1">_xludf.IFNA(VLOOKUP('Comp X - Kilter'!B924,'Kilter Holds'!$P$37:$AB$662,9,0),0)</f>
        <v>#NAME?</v>
      </c>
      <c r="F924" s="274"/>
      <c r="G924" s="274" t="e">
        <f t="shared" ca="1" si="24"/>
        <v>#NAME?</v>
      </c>
      <c r="H924" s="274">
        <f t="shared" si="25"/>
        <v>0</v>
      </c>
      <c r="K924" s="274"/>
    </row>
    <row r="925" spans="2:11" ht="13.5" customHeight="1">
      <c r="B925" s="1" t="s">
        <v>2026</v>
      </c>
      <c r="C925" s="1" t="s">
        <v>3367</v>
      </c>
      <c r="D925" s="413" t="str">
        <f t="shared" si="32"/>
        <v>07-13</v>
      </c>
      <c r="E925" s="273" t="e">
        <f ca="1">_xludf.IFNA(VLOOKUP('Comp X - Kilter'!B925,'Kilter Holds'!$P$37:$AB$662,10,0),0)</f>
        <v>#NAME?</v>
      </c>
      <c r="F925" s="274"/>
      <c r="G925" s="274" t="e">
        <f t="shared" ca="1" si="24"/>
        <v>#NAME?</v>
      </c>
      <c r="H925" s="274">
        <f t="shared" si="25"/>
        <v>0</v>
      </c>
      <c r="K925" s="274"/>
    </row>
    <row r="926" spans="2:11" ht="13.5" customHeight="1">
      <c r="B926" s="1" t="s">
        <v>2026</v>
      </c>
      <c r="C926" s="1" t="s">
        <v>3367</v>
      </c>
      <c r="D926" s="414" t="str">
        <f t="shared" si="32"/>
        <v>11-26</v>
      </c>
      <c r="E926" s="273" t="e">
        <f ca="1">_xludf.IFNA(VLOOKUP('Comp X - Kilter'!B926,'Kilter Holds'!$P$37:$AB$662,11,0),0)</f>
        <v>#NAME?</v>
      </c>
      <c r="F926" s="274"/>
      <c r="G926" s="274" t="e">
        <f t="shared" ca="1" si="24"/>
        <v>#NAME?</v>
      </c>
      <c r="H926" s="274">
        <f t="shared" si="25"/>
        <v>0</v>
      </c>
      <c r="K926" s="274"/>
    </row>
    <row r="927" spans="2:11" ht="13.5" customHeight="1">
      <c r="B927" s="1" t="s">
        <v>2026</v>
      </c>
      <c r="C927" s="1" t="s">
        <v>3367</v>
      </c>
      <c r="D927" s="415" t="str">
        <f t="shared" si="32"/>
        <v>18-01</v>
      </c>
      <c r="E927" s="273" t="e">
        <f ca="1">_xludf.IFNA(VLOOKUP('Comp X - Kilter'!B927,'Kilter Holds'!$P$37:$AB$662,12,0),0)</f>
        <v>#NAME?</v>
      </c>
      <c r="F927" s="274"/>
      <c r="G927" s="274" t="e">
        <f t="shared" ca="1" si="24"/>
        <v>#NAME?</v>
      </c>
      <c r="H927" s="274">
        <f t="shared" si="25"/>
        <v>0</v>
      </c>
      <c r="K927" s="274"/>
    </row>
    <row r="928" spans="2:11" ht="13.5" customHeight="1">
      <c r="B928" s="1" t="s">
        <v>2026</v>
      </c>
      <c r="C928" s="1" t="s">
        <v>3367</v>
      </c>
      <c r="D928" s="416" t="str">
        <f t="shared" si="32"/>
        <v>Color Code</v>
      </c>
      <c r="E928" s="273" t="e">
        <f ca="1">_xludf.IFNA(VLOOKUP('Comp X - Kilter'!B928,'Kilter Holds'!$P$37:$AB$662,13,0),0)</f>
        <v>#NAME?</v>
      </c>
      <c r="F928" s="274"/>
      <c r="G928" s="274" t="e">
        <f t="shared" ca="1" si="24"/>
        <v>#NAME?</v>
      </c>
      <c r="H928" s="274">
        <f t="shared" si="25"/>
        <v>0</v>
      </c>
      <c r="K928" s="274"/>
    </row>
    <row r="929" spans="2:11" ht="13.5" customHeight="1">
      <c r="B929" s="1" t="s">
        <v>2028</v>
      </c>
      <c r="C929" s="1" t="s">
        <v>3368</v>
      </c>
      <c r="D929" s="406" t="str">
        <f t="shared" si="32"/>
        <v>11-12</v>
      </c>
      <c r="E929" s="273" t="e">
        <f ca="1">_xludf.IFNA(VLOOKUP('Comp X - Kilter'!B929,'Kilter Holds'!$P$37:$AB$662,5,0),0)</f>
        <v>#NAME?</v>
      </c>
      <c r="F929" s="274"/>
      <c r="G929" s="274" t="e">
        <f t="shared" ca="1" si="24"/>
        <v>#NAME?</v>
      </c>
      <c r="H929" s="274">
        <f t="shared" si="25"/>
        <v>0</v>
      </c>
      <c r="K929" s="274"/>
    </row>
    <row r="930" spans="2:11" ht="13.5" customHeight="1">
      <c r="B930" s="1" t="s">
        <v>2028</v>
      </c>
      <c r="C930" s="1" t="s">
        <v>3368</v>
      </c>
      <c r="D930" s="408" t="str">
        <f t="shared" si="32"/>
        <v>14-01</v>
      </c>
      <c r="E930" s="273" t="e">
        <f ca="1">_xludf.IFNA(VLOOKUP('Comp X - Kilter'!B930,'Kilter Holds'!$P$37:$AB$662,6,0),0)</f>
        <v>#NAME?</v>
      </c>
      <c r="F930" s="274"/>
      <c r="G930" s="274" t="e">
        <f t="shared" ca="1" si="24"/>
        <v>#NAME?</v>
      </c>
      <c r="H930" s="274">
        <f t="shared" si="25"/>
        <v>0</v>
      </c>
      <c r="K930" s="274"/>
    </row>
    <row r="931" spans="2:11" ht="13.5" customHeight="1">
      <c r="B931" s="1" t="s">
        <v>2028</v>
      </c>
      <c r="C931" s="1" t="s">
        <v>3368</v>
      </c>
      <c r="D931" s="409" t="str">
        <f t="shared" si="32"/>
        <v>15-12</v>
      </c>
      <c r="E931" s="273" t="e">
        <f ca="1">_xludf.IFNA(VLOOKUP('Comp X - Kilter'!B931,'Kilter Holds'!$P$37:$AB$662,7,0),0)</f>
        <v>#NAME?</v>
      </c>
      <c r="F931" s="274"/>
      <c r="G931" s="274" t="e">
        <f t="shared" ca="1" si="24"/>
        <v>#NAME?</v>
      </c>
      <c r="H931" s="274">
        <f t="shared" si="25"/>
        <v>0</v>
      </c>
      <c r="K931" s="274"/>
    </row>
    <row r="932" spans="2:11" ht="13.5" customHeight="1">
      <c r="B932" s="1" t="s">
        <v>2028</v>
      </c>
      <c r="C932" s="1" t="s">
        <v>3368</v>
      </c>
      <c r="D932" s="410" t="str">
        <f t="shared" si="32"/>
        <v>16-16</v>
      </c>
      <c r="E932" s="273" t="e">
        <f ca="1">_xludf.IFNA(VLOOKUP('Comp X - Kilter'!B932,'Kilter Holds'!$P$37:$AB$662,8,0),0)</f>
        <v>#NAME?</v>
      </c>
      <c r="F932" s="274"/>
      <c r="G932" s="274" t="e">
        <f t="shared" ca="1" si="24"/>
        <v>#NAME?</v>
      </c>
      <c r="H932" s="274">
        <f t="shared" si="25"/>
        <v>0</v>
      </c>
      <c r="K932" s="274"/>
    </row>
    <row r="933" spans="2:11" ht="13.5" customHeight="1">
      <c r="B933" s="1" t="s">
        <v>2028</v>
      </c>
      <c r="C933" s="1" t="s">
        <v>3368</v>
      </c>
      <c r="D933" s="411" t="str">
        <f t="shared" si="32"/>
        <v>13-01</v>
      </c>
      <c r="E933" s="273" t="e">
        <f ca="1">_xludf.IFNA(VLOOKUP('Comp X - Kilter'!B933,'Kilter Holds'!$P$37:$AB$662,9,0),0)</f>
        <v>#NAME?</v>
      </c>
      <c r="F933" s="274"/>
      <c r="G933" s="274" t="e">
        <f t="shared" ca="1" si="24"/>
        <v>#NAME?</v>
      </c>
      <c r="H933" s="274">
        <f t="shared" si="25"/>
        <v>0</v>
      </c>
      <c r="K933" s="274"/>
    </row>
    <row r="934" spans="2:11" ht="13.5" customHeight="1">
      <c r="B934" s="1" t="s">
        <v>2028</v>
      </c>
      <c r="C934" s="1" t="s">
        <v>3368</v>
      </c>
      <c r="D934" s="413" t="str">
        <f t="shared" si="32"/>
        <v>07-13</v>
      </c>
      <c r="E934" s="273" t="e">
        <f ca="1">_xludf.IFNA(VLOOKUP('Comp X - Kilter'!B934,'Kilter Holds'!$P$37:$AB$662,10,0),0)</f>
        <v>#NAME?</v>
      </c>
      <c r="F934" s="274"/>
      <c r="G934" s="274" t="e">
        <f t="shared" ca="1" si="24"/>
        <v>#NAME?</v>
      </c>
      <c r="H934" s="274">
        <f t="shared" si="25"/>
        <v>0</v>
      </c>
      <c r="K934" s="274"/>
    </row>
    <row r="935" spans="2:11" ht="13.5" customHeight="1">
      <c r="B935" s="1" t="s">
        <v>2028</v>
      </c>
      <c r="C935" s="1" t="s">
        <v>3368</v>
      </c>
      <c r="D935" s="414" t="str">
        <f t="shared" si="32"/>
        <v>11-26</v>
      </c>
      <c r="E935" s="273" t="e">
        <f ca="1">_xludf.IFNA(VLOOKUP('Comp X - Kilter'!B935,'Kilter Holds'!$P$37:$AB$662,11,0),0)</f>
        <v>#NAME?</v>
      </c>
      <c r="F935" s="274"/>
      <c r="G935" s="274" t="e">
        <f t="shared" ca="1" si="24"/>
        <v>#NAME?</v>
      </c>
      <c r="H935" s="274">
        <f t="shared" si="25"/>
        <v>0</v>
      </c>
      <c r="K935" s="274"/>
    </row>
    <row r="936" spans="2:11" ht="13.5" customHeight="1">
      <c r="B936" s="1" t="s">
        <v>2028</v>
      </c>
      <c r="C936" s="1" t="s">
        <v>3368</v>
      </c>
      <c r="D936" s="415" t="str">
        <f t="shared" si="32"/>
        <v>18-01</v>
      </c>
      <c r="E936" s="273" t="e">
        <f ca="1">_xludf.IFNA(VLOOKUP('Comp X - Kilter'!B936,'Kilter Holds'!$P$37:$AB$662,12,0),0)</f>
        <v>#NAME?</v>
      </c>
      <c r="F936" s="274"/>
      <c r="G936" s="274" t="e">
        <f t="shared" ca="1" si="24"/>
        <v>#NAME?</v>
      </c>
      <c r="H936" s="274">
        <f t="shared" si="25"/>
        <v>0</v>
      </c>
      <c r="K936" s="274"/>
    </row>
    <row r="937" spans="2:11" ht="13.5" customHeight="1">
      <c r="B937" s="1" t="s">
        <v>2028</v>
      </c>
      <c r="C937" s="1" t="s">
        <v>3368</v>
      </c>
      <c r="D937" s="416" t="str">
        <f t="shared" si="32"/>
        <v>Color Code</v>
      </c>
      <c r="E937" s="273" t="e">
        <f ca="1">_xludf.IFNA(VLOOKUP('Comp X - Kilter'!B937,'Kilter Holds'!$P$37:$AB$662,13,0),0)</f>
        <v>#NAME?</v>
      </c>
      <c r="F937" s="274"/>
      <c r="G937" s="274" t="e">
        <f t="shared" ca="1" si="24"/>
        <v>#NAME?</v>
      </c>
      <c r="H937" s="274">
        <f t="shared" si="25"/>
        <v>0</v>
      </c>
      <c r="K937" s="274"/>
    </row>
    <row r="938" spans="2:11" ht="13.5" customHeight="1">
      <c r="B938" s="1" t="s">
        <v>2027</v>
      </c>
      <c r="C938" s="1" t="s">
        <v>3369</v>
      </c>
      <c r="D938" s="406" t="str">
        <f t="shared" ref="D938:D955" si="33">D641</f>
        <v>11-12</v>
      </c>
      <c r="E938" s="273" t="e">
        <f ca="1">_xludf.IFNA(VLOOKUP('Comp X - Kilter'!B938,'Kilter Holds'!$P$37:$AB$662,5,0),0)</f>
        <v>#NAME?</v>
      </c>
      <c r="F938" s="274"/>
      <c r="G938" s="274" t="e">
        <f t="shared" ca="1" si="24"/>
        <v>#NAME?</v>
      </c>
      <c r="H938" s="274">
        <f t="shared" si="25"/>
        <v>0</v>
      </c>
      <c r="K938" s="274"/>
    </row>
    <row r="939" spans="2:11" ht="13.5" customHeight="1">
      <c r="B939" s="1" t="s">
        <v>2027</v>
      </c>
      <c r="C939" s="1" t="s">
        <v>3369</v>
      </c>
      <c r="D939" s="408" t="str">
        <f t="shared" si="33"/>
        <v>14-01</v>
      </c>
      <c r="E939" s="273" t="e">
        <f ca="1">_xludf.IFNA(VLOOKUP('Comp X - Kilter'!B939,'Kilter Holds'!$P$37:$AB$662,6,0),0)</f>
        <v>#NAME?</v>
      </c>
      <c r="F939" s="274"/>
      <c r="G939" s="274" t="e">
        <f t="shared" ca="1" si="24"/>
        <v>#NAME?</v>
      </c>
      <c r="H939" s="274">
        <f t="shared" si="25"/>
        <v>0</v>
      </c>
      <c r="K939" s="274"/>
    </row>
    <row r="940" spans="2:11" ht="13.5" customHeight="1">
      <c r="B940" s="1" t="s">
        <v>2027</v>
      </c>
      <c r="C940" s="1" t="s">
        <v>3369</v>
      </c>
      <c r="D940" s="409" t="str">
        <f t="shared" si="33"/>
        <v>15-12</v>
      </c>
      <c r="E940" s="273" t="e">
        <f ca="1">_xludf.IFNA(VLOOKUP('Comp X - Kilter'!B940,'Kilter Holds'!$P$37:$AB$662,7,0),0)</f>
        <v>#NAME?</v>
      </c>
      <c r="F940" s="274"/>
      <c r="G940" s="274" t="e">
        <f t="shared" ca="1" si="24"/>
        <v>#NAME?</v>
      </c>
      <c r="H940" s="274">
        <f t="shared" si="25"/>
        <v>0</v>
      </c>
      <c r="K940" s="274"/>
    </row>
    <row r="941" spans="2:11" ht="13.5" customHeight="1">
      <c r="B941" s="1" t="s">
        <v>2027</v>
      </c>
      <c r="C941" s="1" t="s">
        <v>3369</v>
      </c>
      <c r="D941" s="410" t="str">
        <f t="shared" si="33"/>
        <v>16-16</v>
      </c>
      <c r="E941" s="273" t="e">
        <f ca="1">_xludf.IFNA(VLOOKUP('Comp X - Kilter'!B941,'Kilter Holds'!$P$37:$AB$662,8,0),0)</f>
        <v>#NAME?</v>
      </c>
      <c r="F941" s="274"/>
      <c r="G941" s="274" t="e">
        <f t="shared" ca="1" si="24"/>
        <v>#NAME?</v>
      </c>
      <c r="H941" s="274">
        <f t="shared" si="25"/>
        <v>0</v>
      </c>
      <c r="K941" s="274"/>
    </row>
    <row r="942" spans="2:11" ht="13.5" customHeight="1">
      <c r="B942" s="1" t="s">
        <v>2027</v>
      </c>
      <c r="C942" s="1" t="s">
        <v>3369</v>
      </c>
      <c r="D942" s="411" t="str">
        <f t="shared" si="33"/>
        <v>13-01</v>
      </c>
      <c r="E942" s="273" t="e">
        <f ca="1">_xludf.IFNA(VLOOKUP('Comp X - Kilter'!B942,'Kilter Holds'!$P$37:$AB$662,9,0),0)</f>
        <v>#NAME?</v>
      </c>
      <c r="F942" s="274"/>
      <c r="G942" s="274" t="e">
        <f t="shared" ca="1" si="24"/>
        <v>#NAME?</v>
      </c>
      <c r="H942" s="274">
        <f t="shared" si="25"/>
        <v>0</v>
      </c>
      <c r="K942" s="274"/>
    </row>
    <row r="943" spans="2:11" ht="13.5" customHeight="1">
      <c r="B943" s="1" t="s">
        <v>2027</v>
      </c>
      <c r="C943" s="1" t="s">
        <v>3369</v>
      </c>
      <c r="D943" s="413" t="str">
        <f t="shared" si="33"/>
        <v>07-13</v>
      </c>
      <c r="E943" s="273" t="e">
        <f ca="1">_xludf.IFNA(VLOOKUP('Comp X - Kilter'!B943,'Kilter Holds'!$P$37:$AB$662,10,0),0)</f>
        <v>#NAME?</v>
      </c>
      <c r="F943" s="274"/>
      <c r="G943" s="274" t="e">
        <f t="shared" ca="1" si="24"/>
        <v>#NAME?</v>
      </c>
      <c r="H943" s="274">
        <f t="shared" si="25"/>
        <v>0</v>
      </c>
      <c r="K943" s="274"/>
    </row>
    <row r="944" spans="2:11" ht="13.5" customHeight="1">
      <c r="B944" s="1" t="s">
        <v>2027</v>
      </c>
      <c r="C944" s="1" t="s">
        <v>3369</v>
      </c>
      <c r="D944" s="414" t="str">
        <f t="shared" si="33"/>
        <v>11-26</v>
      </c>
      <c r="E944" s="273" t="e">
        <f ca="1">_xludf.IFNA(VLOOKUP('Comp X - Kilter'!B944,'Kilter Holds'!$P$37:$AB$662,11,0),0)</f>
        <v>#NAME?</v>
      </c>
      <c r="F944" s="274"/>
      <c r="G944" s="274" t="e">
        <f t="shared" ca="1" si="24"/>
        <v>#NAME?</v>
      </c>
      <c r="H944" s="274">
        <f t="shared" si="25"/>
        <v>0</v>
      </c>
      <c r="K944" s="274"/>
    </row>
    <row r="945" spans="2:11" ht="13.5" customHeight="1">
      <c r="B945" s="1" t="s">
        <v>2027</v>
      </c>
      <c r="C945" s="1" t="s">
        <v>3369</v>
      </c>
      <c r="D945" s="415" t="str">
        <f t="shared" si="33"/>
        <v>18-01</v>
      </c>
      <c r="E945" s="273" t="e">
        <f ca="1">_xludf.IFNA(VLOOKUP('Comp X - Kilter'!B945,'Kilter Holds'!$P$37:$AB$662,12,0),0)</f>
        <v>#NAME?</v>
      </c>
      <c r="F945" s="274"/>
      <c r="G945" s="274" t="e">
        <f t="shared" ca="1" si="24"/>
        <v>#NAME?</v>
      </c>
      <c r="H945" s="274">
        <f t="shared" si="25"/>
        <v>0</v>
      </c>
      <c r="K945" s="274"/>
    </row>
    <row r="946" spans="2:11" ht="13.5" customHeight="1">
      <c r="B946" s="1" t="s">
        <v>2027</v>
      </c>
      <c r="C946" s="1" t="s">
        <v>3369</v>
      </c>
      <c r="D946" s="416" t="str">
        <f t="shared" si="33"/>
        <v>Color Code</v>
      </c>
      <c r="E946" s="273" t="e">
        <f ca="1">_xludf.IFNA(VLOOKUP('Comp X - Kilter'!B946,'Kilter Holds'!$P$37:$AB$662,13,0),0)</f>
        <v>#NAME?</v>
      </c>
      <c r="F946" s="274"/>
      <c r="G946" s="274" t="e">
        <f t="shared" ca="1" si="24"/>
        <v>#NAME?</v>
      </c>
      <c r="H946" s="274">
        <f t="shared" si="25"/>
        <v>0</v>
      </c>
      <c r="K946" s="274"/>
    </row>
    <row r="947" spans="2:11" ht="13.5" customHeight="1">
      <c r="B947" s="1" t="s">
        <v>2029</v>
      </c>
      <c r="C947" s="1" t="s">
        <v>3370</v>
      </c>
      <c r="D947" s="406" t="str">
        <f t="shared" si="33"/>
        <v>11-12</v>
      </c>
      <c r="E947" s="273" t="e">
        <f ca="1">_xludf.IFNA(VLOOKUP('Comp X - Kilter'!B947,'Kilter Holds'!$P$37:$AB$662,5,0),0)</f>
        <v>#NAME?</v>
      </c>
      <c r="F947" s="274"/>
      <c r="G947" s="274" t="e">
        <f t="shared" ca="1" si="24"/>
        <v>#NAME?</v>
      </c>
      <c r="H947" s="274">
        <f t="shared" si="25"/>
        <v>0</v>
      </c>
      <c r="K947" s="274"/>
    </row>
    <row r="948" spans="2:11" ht="13.5" customHeight="1">
      <c r="B948" s="1" t="s">
        <v>2029</v>
      </c>
      <c r="C948" s="1" t="s">
        <v>3370</v>
      </c>
      <c r="D948" s="408" t="str">
        <f t="shared" si="33"/>
        <v>14-01</v>
      </c>
      <c r="E948" s="273" t="e">
        <f ca="1">_xludf.IFNA(VLOOKUP('Comp X - Kilter'!B948,'Kilter Holds'!$P$37:$AB$662,6,0),0)</f>
        <v>#NAME?</v>
      </c>
      <c r="F948" s="274"/>
      <c r="G948" s="274" t="e">
        <f t="shared" ca="1" si="24"/>
        <v>#NAME?</v>
      </c>
      <c r="H948" s="274">
        <f t="shared" si="25"/>
        <v>0</v>
      </c>
      <c r="K948" s="274"/>
    </row>
    <row r="949" spans="2:11" ht="13.5" customHeight="1">
      <c r="B949" s="1" t="s">
        <v>2029</v>
      </c>
      <c r="C949" s="1" t="s">
        <v>3370</v>
      </c>
      <c r="D949" s="409" t="str">
        <f t="shared" si="33"/>
        <v>15-12</v>
      </c>
      <c r="E949" s="273" t="e">
        <f ca="1">_xludf.IFNA(VLOOKUP('Comp X - Kilter'!B949,'Kilter Holds'!$P$37:$AB$662,7,0),0)</f>
        <v>#NAME?</v>
      </c>
      <c r="F949" s="274"/>
      <c r="G949" s="274" t="e">
        <f t="shared" ca="1" si="24"/>
        <v>#NAME?</v>
      </c>
      <c r="H949" s="274">
        <f t="shared" si="25"/>
        <v>0</v>
      </c>
      <c r="K949" s="274"/>
    </row>
    <row r="950" spans="2:11" ht="13.5" customHeight="1">
      <c r="B950" s="1" t="s">
        <v>2029</v>
      </c>
      <c r="C950" s="1" t="s">
        <v>3370</v>
      </c>
      <c r="D950" s="410" t="str">
        <f t="shared" si="33"/>
        <v>16-16</v>
      </c>
      <c r="E950" s="273" t="e">
        <f ca="1">_xludf.IFNA(VLOOKUP('Comp X - Kilter'!B950,'Kilter Holds'!$P$37:$AB$662,8,0),0)</f>
        <v>#NAME?</v>
      </c>
      <c r="F950" s="274"/>
      <c r="G950" s="274" t="e">
        <f t="shared" ca="1" si="24"/>
        <v>#NAME?</v>
      </c>
      <c r="H950" s="274">
        <f t="shared" si="25"/>
        <v>0</v>
      </c>
      <c r="K950" s="274"/>
    </row>
    <row r="951" spans="2:11" ht="13.5" customHeight="1">
      <c r="B951" s="1" t="s">
        <v>2029</v>
      </c>
      <c r="C951" s="1" t="s">
        <v>3370</v>
      </c>
      <c r="D951" s="411" t="str">
        <f t="shared" si="33"/>
        <v>13-01</v>
      </c>
      <c r="E951" s="273" t="e">
        <f ca="1">_xludf.IFNA(VLOOKUP('Comp X - Kilter'!B951,'Kilter Holds'!$P$37:$AB$662,9,0),0)</f>
        <v>#NAME?</v>
      </c>
      <c r="F951" s="274"/>
      <c r="G951" s="274" t="e">
        <f t="shared" ca="1" si="24"/>
        <v>#NAME?</v>
      </c>
      <c r="H951" s="274">
        <f t="shared" si="25"/>
        <v>0</v>
      </c>
      <c r="K951" s="274"/>
    </row>
    <row r="952" spans="2:11" ht="13.5" customHeight="1">
      <c r="B952" s="1" t="s">
        <v>2029</v>
      </c>
      <c r="C952" s="1" t="s">
        <v>3370</v>
      </c>
      <c r="D952" s="413" t="str">
        <f t="shared" si="33"/>
        <v>07-13</v>
      </c>
      <c r="E952" s="273" t="e">
        <f ca="1">_xludf.IFNA(VLOOKUP('Comp X - Kilter'!B952,'Kilter Holds'!$P$37:$AB$662,10,0),0)</f>
        <v>#NAME?</v>
      </c>
      <c r="F952" s="274"/>
      <c r="G952" s="274" t="e">
        <f t="shared" ca="1" si="24"/>
        <v>#NAME?</v>
      </c>
      <c r="H952" s="274">
        <f t="shared" si="25"/>
        <v>0</v>
      </c>
      <c r="K952" s="274"/>
    </row>
    <row r="953" spans="2:11" ht="13.5" customHeight="1">
      <c r="B953" s="1" t="s">
        <v>2029</v>
      </c>
      <c r="C953" s="1" t="s">
        <v>3370</v>
      </c>
      <c r="D953" s="414" t="str">
        <f t="shared" si="33"/>
        <v>11-26</v>
      </c>
      <c r="E953" s="273" t="e">
        <f ca="1">_xludf.IFNA(VLOOKUP('Comp X - Kilter'!B953,'Kilter Holds'!$P$37:$AB$662,11,0),0)</f>
        <v>#NAME?</v>
      </c>
      <c r="F953" s="274"/>
      <c r="G953" s="274" t="e">
        <f t="shared" ca="1" si="24"/>
        <v>#NAME?</v>
      </c>
      <c r="H953" s="274">
        <f t="shared" si="25"/>
        <v>0</v>
      </c>
      <c r="K953" s="274"/>
    </row>
    <row r="954" spans="2:11" ht="13.5" customHeight="1">
      <c r="B954" s="1" t="s">
        <v>2029</v>
      </c>
      <c r="C954" s="1" t="s">
        <v>3370</v>
      </c>
      <c r="D954" s="415" t="str">
        <f t="shared" si="33"/>
        <v>18-01</v>
      </c>
      <c r="E954" s="273" t="e">
        <f ca="1">_xludf.IFNA(VLOOKUP('Comp X - Kilter'!B954,'Kilter Holds'!$P$37:$AB$662,12,0),0)</f>
        <v>#NAME?</v>
      </c>
      <c r="F954" s="274"/>
      <c r="G954" s="274" t="e">
        <f t="shared" ca="1" si="24"/>
        <v>#NAME?</v>
      </c>
      <c r="H954" s="274">
        <f t="shared" si="25"/>
        <v>0</v>
      </c>
      <c r="K954" s="274"/>
    </row>
    <row r="955" spans="2:11" ht="13.5" customHeight="1">
      <c r="B955" s="1" t="s">
        <v>2029</v>
      </c>
      <c r="C955" s="1" t="s">
        <v>3370</v>
      </c>
      <c r="D955" s="416" t="str">
        <f t="shared" si="33"/>
        <v>Color Code</v>
      </c>
      <c r="E955" s="273" t="e">
        <f ca="1">_xludf.IFNA(VLOOKUP('Comp X - Kilter'!B955,'Kilter Holds'!$P$37:$AB$662,13,0),0)</f>
        <v>#NAME?</v>
      </c>
      <c r="F955" s="274"/>
      <c r="G955" s="274" t="e">
        <f t="shared" ca="1" si="24"/>
        <v>#NAME?</v>
      </c>
      <c r="H955" s="274">
        <f t="shared" si="25"/>
        <v>0</v>
      </c>
      <c r="K955" s="274"/>
    </row>
    <row r="956" spans="2:11" ht="13.5" customHeight="1">
      <c r="B956" s="1" t="s">
        <v>2093</v>
      </c>
      <c r="C956" s="1" t="s">
        <v>3371</v>
      </c>
      <c r="D956" s="406" t="str">
        <f t="shared" ref="D956:D982" si="34">D641</f>
        <v>11-12</v>
      </c>
      <c r="E956" s="273" t="e">
        <f ca="1">_xludf.IFNA(VLOOKUP('Comp X - Kilter'!B956,'Kilter Holds'!$P$37:$AB$662,5,0),0)</f>
        <v>#NAME?</v>
      </c>
      <c r="F956" s="274"/>
      <c r="G956" s="274" t="e">
        <f t="shared" ca="1" si="24"/>
        <v>#NAME?</v>
      </c>
      <c r="H956" s="274">
        <f t="shared" si="25"/>
        <v>0</v>
      </c>
      <c r="K956" s="274"/>
    </row>
    <row r="957" spans="2:11" ht="13.5" customHeight="1">
      <c r="B957" s="1" t="s">
        <v>2093</v>
      </c>
      <c r="C957" s="1" t="s">
        <v>3371</v>
      </c>
      <c r="D957" s="408" t="str">
        <f t="shared" si="34"/>
        <v>14-01</v>
      </c>
      <c r="E957" s="273" t="e">
        <f ca="1">_xludf.IFNA(VLOOKUP('Comp X - Kilter'!B957,'Kilter Holds'!$P$37:$AB$662,6,0),0)</f>
        <v>#NAME?</v>
      </c>
      <c r="F957" s="274"/>
      <c r="G957" s="274" t="e">
        <f t="shared" ca="1" si="24"/>
        <v>#NAME?</v>
      </c>
      <c r="H957" s="274">
        <f t="shared" si="25"/>
        <v>0</v>
      </c>
      <c r="K957" s="274"/>
    </row>
    <row r="958" spans="2:11" ht="13.5" customHeight="1">
      <c r="B958" s="1" t="s">
        <v>2093</v>
      </c>
      <c r="C958" s="1" t="s">
        <v>3371</v>
      </c>
      <c r="D958" s="409" t="str">
        <f t="shared" si="34"/>
        <v>15-12</v>
      </c>
      <c r="E958" s="273" t="e">
        <f ca="1">_xludf.IFNA(VLOOKUP('Comp X - Kilter'!B958,'Kilter Holds'!$P$37:$AB$662,7,0),0)</f>
        <v>#NAME?</v>
      </c>
      <c r="F958" s="274"/>
      <c r="G958" s="274" t="e">
        <f t="shared" ca="1" si="24"/>
        <v>#NAME?</v>
      </c>
      <c r="H958" s="274">
        <f t="shared" si="25"/>
        <v>0</v>
      </c>
      <c r="K958" s="274"/>
    </row>
    <row r="959" spans="2:11" ht="13.5" customHeight="1">
      <c r="B959" s="1" t="s">
        <v>2093</v>
      </c>
      <c r="C959" s="1" t="s">
        <v>3371</v>
      </c>
      <c r="D959" s="410" t="str">
        <f t="shared" si="34"/>
        <v>16-16</v>
      </c>
      <c r="E959" s="273" t="e">
        <f ca="1">_xludf.IFNA(VLOOKUP('Comp X - Kilter'!B959,'Kilter Holds'!$P$37:$AB$662,8,0),0)</f>
        <v>#NAME?</v>
      </c>
      <c r="F959" s="274"/>
      <c r="G959" s="274" t="e">
        <f t="shared" ca="1" si="24"/>
        <v>#NAME?</v>
      </c>
      <c r="H959" s="274">
        <f t="shared" si="25"/>
        <v>0</v>
      </c>
      <c r="K959" s="274"/>
    </row>
    <row r="960" spans="2:11" ht="13.5" customHeight="1">
      <c r="B960" s="1" t="s">
        <v>2093</v>
      </c>
      <c r="C960" s="1" t="s">
        <v>3371</v>
      </c>
      <c r="D960" s="411" t="str">
        <f t="shared" si="34"/>
        <v>13-01</v>
      </c>
      <c r="E960" s="273" t="e">
        <f ca="1">_xludf.IFNA(VLOOKUP('Comp X - Kilter'!B960,'Kilter Holds'!$P$37:$AB$662,9,0),0)</f>
        <v>#NAME?</v>
      </c>
      <c r="F960" s="274"/>
      <c r="G960" s="274" t="e">
        <f t="shared" ca="1" si="24"/>
        <v>#NAME?</v>
      </c>
      <c r="H960" s="274">
        <f t="shared" si="25"/>
        <v>0</v>
      </c>
      <c r="K960" s="274"/>
    </row>
    <row r="961" spans="2:11" ht="13.5" customHeight="1">
      <c r="B961" s="1" t="s">
        <v>2093</v>
      </c>
      <c r="C961" s="1" t="s">
        <v>3371</v>
      </c>
      <c r="D961" s="413" t="str">
        <f t="shared" si="34"/>
        <v>07-13</v>
      </c>
      <c r="E961" s="273" t="e">
        <f ca="1">_xludf.IFNA(VLOOKUP('Comp X - Kilter'!B961,'Kilter Holds'!$P$37:$AB$662,10,0),0)</f>
        <v>#NAME?</v>
      </c>
      <c r="F961" s="274"/>
      <c r="G961" s="274" t="e">
        <f t="shared" ca="1" si="24"/>
        <v>#NAME?</v>
      </c>
      <c r="H961" s="274">
        <f t="shared" si="25"/>
        <v>0</v>
      </c>
      <c r="K961" s="274"/>
    </row>
    <row r="962" spans="2:11" ht="13.5" customHeight="1">
      <c r="B962" s="1" t="s">
        <v>2093</v>
      </c>
      <c r="C962" s="1" t="s">
        <v>3371</v>
      </c>
      <c r="D962" s="414" t="str">
        <f t="shared" si="34"/>
        <v>11-26</v>
      </c>
      <c r="E962" s="273" t="e">
        <f ca="1">_xludf.IFNA(VLOOKUP('Comp X - Kilter'!B962,'Kilter Holds'!$P$37:$AB$662,11,0),0)</f>
        <v>#NAME?</v>
      </c>
      <c r="F962" s="274"/>
      <c r="G962" s="274" t="e">
        <f t="shared" ca="1" si="24"/>
        <v>#NAME?</v>
      </c>
      <c r="H962" s="274">
        <f t="shared" si="25"/>
        <v>0</v>
      </c>
      <c r="K962" s="274"/>
    </row>
    <row r="963" spans="2:11" ht="13.5" customHeight="1">
      <c r="B963" s="1" t="s">
        <v>2093</v>
      </c>
      <c r="C963" s="1" t="s">
        <v>3371</v>
      </c>
      <c r="D963" s="415" t="str">
        <f t="shared" si="34"/>
        <v>18-01</v>
      </c>
      <c r="E963" s="273" t="e">
        <f ca="1">_xludf.IFNA(VLOOKUP('Comp X - Kilter'!B963,'Kilter Holds'!$P$37:$AB$662,12,0),0)</f>
        <v>#NAME?</v>
      </c>
      <c r="F963" s="274"/>
      <c r="G963" s="274" t="e">
        <f t="shared" ca="1" si="24"/>
        <v>#NAME?</v>
      </c>
      <c r="H963" s="274">
        <f t="shared" si="25"/>
        <v>0</v>
      </c>
      <c r="K963" s="274"/>
    </row>
    <row r="964" spans="2:11" ht="13.5" customHeight="1">
      <c r="B964" s="1" t="s">
        <v>2093</v>
      </c>
      <c r="C964" s="1" t="s">
        <v>3371</v>
      </c>
      <c r="D964" s="416" t="str">
        <f t="shared" si="34"/>
        <v>Color Code</v>
      </c>
      <c r="E964" s="273" t="e">
        <f ca="1">_xludf.IFNA(VLOOKUP('Comp X - Kilter'!B964,'Kilter Holds'!$P$37:$AB$662,13,0),0)</f>
        <v>#NAME?</v>
      </c>
      <c r="F964" s="274"/>
      <c r="G964" s="274" t="e">
        <f t="shared" ca="1" si="24"/>
        <v>#NAME?</v>
      </c>
      <c r="H964" s="274">
        <f t="shared" si="25"/>
        <v>0</v>
      </c>
      <c r="K964" s="274"/>
    </row>
    <row r="965" spans="2:11" ht="13.5" customHeight="1">
      <c r="B965" s="1" t="s">
        <v>2094</v>
      </c>
      <c r="C965" s="1" t="s">
        <v>3372</v>
      </c>
      <c r="D965" s="406" t="str">
        <f t="shared" si="34"/>
        <v>11-12</v>
      </c>
      <c r="E965" s="273" t="e">
        <f ca="1">_xludf.IFNA(VLOOKUP('Comp X - Kilter'!B965,'Kilter Holds'!$P$37:$AB$662,5,0),0)</f>
        <v>#NAME?</v>
      </c>
      <c r="F965" s="274"/>
      <c r="G965" s="274" t="e">
        <f t="shared" ca="1" si="24"/>
        <v>#NAME?</v>
      </c>
      <c r="H965" s="274">
        <f t="shared" si="25"/>
        <v>0</v>
      </c>
      <c r="K965" s="274"/>
    </row>
    <row r="966" spans="2:11" ht="13.5" customHeight="1">
      <c r="B966" s="1" t="s">
        <v>2094</v>
      </c>
      <c r="C966" s="1" t="s">
        <v>3372</v>
      </c>
      <c r="D966" s="408" t="str">
        <f t="shared" si="34"/>
        <v>14-01</v>
      </c>
      <c r="E966" s="273" t="e">
        <f ca="1">_xludf.IFNA(VLOOKUP('Comp X - Kilter'!B966,'Kilter Holds'!$P$37:$AB$662,6,0),0)</f>
        <v>#NAME?</v>
      </c>
      <c r="F966" s="274"/>
      <c r="G966" s="274" t="e">
        <f t="shared" ca="1" si="24"/>
        <v>#NAME?</v>
      </c>
      <c r="H966" s="274">
        <f t="shared" si="25"/>
        <v>0</v>
      </c>
      <c r="K966" s="274"/>
    </row>
    <row r="967" spans="2:11" ht="13.5" customHeight="1">
      <c r="B967" s="1" t="s">
        <v>2094</v>
      </c>
      <c r="C967" s="1" t="s">
        <v>3372</v>
      </c>
      <c r="D967" s="409" t="str">
        <f t="shared" si="34"/>
        <v>15-12</v>
      </c>
      <c r="E967" s="273" t="e">
        <f ca="1">_xludf.IFNA(VLOOKUP('Comp X - Kilter'!B967,'Kilter Holds'!$P$37:$AB$662,7,0),0)</f>
        <v>#NAME?</v>
      </c>
      <c r="F967" s="274"/>
      <c r="G967" s="274" t="e">
        <f t="shared" ca="1" si="24"/>
        <v>#NAME?</v>
      </c>
      <c r="H967" s="274">
        <f t="shared" si="25"/>
        <v>0</v>
      </c>
      <c r="K967" s="274"/>
    </row>
    <row r="968" spans="2:11" ht="13.5" customHeight="1">
      <c r="B968" s="1" t="s">
        <v>2094</v>
      </c>
      <c r="C968" s="1" t="s">
        <v>3372</v>
      </c>
      <c r="D968" s="410" t="str">
        <f t="shared" si="34"/>
        <v>16-16</v>
      </c>
      <c r="E968" s="273" t="e">
        <f ca="1">_xludf.IFNA(VLOOKUP('Comp X - Kilter'!B968,'Kilter Holds'!$P$37:$AB$662,8,0),0)</f>
        <v>#NAME?</v>
      </c>
      <c r="F968" s="274"/>
      <c r="G968" s="274" t="e">
        <f t="shared" ca="1" si="24"/>
        <v>#NAME?</v>
      </c>
      <c r="H968" s="274">
        <f t="shared" si="25"/>
        <v>0</v>
      </c>
      <c r="K968" s="274"/>
    </row>
    <row r="969" spans="2:11" ht="13.5" customHeight="1">
      <c r="B969" s="1" t="s">
        <v>2094</v>
      </c>
      <c r="C969" s="1" t="s">
        <v>3372</v>
      </c>
      <c r="D969" s="411" t="str">
        <f t="shared" si="34"/>
        <v>13-01</v>
      </c>
      <c r="E969" s="273" t="e">
        <f ca="1">_xludf.IFNA(VLOOKUP('Comp X - Kilter'!B969,'Kilter Holds'!$P$37:$AB$662,9,0),0)</f>
        <v>#NAME?</v>
      </c>
      <c r="F969" s="274"/>
      <c r="G969" s="274" t="e">
        <f t="shared" ca="1" si="24"/>
        <v>#NAME?</v>
      </c>
      <c r="H969" s="274">
        <f t="shared" si="25"/>
        <v>0</v>
      </c>
      <c r="K969" s="274"/>
    </row>
    <row r="970" spans="2:11" ht="13.5" customHeight="1">
      <c r="B970" s="1" t="s">
        <v>2094</v>
      </c>
      <c r="C970" s="1" t="s">
        <v>3372</v>
      </c>
      <c r="D970" s="413" t="str">
        <f t="shared" si="34"/>
        <v>07-13</v>
      </c>
      <c r="E970" s="273" t="e">
        <f ca="1">_xludf.IFNA(VLOOKUP('Comp X - Kilter'!B970,'Kilter Holds'!$P$37:$AB$662,10,0),0)</f>
        <v>#NAME?</v>
      </c>
      <c r="F970" s="274"/>
      <c r="G970" s="274" t="e">
        <f t="shared" ca="1" si="24"/>
        <v>#NAME?</v>
      </c>
      <c r="H970" s="274">
        <f t="shared" si="25"/>
        <v>0</v>
      </c>
      <c r="K970" s="274"/>
    </row>
    <row r="971" spans="2:11" ht="13.5" customHeight="1">
      <c r="B971" s="1" t="s">
        <v>2094</v>
      </c>
      <c r="C971" s="1" t="s">
        <v>3372</v>
      </c>
      <c r="D971" s="414" t="str">
        <f t="shared" si="34"/>
        <v>11-26</v>
      </c>
      <c r="E971" s="273" t="e">
        <f ca="1">_xludf.IFNA(VLOOKUP('Comp X - Kilter'!B971,'Kilter Holds'!$P$37:$AB$662,11,0),0)</f>
        <v>#NAME?</v>
      </c>
      <c r="F971" s="274"/>
      <c r="G971" s="274" t="e">
        <f t="shared" ca="1" si="24"/>
        <v>#NAME?</v>
      </c>
      <c r="H971" s="274">
        <f t="shared" si="25"/>
        <v>0</v>
      </c>
      <c r="K971" s="274"/>
    </row>
    <row r="972" spans="2:11" ht="13.5" customHeight="1">
      <c r="B972" s="1" t="s">
        <v>2094</v>
      </c>
      <c r="C972" s="1" t="s">
        <v>3372</v>
      </c>
      <c r="D972" s="415" t="str">
        <f t="shared" si="34"/>
        <v>18-01</v>
      </c>
      <c r="E972" s="273" t="e">
        <f ca="1">_xludf.IFNA(VLOOKUP('Comp X - Kilter'!B972,'Kilter Holds'!$P$37:$AB$662,12,0),0)</f>
        <v>#NAME?</v>
      </c>
      <c r="F972" s="274"/>
      <c r="G972" s="274" t="e">
        <f t="shared" ca="1" si="24"/>
        <v>#NAME?</v>
      </c>
      <c r="H972" s="274">
        <f t="shared" si="25"/>
        <v>0</v>
      </c>
      <c r="K972" s="274"/>
    </row>
    <row r="973" spans="2:11" ht="13.5" customHeight="1">
      <c r="B973" s="1" t="s">
        <v>2094</v>
      </c>
      <c r="C973" s="1" t="s">
        <v>3372</v>
      </c>
      <c r="D973" s="416" t="str">
        <f t="shared" si="34"/>
        <v>Color Code</v>
      </c>
      <c r="E973" s="273" t="e">
        <f ca="1">_xludf.IFNA(VLOOKUP('Comp X - Kilter'!B973,'Kilter Holds'!$P$37:$AB$662,13,0),0)</f>
        <v>#NAME?</v>
      </c>
      <c r="F973" s="274"/>
      <c r="G973" s="274" t="e">
        <f t="shared" ca="1" si="24"/>
        <v>#NAME?</v>
      </c>
      <c r="H973" s="274">
        <f t="shared" si="25"/>
        <v>0</v>
      </c>
      <c r="K973" s="274"/>
    </row>
    <row r="974" spans="2:11" ht="13.5" customHeight="1">
      <c r="B974" s="1" t="s">
        <v>2030</v>
      </c>
      <c r="C974" s="1" t="s">
        <v>3373</v>
      </c>
      <c r="D974" s="406" t="str">
        <f t="shared" si="34"/>
        <v>11-12</v>
      </c>
      <c r="E974" s="273" t="e">
        <f ca="1">_xludf.IFNA(VLOOKUP('Comp X - Kilter'!B974,'Kilter Holds'!$P$37:$AB$662,5,0),0)</f>
        <v>#NAME?</v>
      </c>
      <c r="F974" s="274"/>
      <c r="G974" s="274" t="e">
        <f t="shared" ca="1" si="24"/>
        <v>#NAME?</v>
      </c>
      <c r="H974" s="274">
        <f t="shared" si="25"/>
        <v>0</v>
      </c>
      <c r="K974" s="274"/>
    </row>
    <row r="975" spans="2:11" ht="13.5" customHeight="1">
      <c r="B975" s="1" t="s">
        <v>2030</v>
      </c>
      <c r="C975" s="1" t="s">
        <v>3373</v>
      </c>
      <c r="D975" s="408" t="str">
        <f t="shared" si="34"/>
        <v>14-01</v>
      </c>
      <c r="E975" s="273" t="e">
        <f ca="1">_xludf.IFNA(VLOOKUP('Comp X - Kilter'!B975,'Kilter Holds'!$P$37:$AB$662,6,0),0)</f>
        <v>#NAME?</v>
      </c>
      <c r="F975" s="274"/>
      <c r="G975" s="274" t="e">
        <f t="shared" ca="1" si="24"/>
        <v>#NAME?</v>
      </c>
      <c r="H975" s="274">
        <f t="shared" si="25"/>
        <v>0</v>
      </c>
      <c r="K975" s="274"/>
    </row>
    <row r="976" spans="2:11" ht="13.5" customHeight="1">
      <c r="B976" s="1" t="s">
        <v>2030</v>
      </c>
      <c r="C976" s="1" t="s">
        <v>3373</v>
      </c>
      <c r="D976" s="409" t="str">
        <f t="shared" si="34"/>
        <v>15-12</v>
      </c>
      <c r="E976" s="273" t="e">
        <f ca="1">_xludf.IFNA(VLOOKUP('Comp X - Kilter'!B976,'Kilter Holds'!$P$37:$AB$662,7,0),0)</f>
        <v>#NAME?</v>
      </c>
      <c r="F976" s="274"/>
      <c r="G976" s="274" t="e">
        <f t="shared" ca="1" si="24"/>
        <v>#NAME?</v>
      </c>
      <c r="H976" s="274">
        <f t="shared" si="25"/>
        <v>0</v>
      </c>
      <c r="K976" s="274"/>
    </row>
    <row r="977" spans="1:11" ht="13.5" customHeight="1">
      <c r="B977" s="1" t="s">
        <v>2030</v>
      </c>
      <c r="C977" s="1" t="s">
        <v>3373</v>
      </c>
      <c r="D977" s="410" t="str">
        <f t="shared" si="34"/>
        <v>16-16</v>
      </c>
      <c r="E977" s="273" t="e">
        <f ca="1">_xludf.IFNA(VLOOKUP('Comp X - Kilter'!B977,'Kilter Holds'!$P$37:$AB$662,8,0),0)</f>
        <v>#NAME?</v>
      </c>
      <c r="F977" s="274"/>
      <c r="G977" s="274" t="e">
        <f t="shared" ca="1" si="24"/>
        <v>#NAME?</v>
      </c>
      <c r="H977" s="274">
        <f t="shared" si="25"/>
        <v>0</v>
      </c>
      <c r="K977" s="274"/>
    </row>
    <row r="978" spans="1:11" ht="13.5" customHeight="1">
      <c r="B978" s="1" t="s">
        <v>2030</v>
      </c>
      <c r="C978" s="1" t="s">
        <v>3373</v>
      </c>
      <c r="D978" s="411" t="str">
        <f t="shared" si="34"/>
        <v>13-01</v>
      </c>
      <c r="E978" s="273" t="e">
        <f ca="1">_xludf.IFNA(VLOOKUP('Comp X - Kilter'!B978,'Kilter Holds'!$P$37:$AB$662,9,0),0)</f>
        <v>#NAME?</v>
      </c>
      <c r="F978" s="274"/>
      <c r="G978" s="274" t="e">
        <f t="shared" ca="1" si="24"/>
        <v>#NAME?</v>
      </c>
      <c r="H978" s="274">
        <f t="shared" si="25"/>
        <v>0</v>
      </c>
      <c r="K978" s="274"/>
    </row>
    <row r="979" spans="1:11" ht="13.5" customHeight="1">
      <c r="B979" s="1" t="s">
        <v>2030</v>
      </c>
      <c r="C979" s="1" t="s">
        <v>3373</v>
      </c>
      <c r="D979" s="413" t="str">
        <f t="shared" si="34"/>
        <v>07-13</v>
      </c>
      <c r="E979" s="273" t="e">
        <f ca="1">_xludf.IFNA(VLOOKUP('Comp X - Kilter'!B979,'Kilter Holds'!$P$37:$AB$662,10,0),0)</f>
        <v>#NAME?</v>
      </c>
      <c r="F979" s="274"/>
      <c r="G979" s="274" t="e">
        <f t="shared" ca="1" si="24"/>
        <v>#NAME?</v>
      </c>
      <c r="H979" s="274">
        <f t="shared" si="25"/>
        <v>0</v>
      </c>
      <c r="K979" s="274"/>
    </row>
    <row r="980" spans="1:11" ht="13.5" customHeight="1">
      <c r="B980" s="1" t="s">
        <v>2030</v>
      </c>
      <c r="C980" s="1" t="s">
        <v>3373</v>
      </c>
      <c r="D980" s="414" t="str">
        <f t="shared" si="34"/>
        <v>11-26</v>
      </c>
      <c r="E980" s="273" t="e">
        <f ca="1">_xludf.IFNA(VLOOKUP('Comp X - Kilter'!B980,'Kilter Holds'!$P$37:$AB$662,11,0),0)</f>
        <v>#NAME?</v>
      </c>
      <c r="F980" s="274"/>
      <c r="G980" s="274" t="e">
        <f t="shared" ca="1" si="24"/>
        <v>#NAME?</v>
      </c>
      <c r="H980" s="274">
        <f t="shared" si="25"/>
        <v>0</v>
      </c>
      <c r="K980" s="274"/>
    </row>
    <row r="981" spans="1:11" ht="13.5" customHeight="1">
      <c r="B981" s="1" t="s">
        <v>2030</v>
      </c>
      <c r="C981" s="1" t="s">
        <v>3373</v>
      </c>
      <c r="D981" s="415" t="str">
        <f t="shared" si="34"/>
        <v>18-01</v>
      </c>
      <c r="E981" s="273" t="e">
        <f ca="1">_xludf.IFNA(VLOOKUP('Comp X - Kilter'!B981,'Kilter Holds'!$P$37:$AB$662,12,0),0)</f>
        <v>#NAME?</v>
      </c>
      <c r="F981" s="274"/>
      <c r="G981" s="274" t="e">
        <f t="shared" ca="1" si="24"/>
        <v>#NAME?</v>
      </c>
      <c r="H981" s="274">
        <f t="shared" si="25"/>
        <v>0</v>
      </c>
      <c r="K981" s="274"/>
    </row>
    <row r="982" spans="1:11" ht="13.5" customHeight="1">
      <c r="B982" s="1" t="s">
        <v>2030</v>
      </c>
      <c r="C982" s="1" t="s">
        <v>3373</v>
      </c>
      <c r="D982" s="416" t="str">
        <f t="shared" si="34"/>
        <v>Color Code</v>
      </c>
      <c r="E982" s="273" t="e">
        <f ca="1">_xludf.IFNA(VLOOKUP('Comp X - Kilter'!B982,'Kilter Holds'!$P$37:$AB$662,13,0),0)</f>
        <v>#NAME?</v>
      </c>
      <c r="F982" s="274"/>
      <c r="G982" s="274" t="e">
        <f t="shared" ca="1" si="24"/>
        <v>#NAME?</v>
      </c>
      <c r="H982" s="274">
        <f t="shared" si="25"/>
        <v>0</v>
      </c>
      <c r="K982" s="274"/>
    </row>
    <row r="983" spans="1:11" ht="13.5" customHeight="1">
      <c r="B983" s="1" t="s">
        <v>2095</v>
      </c>
      <c r="C983" s="1" t="s">
        <v>3374</v>
      </c>
      <c r="D983" s="406" t="str">
        <f t="shared" ref="D983:D1126" si="35">D650</f>
        <v>11-12</v>
      </c>
      <c r="E983" s="273" t="e">
        <f ca="1">_xludf.IFNA(VLOOKUP('Comp X - Kilter'!B983,'Kilter Holds'!$P$37:$AB$662,5,0),0)</f>
        <v>#NAME?</v>
      </c>
      <c r="F983" s="274"/>
      <c r="G983" s="274" t="e">
        <f t="shared" ca="1" si="24"/>
        <v>#NAME?</v>
      </c>
      <c r="H983" s="274">
        <f t="shared" si="25"/>
        <v>0</v>
      </c>
      <c r="K983" s="274"/>
    </row>
    <row r="984" spans="1:11" ht="13.5" customHeight="1">
      <c r="B984" s="1" t="s">
        <v>2095</v>
      </c>
      <c r="C984" s="1" t="s">
        <v>3374</v>
      </c>
      <c r="D984" s="408" t="str">
        <f t="shared" si="35"/>
        <v>14-01</v>
      </c>
      <c r="E984" s="273" t="e">
        <f ca="1">_xludf.IFNA(VLOOKUP('Comp X - Kilter'!B984,'Kilter Holds'!$P$37:$AB$662,6,0),0)</f>
        <v>#NAME?</v>
      </c>
      <c r="F984" s="274"/>
      <c r="G984" s="274" t="e">
        <f t="shared" ca="1" si="24"/>
        <v>#NAME?</v>
      </c>
      <c r="H984" s="274">
        <f t="shared" si="25"/>
        <v>0</v>
      </c>
      <c r="K984" s="274"/>
    </row>
    <row r="985" spans="1:11" ht="13.5" customHeight="1">
      <c r="B985" s="1" t="s">
        <v>2095</v>
      </c>
      <c r="C985" s="1" t="s">
        <v>3374</v>
      </c>
      <c r="D985" s="409" t="str">
        <f t="shared" si="35"/>
        <v>15-12</v>
      </c>
      <c r="E985" s="273" t="e">
        <f ca="1">_xludf.IFNA(VLOOKUP('Comp X - Kilter'!B985,'Kilter Holds'!$P$37:$AB$662,7,0),0)</f>
        <v>#NAME?</v>
      </c>
      <c r="F985" s="274"/>
      <c r="G985" s="274" t="e">
        <f t="shared" ca="1" si="24"/>
        <v>#NAME?</v>
      </c>
      <c r="H985" s="274">
        <f t="shared" si="25"/>
        <v>0</v>
      </c>
      <c r="K985" s="274"/>
    </row>
    <row r="986" spans="1:11" ht="13.5" customHeight="1">
      <c r="B986" s="1" t="s">
        <v>2095</v>
      </c>
      <c r="C986" s="1" t="s">
        <v>3374</v>
      </c>
      <c r="D986" s="410" t="str">
        <f t="shared" si="35"/>
        <v>16-16</v>
      </c>
      <c r="E986" s="273" t="e">
        <f ca="1">_xludf.IFNA(VLOOKUP('Comp X - Kilter'!B986,'Kilter Holds'!$P$37:$AB$662,8,0),0)</f>
        <v>#NAME?</v>
      </c>
      <c r="F986" s="274"/>
      <c r="G986" s="274" t="e">
        <f t="shared" ca="1" si="24"/>
        <v>#NAME?</v>
      </c>
      <c r="H986" s="274">
        <f t="shared" si="25"/>
        <v>0</v>
      </c>
      <c r="K986" s="274"/>
    </row>
    <row r="987" spans="1:11" ht="13.5" customHeight="1">
      <c r="B987" s="1" t="s">
        <v>2095</v>
      </c>
      <c r="C987" s="1" t="s">
        <v>3374</v>
      </c>
      <c r="D987" s="411" t="str">
        <f t="shared" si="35"/>
        <v>13-01</v>
      </c>
      <c r="E987" s="273" t="e">
        <f ca="1">_xludf.IFNA(VLOOKUP('Comp X - Kilter'!B987,'Kilter Holds'!$P$37:$AB$662,9,0),0)</f>
        <v>#NAME?</v>
      </c>
      <c r="F987" s="274"/>
      <c r="G987" s="274" t="e">
        <f t="shared" ca="1" si="24"/>
        <v>#NAME?</v>
      </c>
      <c r="H987" s="274">
        <f t="shared" si="25"/>
        <v>0</v>
      </c>
      <c r="K987" s="274"/>
    </row>
    <row r="988" spans="1:11" ht="13.5" customHeight="1">
      <c r="B988" s="1" t="s">
        <v>2095</v>
      </c>
      <c r="C988" s="1" t="s">
        <v>3374</v>
      </c>
      <c r="D988" s="413" t="str">
        <f t="shared" si="35"/>
        <v>07-13</v>
      </c>
      <c r="E988" s="273" t="e">
        <f ca="1">_xludf.IFNA(VLOOKUP('Comp X - Kilter'!B988,'Kilter Holds'!$P$37:$AB$662,10,0),0)</f>
        <v>#NAME?</v>
      </c>
      <c r="F988" s="274"/>
      <c r="G988" s="274" t="e">
        <f t="shared" ca="1" si="24"/>
        <v>#NAME?</v>
      </c>
      <c r="H988" s="274">
        <f t="shared" si="25"/>
        <v>0</v>
      </c>
      <c r="K988" s="274"/>
    </row>
    <row r="989" spans="1:11" ht="13.5" customHeight="1">
      <c r="B989" s="1" t="s">
        <v>2095</v>
      </c>
      <c r="C989" s="1" t="s">
        <v>3374</v>
      </c>
      <c r="D989" s="414" t="str">
        <f t="shared" si="35"/>
        <v>11-26</v>
      </c>
      <c r="E989" s="273" t="e">
        <f ca="1">_xludf.IFNA(VLOOKUP('Comp X - Kilter'!B989,'Kilter Holds'!$P$37:$AB$662,11,0),0)</f>
        <v>#NAME?</v>
      </c>
      <c r="F989" s="274"/>
      <c r="G989" s="274" t="e">
        <f t="shared" ca="1" si="24"/>
        <v>#NAME?</v>
      </c>
      <c r="H989" s="274">
        <f t="shared" si="25"/>
        <v>0</v>
      </c>
      <c r="K989" s="274"/>
    </row>
    <row r="990" spans="1:11" ht="13.5" customHeight="1">
      <c r="B990" s="1" t="s">
        <v>2095</v>
      </c>
      <c r="C990" s="1" t="s">
        <v>3374</v>
      </c>
      <c r="D990" s="415" t="str">
        <f t="shared" si="35"/>
        <v>18-01</v>
      </c>
      <c r="E990" s="273" t="e">
        <f ca="1">_xludf.IFNA(VLOOKUP('Comp X - Kilter'!B990,'Kilter Holds'!$P$37:$AB$662,12,0),0)</f>
        <v>#NAME?</v>
      </c>
      <c r="F990" s="274"/>
      <c r="G990" s="274" t="e">
        <f t="shared" ca="1" si="24"/>
        <v>#NAME?</v>
      </c>
      <c r="H990" s="274">
        <f t="shared" si="25"/>
        <v>0</v>
      </c>
      <c r="K990" s="274"/>
    </row>
    <row r="991" spans="1:11" ht="13.5" customHeight="1">
      <c r="B991" s="1" t="s">
        <v>2095</v>
      </c>
      <c r="C991" s="1" t="s">
        <v>3374</v>
      </c>
      <c r="D991" s="416" t="str">
        <f t="shared" si="35"/>
        <v>Color Code</v>
      </c>
      <c r="E991" s="273" t="e">
        <f ca="1">_xludf.IFNA(VLOOKUP('Comp X - Kilter'!B991,'Kilter Holds'!$P$37:$AB$662,13,0),0)</f>
        <v>#NAME?</v>
      </c>
      <c r="F991" s="274"/>
      <c r="G991" s="274" t="e">
        <f t="shared" ca="1" si="24"/>
        <v>#NAME?</v>
      </c>
      <c r="H991" s="274">
        <f t="shared" si="25"/>
        <v>0</v>
      </c>
      <c r="K991" s="274"/>
    </row>
    <row r="992" spans="1:11" ht="13.5" customHeight="1">
      <c r="A992" s="1" t="s">
        <v>2033</v>
      </c>
      <c r="B992" s="1" t="s">
        <v>3375</v>
      </c>
      <c r="C992" s="1" t="s">
        <v>3376</v>
      </c>
      <c r="D992" s="406" t="str">
        <f t="shared" si="35"/>
        <v>11-12</v>
      </c>
      <c r="E992" s="273" t="e">
        <f ca="1">_xludf.IFNA(VLOOKUP(B992,'Kilter Holds'!$P$37:$AB$662,5,0),0)+_xludf.IFNA(VLOOKUP(A992,'Kilter Holds'!$P$37:$AB$662,5,0),0)</f>
        <v>#NAME?</v>
      </c>
      <c r="F992" s="274"/>
      <c r="G992" s="274" t="e">
        <f t="shared" ca="1" si="24"/>
        <v>#NAME?</v>
      </c>
      <c r="H992" s="274">
        <f t="shared" si="25"/>
        <v>0</v>
      </c>
      <c r="K992" s="274"/>
    </row>
    <row r="993" spans="1:11" ht="13.5" customHeight="1">
      <c r="A993" s="1" t="s">
        <v>2033</v>
      </c>
      <c r="B993" s="1" t="s">
        <v>3375</v>
      </c>
      <c r="C993" s="1" t="s">
        <v>3376</v>
      </c>
      <c r="D993" s="408" t="str">
        <f t="shared" si="35"/>
        <v>14-01</v>
      </c>
      <c r="E993" s="273" t="e">
        <f ca="1">_xludf.IFNA(VLOOKUP(B993,'Kilter Holds'!$P$37:$AB$662,6,0),0)+_xludf.IFNA(VLOOKUP(A993,'Kilter Holds'!$P$37:$AB$662,6,0),0)</f>
        <v>#NAME?</v>
      </c>
      <c r="F993" s="274"/>
      <c r="G993" s="274" t="e">
        <f t="shared" ca="1" si="24"/>
        <v>#NAME?</v>
      </c>
      <c r="H993" s="274">
        <f t="shared" si="25"/>
        <v>0</v>
      </c>
      <c r="K993" s="274"/>
    </row>
    <row r="994" spans="1:11" ht="13.5" customHeight="1">
      <c r="A994" s="1" t="s">
        <v>2033</v>
      </c>
      <c r="B994" s="1" t="s">
        <v>3375</v>
      </c>
      <c r="C994" s="1" t="s">
        <v>3376</v>
      </c>
      <c r="D994" s="409" t="str">
        <f t="shared" si="35"/>
        <v>15-12</v>
      </c>
      <c r="E994" s="273" t="e">
        <f ca="1">_xludf.IFNA(VLOOKUP(B994,'Kilter Holds'!$P$37:$AB$662,7,0),0)+_xludf.IFNA(VLOOKUP(A994,'Kilter Holds'!$P$37:$AB$662,7,0),0)</f>
        <v>#NAME?</v>
      </c>
      <c r="F994" s="274"/>
      <c r="G994" s="274" t="e">
        <f t="shared" ca="1" si="24"/>
        <v>#NAME?</v>
      </c>
      <c r="H994" s="274">
        <f t="shared" si="25"/>
        <v>0</v>
      </c>
      <c r="K994" s="274"/>
    </row>
    <row r="995" spans="1:11" ht="13.5" customHeight="1">
      <c r="A995" s="1" t="s">
        <v>2033</v>
      </c>
      <c r="B995" s="1" t="s">
        <v>3375</v>
      </c>
      <c r="C995" s="1" t="s">
        <v>3376</v>
      </c>
      <c r="D995" s="410" t="str">
        <f t="shared" si="35"/>
        <v>16-16</v>
      </c>
      <c r="E995" s="273" t="e">
        <f ca="1">_xludf.IFNA(VLOOKUP(B995,'Kilter Holds'!$P$37:$AB$662,8,0),0)+_xludf.IFNA(VLOOKUP(A995,'Kilter Holds'!$P$37:$AB$662,8,0),0)</f>
        <v>#NAME?</v>
      </c>
      <c r="F995" s="274"/>
      <c r="G995" s="274" t="e">
        <f t="shared" ca="1" si="24"/>
        <v>#NAME?</v>
      </c>
      <c r="H995" s="274">
        <f t="shared" si="25"/>
        <v>0</v>
      </c>
      <c r="K995" s="274"/>
    </row>
    <row r="996" spans="1:11" ht="13.5" customHeight="1">
      <c r="A996" s="1" t="s">
        <v>2033</v>
      </c>
      <c r="B996" s="1" t="s">
        <v>3375</v>
      </c>
      <c r="C996" s="1" t="s">
        <v>3376</v>
      </c>
      <c r="D996" s="411" t="str">
        <f t="shared" si="35"/>
        <v>13-01</v>
      </c>
      <c r="E996" s="273" t="e">
        <f ca="1">_xludf.IFNA(VLOOKUP(B996,'Kilter Holds'!$P$37:$AB$662,9,0),0)+_xludf.IFNA(VLOOKUP(A996,'Kilter Holds'!$P$37:$AB$662,9,0),0)</f>
        <v>#NAME?</v>
      </c>
      <c r="F996" s="274"/>
      <c r="G996" s="274" t="e">
        <f t="shared" ca="1" si="24"/>
        <v>#NAME?</v>
      </c>
      <c r="H996" s="274">
        <f t="shared" si="25"/>
        <v>0</v>
      </c>
      <c r="K996" s="274"/>
    </row>
    <row r="997" spans="1:11" ht="13.5" customHeight="1">
      <c r="A997" s="1" t="s">
        <v>2033</v>
      </c>
      <c r="B997" s="1" t="s">
        <v>3375</v>
      </c>
      <c r="C997" s="1" t="s">
        <v>3376</v>
      </c>
      <c r="D997" s="413" t="str">
        <f t="shared" si="35"/>
        <v>07-13</v>
      </c>
      <c r="E997" s="273" t="e">
        <f ca="1">_xludf.IFNA(VLOOKUP(B997,'Kilter Holds'!$P$37:$AB$662,10,0),0)+_xludf.IFNA(VLOOKUP(A997,'Kilter Holds'!$P$37:$AB$662,10,0),0)</f>
        <v>#NAME?</v>
      </c>
      <c r="F997" s="274"/>
      <c r="G997" s="274" t="e">
        <f t="shared" ca="1" si="24"/>
        <v>#NAME?</v>
      </c>
      <c r="H997" s="274">
        <f t="shared" si="25"/>
        <v>0</v>
      </c>
      <c r="K997" s="274"/>
    </row>
    <row r="998" spans="1:11" ht="13.5" customHeight="1">
      <c r="A998" s="1" t="s">
        <v>2033</v>
      </c>
      <c r="B998" s="1" t="s">
        <v>3375</v>
      </c>
      <c r="C998" s="1" t="s">
        <v>3376</v>
      </c>
      <c r="D998" s="414" t="str">
        <f t="shared" si="35"/>
        <v>11-26</v>
      </c>
      <c r="E998" s="273" t="e">
        <f ca="1">_xludf.IFNA(VLOOKUP(B998,'Kilter Holds'!$P$37:$AB$662,11,0),0)+_xludf.IFNA(VLOOKUP(A998,'Kilter Holds'!$P$37:$AB$662,11,0),0)</f>
        <v>#NAME?</v>
      </c>
      <c r="F998" s="274"/>
      <c r="G998" s="274" t="e">
        <f t="shared" ca="1" si="24"/>
        <v>#NAME?</v>
      </c>
      <c r="H998" s="274">
        <f t="shared" si="25"/>
        <v>0</v>
      </c>
      <c r="K998" s="274"/>
    </row>
    <row r="999" spans="1:11" ht="13.5" customHeight="1">
      <c r="A999" s="1" t="s">
        <v>2033</v>
      </c>
      <c r="B999" s="1" t="s">
        <v>3375</v>
      </c>
      <c r="C999" s="1" t="s">
        <v>3376</v>
      </c>
      <c r="D999" s="415" t="str">
        <f t="shared" si="35"/>
        <v>18-01</v>
      </c>
      <c r="E999" s="273" t="e">
        <f ca="1">_xludf.IFNA(VLOOKUP(B999,'Kilter Holds'!$P$37:$AB$662,12,0),0)+_xludf.IFNA(VLOOKUP(A999,'Kilter Holds'!$P$37:$AB$662,12,0),0)</f>
        <v>#NAME?</v>
      </c>
      <c r="F999" s="274"/>
      <c r="G999" s="274" t="e">
        <f t="shared" ca="1" si="24"/>
        <v>#NAME?</v>
      </c>
      <c r="H999" s="274">
        <f t="shared" si="25"/>
        <v>0</v>
      </c>
      <c r="K999" s="274"/>
    </row>
    <row r="1000" spans="1:11" ht="13.5" customHeight="1">
      <c r="A1000" s="1" t="s">
        <v>2033</v>
      </c>
      <c r="B1000" s="1" t="s">
        <v>3375</v>
      </c>
      <c r="C1000" s="1" t="s">
        <v>3376</v>
      </c>
      <c r="D1000" s="416" t="str">
        <f t="shared" si="35"/>
        <v>Color Code</v>
      </c>
      <c r="E1000" s="273" t="e">
        <f ca="1">_xludf.IFNA(VLOOKUP(B1000,'Kilter Holds'!$P$37:$AB$662,13,0),0)+_xludf.IFNA(VLOOKUP(A1000,'Kilter Holds'!$P$37:$AB$662,13,0),0)</f>
        <v>#NAME?</v>
      </c>
      <c r="F1000" s="274"/>
      <c r="G1000" s="274" t="e">
        <f t="shared" ca="1" si="24"/>
        <v>#NAME?</v>
      </c>
      <c r="H1000" s="274">
        <f t="shared" si="25"/>
        <v>0</v>
      </c>
      <c r="K1000" s="274"/>
    </row>
    <row r="1001" spans="1:11" ht="13.5" customHeight="1">
      <c r="A1001" s="1" t="s">
        <v>2033</v>
      </c>
      <c r="B1001" s="1" t="s">
        <v>3377</v>
      </c>
      <c r="C1001" s="1" t="s">
        <v>3378</v>
      </c>
      <c r="D1001" s="406" t="str">
        <f t="shared" si="35"/>
        <v>11-12</v>
      </c>
      <c r="E1001" s="273" t="e">
        <f ca="1">_xludf.IFNA(VLOOKUP(B1001,'Kilter Holds'!$P$37:$AB$662,5,0),0)+_xludf.IFNA(VLOOKUP(A1001,'Kilter Holds'!$P$37:$AB$662,5,0),0)</f>
        <v>#NAME?</v>
      </c>
      <c r="F1001" s="274"/>
      <c r="G1001" s="274" t="e">
        <f t="shared" ca="1" si="24"/>
        <v>#NAME?</v>
      </c>
      <c r="H1001" s="274">
        <f t="shared" si="25"/>
        <v>0</v>
      </c>
      <c r="K1001" s="274"/>
    </row>
    <row r="1002" spans="1:11" ht="13.5" customHeight="1">
      <c r="A1002" s="1" t="s">
        <v>2033</v>
      </c>
      <c r="B1002" s="1" t="s">
        <v>3377</v>
      </c>
      <c r="C1002" s="1" t="s">
        <v>3378</v>
      </c>
      <c r="D1002" s="408" t="str">
        <f t="shared" si="35"/>
        <v>14-01</v>
      </c>
      <c r="E1002" s="273" t="e">
        <f ca="1">_xludf.IFNA(VLOOKUP(B1002,'Kilter Holds'!$P$37:$AB$662,6,0),0)+_xludf.IFNA(VLOOKUP(A1002,'Kilter Holds'!$P$37:$AB$662,6,0),0)</f>
        <v>#NAME?</v>
      </c>
      <c r="F1002" s="274"/>
      <c r="G1002" s="274" t="e">
        <f t="shared" ca="1" si="24"/>
        <v>#NAME?</v>
      </c>
      <c r="H1002" s="274">
        <f t="shared" si="25"/>
        <v>0</v>
      </c>
      <c r="K1002" s="274"/>
    </row>
    <row r="1003" spans="1:11" ht="13.5" customHeight="1">
      <c r="A1003" s="1" t="s">
        <v>2033</v>
      </c>
      <c r="B1003" s="1" t="s">
        <v>3377</v>
      </c>
      <c r="C1003" s="1" t="s">
        <v>3378</v>
      </c>
      <c r="D1003" s="409" t="str">
        <f t="shared" si="35"/>
        <v>15-12</v>
      </c>
      <c r="E1003" s="273" t="e">
        <f ca="1">_xludf.IFNA(VLOOKUP(B1003,'Kilter Holds'!$P$37:$AB$662,7,0),0)+_xludf.IFNA(VLOOKUP(A1003,'Kilter Holds'!$P$37:$AB$662,7,0),0)</f>
        <v>#NAME?</v>
      </c>
      <c r="F1003" s="274"/>
      <c r="G1003" s="274" t="e">
        <f t="shared" ca="1" si="24"/>
        <v>#NAME?</v>
      </c>
      <c r="H1003" s="274">
        <f t="shared" si="25"/>
        <v>0</v>
      </c>
      <c r="K1003" s="274"/>
    </row>
    <row r="1004" spans="1:11" ht="13.5" customHeight="1">
      <c r="A1004" s="1" t="s">
        <v>2033</v>
      </c>
      <c r="B1004" s="1" t="s">
        <v>3377</v>
      </c>
      <c r="C1004" s="1" t="s">
        <v>3378</v>
      </c>
      <c r="D1004" s="410" t="str">
        <f t="shared" si="35"/>
        <v>16-16</v>
      </c>
      <c r="E1004" s="273" t="e">
        <f ca="1">_xludf.IFNA(VLOOKUP(B1004,'Kilter Holds'!$P$37:$AB$662,8,0),0)+_xludf.IFNA(VLOOKUP(A1004,'Kilter Holds'!$P$37:$AB$662,8,0),0)</f>
        <v>#NAME?</v>
      </c>
      <c r="F1004" s="274"/>
      <c r="G1004" s="274" t="e">
        <f t="shared" ca="1" si="24"/>
        <v>#NAME?</v>
      </c>
      <c r="H1004" s="274">
        <f t="shared" si="25"/>
        <v>0</v>
      </c>
      <c r="K1004" s="274"/>
    </row>
    <row r="1005" spans="1:11" ht="13.5" customHeight="1">
      <c r="A1005" s="1" t="s">
        <v>2033</v>
      </c>
      <c r="B1005" s="1" t="s">
        <v>3377</v>
      </c>
      <c r="C1005" s="1" t="s">
        <v>3378</v>
      </c>
      <c r="D1005" s="411" t="str">
        <f t="shared" si="35"/>
        <v>13-01</v>
      </c>
      <c r="E1005" s="273" t="e">
        <f ca="1">_xludf.IFNA(VLOOKUP(B1005,'Kilter Holds'!$P$37:$AB$662,9,0),0)+_xludf.IFNA(VLOOKUP(A1005,'Kilter Holds'!$P$37:$AB$662,9,0),0)</f>
        <v>#NAME?</v>
      </c>
      <c r="F1005" s="274"/>
      <c r="G1005" s="274" t="e">
        <f t="shared" ca="1" si="24"/>
        <v>#NAME?</v>
      </c>
      <c r="H1005" s="274">
        <f t="shared" si="25"/>
        <v>0</v>
      </c>
      <c r="K1005" s="274"/>
    </row>
    <row r="1006" spans="1:11" ht="13.5" customHeight="1">
      <c r="A1006" s="1" t="s">
        <v>2033</v>
      </c>
      <c r="B1006" s="1" t="s">
        <v>3377</v>
      </c>
      <c r="C1006" s="1" t="s">
        <v>3378</v>
      </c>
      <c r="D1006" s="413" t="str">
        <f t="shared" si="35"/>
        <v>07-13</v>
      </c>
      <c r="E1006" s="273" t="e">
        <f ca="1">_xludf.IFNA(VLOOKUP(B1006,'Kilter Holds'!$P$37:$AB$662,10,0),0)+_xludf.IFNA(VLOOKUP(A1006,'Kilter Holds'!$P$37:$AB$662,10,0),0)</f>
        <v>#NAME?</v>
      </c>
      <c r="F1006" s="274"/>
      <c r="G1006" s="274" t="e">
        <f t="shared" ca="1" si="24"/>
        <v>#NAME?</v>
      </c>
      <c r="H1006" s="274">
        <f t="shared" si="25"/>
        <v>0</v>
      </c>
      <c r="K1006" s="274"/>
    </row>
    <row r="1007" spans="1:11" ht="13.5" customHeight="1">
      <c r="A1007" s="1" t="s">
        <v>2033</v>
      </c>
      <c r="B1007" s="1" t="s">
        <v>3377</v>
      </c>
      <c r="C1007" s="1" t="s">
        <v>3378</v>
      </c>
      <c r="D1007" s="414" t="str">
        <f t="shared" si="35"/>
        <v>11-26</v>
      </c>
      <c r="E1007" s="273" t="e">
        <f ca="1">_xludf.IFNA(VLOOKUP(B1007,'Kilter Holds'!$P$37:$AB$662,11,0),0)+_xludf.IFNA(VLOOKUP(A1007,'Kilter Holds'!$P$37:$AB$662,11,0),0)</f>
        <v>#NAME?</v>
      </c>
      <c r="F1007" s="274"/>
      <c r="G1007" s="274" t="e">
        <f t="shared" ca="1" si="24"/>
        <v>#NAME?</v>
      </c>
      <c r="H1007" s="274">
        <f t="shared" si="25"/>
        <v>0</v>
      </c>
      <c r="K1007" s="274"/>
    </row>
    <row r="1008" spans="1:11" ht="13.5" customHeight="1">
      <c r="A1008" s="1" t="s">
        <v>2033</v>
      </c>
      <c r="B1008" s="1" t="s">
        <v>3377</v>
      </c>
      <c r="C1008" s="1" t="s">
        <v>3378</v>
      </c>
      <c r="D1008" s="415" t="str">
        <f t="shared" si="35"/>
        <v>18-01</v>
      </c>
      <c r="E1008" s="273" t="e">
        <f ca="1">_xludf.IFNA(VLOOKUP(B1008,'Kilter Holds'!$P$37:$AB$662,12,0),0)+_xludf.IFNA(VLOOKUP(A1008,'Kilter Holds'!$P$37:$AB$662,12,0),0)</f>
        <v>#NAME?</v>
      </c>
      <c r="F1008" s="274"/>
      <c r="G1008" s="274" t="e">
        <f t="shared" ca="1" si="24"/>
        <v>#NAME?</v>
      </c>
      <c r="H1008" s="274">
        <f t="shared" si="25"/>
        <v>0</v>
      </c>
      <c r="K1008" s="274"/>
    </row>
    <row r="1009" spans="1:11" ht="13.5" customHeight="1">
      <c r="A1009" s="1" t="s">
        <v>2033</v>
      </c>
      <c r="B1009" s="1" t="s">
        <v>3377</v>
      </c>
      <c r="C1009" s="1" t="s">
        <v>3378</v>
      </c>
      <c r="D1009" s="416" t="str">
        <f t="shared" si="35"/>
        <v>Color Code</v>
      </c>
      <c r="E1009" s="273" t="e">
        <f ca="1">_xludf.IFNA(VLOOKUP(B1009,'Kilter Holds'!$P$37:$AB$662,13,0),0)+_xludf.IFNA(VLOOKUP(A1009,'Kilter Holds'!$P$37:$AB$662,13,0),0)</f>
        <v>#NAME?</v>
      </c>
      <c r="F1009" s="274"/>
      <c r="G1009" s="274" t="e">
        <f t="shared" ca="1" si="24"/>
        <v>#NAME?</v>
      </c>
      <c r="H1009" s="274">
        <f t="shared" si="25"/>
        <v>0</v>
      </c>
      <c r="K1009" s="274"/>
    </row>
    <row r="1010" spans="1:11" ht="13.5" customHeight="1">
      <c r="B1010" s="1" t="s">
        <v>2035</v>
      </c>
      <c r="C1010" s="1" t="s">
        <v>3379</v>
      </c>
      <c r="D1010" s="406" t="str">
        <f t="shared" si="35"/>
        <v>11-12</v>
      </c>
      <c r="E1010" s="273" t="e">
        <f ca="1">_xludf.IFNA(VLOOKUP('Comp X - Kilter'!B1010,'Kilter Holds'!$P$37:$AB$662,5,0),0)</f>
        <v>#NAME?</v>
      </c>
      <c r="F1010" s="274"/>
      <c r="G1010" s="274" t="e">
        <f t="shared" ca="1" si="24"/>
        <v>#NAME?</v>
      </c>
      <c r="H1010" s="274">
        <f t="shared" si="25"/>
        <v>0</v>
      </c>
      <c r="K1010" s="274"/>
    </row>
    <row r="1011" spans="1:11" ht="13.5" customHeight="1">
      <c r="B1011" s="1" t="s">
        <v>2035</v>
      </c>
      <c r="C1011" s="1" t="s">
        <v>3379</v>
      </c>
      <c r="D1011" s="408" t="str">
        <f t="shared" si="35"/>
        <v>14-01</v>
      </c>
      <c r="E1011" s="273" t="e">
        <f ca="1">_xludf.IFNA(VLOOKUP('Comp X - Kilter'!B1011,'Kilter Holds'!$P$37:$AB$662,6,0),0)</f>
        <v>#NAME?</v>
      </c>
      <c r="F1011" s="274"/>
      <c r="G1011" s="274" t="e">
        <f t="shared" ca="1" si="24"/>
        <v>#NAME?</v>
      </c>
      <c r="H1011" s="274">
        <f t="shared" si="25"/>
        <v>0</v>
      </c>
      <c r="K1011" s="274"/>
    </row>
    <row r="1012" spans="1:11" ht="13.5" customHeight="1">
      <c r="B1012" s="1" t="s">
        <v>2035</v>
      </c>
      <c r="C1012" s="1" t="s">
        <v>3379</v>
      </c>
      <c r="D1012" s="409" t="str">
        <f t="shared" si="35"/>
        <v>15-12</v>
      </c>
      <c r="E1012" s="273" t="e">
        <f ca="1">_xludf.IFNA(VLOOKUP('Comp X - Kilter'!B1012,'Kilter Holds'!$P$37:$AB$662,7,0),0)</f>
        <v>#NAME?</v>
      </c>
      <c r="F1012" s="274"/>
      <c r="G1012" s="274" t="e">
        <f t="shared" ca="1" si="24"/>
        <v>#NAME?</v>
      </c>
      <c r="H1012" s="274">
        <f t="shared" si="25"/>
        <v>0</v>
      </c>
      <c r="K1012" s="274"/>
    </row>
    <row r="1013" spans="1:11" ht="13.5" customHeight="1">
      <c r="B1013" s="1" t="s">
        <v>2035</v>
      </c>
      <c r="C1013" s="1" t="s">
        <v>3379</v>
      </c>
      <c r="D1013" s="410" t="str">
        <f t="shared" si="35"/>
        <v>16-16</v>
      </c>
      <c r="E1013" s="273" t="e">
        <f ca="1">_xludf.IFNA(VLOOKUP('Comp X - Kilter'!B1013,'Kilter Holds'!$P$37:$AB$662,8,0),0)</f>
        <v>#NAME?</v>
      </c>
      <c r="F1013" s="274"/>
      <c r="G1013" s="274" t="e">
        <f t="shared" ca="1" si="24"/>
        <v>#NAME?</v>
      </c>
      <c r="H1013" s="274">
        <f t="shared" si="25"/>
        <v>0</v>
      </c>
      <c r="K1013" s="274"/>
    </row>
    <row r="1014" spans="1:11" ht="13.5" customHeight="1">
      <c r="B1014" s="1" t="s">
        <v>2035</v>
      </c>
      <c r="C1014" s="1" t="s">
        <v>3379</v>
      </c>
      <c r="D1014" s="411" t="str">
        <f t="shared" si="35"/>
        <v>13-01</v>
      </c>
      <c r="E1014" s="273" t="e">
        <f ca="1">_xludf.IFNA(VLOOKUP('Comp X - Kilter'!B1014,'Kilter Holds'!$P$37:$AB$662,9,0),0)</f>
        <v>#NAME?</v>
      </c>
      <c r="F1014" s="274"/>
      <c r="G1014" s="274" t="e">
        <f t="shared" ca="1" si="24"/>
        <v>#NAME?</v>
      </c>
      <c r="H1014" s="274">
        <f t="shared" si="25"/>
        <v>0</v>
      </c>
      <c r="K1014" s="274"/>
    </row>
    <row r="1015" spans="1:11" ht="13.5" customHeight="1">
      <c r="B1015" s="1" t="s">
        <v>2035</v>
      </c>
      <c r="C1015" s="1" t="s">
        <v>3379</v>
      </c>
      <c r="D1015" s="413" t="str">
        <f t="shared" si="35"/>
        <v>07-13</v>
      </c>
      <c r="E1015" s="273" t="e">
        <f ca="1">_xludf.IFNA(VLOOKUP('Comp X - Kilter'!B1015,'Kilter Holds'!$P$37:$AB$662,10,0),0)</f>
        <v>#NAME?</v>
      </c>
      <c r="F1015" s="274"/>
      <c r="G1015" s="274" t="e">
        <f t="shared" ca="1" si="24"/>
        <v>#NAME?</v>
      </c>
      <c r="H1015" s="274">
        <f t="shared" si="25"/>
        <v>0</v>
      </c>
      <c r="K1015" s="274"/>
    </row>
    <row r="1016" spans="1:11" ht="13.5" customHeight="1">
      <c r="B1016" s="1" t="s">
        <v>2035</v>
      </c>
      <c r="C1016" s="1" t="s">
        <v>3379</v>
      </c>
      <c r="D1016" s="414" t="str">
        <f t="shared" si="35"/>
        <v>11-26</v>
      </c>
      <c r="E1016" s="273" t="e">
        <f ca="1">_xludf.IFNA(VLOOKUP('Comp X - Kilter'!B1016,'Kilter Holds'!$P$37:$AB$662,11,0),0)</f>
        <v>#NAME?</v>
      </c>
      <c r="F1016" s="274"/>
      <c r="G1016" s="274" t="e">
        <f t="shared" ca="1" si="24"/>
        <v>#NAME?</v>
      </c>
      <c r="H1016" s="274">
        <f t="shared" si="25"/>
        <v>0</v>
      </c>
      <c r="K1016" s="274"/>
    </row>
    <row r="1017" spans="1:11" ht="13.5" customHeight="1">
      <c r="B1017" s="1" t="s">
        <v>2035</v>
      </c>
      <c r="C1017" s="1" t="s">
        <v>3379</v>
      </c>
      <c r="D1017" s="415" t="str">
        <f t="shared" si="35"/>
        <v>18-01</v>
      </c>
      <c r="E1017" s="273" t="e">
        <f ca="1">_xludf.IFNA(VLOOKUP('Comp X - Kilter'!B1017,'Kilter Holds'!$P$37:$AB$662,12,0),0)</f>
        <v>#NAME?</v>
      </c>
      <c r="F1017" s="274"/>
      <c r="G1017" s="274" t="e">
        <f t="shared" ca="1" si="24"/>
        <v>#NAME?</v>
      </c>
      <c r="H1017" s="274">
        <f t="shared" si="25"/>
        <v>0</v>
      </c>
      <c r="K1017" s="274"/>
    </row>
    <row r="1018" spans="1:11" ht="13.5" customHeight="1">
      <c r="B1018" s="1" t="s">
        <v>2035</v>
      </c>
      <c r="C1018" s="1" t="s">
        <v>3379</v>
      </c>
      <c r="D1018" s="416" t="str">
        <f t="shared" si="35"/>
        <v>Color Code</v>
      </c>
      <c r="E1018" s="273" t="e">
        <f ca="1">_xludf.IFNA(VLOOKUP('Comp X - Kilter'!B1018,'Kilter Holds'!$P$37:$AB$662,13,0),0)</f>
        <v>#NAME?</v>
      </c>
      <c r="F1018" s="274"/>
      <c r="G1018" s="274" t="e">
        <f t="shared" ca="1" si="24"/>
        <v>#NAME?</v>
      </c>
      <c r="H1018" s="274">
        <f t="shared" si="25"/>
        <v>0</v>
      </c>
      <c r="K1018" s="274"/>
    </row>
    <row r="1019" spans="1:11" ht="13.5" customHeight="1">
      <c r="B1019" s="1" t="s">
        <v>2036</v>
      </c>
      <c r="C1019" s="1" t="s">
        <v>3380</v>
      </c>
      <c r="D1019" s="406" t="str">
        <f t="shared" si="35"/>
        <v>11-12</v>
      </c>
      <c r="E1019" s="273" t="e">
        <f ca="1">_xludf.IFNA(VLOOKUP('Comp X - Kilter'!B1019,'Kilter Holds'!$P$37:$AB$662,5,0),0)</f>
        <v>#NAME?</v>
      </c>
      <c r="F1019" s="274"/>
      <c r="G1019" s="274" t="e">
        <f t="shared" ca="1" si="24"/>
        <v>#NAME?</v>
      </c>
      <c r="H1019" s="274">
        <f t="shared" si="25"/>
        <v>0</v>
      </c>
      <c r="K1019" s="274"/>
    </row>
    <row r="1020" spans="1:11" ht="13.5" customHeight="1">
      <c r="B1020" s="1" t="s">
        <v>2036</v>
      </c>
      <c r="C1020" s="1" t="s">
        <v>3380</v>
      </c>
      <c r="D1020" s="408" t="str">
        <f t="shared" si="35"/>
        <v>14-01</v>
      </c>
      <c r="E1020" s="273" t="e">
        <f ca="1">_xludf.IFNA(VLOOKUP('Comp X - Kilter'!B1020,'Kilter Holds'!$P$37:$AB$662,6,0),0)</f>
        <v>#NAME?</v>
      </c>
      <c r="F1020" s="274"/>
      <c r="G1020" s="274" t="e">
        <f t="shared" ca="1" si="24"/>
        <v>#NAME?</v>
      </c>
      <c r="H1020" s="274">
        <f t="shared" si="25"/>
        <v>0</v>
      </c>
      <c r="K1020" s="274"/>
    </row>
    <row r="1021" spans="1:11" ht="13.5" customHeight="1">
      <c r="B1021" s="1" t="s">
        <v>2036</v>
      </c>
      <c r="C1021" s="1" t="s">
        <v>3380</v>
      </c>
      <c r="D1021" s="409" t="str">
        <f t="shared" si="35"/>
        <v>15-12</v>
      </c>
      <c r="E1021" s="273" t="e">
        <f ca="1">_xludf.IFNA(VLOOKUP('Comp X - Kilter'!B1021,'Kilter Holds'!$P$37:$AB$662,7,0),0)</f>
        <v>#NAME?</v>
      </c>
      <c r="F1021" s="274"/>
      <c r="G1021" s="274" t="e">
        <f t="shared" ca="1" si="24"/>
        <v>#NAME?</v>
      </c>
      <c r="H1021" s="274">
        <f t="shared" si="25"/>
        <v>0</v>
      </c>
      <c r="K1021" s="274"/>
    </row>
    <row r="1022" spans="1:11" ht="13.5" customHeight="1">
      <c r="B1022" s="1" t="s">
        <v>2036</v>
      </c>
      <c r="C1022" s="1" t="s">
        <v>3380</v>
      </c>
      <c r="D1022" s="410" t="str">
        <f t="shared" si="35"/>
        <v>16-16</v>
      </c>
      <c r="E1022" s="273" t="e">
        <f ca="1">_xludf.IFNA(VLOOKUP('Comp X - Kilter'!B1022,'Kilter Holds'!$P$37:$AB$662,8,0),0)</f>
        <v>#NAME?</v>
      </c>
      <c r="F1022" s="274"/>
      <c r="G1022" s="274" t="e">
        <f t="shared" ref="G1022:G1276" ca="1" si="36">E1022*F1022</f>
        <v>#NAME?</v>
      </c>
      <c r="H1022" s="274">
        <f t="shared" ref="H1022:H1276" si="37">IF($S$11="Y",G1022*0.15,0)</f>
        <v>0</v>
      </c>
      <c r="K1022" s="274"/>
    </row>
    <row r="1023" spans="1:11" ht="13.5" customHeight="1">
      <c r="B1023" s="1" t="s">
        <v>2036</v>
      </c>
      <c r="C1023" s="1" t="s">
        <v>3380</v>
      </c>
      <c r="D1023" s="411" t="str">
        <f t="shared" si="35"/>
        <v>13-01</v>
      </c>
      <c r="E1023" s="273" t="e">
        <f ca="1">_xludf.IFNA(VLOOKUP('Comp X - Kilter'!B1023,'Kilter Holds'!$P$37:$AB$662,9,0),0)</f>
        <v>#NAME?</v>
      </c>
      <c r="F1023" s="274"/>
      <c r="G1023" s="274" t="e">
        <f t="shared" ca="1" si="36"/>
        <v>#NAME?</v>
      </c>
      <c r="H1023" s="274">
        <f t="shared" si="37"/>
        <v>0</v>
      </c>
      <c r="K1023" s="274"/>
    </row>
    <row r="1024" spans="1:11" ht="13.5" customHeight="1">
      <c r="B1024" s="1" t="s">
        <v>2036</v>
      </c>
      <c r="C1024" s="1" t="s">
        <v>3380</v>
      </c>
      <c r="D1024" s="413" t="str">
        <f t="shared" si="35"/>
        <v>07-13</v>
      </c>
      <c r="E1024" s="273" t="e">
        <f ca="1">_xludf.IFNA(VLOOKUP('Comp X - Kilter'!B1024,'Kilter Holds'!$P$37:$AB$662,10,0),0)</f>
        <v>#NAME?</v>
      </c>
      <c r="F1024" s="274"/>
      <c r="G1024" s="274" t="e">
        <f t="shared" ca="1" si="36"/>
        <v>#NAME?</v>
      </c>
      <c r="H1024" s="274">
        <f t="shared" si="37"/>
        <v>0</v>
      </c>
      <c r="K1024" s="274"/>
    </row>
    <row r="1025" spans="2:11" ht="13.5" customHeight="1">
      <c r="B1025" s="1" t="s">
        <v>2036</v>
      </c>
      <c r="C1025" s="1" t="s">
        <v>3380</v>
      </c>
      <c r="D1025" s="414" t="str">
        <f t="shared" si="35"/>
        <v>11-26</v>
      </c>
      <c r="E1025" s="273" t="e">
        <f ca="1">_xludf.IFNA(VLOOKUP('Comp X - Kilter'!B1025,'Kilter Holds'!$P$37:$AB$662,11,0),0)</f>
        <v>#NAME?</v>
      </c>
      <c r="F1025" s="274"/>
      <c r="G1025" s="274" t="e">
        <f t="shared" ca="1" si="36"/>
        <v>#NAME?</v>
      </c>
      <c r="H1025" s="274">
        <f t="shared" si="37"/>
        <v>0</v>
      </c>
      <c r="K1025" s="274"/>
    </row>
    <row r="1026" spans="2:11" ht="13.5" customHeight="1">
      <c r="B1026" s="1" t="s">
        <v>2036</v>
      </c>
      <c r="C1026" s="1" t="s">
        <v>3380</v>
      </c>
      <c r="D1026" s="415" t="str">
        <f t="shared" si="35"/>
        <v>18-01</v>
      </c>
      <c r="E1026" s="273" t="e">
        <f ca="1">_xludf.IFNA(VLOOKUP('Comp X - Kilter'!B1026,'Kilter Holds'!$P$37:$AB$662,12,0),0)</f>
        <v>#NAME?</v>
      </c>
      <c r="F1026" s="274"/>
      <c r="G1026" s="274" t="e">
        <f t="shared" ca="1" si="36"/>
        <v>#NAME?</v>
      </c>
      <c r="H1026" s="274">
        <f t="shared" si="37"/>
        <v>0</v>
      </c>
      <c r="K1026" s="274"/>
    </row>
    <row r="1027" spans="2:11" ht="13.5" customHeight="1">
      <c r="B1027" s="1" t="s">
        <v>2036</v>
      </c>
      <c r="C1027" s="1" t="s">
        <v>3380</v>
      </c>
      <c r="D1027" s="416" t="str">
        <f t="shared" si="35"/>
        <v>Color Code</v>
      </c>
      <c r="E1027" s="273" t="e">
        <f ca="1">_xludf.IFNA(VLOOKUP('Comp X - Kilter'!B1027,'Kilter Holds'!$P$37:$AB$662,13,0),0)</f>
        <v>#NAME?</v>
      </c>
      <c r="F1027" s="274"/>
      <c r="G1027" s="274" t="e">
        <f t="shared" ca="1" si="36"/>
        <v>#NAME?</v>
      </c>
      <c r="H1027" s="274">
        <f t="shared" si="37"/>
        <v>0</v>
      </c>
      <c r="K1027" s="274"/>
    </row>
    <row r="1028" spans="2:11" ht="13.5" customHeight="1">
      <c r="B1028" s="1" t="s">
        <v>2040</v>
      </c>
      <c r="C1028" s="1" t="s">
        <v>3381</v>
      </c>
      <c r="D1028" s="406" t="str">
        <f t="shared" si="35"/>
        <v>11-12</v>
      </c>
      <c r="E1028" s="273" t="e">
        <f ca="1">_xludf.IFNA(VLOOKUP('Comp X - Kilter'!B1028,'Kilter Holds'!$P$37:$AB$662,5,0),0)</f>
        <v>#NAME?</v>
      </c>
      <c r="F1028" s="274"/>
      <c r="G1028" s="274" t="e">
        <f t="shared" ca="1" si="36"/>
        <v>#NAME?</v>
      </c>
      <c r="H1028" s="274">
        <f t="shared" si="37"/>
        <v>0</v>
      </c>
      <c r="K1028" s="274"/>
    </row>
    <row r="1029" spans="2:11" ht="13.5" customHeight="1">
      <c r="B1029" s="1" t="s">
        <v>2040</v>
      </c>
      <c r="C1029" s="1" t="s">
        <v>3381</v>
      </c>
      <c r="D1029" s="408" t="str">
        <f t="shared" si="35"/>
        <v>14-01</v>
      </c>
      <c r="E1029" s="273" t="e">
        <f ca="1">_xludf.IFNA(VLOOKUP('Comp X - Kilter'!B1029,'Kilter Holds'!$P$37:$AB$662,6,0),0)</f>
        <v>#NAME?</v>
      </c>
      <c r="F1029" s="274"/>
      <c r="G1029" s="274" t="e">
        <f t="shared" ca="1" si="36"/>
        <v>#NAME?</v>
      </c>
      <c r="H1029" s="274">
        <f t="shared" si="37"/>
        <v>0</v>
      </c>
      <c r="K1029" s="274"/>
    </row>
    <row r="1030" spans="2:11" ht="13.5" customHeight="1">
      <c r="B1030" s="1" t="s">
        <v>2040</v>
      </c>
      <c r="C1030" s="1" t="s">
        <v>3381</v>
      </c>
      <c r="D1030" s="409" t="str">
        <f t="shared" si="35"/>
        <v>15-12</v>
      </c>
      <c r="E1030" s="273" t="e">
        <f ca="1">_xludf.IFNA(VLOOKUP('Comp X - Kilter'!B1030,'Kilter Holds'!$P$37:$AB$662,7,0),0)</f>
        <v>#NAME?</v>
      </c>
      <c r="F1030" s="274"/>
      <c r="G1030" s="274" t="e">
        <f t="shared" ca="1" si="36"/>
        <v>#NAME?</v>
      </c>
      <c r="H1030" s="274">
        <f t="shared" si="37"/>
        <v>0</v>
      </c>
      <c r="K1030" s="274"/>
    </row>
    <row r="1031" spans="2:11" ht="13.5" customHeight="1">
      <c r="B1031" s="1" t="s">
        <v>2040</v>
      </c>
      <c r="C1031" s="1" t="s">
        <v>3381</v>
      </c>
      <c r="D1031" s="410" t="str">
        <f t="shared" si="35"/>
        <v>16-16</v>
      </c>
      <c r="E1031" s="273" t="e">
        <f ca="1">_xludf.IFNA(VLOOKUP('Comp X - Kilter'!B1031,'Kilter Holds'!$P$37:$AB$662,8,0),0)</f>
        <v>#NAME?</v>
      </c>
      <c r="F1031" s="274"/>
      <c r="G1031" s="274" t="e">
        <f t="shared" ca="1" si="36"/>
        <v>#NAME?</v>
      </c>
      <c r="H1031" s="274">
        <f t="shared" si="37"/>
        <v>0</v>
      </c>
      <c r="K1031" s="274"/>
    </row>
    <row r="1032" spans="2:11" ht="13.5" customHeight="1">
      <c r="B1032" s="1" t="s">
        <v>2040</v>
      </c>
      <c r="C1032" s="1" t="s">
        <v>3381</v>
      </c>
      <c r="D1032" s="411" t="str">
        <f t="shared" si="35"/>
        <v>13-01</v>
      </c>
      <c r="E1032" s="273" t="e">
        <f ca="1">_xludf.IFNA(VLOOKUP('Comp X - Kilter'!B1032,'Kilter Holds'!$P$37:$AB$662,9,0),0)</f>
        <v>#NAME?</v>
      </c>
      <c r="F1032" s="274"/>
      <c r="G1032" s="274" t="e">
        <f t="shared" ca="1" si="36"/>
        <v>#NAME?</v>
      </c>
      <c r="H1032" s="274">
        <f t="shared" si="37"/>
        <v>0</v>
      </c>
      <c r="K1032" s="274"/>
    </row>
    <row r="1033" spans="2:11" ht="13.5" customHeight="1">
      <c r="B1033" s="1" t="s">
        <v>2040</v>
      </c>
      <c r="C1033" s="1" t="s">
        <v>3381</v>
      </c>
      <c r="D1033" s="413" t="str">
        <f t="shared" si="35"/>
        <v>07-13</v>
      </c>
      <c r="E1033" s="273" t="e">
        <f ca="1">_xludf.IFNA(VLOOKUP('Comp X - Kilter'!B1033,'Kilter Holds'!$P$37:$AB$662,10,0),0)</f>
        <v>#NAME?</v>
      </c>
      <c r="F1033" s="274"/>
      <c r="G1033" s="274" t="e">
        <f t="shared" ca="1" si="36"/>
        <v>#NAME?</v>
      </c>
      <c r="H1033" s="274">
        <f t="shared" si="37"/>
        <v>0</v>
      </c>
      <c r="K1033" s="274"/>
    </row>
    <row r="1034" spans="2:11" ht="13.5" customHeight="1">
      <c r="B1034" s="1" t="s">
        <v>2040</v>
      </c>
      <c r="C1034" s="1" t="s">
        <v>3381</v>
      </c>
      <c r="D1034" s="414" t="str">
        <f t="shared" si="35"/>
        <v>11-26</v>
      </c>
      <c r="E1034" s="273" t="e">
        <f ca="1">_xludf.IFNA(VLOOKUP('Comp X - Kilter'!B1034,'Kilter Holds'!$P$37:$AB$662,11,0),0)</f>
        <v>#NAME?</v>
      </c>
      <c r="F1034" s="274"/>
      <c r="G1034" s="274" t="e">
        <f t="shared" ca="1" si="36"/>
        <v>#NAME?</v>
      </c>
      <c r="H1034" s="274">
        <f t="shared" si="37"/>
        <v>0</v>
      </c>
      <c r="K1034" s="274"/>
    </row>
    <row r="1035" spans="2:11" ht="13.5" customHeight="1">
      <c r="B1035" s="1" t="s">
        <v>2040</v>
      </c>
      <c r="C1035" s="1" t="s">
        <v>3381</v>
      </c>
      <c r="D1035" s="415" t="str">
        <f t="shared" si="35"/>
        <v>18-01</v>
      </c>
      <c r="E1035" s="273" t="e">
        <f ca="1">_xludf.IFNA(VLOOKUP('Comp X - Kilter'!B1035,'Kilter Holds'!$P$37:$AB$662,12,0),0)</f>
        <v>#NAME?</v>
      </c>
      <c r="F1035" s="274"/>
      <c r="G1035" s="274" t="e">
        <f t="shared" ca="1" si="36"/>
        <v>#NAME?</v>
      </c>
      <c r="H1035" s="274">
        <f t="shared" si="37"/>
        <v>0</v>
      </c>
      <c r="K1035" s="274"/>
    </row>
    <row r="1036" spans="2:11" ht="13.5" customHeight="1">
      <c r="B1036" s="1" t="s">
        <v>2040</v>
      </c>
      <c r="C1036" s="1" t="s">
        <v>3381</v>
      </c>
      <c r="D1036" s="416" t="str">
        <f t="shared" si="35"/>
        <v>Color Code</v>
      </c>
      <c r="E1036" s="273" t="e">
        <f ca="1">_xludf.IFNA(VLOOKUP('Comp X - Kilter'!B1036,'Kilter Holds'!$P$37:$AB$662,13,0),0)</f>
        <v>#NAME?</v>
      </c>
      <c r="F1036" s="274"/>
      <c r="G1036" s="274" t="e">
        <f t="shared" ca="1" si="36"/>
        <v>#NAME?</v>
      </c>
      <c r="H1036" s="274">
        <f t="shared" si="37"/>
        <v>0</v>
      </c>
      <c r="K1036" s="274"/>
    </row>
    <row r="1037" spans="2:11" ht="13.5" customHeight="1">
      <c r="B1037" s="1" t="s">
        <v>2079</v>
      </c>
      <c r="C1037" s="1" t="s">
        <v>3382</v>
      </c>
      <c r="D1037" s="406" t="str">
        <f t="shared" si="35"/>
        <v>11-12</v>
      </c>
      <c r="E1037" s="273" t="e">
        <f ca="1">_xludf.IFNA(VLOOKUP('Comp X - Kilter'!B1037,'Kilter Holds'!$P$37:$AB$662,5,0),0)</f>
        <v>#NAME?</v>
      </c>
      <c r="F1037" s="274"/>
      <c r="G1037" s="274" t="e">
        <f t="shared" ca="1" si="36"/>
        <v>#NAME?</v>
      </c>
      <c r="H1037" s="274">
        <f t="shared" si="37"/>
        <v>0</v>
      </c>
      <c r="K1037" s="274"/>
    </row>
    <row r="1038" spans="2:11" ht="13.5" customHeight="1">
      <c r="B1038" s="1" t="s">
        <v>2079</v>
      </c>
      <c r="C1038" s="1" t="s">
        <v>3382</v>
      </c>
      <c r="D1038" s="408" t="str">
        <f t="shared" si="35"/>
        <v>14-01</v>
      </c>
      <c r="E1038" s="273" t="e">
        <f ca="1">_xludf.IFNA(VLOOKUP('Comp X - Kilter'!B1038,'Kilter Holds'!$P$37:$AB$662,6,0),0)</f>
        <v>#NAME?</v>
      </c>
      <c r="F1038" s="274"/>
      <c r="G1038" s="274" t="e">
        <f t="shared" ca="1" si="36"/>
        <v>#NAME?</v>
      </c>
      <c r="H1038" s="274">
        <f t="shared" si="37"/>
        <v>0</v>
      </c>
      <c r="K1038" s="274"/>
    </row>
    <row r="1039" spans="2:11" ht="13.5" customHeight="1">
      <c r="B1039" s="1" t="s">
        <v>2079</v>
      </c>
      <c r="C1039" s="1" t="s">
        <v>3382</v>
      </c>
      <c r="D1039" s="409" t="str">
        <f t="shared" si="35"/>
        <v>15-12</v>
      </c>
      <c r="E1039" s="273" t="e">
        <f ca="1">_xludf.IFNA(VLOOKUP('Comp X - Kilter'!B1039,'Kilter Holds'!$P$37:$AB$662,7,0),0)</f>
        <v>#NAME?</v>
      </c>
      <c r="F1039" s="274"/>
      <c r="G1039" s="274" t="e">
        <f t="shared" ca="1" si="36"/>
        <v>#NAME?</v>
      </c>
      <c r="H1039" s="274">
        <f t="shared" si="37"/>
        <v>0</v>
      </c>
      <c r="K1039" s="274"/>
    </row>
    <row r="1040" spans="2:11" ht="13.5" customHeight="1">
      <c r="B1040" s="1" t="s">
        <v>2079</v>
      </c>
      <c r="C1040" s="1" t="s">
        <v>3382</v>
      </c>
      <c r="D1040" s="410" t="str">
        <f t="shared" si="35"/>
        <v>16-16</v>
      </c>
      <c r="E1040" s="273" t="e">
        <f ca="1">_xludf.IFNA(VLOOKUP('Comp X - Kilter'!B1040,'Kilter Holds'!$P$37:$AB$662,8,0),0)</f>
        <v>#NAME?</v>
      </c>
      <c r="F1040" s="274"/>
      <c r="G1040" s="274" t="e">
        <f t="shared" ca="1" si="36"/>
        <v>#NAME?</v>
      </c>
      <c r="H1040" s="274">
        <f t="shared" si="37"/>
        <v>0</v>
      </c>
      <c r="K1040" s="274"/>
    </row>
    <row r="1041" spans="2:11" ht="13.5" customHeight="1">
      <c r="B1041" s="1" t="s">
        <v>2079</v>
      </c>
      <c r="C1041" s="1" t="s">
        <v>3382</v>
      </c>
      <c r="D1041" s="411" t="str">
        <f t="shared" si="35"/>
        <v>13-01</v>
      </c>
      <c r="E1041" s="273" t="e">
        <f ca="1">_xludf.IFNA(VLOOKUP('Comp X - Kilter'!B1041,'Kilter Holds'!$P$37:$AB$662,9,0),0)</f>
        <v>#NAME?</v>
      </c>
      <c r="F1041" s="274"/>
      <c r="G1041" s="274" t="e">
        <f t="shared" ca="1" si="36"/>
        <v>#NAME?</v>
      </c>
      <c r="H1041" s="274">
        <f t="shared" si="37"/>
        <v>0</v>
      </c>
      <c r="K1041" s="274"/>
    </row>
    <row r="1042" spans="2:11" ht="13.5" customHeight="1">
      <c r="B1042" s="1" t="s">
        <v>2079</v>
      </c>
      <c r="C1042" s="1" t="s">
        <v>3382</v>
      </c>
      <c r="D1042" s="413" t="str">
        <f t="shared" si="35"/>
        <v>07-13</v>
      </c>
      <c r="E1042" s="273" t="e">
        <f ca="1">_xludf.IFNA(VLOOKUP('Comp X - Kilter'!B1042,'Kilter Holds'!$P$37:$AB$662,10,0),0)</f>
        <v>#NAME?</v>
      </c>
      <c r="F1042" s="274"/>
      <c r="G1042" s="274" t="e">
        <f t="shared" ca="1" si="36"/>
        <v>#NAME?</v>
      </c>
      <c r="H1042" s="274">
        <f t="shared" si="37"/>
        <v>0</v>
      </c>
      <c r="K1042" s="274"/>
    </row>
    <row r="1043" spans="2:11" ht="13.5" customHeight="1">
      <c r="B1043" s="1" t="s">
        <v>2079</v>
      </c>
      <c r="C1043" s="1" t="s">
        <v>3382</v>
      </c>
      <c r="D1043" s="414" t="str">
        <f t="shared" si="35"/>
        <v>11-26</v>
      </c>
      <c r="E1043" s="273" t="e">
        <f ca="1">_xludf.IFNA(VLOOKUP('Comp X - Kilter'!B1043,'Kilter Holds'!$P$37:$AB$662,11,0),0)</f>
        <v>#NAME?</v>
      </c>
      <c r="F1043" s="274"/>
      <c r="G1043" s="274" t="e">
        <f t="shared" ca="1" si="36"/>
        <v>#NAME?</v>
      </c>
      <c r="H1043" s="274">
        <f t="shared" si="37"/>
        <v>0</v>
      </c>
      <c r="K1043" s="274"/>
    </row>
    <row r="1044" spans="2:11" ht="13.5" customHeight="1">
      <c r="B1044" s="1" t="s">
        <v>2079</v>
      </c>
      <c r="C1044" s="1" t="s">
        <v>3382</v>
      </c>
      <c r="D1044" s="415" t="str">
        <f t="shared" si="35"/>
        <v>18-01</v>
      </c>
      <c r="E1044" s="273" t="e">
        <f ca="1">_xludf.IFNA(VLOOKUP('Comp X - Kilter'!B1044,'Kilter Holds'!$P$37:$AB$662,12,0),0)</f>
        <v>#NAME?</v>
      </c>
      <c r="F1044" s="274"/>
      <c r="G1044" s="274" t="e">
        <f t="shared" ca="1" si="36"/>
        <v>#NAME?</v>
      </c>
      <c r="H1044" s="274">
        <f t="shared" si="37"/>
        <v>0</v>
      </c>
      <c r="K1044" s="274"/>
    </row>
    <row r="1045" spans="2:11" ht="13.5" customHeight="1">
      <c r="B1045" s="1" t="s">
        <v>2079</v>
      </c>
      <c r="C1045" s="1" t="s">
        <v>3382</v>
      </c>
      <c r="D1045" s="416" t="str">
        <f t="shared" si="35"/>
        <v>Color Code</v>
      </c>
      <c r="E1045" s="273" t="e">
        <f ca="1">_xludf.IFNA(VLOOKUP('Comp X - Kilter'!B1045,'Kilter Holds'!$P$37:$AB$662,13,0),0)</f>
        <v>#NAME?</v>
      </c>
      <c r="F1045" s="274"/>
      <c r="G1045" s="274" t="e">
        <f t="shared" ca="1" si="36"/>
        <v>#NAME?</v>
      </c>
      <c r="H1045" s="274">
        <f t="shared" si="37"/>
        <v>0</v>
      </c>
      <c r="K1045" s="274"/>
    </row>
    <row r="1046" spans="2:11" ht="13.5" customHeight="1">
      <c r="B1046" s="1" t="s">
        <v>2037</v>
      </c>
      <c r="C1046" s="1" t="s">
        <v>3383</v>
      </c>
      <c r="D1046" s="406" t="str">
        <f t="shared" si="35"/>
        <v>11-12</v>
      </c>
      <c r="E1046" s="273" t="e">
        <f ca="1">_xludf.IFNA(VLOOKUP('Comp X - Kilter'!B1046,'Kilter Holds'!$P$37:$AB$662,5,0),0)</f>
        <v>#NAME?</v>
      </c>
      <c r="F1046" s="274"/>
      <c r="G1046" s="274" t="e">
        <f t="shared" ca="1" si="36"/>
        <v>#NAME?</v>
      </c>
      <c r="H1046" s="274">
        <f t="shared" si="37"/>
        <v>0</v>
      </c>
      <c r="K1046" s="274"/>
    </row>
    <row r="1047" spans="2:11" ht="13.5" customHeight="1">
      <c r="B1047" s="1" t="s">
        <v>2037</v>
      </c>
      <c r="C1047" s="1" t="s">
        <v>3383</v>
      </c>
      <c r="D1047" s="408" t="str">
        <f t="shared" si="35"/>
        <v>14-01</v>
      </c>
      <c r="E1047" s="273" t="e">
        <f ca="1">_xludf.IFNA(VLOOKUP('Comp X - Kilter'!B1047,'Kilter Holds'!$P$37:$AB$662,6,0),0)</f>
        <v>#NAME?</v>
      </c>
      <c r="F1047" s="274"/>
      <c r="G1047" s="274" t="e">
        <f t="shared" ca="1" si="36"/>
        <v>#NAME?</v>
      </c>
      <c r="H1047" s="274">
        <f t="shared" si="37"/>
        <v>0</v>
      </c>
      <c r="K1047" s="274"/>
    </row>
    <row r="1048" spans="2:11" ht="13.5" customHeight="1">
      <c r="B1048" s="1" t="s">
        <v>2037</v>
      </c>
      <c r="C1048" s="1" t="s">
        <v>3383</v>
      </c>
      <c r="D1048" s="409" t="str">
        <f t="shared" si="35"/>
        <v>15-12</v>
      </c>
      <c r="E1048" s="273" t="e">
        <f ca="1">_xludf.IFNA(VLOOKUP('Comp X - Kilter'!B1048,'Kilter Holds'!$P$37:$AB$662,7,0),0)</f>
        <v>#NAME?</v>
      </c>
      <c r="F1048" s="274"/>
      <c r="G1048" s="274" t="e">
        <f t="shared" ca="1" si="36"/>
        <v>#NAME?</v>
      </c>
      <c r="H1048" s="274">
        <f t="shared" si="37"/>
        <v>0</v>
      </c>
      <c r="K1048" s="274"/>
    </row>
    <row r="1049" spans="2:11" ht="13.5" customHeight="1">
      <c r="B1049" s="1" t="s">
        <v>2037</v>
      </c>
      <c r="C1049" s="1" t="s">
        <v>3383</v>
      </c>
      <c r="D1049" s="410" t="str">
        <f t="shared" si="35"/>
        <v>16-16</v>
      </c>
      <c r="E1049" s="273" t="e">
        <f ca="1">_xludf.IFNA(VLOOKUP('Comp X - Kilter'!B1049,'Kilter Holds'!$P$37:$AB$662,8,0),0)</f>
        <v>#NAME?</v>
      </c>
      <c r="F1049" s="274"/>
      <c r="G1049" s="274" t="e">
        <f t="shared" ca="1" si="36"/>
        <v>#NAME?</v>
      </c>
      <c r="H1049" s="274">
        <f t="shared" si="37"/>
        <v>0</v>
      </c>
      <c r="K1049" s="274"/>
    </row>
    <row r="1050" spans="2:11" ht="13.5" customHeight="1">
      <c r="B1050" s="1" t="s">
        <v>2037</v>
      </c>
      <c r="C1050" s="1" t="s">
        <v>3383</v>
      </c>
      <c r="D1050" s="411" t="str">
        <f t="shared" si="35"/>
        <v>13-01</v>
      </c>
      <c r="E1050" s="273" t="e">
        <f ca="1">_xludf.IFNA(VLOOKUP('Comp X - Kilter'!B1050,'Kilter Holds'!$P$37:$AB$662,9,0),0)</f>
        <v>#NAME?</v>
      </c>
      <c r="F1050" s="274"/>
      <c r="G1050" s="274" t="e">
        <f t="shared" ca="1" si="36"/>
        <v>#NAME?</v>
      </c>
      <c r="H1050" s="274">
        <f t="shared" si="37"/>
        <v>0</v>
      </c>
      <c r="K1050" s="274"/>
    </row>
    <row r="1051" spans="2:11" ht="13.5" customHeight="1">
      <c r="B1051" s="1" t="s">
        <v>2037</v>
      </c>
      <c r="C1051" s="1" t="s">
        <v>3383</v>
      </c>
      <c r="D1051" s="413" t="str">
        <f t="shared" si="35"/>
        <v>07-13</v>
      </c>
      <c r="E1051" s="273" t="e">
        <f ca="1">_xludf.IFNA(VLOOKUP('Comp X - Kilter'!B1051,'Kilter Holds'!$P$37:$AB$662,10,0),0)</f>
        <v>#NAME?</v>
      </c>
      <c r="F1051" s="274"/>
      <c r="G1051" s="274" t="e">
        <f t="shared" ca="1" si="36"/>
        <v>#NAME?</v>
      </c>
      <c r="H1051" s="274">
        <f t="shared" si="37"/>
        <v>0</v>
      </c>
      <c r="K1051" s="274"/>
    </row>
    <row r="1052" spans="2:11" ht="13.5" customHeight="1">
      <c r="B1052" s="1" t="s">
        <v>2037</v>
      </c>
      <c r="C1052" s="1" t="s">
        <v>3383</v>
      </c>
      <c r="D1052" s="414" t="str">
        <f t="shared" si="35"/>
        <v>11-26</v>
      </c>
      <c r="E1052" s="273" t="e">
        <f ca="1">_xludf.IFNA(VLOOKUP('Comp X - Kilter'!B1052,'Kilter Holds'!$P$37:$AB$662,11,0),0)</f>
        <v>#NAME?</v>
      </c>
      <c r="F1052" s="274"/>
      <c r="G1052" s="274" t="e">
        <f t="shared" ca="1" si="36"/>
        <v>#NAME?</v>
      </c>
      <c r="H1052" s="274">
        <f t="shared" si="37"/>
        <v>0</v>
      </c>
      <c r="K1052" s="274"/>
    </row>
    <row r="1053" spans="2:11" ht="13.5" customHeight="1">
      <c r="B1053" s="1" t="s">
        <v>2037</v>
      </c>
      <c r="C1053" s="1" t="s">
        <v>3383</v>
      </c>
      <c r="D1053" s="415" t="str">
        <f t="shared" si="35"/>
        <v>18-01</v>
      </c>
      <c r="E1053" s="273" t="e">
        <f ca="1">_xludf.IFNA(VLOOKUP('Comp X - Kilter'!B1053,'Kilter Holds'!$P$37:$AB$662,12,0),0)</f>
        <v>#NAME?</v>
      </c>
      <c r="F1053" s="274"/>
      <c r="G1053" s="274" t="e">
        <f t="shared" ca="1" si="36"/>
        <v>#NAME?</v>
      </c>
      <c r="H1053" s="274">
        <f t="shared" si="37"/>
        <v>0</v>
      </c>
      <c r="K1053" s="274"/>
    </row>
    <row r="1054" spans="2:11" ht="13.5" customHeight="1">
      <c r="B1054" s="1" t="s">
        <v>2037</v>
      </c>
      <c r="C1054" s="1" t="s">
        <v>3383</v>
      </c>
      <c r="D1054" s="416" t="str">
        <f t="shared" si="35"/>
        <v>Color Code</v>
      </c>
      <c r="E1054" s="273" t="e">
        <f ca="1">_xludf.IFNA(VLOOKUP('Comp X - Kilter'!B1054,'Kilter Holds'!$P$37:$AB$662,13,0),0)</f>
        <v>#NAME?</v>
      </c>
      <c r="F1054" s="274"/>
      <c r="G1054" s="274" t="e">
        <f t="shared" ca="1" si="36"/>
        <v>#NAME?</v>
      </c>
      <c r="H1054" s="274">
        <f t="shared" si="37"/>
        <v>0</v>
      </c>
      <c r="K1054" s="274"/>
    </row>
    <row r="1055" spans="2:11" ht="13.5" customHeight="1">
      <c r="B1055" s="1" t="s">
        <v>2080</v>
      </c>
      <c r="C1055" s="1" t="s">
        <v>3384</v>
      </c>
      <c r="D1055" s="406" t="str">
        <f t="shared" si="35"/>
        <v>11-12</v>
      </c>
      <c r="E1055" s="273" t="e">
        <f ca="1">_xludf.IFNA(VLOOKUP('Comp X - Kilter'!B1055,'Kilter Holds'!$P$37:$AB$662,5,0),0)</f>
        <v>#NAME?</v>
      </c>
      <c r="F1055" s="274"/>
      <c r="G1055" s="274" t="e">
        <f t="shared" ca="1" si="36"/>
        <v>#NAME?</v>
      </c>
      <c r="H1055" s="274">
        <f t="shared" si="37"/>
        <v>0</v>
      </c>
      <c r="K1055" s="274"/>
    </row>
    <row r="1056" spans="2:11" ht="13.5" customHeight="1">
      <c r="B1056" s="1" t="s">
        <v>2080</v>
      </c>
      <c r="C1056" s="1" t="s">
        <v>3384</v>
      </c>
      <c r="D1056" s="408" t="str">
        <f t="shared" si="35"/>
        <v>14-01</v>
      </c>
      <c r="E1056" s="273" t="e">
        <f ca="1">_xludf.IFNA(VLOOKUP('Comp X - Kilter'!B1056,'Kilter Holds'!$P$37:$AB$662,6,0),0)</f>
        <v>#NAME?</v>
      </c>
      <c r="F1056" s="274"/>
      <c r="G1056" s="274" t="e">
        <f t="shared" ca="1" si="36"/>
        <v>#NAME?</v>
      </c>
      <c r="H1056" s="274">
        <f t="shared" si="37"/>
        <v>0</v>
      </c>
      <c r="K1056" s="274"/>
    </row>
    <row r="1057" spans="2:11" ht="13.5" customHeight="1">
      <c r="B1057" s="1" t="s">
        <v>2080</v>
      </c>
      <c r="C1057" s="1" t="s">
        <v>3384</v>
      </c>
      <c r="D1057" s="409" t="str">
        <f t="shared" si="35"/>
        <v>15-12</v>
      </c>
      <c r="E1057" s="273" t="e">
        <f ca="1">_xludf.IFNA(VLOOKUP('Comp X - Kilter'!B1057,'Kilter Holds'!$P$37:$AB$662,7,0),0)</f>
        <v>#NAME?</v>
      </c>
      <c r="F1057" s="274"/>
      <c r="G1057" s="274" t="e">
        <f t="shared" ca="1" si="36"/>
        <v>#NAME?</v>
      </c>
      <c r="H1057" s="274">
        <f t="shared" si="37"/>
        <v>0</v>
      </c>
      <c r="K1057" s="274"/>
    </row>
    <row r="1058" spans="2:11" ht="13.5" customHeight="1">
      <c r="B1058" s="1" t="s">
        <v>2080</v>
      </c>
      <c r="C1058" s="1" t="s">
        <v>3384</v>
      </c>
      <c r="D1058" s="410" t="str">
        <f t="shared" si="35"/>
        <v>16-16</v>
      </c>
      <c r="E1058" s="273" t="e">
        <f ca="1">_xludf.IFNA(VLOOKUP('Comp X - Kilter'!B1058,'Kilter Holds'!$P$37:$AB$662,8,0),0)</f>
        <v>#NAME?</v>
      </c>
      <c r="F1058" s="274"/>
      <c r="G1058" s="274" t="e">
        <f t="shared" ca="1" si="36"/>
        <v>#NAME?</v>
      </c>
      <c r="H1058" s="274">
        <f t="shared" si="37"/>
        <v>0</v>
      </c>
      <c r="K1058" s="274"/>
    </row>
    <row r="1059" spans="2:11" ht="13.5" customHeight="1">
      <c r="B1059" s="1" t="s">
        <v>2080</v>
      </c>
      <c r="C1059" s="1" t="s">
        <v>3384</v>
      </c>
      <c r="D1059" s="411" t="str">
        <f t="shared" si="35"/>
        <v>13-01</v>
      </c>
      <c r="E1059" s="273" t="e">
        <f ca="1">_xludf.IFNA(VLOOKUP('Comp X - Kilter'!B1059,'Kilter Holds'!$P$37:$AB$662,9,0),0)</f>
        <v>#NAME?</v>
      </c>
      <c r="F1059" s="274"/>
      <c r="G1059" s="274" t="e">
        <f t="shared" ca="1" si="36"/>
        <v>#NAME?</v>
      </c>
      <c r="H1059" s="274">
        <f t="shared" si="37"/>
        <v>0</v>
      </c>
      <c r="K1059" s="274"/>
    </row>
    <row r="1060" spans="2:11" ht="13.5" customHeight="1">
      <c r="B1060" s="1" t="s">
        <v>2080</v>
      </c>
      <c r="C1060" s="1" t="s">
        <v>3384</v>
      </c>
      <c r="D1060" s="413" t="str">
        <f t="shared" si="35"/>
        <v>07-13</v>
      </c>
      <c r="E1060" s="273" t="e">
        <f ca="1">_xludf.IFNA(VLOOKUP('Comp X - Kilter'!B1060,'Kilter Holds'!$P$37:$AB$662,10,0),0)</f>
        <v>#NAME?</v>
      </c>
      <c r="F1060" s="274"/>
      <c r="G1060" s="274" t="e">
        <f t="shared" ca="1" si="36"/>
        <v>#NAME?</v>
      </c>
      <c r="H1060" s="274">
        <f t="shared" si="37"/>
        <v>0</v>
      </c>
      <c r="K1060" s="274"/>
    </row>
    <row r="1061" spans="2:11" ht="13.5" customHeight="1">
      <c r="B1061" s="1" t="s">
        <v>2080</v>
      </c>
      <c r="C1061" s="1" t="s">
        <v>3384</v>
      </c>
      <c r="D1061" s="414" t="str">
        <f t="shared" si="35"/>
        <v>11-26</v>
      </c>
      <c r="E1061" s="273" t="e">
        <f ca="1">_xludf.IFNA(VLOOKUP('Comp X - Kilter'!B1061,'Kilter Holds'!$P$37:$AB$662,11,0),0)</f>
        <v>#NAME?</v>
      </c>
      <c r="F1061" s="274"/>
      <c r="G1061" s="274" t="e">
        <f t="shared" ca="1" si="36"/>
        <v>#NAME?</v>
      </c>
      <c r="H1061" s="274">
        <f t="shared" si="37"/>
        <v>0</v>
      </c>
      <c r="K1061" s="274"/>
    </row>
    <row r="1062" spans="2:11" ht="13.5" customHeight="1">
      <c r="B1062" s="1" t="s">
        <v>2080</v>
      </c>
      <c r="C1062" s="1" t="s">
        <v>3384</v>
      </c>
      <c r="D1062" s="415" t="str">
        <f t="shared" si="35"/>
        <v>18-01</v>
      </c>
      <c r="E1062" s="273" t="e">
        <f ca="1">_xludf.IFNA(VLOOKUP('Comp X - Kilter'!B1062,'Kilter Holds'!$P$37:$AB$662,12,0),0)</f>
        <v>#NAME?</v>
      </c>
      <c r="F1062" s="274"/>
      <c r="G1062" s="274" t="e">
        <f t="shared" ca="1" si="36"/>
        <v>#NAME?</v>
      </c>
      <c r="H1062" s="274">
        <f t="shared" si="37"/>
        <v>0</v>
      </c>
      <c r="K1062" s="274"/>
    </row>
    <row r="1063" spans="2:11" ht="13.5" customHeight="1">
      <c r="B1063" s="1" t="s">
        <v>2080</v>
      </c>
      <c r="C1063" s="1" t="s">
        <v>3384</v>
      </c>
      <c r="D1063" s="416" t="str">
        <f t="shared" si="35"/>
        <v>Color Code</v>
      </c>
      <c r="E1063" s="273" t="e">
        <f ca="1">_xludf.IFNA(VLOOKUP('Comp X - Kilter'!B1063,'Kilter Holds'!$P$37:$AB$662,13,0),0)</f>
        <v>#NAME?</v>
      </c>
      <c r="F1063" s="274"/>
      <c r="G1063" s="274" t="e">
        <f t="shared" ca="1" si="36"/>
        <v>#NAME?</v>
      </c>
      <c r="H1063" s="274">
        <f t="shared" si="37"/>
        <v>0</v>
      </c>
      <c r="K1063" s="274"/>
    </row>
    <row r="1064" spans="2:11" ht="13.5" customHeight="1">
      <c r="B1064" s="1" t="s">
        <v>2038</v>
      </c>
      <c r="C1064" s="1" t="s">
        <v>3385</v>
      </c>
      <c r="D1064" s="406" t="str">
        <f t="shared" si="35"/>
        <v>11-12</v>
      </c>
      <c r="E1064" s="273" t="e">
        <f ca="1">_xludf.IFNA(VLOOKUP('Comp X - Kilter'!B1064,'Kilter Holds'!$P$37:$AB$662,5,0),0)</f>
        <v>#NAME?</v>
      </c>
      <c r="F1064" s="274"/>
      <c r="G1064" s="274" t="e">
        <f t="shared" ca="1" si="36"/>
        <v>#NAME?</v>
      </c>
      <c r="H1064" s="274">
        <f t="shared" si="37"/>
        <v>0</v>
      </c>
      <c r="K1064" s="274"/>
    </row>
    <row r="1065" spans="2:11" ht="13.5" customHeight="1">
      <c r="B1065" s="1" t="s">
        <v>2038</v>
      </c>
      <c r="C1065" s="1" t="s">
        <v>3385</v>
      </c>
      <c r="D1065" s="408" t="str">
        <f t="shared" si="35"/>
        <v>14-01</v>
      </c>
      <c r="E1065" s="273" t="e">
        <f ca="1">_xludf.IFNA(VLOOKUP('Comp X - Kilter'!B1065,'Kilter Holds'!$P$37:$AB$662,6,0),0)</f>
        <v>#NAME?</v>
      </c>
      <c r="F1065" s="274"/>
      <c r="G1065" s="274" t="e">
        <f t="shared" ca="1" si="36"/>
        <v>#NAME?</v>
      </c>
      <c r="H1065" s="274">
        <f t="shared" si="37"/>
        <v>0</v>
      </c>
      <c r="K1065" s="274"/>
    </row>
    <row r="1066" spans="2:11" ht="13.5" customHeight="1">
      <c r="B1066" s="1" t="s">
        <v>2038</v>
      </c>
      <c r="C1066" s="1" t="s">
        <v>3385</v>
      </c>
      <c r="D1066" s="409" t="str">
        <f t="shared" si="35"/>
        <v>15-12</v>
      </c>
      <c r="E1066" s="273" t="e">
        <f ca="1">_xludf.IFNA(VLOOKUP('Comp X - Kilter'!B1066,'Kilter Holds'!$P$37:$AB$662,7,0),0)</f>
        <v>#NAME?</v>
      </c>
      <c r="F1066" s="274"/>
      <c r="G1066" s="274" t="e">
        <f t="shared" ca="1" si="36"/>
        <v>#NAME?</v>
      </c>
      <c r="H1066" s="274">
        <f t="shared" si="37"/>
        <v>0</v>
      </c>
      <c r="K1066" s="274"/>
    </row>
    <row r="1067" spans="2:11" ht="13.5" customHeight="1">
      <c r="B1067" s="1" t="s">
        <v>2038</v>
      </c>
      <c r="C1067" s="1" t="s">
        <v>3385</v>
      </c>
      <c r="D1067" s="410" t="str">
        <f t="shared" si="35"/>
        <v>16-16</v>
      </c>
      <c r="E1067" s="273" t="e">
        <f ca="1">_xludf.IFNA(VLOOKUP('Comp X - Kilter'!B1067,'Kilter Holds'!$P$37:$AB$662,8,0),0)</f>
        <v>#NAME?</v>
      </c>
      <c r="F1067" s="274"/>
      <c r="G1067" s="274" t="e">
        <f t="shared" ca="1" si="36"/>
        <v>#NAME?</v>
      </c>
      <c r="H1067" s="274">
        <f t="shared" si="37"/>
        <v>0</v>
      </c>
      <c r="K1067" s="274"/>
    </row>
    <row r="1068" spans="2:11" ht="13.5" customHeight="1">
      <c r="B1068" s="1" t="s">
        <v>2038</v>
      </c>
      <c r="C1068" s="1" t="s">
        <v>3385</v>
      </c>
      <c r="D1068" s="411" t="str">
        <f t="shared" si="35"/>
        <v>13-01</v>
      </c>
      <c r="E1068" s="273" t="e">
        <f ca="1">_xludf.IFNA(VLOOKUP('Comp X - Kilter'!B1068,'Kilter Holds'!$P$37:$AB$662,9,0),0)</f>
        <v>#NAME?</v>
      </c>
      <c r="F1068" s="274"/>
      <c r="G1068" s="274" t="e">
        <f t="shared" ca="1" si="36"/>
        <v>#NAME?</v>
      </c>
      <c r="H1068" s="274">
        <f t="shared" si="37"/>
        <v>0</v>
      </c>
      <c r="K1068" s="274"/>
    </row>
    <row r="1069" spans="2:11" ht="13.5" customHeight="1">
      <c r="B1069" s="1" t="s">
        <v>2038</v>
      </c>
      <c r="C1069" s="1" t="s">
        <v>3385</v>
      </c>
      <c r="D1069" s="413" t="str">
        <f t="shared" si="35"/>
        <v>07-13</v>
      </c>
      <c r="E1069" s="273" t="e">
        <f ca="1">_xludf.IFNA(VLOOKUP('Comp X - Kilter'!B1069,'Kilter Holds'!$P$37:$AB$662,10,0),0)</f>
        <v>#NAME?</v>
      </c>
      <c r="F1069" s="274"/>
      <c r="G1069" s="274" t="e">
        <f t="shared" ca="1" si="36"/>
        <v>#NAME?</v>
      </c>
      <c r="H1069" s="274">
        <f t="shared" si="37"/>
        <v>0</v>
      </c>
      <c r="K1069" s="274"/>
    </row>
    <row r="1070" spans="2:11" ht="13.5" customHeight="1">
      <c r="B1070" s="1" t="s">
        <v>2038</v>
      </c>
      <c r="C1070" s="1" t="s">
        <v>3385</v>
      </c>
      <c r="D1070" s="414" t="str">
        <f t="shared" si="35"/>
        <v>11-26</v>
      </c>
      <c r="E1070" s="273" t="e">
        <f ca="1">_xludf.IFNA(VLOOKUP('Comp X - Kilter'!B1070,'Kilter Holds'!$P$37:$AB$662,11,0),0)</f>
        <v>#NAME?</v>
      </c>
      <c r="F1070" s="274"/>
      <c r="G1070" s="274" t="e">
        <f t="shared" ca="1" si="36"/>
        <v>#NAME?</v>
      </c>
      <c r="H1070" s="274">
        <f t="shared" si="37"/>
        <v>0</v>
      </c>
      <c r="K1070" s="274"/>
    </row>
    <row r="1071" spans="2:11" ht="13.5" customHeight="1">
      <c r="B1071" s="1" t="s">
        <v>2038</v>
      </c>
      <c r="C1071" s="1" t="s">
        <v>3385</v>
      </c>
      <c r="D1071" s="415" t="str">
        <f t="shared" si="35"/>
        <v>18-01</v>
      </c>
      <c r="E1071" s="273" t="e">
        <f ca="1">_xludf.IFNA(VLOOKUP('Comp X - Kilter'!B1071,'Kilter Holds'!$P$37:$AB$662,12,0),0)</f>
        <v>#NAME?</v>
      </c>
      <c r="F1071" s="274"/>
      <c r="G1071" s="274" t="e">
        <f t="shared" ca="1" si="36"/>
        <v>#NAME?</v>
      </c>
      <c r="H1071" s="274">
        <f t="shared" si="37"/>
        <v>0</v>
      </c>
      <c r="K1071" s="274"/>
    </row>
    <row r="1072" spans="2:11" ht="13.5" customHeight="1">
      <c r="B1072" s="1" t="s">
        <v>2038</v>
      </c>
      <c r="C1072" s="1" t="s">
        <v>3385</v>
      </c>
      <c r="D1072" s="416" t="str">
        <f t="shared" si="35"/>
        <v>Color Code</v>
      </c>
      <c r="E1072" s="273" t="e">
        <f ca="1">_xludf.IFNA(VLOOKUP('Comp X - Kilter'!B1072,'Kilter Holds'!$P$37:$AB$662,13,0),0)</f>
        <v>#NAME?</v>
      </c>
      <c r="F1072" s="274"/>
      <c r="G1072" s="274" t="e">
        <f t="shared" ca="1" si="36"/>
        <v>#NAME?</v>
      </c>
      <c r="H1072" s="274">
        <f t="shared" si="37"/>
        <v>0</v>
      </c>
      <c r="K1072" s="274"/>
    </row>
    <row r="1073" spans="2:11" ht="13.5" customHeight="1">
      <c r="B1073" s="1" t="s">
        <v>2032</v>
      </c>
      <c r="C1073" s="1" t="s">
        <v>3386</v>
      </c>
      <c r="D1073" s="406" t="str">
        <f t="shared" si="35"/>
        <v>11-12</v>
      </c>
      <c r="E1073" s="273" t="e">
        <f ca="1">_xludf.IFNA(VLOOKUP('Comp X - Kilter'!B1073,'Kilter Holds'!$P$37:$AB$662,5,0),0)</f>
        <v>#NAME?</v>
      </c>
      <c r="F1073" s="274"/>
      <c r="G1073" s="274" t="e">
        <f t="shared" ca="1" si="36"/>
        <v>#NAME?</v>
      </c>
      <c r="H1073" s="274">
        <f t="shared" si="37"/>
        <v>0</v>
      </c>
      <c r="K1073" s="274"/>
    </row>
    <row r="1074" spans="2:11" ht="13.5" customHeight="1">
      <c r="B1074" s="1" t="s">
        <v>2032</v>
      </c>
      <c r="C1074" s="1" t="s">
        <v>3386</v>
      </c>
      <c r="D1074" s="408" t="str">
        <f t="shared" si="35"/>
        <v>14-01</v>
      </c>
      <c r="E1074" s="273" t="e">
        <f ca="1">_xludf.IFNA(VLOOKUP('Comp X - Kilter'!B1074,'Kilter Holds'!$P$37:$AB$662,6,0),0)</f>
        <v>#NAME?</v>
      </c>
      <c r="F1074" s="274"/>
      <c r="G1074" s="274" t="e">
        <f t="shared" ca="1" si="36"/>
        <v>#NAME?</v>
      </c>
      <c r="H1074" s="274">
        <f t="shared" si="37"/>
        <v>0</v>
      </c>
      <c r="K1074" s="274"/>
    </row>
    <row r="1075" spans="2:11" ht="13.5" customHeight="1">
      <c r="B1075" s="1" t="s">
        <v>2032</v>
      </c>
      <c r="C1075" s="1" t="s">
        <v>3386</v>
      </c>
      <c r="D1075" s="409" t="str">
        <f t="shared" si="35"/>
        <v>15-12</v>
      </c>
      <c r="E1075" s="273" t="e">
        <f ca="1">_xludf.IFNA(VLOOKUP('Comp X - Kilter'!B1075,'Kilter Holds'!$P$37:$AB$662,7,0),0)</f>
        <v>#NAME?</v>
      </c>
      <c r="F1075" s="274"/>
      <c r="G1075" s="274" t="e">
        <f t="shared" ca="1" si="36"/>
        <v>#NAME?</v>
      </c>
      <c r="H1075" s="274">
        <f t="shared" si="37"/>
        <v>0</v>
      </c>
      <c r="K1075" s="274"/>
    </row>
    <row r="1076" spans="2:11" ht="13.5" customHeight="1">
      <c r="B1076" s="1" t="s">
        <v>2032</v>
      </c>
      <c r="C1076" s="1" t="s">
        <v>3386</v>
      </c>
      <c r="D1076" s="410" t="str">
        <f t="shared" si="35"/>
        <v>16-16</v>
      </c>
      <c r="E1076" s="273" t="e">
        <f ca="1">_xludf.IFNA(VLOOKUP('Comp X - Kilter'!B1076,'Kilter Holds'!$P$37:$AB$662,8,0),0)</f>
        <v>#NAME?</v>
      </c>
      <c r="F1076" s="274"/>
      <c r="G1076" s="274" t="e">
        <f t="shared" ca="1" si="36"/>
        <v>#NAME?</v>
      </c>
      <c r="H1076" s="274">
        <f t="shared" si="37"/>
        <v>0</v>
      </c>
      <c r="K1076" s="274"/>
    </row>
    <row r="1077" spans="2:11" ht="13.5" customHeight="1">
      <c r="B1077" s="1" t="s">
        <v>2032</v>
      </c>
      <c r="C1077" s="1" t="s">
        <v>3386</v>
      </c>
      <c r="D1077" s="411" t="str">
        <f t="shared" si="35"/>
        <v>13-01</v>
      </c>
      <c r="E1077" s="273" t="e">
        <f ca="1">_xludf.IFNA(VLOOKUP('Comp X - Kilter'!B1077,'Kilter Holds'!$P$37:$AB$662,9,0),0)</f>
        <v>#NAME?</v>
      </c>
      <c r="F1077" s="274"/>
      <c r="G1077" s="274" t="e">
        <f t="shared" ca="1" si="36"/>
        <v>#NAME?</v>
      </c>
      <c r="H1077" s="274">
        <f t="shared" si="37"/>
        <v>0</v>
      </c>
      <c r="K1077" s="274"/>
    </row>
    <row r="1078" spans="2:11" ht="13.5" customHeight="1">
      <c r="B1078" s="1" t="s">
        <v>2032</v>
      </c>
      <c r="C1078" s="1" t="s">
        <v>3386</v>
      </c>
      <c r="D1078" s="413" t="str">
        <f t="shared" si="35"/>
        <v>07-13</v>
      </c>
      <c r="E1078" s="273" t="e">
        <f ca="1">_xludf.IFNA(VLOOKUP('Comp X - Kilter'!B1078,'Kilter Holds'!$P$37:$AB$662,10,0),0)</f>
        <v>#NAME?</v>
      </c>
      <c r="F1078" s="274"/>
      <c r="G1078" s="274" t="e">
        <f t="shared" ca="1" si="36"/>
        <v>#NAME?</v>
      </c>
      <c r="H1078" s="274">
        <f t="shared" si="37"/>
        <v>0</v>
      </c>
      <c r="K1078" s="274"/>
    </row>
    <row r="1079" spans="2:11" ht="13.5" customHeight="1">
      <c r="B1079" s="1" t="s">
        <v>2032</v>
      </c>
      <c r="C1079" s="1" t="s">
        <v>3386</v>
      </c>
      <c r="D1079" s="414" t="str">
        <f t="shared" si="35"/>
        <v>11-26</v>
      </c>
      <c r="E1079" s="273" t="e">
        <f ca="1">_xludf.IFNA(VLOOKUP('Comp X - Kilter'!B1079,'Kilter Holds'!$P$37:$AB$662,11,0),0)</f>
        <v>#NAME?</v>
      </c>
      <c r="F1079" s="274"/>
      <c r="G1079" s="274" t="e">
        <f t="shared" ca="1" si="36"/>
        <v>#NAME?</v>
      </c>
      <c r="H1079" s="274">
        <f t="shared" si="37"/>
        <v>0</v>
      </c>
      <c r="K1079" s="274"/>
    </row>
    <row r="1080" spans="2:11" ht="13.5" customHeight="1">
      <c r="B1080" s="1" t="s">
        <v>2032</v>
      </c>
      <c r="C1080" s="1" t="s">
        <v>3386</v>
      </c>
      <c r="D1080" s="415" t="str">
        <f t="shared" si="35"/>
        <v>18-01</v>
      </c>
      <c r="E1080" s="273" t="e">
        <f ca="1">_xludf.IFNA(VLOOKUP('Comp X - Kilter'!B1080,'Kilter Holds'!$P$37:$AB$662,12,0),0)</f>
        <v>#NAME?</v>
      </c>
      <c r="F1080" s="274"/>
      <c r="G1080" s="274" t="e">
        <f t="shared" ca="1" si="36"/>
        <v>#NAME?</v>
      </c>
      <c r="H1080" s="274">
        <f t="shared" si="37"/>
        <v>0</v>
      </c>
      <c r="K1080" s="274"/>
    </row>
    <row r="1081" spans="2:11" ht="13.5" customHeight="1">
      <c r="B1081" s="1" t="s">
        <v>2032</v>
      </c>
      <c r="C1081" s="1" t="s">
        <v>3386</v>
      </c>
      <c r="D1081" s="416" t="str">
        <f t="shared" si="35"/>
        <v>Color Code</v>
      </c>
      <c r="E1081" s="273" t="e">
        <f ca="1">_xludf.IFNA(VLOOKUP('Comp X - Kilter'!B1081,'Kilter Holds'!$P$37:$AB$662,13,0),0)</f>
        <v>#NAME?</v>
      </c>
      <c r="F1081" s="274"/>
      <c r="G1081" s="274" t="e">
        <f t="shared" ca="1" si="36"/>
        <v>#NAME?</v>
      </c>
      <c r="H1081" s="274">
        <f t="shared" si="37"/>
        <v>0</v>
      </c>
      <c r="K1081" s="274"/>
    </row>
    <row r="1082" spans="2:11" ht="13.5" customHeight="1">
      <c r="B1082" s="1" t="s">
        <v>2081</v>
      </c>
      <c r="C1082" s="1" t="s">
        <v>3387</v>
      </c>
      <c r="D1082" s="406" t="str">
        <f t="shared" si="35"/>
        <v>11-12</v>
      </c>
      <c r="E1082" s="273" t="e">
        <f ca="1">_xludf.IFNA(VLOOKUP('Comp X - Kilter'!B1082,'Kilter Holds'!$P$37:$AB$662,5,0),0)</f>
        <v>#NAME?</v>
      </c>
      <c r="F1082" s="274"/>
      <c r="G1082" s="274" t="e">
        <f t="shared" ca="1" si="36"/>
        <v>#NAME?</v>
      </c>
      <c r="H1082" s="274">
        <f t="shared" si="37"/>
        <v>0</v>
      </c>
      <c r="K1082" s="274"/>
    </row>
    <row r="1083" spans="2:11" ht="13.5" customHeight="1">
      <c r="B1083" s="1" t="s">
        <v>2081</v>
      </c>
      <c r="C1083" s="1" t="s">
        <v>3387</v>
      </c>
      <c r="D1083" s="408" t="str">
        <f t="shared" si="35"/>
        <v>14-01</v>
      </c>
      <c r="E1083" s="273" t="e">
        <f ca="1">_xludf.IFNA(VLOOKUP('Comp X - Kilter'!B1083,'Kilter Holds'!$P$37:$AB$662,6,0),0)</f>
        <v>#NAME?</v>
      </c>
      <c r="F1083" s="274"/>
      <c r="G1083" s="274" t="e">
        <f t="shared" ca="1" si="36"/>
        <v>#NAME?</v>
      </c>
      <c r="H1083" s="274">
        <f t="shared" si="37"/>
        <v>0</v>
      </c>
      <c r="K1083" s="274"/>
    </row>
    <row r="1084" spans="2:11" ht="13.5" customHeight="1">
      <c r="B1084" s="1" t="s">
        <v>2081</v>
      </c>
      <c r="C1084" s="1" t="s">
        <v>3387</v>
      </c>
      <c r="D1084" s="409" t="str">
        <f t="shared" si="35"/>
        <v>15-12</v>
      </c>
      <c r="E1084" s="273" t="e">
        <f ca="1">_xludf.IFNA(VLOOKUP('Comp X - Kilter'!B1084,'Kilter Holds'!$P$37:$AB$662,7,0),0)</f>
        <v>#NAME?</v>
      </c>
      <c r="F1084" s="274"/>
      <c r="G1084" s="274" t="e">
        <f t="shared" ca="1" si="36"/>
        <v>#NAME?</v>
      </c>
      <c r="H1084" s="274">
        <f t="shared" si="37"/>
        <v>0</v>
      </c>
      <c r="K1084" s="274"/>
    </row>
    <row r="1085" spans="2:11" ht="13.5" customHeight="1">
      <c r="B1085" s="1" t="s">
        <v>2081</v>
      </c>
      <c r="C1085" s="1" t="s">
        <v>3387</v>
      </c>
      <c r="D1085" s="410" t="str">
        <f t="shared" si="35"/>
        <v>16-16</v>
      </c>
      <c r="E1085" s="273" t="e">
        <f ca="1">_xludf.IFNA(VLOOKUP('Comp X - Kilter'!B1085,'Kilter Holds'!$P$37:$AB$662,8,0),0)</f>
        <v>#NAME?</v>
      </c>
      <c r="F1085" s="274"/>
      <c r="G1085" s="274" t="e">
        <f t="shared" ca="1" si="36"/>
        <v>#NAME?</v>
      </c>
      <c r="H1085" s="274">
        <f t="shared" si="37"/>
        <v>0</v>
      </c>
      <c r="K1085" s="274"/>
    </row>
    <row r="1086" spans="2:11" ht="13.5" customHeight="1">
      <c r="B1086" s="1" t="s">
        <v>2081</v>
      </c>
      <c r="C1086" s="1" t="s">
        <v>3387</v>
      </c>
      <c r="D1086" s="411" t="str">
        <f t="shared" si="35"/>
        <v>13-01</v>
      </c>
      <c r="E1086" s="273" t="e">
        <f ca="1">_xludf.IFNA(VLOOKUP('Comp X - Kilter'!B1086,'Kilter Holds'!$P$37:$AB$662,9,0),0)</f>
        <v>#NAME?</v>
      </c>
      <c r="F1086" s="274"/>
      <c r="G1086" s="274" t="e">
        <f t="shared" ca="1" si="36"/>
        <v>#NAME?</v>
      </c>
      <c r="H1086" s="274">
        <f t="shared" si="37"/>
        <v>0</v>
      </c>
      <c r="K1086" s="274"/>
    </row>
    <row r="1087" spans="2:11" ht="13.5" customHeight="1">
      <c r="B1087" s="1" t="s">
        <v>2081</v>
      </c>
      <c r="C1087" s="1" t="s">
        <v>3387</v>
      </c>
      <c r="D1087" s="413" t="str">
        <f t="shared" si="35"/>
        <v>07-13</v>
      </c>
      <c r="E1087" s="273" t="e">
        <f ca="1">_xludf.IFNA(VLOOKUP('Comp X - Kilter'!B1087,'Kilter Holds'!$P$37:$AB$662,10,0),0)</f>
        <v>#NAME?</v>
      </c>
      <c r="F1087" s="274"/>
      <c r="G1087" s="274" t="e">
        <f t="shared" ca="1" si="36"/>
        <v>#NAME?</v>
      </c>
      <c r="H1087" s="274">
        <f t="shared" si="37"/>
        <v>0</v>
      </c>
      <c r="K1087" s="274"/>
    </row>
    <row r="1088" spans="2:11" ht="13.5" customHeight="1">
      <c r="B1088" s="1" t="s">
        <v>2081</v>
      </c>
      <c r="C1088" s="1" t="s">
        <v>3387</v>
      </c>
      <c r="D1088" s="414" t="str">
        <f t="shared" si="35"/>
        <v>11-26</v>
      </c>
      <c r="E1088" s="273" t="e">
        <f ca="1">_xludf.IFNA(VLOOKUP('Comp X - Kilter'!B1088,'Kilter Holds'!$P$37:$AB$662,11,0),0)</f>
        <v>#NAME?</v>
      </c>
      <c r="F1088" s="274"/>
      <c r="G1088" s="274" t="e">
        <f t="shared" ca="1" si="36"/>
        <v>#NAME?</v>
      </c>
      <c r="H1088" s="274">
        <f t="shared" si="37"/>
        <v>0</v>
      </c>
      <c r="K1088" s="274"/>
    </row>
    <row r="1089" spans="2:11" ht="13.5" customHeight="1">
      <c r="B1089" s="1" t="s">
        <v>2081</v>
      </c>
      <c r="C1089" s="1" t="s">
        <v>3387</v>
      </c>
      <c r="D1089" s="415" t="str">
        <f t="shared" si="35"/>
        <v>18-01</v>
      </c>
      <c r="E1089" s="273" t="e">
        <f ca="1">_xludf.IFNA(VLOOKUP('Comp X - Kilter'!B1089,'Kilter Holds'!$P$37:$AB$662,12,0),0)</f>
        <v>#NAME?</v>
      </c>
      <c r="F1089" s="274"/>
      <c r="G1089" s="274" t="e">
        <f t="shared" ca="1" si="36"/>
        <v>#NAME?</v>
      </c>
      <c r="H1089" s="274">
        <f t="shared" si="37"/>
        <v>0</v>
      </c>
      <c r="K1089" s="274"/>
    </row>
    <row r="1090" spans="2:11" ht="13.5" customHeight="1">
      <c r="B1090" s="1" t="s">
        <v>2081</v>
      </c>
      <c r="C1090" s="1" t="s">
        <v>3387</v>
      </c>
      <c r="D1090" s="416" t="str">
        <f t="shared" si="35"/>
        <v>Color Code</v>
      </c>
      <c r="E1090" s="273" t="e">
        <f ca="1">_xludf.IFNA(VLOOKUP('Comp X - Kilter'!B1090,'Kilter Holds'!$P$37:$AB$662,13,0),0)</f>
        <v>#NAME?</v>
      </c>
      <c r="F1090" s="274"/>
      <c r="G1090" s="274" t="e">
        <f t="shared" ca="1" si="36"/>
        <v>#NAME?</v>
      </c>
      <c r="H1090" s="274">
        <f t="shared" si="37"/>
        <v>0</v>
      </c>
      <c r="K1090" s="274"/>
    </row>
    <row r="1091" spans="2:11" ht="13.5" customHeight="1">
      <c r="B1091" s="1" t="s">
        <v>2034</v>
      </c>
      <c r="C1091" s="1" t="s">
        <v>3388</v>
      </c>
      <c r="D1091" s="406" t="str">
        <f t="shared" si="35"/>
        <v>11-12</v>
      </c>
      <c r="E1091" s="273" t="e">
        <f ca="1">_xludf.IFNA(VLOOKUP('Comp X - Kilter'!B1091,'Kilter Holds'!$P$37:$AB$662,5,0),0)</f>
        <v>#NAME?</v>
      </c>
      <c r="F1091" s="274"/>
      <c r="G1091" s="274" t="e">
        <f t="shared" ca="1" si="36"/>
        <v>#NAME?</v>
      </c>
      <c r="H1091" s="274">
        <f t="shared" si="37"/>
        <v>0</v>
      </c>
      <c r="K1091" s="274"/>
    </row>
    <row r="1092" spans="2:11" ht="13.5" customHeight="1">
      <c r="B1092" s="1" t="s">
        <v>2034</v>
      </c>
      <c r="C1092" s="1" t="s">
        <v>3388</v>
      </c>
      <c r="D1092" s="408" t="str">
        <f t="shared" si="35"/>
        <v>14-01</v>
      </c>
      <c r="E1092" s="273" t="e">
        <f ca="1">_xludf.IFNA(VLOOKUP('Comp X - Kilter'!B1092,'Kilter Holds'!$P$37:$AB$662,6,0),0)</f>
        <v>#NAME?</v>
      </c>
      <c r="F1092" s="274"/>
      <c r="G1092" s="274" t="e">
        <f t="shared" ca="1" si="36"/>
        <v>#NAME?</v>
      </c>
      <c r="H1092" s="274">
        <f t="shared" si="37"/>
        <v>0</v>
      </c>
      <c r="K1092" s="274"/>
    </row>
    <row r="1093" spans="2:11" ht="13.5" customHeight="1">
      <c r="B1093" s="1" t="s">
        <v>2034</v>
      </c>
      <c r="C1093" s="1" t="s">
        <v>3388</v>
      </c>
      <c r="D1093" s="409" t="str">
        <f t="shared" si="35"/>
        <v>15-12</v>
      </c>
      <c r="E1093" s="273" t="e">
        <f ca="1">_xludf.IFNA(VLOOKUP('Comp X - Kilter'!B1093,'Kilter Holds'!$P$37:$AB$662,7,0),0)</f>
        <v>#NAME?</v>
      </c>
      <c r="F1093" s="274"/>
      <c r="G1093" s="274" t="e">
        <f t="shared" ca="1" si="36"/>
        <v>#NAME?</v>
      </c>
      <c r="H1093" s="274">
        <f t="shared" si="37"/>
        <v>0</v>
      </c>
      <c r="K1093" s="274"/>
    </row>
    <row r="1094" spans="2:11" ht="13.5" customHeight="1">
      <c r="B1094" s="1" t="s">
        <v>2034</v>
      </c>
      <c r="C1094" s="1" t="s">
        <v>3388</v>
      </c>
      <c r="D1094" s="410" t="str">
        <f t="shared" si="35"/>
        <v>16-16</v>
      </c>
      <c r="E1094" s="273" t="e">
        <f ca="1">_xludf.IFNA(VLOOKUP('Comp X - Kilter'!B1094,'Kilter Holds'!$P$37:$AB$662,8,0),0)</f>
        <v>#NAME?</v>
      </c>
      <c r="F1094" s="274"/>
      <c r="G1094" s="274" t="e">
        <f t="shared" ca="1" si="36"/>
        <v>#NAME?</v>
      </c>
      <c r="H1094" s="274">
        <f t="shared" si="37"/>
        <v>0</v>
      </c>
      <c r="K1094" s="274"/>
    </row>
    <row r="1095" spans="2:11" ht="13.5" customHeight="1">
      <c r="B1095" s="1" t="s">
        <v>2034</v>
      </c>
      <c r="C1095" s="1" t="s">
        <v>3388</v>
      </c>
      <c r="D1095" s="411" t="str">
        <f t="shared" si="35"/>
        <v>13-01</v>
      </c>
      <c r="E1095" s="273" t="e">
        <f ca="1">_xludf.IFNA(VLOOKUP('Comp X - Kilter'!B1095,'Kilter Holds'!$P$37:$AB$662,9,0),0)</f>
        <v>#NAME?</v>
      </c>
      <c r="F1095" s="274"/>
      <c r="G1095" s="274" t="e">
        <f t="shared" ca="1" si="36"/>
        <v>#NAME?</v>
      </c>
      <c r="H1095" s="274">
        <f t="shared" si="37"/>
        <v>0</v>
      </c>
      <c r="K1095" s="274"/>
    </row>
    <row r="1096" spans="2:11" ht="13.5" customHeight="1">
      <c r="B1096" s="1" t="s">
        <v>2034</v>
      </c>
      <c r="C1096" s="1" t="s">
        <v>3388</v>
      </c>
      <c r="D1096" s="413" t="str">
        <f t="shared" si="35"/>
        <v>07-13</v>
      </c>
      <c r="E1096" s="273" t="e">
        <f ca="1">_xludf.IFNA(VLOOKUP('Comp X - Kilter'!B1096,'Kilter Holds'!$P$37:$AB$662,10,0),0)</f>
        <v>#NAME?</v>
      </c>
      <c r="F1096" s="274"/>
      <c r="G1096" s="274" t="e">
        <f t="shared" ca="1" si="36"/>
        <v>#NAME?</v>
      </c>
      <c r="H1096" s="274">
        <f t="shared" si="37"/>
        <v>0</v>
      </c>
      <c r="K1096" s="274"/>
    </row>
    <row r="1097" spans="2:11" ht="13.5" customHeight="1">
      <c r="B1097" s="1" t="s">
        <v>2034</v>
      </c>
      <c r="C1097" s="1" t="s">
        <v>3388</v>
      </c>
      <c r="D1097" s="414" t="str">
        <f t="shared" si="35"/>
        <v>11-26</v>
      </c>
      <c r="E1097" s="273" t="e">
        <f ca="1">_xludf.IFNA(VLOOKUP('Comp X - Kilter'!B1097,'Kilter Holds'!$P$37:$AB$662,11,0),0)</f>
        <v>#NAME?</v>
      </c>
      <c r="F1097" s="274"/>
      <c r="G1097" s="274" t="e">
        <f t="shared" ca="1" si="36"/>
        <v>#NAME?</v>
      </c>
      <c r="H1097" s="274">
        <f t="shared" si="37"/>
        <v>0</v>
      </c>
      <c r="K1097" s="274"/>
    </row>
    <row r="1098" spans="2:11" ht="13.5" customHeight="1">
      <c r="B1098" s="1" t="s">
        <v>2034</v>
      </c>
      <c r="C1098" s="1" t="s">
        <v>3388</v>
      </c>
      <c r="D1098" s="415" t="str">
        <f t="shared" si="35"/>
        <v>18-01</v>
      </c>
      <c r="E1098" s="273" t="e">
        <f ca="1">_xludf.IFNA(VLOOKUP('Comp X - Kilter'!B1098,'Kilter Holds'!$P$37:$AB$662,12,0),0)</f>
        <v>#NAME?</v>
      </c>
      <c r="F1098" s="274"/>
      <c r="G1098" s="274" t="e">
        <f t="shared" ca="1" si="36"/>
        <v>#NAME?</v>
      </c>
      <c r="H1098" s="274">
        <f t="shared" si="37"/>
        <v>0</v>
      </c>
      <c r="K1098" s="274"/>
    </row>
    <row r="1099" spans="2:11" ht="13.5" customHeight="1">
      <c r="B1099" s="1" t="s">
        <v>2034</v>
      </c>
      <c r="C1099" s="1" t="s">
        <v>3388</v>
      </c>
      <c r="D1099" s="416" t="str">
        <f t="shared" si="35"/>
        <v>Color Code</v>
      </c>
      <c r="E1099" s="273" t="e">
        <f ca="1">_xludf.IFNA(VLOOKUP('Comp X - Kilter'!B1099,'Kilter Holds'!$P$37:$AB$662,13,0),0)</f>
        <v>#NAME?</v>
      </c>
      <c r="F1099" s="274"/>
      <c r="G1099" s="274" t="e">
        <f t="shared" ca="1" si="36"/>
        <v>#NAME?</v>
      </c>
      <c r="H1099" s="274">
        <f t="shared" si="37"/>
        <v>0</v>
      </c>
      <c r="K1099" s="274"/>
    </row>
    <row r="1100" spans="2:11" ht="13.5" customHeight="1">
      <c r="B1100" s="1" t="s">
        <v>2039</v>
      </c>
      <c r="C1100" s="1" t="s">
        <v>3389</v>
      </c>
      <c r="D1100" s="406" t="str">
        <f t="shared" si="35"/>
        <v>11-12</v>
      </c>
      <c r="E1100" s="273" t="e">
        <f ca="1">_xludf.IFNA(VLOOKUP('Comp X - Kilter'!B1100,'Kilter Holds'!$P$37:$AB$662,5,0),0)</f>
        <v>#NAME?</v>
      </c>
      <c r="F1100" s="274"/>
      <c r="G1100" s="274" t="e">
        <f t="shared" ca="1" si="36"/>
        <v>#NAME?</v>
      </c>
      <c r="H1100" s="274">
        <f t="shared" si="37"/>
        <v>0</v>
      </c>
      <c r="K1100" s="274"/>
    </row>
    <row r="1101" spans="2:11" ht="13.5" customHeight="1">
      <c r="B1101" s="1" t="s">
        <v>2039</v>
      </c>
      <c r="C1101" s="1" t="s">
        <v>3389</v>
      </c>
      <c r="D1101" s="408" t="str">
        <f t="shared" si="35"/>
        <v>14-01</v>
      </c>
      <c r="E1101" s="273" t="e">
        <f ca="1">_xludf.IFNA(VLOOKUP('Comp X - Kilter'!B1101,'Kilter Holds'!$P$37:$AB$662,6,0),0)</f>
        <v>#NAME?</v>
      </c>
      <c r="F1101" s="274"/>
      <c r="G1101" s="274" t="e">
        <f t="shared" ca="1" si="36"/>
        <v>#NAME?</v>
      </c>
      <c r="H1101" s="274">
        <f t="shared" si="37"/>
        <v>0</v>
      </c>
      <c r="K1101" s="274"/>
    </row>
    <row r="1102" spans="2:11" ht="13.5" customHeight="1">
      <c r="B1102" s="1" t="s">
        <v>2039</v>
      </c>
      <c r="C1102" s="1" t="s">
        <v>3389</v>
      </c>
      <c r="D1102" s="409" t="str">
        <f t="shared" si="35"/>
        <v>15-12</v>
      </c>
      <c r="E1102" s="273" t="e">
        <f ca="1">_xludf.IFNA(VLOOKUP('Comp X - Kilter'!B1102,'Kilter Holds'!$P$37:$AB$662,7,0),0)</f>
        <v>#NAME?</v>
      </c>
      <c r="F1102" s="274"/>
      <c r="G1102" s="274" t="e">
        <f t="shared" ca="1" si="36"/>
        <v>#NAME?</v>
      </c>
      <c r="H1102" s="274">
        <f t="shared" si="37"/>
        <v>0</v>
      </c>
      <c r="K1102" s="274"/>
    </row>
    <row r="1103" spans="2:11" ht="13.5" customHeight="1">
      <c r="B1103" s="1" t="s">
        <v>2039</v>
      </c>
      <c r="C1103" s="1" t="s">
        <v>3389</v>
      </c>
      <c r="D1103" s="410" t="str">
        <f t="shared" si="35"/>
        <v>16-16</v>
      </c>
      <c r="E1103" s="273" t="e">
        <f ca="1">_xludf.IFNA(VLOOKUP('Comp X - Kilter'!B1103,'Kilter Holds'!$P$37:$AB$662,8,0),0)</f>
        <v>#NAME?</v>
      </c>
      <c r="F1103" s="274"/>
      <c r="G1103" s="274" t="e">
        <f t="shared" ca="1" si="36"/>
        <v>#NAME?</v>
      </c>
      <c r="H1103" s="274">
        <f t="shared" si="37"/>
        <v>0</v>
      </c>
      <c r="K1103" s="274"/>
    </row>
    <row r="1104" spans="2:11" ht="13.5" customHeight="1">
      <c r="B1104" s="1" t="s">
        <v>2039</v>
      </c>
      <c r="C1104" s="1" t="s">
        <v>3389</v>
      </c>
      <c r="D1104" s="411" t="str">
        <f t="shared" si="35"/>
        <v>13-01</v>
      </c>
      <c r="E1104" s="273" t="e">
        <f ca="1">_xludf.IFNA(VLOOKUP('Comp X - Kilter'!B1104,'Kilter Holds'!$P$37:$AB$662,9,0),0)</f>
        <v>#NAME?</v>
      </c>
      <c r="F1104" s="274"/>
      <c r="G1104" s="274" t="e">
        <f t="shared" ca="1" si="36"/>
        <v>#NAME?</v>
      </c>
      <c r="H1104" s="274">
        <f t="shared" si="37"/>
        <v>0</v>
      </c>
      <c r="K1104" s="274"/>
    </row>
    <row r="1105" spans="2:11" ht="13.5" customHeight="1">
      <c r="B1105" s="1" t="s">
        <v>2039</v>
      </c>
      <c r="C1105" s="1" t="s">
        <v>3389</v>
      </c>
      <c r="D1105" s="413" t="str">
        <f t="shared" si="35"/>
        <v>07-13</v>
      </c>
      <c r="E1105" s="273" t="e">
        <f ca="1">_xludf.IFNA(VLOOKUP('Comp X - Kilter'!B1105,'Kilter Holds'!$P$37:$AB$662,10,0),0)</f>
        <v>#NAME?</v>
      </c>
      <c r="F1105" s="274"/>
      <c r="G1105" s="274" t="e">
        <f t="shared" ca="1" si="36"/>
        <v>#NAME?</v>
      </c>
      <c r="H1105" s="274">
        <f t="shared" si="37"/>
        <v>0</v>
      </c>
      <c r="K1105" s="274"/>
    </row>
    <row r="1106" spans="2:11" ht="13.5" customHeight="1">
      <c r="B1106" s="1" t="s">
        <v>2039</v>
      </c>
      <c r="C1106" s="1" t="s">
        <v>3389</v>
      </c>
      <c r="D1106" s="414" t="str">
        <f t="shared" si="35"/>
        <v>11-26</v>
      </c>
      <c r="E1106" s="273" t="e">
        <f ca="1">_xludf.IFNA(VLOOKUP('Comp X - Kilter'!B1106,'Kilter Holds'!$P$37:$AB$662,11,0),0)</f>
        <v>#NAME?</v>
      </c>
      <c r="F1106" s="274"/>
      <c r="G1106" s="274" t="e">
        <f t="shared" ca="1" si="36"/>
        <v>#NAME?</v>
      </c>
      <c r="H1106" s="274">
        <f t="shared" si="37"/>
        <v>0</v>
      </c>
      <c r="K1106" s="274"/>
    </row>
    <row r="1107" spans="2:11" ht="13.5" customHeight="1">
      <c r="B1107" s="1" t="s">
        <v>2039</v>
      </c>
      <c r="C1107" s="1" t="s">
        <v>3389</v>
      </c>
      <c r="D1107" s="415" t="str">
        <f t="shared" si="35"/>
        <v>18-01</v>
      </c>
      <c r="E1107" s="273" t="e">
        <f ca="1">_xludf.IFNA(VLOOKUP('Comp X - Kilter'!B1107,'Kilter Holds'!$P$37:$AB$662,12,0),0)</f>
        <v>#NAME?</v>
      </c>
      <c r="F1107" s="274"/>
      <c r="G1107" s="274" t="e">
        <f t="shared" ca="1" si="36"/>
        <v>#NAME?</v>
      </c>
      <c r="H1107" s="274">
        <f t="shared" si="37"/>
        <v>0</v>
      </c>
      <c r="K1107" s="274"/>
    </row>
    <row r="1108" spans="2:11" ht="13.5" customHeight="1">
      <c r="B1108" s="1" t="s">
        <v>2039</v>
      </c>
      <c r="C1108" s="1" t="s">
        <v>3389</v>
      </c>
      <c r="D1108" s="416" t="str">
        <f t="shared" si="35"/>
        <v>Color Code</v>
      </c>
      <c r="E1108" s="273" t="e">
        <f ca="1">_xludf.IFNA(VLOOKUP('Comp X - Kilter'!B1108,'Kilter Holds'!$P$37:$AB$662,13,0),0)</f>
        <v>#NAME?</v>
      </c>
      <c r="F1108" s="274"/>
      <c r="G1108" s="274" t="e">
        <f t="shared" ca="1" si="36"/>
        <v>#NAME?</v>
      </c>
      <c r="H1108" s="274">
        <f t="shared" si="37"/>
        <v>0</v>
      </c>
      <c r="K1108" s="274"/>
    </row>
    <row r="1109" spans="2:11" ht="13.5" customHeight="1">
      <c r="B1109" s="1" t="s">
        <v>2082</v>
      </c>
      <c r="C1109" s="1" t="s">
        <v>3390</v>
      </c>
      <c r="D1109" s="406" t="str">
        <f t="shared" si="35"/>
        <v>11-12</v>
      </c>
      <c r="E1109" s="273" t="e">
        <f ca="1">_xludf.IFNA(VLOOKUP('Comp X - Kilter'!B1109,'Kilter Holds'!$P$37:$AB$662,5,0),0)</f>
        <v>#NAME?</v>
      </c>
      <c r="F1109" s="274"/>
      <c r="G1109" s="274" t="e">
        <f t="shared" ca="1" si="36"/>
        <v>#NAME?</v>
      </c>
      <c r="H1109" s="274">
        <f t="shared" si="37"/>
        <v>0</v>
      </c>
      <c r="K1109" s="274"/>
    </row>
    <row r="1110" spans="2:11" ht="13.5" customHeight="1">
      <c r="B1110" s="1" t="s">
        <v>2082</v>
      </c>
      <c r="C1110" s="1" t="s">
        <v>3390</v>
      </c>
      <c r="D1110" s="408" t="str">
        <f t="shared" si="35"/>
        <v>14-01</v>
      </c>
      <c r="E1110" s="273" t="e">
        <f ca="1">_xludf.IFNA(VLOOKUP('Comp X - Kilter'!B1110,'Kilter Holds'!$P$37:$AB$662,6,0),0)</f>
        <v>#NAME?</v>
      </c>
      <c r="F1110" s="274"/>
      <c r="G1110" s="274" t="e">
        <f t="shared" ca="1" si="36"/>
        <v>#NAME?</v>
      </c>
      <c r="H1110" s="274">
        <f t="shared" si="37"/>
        <v>0</v>
      </c>
      <c r="K1110" s="274"/>
    </row>
    <row r="1111" spans="2:11" ht="13.5" customHeight="1">
      <c r="B1111" s="1" t="s">
        <v>2082</v>
      </c>
      <c r="C1111" s="1" t="s">
        <v>3390</v>
      </c>
      <c r="D1111" s="409" t="str">
        <f t="shared" si="35"/>
        <v>15-12</v>
      </c>
      <c r="E1111" s="273" t="e">
        <f ca="1">_xludf.IFNA(VLOOKUP('Comp X - Kilter'!B1111,'Kilter Holds'!$P$37:$AB$662,7,0),0)</f>
        <v>#NAME?</v>
      </c>
      <c r="F1111" s="274"/>
      <c r="G1111" s="274" t="e">
        <f t="shared" ca="1" si="36"/>
        <v>#NAME?</v>
      </c>
      <c r="H1111" s="274">
        <f t="shared" si="37"/>
        <v>0</v>
      </c>
      <c r="K1111" s="274"/>
    </row>
    <row r="1112" spans="2:11" ht="13.5" customHeight="1">
      <c r="B1112" s="1" t="s">
        <v>2082</v>
      </c>
      <c r="C1112" s="1" t="s">
        <v>3390</v>
      </c>
      <c r="D1112" s="410" t="str">
        <f t="shared" si="35"/>
        <v>16-16</v>
      </c>
      <c r="E1112" s="273" t="e">
        <f ca="1">_xludf.IFNA(VLOOKUP('Comp X - Kilter'!B1112,'Kilter Holds'!$P$37:$AB$662,8,0),0)</f>
        <v>#NAME?</v>
      </c>
      <c r="F1112" s="274"/>
      <c r="G1112" s="274" t="e">
        <f t="shared" ca="1" si="36"/>
        <v>#NAME?</v>
      </c>
      <c r="H1112" s="274">
        <f t="shared" si="37"/>
        <v>0</v>
      </c>
      <c r="K1112" s="274"/>
    </row>
    <row r="1113" spans="2:11" ht="13.5" customHeight="1">
      <c r="B1113" s="1" t="s">
        <v>2082</v>
      </c>
      <c r="C1113" s="1" t="s">
        <v>3390</v>
      </c>
      <c r="D1113" s="411" t="str">
        <f t="shared" si="35"/>
        <v>13-01</v>
      </c>
      <c r="E1113" s="273" t="e">
        <f ca="1">_xludf.IFNA(VLOOKUP('Comp X - Kilter'!B1113,'Kilter Holds'!$P$37:$AB$662,9,0),0)</f>
        <v>#NAME?</v>
      </c>
      <c r="F1113" s="274"/>
      <c r="G1113" s="274" t="e">
        <f t="shared" ca="1" si="36"/>
        <v>#NAME?</v>
      </c>
      <c r="H1113" s="274">
        <f t="shared" si="37"/>
        <v>0</v>
      </c>
      <c r="K1113" s="274"/>
    </row>
    <row r="1114" spans="2:11" ht="13.5" customHeight="1">
      <c r="B1114" s="1" t="s">
        <v>2082</v>
      </c>
      <c r="C1114" s="1" t="s">
        <v>3390</v>
      </c>
      <c r="D1114" s="413" t="str">
        <f t="shared" si="35"/>
        <v>07-13</v>
      </c>
      <c r="E1114" s="273" t="e">
        <f ca="1">_xludf.IFNA(VLOOKUP('Comp X - Kilter'!B1114,'Kilter Holds'!$P$37:$AB$662,10,0),0)</f>
        <v>#NAME?</v>
      </c>
      <c r="F1114" s="274"/>
      <c r="G1114" s="274" t="e">
        <f t="shared" ca="1" si="36"/>
        <v>#NAME?</v>
      </c>
      <c r="H1114" s="274">
        <f t="shared" si="37"/>
        <v>0</v>
      </c>
      <c r="K1114" s="274"/>
    </row>
    <row r="1115" spans="2:11" ht="13.5" customHeight="1">
      <c r="B1115" s="1" t="s">
        <v>2082</v>
      </c>
      <c r="C1115" s="1" t="s">
        <v>3390</v>
      </c>
      <c r="D1115" s="414" t="str">
        <f t="shared" si="35"/>
        <v>11-26</v>
      </c>
      <c r="E1115" s="273" t="e">
        <f ca="1">_xludf.IFNA(VLOOKUP('Comp X - Kilter'!B1115,'Kilter Holds'!$P$37:$AB$662,11,0),0)</f>
        <v>#NAME?</v>
      </c>
      <c r="F1115" s="274"/>
      <c r="G1115" s="274" t="e">
        <f t="shared" ca="1" si="36"/>
        <v>#NAME?</v>
      </c>
      <c r="H1115" s="274">
        <f t="shared" si="37"/>
        <v>0</v>
      </c>
      <c r="K1115" s="274"/>
    </row>
    <row r="1116" spans="2:11" ht="13.5" customHeight="1">
      <c r="B1116" s="1" t="s">
        <v>2082</v>
      </c>
      <c r="C1116" s="1" t="s">
        <v>3390</v>
      </c>
      <c r="D1116" s="415" t="str">
        <f t="shared" si="35"/>
        <v>18-01</v>
      </c>
      <c r="E1116" s="273" t="e">
        <f ca="1">_xludf.IFNA(VLOOKUP('Comp X - Kilter'!B1116,'Kilter Holds'!$P$37:$AB$662,12,0),0)</f>
        <v>#NAME?</v>
      </c>
      <c r="F1116" s="274"/>
      <c r="G1116" s="274" t="e">
        <f t="shared" ca="1" si="36"/>
        <v>#NAME?</v>
      </c>
      <c r="H1116" s="274">
        <f t="shared" si="37"/>
        <v>0</v>
      </c>
      <c r="K1116" s="274"/>
    </row>
    <row r="1117" spans="2:11" ht="13.5" customHeight="1">
      <c r="B1117" s="1" t="s">
        <v>2082</v>
      </c>
      <c r="C1117" s="1" t="s">
        <v>3390</v>
      </c>
      <c r="D1117" s="416" t="str">
        <f t="shared" si="35"/>
        <v>Color Code</v>
      </c>
      <c r="E1117" s="273" t="e">
        <f ca="1">_xludf.IFNA(VLOOKUP('Comp X - Kilter'!B1117,'Kilter Holds'!$P$37:$AB$662,13,0),0)</f>
        <v>#NAME?</v>
      </c>
      <c r="F1117" s="274"/>
      <c r="G1117" s="274" t="e">
        <f t="shared" ca="1" si="36"/>
        <v>#NAME?</v>
      </c>
      <c r="H1117" s="274">
        <f t="shared" si="37"/>
        <v>0</v>
      </c>
      <c r="K1117" s="274"/>
    </row>
    <row r="1118" spans="2:11" ht="13.5" customHeight="1">
      <c r="B1118" s="1" t="s">
        <v>2083</v>
      </c>
      <c r="C1118" s="1" t="s">
        <v>3391</v>
      </c>
      <c r="D1118" s="406" t="str">
        <f t="shared" si="35"/>
        <v>11-12</v>
      </c>
      <c r="E1118" s="273" t="e">
        <f ca="1">_xludf.IFNA(VLOOKUP('Comp X - Kilter'!B1118,'Kilter Holds'!$P$37:$AB$662,5,0),0)</f>
        <v>#NAME?</v>
      </c>
      <c r="F1118" s="274"/>
      <c r="G1118" s="274" t="e">
        <f t="shared" ca="1" si="36"/>
        <v>#NAME?</v>
      </c>
      <c r="H1118" s="274">
        <f t="shared" si="37"/>
        <v>0</v>
      </c>
      <c r="K1118" s="274"/>
    </row>
    <row r="1119" spans="2:11" ht="13.5" customHeight="1">
      <c r="B1119" s="1" t="s">
        <v>2083</v>
      </c>
      <c r="C1119" s="1" t="s">
        <v>3391</v>
      </c>
      <c r="D1119" s="408" t="str">
        <f t="shared" si="35"/>
        <v>14-01</v>
      </c>
      <c r="E1119" s="273" t="e">
        <f ca="1">_xludf.IFNA(VLOOKUP('Comp X - Kilter'!B1119,'Kilter Holds'!$P$37:$AB$662,6,0),0)</f>
        <v>#NAME?</v>
      </c>
      <c r="F1119" s="274"/>
      <c r="G1119" s="274" t="e">
        <f t="shared" ca="1" si="36"/>
        <v>#NAME?</v>
      </c>
      <c r="H1119" s="274">
        <f t="shared" si="37"/>
        <v>0</v>
      </c>
      <c r="K1119" s="274"/>
    </row>
    <row r="1120" spans="2:11" ht="13.5" customHeight="1">
      <c r="B1120" s="1" t="s">
        <v>2083</v>
      </c>
      <c r="C1120" s="1" t="s">
        <v>3391</v>
      </c>
      <c r="D1120" s="409" t="str">
        <f t="shared" si="35"/>
        <v>15-12</v>
      </c>
      <c r="E1120" s="273" t="e">
        <f ca="1">_xludf.IFNA(VLOOKUP('Comp X - Kilter'!B1120,'Kilter Holds'!$P$37:$AB$662,7,0),0)</f>
        <v>#NAME?</v>
      </c>
      <c r="F1120" s="274"/>
      <c r="G1120" s="274" t="e">
        <f t="shared" ca="1" si="36"/>
        <v>#NAME?</v>
      </c>
      <c r="H1120" s="274">
        <f t="shared" si="37"/>
        <v>0</v>
      </c>
      <c r="K1120" s="274"/>
    </row>
    <row r="1121" spans="2:11" ht="13.5" customHeight="1">
      <c r="B1121" s="1" t="s">
        <v>2083</v>
      </c>
      <c r="C1121" s="1" t="s">
        <v>3391</v>
      </c>
      <c r="D1121" s="410" t="str">
        <f t="shared" si="35"/>
        <v>16-16</v>
      </c>
      <c r="E1121" s="273" t="e">
        <f ca="1">_xludf.IFNA(VLOOKUP('Comp X - Kilter'!B1121,'Kilter Holds'!$P$37:$AB$662,8,0),0)</f>
        <v>#NAME?</v>
      </c>
      <c r="F1121" s="274"/>
      <c r="G1121" s="274" t="e">
        <f t="shared" ca="1" si="36"/>
        <v>#NAME?</v>
      </c>
      <c r="H1121" s="274">
        <f t="shared" si="37"/>
        <v>0</v>
      </c>
      <c r="K1121" s="274"/>
    </row>
    <row r="1122" spans="2:11" ht="13.5" customHeight="1">
      <c r="B1122" s="1" t="s">
        <v>2083</v>
      </c>
      <c r="C1122" s="1" t="s">
        <v>3391</v>
      </c>
      <c r="D1122" s="411" t="str">
        <f t="shared" si="35"/>
        <v>13-01</v>
      </c>
      <c r="E1122" s="273" t="e">
        <f ca="1">_xludf.IFNA(VLOOKUP('Comp X - Kilter'!B1122,'Kilter Holds'!$P$37:$AB$662,9,0),0)</f>
        <v>#NAME?</v>
      </c>
      <c r="F1122" s="274"/>
      <c r="G1122" s="274" t="e">
        <f t="shared" ca="1" si="36"/>
        <v>#NAME?</v>
      </c>
      <c r="H1122" s="274">
        <f t="shared" si="37"/>
        <v>0</v>
      </c>
      <c r="K1122" s="274"/>
    </row>
    <row r="1123" spans="2:11" ht="13.5" customHeight="1">
      <c r="B1123" s="1" t="s">
        <v>2083</v>
      </c>
      <c r="C1123" s="1" t="s">
        <v>3391</v>
      </c>
      <c r="D1123" s="413" t="str">
        <f t="shared" si="35"/>
        <v>07-13</v>
      </c>
      <c r="E1123" s="273" t="e">
        <f ca="1">_xludf.IFNA(VLOOKUP('Comp X - Kilter'!B1123,'Kilter Holds'!$P$37:$AB$662,10,0),0)</f>
        <v>#NAME?</v>
      </c>
      <c r="F1123" s="274"/>
      <c r="G1123" s="274" t="e">
        <f t="shared" ca="1" si="36"/>
        <v>#NAME?</v>
      </c>
      <c r="H1123" s="274">
        <f t="shared" si="37"/>
        <v>0</v>
      </c>
      <c r="K1123" s="274"/>
    </row>
    <row r="1124" spans="2:11" ht="13.5" customHeight="1">
      <c r="B1124" s="1" t="s">
        <v>2083</v>
      </c>
      <c r="C1124" s="1" t="s">
        <v>3391</v>
      </c>
      <c r="D1124" s="414" t="str">
        <f t="shared" si="35"/>
        <v>11-26</v>
      </c>
      <c r="E1124" s="273" t="e">
        <f ca="1">_xludf.IFNA(VLOOKUP('Comp X - Kilter'!B1124,'Kilter Holds'!$P$37:$AB$662,11,0),0)</f>
        <v>#NAME?</v>
      </c>
      <c r="F1124" s="274"/>
      <c r="G1124" s="274" t="e">
        <f t="shared" ca="1" si="36"/>
        <v>#NAME?</v>
      </c>
      <c r="H1124" s="274">
        <f t="shared" si="37"/>
        <v>0</v>
      </c>
      <c r="K1124" s="274"/>
    </row>
    <row r="1125" spans="2:11" ht="13.5" customHeight="1">
      <c r="B1125" s="1" t="s">
        <v>2083</v>
      </c>
      <c r="C1125" s="1" t="s">
        <v>3391</v>
      </c>
      <c r="D1125" s="415" t="str">
        <f t="shared" si="35"/>
        <v>18-01</v>
      </c>
      <c r="E1125" s="273" t="e">
        <f ca="1">_xludf.IFNA(VLOOKUP('Comp X - Kilter'!B1125,'Kilter Holds'!$P$37:$AB$662,12,0),0)</f>
        <v>#NAME?</v>
      </c>
      <c r="F1125" s="274"/>
      <c r="G1125" s="274" t="e">
        <f t="shared" ca="1" si="36"/>
        <v>#NAME?</v>
      </c>
      <c r="H1125" s="274">
        <f t="shared" si="37"/>
        <v>0</v>
      </c>
      <c r="K1125" s="274"/>
    </row>
    <row r="1126" spans="2:11" ht="13.5" customHeight="1">
      <c r="B1126" s="1" t="s">
        <v>2083</v>
      </c>
      <c r="C1126" s="1" t="s">
        <v>3391</v>
      </c>
      <c r="D1126" s="416" t="str">
        <f t="shared" si="35"/>
        <v>Color Code</v>
      </c>
      <c r="E1126" s="273" t="e">
        <f ca="1">_xludf.IFNA(VLOOKUP('Comp X - Kilter'!B1126,'Kilter Holds'!$P$37:$AB$662,13,0),0)</f>
        <v>#NAME?</v>
      </c>
      <c r="F1126" s="274"/>
      <c r="G1126" s="274" t="e">
        <f t="shared" ca="1" si="36"/>
        <v>#NAME?</v>
      </c>
      <c r="H1126" s="274">
        <f t="shared" si="37"/>
        <v>0</v>
      </c>
      <c r="K1126" s="274"/>
    </row>
    <row r="1127" spans="2:11" ht="13.5" customHeight="1">
      <c r="B1127" s="1" t="s">
        <v>2031</v>
      </c>
      <c r="C1127" s="1" t="s">
        <v>3392</v>
      </c>
      <c r="D1127" s="406" t="str">
        <f t="shared" ref="D1127:D1162" si="38">D659</f>
        <v>11-12</v>
      </c>
      <c r="E1127" s="273" t="e">
        <f ca="1">_xludf.IFNA(VLOOKUP('Comp X - Kilter'!B1127,'Kilter Holds'!$P$37:$AB$662,5,0),0)</f>
        <v>#NAME?</v>
      </c>
      <c r="F1127" s="274"/>
      <c r="G1127" s="274" t="e">
        <f t="shared" ca="1" si="36"/>
        <v>#NAME?</v>
      </c>
      <c r="H1127" s="274">
        <f t="shared" si="37"/>
        <v>0</v>
      </c>
      <c r="K1127" s="274"/>
    </row>
    <row r="1128" spans="2:11" ht="13.5" customHeight="1">
      <c r="B1128" s="1" t="s">
        <v>2031</v>
      </c>
      <c r="C1128" s="1" t="s">
        <v>3392</v>
      </c>
      <c r="D1128" s="408" t="str">
        <f t="shared" si="38"/>
        <v>14-01</v>
      </c>
      <c r="E1128" s="273" t="e">
        <f ca="1">_xludf.IFNA(VLOOKUP('Comp X - Kilter'!B1128,'Kilter Holds'!$P$37:$AB$662,6,0),0)</f>
        <v>#NAME?</v>
      </c>
      <c r="F1128" s="274"/>
      <c r="G1128" s="274" t="e">
        <f t="shared" ca="1" si="36"/>
        <v>#NAME?</v>
      </c>
      <c r="H1128" s="274">
        <f t="shared" si="37"/>
        <v>0</v>
      </c>
      <c r="K1128" s="274"/>
    </row>
    <row r="1129" spans="2:11" ht="13.5" customHeight="1">
      <c r="B1129" s="1" t="s">
        <v>2031</v>
      </c>
      <c r="C1129" s="1" t="s">
        <v>3392</v>
      </c>
      <c r="D1129" s="409" t="str">
        <f t="shared" si="38"/>
        <v>15-12</v>
      </c>
      <c r="E1129" s="273" t="e">
        <f ca="1">_xludf.IFNA(VLOOKUP('Comp X - Kilter'!B1129,'Kilter Holds'!$P$37:$AB$662,7,0),0)</f>
        <v>#NAME?</v>
      </c>
      <c r="F1129" s="274"/>
      <c r="G1129" s="274" t="e">
        <f t="shared" ca="1" si="36"/>
        <v>#NAME?</v>
      </c>
      <c r="H1129" s="274">
        <f t="shared" si="37"/>
        <v>0</v>
      </c>
      <c r="K1129" s="274"/>
    </row>
    <row r="1130" spans="2:11" ht="13.5" customHeight="1">
      <c r="B1130" s="1" t="s">
        <v>2031</v>
      </c>
      <c r="C1130" s="1" t="s">
        <v>3392</v>
      </c>
      <c r="D1130" s="410" t="str">
        <f t="shared" si="38"/>
        <v>16-16</v>
      </c>
      <c r="E1130" s="273" t="e">
        <f ca="1">_xludf.IFNA(VLOOKUP('Comp X - Kilter'!B1130,'Kilter Holds'!$P$37:$AB$662,8,0),0)</f>
        <v>#NAME?</v>
      </c>
      <c r="F1130" s="274"/>
      <c r="G1130" s="274" t="e">
        <f t="shared" ca="1" si="36"/>
        <v>#NAME?</v>
      </c>
      <c r="H1130" s="274">
        <f t="shared" si="37"/>
        <v>0</v>
      </c>
      <c r="K1130" s="274"/>
    </row>
    <row r="1131" spans="2:11" ht="13.5" customHeight="1">
      <c r="B1131" s="1" t="s">
        <v>2031</v>
      </c>
      <c r="C1131" s="1" t="s">
        <v>3392</v>
      </c>
      <c r="D1131" s="411" t="str">
        <f t="shared" si="38"/>
        <v>13-01</v>
      </c>
      <c r="E1131" s="273" t="e">
        <f ca="1">_xludf.IFNA(VLOOKUP('Comp X - Kilter'!B1131,'Kilter Holds'!$P$37:$AB$662,9,0),0)</f>
        <v>#NAME?</v>
      </c>
      <c r="F1131" s="274"/>
      <c r="G1131" s="274" t="e">
        <f t="shared" ca="1" si="36"/>
        <v>#NAME?</v>
      </c>
      <c r="H1131" s="274">
        <f t="shared" si="37"/>
        <v>0</v>
      </c>
      <c r="K1131" s="274"/>
    </row>
    <row r="1132" spans="2:11" ht="13.5" customHeight="1">
      <c r="B1132" s="1" t="s">
        <v>2031</v>
      </c>
      <c r="C1132" s="1" t="s">
        <v>3392</v>
      </c>
      <c r="D1132" s="413" t="str">
        <f t="shared" si="38"/>
        <v>07-13</v>
      </c>
      <c r="E1132" s="273" t="e">
        <f ca="1">_xludf.IFNA(VLOOKUP('Comp X - Kilter'!B1132,'Kilter Holds'!$P$37:$AB$662,10,0),0)</f>
        <v>#NAME?</v>
      </c>
      <c r="F1132" s="274"/>
      <c r="G1132" s="274" t="e">
        <f t="shared" ca="1" si="36"/>
        <v>#NAME?</v>
      </c>
      <c r="H1132" s="274">
        <f t="shared" si="37"/>
        <v>0</v>
      </c>
      <c r="K1132" s="274"/>
    </row>
    <row r="1133" spans="2:11" ht="13.5" customHeight="1">
      <c r="B1133" s="1" t="s">
        <v>2031</v>
      </c>
      <c r="C1133" s="1" t="s">
        <v>3392</v>
      </c>
      <c r="D1133" s="414" t="str">
        <f t="shared" si="38"/>
        <v>11-26</v>
      </c>
      <c r="E1133" s="273" t="e">
        <f ca="1">_xludf.IFNA(VLOOKUP('Comp X - Kilter'!B1133,'Kilter Holds'!$P$37:$AB$662,11,0),0)</f>
        <v>#NAME?</v>
      </c>
      <c r="F1133" s="274"/>
      <c r="G1133" s="274" t="e">
        <f t="shared" ca="1" si="36"/>
        <v>#NAME?</v>
      </c>
      <c r="H1133" s="274">
        <f t="shared" si="37"/>
        <v>0</v>
      </c>
      <c r="K1133" s="274"/>
    </row>
    <row r="1134" spans="2:11" ht="13.5" customHeight="1">
      <c r="B1134" s="1" t="s">
        <v>2031</v>
      </c>
      <c r="C1134" s="1" t="s">
        <v>3392</v>
      </c>
      <c r="D1134" s="415" t="str">
        <f t="shared" si="38"/>
        <v>18-01</v>
      </c>
      <c r="E1134" s="273" t="e">
        <f ca="1">_xludf.IFNA(VLOOKUP('Comp X - Kilter'!B1134,'Kilter Holds'!$P$37:$AB$662,12,0),0)</f>
        <v>#NAME?</v>
      </c>
      <c r="F1134" s="274"/>
      <c r="G1134" s="274" t="e">
        <f t="shared" ca="1" si="36"/>
        <v>#NAME?</v>
      </c>
      <c r="H1134" s="274">
        <f t="shared" si="37"/>
        <v>0</v>
      </c>
      <c r="K1134" s="274"/>
    </row>
    <row r="1135" spans="2:11" ht="13.5" customHeight="1">
      <c r="B1135" s="1" t="s">
        <v>2031</v>
      </c>
      <c r="C1135" s="1" t="s">
        <v>3392</v>
      </c>
      <c r="D1135" s="416" t="str">
        <f t="shared" si="38"/>
        <v>Color Code</v>
      </c>
      <c r="E1135" s="273" t="e">
        <f ca="1">_xludf.IFNA(VLOOKUP('Comp X - Kilter'!B1135,'Kilter Holds'!$P$37:$AB$662,13,0),0)</f>
        <v>#NAME?</v>
      </c>
      <c r="F1135" s="274"/>
      <c r="G1135" s="274" t="e">
        <f t="shared" ca="1" si="36"/>
        <v>#NAME?</v>
      </c>
      <c r="H1135" s="274">
        <f t="shared" si="37"/>
        <v>0</v>
      </c>
      <c r="K1135" s="274"/>
    </row>
    <row r="1136" spans="2:11" ht="13.5" customHeight="1">
      <c r="B1136" s="1" t="s">
        <v>2085</v>
      </c>
      <c r="C1136" s="1" t="s">
        <v>3393</v>
      </c>
      <c r="D1136" s="406" t="str">
        <f t="shared" si="38"/>
        <v>11-12</v>
      </c>
      <c r="E1136" s="273" t="e">
        <f ca="1">_xludf.IFNA(VLOOKUP('Comp X - Kilter'!B1136,'Kilter Holds'!$P$37:$AB$662,5,0),0)</f>
        <v>#NAME?</v>
      </c>
      <c r="F1136" s="274"/>
      <c r="G1136" s="274" t="e">
        <f t="shared" ca="1" si="36"/>
        <v>#NAME?</v>
      </c>
      <c r="H1136" s="274">
        <f t="shared" si="37"/>
        <v>0</v>
      </c>
      <c r="K1136" s="274"/>
    </row>
    <row r="1137" spans="2:11" ht="13.5" customHeight="1">
      <c r="B1137" s="1" t="s">
        <v>2085</v>
      </c>
      <c r="C1137" s="1" t="s">
        <v>3393</v>
      </c>
      <c r="D1137" s="408" t="str">
        <f t="shared" si="38"/>
        <v>14-01</v>
      </c>
      <c r="E1137" s="273" t="e">
        <f ca="1">_xludf.IFNA(VLOOKUP('Comp X - Kilter'!B1137,'Kilter Holds'!$P$37:$AB$662,6,0),0)</f>
        <v>#NAME?</v>
      </c>
      <c r="F1137" s="274"/>
      <c r="G1137" s="274" t="e">
        <f t="shared" ca="1" si="36"/>
        <v>#NAME?</v>
      </c>
      <c r="H1137" s="274">
        <f t="shared" si="37"/>
        <v>0</v>
      </c>
      <c r="K1137" s="274"/>
    </row>
    <row r="1138" spans="2:11" ht="13.5" customHeight="1">
      <c r="B1138" s="1" t="s">
        <v>2085</v>
      </c>
      <c r="C1138" s="1" t="s">
        <v>3393</v>
      </c>
      <c r="D1138" s="409" t="str">
        <f t="shared" si="38"/>
        <v>15-12</v>
      </c>
      <c r="E1138" s="273" t="e">
        <f ca="1">_xludf.IFNA(VLOOKUP('Comp X - Kilter'!B1138,'Kilter Holds'!$P$37:$AB$662,7,0),0)</f>
        <v>#NAME?</v>
      </c>
      <c r="F1138" s="274"/>
      <c r="G1138" s="274" t="e">
        <f t="shared" ca="1" si="36"/>
        <v>#NAME?</v>
      </c>
      <c r="H1138" s="274">
        <f t="shared" si="37"/>
        <v>0</v>
      </c>
      <c r="K1138" s="274"/>
    </row>
    <row r="1139" spans="2:11" ht="13.5" customHeight="1">
      <c r="B1139" s="1" t="s">
        <v>2085</v>
      </c>
      <c r="C1139" s="1" t="s">
        <v>3393</v>
      </c>
      <c r="D1139" s="410" t="str">
        <f t="shared" si="38"/>
        <v>16-16</v>
      </c>
      <c r="E1139" s="273" t="e">
        <f ca="1">_xludf.IFNA(VLOOKUP('Comp X - Kilter'!B1139,'Kilter Holds'!$P$37:$AB$662,8,0),0)</f>
        <v>#NAME?</v>
      </c>
      <c r="F1139" s="274"/>
      <c r="G1139" s="274" t="e">
        <f t="shared" ca="1" si="36"/>
        <v>#NAME?</v>
      </c>
      <c r="H1139" s="274">
        <f t="shared" si="37"/>
        <v>0</v>
      </c>
      <c r="K1139" s="274"/>
    </row>
    <row r="1140" spans="2:11" ht="13.5" customHeight="1">
      <c r="B1140" s="1" t="s">
        <v>2085</v>
      </c>
      <c r="C1140" s="1" t="s">
        <v>3393</v>
      </c>
      <c r="D1140" s="411" t="str">
        <f t="shared" si="38"/>
        <v>13-01</v>
      </c>
      <c r="E1140" s="273" t="e">
        <f ca="1">_xludf.IFNA(VLOOKUP('Comp X - Kilter'!B1140,'Kilter Holds'!$P$37:$AB$662,9,0),0)</f>
        <v>#NAME?</v>
      </c>
      <c r="F1140" s="274"/>
      <c r="G1140" s="274" t="e">
        <f t="shared" ca="1" si="36"/>
        <v>#NAME?</v>
      </c>
      <c r="H1140" s="274">
        <f t="shared" si="37"/>
        <v>0</v>
      </c>
      <c r="K1140" s="274"/>
    </row>
    <row r="1141" spans="2:11" ht="13.5" customHeight="1">
      <c r="B1141" s="1" t="s">
        <v>2085</v>
      </c>
      <c r="C1141" s="1" t="s">
        <v>3393</v>
      </c>
      <c r="D1141" s="413" t="str">
        <f t="shared" si="38"/>
        <v>07-13</v>
      </c>
      <c r="E1141" s="273" t="e">
        <f ca="1">_xludf.IFNA(VLOOKUP('Comp X - Kilter'!B1141,'Kilter Holds'!$P$37:$AB$662,10,0),0)</f>
        <v>#NAME?</v>
      </c>
      <c r="F1141" s="274"/>
      <c r="G1141" s="274" t="e">
        <f t="shared" ca="1" si="36"/>
        <v>#NAME?</v>
      </c>
      <c r="H1141" s="274">
        <f t="shared" si="37"/>
        <v>0</v>
      </c>
      <c r="K1141" s="274"/>
    </row>
    <row r="1142" spans="2:11" ht="13.5" customHeight="1">
      <c r="B1142" s="1" t="s">
        <v>2085</v>
      </c>
      <c r="C1142" s="1" t="s">
        <v>3393</v>
      </c>
      <c r="D1142" s="414" t="str">
        <f t="shared" si="38"/>
        <v>11-26</v>
      </c>
      <c r="E1142" s="273" t="e">
        <f ca="1">_xludf.IFNA(VLOOKUP('Comp X - Kilter'!B1142,'Kilter Holds'!$P$37:$AB$662,11,0),0)</f>
        <v>#NAME?</v>
      </c>
      <c r="F1142" s="274"/>
      <c r="G1142" s="274" t="e">
        <f t="shared" ca="1" si="36"/>
        <v>#NAME?</v>
      </c>
      <c r="H1142" s="274">
        <f t="shared" si="37"/>
        <v>0</v>
      </c>
      <c r="K1142" s="274"/>
    </row>
    <row r="1143" spans="2:11" ht="13.5" customHeight="1">
      <c r="B1143" s="1" t="s">
        <v>2085</v>
      </c>
      <c r="C1143" s="1" t="s">
        <v>3393</v>
      </c>
      <c r="D1143" s="415" t="str">
        <f t="shared" si="38"/>
        <v>18-01</v>
      </c>
      <c r="E1143" s="273" t="e">
        <f ca="1">_xludf.IFNA(VLOOKUP('Comp X - Kilter'!B1143,'Kilter Holds'!$P$37:$AB$662,12,0),0)</f>
        <v>#NAME?</v>
      </c>
      <c r="F1143" s="274"/>
      <c r="G1143" s="274" t="e">
        <f t="shared" ca="1" si="36"/>
        <v>#NAME?</v>
      </c>
      <c r="H1143" s="274">
        <f t="shared" si="37"/>
        <v>0</v>
      </c>
      <c r="K1143" s="274"/>
    </row>
    <row r="1144" spans="2:11" ht="13.5" customHeight="1">
      <c r="B1144" s="1" t="s">
        <v>2085</v>
      </c>
      <c r="C1144" s="1" t="s">
        <v>3393</v>
      </c>
      <c r="D1144" s="416" t="str">
        <f t="shared" si="38"/>
        <v>Color Code</v>
      </c>
      <c r="E1144" s="273" t="e">
        <f ca="1">_xludf.IFNA(VLOOKUP('Comp X - Kilter'!B1144,'Kilter Holds'!$P$37:$AB$662,13,0),0)</f>
        <v>#NAME?</v>
      </c>
      <c r="F1144" s="274"/>
      <c r="G1144" s="274" t="e">
        <f t="shared" ca="1" si="36"/>
        <v>#NAME?</v>
      </c>
      <c r="H1144" s="274">
        <f t="shared" si="37"/>
        <v>0</v>
      </c>
      <c r="K1144" s="274"/>
    </row>
    <row r="1145" spans="2:11" ht="13.5" customHeight="1">
      <c r="B1145" s="1" t="s">
        <v>2086</v>
      </c>
      <c r="C1145" s="1" t="s">
        <v>3394</v>
      </c>
      <c r="D1145" s="406" t="str">
        <f t="shared" si="38"/>
        <v>11-12</v>
      </c>
      <c r="E1145" s="273" t="e">
        <f ca="1">_xludf.IFNA(VLOOKUP('Comp X - Kilter'!B1145,'Kilter Holds'!$P$37:$AB$662,5,0),0)</f>
        <v>#NAME?</v>
      </c>
      <c r="F1145" s="274"/>
      <c r="G1145" s="274" t="e">
        <f t="shared" ca="1" si="36"/>
        <v>#NAME?</v>
      </c>
      <c r="H1145" s="274">
        <f t="shared" si="37"/>
        <v>0</v>
      </c>
      <c r="K1145" s="274"/>
    </row>
    <row r="1146" spans="2:11" ht="13.5" customHeight="1">
      <c r="B1146" s="1" t="s">
        <v>2086</v>
      </c>
      <c r="C1146" s="1" t="s">
        <v>3394</v>
      </c>
      <c r="D1146" s="408" t="str">
        <f t="shared" si="38"/>
        <v>14-01</v>
      </c>
      <c r="E1146" s="273" t="e">
        <f ca="1">_xludf.IFNA(VLOOKUP('Comp X - Kilter'!B1146,'Kilter Holds'!$P$37:$AB$662,6,0),0)</f>
        <v>#NAME?</v>
      </c>
      <c r="F1146" s="274"/>
      <c r="G1146" s="274" t="e">
        <f t="shared" ca="1" si="36"/>
        <v>#NAME?</v>
      </c>
      <c r="H1146" s="274">
        <f t="shared" si="37"/>
        <v>0</v>
      </c>
      <c r="K1146" s="274"/>
    </row>
    <row r="1147" spans="2:11" ht="13.5" customHeight="1">
      <c r="B1147" s="1" t="s">
        <v>2086</v>
      </c>
      <c r="C1147" s="1" t="s">
        <v>3394</v>
      </c>
      <c r="D1147" s="409" t="str">
        <f t="shared" si="38"/>
        <v>15-12</v>
      </c>
      <c r="E1147" s="273" t="e">
        <f ca="1">_xludf.IFNA(VLOOKUP('Comp X - Kilter'!B1147,'Kilter Holds'!$P$37:$AB$662,7,0),0)</f>
        <v>#NAME?</v>
      </c>
      <c r="F1147" s="274"/>
      <c r="G1147" s="274" t="e">
        <f t="shared" ca="1" si="36"/>
        <v>#NAME?</v>
      </c>
      <c r="H1147" s="274">
        <f t="shared" si="37"/>
        <v>0</v>
      </c>
      <c r="K1147" s="274"/>
    </row>
    <row r="1148" spans="2:11" ht="13.5" customHeight="1">
      <c r="B1148" s="1" t="s">
        <v>2086</v>
      </c>
      <c r="C1148" s="1" t="s">
        <v>3394</v>
      </c>
      <c r="D1148" s="410" t="str">
        <f t="shared" si="38"/>
        <v>16-16</v>
      </c>
      <c r="E1148" s="273" t="e">
        <f ca="1">_xludf.IFNA(VLOOKUP('Comp X - Kilter'!B1148,'Kilter Holds'!$P$37:$AB$662,8,0),0)</f>
        <v>#NAME?</v>
      </c>
      <c r="F1148" s="274"/>
      <c r="G1148" s="274" t="e">
        <f t="shared" ca="1" si="36"/>
        <v>#NAME?</v>
      </c>
      <c r="H1148" s="274">
        <f t="shared" si="37"/>
        <v>0</v>
      </c>
      <c r="K1148" s="274"/>
    </row>
    <row r="1149" spans="2:11" ht="13.5" customHeight="1">
      <c r="B1149" s="1" t="s">
        <v>2086</v>
      </c>
      <c r="C1149" s="1" t="s">
        <v>3394</v>
      </c>
      <c r="D1149" s="411" t="str">
        <f t="shared" si="38"/>
        <v>13-01</v>
      </c>
      <c r="E1149" s="273" t="e">
        <f ca="1">_xludf.IFNA(VLOOKUP('Comp X - Kilter'!B1149,'Kilter Holds'!$P$37:$AB$662,9,0),0)</f>
        <v>#NAME?</v>
      </c>
      <c r="F1149" s="274"/>
      <c r="G1149" s="274" t="e">
        <f t="shared" ca="1" si="36"/>
        <v>#NAME?</v>
      </c>
      <c r="H1149" s="274">
        <f t="shared" si="37"/>
        <v>0</v>
      </c>
      <c r="K1149" s="274"/>
    </row>
    <row r="1150" spans="2:11" ht="13.5" customHeight="1">
      <c r="B1150" s="1" t="s">
        <v>2086</v>
      </c>
      <c r="C1150" s="1" t="s">
        <v>3394</v>
      </c>
      <c r="D1150" s="413" t="str">
        <f t="shared" si="38"/>
        <v>07-13</v>
      </c>
      <c r="E1150" s="273" t="e">
        <f ca="1">_xludf.IFNA(VLOOKUP('Comp X - Kilter'!B1150,'Kilter Holds'!$P$37:$AB$662,10,0),0)</f>
        <v>#NAME?</v>
      </c>
      <c r="F1150" s="274"/>
      <c r="G1150" s="274" t="e">
        <f t="shared" ca="1" si="36"/>
        <v>#NAME?</v>
      </c>
      <c r="H1150" s="274">
        <f t="shared" si="37"/>
        <v>0</v>
      </c>
      <c r="K1150" s="274"/>
    </row>
    <row r="1151" spans="2:11" ht="13.5" customHeight="1">
      <c r="B1151" s="1" t="s">
        <v>2086</v>
      </c>
      <c r="C1151" s="1" t="s">
        <v>3394</v>
      </c>
      <c r="D1151" s="414" t="str">
        <f t="shared" si="38"/>
        <v>11-26</v>
      </c>
      <c r="E1151" s="273" t="e">
        <f ca="1">_xludf.IFNA(VLOOKUP('Comp X - Kilter'!B1151,'Kilter Holds'!$P$37:$AB$662,11,0),0)</f>
        <v>#NAME?</v>
      </c>
      <c r="F1151" s="274"/>
      <c r="G1151" s="274" t="e">
        <f t="shared" ca="1" si="36"/>
        <v>#NAME?</v>
      </c>
      <c r="H1151" s="274">
        <f t="shared" si="37"/>
        <v>0</v>
      </c>
      <c r="K1151" s="274"/>
    </row>
    <row r="1152" spans="2:11" ht="13.5" customHeight="1">
      <c r="B1152" s="1" t="s">
        <v>2086</v>
      </c>
      <c r="C1152" s="1" t="s">
        <v>3394</v>
      </c>
      <c r="D1152" s="415" t="str">
        <f t="shared" si="38"/>
        <v>18-01</v>
      </c>
      <c r="E1152" s="273" t="e">
        <f ca="1">_xludf.IFNA(VLOOKUP('Comp X - Kilter'!B1152,'Kilter Holds'!$P$37:$AB$662,12,0),0)</f>
        <v>#NAME?</v>
      </c>
      <c r="F1152" s="274"/>
      <c r="G1152" s="274" t="e">
        <f t="shared" ca="1" si="36"/>
        <v>#NAME?</v>
      </c>
      <c r="H1152" s="274">
        <f t="shared" si="37"/>
        <v>0</v>
      </c>
      <c r="K1152" s="274"/>
    </row>
    <row r="1153" spans="2:11" ht="13.5" customHeight="1">
      <c r="B1153" s="1" t="s">
        <v>2086</v>
      </c>
      <c r="C1153" s="1" t="s">
        <v>3394</v>
      </c>
      <c r="D1153" s="416" t="str">
        <f t="shared" si="38"/>
        <v>Color Code</v>
      </c>
      <c r="E1153" s="273" t="e">
        <f ca="1">_xludf.IFNA(VLOOKUP('Comp X - Kilter'!B1153,'Kilter Holds'!$P$37:$AB$662,13,0),0)</f>
        <v>#NAME?</v>
      </c>
      <c r="F1153" s="274"/>
      <c r="G1153" s="274" t="e">
        <f t="shared" ca="1" si="36"/>
        <v>#NAME?</v>
      </c>
      <c r="H1153" s="274">
        <f t="shared" si="37"/>
        <v>0</v>
      </c>
      <c r="K1153" s="274"/>
    </row>
    <row r="1154" spans="2:11" ht="13.5" customHeight="1">
      <c r="B1154" s="1" t="s">
        <v>2084</v>
      </c>
      <c r="C1154" s="1" t="s">
        <v>3395</v>
      </c>
      <c r="D1154" s="406" t="str">
        <f t="shared" si="38"/>
        <v>11-12</v>
      </c>
      <c r="E1154" s="273" t="e">
        <f ca="1">_xludf.IFNA(VLOOKUP('Comp X - Kilter'!B1154,'Kilter Holds'!$P$37:$AB$662,5,0),0)</f>
        <v>#NAME?</v>
      </c>
      <c r="F1154" s="274"/>
      <c r="G1154" s="274" t="e">
        <f t="shared" ca="1" si="36"/>
        <v>#NAME?</v>
      </c>
      <c r="H1154" s="274">
        <f t="shared" si="37"/>
        <v>0</v>
      </c>
      <c r="K1154" s="274"/>
    </row>
    <row r="1155" spans="2:11" ht="13.5" customHeight="1">
      <c r="B1155" s="1" t="s">
        <v>2084</v>
      </c>
      <c r="C1155" s="1" t="s">
        <v>3395</v>
      </c>
      <c r="D1155" s="408" t="str">
        <f t="shared" si="38"/>
        <v>14-01</v>
      </c>
      <c r="E1155" s="273" t="e">
        <f ca="1">_xludf.IFNA(VLOOKUP('Comp X - Kilter'!B1155,'Kilter Holds'!$P$37:$AB$662,6,0),0)</f>
        <v>#NAME?</v>
      </c>
      <c r="F1155" s="274"/>
      <c r="G1155" s="274" t="e">
        <f t="shared" ca="1" si="36"/>
        <v>#NAME?</v>
      </c>
      <c r="H1155" s="274">
        <f t="shared" si="37"/>
        <v>0</v>
      </c>
      <c r="K1155" s="274"/>
    </row>
    <row r="1156" spans="2:11" ht="13.5" customHeight="1">
      <c r="B1156" s="1" t="s">
        <v>2084</v>
      </c>
      <c r="C1156" s="1" t="s">
        <v>3395</v>
      </c>
      <c r="D1156" s="409" t="str">
        <f t="shared" si="38"/>
        <v>15-12</v>
      </c>
      <c r="E1156" s="273" t="e">
        <f ca="1">_xludf.IFNA(VLOOKUP('Comp X - Kilter'!B1156,'Kilter Holds'!$P$37:$AB$662,7,0),0)</f>
        <v>#NAME?</v>
      </c>
      <c r="F1156" s="274"/>
      <c r="G1156" s="274" t="e">
        <f t="shared" ca="1" si="36"/>
        <v>#NAME?</v>
      </c>
      <c r="H1156" s="274">
        <f t="shared" si="37"/>
        <v>0</v>
      </c>
      <c r="K1156" s="274"/>
    </row>
    <row r="1157" spans="2:11" ht="13.5" customHeight="1">
      <c r="B1157" s="1" t="s">
        <v>2084</v>
      </c>
      <c r="C1157" s="1" t="s">
        <v>3395</v>
      </c>
      <c r="D1157" s="410" t="str">
        <f t="shared" si="38"/>
        <v>16-16</v>
      </c>
      <c r="E1157" s="273" t="e">
        <f ca="1">_xludf.IFNA(VLOOKUP('Comp X - Kilter'!B1157,'Kilter Holds'!$P$37:$AB$662,8,0),0)</f>
        <v>#NAME?</v>
      </c>
      <c r="F1157" s="274"/>
      <c r="G1157" s="274" t="e">
        <f t="shared" ca="1" si="36"/>
        <v>#NAME?</v>
      </c>
      <c r="H1157" s="274">
        <f t="shared" si="37"/>
        <v>0</v>
      </c>
      <c r="K1157" s="274"/>
    </row>
    <row r="1158" spans="2:11" ht="13.5" customHeight="1">
      <c r="B1158" s="1" t="s">
        <v>2084</v>
      </c>
      <c r="C1158" s="1" t="s">
        <v>3395</v>
      </c>
      <c r="D1158" s="411" t="str">
        <f t="shared" si="38"/>
        <v>13-01</v>
      </c>
      <c r="E1158" s="273" t="e">
        <f ca="1">_xludf.IFNA(VLOOKUP('Comp X - Kilter'!B1158,'Kilter Holds'!$P$37:$AB$662,9,0),0)</f>
        <v>#NAME?</v>
      </c>
      <c r="F1158" s="274"/>
      <c r="G1158" s="274" t="e">
        <f t="shared" ca="1" si="36"/>
        <v>#NAME?</v>
      </c>
      <c r="H1158" s="274">
        <f t="shared" si="37"/>
        <v>0</v>
      </c>
      <c r="K1158" s="274"/>
    </row>
    <row r="1159" spans="2:11" ht="13.5" customHeight="1">
      <c r="B1159" s="1" t="s">
        <v>2084</v>
      </c>
      <c r="C1159" s="1" t="s">
        <v>3395</v>
      </c>
      <c r="D1159" s="413" t="str">
        <f t="shared" si="38"/>
        <v>07-13</v>
      </c>
      <c r="E1159" s="273" t="e">
        <f ca="1">_xludf.IFNA(VLOOKUP('Comp X - Kilter'!B1159,'Kilter Holds'!$P$37:$AB$662,10,0),0)</f>
        <v>#NAME?</v>
      </c>
      <c r="F1159" s="274"/>
      <c r="G1159" s="274" t="e">
        <f t="shared" ca="1" si="36"/>
        <v>#NAME?</v>
      </c>
      <c r="H1159" s="274">
        <f t="shared" si="37"/>
        <v>0</v>
      </c>
      <c r="K1159" s="274"/>
    </row>
    <row r="1160" spans="2:11" ht="13.5" customHeight="1">
      <c r="B1160" s="1" t="s">
        <v>2084</v>
      </c>
      <c r="C1160" s="1" t="s">
        <v>3395</v>
      </c>
      <c r="D1160" s="414" t="str">
        <f t="shared" si="38"/>
        <v>11-26</v>
      </c>
      <c r="E1160" s="273" t="e">
        <f ca="1">_xludf.IFNA(VLOOKUP('Comp X - Kilter'!B1160,'Kilter Holds'!$P$37:$AB$662,11,0),0)</f>
        <v>#NAME?</v>
      </c>
      <c r="F1160" s="274"/>
      <c r="G1160" s="274" t="e">
        <f t="shared" ca="1" si="36"/>
        <v>#NAME?</v>
      </c>
      <c r="H1160" s="274">
        <f t="shared" si="37"/>
        <v>0</v>
      </c>
      <c r="K1160" s="274"/>
    </row>
    <row r="1161" spans="2:11" ht="13.5" customHeight="1">
      <c r="B1161" s="1" t="s">
        <v>2084</v>
      </c>
      <c r="C1161" s="1" t="s">
        <v>3395</v>
      </c>
      <c r="D1161" s="415" t="str">
        <f t="shared" si="38"/>
        <v>18-01</v>
      </c>
      <c r="E1161" s="273" t="e">
        <f ca="1">_xludf.IFNA(VLOOKUP('Comp X - Kilter'!B1161,'Kilter Holds'!$P$37:$AB$662,12,0),0)</f>
        <v>#NAME?</v>
      </c>
      <c r="F1161" s="274"/>
      <c r="G1161" s="274" t="e">
        <f t="shared" ca="1" si="36"/>
        <v>#NAME?</v>
      </c>
      <c r="H1161" s="274">
        <f t="shared" si="37"/>
        <v>0</v>
      </c>
      <c r="K1161" s="274"/>
    </row>
    <row r="1162" spans="2:11" ht="13.5" customHeight="1">
      <c r="B1162" s="1" t="s">
        <v>2084</v>
      </c>
      <c r="C1162" s="1" t="s">
        <v>3395</v>
      </c>
      <c r="D1162" s="416" t="str">
        <f t="shared" si="38"/>
        <v>Color Code</v>
      </c>
      <c r="E1162" s="273" t="e">
        <f ca="1">_xludf.IFNA(VLOOKUP('Comp X - Kilter'!B1162,'Kilter Holds'!$P$37:$AB$662,13,0),0)</f>
        <v>#NAME?</v>
      </c>
      <c r="F1162" s="274"/>
      <c r="G1162" s="274" t="e">
        <f t="shared" ca="1" si="36"/>
        <v>#NAME?</v>
      </c>
      <c r="H1162" s="274">
        <f t="shared" si="37"/>
        <v>0</v>
      </c>
      <c r="K1162" s="274"/>
    </row>
    <row r="1163" spans="2:11" ht="13.5" customHeight="1">
      <c r="B1163" s="1" t="s">
        <v>2088</v>
      </c>
      <c r="C1163" s="1" t="s">
        <v>3396</v>
      </c>
      <c r="D1163" s="406" t="str">
        <f t="shared" ref="D1163:D1180" si="39">D704</f>
        <v>11-12</v>
      </c>
      <c r="E1163" s="273" t="e">
        <f ca="1">_xludf.IFNA(VLOOKUP('Comp X - Kilter'!B1163,'Kilter Holds'!$P$37:$AB$662,5,0),0)</f>
        <v>#NAME?</v>
      </c>
      <c r="F1163" s="274"/>
      <c r="G1163" s="274" t="e">
        <f t="shared" ca="1" si="36"/>
        <v>#NAME?</v>
      </c>
      <c r="H1163" s="274">
        <f t="shared" si="37"/>
        <v>0</v>
      </c>
      <c r="K1163" s="274"/>
    </row>
    <row r="1164" spans="2:11" ht="13.5" customHeight="1">
      <c r="B1164" s="1" t="s">
        <v>2088</v>
      </c>
      <c r="C1164" s="1" t="s">
        <v>3396</v>
      </c>
      <c r="D1164" s="408" t="str">
        <f t="shared" si="39"/>
        <v>14-01</v>
      </c>
      <c r="E1164" s="273" t="e">
        <f ca="1">_xludf.IFNA(VLOOKUP('Comp X - Kilter'!B1164,'Kilter Holds'!$P$37:$AB$662,6,0),0)</f>
        <v>#NAME?</v>
      </c>
      <c r="F1164" s="274"/>
      <c r="G1164" s="274" t="e">
        <f t="shared" ca="1" si="36"/>
        <v>#NAME?</v>
      </c>
      <c r="H1164" s="274">
        <f t="shared" si="37"/>
        <v>0</v>
      </c>
      <c r="K1164" s="274"/>
    </row>
    <row r="1165" spans="2:11" ht="13.5" customHeight="1">
      <c r="B1165" s="1" t="s">
        <v>2088</v>
      </c>
      <c r="C1165" s="1" t="s">
        <v>3396</v>
      </c>
      <c r="D1165" s="409" t="str">
        <f t="shared" si="39"/>
        <v>15-12</v>
      </c>
      <c r="E1165" s="273" t="e">
        <f ca="1">_xludf.IFNA(VLOOKUP('Comp X - Kilter'!B1165,'Kilter Holds'!$P$37:$AB$662,7,0),0)</f>
        <v>#NAME?</v>
      </c>
      <c r="F1165" s="274"/>
      <c r="G1165" s="274" t="e">
        <f t="shared" ca="1" si="36"/>
        <v>#NAME?</v>
      </c>
      <c r="H1165" s="274">
        <f t="shared" si="37"/>
        <v>0</v>
      </c>
      <c r="K1165" s="274"/>
    </row>
    <row r="1166" spans="2:11" ht="13.5" customHeight="1">
      <c r="B1166" s="1" t="s">
        <v>2088</v>
      </c>
      <c r="C1166" s="1" t="s">
        <v>3396</v>
      </c>
      <c r="D1166" s="410" t="str">
        <f t="shared" si="39"/>
        <v>16-16</v>
      </c>
      <c r="E1166" s="273" t="e">
        <f ca="1">_xludf.IFNA(VLOOKUP('Comp X - Kilter'!B1166,'Kilter Holds'!$P$37:$AB$662,8,0),0)</f>
        <v>#NAME?</v>
      </c>
      <c r="F1166" s="274"/>
      <c r="G1166" s="274" t="e">
        <f t="shared" ca="1" si="36"/>
        <v>#NAME?</v>
      </c>
      <c r="H1166" s="274">
        <f t="shared" si="37"/>
        <v>0</v>
      </c>
      <c r="K1166" s="274"/>
    </row>
    <row r="1167" spans="2:11" ht="13.5" customHeight="1">
      <c r="B1167" s="1" t="s">
        <v>2088</v>
      </c>
      <c r="C1167" s="1" t="s">
        <v>3396</v>
      </c>
      <c r="D1167" s="411" t="str">
        <f t="shared" si="39"/>
        <v>13-01</v>
      </c>
      <c r="E1167" s="273" t="e">
        <f ca="1">_xludf.IFNA(VLOOKUP('Comp X - Kilter'!B1167,'Kilter Holds'!$P$37:$AB$662,9,0),0)</f>
        <v>#NAME?</v>
      </c>
      <c r="F1167" s="274"/>
      <c r="G1167" s="274" t="e">
        <f t="shared" ca="1" si="36"/>
        <v>#NAME?</v>
      </c>
      <c r="H1167" s="274">
        <f t="shared" si="37"/>
        <v>0</v>
      </c>
      <c r="K1167" s="274"/>
    </row>
    <row r="1168" spans="2:11" ht="13.5" customHeight="1">
      <c r="B1168" s="1" t="s">
        <v>2088</v>
      </c>
      <c r="C1168" s="1" t="s">
        <v>3396</v>
      </c>
      <c r="D1168" s="413" t="str">
        <f t="shared" si="39"/>
        <v>07-13</v>
      </c>
      <c r="E1168" s="273" t="e">
        <f ca="1">_xludf.IFNA(VLOOKUP('Comp X - Kilter'!B1168,'Kilter Holds'!$P$37:$AB$662,10,0),0)</f>
        <v>#NAME?</v>
      </c>
      <c r="F1168" s="274"/>
      <c r="G1168" s="274" t="e">
        <f t="shared" ca="1" si="36"/>
        <v>#NAME?</v>
      </c>
      <c r="H1168" s="274">
        <f t="shared" si="37"/>
        <v>0</v>
      </c>
      <c r="K1168" s="274"/>
    </row>
    <row r="1169" spans="2:11" ht="13.5" customHeight="1">
      <c r="B1169" s="1" t="s">
        <v>2088</v>
      </c>
      <c r="C1169" s="1" t="s">
        <v>3396</v>
      </c>
      <c r="D1169" s="414" t="str">
        <f t="shared" si="39"/>
        <v>11-26</v>
      </c>
      <c r="E1169" s="273" t="e">
        <f ca="1">_xludf.IFNA(VLOOKUP('Comp X - Kilter'!B1169,'Kilter Holds'!$P$37:$AB$662,11,0),0)</f>
        <v>#NAME?</v>
      </c>
      <c r="F1169" s="274"/>
      <c r="G1169" s="274" t="e">
        <f t="shared" ca="1" si="36"/>
        <v>#NAME?</v>
      </c>
      <c r="H1169" s="274">
        <f t="shared" si="37"/>
        <v>0</v>
      </c>
      <c r="K1169" s="274"/>
    </row>
    <row r="1170" spans="2:11" ht="13.5" customHeight="1">
      <c r="B1170" s="1" t="s">
        <v>2088</v>
      </c>
      <c r="C1170" s="1" t="s">
        <v>3396</v>
      </c>
      <c r="D1170" s="415" t="str">
        <f t="shared" si="39"/>
        <v>18-01</v>
      </c>
      <c r="E1170" s="273" t="e">
        <f ca="1">_xludf.IFNA(VLOOKUP('Comp X - Kilter'!B1170,'Kilter Holds'!$P$37:$AB$662,12,0),0)</f>
        <v>#NAME?</v>
      </c>
      <c r="F1170" s="274"/>
      <c r="G1170" s="274" t="e">
        <f t="shared" ca="1" si="36"/>
        <v>#NAME?</v>
      </c>
      <c r="H1170" s="274">
        <f t="shared" si="37"/>
        <v>0</v>
      </c>
      <c r="K1170" s="274"/>
    </row>
    <row r="1171" spans="2:11" ht="13.5" customHeight="1">
      <c r="B1171" s="1" t="s">
        <v>2088</v>
      </c>
      <c r="C1171" s="1" t="s">
        <v>3396</v>
      </c>
      <c r="D1171" s="416" t="str">
        <f t="shared" si="39"/>
        <v>Color Code</v>
      </c>
      <c r="E1171" s="273" t="e">
        <f ca="1">_xludf.IFNA(VLOOKUP('Comp X - Kilter'!B1171,'Kilter Holds'!$P$37:$AB$662,13,0),0)</f>
        <v>#NAME?</v>
      </c>
      <c r="F1171" s="274"/>
      <c r="G1171" s="274" t="e">
        <f t="shared" ca="1" si="36"/>
        <v>#NAME?</v>
      </c>
      <c r="H1171" s="274">
        <f t="shared" si="37"/>
        <v>0</v>
      </c>
      <c r="K1171" s="274"/>
    </row>
    <row r="1172" spans="2:11" ht="13.5" customHeight="1">
      <c r="B1172" s="1" t="s">
        <v>2087</v>
      </c>
      <c r="C1172" s="1" t="s">
        <v>3397</v>
      </c>
      <c r="D1172" s="406" t="str">
        <f t="shared" si="39"/>
        <v>11-12</v>
      </c>
      <c r="E1172" s="273" t="e">
        <f ca="1">_xludf.IFNA(VLOOKUP('Comp X - Kilter'!B1172,'Kilter Holds'!$P$37:$AB$662,5,0),0)</f>
        <v>#NAME?</v>
      </c>
      <c r="F1172" s="274"/>
      <c r="G1172" s="274" t="e">
        <f t="shared" ca="1" si="36"/>
        <v>#NAME?</v>
      </c>
      <c r="H1172" s="274">
        <f t="shared" si="37"/>
        <v>0</v>
      </c>
      <c r="K1172" s="274"/>
    </row>
    <row r="1173" spans="2:11" ht="13.5" customHeight="1">
      <c r="B1173" s="1" t="s">
        <v>2087</v>
      </c>
      <c r="C1173" s="1" t="s">
        <v>3397</v>
      </c>
      <c r="D1173" s="408" t="str">
        <f t="shared" si="39"/>
        <v>14-01</v>
      </c>
      <c r="E1173" s="273" t="e">
        <f ca="1">_xludf.IFNA(VLOOKUP('Comp X - Kilter'!B1173,'Kilter Holds'!$P$37:$AB$662,6,0),0)</f>
        <v>#NAME?</v>
      </c>
      <c r="F1173" s="274"/>
      <c r="G1173" s="274" t="e">
        <f t="shared" ca="1" si="36"/>
        <v>#NAME?</v>
      </c>
      <c r="H1173" s="274">
        <f t="shared" si="37"/>
        <v>0</v>
      </c>
      <c r="K1173" s="274"/>
    </row>
    <row r="1174" spans="2:11" ht="13.5" customHeight="1">
      <c r="B1174" s="1" t="s">
        <v>2087</v>
      </c>
      <c r="C1174" s="1" t="s">
        <v>3397</v>
      </c>
      <c r="D1174" s="409" t="str">
        <f t="shared" si="39"/>
        <v>15-12</v>
      </c>
      <c r="E1174" s="273" t="e">
        <f ca="1">_xludf.IFNA(VLOOKUP('Comp X - Kilter'!B1174,'Kilter Holds'!$P$37:$AB$662,7,0),0)</f>
        <v>#NAME?</v>
      </c>
      <c r="F1174" s="274"/>
      <c r="G1174" s="274" t="e">
        <f t="shared" ca="1" si="36"/>
        <v>#NAME?</v>
      </c>
      <c r="H1174" s="274">
        <f t="shared" si="37"/>
        <v>0</v>
      </c>
      <c r="K1174" s="274"/>
    </row>
    <row r="1175" spans="2:11" ht="13.5" customHeight="1">
      <c r="B1175" s="1" t="s">
        <v>2087</v>
      </c>
      <c r="C1175" s="1" t="s">
        <v>3397</v>
      </c>
      <c r="D1175" s="410" t="str">
        <f t="shared" si="39"/>
        <v>16-16</v>
      </c>
      <c r="E1175" s="273" t="e">
        <f ca="1">_xludf.IFNA(VLOOKUP('Comp X - Kilter'!B1175,'Kilter Holds'!$P$37:$AB$662,8,0),0)</f>
        <v>#NAME?</v>
      </c>
      <c r="F1175" s="274"/>
      <c r="G1175" s="274" t="e">
        <f t="shared" ca="1" si="36"/>
        <v>#NAME?</v>
      </c>
      <c r="H1175" s="274">
        <f t="shared" si="37"/>
        <v>0</v>
      </c>
      <c r="K1175" s="274"/>
    </row>
    <row r="1176" spans="2:11" ht="13.5" customHeight="1">
      <c r="B1176" s="1" t="s">
        <v>2087</v>
      </c>
      <c r="C1176" s="1" t="s">
        <v>3397</v>
      </c>
      <c r="D1176" s="411" t="str">
        <f t="shared" si="39"/>
        <v>13-01</v>
      </c>
      <c r="E1176" s="273" t="e">
        <f ca="1">_xludf.IFNA(VLOOKUP('Comp X - Kilter'!B1176,'Kilter Holds'!$P$37:$AB$662,9,0),0)</f>
        <v>#NAME?</v>
      </c>
      <c r="F1176" s="274"/>
      <c r="G1176" s="274" t="e">
        <f t="shared" ca="1" si="36"/>
        <v>#NAME?</v>
      </c>
      <c r="H1176" s="274">
        <f t="shared" si="37"/>
        <v>0</v>
      </c>
      <c r="K1176" s="274"/>
    </row>
    <row r="1177" spans="2:11" ht="13.5" customHeight="1">
      <c r="B1177" s="1" t="s">
        <v>2087</v>
      </c>
      <c r="C1177" s="1" t="s">
        <v>3397</v>
      </c>
      <c r="D1177" s="413" t="str">
        <f t="shared" si="39"/>
        <v>07-13</v>
      </c>
      <c r="E1177" s="273" t="e">
        <f ca="1">_xludf.IFNA(VLOOKUP('Comp X - Kilter'!B1177,'Kilter Holds'!$P$37:$AB$662,10,0),0)</f>
        <v>#NAME?</v>
      </c>
      <c r="F1177" s="274"/>
      <c r="G1177" s="274" t="e">
        <f t="shared" ca="1" si="36"/>
        <v>#NAME?</v>
      </c>
      <c r="H1177" s="274">
        <f t="shared" si="37"/>
        <v>0</v>
      </c>
      <c r="K1177" s="274"/>
    </row>
    <row r="1178" spans="2:11" ht="13.5" customHeight="1">
      <c r="B1178" s="1" t="s">
        <v>2087</v>
      </c>
      <c r="C1178" s="1" t="s">
        <v>3397</v>
      </c>
      <c r="D1178" s="414" t="str">
        <f t="shared" si="39"/>
        <v>11-26</v>
      </c>
      <c r="E1178" s="273" t="e">
        <f ca="1">_xludf.IFNA(VLOOKUP('Comp X - Kilter'!B1178,'Kilter Holds'!$P$37:$AB$662,11,0),0)</f>
        <v>#NAME?</v>
      </c>
      <c r="F1178" s="274"/>
      <c r="G1178" s="274" t="e">
        <f t="shared" ca="1" si="36"/>
        <v>#NAME?</v>
      </c>
      <c r="H1178" s="274">
        <f t="shared" si="37"/>
        <v>0</v>
      </c>
      <c r="K1178" s="274"/>
    </row>
    <row r="1179" spans="2:11" ht="13.5" customHeight="1">
      <c r="B1179" s="1" t="s">
        <v>2087</v>
      </c>
      <c r="C1179" s="1" t="s">
        <v>3397</v>
      </c>
      <c r="D1179" s="415" t="str">
        <f t="shared" si="39"/>
        <v>18-01</v>
      </c>
      <c r="E1179" s="273" t="e">
        <f ca="1">_xludf.IFNA(VLOOKUP('Comp X - Kilter'!B1179,'Kilter Holds'!$P$37:$AB$662,12,0),0)</f>
        <v>#NAME?</v>
      </c>
      <c r="F1179" s="274"/>
      <c r="G1179" s="274" t="e">
        <f t="shared" ca="1" si="36"/>
        <v>#NAME?</v>
      </c>
      <c r="H1179" s="274">
        <f t="shared" si="37"/>
        <v>0</v>
      </c>
      <c r="K1179" s="274"/>
    </row>
    <row r="1180" spans="2:11" ht="13.5" customHeight="1">
      <c r="B1180" s="1" t="s">
        <v>2087</v>
      </c>
      <c r="C1180" s="1" t="s">
        <v>3397</v>
      </c>
      <c r="D1180" s="416" t="str">
        <f t="shared" si="39"/>
        <v>Color Code</v>
      </c>
      <c r="E1180" s="273" t="e">
        <f ca="1">_xludf.IFNA(VLOOKUP('Comp X - Kilter'!B1180,'Kilter Holds'!$P$37:$AB$662,13,0),0)</f>
        <v>#NAME?</v>
      </c>
      <c r="F1180" s="274"/>
      <c r="G1180" s="274" t="e">
        <f t="shared" ca="1" si="36"/>
        <v>#NAME?</v>
      </c>
      <c r="H1180" s="274">
        <f t="shared" si="37"/>
        <v>0</v>
      </c>
      <c r="K1180" s="274"/>
    </row>
    <row r="1181" spans="2:11" ht="13.5" customHeight="1">
      <c r="B1181" s="1" t="s">
        <v>2089</v>
      </c>
      <c r="C1181" s="1" t="s">
        <v>3398</v>
      </c>
      <c r="D1181" s="406" t="str">
        <f t="shared" ref="D1181:D1198" si="40">D668</f>
        <v>11-12</v>
      </c>
      <c r="E1181" s="273" t="e">
        <f ca="1">_xludf.IFNA(VLOOKUP('Comp X - Kilter'!B1181,'Kilter Holds'!$P$37:$AB$662,5,0),0)</f>
        <v>#NAME?</v>
      </c>
      <c r="F1181" s="274"/>
      <c r="G1181" s="274" t="e">
        <f t="shared" ca="1" si="36"/>
        <v>#NAME?</v>
      </c>
      <c r="H1181" s="274">
        <f t="shared" si="37"/>
        <v>0</v>
      </c>
      <c r="K1181" s="274"/>
    </row>
    <row r="1182" spans="2:11" ht="13.5" customHeight="1">
      <c r="B1182" s="1" t="s">
        <v>2089</v>
      </c>
      <c r="C1182" s="1" t="s">
        <v>3398</v>
      </c>
      <c r="D1182" s="408" t="str">
        <f t="shared" si="40"/>
        <v>14-01</v>
      </c>
      <c r="E1182" s="273" t="e">
        <f ca="1">_xludf.IFNA(VLOOKUP('Comp X - Kilter'!B1182,'Kilter Holds'!$P$37:$AB$662,6,0),0)</f>
        <v>#NAME?</v>
      </c>
      <c r="F1182" s="274"/>
      <c r="G1182" s="274" t="e">
        <f t="shared" ca="1" si="36"/>
        <v>#NAME?</v>
      </c>
      <c r="H1182" s="274">
        <f t="shared" si="37"/>
        <v>0</v>
      </c>
      <c r="K1182" s="274"/>
    </row>
    <row r="1183" spans="2:11" ht="13.5" customHeight="1">
      <c r="B1183" s="1" t="s">
        <v>2089</v>
      </c>
      <c r="C1183" s="1" t="s">
        <v>3398</v>
      </c>
      <c r="D1183" s="409" t="str">
        <f t="shared" si="40"/>
        <v>15-12</v>
      </c>
      <c r="E1183" s="273" t="e">
        <f ca="1">_xludf.IFNA(VLOOKUP('Comp X - Kilter'!B1183,'Kilter Holds'!$P$37:$AB$662,7,0),0)</f>
        <v>#NAME?</v>
      </c>
      <c r="F1183" s="274"/>
      <c r="G1183" s="274" t="e">
        <f t="shared" ca="1" si="36"/>
        <v>#NAME?</v>
      </c>
      <c r="H1183" s="274">
        <f t="shared" si="37"/>
        <v>0</v>
      </c>
      <c r="K1183" s="274"/>
    </row>
    <row r="1184" spans="2:11" ht="13.5" customHeight="1">
      <c r="B1184" s="1" t="s">
        <v>2089</v>
      </c>
      <c r="C1184" s="1" t="s">
        <v>3398</v>
      </c>
      <c r="D1184" s="410" t="str">
        <f t="shared" si="40"/>
        <v>16-16</v>
      </c>
      <c r="E1184" s="273" t="e">
        <f ca="1">_xludf.IFNA(VLOOKUP('Comp X - Kilter'!B1184,'Kilter Holds'!$P$37:$AB$662,8,0),0)</f>
        <v>#NAME?</v>
      </c>
      <c r="F1184" s="274"/>
      <c r="G1184" s="274" t="e">
        <f t="shared" ca="1" si="36"/>
        <v>#NAME?</v>
      </c>
      <c r="H1184" s="274">
        <f t="shared" si="37"/>
        <v>0</v>
      </c>
      <c r="K1184" s="274"/>
    </row>
    <row r="1185" spans="2:11" ht="13.5" customHeight="1">
      <c r="B1185" s="1" t="s">
        <v>2089</v>
      </c>
      <c r="C1185" s="1" t="s">
        <v>3398</v>
      </c>
      <c r="D1185" s="411" t="str">
        <f t="shared" si="40"/>
        <v>13-01</v>
      </c>
      <c r="E1185" s="273" t="e">
        <f ca="1">_xludf.IFNA(VLOOKUP('Comp X - Kilter'!B1185,'Kilter Holds'!$P$37:$AB$662,9,0),0)</f>
        <v>#NAME?</v>
      </c>
      <c r="F1185" s="274"/>
      <c r="G1185" s="274" t="e">
        <f t="shared" ca="1" si="36"/>
        <v>#NAME?</v>
      </c>
      <c r="H1185" s="274">
        <f t="shared" si="37"/>
        <v>0</v>
      </c>
      <c r="K1185" s="274"/>
    </row>
    <row r="1186" spans="2:11" ht="13.5" customHeight="1">
      <c r="B1186" s="1" t="s">
        <v>2089</v>
      </c>
      <c r="C1186" s="1" t="s">
        <v>3398</v>
      </c>
      <c r="D1186" s="413" t="str">
        <f t="shared" si="40"/>
        <v>07-13</v>
      </c>
      <c r="E1186" s="273" t="e">
        <f ca="1">_xludf.IFNA(VLOOKUP('Comp X - Kilter'!B1186,'Kilter Holds'!$P$37:$AB$662,10,0),0)</f>
        <v>#NAME?</v>
      </c>
      <c r="F1186" s="274"/>
      <c r="G1186" s="274" t="e">
        <f t="shared" ca="1" si="36"/>
        <v>#NAME?</v>
      </c>
      <c r="H1186" s="274">
        <f t="shared" si="37"/>
        <v>0</v>
      </c>
      <c r="K1186" s="274"/>
    </row>
    <row r="1187" spans="2:11" ht="13.5" customHeight="1">
      <c r="B1187" s="1" t="s">
        <v>2089</v>
      </c>
      <c r="C1187" s="1" t="s">
        <v>3398</v>
      </c>
      <c r="D1187" s="414" t="str">
        <f t="shared" si="40"/>
        <v>11-26</v>
      </c>
      <c r="E1187" s="273" t="e">
        <f ca="1">_xludf.IFNA(VLOOKUP('Comp X - Kilter'!B1187,'Kilter Holds'!$P$37:$AB$662,11,0),0)</f>
        <v>#NAME?</v>
      </c>
      <c r="F1187" s="274"/>
      <c r="G1187" s="274" t="e">
        <f t="shared" ca="1" si="36"/>
        <v>#NAME?</v>
      </c>
      <c r="H1187" s="274">
        <f t="shared" si="37"/>
        <v>0</v>
      </c>
      <c r="K1187" s="274"/>
    </row>
    <row r="1188" spans="2:11" ht="13.5" customHeight="1">
      <c r="B1188" s="1" t="s">
        <v>2089</v>
      </c>
      <c r="C1188" s="1" t="s">
        <v>3398</v>
      </c>
      <c r="D1188" s="415" t="str">
        <f t="shared" si="40"/>
        <v>18-01</v>
      </c>
      <c r="E1188" s="273" t="e">
        <f ca="1">_xludf.IFNA(VLOOKUP('Comp X - Kilter'!B1188,'Kilter Holds'!$P$37:$AB$662,12,0),0)</f>
        <v>#NAME?</v>
      </c>
      <c r="F1188" s="274"/>
      <c r="G1188" s="274" t="e">
        <f t="shared" ca="1" si="36"/>
        <v>#NAME?</v>
      </c>
      <c r="H1188" s="274">
        <f t="shared" si="37"/>
        <v>0</v>
      </c>
      <c r="K1188" s="274"/>
    </row>
    <row r="1189" spans="2:11" ht="13.5" customHeight="1">
      <c r="B1189" s="1" t="s">
        <v>2089</v>
      </c>
      <c r="C1189" s="1" t="s">
        <v>3398</v>
      </c>
      <c r="D1189" s="416" t="str">
        <f t="shared" si="40"/>
        <v>Color Code</v>
      </c>
      <c r="E1189" s="273" t="e">
        <f ca="1">_xludf.IFNA(VLOOKUP('Comp X - Kilter'!B1189,'Kilter Holds'!$P$37:$AB$662,13,0),0)</f>
        <v>#NAME?</v>
      </c>
      <c r="F1189" s="274"/>
      <c r="G1189" s="274" t="e">
        <f t="shared" ca="1" si="36"/>
        <v>#NAME?</v>
      </c>
      <c r="H1189" s="274">
        <f t="shared" si="37"/>
        <v>0</v>
      </c>
      <c r="K1189" s="274"/>
    </row>
    <row r="1190" spans="2:11" ht="13.5" customHeight="1">
      <c r="B1190" s="1" t="s">
        <v>2090</v>
      </c>
      <c r="C1190" s="1" t="s">
        <v>3399</v>
      </c>
      <c r="D1190" s="406" t="str">
        <f t="shared" si="40"/>
        <v>11-12</v>
      </c>
      <c r="E1190" s="273" t="e">
        <f ca="1">_xludf.IFNA(VLOOKUP('Comp X - Kilter'!B1190,'Kilter Holds'!$P$37:$AB$662,5,0),0)</f>
        <v>#NAME?</v>
      </c>
      <c r="F1190" s="274"/>
      <c r="G1190" s="274" t="e">
        <f t="shared" ca="1" si="36"/>
        <v>#NAME?</v>
      </c>
      <c r="H1190" s="274">
        <f t="shared" si="37"/>
        <v>0</v>
      </c>
      <c r="K1190" s="274"/>
    </row>
    <row r="1191" spans="2:11" ht="13.5" customHeight="1">
      <c r="B1191" s="1" t="s">
        <v>2090</v>
      </c>
      <c r="C1191" s="1" t="s">
        <v>3399</v>
      </c>
      <c r="D1191" s="408" t="str">
        <f t="shared" si="40"/>
        <v>14-01</v>
      </c>
      <c r="E1191" s="273" t="e">
        <f ca="1">_xludf.IFNA(VLOOKUP('Comp X - Kilter'!B1191,'Kilter Holds'!$P$37:$AB$662,6,0),0)</f>
        <v>#NAME?</v>
      </c>
      <c r="F1191" s="274"/>
      <c r="G1191" s="274" t="e">
        <f t="shared" ca="1" si="36"/>
        <v>#NAME?</v>
      </c>
      <c r="H1191" s="274">
        <f t="shared" si="37"/>
        <v>0</v>
      </c>
      <c r="K1191" s="274"/>
    </row>
    <row r="1192" spans="2:11" ht="13.5" customHeight="1">
      <c r="B1192" s="1" t="s">
        <v>2090</v>
      </c>
      <c r="C1192" s="1" t="s">
        <v>3399</v>
      </c>
      <c r="D1192" s="409" t="str">
        <f t="shared" si="40"/>
        <v>15-12</v>
      </c>
      <c r="E1192" s="273" t="e">
        <f ca="1">_xludf.IFNA(VLOOKUP('Comp X - Kilter'!B1192,'Kilter Holds'!$P$37:$AB$662,7,0),0)</f>
        <v>#NAME?</v>
      </c>
      <c r="F1192" s="274"/>
      <c r="G1192" s="274" t="e">
        <f t="shared" ca="1" si="36"/>
        <v>#NAME?</v>
      </c>
      <c r="H1192" s="274">
        <f t="shared" si="37"/>
        <v>0</v>
      </c>
      <c r="K1192" s="274"/>
    </row>
    <row r="1193" spans="2:11" ht="13.5" customHeight="1">
      <c r="B1193" s="1" t="s">
        <v>2090</v>
      </c>
      <c r="C1193" s="1" t="s">
        <v>3399</v>
      </c>
      <c r="D1193" s="410" t="str">
        <f t="shared" si="40"/>
        <v>16-16</v>
      </c>
      <c r="E1193" s="273" t="e">
        <f ca="1">_xludf.IFNA(VLOOKUP('Comp X - Kilter'!B1193,'Kilter Holds'!$P$37:$AB$662,8,0),0)</f>
        <v>#NAME?</v>
      </c>
      <c r="F1193" s="274"/>
      <c r="G1193" s="274" t="e">
        <f t="shared" ca="1" si="36"/>
        <v>#NAME?</v>
      </c>
      <c r="H1193" s="274">
        <f t="shared" si="37"/>
        <v>0</v>
      </c>
      <c r="K1193" s="274"/>
    </row>
    <row r="1194" spans="2:11" ht="13.5" customHeight="1">
      <c r="B1194" s="1" t="s">
        <v>2090</v>
      </c>
      <c r="C1194" s="1" t="s">
        <v>3399</v>
      </c>
      <c r="D1194" s="411" t="str">
        <f t="shared" si="40"/>
        <v>13-01</v>
      </c>
      <c r="E1194" s="273" t="e">
        <f ca="1">_xludf.IFNA(VLOOKUP('Comp X - Kilter'!B1194,'Kilter Holds'!$P$37:$AB$662,9,0),0)</f>
        <v>#NAME?</v>
      </c>
      <c r="F1194" s="274"/>
      <c r="G1194" s="274" t="e">
        <f t="shared" ca="1" si="36"/>
        <v>#NAME?</v>
      </c>
      <c r="H1194" s="274">
        <f t="shared" si="37"/>
        <v>0</v>
      </c>
      <c r="K1194" s="274"/>
    </row>
    <row r="1195" spans="2:11" ht="13.5" customHeight="1">
      <c r="B1195" s="1" t="s">
        <v>2090</v>
      </c>
      <c r="C1195" s="1" t="s">
        <v>3399</v>
      </c>
      <c r="D1195" s="413" t="str">
        <f t="shared" si="40"/>
        <v>07-13</v>
      </c>
      <c r="E1195" s="273" t="e">
        <f ca="1">_xludf.IFNA(VLOOKUP('Comp X - Kilter'!B1195,'Kilter Holds'!$P$37:$AB$662,10,0),0)</f>
        <v>#NAME?</v>
      </c>
      <c r="F1195" s="274"/>
      <c r="G1195" s="274" t="e">
        <f t="shared" ca="1" si="36"/>
        <v>#NAME?</v>
      </c>
      <c r="H1195" s="274">
        <f t="shared" si="37"/>
        <v>0</v>
      </c>
      <c r="K1195" s="274"/>
    </row>
    <row r="1196" spans="2:11" ht="13.5" customHeight="1">
      <c r="B1196" s="1" t="s">
        <v>2090</v>
      </c>
      <c r="C1196" s="1" t="s">
        <v>3399</v>
      </c>
      <c r="D1196" s="414" t="str">
        <f t="shared" si="40"/>
        <v>11-26</v>
      </c>
      <c r="E1196" s="273" t="e">
        <f ca="1">_xludf.IFNA(VLOOKUP('Comp X - Kilter'!B1196,'Kilter Holds'!$P$37:$AB$662,11,0),0)</f>
        <v>#NAME?</v>
      </c>
      <c r="F1196" s="274"/>
      <c r="G1196" s="274" t="e">
        <f t="shared" ca="1" si="36"/>
        <v>#NAME?</v>
      </c>
      <c r="H1196" s="274">
        <f t="shared" si="37"/>
        <v>0</v>
      </c>
      <c r="K1196" s="274"/>
    </row>
    <row r="1197" spans="2:11" ht="13.5" customHeight="1">
      <c r="B1197" s="1" t="s">
        <v>2090</v>
      </c>
      <c r="C1197" s="1" t="s">
        <v>3399</v>
      </c>
      <c r="D1197" s="415" t="str">
        <f t="shared" si="40"/>
        <v>18-01</v>
      </c>
      <c r="E1197" s="273" t="e">
        <f ca="1">_xludf.IFNA(VLOOKUP('Comp X - Kilter'!B1197,'Kilter Holds'!$P$37:$AB$662,12,0),0)</f>
        <v>#NAME?</v>
      </c>
      <c r="F1197" s="274"/>
      <c r="G1197" s="274" t="e">
        <f t="shared" ca="1" si="36"/>
        <v>#NAME?</v>
      </c>
      <c r="H1197" s="274">
        <f t="shared" si="37"/>
        <v>0</v>
      </c>
      <c r="K1197" s="274"/>
    </row>
    <row r="1198" spans="2:11" ht="13.5" customHeight="1">
      <c r="B1198" s="1" t="s">
        <v>2090</v>
      </c>
      <c r="C1198" s="1" t="s">
        <v>3399</v>
      </c>
      <c r="D1198" s="416" t="str">
        <f t="shared" si="40"/>
        <v>Color Code</v>
      </c>
      <c r="E1198" s="273" t="e">
        <f ca="1">_xludf.IFNA(VLOOKUP('Comp X - Kilter'!B1198,'Kilter Holds'!$P$37:$AB$662,13,0),0)</f>
        <v>#NAME?</v>
      </c>
      <c r="F1198" s="274"/>
      <c r="G1198" s="274" t="e">
        <f t="shared" ca="1" si="36"/>
        <v>#NAME?</v>
      </c>
      <c r="H1198" s="274">
        <f t="shared" si="37"/>
        <v>0</v>
      </c>
      <c r="K1198" s="274"/>
    </row>
    <row r="1199" spans="2:11" ht="13.5" customHeight="1">
      <c r="B1199" s="1" t="s">
        <v>2091</v>
      </c>
      <c r="C1199" s="1" t="s">
        <v>3400</v>
      </c>
      <c r="D1199" s="406" t="str">
        <f t="shared" ref="D1199:D1333" si="41">D542</f>
        <v>11-12</v>
      </c>
      <c r="E1199" s="273" t="e">
        <f ca="1">_xludf.IFNA(VLOOKUP('Comp X - Kilter'!B1199,'Kilter Holds'!$P$37:$AB$662,5,0),0)</f>
        <v>#NAME?</v>
      </c>
      <c r="F1199" s="274"/>
      <c r="G1199" s="274" t="e">
        <f t="shared" ca="1" si="36"/>
        <v>#NAME?</v>
      </c>
      <c r="H1199" s="274">
        <f t="shared" si="37"/>
        <v>0</v>
      </c>
      <c r="K1199" s="274"/>
    </row>
    <row r="1200" spans="2:11" ht="13.5" customHeight="1">
      <c r="B1200" s="1" t="s">
        <v>2091</v>
      </c>
      <c r="C1200" s="1" t="s">
        <v>3400</v>
      </c>
      <c r="D1200" s="408" t="str">
        <f t="shared" si="41"/>
        <v>14-01</v>
      </c>
      <c r="E1200" s="273" t="e">
        <f ca="1">_xludf.IFNA(VLOOKUP('Comp X - Kilter'!B1200,'Kilter Holds'!$P$37:$AB$662,6,0),0)</f>
        <v>#NAME?</v>
      </c>
      <c r="F1200" s="274"/>
      <c r="G1200" s="274" t="e">
        <f t="shared" ca="1" si="36"/>
        <v>#NAME?</v>
      </c>
      <c r="H1200" s="274">
        <f t="shared" si="37"/>
        <v>0</v>
      </c>
      <c r="K1200" s="274"/>
    </row>
    <row r="1201" spans="2:11" ht="13.5" customHeight="1">
      <c r="B1201" s="1" t="s">
        <v>2091</v>
      </c>
      <c r="C1201" s="1" t="s">
        <v>3400</v>
      </c>
      <c r="D1201" s="409" t="str">
        <f t="shared" si="41"/>
        <v>15-12</v>
      </c>
      <c r="E1201" s="273" t="e">
        <f ca="1">_xludf.IFNA(VLOOKUP('Comp X - Kilter'!B1201,'Kilter Holds'!$P$37:$AB$662,7,0),0)</f>
        <v>#NAME?</v>
      </c>
      <c r="F1201" s="274"/>
      <c r="G1201" s="274" t="e">
        <f t="shared" ca="1" si="36"/>
        <v>#NAME?</v>
      </c>
      <c r="H1201" s="274">
        <f t="shared" si="37"/>
        <v>0</v>
      </c>
      <c r="K1201" s="274"/>
    </row>
    <row r="1202" spans="2:11" ht="13.5" customHeight="1">
      <c r="B1202" s="1" t="s">
        <v>2091</v>
      </c>
      <c r="C1202" s="1" t="s">
        <v>3400</v>
      </c>
      <c r="D1202" s="410" t="str">
        <f t="shared" si="41"/>
        <v>16-16</v>
      </c>
      <c r="E1202" s="273" t="e">
        <f ca="1">_xludf.IFNA(VLOOKUP('Comp X - Kilter'!B1202,'Kilter Holds'!$P$37:$AB$662,8,0),0)</f>
        <v>#NAME?</v>
      </c>
      <c r="F1202" s="274"/>
      <c r="G1202" s="274" t="e">
        <f t="shared" ca="1" si="36"/>
        <v>#NAME?</v>
      </c>
      <c r="H1202" s="274">
        <f t="shared" si="37"/>
        <v>0</v>
      </c>
      <c r="K1202" s="274"/>
    </row>
    <row r="1203" spans="2:11" ht="13.5" customHeight="1">
      <c r="B1203" s="1" t="s">
        <v>2091</v>
      </c>
      <c r="C1203" s="1" t="s">
        <v>3400</v>
      </c>
      <c r="D1203" s="411" t="str">
        <f t="shared" si="41"/>
        <v>13-01</v>
      </c>
      <c r="E1203" s="273" t="e">
        <f ca="1">_xludf.IFNA(VLOOKUP('Comp X - Kilter'!B1203,'Kilter Holds'!$P$37:$AB$662,9,0),0)</f>
        <v>#NAME?</v>
      </c>
      <c r="F1203" s="274"/>
      <c r="G1203" s="274" t="e">
        <f t="shared" ca="1" si="36"/>
        <v>#NAME?</v>
      </c>
      <c r="H1203" s="274">
        <f t="shared" si="37"/>
        <v>0</v>
      </c>
      <c r="K1203" s="274"/>
    </row>
    <row r="1204" spans="2:11" ht="13.5" customHeight="1">
      <c r="B1204" s="1" t="s">
        <v>2091</v>
      </c>
      <c r="C1204" s="1" t="s">
        <v>3400</v>
      </c>
      <c r="D1204" s="413" t="str">
        <f t="shared" si="41"/>
        <v>07-13</v>
      </c>
      <c r="E1204" s="273" t="e">
        <f ca="1">_xludf.IFNA(VLOOKUP('Comp X - Kilter'!B1204,'Kilter Holds'!$P$37:$AB$662,10,0),0)</f>
        <v>#NAME?</v>
      </c>
      <c r="F1204" s="274"/>
      <c r="G1204" s="274" t="e">
        <f t="shared" ca="1" si="36"/>
        <v>#NAME?</v>
      </c>
      <c r="H1204" s="274">
        <f t="shared" si="37"/>
        <v>0</v>
      </c>
      <c r="K1204" s="274"/>
    </row>
    <row r="1205" spans="2:11" ht="13.5" customHeight="1">
      <c r="B1205" s="1" t="s">
        <v>2091</v>
      </c>
      <c r="C1205" s="1" t="s">
        <v>3400</v>
      </c>
      <c r="D1205" s="414" t="str">
        <f t="shared" si="41"/>
        <v>11-26</v>
      </c>
      <c r="E1205" s="273" t="e">
        <f ca="1">_xludf.IFNA(VLOOKUP('Comp X - Kilter'!B1205,'Kilter Holds'!$P$37:$AB$662,11,0),0)</f>
        <v>#NAME?</v>
      </c>
      <c r="F1205" s="274"/>
      <c r="G1205" s="274" t="e">
        <f t="shared" ca="1" si="36"/>
        <v>#NAME?</v>
      </c>
      <c r="H1205" s="274">
        <f t="shared" si="37"/>
        <v>0</v>
      </c>
      <c r="K1205" s="274"/>
    </row>
    <row r="1206" spans="2:11" ht="13.5" customHeight="1">
      <c r="B1206" s="1" t="s">
        <v>2091</v>
      </c>
      <c r="C1206" s="1" t="s">
        <v>3400</v>
      </c>
      <c r="D1206" s="415" t="str">
        <f t="shared" si="41"/>
        <v>18-01</v>
      </c>
      <c r="E1206" s="273" t="e">
        <f ca="1">_xludf.IFNA(VLOOKUP('Comp X - Kilter'!B1206,'Kilter Holds'!$P$37:$AB$662,12,0),0)</f>
        <v>#NAME?</v>
      </c>
      <c r="F1206" s="274"/>
      <c r="G1206" s="274" t="e">
        <f t="shared" ca="1" si="36"/>
        <v>#NAME?</v>
      </c>
      <c r="H1206" s="274">
        <f t="shared" si="37"/>
        <v>0</v>
      </c>
      <c r="K1206" s="274"/>
    </row>
    <row r="1207" spans="2:11" ht="13.5" customHeight="1">
      <c r="B1207" s="1" t="s">
        <v>2091</v>
      </c>
      <c r="C1207" s="1" t="s">
        <v>3400</v>
      </c>
      <c r="D1207" s="416" t="str">
        <f t="shared" si="41"/>
        <v>Color Code</v>
      </c>
      <c r="E1207" s="273" t="e">
        <f ca="1">_xludf.IFNA(VLOOKUP('Comp X - Kilter'!B1207,'Kilter Holds'!$P$37:$AB$662,13,0),0)</f>
        <v>#NAME?</v>
      </c>
      <c r="F1207" s="274"/>
      <c r="G1207" s="274" t="e">
        <f t="shared" ca="1" si="36"/>
        <v>#NAME?</v>
      </c>
      <c r="H1207" s="274">
        <f t="shared" si="37"/>
        <v>0</v>
      </c>
      <c r="K1207" s="274"/>
    </row>
    <row r="1208" spans="2:11" ht="13.5" customHeight="1">
      <c r="B1208" s="1" t="s">
        <v>2092</v>
      </c>
      <c r="C1208" s="1" t="s">
        <v>3401</v>
      </c>
      <c r="D1208" s="406" t="str">
        <f t="shared" si="41"/>
        <v>11-12</v>
      </c>
      <c r="E1208" s="273" t="e">
        <f ca="1">_xludf.IFNA(VLOOKUP('Comp X - Kilter'!B1208,'Kilter Holds'!$P$37:$AB$662,5,0),0)</f>
        <v>#NAME?</v>
      </c>
      <c r="F1208" s="274"/>
      <c r="G1208" s="274" t="e">
        <f t="shared" ca="1" si="36"/>
        <v>#NAME?</v>
      </c>
      <c r="H1208" s="274">
        <f t="shared" si="37"/>
        <v>0</v>
      </c>
      <c r="K1208" s="274"/>
    </row>
    <row r="1209" spans="2:11" ht="13.5" customHeight="1">
      <c r="B1209" s="1" t="s">
        <v>2092</v>
      </c>
      <c r="C1209" s="1" t="s">
        <v>3401</v>
      </c>
      <c r="D1209" s="408" t="str">
        <f t="shared" si="41"/>
        <v>14-01</v>
      </c>
      <c r="E1209" s="273" t="e">
        <f ca="1">_xludf.IFNA(VLOOKUP('Comp X - Kilter'!B1209,'Kilter Holds'!$P$37:$AB$662,6,0),0)</f>
        <v>#NAME?</v>
      </c>
      <c r="F1209" s="274"/>
      <c r="G1209" s="274" t="e">
        <f t="shared" ca="1" si="36"/>
        <v>#NAME?</v>
      </c>
      <c r="H1209" s="274">
        <f t="shared" si="37"/>
        <v>0</v>
      </c>
      <c r="K1209" s="274"/>
    </row>
    <row r="1210" spans="2:11" ht="13.5" customHeight="1">
      <c r="B1210" s="1" t="s">
        <v>2092</v>
      </c>
      <c r="C1210" s="1" t="s">
        <v>3401</v>
      </c>
      <c r="D1210" s="409" t="str">
        <f t="shared" si="41"/>
        <v>15-12</v>
      </c>
      <c r="E1210" s="273" t="e">
        <f ca="1">_xludf.IFNA(VLOOKUP('Comp X - Kilter'!B1210,'Kilter Holds'!$P$37:$AB$662,7,0),0)</f>
        <v>#NAME?</v>
      </c>
      <c r="F1210" s="274"/>
      <c r="G1210" s="274" t="e">
        <f t="shared" ca="1" si="36"/>
        <v>#NAME?</v>
      </c>
      <c r="H1210" s="274">
        <f t="shared" si="37"/>
        <v>0</v>
      </c>
      <c r="K1210" s="274"/>
    </row>
    <row r="1211" spans="2:11" ht="13.5" customHeight="1">
      <c r="B1211" s="1" t="s">
        <v>2092</v>
      </c>
      <c r="C1211" s="1" t="s">
        <v>3401</v>
      </c>
      <c r="D1211" s="410" t="str">
        <f t="shared" si="41"/>
        <v>16-16</v>
      </c>
      <c r="E1211" s="273" t="e">
        <f ca="1">_xludf.IFNA(VLOOKUP('Comp X - Kilter'!B1211,'Kilter Holds'!$P$37:$AB$662,8,0),0)</f>
        <v>#NAME?</v>
      </c>
      <c r="F1211" s="274"/>
      <c r="G1211" s="274" t="e">
        <f t="shared" ca="1" si="36"/>
        <v>#NAME?</v>
      </c>
      <c r="H1211" s="274">
        <f t="shared" si="37"/>
        <v>0</v>
      </c>
      <c r="K1211" s="274"/>
    </row>
    <row r="1212" spans="2:11" ht="13.5" customHeight="1">
      <c r="B1212" s="1" t="s">
        <v>2092</v>
      </c>
      <c r="C1212" s="1" t="s">
        <v>3401</v>
      </c>
      <c r="D1212" s="411" t="str">
        <f t="shared" si="41"/>
        <v>13-01</v>
      </c>
      <c r="E1212" s="273" t="e">
        <f ca="1">_xludf.IFNA(VLOOKUP('Comp X - Kilter'!B1212,'Kilter Holds'!$P$37:$AB$662,9,0),0)</f>
        <v>#NAME?</v>
      </c>
      <c r="F1212" s="274"/>
      <c r="G1212" s="274" t="e">
        <f t="shared" ca="1" si="36"/>
        <v>#NAME?</v>
      </c>
      <c r="H1212" s="274">
        <f t="shared" si="37"/>
        <v>0</v>
      </c>
      <c r="K1212" s="274"/>
    </row>
    <row r="1213" spans="2:11" ht="13.5" customHeight="1">
      <c r="B1213" s="1" t="s">
        <v>2092</v>
      </c>
      <c r="C1213" s="1" t="s">
        <v>3401</v>
      </c>
      <c r="D1213" s="413" t="str">
        <f t="shared" si="41"/>
        <v>07-13</v>
      </c>
      <c r="E1213" s="273" t="e">
        <f ca="1">_xludf.IFNA(VLOOKUP('Comp X - Kilter'!B1213,'Kilter Holds'!$P$37:$AB$662,10,0),0)</f>
        <v>#NAME?</v>
      </c>
      <c r="F1213" s="274"/>
      <c r="G1213" s="274" t="e">
        <f t="shared" ca="1" si="36"/>
        <v>#NAME?</v>
      </c>
      <c r="H1213" s="274">
        <f t="shared" si="37"/>
        <v>0</v>
      </c>
      <c r="K1213" s="274"/>
    </row>
    <row r="1214" spans="2:11" ht="13.5" customHeight="1">
      <c r="B1214" s="1" t="s">
        <v>2092</v>
      </c>
      <c r="C1214" s="1" t="s">
        <v>3401</v>
      </c>
      <c r="D1214" s="414" t="str">
        <f t="shared" si="41"/>
        <v>11-26</v>
      </c>
      <c r="E1214" s="273" t="e">
        <f ca="1">_xludf.IFNA(VLOOKUP('Comp X - Kilter'!B1214,'Kilter Holds'!$P$37:$AB$662,11,0),0)</f>
        <v>#NAME?</v>
      </c>
      <c r="F1214" s="274"/>
      <c r="G1214" s="274" t="e">
        <f t="shared" ca="1" si="36"/>
        <v>#NAME?</v>
      </c>
      <c r="H1214" s="274">
        <f t="shared" si="37"/>
        <v>0</v>
      </c>
      <c r="K1214" s="274"/>
    </row>
    <row r="1215" spans="2:11" ht="13.5" customHeight="1">
      <c r="B1215" s="1" t="s">
        <v>2092</v>
      </c>
      <c r="C1215" s="1" t="s">
        <v>3401</v>
      </c>
      <c r="D1215" s="415" t="str">
        <f t="shared" si="41"/>
        <v>18-01</v>
      </c>
      <c r="E1215" s="273" t="e">
        <f ca="1">_xludf.IFNA(VLOOKUP('Comp X - Kilter'!B1215,'Kilter Holds'!$P$37:$AB$662,12,0),0)</f>
        <v>#NAME?</v>
      </c>
      <c r="F1215" s="274"/>
      <c r="G1215" s="274" t="e">
        <f t="shared" ca="1" si="36"/>
        <v>#NAME?</v>
      </c>
      <c r="H1215" s="274">
        <f t="shared" si="37"/>
        <v>0</v>
      </c>
      <c r="K1215" s="274"/>
    </row>
    <row r="1216" spans="2:11" ht="13.5" customHeight="1">
      <c r="B1216" s="1" t="s">
        <v>2092</v>
      </c>
      <c r="C1216" s="1" t="s">
        <v>3401</v>
      </c>
      <c r="D1216" s="416" t="str">
        <f t="shared" si="41"/>
        <v>Color Code</v>
      </c>
      <c r="E1216" s="273" t="e">
        <f ca="1">_xludf.IFNA(VLOOKUP('Comp X - Kilter'!B1216,'Kilter Holds'!$P$37:$AB$662,13,0),0)</f>
        <v>#NAME?</v>
      </c>
      <c r="F1216" s="274"/>
      <c r="G1216" s="274" t="e">
        <f t="shared" ca="1" si="36"/>
        <v>#NAME?</v>
      </c>
      <c r="H1216" s="274">
        <f t="shared" si="37"/>
        <v>0</v>
      </c>
      <c r="K1216" s="274"/>
    </row>
    <row r="1217" spans="2:11" ht="13.5" customHeight="1">
      <c r="B1217" s="1" t="s">
        <v>3402</v>
      </c>
      <c r="C1217" s="1" t="s">
        <v>3403</v>
      </c>
      <c r="D1217" s="406" t="str">
        <f t="shared" si="41"/>
        <v>11-12</v>
      </c>
      <c r="E1217" s="273" t="e">
        <f ca="1">_xludf.IFNA(VLOOKUP('Comp X - Kilter'!B1217,'Kilter Holds'!$P$37:$AB$662,5,0),0)</f>
        <v>#NAME?</v>
      </c>
      <c r="F1217" s="274"/>
      <c r="G1217" s="274" t="e">
        <f t="shared" ca="1" si="36"/>
        <v>#NAME?</v>
      </c>
      <c r="H1217" s="274">
        <f t="shared" si="37"/>
        <v>0</v>
      </c>
      <c r="K1217" s="274"/>
    </row>
    <row r="1218" spans="2:11" ht="13.5" customHeight="1">
      <c r="B1218" s="1" t="s">
        <v>3402</v>
      </c>
      <c r="C1218" s="1" t="s">
        <v>3403</v>
      </c>
      <c r="D1218" s="408" t="str">
        <f t="shared" si="41"/>
        <v>14-01</v>
      </c>
      <c r="E1218" s="273" t="e">
        <f ca="1">_xludf.IFNA(VLOOKUP('Comp X - Kilter'!B1218,'Kilter Holds'!$P$37:$AB$662,6,0),0)</f>
        <v>#NAME?</v>
      </c>
      <c r="F1218" s="274"/>
      <c r="G1218" s="274" t="e">
        <f t="shared" ca="1" si="36"/>
        <v>#NAME?</v>
      </c>
      <c r="H1218" s="274">
        <f t="shared" si="37"/>
        <v>0</v>
      </c>
      <c r="K1218" s="274"/>
    </row>
    <row r="1219" spans="2:11" ht="13.5" customHeight="1">
      <c r="B1219" s="1" t="s">
        <v>3402</v>
      </c>
      <c r="C1219" s="1" t="s">
        <v>3403</v>
      </c>
      <c r="D1219" s="409" t="str">
        <f t="shared" si="41"/>
        <v>15-12</v>
      </c>
      <c r="E1219" s="273" t="e">
        <f ca="1">_xludf.IFNA(VLOOKUP('Comp X - Kilter'!B1219,'Kilter Holds'!$P$37:$AB$662,7,0),0)</f>
        <v>#NAME?</v>
      </c>
      <c r="F1219" s="274"/>
      <c r="G1219" s="274" t="e">
        <f t="shared" ca="1" si="36"/>
        <v>#NAME?</v>
      </c>
      <c r="H1219" s="274">
        <f t="shared" si="37"/>
        <v>0</v>
      </c>
      <c r="K1219" s="274"/>
    </row>
    <row r="1220" spans="2:11" ht="13.5" customHeight="1">
      <c r="B1220" s="1" t="s">
        <v>3402</v>
      </c>
      <c r="C1220" s="1" t="s">
        <v>3403</v>
      </c>
      <c r="D1220" s="410" t="str">
        <f t="shared" si="41"/>
        <v>16-16</v>
      </c>
      <c r="E1220" s="273" t="e">
        <f ca="1">_xludf.IFNA(VLOOKUP('Comp X - Kilter'!B1220,'Kilter Holds'!$P$37:$AB$662,8,0),0)</f>
        <v>#NAME?</v>
      </c>
      <c r="F1220" s="274"/>
      <c r="G1220" s="274" t="e">
        <f t="shared" ca="1" si="36"/>
        <v>#NAME?</v>
      </c>
      <c r="H1220" s="274">
        <f t="shared" si="37"/>
        <v>0</v>
      </c>
      <c r="K1220" s="274"/>
    </row>
    <row r="1221" spans="2:11" ht="13.5" customHeight="1">
      <c r="B1221" s="1" t="s">
        <v>3402</v>
      </c>
      <c r="C1221" s="1" t="s">
        <v>3403</v>
      </c>
      <c r="D1221" s="411" t="str">
        <f t="shared" si="41"/>
        <v>13-01</v>
      </c>
      <c r="E1221" s="273" t="e">
        <f ca="1">_xludf.IFNA(VLOOKUP('Comp X - Kilter'!B1221,'Kilter Holds'!$P$37:$AB$662,9,0),0)</f>
        <v>#NAME?</v>
      </c>
      <c r="F1221" s="274"/>
      <c r="G1221" s="274" t="e">
        <f t="shared" ca="1" si="36"/>
        <v>#NAME?</v>
      </c>
      <c r="H1221" s="274">
        <f t="shared" si="37"/>
        <v>0</v>
      </c>
      <c r="K1221" s="274"/>
    </row>
    <row r="1222" spans="2:11" ht="13.5" customHeight="1">
      <c r="B1222" s="1" t="s">
        <v>3402</v>
      </c>
      <c r="C1222" s="1" t="s">
        <v>3403</v>
      </c>
      <c r="D1222" s="413" t="str">
        <f t="shared" si="41"/>
        <v>07-13</v>
      </c>
      <c r="E1222" s="273" t="e">
        <f ca="1">_xludf.IFNA(VLOOKUP('Comp X - Kilter'!B1222,'Kilter Holds'!$P$37:$AB$662,10,0),0)</f>
        <v>#NAME?</v>
      </c>
      <c r="F1222" s="274"/>
      <c r="G1222" s="274" t="e">
        <f t="shared" ca="1" si="36"/>
        <v>#NAME?</v>
      </c>
      <c r="H1222" s="274">
        <f t="shared" si="37"/>
        <v>0</v>
      </c>
      <c r="K1222" s="274"/>
    </row>
    <row r="1223" spans="2:11" ht="13.5" customHeight="1">
      <c r="B1223" s="1" t="s">
        <v>3402</v>
      </c>
      <c r="C1223" s="1" t="s">
        <v>3403</v>
      </c>
      <c r="D1223" s="414" t="str">
        <f t="shared" si="41"/>
        <v>11-26</v>
      </c>
      <c r="E1223" s="273" t="e">
        <f ca="1">_xludf.IFNA(VLOOKUP('Comp X - Kilter'!B1223,'Kilter Holds'!$P$37:$AB$662,11,0),0)</f>
        <v>#NAME?</v>
      </c>
      <c r="F1223" s="274"/>
      <c r="G1223" s="274" t="e">
        <f t="shared" ca="1" si="36"/>
        <v>#NAME?</v>
      </c>
      <c r="H1223" s="274">
        <f t="shared" si="37"/>
        <v>0</v>
      </c>
      <c r="K1223" s="274"/>
    </row>
    <row r="1224" spans="2:11" ht="13.5" customHeight="1">
      <c r="B1224" s="1" t="s">
        <v>3402</v>
      </c>
      <c r="C1224" s="1" t="s">
        <v>3403</v>
      </c>
      <c r="D1224" s="415" t="str">
        <f t="shared" si="41"/>
        <v>18-01</v>
      </c>
      <c r="E1224" s="273" t="e">
        <f ca="1">_xludf.IFNA(VLOOKUP('Comp X - Kilter'!B1224,'Kilter Holds'!$P$37:$AB$662,12,0),0)</f>
        <v>#NAME?</v>
      </c>
      <c r="F1224" s="274"/>
      <c r="G1224" s="274" t="e">
        <f t="shared" ca="1" si="36"/>
        <v>#NAME?</v>
      </c>
      <c r="H1224" s="274">
        <f t="shared" si="37"/>
        <v>0</v>
      </c>
      <c r="K1224" s="274"/>
    </row>
    <row r="1225" spans="2:11" ht="13.5" customHeight="1">
      <c r="B1225" s="1" t="s">
        <v>3402</v>
      </c>
      <c r="C1225" s="1" t="s">
        <v>3403</v>
      </c>
      <c r="D1225" s="416" t="str">
        <f t="shared" si="41"/>
        <v>Color Code</v>
      </c>
      <c r="E1225" s="273" t="e">
        <f ca="1">_xludf.IFNA(VLOOKUP('Comp X - Kilter'!B1225,'Kilter Holds'!$P$37:$AB$662,13,0),0)</f>
        <v>#NAME?</v>
      </c>
      <c r="F1225" s="274"/>
      <c r="G1225" s="274" t="e">
        <f t="shared" ca="1" si="36"/>
        <v>#NAME?</v>
      </c>
      <c r="H1225" s="274">
        <f t="shared" si="37"/>
        <v>0</v>
      </c>
      <c r="K1225" s="274"/>
    </row>
    <row r="1226" spans="2:11" ht="13.5" customHeight="1">
      <c r="B1226" s="1" t="s">
        <v>2045</v>
      </c>
      <c r="C1226" s="1" t="s">
        <v>3404</v>
      </c>
      <c r="D1226" s="406" t="str">
        <f t="shared" si="41"/>
        <v>11-12</v>
      </c>
      <c r="E1226" s="273" t="e">
        <f ca="1">_xludf.IFNA(VLOOKUP('Comp X - Kilter'!B1226,'Kilter Holds'!$P$37:$AB$662,5,0),0)</f>
        <v>#NAME?</v>
      </c>
      <c r="F1226" s="274"/>
      <c r="G1226" s="274" t="e">
        <f t="shared" ca="1" si="36"/>
        <v>#NAME?</v>
      </c>
      <c r="H1226" s="274">
        <f t="shared" si="37"/>
        <v>0</v>
      </c>
      <c r="K1226" s="274"/>
    </row>
    <row r="1227" spans="2:11" ht="13.5" customHeight="1">
      <c r="B1227" s="1" t="s">
        <v>2045</v>
      </c>
      <c r="C1227" s="1" t="s">
        <v>3404</v>
      </c>
      <c r="D1227" s="408" t="str">
        <f t="shared" si="41"/>
        <v>14-01</v>
      </c>
      <c r="E1227" s="273" t="e">
        <f ca="1">_xludf.IFNA(VLOOKUP('Comp X - Kilter'!B1227,'Kilter Holds'!$P$37:$AB$662,6,0),0)</f>
        <v>#NAME?</v>
      </c>
      <c r="F1227" s="274"/>
      <c r="G1227" s="274" t="e">
        <f t="shared" ca="1" si="36"/>
        <v>#NAME?</v>
      </c>
      <c r="H1227" s="274">
        <f t="shared" si="37"/>
        <v>0</v>
      </c>
      <c r="K1227" s="274"/>
    </row>
    <row r="1228" spans="2:11" ht="13.5" customHeight="1">
      <c r="B1228" s="1" t="s">
        <v>2045</v>
      </c>
      <c r="C1228" s="1" t="s">
        <v>3404</v>
      </c>
      <c r="D1228" s="409" t="str">
        <f t="shared" si="41"/>
        <v>15-12</v>
      </c>
      <c r="E1228" s="273" t="e">
        <f ca="1">_xludf.IFNA(VLOOKUP('Comp X - Kilter'!B1228,'Kilter Holds'!$P$37:$AB$662,7,0),0)</f>
        <v>#NAME?</v>
      </c>
      <c r="F1228" s="274"/>
      <c r="G1228" s="274" t="e">
        <f t="shared" ca="1" si="36"/>
        <v>#NAME?</v>
      </c>
      <c r="H1228" s="274">
        <f t="shared" si="37"/>
        <v>0</v>
      </c>
      <c r="K1228" s="274"/>
    </row>
    <row r="1229" spans="2:11" ht="13.5" customHeight="1">
      <c r="B1229" s="1" t="s">
        <v>2045</v>
      </c>
      <c r="C1229" s="1" t="s">
        <v>3404</v>
      </c>
      <c r="D1229" s="410" t="str">
        <f t="shared" si="41"/>
        <v>16-16</v>
      </c>
      <c r="E1229" s="273" t="e">
        <f ca="1">_xludf.IFNA(VLOOKUP('Comp X - Kilter'!B1229,'Kilter Holds'!$P$37:$AB$662,8,0),0)</f>
        <v>#NAME?</v>
      </c>
      <c r="F1229" s="274"/>
      <c r="G1229" s="274" t="e">
        <f t="shared" ca="1" si="36"/>
        <v>#NAME?</v>
      </c>
      <c r="H1229" s="274">
        <f t="shared" si="37"/>
        <v>0</v>
      </c>
      <c r="K1229" s="274"/>
    </row>
    <row r="1230" spans="2:11" ht="13.5" customHeight="1">
      <c r="B1230" s="1" t="s">
        <v>2045</v>
      </c>
      <c r="C1230" s="1" t="s">
        <v>3404</v>
      </c>
      <c r="D1230" s="411" t="str">
        <f t="shared" si="41"/>
        <v>13-01</v>
      </c>
      <c r="E1230" s="273" t="e">
        <f ca="1">_xludf.IFNA(VLOOKUP('Comp X - Kilter'!B1230,'Kilter Holds'!$P$37:$AB$662,9,0),0)</f>
        <v>#NAME?</v>
      </c>
      <c r="F1230" s="274"/>
      <c r="G1230" s="274" t="e">
        <f t="shared" ca="1" si="36"/>
        <v>#NAME?</v>
      </c>
      <c r="H1230" s="274">
        <f t="shared" si="37"/>
        <v>0</v>
      </c>
      <c r="K1230" s="274"/>
    </row>
    <row r="1231" spans="2:11" ht="13.5" customHeight="1">
      <c r="B1231" s="1" t="s">
        <v>2045</v>
      </c>
      <c r="C1231" s="1" t="s">
        <v>3404</v>
      </c>
      <c r="D1231" s="413" t="str">
        <f t="shared" si="41"/>
        <v>07-13</v>
      </c>
      <c r="E1231" s="273" t="e">
        <f ca="1">_xludf.IFNA(VLOOKUP('Comp X - Kilter'!B1231,'Kilter Holds'!$P$37:$AB$662,10,0),0)</f>
        <v>#NAME?</v>
      </c>
      <c r="F1231" s="274"/>
      <c r="G1231" s="274" t="e">
        <f t="shared" ca="1" si="36"/>
        <v>#NAME?</v>
      </c>
      <c r="H1231" s="274">
        <f t="shared" si="37"/>
        <v>0</v>
      </c>
      <c r="K1231" s="274"/>
    </row>
    <row r="1232" spans="2:11" ht="13.5" customHeight="1">
      <c r="B1232" s="1" t="s">
        <v>2045</v>
      </c>
      <c r="C1232" s="1" t="s">
        <v>3404</v>
      </c>
      <c r="D1232" s="414" t="str">
        <f t="shared" si="41"/>
        <v>11-26</v>
      </c>
      <c r="E1232" s="273" t="e">
        <f ca="1">_xludf.IFNA(VLOOKUP('Comp X - Kilter'!B1232,'Kilter Holds'!$P$37:$AB$662,11,0),0)</f>
        <v>#NAME?</v>
      </c>
      <c r="F1232" s="274"/>
      <c r="G1232" s="274" t="e">
        <f t="shared" ca="1" si="36"/>
        <v>#NAME?</v>
      </c>
      <c r="H1232" s="274">
        <f t="shared" si="37"/>
        <v>0</v>
      </c>
      <c r="K1232" s="274"/>
    </row>
    <row r="1233" spans="2:11" ht="13.5" customHeight="1">
      <c r="B1233" s="1" t="s">
        <v>2045</v>
      </c>
      <c r="C1233" s="1" t="s">
        <v>3404</v>
      </c>
      <c r="D1233" s="415" t="str">
        <f t="shared" si="41"/>
        <v>18-01</v>
      </c>
      <c r="E1233" s="273" t="e">
        <f ca="1">_xludf.IFNA(VLOOKUP('Comp X - Kilter'!B1233,'Kilter Holds'!$P$37:$AB$662,12,0),0)</f>
        <v>#NAME?</v>
      </c>
      <c r="F1233" s="274"/>
      <c r="G1233" s="274" t="e">
        <f t="shared" ca="1" si="36"/>
        <v>#NAME?</v>
      </c>
      <c r="H1233" s="274">
        <f t="shared" si="37"/>
        <v>0</v>
      </c>
      <c r="K1233" s="274"/>
    </row>
    <row r="1234" spans="2:11" ht="13.5" customHeight="1">
      <c r="B1234" s="1" t="s">
        <v>2045</v>
      </c>
      <c r="C1234" s="1" t="s">
        <v>3404</v>
      </c>
      <c r="D1234" s="416" t="str">
        <f t="shared" si="41"/>
        <v>Color Code</v>
      </c>
      <c r="E1234" s="273" t="e">
        <f ca="1">_xludf.IFNA(VLOOKUP('Comp X - Kilter'!B1234,'Kilter Holds'!$P$37:$AB$662,13,0),0)</f>
        <v>#NAME?</v>
      </c>
      <c r="F1234" s="274"/>
      <c r="G1234" s="274" t="e">
        <f t="shared" ca="1" si="36"/>
        <v>#NAME?</v>
      </c>
      <c r="H1234" s="274">
        <f t="shared" si="37"/>
        <v>0</v>
      </c>
      <c r="K1234" s="274"/>
    </row>
    <row r="1235" spans="2:11" ht="13.5" customHeight="1">
      <c r="B1235" s="1" t="s">
        <v>2046</v>
      </c>
      <c r="C1235" s="1" t="s">
        <v>3405</v>
      </c>
      <c r="D1235" s="406" t="str">
        <f t="shared" si="41"/>
        <v>11-12</v>
      </c>
      <c r="E1235" s="273" t="e">
        <f ca="1">_xludf.IFNA(VLOOKUP('Comp X - Kilter'!B1235,'Kilter Holds'!$P$37:$AB$662,5,0),0)</f>
        <v>#NAME?</v>
      </c>
      <c r="F1235" s="274"/>
      <c r="G1235" s="274" t="e">
        <f t="shared" ca="1" si="36"/>
        <v>#NAME?</v>
      </c>
      <c r="H1235" s="274">
        <f t="shared" si="37"/>
        <v>0</v>
      </c>
      <c r="K1235" s="274"/>
    </row>
    <row r="1236" spans="2:11" ht="13.5" customHeight="1">
      <c r="B1236" s="1" t="s">
        <v>2046</v>
      </c>
      <c r="C1236" s="1" t="s">
        <v>3405</v>
      </c>
      <c r="D1236" s="408" t="str">
        <f t="shared" si="41"/>
        <v>14-01</v>
      </c>
      <c r="E1236" s="273" t="e">
        <f ca="1">_xludf.IFNA(VLOOKUP('Comp X - Kilter'!B1236,'Kilter Holds'!$P$37:$AB$662,6,0),0)</f>
        <v>#NAME?</v>
      </c>
      <c r="F1236" s="274"/>
      <c r="G1236" s="274" t="e">
        <f t="shared" ca="1" si="36"/>
        <v>#NAME?</v>
      </c>
      <c r="H1236" s="274">
        <f t="shared" si="37"/>
        <v>0</v>
      </c>
      <c r="K1236" s="274"/>
    </row>
    <row r="1237" spans="2:11" ht="13.5" customHeight="1">
      <c r="B1237" s="1" t="s">
        <v>2046</v>
      </c>
      <c r="C1237" s="1" t="s">
        <v>3405</v>
      </c>
      <c r="D1237" s="409" t="str">
        <f t="shared" si="41"/>
        <v>15-12</v>
      </c>
      <c r="E1237" s="273" t="e">
        <f ca="1">_xludf.IFNA(VLOOKUP('Comp X - Kilter'!B1237,'Kilter Holds'!$P$37:$AB$662,7,0),0)</f>
        <v>#NAME?</v>
      </c>
      <c r="F1237" s="274"/>
      <c r="G1237" s="274" t="e">
        <f t="shared" ca="1" si="36"/>
        <v>#NAME?</v>
      </c>
      <c r="H1237" s="274">
        <f t="shared" si="37"/>
        <v>0</v>
      </c>
      <c r="K1237" s="274"/>
    </row>
    <row r="1238" spans="2:11" ht="13.5" customHeight="1">
      <c r="B1238" s="1" t="s">
        <v>2046</v>
      </c>
      <c r="C1238" s="1" t="s">
        <v>3405</v>
      </c>
      <c r="D1238" s="410" t="str">
        <f t="shared" si="41"/>
        <v>16-16</v>
      </c>
      <c r="E1238" s="273" t="e">
        <f ca="1">_xludf.IFNA(VLOOKUP('Comp X - Kilter'!B1238,'Kilter Holds'!$P$37:$AB$662,8,0),0)</f>
        <v>#NAME?</v>
      </c>
      <c r="F1238" s="274"/>
      <c r="G1238" s="274" t="e">
        <f t="shared" ca="1" si="36"/>
        <v>#NAME?</v>
      </c>
      <c r="H1238" s="274">
        <f t="shared" si="37"/>
        <v>0</v>
      </c>
      <c r="K1238" s="274"/>
    </row>
    <row r="1239" spans="2:11" ht="13.5" customHeight="1">
      <c r="B1239" s="1" t="s">
        <v>2046</v>
      </c>
      <c r="C1239" s="1" t="s">
        <v>3405</v>
      </c>
      <c r="D1239" s="411" t="str">
        <f t="shared" si="41"/>
        <v>13-01</v>
      </c>
      <c r="E1239" s="273" t="e">
        <f ca="1">_xludf.IFNA(VLOOKUP('Comp X - Kilter'!B1239,'Kilter Holds'!$P$37:$AB$662,9,0),0)</f>
        <v>#NAME?</v>
      </c>
      <c r="F1239" s="274"/>
      <c r="G1239" s="274" t="e">
        <f t="shared" ca="1" si="36"/>
        <v>#NAME?</v>
      </c>
      <c r="H1239" s="274">
        <f t="shared" si="37"/>
        <v>0</v>
      </c>
      <c r="K1239" s="274"/>
    </row>
    <row r="1240" spans="2:11" ht="13.5" customHeight="1">
      <c r="B1240" s="1" t="s">
        <v>2046</v>
      </c>
      <c r="C1240" s="1" t="s">
        <v>3405</v>
      </c>
      <c r="D1240" s="413" t="str">
        <f t="shared" si="41"/>
        <v>07-13</v>
      </c>
      <c r="E1240" s="273" t="e">
        <f ca="1">_xludf.IFNA(VLOOKUP('Comp X - Kilter'!B1240,'Kilter Holds'!$P$37:$AB$662,10,0),0)</f>
        <v>#NAME?</v>
      </c>
      <c r="F1240" s="274"/>
      <c r="G1240" s="274" t="e">
        <f t="shared" ca="1" si="36"/>
        <v>#NAME?</v>
      </c>
      <c r="H1240" s="274">
        <f t="shared" si="37"/>
        <v>0</v>
      </c>
      <c r="K1240" s="274"/>
    </row>
    <row r="1241" spans="2:11" ht="13.5" customHeight="1">
      <c r="B1241" s="1" t="s">
        <v>2046</v>
      </c>
      <c r="C1241" s="1" t="s">
        <v>3405</v>
      </c>
      <c r="D1241" s="414" t="str">
        <f t="shared" si="41"/>
        <v>11-26</v>
      </c>
      <c r="E1241" s="273" t="e">
        <f ca="1">_xludf.IFNA(VLOOKUP('Comp X - Kilter'!B1241,'Kilter Holds'!$P$37:$AB$662,11,0),0)</f>
        <v>#NAME?</v>
      </c>
      <c r="F1241" s="274"/>
      <c r="G1241" s="274" t="e">
        <f t="shared" ca="1" si="36"/>
        <v>#NAME?</v>
      </c>
      <c r="H1241" s="274">
        <f t="shared" si="37"/>
        <v>0</v>
      </c>
      <c r="K1241" s="274"/>
    </row>
    <row r="1242" spans="2:11" ht="13.5" customHeight="1">
      <c r="B1242" s="1" t="s">
        <v>2046</v>
      </c>
      <c r="C1242" s="1" t="s">
        <v>3405</v>
      </c>
      <c r="D1242" s="415" t="str">
        <f t="shared" si="41"/>
        <v>18-01</v>
      </c>
      <c r="E1242" s="273" t="e">
        <f ca="1">_xludf.IFNA(VLOOKUP('Comp X - Kilter'!B1242,'Kilter Holds'!$P$37:$AB$662,12,0),0)</f>
        <v>#NAME?</v>
      </c>
      <c r="F1242" s="274"/>
      <c r="G1242" s="274" t="e">
        <f t="shared" ca="1" si="36"/>
        <v>#NAME?</v>
      </c>
      <c r="H1242" s="274">
        <f t="shared" si="37"/>
        <v>0</v>
      </c>
      <c r="K1242" s="274"/>
    </row>
    <row r="1243" spans="2:11" ht="13.5" customHeight="1">
      <c r="B1243" s="1" t="s">
        <v>2046</v>
      </c>
      <c r="C1243" s="1" t="s">
        <v>3405</v>
      </c>
      <c r="D1243" s="416" t="str">
        <f t="shared" si="41"/>
        <v>Color Code</v>
      </c>
      <c r="E1243" s="273" t="e">
        <f ca="1">_xludf.IFNA(VLOOKUP('Comp X - Kilter'!B1243,'Kilter Holds'!$P$37:$AB$662,13,0),0)</f>
        <v>#NAME?</v>
      </c>
      <c r="F1243" s="274"/>
      <c r="G1243" s="274" t="e">
        <f t="shared" ca="1" si="36"/>
        <v>#NAME?</v>
      </c>
      <c r="H1243" s="274">
        <f t="shared" si="37"/>
        <v>0</v>
      </c>
      <c r="K1243" s="274"/>
    </row>
    <row r="1244" spans="2:11" ht="13.5" customHeight="1">
      <c r="B1244" s="1" t="s">
        <v>2041</v>
      </c>
      <c r="C1244" s="1" t="s">
        <v>3406</v>
      </c>
      <c r="D1244" s="406" t="str">
        <f t="shared" si="41"/>
        <v>11-12</v>
      </c>
      <c r="E1244" s="273" t="e">
        <f ca="1">_xludf.IFNA(VLOOKUP('Comp X - Kilter'!B1244,'Kilter Holds'!$P$37:$AB$662,5,0),0)</f>
        <v>#NAME?</v>
      </c>
      <c r="F1244" s="274"/>
      <c r="G1244" s="274" t="e">
        <f t="shared" ca="1" si="36"/>
        <v>#NAME?</v>
      </c>
      <c r="H1244" s="274">
        <f t="shared" si="37"/>
        <v>0</v>
      </c>
      <c r="K1244" s="274"/>
    </row>
    <row r="1245" spans="2:11" ht="13.5" customHeight="1">
      <c r="B1245" s="1" t="s">
        <v>2041</v>
      </c>
      <c r="C1245" s="1" t="s">
        <v>3406</v>
      </c>
      <c r="D1245" s="408" t="str">
        <f t="shared" si="41"/>
        <v>14-01</v>
      </c>
      <c r="E1245" s="273" t="e">
        <f ca="1">_xludf.IFNA(VLOOKUP('Comp X - Kilter'!B1245,'Kilter Holds'!$P$37:$AB$662,6,0),0)</f>
        <v>#NAME?</v>
      </c>
      <c r="F1245" s="274"/>
      <c r="G1245" s="274" t="e">
        <f t="shared" ca="1" si="36"/>
        <v>#NAME?</v>
      </c>
      <c r="H1245" s="274">
        <f t="shared" si="37"/>
        <v>0</v>
      </c>
      <c r="K1245" s="274"/>
    </row>
    <row r="1246" spans="2:11" ht="13.5" customHeight="1">
      <c r="B1246" s="1" t="s">
        <v>2041</v>
      </c>
      <c r="C1246" s="1" t="s">
        <v>3406</v>
      </c>
      <c r="D1246" s="409" t="str">
        <f t="shared" si="41"/>
        <v>15-12</v>
      </c>
      <c r="E1246" s="273" t="e">
        <f ca="1">_xludf.IFNA(VLOOKUP('Comp X - Kilter'!B1246,'Kilter Holds'!$P$37:$AB$662,7,0),0)</f>
        <v>#NAME?</v>
      </c>
      <c r="F1246" s="274"/>
      <c r="G1246" s="274" t="e">
        <f t="shared" ca="1" si="36"/>
        <v>#NAME?</v>
      </c>
      <c r="H1246" s="274">
        <f t="shared" si="37"/>
        <v>0</v>
      </c>
      <c r="K1246" s="274"/>
    </row>
    <row r="1247" spans="2:11" ht="13.5" customHeight="1">
      <c r="B1247" s="1" t="s">
        <v>2041</v>
      </c>
      <c r="C1247" s="1" t="s">
        <v>3406</v>
      </c>
      <c r="D1247" s="410" t="str">
        <f t="shared" si="41"/>
        <v>16-16</v>
      </c>
      <c r="E1247" s="273" t="e">
        <f ca="1">_xludf.IFNA(VLOOKUP('Comp X - Kilter'!B1247,'Kilter Holds'!$P$37:$AB$662,8,0),0)</f>
        <v>#NAME?</v>
      </c>
      <c r="F1247" s="274"/>
      <c r="G1247" s="274" t="e">
        <f t="shared" ca="1" si="36"/>
        <v>#NAME?</v>
      </c>
      <c r="H1247" s="274">
        <f t="shared" si="37"/>
        <v>0</v>
      </c>
      <c r="K1247" s="274"/>
    </row>
    <row r="1248" spans="2:11" ht="13.5" customHeight="1">
      <c r="B1248" s="1" t="s">
        <v>2041</v>
      </c>
      <c r="C1248" s="1" t="s">
        <v>3406</v>
      </c>
      <c r="D1248" s="411" t="str">
        <f t="shared" si="41"/>
        <v>13-01</v>
      </c>
      <c r="E1248" s="273" t="e">
        <f ca="1">_xludf.IFNA(VLOOKUP('Comp X - Kilter'!B1248,'Kilter Holds'!$P$37:$AB$662,9,0),0)</f>
        <v>#NAME?</v>
      </c>
      <c r="F1248" s="274"/>
      <c r="G1248" s="274" t="e">
        <f t="shared" ca="1" si="36"/>
        <v>#NAME?</v>
      </c>
      <c r="H1248" s="274">
        <f t="shared" si="37"/>
        <v>0</v>
      </c>
      <c r="K1248" s="274"/>
    </row>
    <row r="1249" spans="2:11" ht="13.5" customHeight="1">
      <c r="B1249" s="1" t="s">
        <v>2041</v>
      </c>
      <c r="C1249" s="1" t="s">
        <v>3406</v>
      </c>
      <c r="D1249" s="413" t="str">
        <f t="shared" si="41"/>
        <v>07-13</v>
      </c>
      <c r="E1249" s="273" t="e">
        <f ca="1">_xludf.IFNA(VLOOKUP('Comp X - Kilter'!B1249,'Kilter Holds'!$P$37:$AB$662,10,0),0)</f>
        <v>#NAME?</v>
      </c>
      <c r="F1249" s="274"/>
      <c r="G1249" s="274" t="e">
        <f t="shared" ca="1" si="36"/>
        <v>#NAME?</v>
      </c>
      <c r="H1249" s="274">
        <f t="shared" si="37"/>
        <v>0</v>
      </c>
      <c r="K1249" s="274"/>
    </row>
    <row r="1250" spans="2:11" ht="13.5" customHeight="1">
      <c r="B1250" s="1" t="s">
        <v>2041</v>
      </c>
      <c r="C1250" s="1" t="s">
        <v>3406</v>
      </c>
      <c r="D1250" s="414" t="str">
        <f t="shared" si="41"/>
        <v>11-26</v>
      </c>
      <c r="E1250" s="273" t="e">
        <f ca="1">_xludf.IFNA(VLOOKUP('Comp X - Kilter'!B1250,'Kilter Holds'!$P$37:$AB$662,11,0),0)</f>
        <v>#NAME?</v>
      </c>
      <c r="F1250" s="274"/>
      <c r="G1250" s="274" t="e">
        <f t="shared" ca="1" si="36"/>
        <v>#NAME?</v>
      </c>
      <c r="H1250" s="274">
        <f t="shared" si="37"/>
        <v>0</v>
      </c>
      <c r="K1250" s="274"/>
    </row>
    <row r="1251" spans="2:11" ht="13.5" customHeight="1">
      <c r="B1251" s="1" t="s">
        <v>2041</v>
      </c>
      <c r="C1251" s="1" t="s">
        <v>3406</v>
      </c>
      <c r="D1251" s="415" t="str">
        <f t="shared" si="41"/>
        <v>18-01</v>
      </c>
      <c r="E1251" s="273" t="e">
        <f ca="1">_xludf.IFNA(VLOOKUP('Comp X - Kilter'!B1251,'Kilter Holds'!$P$37:$AB$662,12,0),0)</f>
        <v>#NAME?</v>
      </c>
      <c r="F1251" s="274"/>
      <c r="G1251" s="274" t="e">
        <f t="shared" ca="1" si="36"/>
        <v>#NAME?</v>
      </c>
      <c r="H1251" s="274">
        <f t="shared" si="37"/>
        <v>0</v>
      </c>
      <c r="K1251" s="274"/>
    </row>
    <row r="1252" spans="2:11" ht="13.5" customHeight="1">
      <c r="B1252" s="1" t="s">
        <v>2041</v>
      </c>
      <c r="C1252" s="1" t="s">
        <v>3406</v>
      </c>
      <c r="D1252" s="416" t="str">
        <f t="shared" si="41"/>
        <v>Color Code</v>
      </c>
      <c r="E1252" s="273" t="e">
        <f ca="1">_xludf.IFNA(VLOOKUP('Comp X - Kilter'!B1252,'Kilter Holds'!$P$37:$AB$662,13,0),0)</f>
        <v>#NAME?</v>
      </c>
      <c r="F1252" s="274"/>
      <c r="G1252" s="274" t="e">
        <f t="shared" ca="1" si="36"/>
        <v>#NAME?</v>
      </c>
      <c r="H1252" s="274">
        <f t="shared" si="37"/>
        <v>0</v>
      </c>
      <c r="K1252" s="274"/>
    </row>
    <row r="1253" spans="2:11" ht="13.5" customHeight="1">
      <c r="B1253" s="1" t="s">
        <v>2042</v>
      </c>
      <c r="C1253" s="1" t="s">
        <v>3407</v>
      </c>
      <c r="D1253" s="406" t="str">
        <f t="shared" si="41"/>
        <v>11-12</v>
      </c>
      <c r="E1253" s="273" t="e">
        <f ca="1">_xludf.IFNA(VLOOKUP('Comp X - Kilter'!B1253,'Kilter Holds'!$P$37:$AB$662,5,0),0)</f>
        <v>#NAME?</v>
      </c>
      <c r="F1253" s="274"/>
      <c r="G1253" s="274" t="e">
        <f t="shared" ca="1" si="36"/>
        <v>#NAME?</v>
      </c>
      <c r="H1253" s="274">
        <f t="shared" si="37"/>
        <v>0</v>
      </c>
      <c r="K1253" s="274"/>
    </row>
    <row r="1254" spans="2:11" ht="13.5" customHeight="1">
      <c r="B1254" s="1" t="s">
        <v>2042</v>
      </c>
      <c r="C1254" s="1" t="s">
        <v>3407</v>
      </c>
      <c r="D1254" s="408" t="str">
        <f t="shared" si="41"/>
        <v>14-01</v>
      </c>
      <c r="E1254" s="273" t="e">
        <f ca="1">_xludf.IFNA(VLOOKUP('Comp X - Kilter'!B1254,'Kilter Holds'!$P$37:$AB$662,6,0),0)</f>
        <v>#NAME?</v>
      </c>
      <c r="F1254" s="274"/>
      <c r="G1254" s="274" t="e">
        <f t="shared" ca="1" si="36"/>
        <v>#NAME?</v>
      </c>
      <c r="H1254" s="274">
        <f t="shared" si="37"/>
        <v>0</v>
      </c>
      <c r="K1254" s="274"/>
    </row>
    <row r="1255" spans="2:11" ht="13.5" customHeight="1">
      <c r="B1255" s="1" t="s">
        <v>2042</v>
      </c>
      <c r="C1255" s="1" t="s">
        <v>3407</v>
      </c>
      <c r="D1255" s="409" t="str">
        <f t="shared" si="41"/>
        <v>15-12</v>
      </c>
      <c r="E1255" s="273" t="e">
        <f ca="1">_xludf.IFNA(VLOOKUP('Comp X - Kilter'!B1255,'Kilter Holds'!$P$37:$AB$662,7,0),0)</f>
        <v>#NAME?</v>
      </c>
      <c r="F1255" s="274"/>
      <c r="G1255" s="274" t="e">
        <f t="shared" ca="1" si="36"/>
        <v>#NAME?</v>
      </c>
      <c r="H1255" s="274">
        <f t="shared" si="37"/>
        <v>0</v>
      </c>
      <c r="K1255" s="274"/>
    </row>
    <row r="1256" spans="2:11" ht="13.5" customHeight="1">
      <c r="B1256" s="1" t="s">
        <v>2042</v>
      </c>
      <c r="C1256" s="1" t="s">
        <v>3407</v>
      </c>
      <c r="D1256" s="410" t="str">
        <f t="shared" si="41"/>
        <v>16-16</v>
      </c>
      <c r="E1256" s="273" t="e">
        <f ca="1">_xludf.IFNA(VLOOKUP('Comp X - Kilter'!B1256,'Kilter Holds'!$P$37:$AB$662,8,0),0)</f>
        <v>#NAME?</v>
      </c>
      <c r="F1256" s="274"/>
      <c r="G1256" s="274" t="e">
        <f t="shared" ca="1" si="36"/>
        <v>#NAME?</v>
      </c>
      <c r="H1256" s="274">
        <f t="shared" si="37"/>
        <v>0</v>
      </c>
      <c r="K1256" s="274"/>
    </row>
    <row r="1257" spans="2:11" ht="13.5" customHeight="1">
      <c r="B1257" s="1" t="s">
        <v>2042</v>
      </c>
      <c r="C1257" s="1" t="s">
        <v>3407</v>
      </c>
      <c r="D1257" s="411" t="str">
        <f t="shared" si="41"/>
        <v>13-01</v>
      </c>
      <c r="E1257" s="273" t="e">
        <f ca="1">_xludf.IFNA(VLOOKUP('Comp X - Kilter'!B1257,'Kilter Holds'!$P$37:$AB$662,9,0),0)</f>
        <v>#NAME?</v>
      </c>
      <c r="F1257" s="274"/>
      <c r="G1257" s="274" t="e">
        <f t="shared" ca="1" si="36"/>
        <v>#NAME?</v>
      </c>
      <c r="H1257" s="274">
        <f t="shared" si="37"/>
        <v>0</v>
      </c>
      <c r="K1257" s="274"/>
    </row>
    <row r="1258" spans="2:11" ht="13.5" customHeight="1">
      <c r="B1258" s="1" t="s">
        <v>2042</v>
      </c>
      <c r="C1258" s="1" t="s">
        <v>3407</v>
      </c>
      <c r="D1258" s="413" t="str">
        <f t="shared" si="41"/>
        <v>07-13</v>
      </c>
      <c r="E1258" s="273" t="e">
        <f ca="1">_xludf.IFNA(VLOOKUP('Comp X - Kilter'!B1258,'Kilter Holds'!$P$37:$AB$662,10,0),0)</f>
        <v>#NAME?</v>
      </c>
      <c r="F1258" s="274"/>
      <c r="G1258" s="274" t="e">
        <f t="shared" ca="1" si="36"/>
        <v>#NAME?</v>
      </c>
      <c r="H1258" s="274">
        <f t="shared" si="37"/>
        <v>0</v>
      </c>
      <c r="K1258" s="274"/>
    </row>
    <row r="1259" spans="2:11" ht="13.5" customHeight="1">
      <c r="B1259" s="1" t="s">
        <v>2042</v>
      </c>
      <c r="C1259" s="1" t="s">
        <v>3407</v>
      </c>
      <c r="D1259" s="414" t="str">
        <f t="shared" si="41"/>
        <v>11-26</v>
      </c>
      <c r="E1259" s="273" t="e">
        <f ca="1">_xludf.IFNA(VLOOKUP('Comp X - Kilter'!B1259,'Kilter Holds'!$P$37:$AB$662,11,0),0)</f>
        <v>#NAME?</v>
      </c>
      <c r="F1259" s="274"/>
      <c r="G1259" s="274" t="e">
        <f t="shared" ca="1" si="36"/>
        <v>#NAME?</v>
      </c>
      <c r="H1259" s="274">
        <f t="shared" si="37"/>
        <v>0</v>
      </c>
      <c r="K1259" s="274"/>
    </row>
    <row r="1260" spans="2:11" ht="13.5" customHeight="1">
      <c r="B1260" s="1" t="s">
        <v>2042</v>
      </c>
      <c r="C1260" s="1" t="s">
        <v>3407</v>
      </c>
      <c r="D1260" s="415" t="str">
        <f t="shared" si="41"/>
        <v>18-01</v>
      </c>
      <c r="E1260" s="273" t="e">
        <f ca="1">_xludf.IFNA(VLOOKUP('Comp X - Kilter'!B1260,'Kilter Holds'!$P$37:$AB$662,12,0),0)</f>
        <v>#NAME?</v>
      </c>
      <c r="F1260" s="274"/>
      <c r="G1260" s="274" t="e">
        <f t="shared" ca="1" si="36"/>
        <v>#NAME?</v>
      </c>
      <c r="H1260" s="274">
        <f t="shared" si="37"/>
        <v>0</v>
      </c>
      <c r="K1260" s="274"/>
    </row>
    <row r="1261" spans="2:11" ht="13.5" customHeight="1">
      <c r="B1261" s="1" t="s">
        <v>2042</v>
      </c>
      <c r="C1261" s="1" t="s">
        <v>3407</v>
      </c>
      <c r="D1261" s="416" t="str">
        <f t="shared" si="41"/>
        <v>Color Code</v>
      </c>
      <c r="E1261" s="273" t="e">
        <f ca="1">_xludf.IFNA(VLOOKUP('Comp X - Kilter'!B1261,'Kilter Holds'!$P$37:$AB$662,13,0),0)</f>
        <v>#NAME?</v>
      </c>
      <c r="F1261" s="274"/>
      <c r="G1261" s="274" t="e">
        <f t="shared" ca="1" si="36"/>
        <v>#NAME?</v>
      </c>
      <c r="H1261" s="274">
        <f t="shared" si="37"/>
        <v>0</v>
      </c>
      <c r="K1261" s="274"/>
    </row>
    <row r="1262" spans="2:11" ht="13.5" customHeight="1">
      <c r="B1262" s="1" t="s">
        <v>2064</v>
      </c>
      <c r="C1262" s="1" t="s">
        <v>3408</v>
      </c>
      <c r="D1262" s="406" t="str">
        <f t="shared" si="41"/>
        <v>11-12</v>
      </c>
      <c r="E1262" s="273" t="e">
        <f ca="1">_xludf.IFNA(VLOOKUP('Comp X - Kilter'!B1262,'Kilter Holds'!$P$37:$AB$662,5,0),0)</f>
        <v>#NAME?</v>
      </c>
      <c r="F1262" s="274"/>
      <c r="G1262" s="274" t="e">
        <f t="shared" ca="1" si="36"/>
        <v>#NAME?</v>
      </c>
      <c r="H1262" s="274">
        <f t="shared" si="37"/>
        <v>0</v>
      </c>
      <c r="K1262" s="274"/>
    </row>
    <row r="1263" spans="2:11" ht="13.5" customHeight="1">
      <c r="B1263" s="1" t="s">
        <v>2064</v>
      </c>
      <c r="C1263" s="1" t="s">
        <v>3408</v>
      </c>
      <c r="D1263" s="408" t="str">
        <f t="shared" si="41"/>
        <v>14-01</v>
      </c>
      <c r="E1263" s="273" t="e">
        <f ca="1">_xludf.IFNA(VLOOKUP('Comp X - Kilter'!B1263,'Kilter Holds'!$P$37:$AB$662,6,0),0)</f>
        <v>#NAME?</v>
      </c>
      <c r="F1263" s="274"/>
      <c r="G1263" s="274" t="e">
        <f t="shared" ca="1" si="36"/>
        <v>#NAME?</v>
      </c>
      <c r="H1263" s="274">
        <f t="shared" si="37"/>
        <v>0</v>
      </c>
      <c r="K1263" s="274"/>
    </row>
    <row r="1264" spans="2:11" ht="13.5" customHeight="1">
      <c r="B1264" s="1" t="s">
        <v>2064</v>
      </c>
      <c r="C1264" s="1" t="s">
        <v>3408</v>
      </c>
      <c r="D1264" s="409" t="str">
        <f t="shared" si="41"/>
        <v>15-12</v>
      </c>
      <c r="E1264" s="273" t="e">
        <f ca="1">_xludf.IFNA(VLOOKUP('Comp X - Kilter'!B1264,'Kilter Holds'!$P$37:$AB$662,7,0),0)</f>
        <v>#NAME?</v>
      </c>
      <c r="F1264" s="274"/>
      <c r="G1264" s="274" t="e">
        <f t="shared" ca="1" si="36"/>
        <v>#NAME?</v>
      </c>
      <c r="H1264" s="274">
        <f t="shared" si="37"/>
        <v>0</v>
      </c>
      <c r="K1264" s="274"/>
    </row>
    <row r="1265" spans="2:11" ht="13.5" customHeight="1">
      <c r="B1265" s="1" t="s">
        <v>2064</v>
      </c>
      <c r="C1265" s="1" t="s">
        <v>3408</v>
      </c>
      <c r="D1265" s="410" t="str">
        <f t="shared" si="41"/>
        <v>16-16</v>
      </c>
      <c r="E1265" s="273" t="e">
        <f ca="1">_xludf.IFNA(VLOOKUP('Comp X - Kilter'!B1265,'Kilter Holds'!$P$37:$AB$662,8,0),0)</f>
        <v>#NAME?</v>
      </c>
      <c r="F1265" s="274"/>
      <c r="G1265" s="274" t="e">
        <f t="shared" ca="1" si="36"/>
        <v>#NAME?</v>
      </c>
      <c r="H1265" s="274">
        <f t="shared" si="37"/>
        <v>0</v>
      </c>
      <c r="K1265" s="274"/>
    </row>
    <row r="1266" spans="2:11" ht="13.5" customHeight="1">
      <c r="B1266" s="1" t="s">
        <v>2064</v>
      </c>
      <c r="C1266" s="1" t="s">
        <v>3408</v>
      </c>
      <c r="D1266" s="411" t="str">
        <f t="shared" si="41"/>
        <v>13-01</v>
      </c>
      <c r="E1266" s="273" t="e">
        <f ca="1">_xludf.IFNA(VLOOKUP('Comp X - Kilter'!B1266,'Kilter Holds'!$P$37:$AB$662,9,0),0)</f>
        <v>#NAME?</v>
      </c>
      <c r="F1266" s="274"/>
      <c r="G1266" s="274" t="e">
        <f t="shared" ca="1" si="36"/>
        <v>#NAME?</v>
      </c>
      <c r="H1266" s="274">
        <f t="shared" si="37"/>
        <v>0</v>
      </c>
      <c r="K1266" s="274"/>
    </row>
    <row r="1267" spans="2:11" ht="13.5" customHeight="1">
      <c r="B1267" s="1" t="s">
        <v>2064</v>
      </c>
      <c r="C1267" s="1" t="s">
        <v>3408</v>
      </c>
      <c r="D1267" s="413" t="str">
        <f t="shared" si="41"/>
        <v>07-13</v>
      </c>
      <c r="E1267" s="273" t="e">
        <f ca="1">_xludf.IFNA(VLOOKUP('Comp X - Kilter'!B1267,'Kilter Holds'!$P$37:$AB$662,10,0),0)</f>
        <v>#NAME?</v>
      </c>
      <c r="F1267" s="274"/>
      <c r="G1267" s="274" t="e">
        <f t="shared" ca="1" si="36"/>
        <v>#NAME?</v>
      </c>
      <c r="H1267" s="274">
        <f t="shared" si="37"/>
        <v>0</v>
      </c>
      <c r="K1267" s="274"/>
    </row>
    <row r="1268" spans="2:11" ht="13.5" customHeight="1">
      <c r="B1268" s="1" t="s">
        <v>2064</v>
      </c>
      <c r="C1268" s="1" t="s">
        <v>3408</v>
      </c>
      <c r="D1268" s="414" t="str">
        <f t="shared" si="41"/>
        <v>11-26</v>
      </c>
      <c r="E1268" s="273" t="e">
        <f ca="1">_xludf.IFNA(VLOOKUP('Comp X - Kilter'!B1268,'Kilter Holds'!$P$37:$AB$662,11,0),0)</f>
        <v>#NAME?</v>
      </c>
      <c r="F1268" s="274"/>
      <c r="G1268" s="274" t="e">
        <f t="shared" ca="1" si="36"/>
        <v>#NAME?</v>
      </c>
      <c r="H1268" s="274">
        <f t="shared" si="37"/>
        <v>0</v>
      </c>
      <c r="K1268" s="274"/>
    </row>
    <row r="1269" spans="2:11" ht="13.5" customHeight="1">
      <c r="B1269" s="1" t="s">
        <v>2064</v>
      </c>
      <c r="C1269" s="1" t="s">
        <v>3408</v>
      </c>
      <c r="D1269" s="415" t="str">
        <f t="shared" si="41"/>
        <v>18-01</v>
      </c>
      <c r="E1269" s="273" t="e">
        <f ca="1">_xludf.IFNA(VLOOKUP('Comp X - Kilter'!B1269,'Kilter Holds'!$P$37:$AB$662,12,0),0)</f>
        <v>#NAME?</v>
      </c>
      <c r="F1269" s="274"/>
      <c r="G1269" s="274" t="e">
        <f t="shared" ca="1" si="36"/>
        <v>#NAME?</v>
      </c>
      <c r="H1269" s="274">
        <f t="shared" si="37"/>
        <v>0</v>
      </c>
      <c r="K1269" s="274"/>
    </row>
    <row r="1270" spans="2:11" ht="13.5" customHeight="1">
      <c r="B1270" s="1" t="s">
        <v>2064</v>
      </c>
      <c r="C1270" s="1" t="s">
        <v>3408</v>
      </c>
      <c r="D1270" s="416" t="str">
        <f t="shared" si="41"/>
        <v>Color Code</v>
      </c>
      <c r="E1270" s="273" t="e">
        <f ca="1">_xludf.IFNA(VLOOKUP('Comp X - Kilter'!B1270,'Kilter Holds'!$P$37:$AB$662,13,0),0)</f>
        <v>#NAME?</v>
      </c>
      <c r="F1270" s="274"/>
      <c r="G1270" s="274" t="e">
        <f t="shared" ca="1" si="36"/>
        <v>#NAME?</v>
      </c>
      <c r="H1270" s="274">
        <f t="shared" si="37"/>
        <v>0</v>
      </c>
      <c r="K1270" s="274"/>
    </row>
    <row r="1271" spans="2:11" ht="13.5" customHeight="1">
      <c r="B1271" s="1" t="s">
        <v>2065</v>
      </c>
      <c r="C1271" s="1" t="s">
        <v>3409</v>
      </c>
      <c r="D1271" s="406" t="str">
        <f t="shared" si="41"/>
        <v>11-12</v>
      </c>
      <c r="E1271" s="273" t="e">
        <f ca="1">_xludf.IFNA(VLOOKUP('Comp X - Kilter'!B1271,'Kilter Holds'!$P$37:$AB$662,5,0),0)</f>
        <v>#NAME?</v>
      </c>
      <c r="F1271" s="274"/>
      <c r="G1271" s="274" t="e">
        <f t="shared" ca="1" si="36"/>
        <v>#NAME?</v>
      </c>
      <c r="H1271" s="274">
        <f t="shared" si="37"/>
        <v>0</v>
      </c>
      <c r="K1271" s="274"/>
    </row>
    <row r="1272" spans="2:11" ht="13.5" customHeight="1">
      <c r="B1272" s="1" t="s">
        <v>2065</v>
      </c>
      <c r="C1272" s="1" t="s">
        <v>3409</v>
      </c>
      <c r="D1272" s="408" t="str">
        <f t="shared" si="41"/>
        <v>14-01</v>
      </c>
      <c r="E1272" s="273" t="e">
        <f ca="1">_xludf.IFNA(VLOOKUP('Comp X - Kilter'!B1272,'Kilter Holds'!$P$37:$AB$662,6,0),0)</f>
        <v>#NAME?</v>
      </c>
      <c r="F1272" s="274"/>
      <c r="G1272" s="274" t="e">
        <f t="shared" ca="1" si="36"/>
        <v>#NAME?</v>
      </c>
      <c r="H1272" s="274">
        <f t="shared" si="37"/>
        <v>0</v>
      </c>
      <c r="K1272" s="274"/>
    </row>
    <row r="1273" spans="2:11" ht="13.5" customHeight="1">
      <c r="B1273" s="1" t="s">
        <v>2065</v>
      </c>
      <c r="C1273" s="1" t="s">
        <v>3409</v>
      </c>
      <c r="D1273" s="409" t="str">
        <f t="shared" si="41"/>
        <v>15-12</v>
      </c>
      <c r="E1273" s="273" t="e">
        <f ca="1">_xludf.IFNA(VLOOKUP('Comp X - Kilter'!B1273,'Kilter Holds'!$P$37:$AB$662,7,0),0)</f>
        <v>#NAME?</v>
      </c>
      <c r="F1273" s="274"/>
      <c r="G1273" s="274" t="e">
        <f t="shared" ca="1" si="36"/>
        <v>#NAME?</v>
      </c>
      <c r="H1273" s="274">
        <f t="shared" si="37"/>
        <v>0</v>
      </c>
      <c r="K1273" s="274"/>
    </row>
    <row r="1274" spans="2:11" ht="13.5" customHeight="1">
      <c r="B1274" s="1" t="s">
        <v>2065</v>
      </c>
      <c r="C1274" s="1" t="s">
        <v>3409</v>
      </c>
      <c r="D1274" s="410" t="str">
        <f t="shared" si="41"/>
        <v>16-16</v>
      </c>
      <c r="E1274" s="273" t="e">
        <f ca="1">_xludf.IFNA(VLOOKUP('Comp X - Kilter'!B1274,'Kilter Holds'!$P$37:$AB$662,8,0),0)</f>
        <v>#NAME?</v>
      </c>
      <c r="F1274" s="274"/>
      <c r="G1274" s="274" t="e">
        <f t="shared" ca="1" si="36"/>
        <v>#NAME?</v>
      </c>
      <c r="H1274" s="274">
        <f t="shared" si="37"/>
        <v>0</v>
      </c>
      <c r="K1274" s="274"/>
    </row>
    <row r="1275" spans="2:11" ht="13.5" customHeight="1">
      <c r="B1275" s="1" t="s">
        <v>2065</v>
      </c>
      <c r="C1275" s="1" t="s">
        <v>3409</v>
      </c>
      <c r="D1275" s="411" t="str">
        <f t="shared" si="41"/>
        <v>13-01</v>
      </c>
      <c r="E1275" s="273" t="e">
        <f ca="1">_xludf.IFNA(VLOOKUP('Comp X - Kilter'!B1275,'Kilter Holds'!$P$37:$AB$662,9,0),0)</f>
        <v>#NAME?</v>
      </c>
      <c r="F1275" s="274"/>
      <c r="G1275" s="274" t="e">
        <f t="shared" ca="1" si="36"/>
        <v>#NAME?</v>
      </c>
      <c r="H1275" s="274">
        <f t="shared" si="37"/>
        <v>0</v>
      </c>
      <c r="K1275" s="274"/>
    </row>
    <row r="1276" spans="2:11" ht="13.5" customHeight="1">
      <c r="B1276" s="1" t="s">
        <v>2065</v>
      </c>
      <c r="C1276" s="1" t="s">
        <v>3409</v>
      </c>
      <c r="D1276" s="413" t="str">
        <f t="shared" si="41"/>
        <v>07-13</v>
      </c>
      <c r="E1276" s="273" t="e">
        <f ca="1">_xludf.IFNA(VLOOKUP('Comp X - Kilter'!B1276,'Kilter Holds'!$P$37:$AB$662,10,0),0)</f>
        <v>#NAME?</v>
      </c>
      <c r="F1276" s="274"/>
      <c r="G1276" s="274" t="e">
        <f t="shared" ca="1" si="36"/>
        <v>#NAME?</v>
      </c>
      <c r="H1276" s="274">
        <f t="shared" si="37"/>
        <v>0</v>
      </c>
      <c r="K1276" s="274"/>
    </row>
    <row r="1277" spans="2:11" ht="13.5" customHeight="1">
      <c r="B1277" s="1" t="s">
        <v>2065</v>
      </c>
      <c r="C1277" s="1" t="s">
        <v>3409</v>
      </c>
      <c r="D1277" s="414" t="str">
        <f t="shared" si="41"/>
        <v>11-26</v>
      </c>
      <c r="E1277" s="273" t="e">
        <f ca="1">_xludf.IFNA(VLOOKUP('Comp X - Kilter'!B1277,'Kilter Holds'!$P$37:$AB$662,11,0),0)</f>
        <v>#NAME?</v>
      </c>
      <c r="F1277" s="274"/>
      <c r="G1277" s="274" t="e">
        <f t="shared" ref="G1277:G1531" ca="1" si="42">E1277*F1277</f>
        <v>#NAME?</v>
      </c>
      <c r="H1277" s="274">
        <f t="shared" ref="H1277:H1531" si="43">IF($S$11="Y",G1277*0.15,0)</f>
        <v>0</v>
      </c>
      <c r="K1277" s="274"/>
    </row>
    <row r="1278" spans="2:11" ht="13.5" customHeight="1">
      <c r="B1278" s="1" t="s">
        <v>2065</v>
      </c>
      <c r="C1278" s="1" t="s">
        <v>3409</v>
      </c>
      <c r="D1278" s="415" t="str">
        <f t="shared" si="41"/>
        <v>18-01</v>
      </c>
      <c r="E1278" s="273" t="e">
        <f ca="1">_xludf.IFNA(VLOOKUP('Comp X - Kilter'!B1278,'Kilter Holds'!$P$37:$AB$662,12,0),0)</f>
        <v>#NAME?</v>
      </c>
      <c r="F1278" s="274"/>
      <c r="G1278" s="274" t="e">
        <f t="shared" ca="1" si="42"/>
        <v>#NAME?</v>
      </c>
      <c r="H1278" s="274">
        <f t="shared" si="43"/>
        <v>0</v>
      </c>
      <c r="K1278" s="274"/>
    </row>
    <row r="1279" spans="2:11" ht="13.5" customHeight="1">
      <c r="B1279" s="1" t="s">
        <v>2065</v>
      </c>
      <c r="C1279" s="1" t="s">
        <v>3409</v>
      </c>
      <c r="D1279" s="416" t="str">
        <f t="shared" si="41"/>
        <v>Color Code</v>
      </c>
      <c r="E1279" s="273" t="e">
        <f ca="1">_xludf.IFNA(VLOOKUP('Comp X - Kilter'!B1279,'Kilter Holds'!$P$37:$AB$662,13,0),0)</f>
        <v>#NAME?</v>
      </c>
      <c r="F1279" s="274"/>
      <c r="G1279" s="274" t="e">
        <f t="shared" ca="1" si="42"/>
        <v>#NAME?</v>
      </c>
      <c r="H1279" s="274">
        <f t="shared" si="43"/>
        <v>0</v>
      </c>
      <c r="K1279" s="274"/>
    </row>
    <row r="1280" spans="2:11" ht="13.5" customHeight="1">
      <c r="B1280" s="1" t="s">
        <v>2066</v>
      </c>
      <c r="C1280" s="1" t="s">
        <v>3410</v>
      </c>
      <c r="D1280" s="406" t="str">
        <f t="shared" si="41"/>
        <v>11-12</v>
      </c>
      <c r="E1280" s="273" t="e">
        <f ca="1">_xludf.IFNA(VLOOKUP('Comp X - Kilter'!B1280,'Kilter Holds'!$P$37:$AB$662,5,0),0)</f>
        <v>#NAME?</v>
      </c>
      <c r="F1280" s="274"/>
      <c r="G1280" s="274" t="e">
        <f t="shared" ca="1" si="42"/>
        <v>#NAME?</v>
      </c>
      <c r="H1280" s="274">
        <f t="shared" si="43"/>
        <v>0</v>
      </c>
      <c r="K1280" s="274"/>
    </row>
    <row r="1281" spans="2:11" ht="13.5" customHeight="1">
      <c r="B1281" s="1" t="s">
        <v>2066</v>
      </c>
      <c r="C1281" s="1" t="s">
        <v>3410</v>
      </c>
      <c r="D1281" s="408" t="str">
        <f t="shared" si="41"/>
        <v>14-01</v>
      </c>
      <c r="E1281" s="273" t="e">
        <f ca="1">_xludf.IFNA(VLOOKUP('Comp X - Kilter'!B1281,'Kilter Holds'!$P$37:$AB$662,6,0),0)</f>
        <v>#NAME?</v>
      </c>
      <c r="F1281" s="274"/>
      <c r="G1281" s="274" t="e">
        <f t="shared" ca="1" si="42"/>
        <v>#NAME?</v>
      </c>
      <c r="H1281" s="274">
        <f t="shared" si="43"/>
        <v>0</v>
      </c>
      <c r="K1281" s="274"/>
    </row>
    <row r="1282" spans="2:11" ht="13.5" customHeight="1">
      <c r="B1282" s="1" t="s">
        <v>2066</v>
      </c>
      <c r="C1282" s="1" t="s">
        <v>3410</v>
      </c>
      <c r="D1282" s="409" t="str">
        <f t="shared" si="41"/>
        <v>15-12</v>
      </c>
      <c r="E1282" s="273" t="e">
        <f ca="1">_xludf.IFNA(VLOOKUP('Comp X - Kilter'!B1282,'Kilter Holds'!$P$37:$AB$662,7,0),0)</f>
        <v>#NAME?</v>
      </c>
      <c r="F1282" s="274"/>
      <c r="G1282" s="274" t="e">
        <f t="shared" ca="1" si="42"/>
        <v>#NAME?</v>
      </c>
      <c r="H1282" s="274">
        <f t="shared" si="43"/>
        <v>0</v>
      </c>
      <c r="K1282" s="274"/>
    </row>
    <row r="1283" spans="2:11" ht="13.5" customHeight="1">
      <c r="B1283" s="1" t="s">
        <v>2066</v>
      </c>
      <c r="C1283" s="1" t="s">
        <v>3410</v>
      </c>
      <c r="D1283" s="410" t="str">
        <f t="shared" si="41"/>
        <v>16-16</v>
      </c>
      <c r="E1283" s="273" t="e">
        <f ca="1">_xludf.IFNA(VLOOKUP('Comp X - Kilter'!B1283,'Kilter Holds'!$P$37:$AB$662,8,0),0)</f>
        <v>#NAME?</v>
      </c>
      <c r="F1283" s="274"/>
      <c r="G1283" s="274" t="e">
        <f t="shared" ca="1" si="42"/>
        <v>#NAME?</v>
      </c>
      <c r="H1283" s="274">
        <f t="shared" si="43"/>
        <v>0</v>
      </c>
      <c r="K1283" s="274"/>
    </row>
    <row r="1284" spans="2:11" ht="13.5" customHeight="1">
      <c r="B1284" s="1" t="s">
        <v>2066</v>
      </c>
      <c r="C1284" s="1" t="s">
        <v>3410</v>
      </c>
      <c r="D1284" s="411" t="str">
        <f t="shared" si="41"/>
        <v>13-01</v>
      </c>
      <c r="E1284" s="273" t="e">
        <f ca="1">_xludf.IFNA(VLOOKUP('Comp X - Kilter'!B1284,'Kilter Holds'!$P$37:$AB$662,9,0),0)</f>
        <v>#NAME?</v>
      </c>
      <c r="F1284" s="274"/>
      <c r="G1284" s="274" t="e">
        <f t="shared" ca="1" si="42"/>
        <v>#NAME?</v>
      </c>
      <c r="H1284" s="274">
        <f t="shared" si="43"/>
        <v>0</v>
      </c>
      <c r="K1284" s="274"/>
    </row>
    <row r="1285" spans="2:11" ht="13.5" customHeight="1">
      <c r="B1285" s="1" t="s">
        <v>2066</v>
      </c>
      <c r="C1285" s="1" t="s">
        <v>3410</v>
      </c>
      <c r="D1285" s="413" t="str">
        <f t="shared" si="41"/>
        <v>07-13</v>
      </c>
      <c r="E1285" s="273" t="e">
        <f ca="1">_xludf.IFNA(VLOOKUP('Comp X - Kilter'!B1285,'Kilter Holds'!$P$37:$AB$662,10,0),0)</f>
        <v>#NAME?</v>
      </c>
      <c r="F1285" s="274"/>
      <c r="G1285" s="274" t="e">
        <f t="shared" ca="1" si="42"/>
        <v>#NAME?</v>
      </c>
      <c r="H1285" s="274">
        <f t="shared" si="43"/>
        <v>0</v>
      </c>
      <c r="K1285" s="274"/>
    </row>
    <row r="1286" spans="2:11" ht="13.5" customHeight="1">
      <c r="B1286" s="1" t="s">
        <v>2066</v>
      </c>
      <c r="C1286" s="1" t="s">
        <v>3410</v>
      </c>
      <c r="D1286" s="414" t="str">
        <f t="shared" si="41"/>
        <v>11-26</v>
      </c>
      <c r="E1286" s="273" t="e">
        <f ca="1">_xludf.IFNA(VLOOKUP('Comp X - Kilter'!B1286,'Kilter Holds'!$P$37:$AB$662,11,0),0)</f>
        <v>#NAME?</v>
      </c>
      <c r="F1286" s="274"/>
      <c r="G1286" s="274" t="e">
        <f t="shared" ca="1" si="42"/>
        <v>#NAME?</v>
      </c>
      <c r="H1286" s="274">
        <f t="shared" si="43"/>
        <v>0</v>
      </c>
      <c r="K1286" s="274"/>
    </row>
    <row r="1287" spans="2:11" ht="13.5" customHeight="1">
      <c r="B1287" s="1" t="s">
        <v>2066</v>
      </c>
      <c r="C1287" s="1" t="s">
        <v>3410</v>
      </c>
      <c r="D1287" s="415" t="str">
        <f t="shared" si="41"/>
        <v>18-01</v>
      </c>
      <c r="E1287" s="273" t="e">
        <f ca="1">_xludf.IFNA(VLOOKUP('Comp X - Kilter'!B1287,'Kilter Holds'!$P$37:$AB$662,12,0),0)</f>
        <v>#NAME?</v>
      </c>
      <c r="F1287" s="274"/>
      <c r="G1287" s="274" t="e">
        <f t="shared" ca="1" si="42"/>
        <v>#NAME?</v>
      </c>
      <c r="H1287" s="274">
        <f t="shared" si="43"/>
        <v>0</v>
      </c>
      <c r="K1287" s="274"/>
    </row>
    <row r="1288" spans="2:11" ht="13.5" customHeight="1">
      <c r="B1288" s="1" t="s">
        <v>2066</v>
      </c>
      <c r="C1288" s="1" t="s">
        <v>3410</v>
      </c>
      <c r="D1288" s="416" t="str">
        <f t="shared" si="41"/>
        <v>Color Code</v>
      </c>
      <c r="E1288" s="273" t="e">
        <f ca="1">_xludf.IFNA(VLOOKUP('Comp X - Kilter'!B1288,'Kilter Holds'!$P$37:$AB$662,13,0),0)</f>
        <v>#NAME?</v>
      </c>
      <c r="F1288" s="274"/>
      <c r="G1288" s="274" t="e">
        <f t="shared" ca="1" si="42"/>
        <v>#NAME?</v>
      </c>
      <c r="H1288" s="274">
        <f t="shared" si="43"/>
        <v>0</v>
      </c>
      <c r="K1288" s="274"/>
    </row>
    <row r="1289" spans="2:11" ht="13.5" customHeight="1">
      <c r="B1289" s="1" t="s">
        <v>2067</v>
      </c>
      <c r="C1289" s="1" t="s">
        <v>3411</v>
      </c>
      <c r="D1289" s="406" t="str">
        <f t="shared" si="41"/>
        <v>11-12</v>
      </c>
      <c r="E1289" s="273" t="e">
        <f ca="1">_xludf.IFNA(VLOOKUP('Comp X - Kilter'!B1289,'Kilter Holds'!$P$37:$AB$662,5,0),0)</f>
        <v>#NAME?</v>
      </c>
      <c r="F1289" s="274"/>
      <c r="G1289" s="274" t="e">
        <f t="shared" ca="1" si="42"/>
        <v>#NAME?</v>
      </c>
      <c r="H1289" s="274">
        <f t="shared" si="43"/>
        <v>0</v>
      </c>
      <c r="K1289" s="274"/>
    </row>
    <row r="1290" spans="2:11" ht="13.5" customHeight="1">
      <c r="B1290" s="1" t="s">
        <v>2067</v>
      </c>
      <c r="C1290" s="1" t="s">
        <v>3411</v>
      </c>
      <c r="D1290" s="408" t="str">
        <f t="shared" si="41"/>
        <v>14-01</v>
      </c>
      <c r="E1290" s="273" t="e">
        <f ca="1">_xludf.IFNA(VLOOKUP('Comp X - Kilter'!B1290,'Kilter Holds'!$P$37:$AB$662,6,0),0)</f>
        <v>#NAME?</v>
      </c>
      <c r="F1290" s="274"/>
      <c r="G1290" s="274" t="e">
        <f t="shared" ca="1" si="42"/>
        <v>#NAME?</v>
      </c>
      <c r="H1290" s="274">
        <f t="shared" si="43"/>
        <v>0</v>
      </c>
      <c r="K1290" s="274"/>
    </row>
    <row r="1291" spans="2:11" ht="13.5" customHeight="1">
      <c r="B1291" s="1" t="s">
        <v>2067</v>
      </c>
      <c r="C1291" s="1" t="s">
        <v>3411</v>
      </c>
      <c r="D1291" s="409" t="str">
        <f t="shared" si="41"/>
        <v>15-12</v>
      </c>
      <c r="E1291" s="273" t="e">
        <f ca="1">_xludf.IFNA(VLOOKUP('Comp X - Kilter'!B1291,'Kilter Holds'!$P$37:$AB$662,7,0),0)</f>
        <v>#NAME?</v>
      </c>
      <c r="F1291" s="274"/>
      <c r="G1291" s="274" t="e">
        <f t="shared" ca="1" si="42"/>
        <v>#NAME?</v>
      </c>
      <c r="H1291" s="274">
        <f t="shared" si="43"/>
        <v>0</v>
      </c>
      <c r="K1291" s="274"/>
    </row>
    <row r="1292" spans="2:11" ht="13.5" customHeight="1">
      <c r="B1292" s="1" t="s">
        <v>2067</v>
      </c>
      <c r="C1292" s="1" t="s">
        <v>3411</v>
      </c>
      <c r="D1292" s="410" t="str">
        <f t="shared" si="41"/>
        <v>16-16</v>
      </c>
      <c r="E1292" s="273" t="e">
        <f ca="1">_xludf.IFNA(VLOOKUP('Comp X - Kilter'!B1292,'Kilter Holds'!$P$37:$AB$662,8,0),0)</f>
        <v>#NAME?</v>
      </c>
      <c r="F1292" s="274"/>
      <c r="G1292" s="274" t="e">
        <f t="shared" ca="1" si="42"/>
        <v>#NAME?</v>
      </c>
      <c r="H1292" s="274">
        <f t="shared" si="43"/>
        <v>0</v>
      </c>
      <c r="K1292" s="274"/>
    </row>
    <row r="1293" spans="2:11" ht="13.5" customHeight="1">
      <c r="B1293" s="1" t="s">
        <v>2067</v>
      </c>
      <c r="C1293" s="1" t="s">
        <v>3411</v>
      </c>
      <c r="D1293" s="411" t="str">
        <f t="shared" si="41"/>
        <v>13-01</v>
      </c>
      <c r="E1293" s="273" t="e">
        <f ca="1">_xludf.IFNA(VLOOKUP('Comp X - Kilter'!B1293,'Kilter Holds'!$P$37:$AB$662,9,0),0)</f>
        <v>#NAME?</v>
      </c>
      <c r="F1293" s="274"/>
      <c r="G1293" s="274" t="e">
        <f t="shared" ca="1" si="42"/>
        <v>#NAME?</v>
      </c>
      <c r="H1293" s="274">
        <f t="shared" si="43"/>
        <v>0</v>
      </c>
      <c r="K1293" s="274"/>
    </row>
    <row r="1294" spans="2:11" ht="13.5" customHeight="1">
      <c r="B1294" s="1" t="s">
        <v>2067</v>
      </c>
      <c r="C1294" s="1" t="s">
        <v>3411</v>
      </c>
      <c r="D1294" s="413" t="str">
        <f t="shared" si="41"/>
        <v>07-13</v>
      </c>
      <c r="E1294" s="273" t="e">
        <f ca="1">_xludf.IFNA(VLOOKUP('Comp X - Kilter'!B1294,'Kilter Holds'!$P$37:$AB$662,10,0),0)</f>
        <v>#NAME?</v>
      </c>
      <c r="F1294" s="274"/>
      <c r="G1294" s="274" t="e">
        <f t="shared" ca="1" si="42"/>
        <v>#NAME?</v>
      </c>
      <c r="H1294" s="274">
        <f t="shared" si="43"/>
        <v>0</v>
      </c>
      <c r="K1294" s="274"/>
    </row>
    <row r="1295" spans="2:11" ht="13.5" customHeight="1">
      <c r="B1295" s="1" t="s">
        <v>2067</v>
      </c>
      <c r="C1295" s="1" t="s">
        <v>3411</v>
      </c>
      <c r="D1295" s="414" t="str">
        <f t="shared" si="41"/>
        <v>11-26</v>
      </c>
      <c r="E1295" s="273" t="e">
        <f ca="1">_xludf.IFNA(VLOOKUP('Comp X - Kilter'!B1295,'Kilter Holds'!$P$37:$AB$662,11,0),0)</f>
        <v>#NAME?</v>
      </c>
      <c r="F1295" s="274"/>
      <c r="G1295" s="274" t="e">
        <f t="shared" ca="1" si="42"/>
        <v>#NAME?</v>
      </c>
      <c r="H1295" s="274">
        <f t="shared" si="43"/>
        <v>0</v>
      </c>
      <c r="K1295" s="274"/>
    </row>
    <row r="1296" spans="2:11" ht="13.5" customHeight="1">
      <c r="B1296" s="1" t="s">
        <v>2067</v>
      </c>
      <c r="C1296" s="1" t="s">
        <v>3411</v>
      </c>
      <c r="D1296" s="415" t="str">
        <f t="shared" si="41"/>
        <v>18-01</v>
      </c>
      <c r="E1296" s="273" t="e">
        <f ca="1">_xludf.IFNA(VLOOKUP('Comp X - Kilter'!B1296,'Kilter Holds'!$P$37:$AB$662,12,0),0)</f>
        <v>#NAME?</v>
      </c>
      <c r="F1296" s="274"/>
      <c r="G1296" s="274" t="e">
        <f t="shared" ca="1" si="42"/>
        <v>#NAME?</v>
      </c>
      <c r="H1296" s="274">
        <f t="shared" si="43"/>
        <v>0</v>
      </c>
      <c r="K1296" s="274"/>
    </row>
    <row r="1297" spans="2:11" ht="13.5" customHeight="1">
      <c r="B1297" s="1" t="s">
        <v>2067</v>
      </c>
      <c r="C1297" s="1" t="s">
        <v>3411</v>
      </c>
      <c r="D1297" s="416" t="str">
        <f t="shared" si="41"/>
        <v>Color Code</v>
      </c>
      <c r="E1297" s="273" t="e">
        <f ca="1">_xludf.IFNA(VLOOKUP('Comp X - Kilter'!B1297,'Kilter Holds'!$P$37:$AB$662,13,0),0)</f>
        <v>#NAME?</v>
      </c>
      <c r="F1297" s="274"/>
      <c r="G1297" s="274" t="e">
        <f t="shared" ca="1" si="42"/>
        <v>#NAME?</v>
      </c>
      <c r="H1297" s="274">
        <f t="shared" si="43"/>
        <v>0</v>
      </c>
      <c r="K1297" s="274"/>
    </row>
    <row r="1298" spans="2:11" ht="13.5" customHeight="1">
      <c r="B1298" s="1" t="s">
        <v>2068</v>
      </c>
      <c r="C1298" s="1" t="s">
        <v>3412</v>
      </c>
      <c r="D1298" s="406" t="str">
        <f t="shared" si="41"/>
        <v>11-12</v>
      </c>
      <c r="E1298" s="273" t="e">
        <f ca="1">_xludf.IFNA(VLOOKUP('Comp X - Kilter'!B1298,'Kilter Holds'!$P$37:$AB$662,5,0),0)</f>
        <v>#NAME?</v>
      </c>
      <c r="F1298" s="274"/>
      <c r="G1298" s="274" t="e">
        <f t="shared" ca="1" si="42"/>
        <v>#NAME?</v>
      </c>
      <c r="H1298" s="274">
        <f t="shared" si="43"/>
        <v>0</v>
      </c>
      <c r="K1298" s="274"/>
    </row>
    <row r="1299" spans="2:11" ht="13.5" customHeight="1">
      <c r="B1299" s="1" t="s">
        <v>2068</v>
      </c>
      <c r="C1299" s="1" t="s">
        <v>3412</v>
      </c>
      <c r="D1299" s="408" t="str">
        <f t="shared" si="41"/>
        <v>14-01</v>
      </c>
      <c r="E1299" s="273" t="e">
        <f ca="1">_xludf.IFNA(VLOOKUP('Comp X - Kilter'!B1299,'Kilter Holds'!$P$37:$AB$662,6,0),0)</f>
        <v>#NAME?</v>
      </c>
      <c r="F1299" s="274"/>
      <c r="G1299" s="274" t="e">
        <f t="shared" ca="1" si="42"/>
        <v>#NAME?</v>
      </c>
      <c r="H1299" s="274">
        <f t="shared" si="43"/>
        <v>0</v>
      </c>
      <c r="K1299" s="274"/>
    </row>
    <row r="1300" spans="2:11" ht="13.5" customHeight="1">
      <c r="B1300" s="1" t="s">
        <v>2068</v>
      </c>
      <c r="C1300" s="1" t="s">
        <v>3412</v>
      </c>
      <c r="D1300" s="409" t="str">
        <f t="shared" si="41"/>
        <v>15-12</v>
      </c>
      <c r="E1300" s="273" t="e">
        <f ca="1">_xludf.IFNA(VLOOKUP('Comp X - Kilter'!B1300,'Kilter Holds'!$P$37:$AB$662,7,0),0)</f>
        <v>#NAME?</v>
      </c>
      <c r="F1300" s="274"/>
      <c r="G1300" s="274" t="e">
        <f t="shared" ca="1" si="42"/>
        <v>#NAME?</v>
      </c>
      <c r="H1300" s="274">
        <f t="shared" si="43"/>
        <v>0</v>
      </c>
      <c r="K1300" s="274"/>
    </row>
    <row r="1301" spans="2:11" ht="13.5" customHeight="1">
      <c r="B1301" s="1" t="s">
        <v>2068</v>
      </c>
      <c r="C1301" s="1" t="s">
        <v>3412</v>
      </c>
      <c r="D1301" s="410" t="str">
        <f t="shared" si="41"/>
        <v>16-16</v>
      </c>
      <c r="E1301" s="273" t="e">
        <f ca="1">_xludf.IFNA(VLOOKUP('Comp X - Kilter'!B1301,'Kilter Holds'!$P$37:$AB$662,8,0),0)</f>
        <v>#NAME?</v>
      </c>
      <c r="F1301" s="274"/>
      <c r="G1301" s="274" t="e">
        <f t="shared" ca="1" si="42"/>
        <v>#NAME?</v>
      </c>
      <c r="H1301" s="274">
        <f t="shared" si="43"/>
        <v>0</v>
      </c>
      <c r="K1301" s="274"/>
    </row>
    <row r="1302" spans="2:11" ht="13.5" customHeight="1">
      <c r="B1302" s="1" t="s">
        <v>2068</v>
      </c>
      <c r="C1302" s="1" t="s">
        <v>3412</v>
      </c>
      <c r="D1302" s="411" t="str">
        <f t="shared" si="41"/>
        <v>13-01</v>
      </c>
      <c r="E1302" s="273" t="e">
        <f ca="1">_xludf.IFNA(VLOOKUP('Comp X - Kilter'!B1302,'Kilter Holds'!$P$37:$AB$662,9,0),0)</f>
        <v>#NAME?</v>
      </c>
      <c r="F1302" s="274"/>
      <c r="G1302" s="274" t="e">
        <f t="shared" ca="1" si="42"/>
        <v>#NAME?</v>
      </c>
      <c r="H1302" s="274">
        <f t="shared" si="43"/>
        <v>0</v>
      </c>
      <c r="K1302" s="274"/>
    </row>
    <row r="1303" spans="2:11" ht="13.5" customHeight="1">
      <c r="B1303" s="1" t="s">
        <v>2068</v>
      </c>
      <c r="C1303" s="1" t="s">
        <v>3412</v>
      </c>
      <c r="D1303" s="413" t="str">
        <f t="shared" si="41"/>
        <v>07-13</v>
      </c>
      <c r="E1303" s="273" t="e">
        <f ca="1">_xludf.IFNA(VLOOKUP('Comp X - Kilter'!B1303,'Kilter Holds'!$P$37:$AB$662,10,0),0)</f>
        <v>#NAME?</v>
      </c>
      <c r="F1303" s="274"/>
      <c r="G1303" s="274" t="e">
        <f t="shared" ca="1" si="42"/>
        <v>#NAME?</v>
      </c>
      <c r="H1303" s="274">
        <f t="shared" si="43"/>
        <v>0</v>
      </c>
      <c r="K1303" s="274"/>
    </row>
    <row r="1304" spans="2:11" ht="13.5" customHeight="1">
      <c r="B1304" s="1" t="s">
        <v>2068</v>
      </c>
      <c r="C1304" s="1" t="s">
        <v>3412</v>
      </c>
      <c r="D1304" s="414" t="str">
        <f t="shared" si="41"/>
        <v>11-26</v>
      </c>
      <c r="E1304" s="273" t="e">
        <f ca="1">_xludf.IFNA(VLOOKUP('Comp X - Kilter'!B1304,'Kilter Holds'!$P$37:$AB$662,11,0),0)</f>
        <v>#NAME?</v>
      </c>
      <c r="F1304" s="274"/>
      <c r="G1304" s="274" t="e">
        <f t="shared" ca="1" si="42"/>
        <v>#NAME?</v>
      </c>
      <c r="H1304" s="274">
        <f t="shared" si="43"/>
        <v>0</v>
      </c>
      <c r="K1304" s="274"/>
    </row>
    <row r="1305" spans="2:11" ht="13.5" customHeight="1">
      <c r="B1305" s="1" t="s">
        <v>2068</v>
      </c>
      <c r="C1305" s="1" t="s">
        <v>3412</v>
      </c>
      <c r="D1305" s="415" t="str">
        <f t="shared" si="41"/>
        <v>18-01</v>
      </c>
      <c r="E1305" s="273" t="e">
        <f ca="1">_xludf.IFNA(VLOOKUP('Comp X - Kilter'!B1305,'Kilter Holds'!$P$37:$AB$662,12,0),0)</f>
        <v>#NAME?</v>
      </c>
      <c r="F1305" s="274"/>
      <c r="G1305" s="274" t="e">
        <f t="shared" ca="1" si="42"/>
        <v>#NAME?</v>
      </c>
      <c r="H1305" s="274">
        <f t="shared" si="43"/>
        <v>0</v>
      </c>
      <c r="K1305" s="274"/>
    </row>
    <row r="1306" spans="2:11" ht="13.5" customHeight="1">
      <c r="B1306" s="1" t="s">
        <v>2068</v>
      </c>
      <c r="C1306" s="1" t="s">
        <v>3412</v>
      </c>
      <c r="D1306" s="416" t="str">
        <f t="shared" si="41"/>
        <v>Color Code</v>
      </c>
      <c r="E1306" s="273" t="e">
        <f ca="1">_xludf.IFNA(VLOOKUP('Comp X - Kilter'!B1306,'Kilter Holds'!$P$37:$AB$662,13,0),0)</f>
        <v>#NAME?</v>
      </c>
      <c r="F1306" s="274"/>
      <c r="G1306" s="274" t="e">
        <f t="shared" ca="1" si="42"/>
        <v>#NAME?</v>
      </c>
      <c r="H1306" s="274">
        <f t="shared" si="43"/>
        <v>0</v>
      </c>
      <c r="K1306" s="274"/>
    </row>
    <row r="1307" spans="2:11" ht="13.5" customHeight="1">
      <c r="B1307" s="1" t="s">
        <v>2069</v>
      </c>
      <c r="C1307" s="1" t="s">
        <v>3413</v>
      </c>
      <c r="D1307" s="406" t="str">
        <f t="shared" si="41"/>
        <v>11-12</v>
      </c>
      <c r="E1307" s="273" t="e">
        <f ca="1">_xludf.IFNA(VLOOKUP('Comp X - Kilter'!B1307,'Kilter Holds'!$P$37:$AB$662,5,0),0)</f>
        <v>#NAME?</v>
      </c>
      <c r="F1307" s="274"/>
      <c r="G1307" s="274" t="e">
        <f t="shared" ca="1" si="42"/>
        <v>#NAME?</v>
      </c>
      <c r="H1307" s="274">
        <f t="shared" si="43"/>
        <v>0</v>
      </c>
      <c r="K1307" s="274"/>
    </row>
    <row r="1308" spans="2:11" ht="13.5" customHeight="1">
      <c r="B1308" s="1" t="s">
        <v>2069</v>
      </c>
      <c r="C1308" s="1" t="s">
        <v>3413</v>
      </c>
      <c r="D1308" s="408" t="str">
        <f t="shared" si="41"/>
        <v>14-01</v>
      </c>
      <c r="E1308" s="273" t="e">
        <f ca="1">_xludf.IFNA(VLOOKUP('Comp X - Kilter'!B1308,'Kilter Holds'!$P$37:$AB$662,6,0),0)</f>
        <v>#NAME?</v>
      </c>
      <c r="F1308" s="274"/>
      <c r="G1308" s="274" t="e">
        <f t="shared" ca="1" si="42"/>
        <v>#NAME?</v>
      </c>
      <c r="H1308" s="274">
        <f t="shared" si="43"/>
        <v>0</v>
      </c>
      <c r="K1308" s="274"/>
    </row>
    <row r="1309" spans="2:11" ht="13.5" customHeight="1">
      <c r="B1309" s="1" t="s">
        <v>2069</v>
      </c>
      <c r="C1309" s="1" t="s">
        <v>3413</v>
      </c>
      <c r="D1309" s="409" t="str">
        <f t="shared" si="41"/>
        <v>15-12</v>
      </c>
      <c r="E1309" s="273" t="e">
        <f ca="1">_xludf.IFNA(VLOOKUP('Comp X - Kilter'!B1309,'Kilter Holds'!$P$37:$AB$662,7,0),0)</f>
        <v>#NAME?</v>
      </c>
      <c r="F1309" s="274"/>
      <c r="G1309" s="274" t="e">
        <f t="shared" ca="1" si="42"/>
        <v>#NAME?</v>
      </c>
      <c r="H1309" s="274">
        <f t="shared" si="43"/>
        <v>0</v>
      </c>
      <c r="K1309" s="274"/>
    </row>
    <row r="1310" spans="2:11" ht="13.5" customHeight="1">
      <c r="B1310" s="1" t="s">
        <v>2069</v>
      </c>
      <c r="C1310" s="1" t="s">
        <v>3413</v>
      </c>
      <c r="D1310" s="410" t="str">
        <f t="shared" si="41"/>
        <v>16-16</v>
      </c>
      <c r="E1310" s="273" t="e">
        <f ca="1">_xludf.IFNA(VLOOKUP('Comp X - Kilter'!B1310,'Kilter Holds'!$P$37:$AB$662,8,0),0)</f>
        <v>#NAME?</v>
      </c>
      <c r="F1310" s="274"/>
      <c r="G1310" s="274" t="e">
        <f t="shared" ca="1" si="42"/>
        <v>#NAME?</v>
      </c>
      <c r="H1310" s="274">
        <f t="shared" si="43"/>
        <v>0</v>
      </c>
      <c r="K1310" s="274"/>
    </row>
    <row r="1311" spans="2:11" ht="13.5" customHeight="1">
      <c r="B1311" s="1" t="s">
        <v>2069</v>
      </c>
      <c r="C1311" s="1" t="s">
        <v>3413</v>
      </c>
      <c r="D1311" s="411" t="str">
        <f t="shared" si="41"/>
        <v>13-01</v>
      </c>
      <c r="E1311" s="273" t="e">
        <f ca="1">_xludf.IFNA(VLOOKUP('Comp X - Kilter'!B1311,'Kilter Holds'!$P$37:$AB$662,9,0),0)</f>
        <v>#NAME?</v>
      </c>
      <c r="F1311" s="274"/>
      <c r="G1311" s="274" t="e">
        <f t="shared" ca="1" si="42"/>
        <v>#NAME?</v>
      </c>
      <c r="H1311" s="274">
        <f t="shared" si="43"/>
        <v>0</v>
      </c>
      <c r="K1311" s="274"/>
    </row>
    <row r="1312" spans="2:11" ht="13.5" customHeight="1">
      <c r="B1312" s="1" t="s">
        <v>2069</v>
      </c>
      <c r="C1312" s="1" t="s">
        <v>3413</v>
      </c>
      <c r="D1312" s="413" t="str">
        <f t="shared" si="41"/>
        <v>07-13</v>
      </c>
      <c r="E1312" s="273" t="e">
        <f ca="1">_xludf.IFNA(VLOOKUP('Comp X - Kilter'!B1312,'Kilter Holds'!$P$37:$AB$662,10,0),0)</f>
        <v>#NAME?</v>
      </c>
      <c r="F1312" s="274"/>
      <c r="G1312" s="274" t="e">
        <f t="shared" ca="1" si="42"/>
        <v>#NAME?</v>
      </c>
      <c r="H1312" s="274">
        <f t="shared" si="43"/>
        <v>0</v>
      </c>
      <c r="K1312" s="274"/>
    </row>
    <row r="1313" spans="2:11" ht="13.5" customHeight="1">
      <c r="B1313" s="1" t="s">
        <v>2069</v>
      </c>
      <c r="C1313" s="1" t="s">
        <v>3413</v>
      </c>
      <c r="D1313" s="414" t="str">
        <f t="shared" si="41"/>
        <v>11-26</v>
      </c>
      <c r="E1313" s="273" t="e">
        <f ca="1">_xludf.IFNA(VLOOKUP('Comp X - Kilter'!B1313,'Kilter Holds'!$P$37:$AB$662,11,0),0)</f>
        <v>#NAME?</v>
      </c>
      <c r="F1313" s="274"/>
      <c r="G1313" s="274" t="e">
        <f t="shared" ca="1" si="42"/>
        <v>#NAME?</v>
      </c>
      <c r="H1313" s="274">
        <f t="shared" si="43"/>
        <v>0</v>
      </c>
      <c r="K1313" s="274"/>
    </row>
    <row r="1314" spans="2:11" ht="13.5" customHeight="1">
      <c r="B1314" s="1" t="s">
        <v>2069</v>
      </c>
      <c r="C1314" s="1" t="s">
        <v>3413</v>
      </c>
      <c r="D1314" s="415" t="str">
        <f t="shared" si="41"/>
        <v>18-01</v>
      </c>
      <c r="E1314" s="273" t="e">
        <f ca="1">_xludf.IFNA(VLOOKUP('Comp X - Kilter'!B1314,'Kilter Holds'!$P$37:$AB$662,12,0),0)</f>
        <v>#NAME?</v>
      </c>
      <c r="F1314" s="274"/>
      <c r="G1314" s="274" t="e">
        <f t="shared" ca="1" si="42"/>
        <v>#NAME?</v>
      </c>
      <c r="H1314" s="274">
        <f t="shared" si="43"/>
        <v>0</v>
      </c>
      <c r="K1314" s="274"/>
    </row>
    <row r="1315" spans="2:11" ht="13.5" customHeight="1">
      <c r="B1315" s="1" t="s">
        <v>2069</v>
      </c>
      <c r="C1315" s="1" t="s">
        <v>3413</v>
      </c>
      <c r="D1315" s="416" t="str">
        <f t="shared" si="41"/>
        <v>Color Code</v>
      </c>
      <c r="E1315" s="273" t="e">
        <f ca="1">_xludf.IFNA(VLOOKUP('Comp X - Kilter'!B1315,'Kilter Holds'!$P$37:$AB$662,13,0),0)</f>
        <v>#NAME?</v>
      </c>
      <c r="F1315" s="274"/>
      <c r="G1315" s="274" t="e">
        <f t="shared" ca="1" si="42"/>
        <v>#NAME?</v>
      </c>
      <c r="H1315" s="274">
        <f t="shared" si="43"/>
        <v>0</v>
      </c>
      <c r="K1315" s="274"/>
    </row>
    <row r="1316" spans="2:11" ht="13.5" customHeight="1">
      <c r="B1316" s="1" t="s">
        <v>2049</v>
      </c>
      <c r="C1316" s="1" t="s">
        <v>3414</v>
      </c>
      <c r="D1316" s="406" t="str">
        <f t="shared" si="41"/>
        <v>11-12</v>
      </c>
      <c r="E1316" s="273" t="e">
        <f ca="1">_xludf.IFNA(VLOOKUP('Comp X - Kilter'!B1316,'Kilter Holds'!$P$37:$AB$662,5,0),0)</f>
        <v>#NAME?</v>
      </c>
      <c r="F1316" s="274"/>
      <c r="G1316" s="274" t="e">
        <f t="shared" ca="1" si="42"/>
        <v>#NAME?</v>
      </c>
      <c r="H1316" s="274">
        <f t="shared" si="43"/>
        <v>0</v>
      </c>
      <c r="K1316" s="274"/>
    </row>
    <row r="1317" spans="2:11" ht="13.5" customHeight="1">
      <c r="B1317" s="1" t="s">
        <v>2049</v>
      </c>
      <c r="C1317" s="1" t="s">
        <v>3414</v>
      </c>
      <c r="D1317" s="408" t="str">
        <f t="shared" si="41"/>
        <v>14-01</v>
      </c>
      <c r="E1317" s="273" t="e">
        <f ca="1">_xludf.IFNA(VLOOKUP('Comp X - Kilter'!B1317,'Kilter Holds'!$P$37:$AB$662,6,0),0)</f>
        <v>#NAME?</v>
      </c>
      <c r="F1317" s="274"/>
      <c r="G1317" s="274" t="e">
        <f t="shared" ca="1" si="42"/>
        <v>#NAME?</v>
      </c>
      <c r="H1317" s="274">
        <f t="shared" si="43"/>
        <v>0</v>
      </c>
      <c r="K1317" s="274"/>
    </row>
    <row r="1318" spans="2:11" ht="13.5" customHeight="1">
      <c r="B1318" s="1" t="s">
        <v>2049</v>
      </c>
      <c r="C1318" s="1" t="s">
        <v>3414</v>
      </c>
      <c r="D1318" s="409" t="str">
        <f t="shared" si="41"/>
        <v>15-12</v>
      </c>
      <c r="E1318" s="273" t="e">
        <f ca="1">_xludf.IFNA(VLOOKUP('Comp X - Kilter'!B1318,'Kilter Holds'!$P$37:$AB$662,7,0),0)</f>
        <v>#NAME?</v>
      </c>
      <c r="F1318" s="274"/>
      <c r="G1318" s="274" t="e">
        <f t="shared" ca="1" si="42"/>
        <v>#NAME?</v>
      </c>
      <c r="H1318" s="274">
        <f t="shared" si="43"/>
        <v>0</v>
      </c>
      <c r="K1318" s="274"/>
    </row>
    <row r="1319" spans="2:11" ht="13.5" customHeight="1">
      <c r="B1319" s="1" t="s">
        <v>2049</v>
      </c>
      <c r="C1319" s="1" t="s">
        <v>3414</v>
      </c>
      <c r="D1319" s="410" t="str">
        <f t="shared" si="41"/>
        <v>16-16</v>
      </c>
      <c r="E1319" s="273" t="e">
        <f ca="1">_xludf.IFNA(VLOOKUP('Comp X - Kilter'!B1319,'Kilter Holds'!$P$37:$AB$662,8,0),0)</f>
        <v>#NAME?</v>
      </c>
      <c r="F1319" s="274"/>
      <c r="G1319" s="274" t="e">
        <f t="shared" ca="1" si="42"/>
        <v>#NAME?</v>
      </c>
      <c r="H1319" s="274">
        <f t="shared" si="43"/>
        <v>0</v>
      </c>
      <c r="K1319" s="274"/>
    </row>
    <row r="1320" spans="2:11" ht="13.5" customHeight="1">
      <c r="B1320" s="1" t="s">
        <v>2049</v>
      </c>
      <c r="C1320" s="1" t="s">
        <v>3414</v>
      </c>
      <c r="D1320" s="411" t="str">
        <f t="shared" si="41"/>
        <v>13-01</v>
      </c>
      <c r="E1320" s="273" t="e">
        <f ca="1">_xludf.IFNA(VLOOKUP('Comp X - Kilter'!B1320,'Kilter Holds'!$P$37:$AB$662,9,0),0)</f>
        <v>#NAME?</v>
      </c>
      <c r="F1320" s="274"/>
      <c r="G1320" s="274" t="e">
        <f t="shared" ca="1" si="42"/>
        <v>#NAME?</v>
      </c>
      <c r="H1320" s="274">
        <f t="shared" si="43"/>
        <v>0</v>
      </c>
      <c r="K1320" s="274"/>
    </row>
    <row r="1321" spans="2:11" ht="13.5" customHeight="1">
      <c r="B1321" s="1" t="s">
        <v>2049</v>
      </c>
      <c r="C1321" s="1" t="s">
        <v>3414</v>
      </c>
      <c r="D1321" s="413" t="str">
        <f t="shared" si="41"/>
        <v>07-13</v>
      </c>
      <c r="E1321" s="273" t="e">
        <f ca="1">_xludf.IFNA(VLOOKUP('Comp X - Kilter'!B1321,'Kilter Holds'!$P$37:$AB$662,10,0),0)</f>
        <v>#NAME?</v>
      </c>
      <c r="F1321" s="274"/>
      <c r="G1321" s="274" t="e">
        <f t="shared" ca="1" si="42"/>
        <v>#NAME?</v>
      </c>
      <c r="H1321" s="274">
        <f t="shared" si="43"/>
        <v>0</v>
      </c>
      <c r="K1321" s="274"/>
    </row>
    <row r="1322" spans="2:11" ht="13.5" customHeight="1">
      <c r="B1322" s="1" t="s">
        <v>2049</v>
      </c>
      <c r="C1322" s="1" t="s">
        <v>3414</v>
      </c>
      <c r="D1322" s="414" t="str">
        <f t="shared" si="41"/>
        <v>11-26</v>
      </c>
      <c r="E1322" s="273" t="e">
        <f ca="1">_xludf.IFNA(VLOOKUP('Comp X - Kilter'!B1322,'Kilter Holds'!$P$37:$AB$662,11,0),0)</f>
        <v>#NAME?</v>
      </c>
      <c r="F1322" s="274"/>
      <c r="G1322" s="274" t="e">
        <f t="shared" ca="1" si="42"/>
        <v>#NAME?</v>
      </c>
      <c r="H1322" s="274">
        <f t="shared" si="43"/>
        <v>0</v>
      </c>
      <c r="K1322" s="274"/>
    </row>
    <row r="1323" spans="2:11" ht="13.5" customHeight="1">
      <c r="B1323" s="1" t="s">
        <v>2049</v>
      </c>
      <c r="C1323" s="1" t="s">
        <v>3414</v>
      </c>
      <c r="D1323" s="415" t="str">
        <f t="shared" si="41"/>
        <v>18-01</v>
      </c>
      <c r="E1323" s="273" t="e">
        <f ca="1">_xludf.IFNA(VLOOKUP('Comp X - Kilter'!B1323,'Kilter Holds'!$P$37:$AB$662,12,0),0)</f>
        <v>#NAME?</v>
      </c>
      <c r="F1323" s="274"/>
      <c r="G1323" s="274" t="e">
        <f t="shared" ca="1" si="42"/>
        <v>#NAME?</v>
      </c>
      <c r="H1323" s="274">
        <f t="shared" si="43"/>
        <v>0</v>
      </c>
      <c r="K1323" s="274"/>
    </row>
    <row r="1324" spans="2:11" ht="13.5" customHeight="1">
      <c r="B1324" s="1" t="s">
        <v>2049</v>
      </c>
      <c r="C1324" s="1" t="s">
        <v>3414</v>
      </c>
      <c r="D1324" s="416" t="str">
        <f t="shared" si="41"/>
        <v>Color Code</v>
      </c>
      <c r="E1324" s="273" t="e">
        <f ca="1">_xludf.IFNA(VLOOKUP('Comp X - Kilter'!B1324,'Kilter Holds'!$P$37:$AB$662,13,0),0)</f>
        <v>#NAME?</v>
      </c>
      <c r="F1324" s="274"/>
      <c r="G1324" s="274" t="e">
        <f t="shared" ca="1" si="42"/>
        <v>#NAME?</v>
      </c>
      <c r="H1324" s="274">
        <f t="shared" si="43"/>
        <v>0</v>
      </c>
      <c r="K1324" s="274"/>
    </row>
    <row r="1325" spans="2:11" ht="13.5" customHeight="1">
      <c r="B1325" s="1" t="s">
        <v>2053</v>
      </c>
      <c r="C1325" s="1" t="s">
        <v>3415</v>
      </c>
      <c r="D1325" s="406" t="str">
        <f t="shared" si="41"/>
        <v>11-12</v>
      </c>
      <c r="E1325" s="273" t="e">
        <f ca="1">_xludf.IFNA(VLOOKUP('Comp X - Kilter'!B1325,'Kilter Holds'!$P$37:$AB$662,5,0),0)</f>
        <v>#NAME?</v>
      </c>
      <c r="F1325" s="274"/>
      <c r="G1325" s="274" t="e">
        <f t="shared" ca="1" si="42"/>
        <v>#NAME?</v>
      </c>
      <c r="H1325" s="274">
        <f t="shared" si="43"/>
        <v>0</v>
      </c>
      <c r="K1325" s="274"/>
    </row>
    <row r="1326" spans="2:11" ht="13.5" customHeight="1">
      <c r="B1326" s="1" t="s">
        <v>2053</v>
      </c>
      <c r="C1326" s="1" t="s">
        <v>3415</v>
      </c>
      <c r="D1326" s="408" t="str">
        <f t="shared" si="41"/>
        <v>14-01</v>
      </c>
      <c r="E1326" s="273" t="e">
        <f ca="1">_xludf.IFNA(VLOOKUP('Comp X - Kilter'!B1326,'Kilter Holds'!$P$37:$AB$662,6,0),0)</f>
        <v>#NAME?</v>
      </c>
      <c r="F1326" s="274"/>
      <c r="G1326" s="274" t="e">
        <f t="shared" ca="1" si="42"/>
        <v>#NAME?</v>
      </c>
      <c r="H1326" s="274">
        <f t="shared" si="43"/>
        <v>0</v>
      </c>
      <c r="K1326" s="274"/>
    </row>
    <row r="1327" spans="2:11" ht="13.5" customHeight="1">
      <c r="B1327" s="1" t="s">
        <v>2053</v>
      </c>
      <c r="C1327" s="1" t="s">
        <v>3415</v>
      </c>
      <c r="D1327" s="409" t="str">
        <f t="shared" si="41"/>
        <v>15-12</v>
      </c>
      <c r="E1327" s="273" t="e">
        <f ca="1">_xludf.IFNA(VLOOKUP('Comp X - Kilter'!B1327,'Kilter Holds'!$P$37:$AB$662,7,0),0)</f>
        <v>#NAME?</v>
      </c>
      <c r="F1327" s="274"/>
      <c r="G1327" s="274" t="e">
        <f t="shared" ca="1" si="42"/>
        <v>#NAME?</v>
      </c>
      <c r="H1327" s="274">
        <f t="shared" si="43"/>
        <v>0</v>
      </c>
      <c r="K1327" s="274"/>
    </row>
    <row r="1328" spans="2:11" ht="13.5" customHeight="1">
      <c r="B1328" s="1" t="s">
        <v>2053</v>
      </c>
      <c r="C1328" s="1" t="s">
        <v>3415</v>
      </c>
      <c r="D1328" s="410" t="str">
        <f t="shared" si="41"/>
        <v>16-16</v>
      </c>
      <c r="E1328" s="273" t="e">
        <f ca="1">_xludf.IFNA(VLOOKUP('Comp X - Kilter'!B1328,'Kilter Holds'!$P$37:$AB$662,8,0),0)</f>
        <v>#NAME?</v>
      </c>
      <c r="F1328" s="274"/>
      <c r="G1328" s="274" t="e">
        <f t="shared" ca="1" si="42"/>
        <v>#NAME?</v>
      </c>
      <c r="H1328" s="274">
        <f t="shared" si="43"/>
        <v>0</v>
      </c>
      <c r="K1328" s="274"/>
    </row>
    <row r="1329" spans="2:11" ht="13.5" customHeight="1">
      <c r="B1329" s="1" t="s">
        <v>2053</v>
      </c>
      <c r="C1329" s="1" t="s">
        <v>3415</v>
      </c>
      <c r="D1329" s="411" t="str">
        <f t="shared" si="41"/>
        <v>13-01</v>
      </c>
      <c r="E1329" s="273" t="e">
        <f ca="1">_xludf.IFNA(VLOOKUP('Comp X - Kilter'!B1329,'Kilter Holds'!$P$37:$AB$662,9,0),0)</f>
        <v>#NAME?</v>
      </c>
      <c r="F1329" s="274"/>
      <c r="G1329" s="274" t="e">
        <f t="shared" ca="1" si="42"/>
        <v>#NAME?</v>
      </c>
      <c r="H1329" s="274">
        <f t="shared" si="43"/>
        <v>0</v>
      </c>
      <c r="K1329" s="274"/>
    </row>
    <row r="1330" spans="2:11" ht="13.5" customHeight="1">
      <c r="B1330" s="1" t="s">
        <v>2053</v>
      </c>
      <c r="C1330" s="1" t="s">
        <v>3415</v>
      </c>
      <c r="D1330" s="413" t="str">
        <f t="shared" si="41"/>
        <v>07-13</v>
      </c>
      <c r="E1330" s="273" t="e">
        <f ca="1">_xludf.IFNA(VLOOKUP('Comp X - Kilter'!B1330,'Kilter Holds'!$P$37:$AB$662,10,0),0)</f>
        <v>#NAME?</v>
      </c>
      <c r="F1330" s="274"/>
      <c r="G1330" s="274" t="e">
        <f t="shared" ca="1" si="42"/>
        <v>#NAME?</v>
      </c>
      <c r="H1330" s="274">
        <f t="shared" si="43"/>
        <v>0</v>
      </c>
      <c r="K1330" s="274"/>
    </row>
    <row r="1331" spans="2:11" ht="13.5" customHeight="1">
      <c r="B1331" s="1" t="s">
        <v>2053</v>
      </c>
      <c r="C1331" s="1" t="s">
        <v>3415</v>
      </c>
      <c r="D1331" s="414" t="str">
        <f t="shared" si="41"/>
        <v>11-26</v>
      </c>
      <c r="E1331" s="273" t="e">
        <f ca="1">_xludf.IFNA(VLOOKUP('Comp X - Kilter'!B1331,'Kilter Holds'!$P$37:$AB$662,11,0),0)</f>
        <v>#NAME?</v>
      </c>
      <c r="F1331" s="274"/>
      <c r="G1331" s="274" t="e">
        <f t="shared" ca="1" si="42"/>
        <v>#NAME?</v>
      </c>
      <c r="H1331" s="274">
        <f t="shared" si="43"/>
        <v>0</v>
      </c>
      <c r="K1331" s="274"/>
    </row>
    <row r="1332" spans="2:11" ht="13.5" customHeight="1">
      <c r="B1332" s="1" t="s">
        <v>2053</v>
      </c>
      <c r="C1332" s="1" t="s">
        <v>3415</v>
      </c>
      <c r="D1332" s="415" t="str">
        <f t="shared" si="41"/>
        <v>18-01</v>
      </c>
      <c r="E1332" s="273" t="e">
        <f ca="1">_xludf.IFNA(VLOOKUP('Comp X - Kilter'!B1332,'Kilter Holds'!$P$37:$AB$662,12,0),0)</f>
        <v>#NAME?</v>
      </c>
      <c r="F1332" s="274"/>
      <c r="G1332" s="274" t="e">
        <f t="shared" ca="1" si="42"/>
        <v>#NAME?</v>
      </c>
      <c r="H1332" s="274">
        <f t="shared" si="43"/>
        <v>0</v>
      </c>
      <c r="K1332" s="274"/>
    </row>
    <row r="1333" spans="2:11" ht="13.5" customHeight="1">
      <c r="B1333" s="1" t="s">
        <v>2053</v>
      </c>
      <c r="C1333" s="1" t="s">
        <v>3415</v>
      </c>
      <c r="D1333" s="416" t="str">
        <f t="shared" si="41"/>
        <v>Color Code</v>
      </c>
      <c r="E1333" s="273" t="e">
        <f ca="1">_xludf.IFNA(VLOOKUP('Comp X - Kilter'!B1333,'Kilter Holds'!$P$37:$AB$662,13,0),0)</f>
        <v>#NAME?</v>
      </c>
      <c r="F1333" s="274"/>
      <c r="G1333" s="274" t="e">
        <f t="shared" ca="1" si="42"/>
        <v>#NAME?</v>
      </c>
      <c r="H1333" s="274">
        <f t="shared" si="43"/>
        <v>0</v>
      </c>
      <c r="K1333" s="274"/>
    </row>
    <row r="1334" spans="2:11" ht="13.5" customHeight="1">
      <c r="B1334" s="1" t="s">
        <v>2070</v>
      </c>
      <c r="C1334" s="1" t="s">
        <v>3416</v>
      </c>
      <c r="D1334" s="406" t="str">
        <f t="shared" ref="D1334:D1342" si="44">D668</f>
        <v>11-12</v>
      </c>
      <c r="E1334" s="273" t="e">
        <f ca="1">_xludf.IFNA(VLOOKUP('Comp X - Kilter'!B1334,'Kilter Holds'!$P$37:$AB$662,5,0),0)</f>
        <v>#NAME?</v>
      </c>
      <c r="F1334" s="274"/>
      <c r="G1334" s="274" t="e">
        <f t="shared" ca="1" si="42"/>
        <v>#NAME?</v>
      </c>
      <c r="H1334" s="274">
        <f t="shared" si="43"/>
        <v>0</v>
      </c>
      <c r="K1334" s="274"/>
    </row>
    <row r="1335" spans="2:11" ht="13.5" customHeight="1">
      <c r="B1335" s="1" t="s">
        <v>2070</v>
      </c>
      <c r="C1335" s="1" t="s">
        <v>3416</v>
      </c>
      <c r="D1335" s="408" t="str">
        <f t="shared" si="44"/>
        <v>14-01</v>
      </c>
      <c r="E1335" s="273" t="e">
        <f ca="1">_xludf.IFNA(VLOOKUP('Comp X - Kilter'!B1335,'Kilter Holds'!$P$37:$AB$662,6,0),0)</f>
        <v>#NAME?</v>
      </c>
      <c r="F1335" s="274"/>
      <c r="G1335" s="274" t="e">
        <f t="shared" ca="1" si="42"/>
        <v>#NAME?</v>
      </c>
      <c r="H1335" s="274">
        <f t="shared" si="43"/>
        <v>0</v>
      </c>
      <c r="K1335" s="274"/>
    </row>
    <row r="1336" spans="2:11" ht="13.5" customHeight="1">
      <c r="B1336" s="1" t="s">
        <v>2070</v>
      </c>
      <c r="C1336" s="1" t="s">
        <v>3416</v>
      </c>
      <c r="D1336" s="409" t="str">
        <f t="shared" si="44"/>
        <v>15-12</v>
      </c>
      <c r="E1336" s="273" t="e">
        <f ca="1">_xludf.IFNA(VLOOKUP('Comp X - Kilter'!B1336,'Kilter Holds'!$P$37:$AB$662,7,0),0)</f>
        <v>#NAME?</v>
      </c>
      <c r="F1336" s="274"/>
      <c r="G1336" s="274" t="e">
        <f t="shared" ca="1" si="42"/>
        <v>#NAME?</v>
      </c>
      <c r="H1336" s="274">
        <f t="shared" si="43"/>
        <v>0</v>
      </c>
      <c r="K1336" s="274"/>
    </row>
    <row r="1337" spans="2:11" ht="13.5" customHeight="1">
      <c r="B1337" s="1" t="s">
        <v>2070</v>
      </c>
      <c r="C1337" s="1" t="s">
        <v>3416</v>
      </c>
      <c r="D1337" s="410" t="str">
        <f t="shared" si="44"/>
        <v>16-16</v>
      </c>
      <c r="E1337" s="273" t="e">
        <f ca="1">_xludf.IFNA(VLOOKUP('Comp X - Kilter'!B1337,'Kilter Holds'!$P$37:$AB$662,8,0),0)</f>
        <v>#NAME?</v>
      </c>
      <c r="F1337" s="274"/>
      <c r="G1337" s="274" t="e">
        <f t="shared" ca="1" si="42"/>
        <v>#NAME?</v>
      </c>
      <c r="H1337" s="274">
        <f t="shared" si="43"/>
        <v>0</v>
      </c>
      <c r="K1337" s="274"/>
    </row>
    <row r="1338" spans="2:11" ht="13.5" customHeight="1">
      <c r="B1338" s="1" t="s">
        <v>2070</v>
      </c>
      <c r="C1338" s="1" t="s">
        <v>3416</v>
      </c>
      <c r="D1338" s="411" t="str">
        <f t="shared" si="44"/>
        <v>13-01</v>
      </c>
      <c r="E1338" s="273" t="e">
        <f ca="1">_xludf.IFNA(VLOOKUP('Comp X - Kilter'!B1338,'Kilter Holds'!$P$37:$AB$662,9,0),0)</f>
        <v>#NAME?</v>
      </c>
      <c r="F1338" s="274"/>
      <c r="G1338" s="274" t="e">
        <f t="shared" ca="1" si="42"/>
        <v>#NAME?</v>
      </c>
      <c r="H1338" s="274">
        <f t="shared" si="43"/>
        <v>0</v>
      </c>
      <c r="K1338" s="274"/>
    </row>
    <row r="1339" spans="2:11" ht="13.5" customHeight="1">
      <c r="B1339" s="1" t="s">
        <v>2070</v>
      </c>
      <c r="C1339" s="1" t="s">
        <v>3416</v>
      </c>
      <c r="D1339" s="413" t="str">
        <f t="shared" si="44"/>
        <v>07-13</v>
      </c>
      <c r="E1339" s="273" t="e">
        <f ca="1">_xludf.IFNA(VLOOKUP('Comp X - Kilter'!B1339,'Kilter Holds'!$P$37:$AB$662,10,0),0)</f>
        <v>#NAME?</v>
      </c>
      <c r="F1339" s="274"/>
      <c r="G1339" s="274" t="e">
        <f t="shared" ca="1" si="42"/>
        <v>#NAME?</v>
      </c>
      <c r="H1339" s="274">
        <f t="shared" si="43"/>
        <v>0</v>
      </c>
      <c r="K1339" s="274"/>
    </row>
    <row r="1340" spans="2:11" ht="13.5" customHeight="1">
      <c r="B1340" s="1" t="s">
        <v>2070</v>
      </c>
      <c r="C1340" s="1" t="s">
        <v>3416</v>
      </c>
      <c r="D1340" s="414" t="str">
        <f t="shared" si="44"/>
        <v>11-26</v>
      </c>
      <c r="E1340" s="273" t="e">
        <f ca="1">_xludf.IFNA(VLOOKUP('Comp X - Kilter'!B1340,'Kilter Holds'!$P$37:$AB$662,11,0),0)</f>
        <v>#NAME?</v>
      </c>
      <c r="F1340" s="274"/>
      <c r="G1340" s="274" t="e">
        <f t="shared" ca="1" si="42"/>
        <v>#NAME?</v>
      </c>
      <c r="H1340" s="274">
        <f t="shared" si="43"/>
        <v>0</v>
      </c>
      <c r="K1340" s="274"/>
    </row>
    <row r="1341" spans="2:11" ht="13.5" customHeight="1">
      <c r="B1341" s="1" t="s">
        <v>2070</v>
      </c>
      <c r="C1341" s="1" t="s">
        <v>3416</v>
      </c>
      <c r="D1341" s="415" t="str">
        <f t="shared" si="44"/>
        <v>18-01</v>
      </c>
      <c r="E1341" s="273" t="e">
        <f ca="1">_xludf.IFNA(VLOOKUP('Comp X - Kilter'!B1341,'Kilter Holds'!$P$37:$AB$662,12,0),0)</f>
        <v>#NAME?</v>
      </c>
      <c r="F1341" s="274"/>
      <c r="G1341" s="274" t="e">
        <f t="shared" ca="1" si="42"/>
        <v>#NAME?</v>
      </c>
      <c r="H1341" s="274">
        <f t="shared" si="43"/>
        <v>0</v>
      </c>
      <c r="K1341" s="274"/>
    </row>
    <row r="1342" spans="2:11" ht="13.5" customHeight="1">
      <c r="B1342" s="1" t="s">
        <v>2070</v>
      </c>
      <c r="C1342" s="1" t="s">
        <v>3416</v>
      </c>
      <c r="D1342" s="416" t="str">
        <f t="shared" si="44"/>
        <v>Color Code</v>
      </c>
      <c r="E1342" s="273" t="e">
        <f ca="1">_xludf.IFNA(VLOOKUP('Comp X - Kilter'!B1342,'Kilter Holds'!$P$37:$AB$662,13,0),0)</f>
        <v>#NAME?</v>
      </c>
      <c r="F1342" s="274"/>
      <c r="G1342" s="274" t="e">
        <f t="shared" ca="1" si="42"/>
        <v>#NAME?</v>
      </c>
      <c r="H1342" s="274">
        <f t="shared" si="43"/>
        <v>0</v>
      </c>
      <c r="K1342" s="274"/>
    </row>
    <row r="1343" spans="2:11" ht="13.5" customHeight="1">
      <c r="B1343" s="1" t="s">
        <v>2072</v>
      </c>
      <c r="C1343" s="1" t="s">
        <v>3417</v>
      </c>
      <c r="D1343" s="406" t="str">
        <f t="shared" ref="D1343:D1378" si="45">D668</f>
        <v>11-12</v>
      </c>
      <c r="E1343" s="273" t="e">
        <f ca="1">_xludf.IFNA(VLOOKUP('Comp X - Kilter'!B1343,'Kilter Holds'!$P$37:$AB$662,5,0),0)</f>
        <v>#NAME?</v>
      </c>
      <c r="F1343" s="274"/>
      <c r="G1343" s="274" t="e">
        <f t="shared" ca="1" si="42"/>
        <v>#NAME?</v>
      </c>
      <c r="H1343" s="274">
        <f t="shared" si="43"/>
        <v>0</v>
      </c>
      <c r="K1343" s="274"/>
    </row>
    <row r="1344" spans="2:11" ht="13.5" customHeight="1">
      <c r="B1344" s="1" t="s">
        <v>2072</v>
      </c>
      <c r="C1344" s="1" t="s">
        <v>3417</v>
      </c>
      <c r="D1344" s="408" t="str">
        <f t="shared" si="45"/>
        <v>14-01</v>
      </c>
      <c r="E1344" s="273" t="e">
        <f ca="1">_xludf.IFNA(VLOOKUP('Comp X - Kilter'!B1344,'Kilter Holds'!$P$37:$AB$662,6,0),0)</f>
        <v>#NAME?</v>
      </c>
      <c r="F1344" s="274"/>
      <c r="G1344" s="274" t="e">
        <f t="shared" ca="1" si="42"/>
        <v>#NAME?</v>
      </c>
      <c r="H1344" s="274">
        <f t="shared" si="43"/>
        <v>0</v>
      </c>
      <c r="K1344" s="274"/>
    </row>
    <row r="1345" spans="2:11" ht="13.5" customHeight="1">
      <c r="B1345" s="1" t="s">
        <v>2072</v>
      </c>
      <c r="C1345" s="1" t="s">
        <v>3417</v>
      </c>
      <c r="D1345" s="409" t="str">
        <f t="shared" si="45"/>
        <v>15-12</v>
      </c>
      <c r="E1345" s="273" t="e">
        <f ca="1">_xludf.IFNA(VLOOKUP('Comp X - Kilter'!B1345,'Kilter Holds'!$P$37:$AB$662,7,0),0)</f>
        <v>#NAME?</v>
      </c>
      <c r="F1345" s="274"/>
      <c r="G1345" s="274" t="e">
        <f t="shared" ca="1" si="42"/>
        <v>#NAME?</v>
      </c>
      <c r="H1345" s="274">
        <f t="shared" si="43"/>
        <v>0</v>
      </c>
      <c r="K1345" s="274"/>
    </row>
    <row r="1346" spans="2:11" ht="13.5" customHeight="1">
      <c r="B1346" s="1" t="s">
        <v>2072</v>
      </c>
      <c r="C1346" s="1" t="s">
        <v>3417</v>
      </c>
      <c r="D1346" s="410" t="str">
        <f t="shared" si="45"/>
        <v>16-16</v>
      </c>
      <c r="E1346" s="273" t="e">
        <f ca="1">_xludf.IFNA(VLOOKUP('Comp X - Kilter'!B1346,'Kilter Holds'!$P$37:$AB$662,8,0),0)</f>
        <v>#NAME?</v>
      </c>
      <c r="F1346" s="274"/>
      <c r="G1346" s="274" t="e">
        <f t="shared" ca="1" si="42"/>
        <v>#NAME?</v>
      </c>
      <c r="H1346" s="274">
        <f t="shared" si="43"/>
        <v>0</v>
      </c>
      <c r="K1346" s="274"/>
    </row>
    <row r="1347" spans="2:11" ht="13.5" customHeight="1">
      <c r="B1347" s="1" t="s">
        <v>2072</v>
      </c>
      <c r="C1347" s="1" t="s">
        <v>3417</v>
      </c>
      <c r="D1347" s="411" t="str">
        <f t="shared" si="45"/>
        <v>13-01</v>
      </c>
      <c r="E1347" s="273" t="e">
        <f ca="1">_xludf.IFNA(VLOOKUP('Comp X - Kilter'!B1347,'Kilter Holds'!$P$37:$AB$662,9,0),0)</f>
        <v>#NAME?</v>
      </c>
      <c r="F1347" s="274"/>
      <c r="G1347" s="274" t="e">
        <f t="shared" ca="1" si="42"/>
        <v>#NAME?</v>
      </c>
      <c r="H1347" s="274">
        <f t="shared" si="43"/>
        <v>0</v>
      </c>
      <c r="K1347" s="274"/>
    </row>
    <row r="1348" spans="2:11" ht="13.5" customHeight="1">
      <c r="B1348" s="1" t="s">
        <v>2072</v>
      </c>
      <c r="C1348" s="1" t="s">
        <v>3417</v>
      </c>
      <c r="D1348" s="413" t="str">
        <f t="shared" si="45"/>
        <v>07-13</v>
      </c>
      <c r="E1348" s="273" t="e">
        <f ca="1">_xludf.IFNA(VLOOKUP('Comp X - Kilter'!B1348,'Kilter Holds'!$P$37:$AB$662,10,0),0)</f>
        <v>#NAME?</v>
      </c>
      <c r="F1348" s="274"/>
      <c r="G1348" s="274" t="e">
        <f t="shared" ca="1" si="42"/>
        <v>#NAME?</v>
      </c>
      <c r="H1348" s="274">
        <f t="shared" si="43"/>
        <v>0</v>
      </c>
      <c r="K1348" s="274"/>
    </row>
    <row r="1349" spans="2:11" ht="13.5" customHeight="1">
      <c r="B1349" s="1" t="s">
        <v>2072</v>
      </c>
      <c r="C1349" s="1" t="s">
        <v>3417</v>
      </c>
      <c r="D1349" s="414" t="str">
        <f t="shared" si="45"/>
        <v>11-26</v>
      </c>
      <c r="E1349" s="273" t="e">
        <f ca="1">_xludf.IFNA(VLOOKUP('Comp X - Kilter'!B1349,'Kilter Holds'!$P$37:$AB$662,11,0),0)</f>
        <v>#NAME?</v>
      </c>
      <c r="F1349" s="274"/>
      <c r="G1349" s="274" t="e">
        <f t="shared" ca="1" si="42"/>
        <v>#NAME?</v>
      </c>
      <c r="H1349" s="274">
        <f t="shared" si="43"/>
        <v>0</v>
      </c>
      <c r="K1349" s="274"/>
    </row>
    <row r="1350" spans="2:11" ht="13.5" customHeight="1">
      <c r="B1350" s="1" t="s">
        <v>2072</v>
      </c>
      <c r="C1350" s="1" t="s">
        <v>3417</v>
      </c>
      <c r="D1350" s="415" t="str">
        <f t="shared" si="45"/>
        <v>18-01</v>
      </c>
      <c r="E1350" s="273" t="e">
        <f ca="1">_xludf.IFNA(VLOOKUP('Comp X - Kilter'!B1350,'Kilter Holds'!$P$37:$AB$662,12,0),0)</f>
        <v>#NAME?</v>
      </c>
      <c r="F1350" s="274"/>
      <c r="G1350" s="274" t="e">
        <f t="shared" ca="1" si="42"/>
        <v>#NAME?</v>
      </c>
      <c r="H1350" s="274">
        <f t="shared" si="43"/>
        <v>0</v>
      </c>
      <c r="K1350" s="274"/>
    </row>
    <row r="1351" spans="2:11" ht="13.5" customHeight="1">
      <c r="B1351" s="1" t="s">
        <v>2072</v>
      </c>
      <c r="C1351" s="1" t="s">
        <v>3417</v>
      </c>
      <c r="D1351" s="416" t="str">
        <f t="shared" si="45"/>
        <v>Color Code</v>
      </c>
      <c r="E1351" s="273" t="e">
        <f ca="1">_xludf.IFNA(VLOOKUP('Comp X - Kilter'!B1351,'Kilter Holds'!$P$37:$AB$662,13,0),0)</f>
        <v>#NAME?</v>
      </c>
      <c r="F1351" s="274"/>
      <c r="G1351" s="274" t="e">
        <f t="shared" ca="1" si="42"/>
        <v>#NAME?</v>
      </c>
      <c r="H1351" s="274">
        <f t="shared" si="43"/>
        <v>0</v>
      </c>
      <c r="K1351" s="274"/>
    </row>
    <row r="1352" spans="2:11" ht="13.5" customHeight="1">
      <c r="B1352" s="1" t="s">
        <v>2073</v>
      </c>
      <c r="C1352" s="1" t="s">
        <v>3418</v>
      </c>
      <c r="D1352" s="406" t="str">
        <f t="shared" si="45"/>
        <v>11-12</v>
      </c>
      <c r="E1352" s="273" t="e">
        <f ca="1">_xludf.IFNA(VLOOKUP('Comp X - Kilter'!B1352,'Kilter Holds'!$P$37:$AB$662,5,0),0)</f>
        <v>#NAME?</v>
      </c>
      <c r="F1352" s="274"/>
      <c r="G1352" s="274" t="e">
        <f t="shared" ca="1" si="42"/>
        <v>#NAME?</v>
      </c>
      <c r="H1352" s="274">
        <f t="shared" si="43"/>
        <v>0</v>
      </c>
      <c r="K1352" s="274"/>
    </row>
    <row r="1353" spans="2:11" ht="13.5" customHeight="1">
      <c r="B1353" s="1" t="s">
        <v>2073</v>
      </c>
      <c r="C1353" s="1" t="s">
        <v>3418</v>
      </c>
      <c r="D1353" s="408" t="str">
        <f t="shared" si="45"/>
        <v>14-01</v>
      </c>
      <c r="E1353" s="273" t="e">
        <f ca="1">_xludf.IFNA(VLOOKUP('Comp X - Kilter'!B1353,'Kilter Holds'!$P$37:$AB$662,6,0),0)</f>
        <v>#NAME?</v>
      </c>
      <c r="F1353" s="274"/>
      <c r="G1353" s="274" t="e">
        <f t="shared" ca="1" si="42"/>
        <v>#NAME?</v>
      </c>
      <c r="H1353" s="274">
        <f t="shared" si="43"/>
        <v>0</v>
      </c>
      <c r="K1353" s="274"/>
    </row>
    <row r="1354" spans="2:11" ht="13.5" customHeight="1">
      <c r="B1354" s="1" t="s">
        <v>2073</v>
      </c>
      <c r="C1354" s="1" t="s">
        <v>3418</v>
      </c>
      <c r="D1354" s="409" t="str">
        <f t="shared" si="45"/>
        <v>15-12</v>
      </c>
      <c r="E1354" s="273" t="e">
        <f ca="1">_xludf.IFNA(VLOOKUP('Comp X - Kilter'!B1354,'Kilter Holds'!$P$37:$AB$662,7,0),0)</f>
        <v>#NAME?</v>
      </c>
      <c r="F1354" s="274"/>
      <c r="G1354" s="274" t="e">
        <f t="shared" ca="1" si="42"/>
        <v>#NAME?</v>
      </c>
      <c r="H1354" s="274">
        <f t="shared" si="43"/>
        <v>0</v>
      </c>
      <c r="K1354" s="274"/>
    </row>
    <row r="1355" spans="2:11" ht="13.5" customHeight="1">
      <c r="B1355" s="1" t="s">
        <v>2073</v>
      </c>
      <c r="C1355" s="1" t="s">
        <v>3418</v>
      </c>
      <c r="D1355" s="410" t="str">
        <f t="shared" si="45"/>
        <v>16-16</v>
      </c>
      <c r="E1355" s="273" t="e">
        <f ca="1">_xludf.IFNA(VLOOKUP('Comp X - Kilter'!B1355,'Kilter Holds'!$P$37:$AB$662,8,0),0)</f>
        <v>#NAME?</v>
      </c>
      <c r="F1355" s="274"/>
      <c r="G1355" s="274" t="e">
        <f t="shared" ca="1" si="42"/>
        <v>#NAME?</v>
      </c>
      <c r="H1355" s="274">
        <f t="shared" si="43"/>
        <v>0</v>
      </c>
      <c r="K1355" s="274"/>
    </row>
    <row r="1356" spans="2:11" ht="13.5" customHeight="1">
      <c r="B1356" s="1" t="s">
        <v>2073</v>
      </c>
      <c r="C1356" s="1" t="s">
        <v>3418</v>
      </c>
      <c r="D1356" s="411" t="str">
        <f t="shared" si="45"/>
        <v>13-01</v>
      </c>
      <c r="E1356" s="273" t="e">
        <f ca="1">_xludf.IFNA(VLOOKUP('Comp X - Kilter'!B1356,'Kilter Holds'!$P$37:$AB$662,9,0),0)</f>
        <v>#NAME?</v>
      </c>
      <c r="F1356" s="274"/>
      <c r="G1356" s="274" t="e">
        <f t="shared" ca="1" si="42"/>
        <v>#NAME?</v>
      </c>
      <c r="H1356" s="274">
        <f t="shared" si="43"/>
        <v>0</v>
      </c>
      <c r="K1356" s="274"/>
    </row>
    <row r="1357" spans="2:11" ht="13.5" customHeight="1">
      <c r="B1357" s="1" t="s">
        <v>2073</v>
      </c>
      <c r="C1357" s="1" t="s">
        <v>3418</v>
      </c>
      <c r="D1357" s="413" t="str">
        <f t="shared" si="45"/>
        <v>07-13</v>
      </c>
      <c r="E1357" s="273" t="e">
        <f ca="1">_xludf.IFNA(VLOOKUP('Comp X - Kilter'!B1357,'Kilter Holds'!$P$37:$AB$662,10,0),0)</f>
        <v>#NAME?</v>
      </c>
      <c r="F1357" s="274"/>
      <c r="G1357" s="274" t="e">
        <f t="shared" ca="1" si="42"/>
        <v>#NAME?</v>
      </c>
      <c r="H1357" s="274">
        <f t="shared" si="43"/>
        <v>0</v>
      </c>
      <c r="K1357" s="274"/>
    </row>
    <row r="1358" spans="2:11" ht="13.5" customHeight="1">
      <c r="B1358" s="1" t="s">
        <v>2073</v>
      </c>
      <c r="C1358" s="1" t="s">
        <v>3418</v>
      </c>
      <c r="D1358" s="414" t="str">
        <f t="shared" si="45"/>
        <v>11-26</v>
      </c>
      <c r="E1358" s="273" t="e">
        <f ca="1">_xludf.IFNA(VLOOKUP('Comp X - Kilter'!B1358,'Kilter Holds'!$P$37:$AB$662,11,0),0)</f>
        <v>#NAME?</v>
      </c>
      <c r="F1358" s="274"/>
      <c r="G1358" s="274" t="e">
        <f t="shared" ca="1" si="42"/>
        <v>#NAME?</v>
      </c>
      <c r="H1358" s="274">
        <f t="shared" si="43"/>
        <v>0</v>
      </c>
      <c r="K1358" s="274"/>
    </row>
    <row r="1359" spans="2:11" ht="13.5" customHeight="1">
      <c r="B1359" s="1" t="s">
        <v>2073</v>
      </c>
      <c r="C1359" s="1" t="s">
        <v>3418</v>
      </c>
      <c r="D1359" s="415" t="str">
        <f t="shared" si="45"/>
        <v>18-01</v>
      </c>
      <c r="E1359" s="273" t="e">
        <f ca="1">_xludf.IFNA(VLOOKUP('Comp X - Kilter'!B1359,'Kilter Holds'!$P$37:$AB$662,12,0),0)</f>
        <v>#NAME?</v>
      </c>
      <c r="F1359" s="274"/>
      <c r="G1359" s="274" t="e">
        <f t="shared" ca="1" si="42"/>
        <v>#NAME?</v>
      </c>
      <c r="H1359" s="274">
        <f t="shared" si="43"/>
        <v>0</v>
      </c>
      <c r="K1359" s="274"/>
    </row>
    <row r="1360" spans="2:11" ht="13.5" customHeight="1">
      <c r="B1360" s="1" t="s">
        <v>2073</v>
      </c>
      <c r="C1360" s="1" t="s">
        <v>3418</v>
      </c>
      <c r="D1360" s="416" t="str">
        <f t="shared" si="45"/>
        <v>Color Code</v>
      </c>
      <c r="E1360" s="273" t="e">
        <f ca="1">_xludf.IFNA(VLOOKUP('Comp X - Kilter'!B1360,'Kilter Holds'!$P$37:$AB$662,13,0),0)</f>
        <v>#NAME?</v>
      </c>
      <c r="F1360" s="274"/>
      <c r="G1360" s="274" t="e">
        <f t="shared" ca="1" si="42"/>
        <v>#NAME?</v>
      </c>
      <c r="H1360" s="274">
        <f t="shared" si="43"/>
        <v>0</v>
      </c>
      <c r="K1360" s="274"/>
    </row>
    <row r="1361" spans="2:11" ht="13.5" customHeight="1">
      <c r="B1361" s="1" t="s">
        <v>2074</v>
      </c>
      <c r="C1361" s="1" t="s">
        <v>3419</v>
      </c>
      <c r="D1361" s="406" t="str">
        <f t="shared" si="45"/>
        <v>11-12</v>
      </c>
      <c r="E1361" s="273" t="e">
        <f ca="1">_xludf.IFNA(VLOOKUP('Comp X - Kilter'!B1361,'Kilter Holds'!$P$37:$AB$662,5,0),0)</f>
        <v>#NAME?</v>
      </c>
      <c r="F1361" s="274"/>
      <c r="G1361" s="274" t="e">
        <f t="shared" ca="1" si="42"/>
        <v>#NAME?</v>
      </c>
      <c r="H1361" s="274">
        <f t="shared" si="43"/>
        <v>0</v>
      </c>
      <c r="K1361" s="274"/>
    </row>
    <row r="1362" spans="2:11" ht="13.5" customHeight="1">
      <c r="B1362" s="1" t="s">
        <v>2074</v>
      </c>
      <c r="C1362" s="1" t="s">
        <v>3419</v>
      </c>
      <c r="D1362" s="408" t="str">
        <f t="shared" si="45"/>
        <v>14-01</v>
      </c>
      <c r="E1362" s="273" t="e">
        <f ca="1">_xludf.IFNA(VLOOKUP('Comp X - Kilter'!B1362,'Kilter Holds'!$P$37:$AB$662,6,0),0)</f>
        <v>#NAME?</v>
      </c>
      <c r="F1362" s="274"/>
      <c r="G1362" s="274" t="e">
        <f t="shared" ca="1" si="42"/>
        <v>#NAME?</v>
      </c>
      <c r="H1362" s="274">
        <f t="shared" si="43"/>
        <v>0</v>
      </c>
      <c r="K1362" s="274"/>
    </row>
    <row r="1363" spans="2:11" ht="13.5" customHeight="1">
      <c r="B1363" s="1" t="s">
        <v>2074</v>
      </c>
      <c r="C1363" s="1" t="s">
        <v>3419</v>
      </c>
      <c r="D1363" s="409" t="str">
        <f t="shared" si="45"/>
        <v>15-12</v>
      </c>
      <c r="E1363" s="273" t="e">
        <f ca="1">_xludf.IFNA(VLOOKUP('Comp X - Kilter'!B1363,'Kilter Holds'!$P$37:$AB$662,7,0),0)</f>
        <v>#NAME?</v>
      </c>
      <c r="F1363" s="274"/>
      <c r="G1363" s="274" t="e">
        <f t="shared" ca="1" si="42"/>
        <v>#NAME?</v>
      </c>
      <c r="H1363" s="274">
        <f t="shared" si="43"/>
        <v>0</v>
      </c>
      <c r="K1363" s="274"/>
    </row>
    <row r="1364" spans="2:11" ht="13.5" customHeight="1">
      <c r="B1364" s="1" t="s">
        <v>2074</v>
      </c>
      <c r="C1364" s="1" t="s">
        <v>3419</v>
      </c>
      <c r="D1364" s="410" t="str">
        <f t="shared" si="45"/>
        <v>16-16</v>
      </c>
      <c r="E1364" s="273" t="e">
        <f ca="1">_xludf.IFNA(VLOOKUP('Comp X - Kilter'!B1364,'Kilter Holds'!$P$37:$AB$662,8,0),0)</f>
        <v>#NAME?</v>
      </c>
      <c r="F1364" s="274"/>
      <c r="G1364" s="274" t="e">
        <f t="shared" ca="1" si="42"/>
        <v>#NAME?</v>
      </c>
      <c r="H1364" s="274">
        <f t="shared" si="43"/>
        <v>0</v>
      </c>
      <c r="K1364" s="274"/>
    </row>
    <row r="1365" spans="2:11" ht="13.5" customHeight="1">
      <c r="B1365" s="1" t="s">
        <v>2074</v>
      </c>
      <c r="C1365" s="1" t="s">
        <v>3419</v>
      </c>
      <c r="D1365" s="411" t="str">
        <f t="shared" si="45"/>
        <v>13-01</v>
      </c>
      <c r="E1365" s="273" t="e">
        <f ca="1">_xludf.IFNA(VLOOKUP('Comp X - Kilter'!B1365,'Kilter Holds'!$P$37:$AB$662,9,0),0)</f>
        <v>#NAME?</v>
      </c>
      <c r="F1365" s="274"/>
      <c r="G1365" s="274" t="e">
        <f t="shared" ca="1" si="42"/>
        <v>#NAME?</v>
      </c>
      <c r="H1365" s="274">
        <f t="shared" si="43"/>
        <v>0</v>
      </c>
      <c r="K1365" s="274"/>
    </row>
    <row r="1366" spans="2:11" ht="13.5" customHeight="1">
      <c r="B1366" s="1" t="s">
        <v>2074</v>
      </c>
      <c r="C1366" s="1" t="s">
        <v>3419</v>
      </c>
      <c r="D1366" s="413" t="str">
        <f t="shared" si="45"/>
        <v>07-13</v>
      </c>
      <c r="E1366" s="273" t="e">
        <f ca="1">_xludf.IFNA(VLOOKUP('Comp X - Kilter'!B1366,'Kilter Holds'!$P$37:$AB$662,10,0),0)</f>
        <v>#NAME?</v>
      </c>
      <c r="F1366" s="274"/>
      <c r="G1366" s="274" t="e">
        <f t="shared" ca="1" si="42"/>
        <v>#NAME?</v>
      </c>
      <c r="H1366" s="274">
        <f t="shared" si="43"/>
        <v>0</v>
      </c>
      <c r="K1366" s="274"/>
    </row>
    <row r="1367" spans="2:11" ht="13.5" customHeight="1">
      <c r="B1367" s="1" t="s">
        <v>2074</v>
      </c>
      <c r="C1367" s="1" t="s">
        <v>3419</v>
      </c>
      <c r="D1367" s="414" t="str">
        <f t="shared" si="45"/>
        <v>11-26</v>
      </c>
      <c r="E1367" s="273" t="e">
        <f ca="1">_xludf.IFNA(VLOOKUP('Comp X - Kilter'!B1367,'Kilter Holds'!$P$37:$AB$662,11,0),0)</f>
        <v>#NAME?</v>
      </c>
      <c r="F1367" s="274"/>
      <c r="G1367" s="274" t="e">
        <f t="shared" ca="1" si="42"/>
        <v>#NAME?</v>
      </c>
      <c r="H1367" s="274">
        <f t="shared" si="43"/>
        <v>0</v>
      </c>
      <c r="K1367" s="274"/>
    </row>
    <row r="1368" spans="2:11" ht="13.5" customHeight="1">
      <c r="B1368" s="1" t="s">
        <v>2074</v>
      </c>
      <c r="C1368" s="1" t="s">
        <v>3419</v>
      </c>
      <c r="D1368" s="415" t="str">
        <f t="shared" si="45"/>
        <v>18-01</v>
      </c>
      <c r="E1368" s="273" t="e">
        <f ca="1">_xludf.IFNA(VLOOKUP('Comp X - Kilter'!B1368,'Kilter Holds'!$P$37:$AB$662,12,0),0)</f>
        <v>#NAME?</v>
      </c>
      <c r="F1368" s="274"/>
      <c r="G1368" s="274" t="e">
        <f t="shared" ca="1" si="42"/>
        <v>#NAME?</v>
      </c>
      <c r="H1368" s="274">
        <f t="shared" si="43"/>
        <v>0</v>
      </c>
      <c r="K1368" s="274"/>
    </row>
    <row r="1369" spans="2:11" ht="13.5" customHeight="1">
      <c r="B1369" s="1" t="s">
        <v>2074</v>
      </c>
      <c r="C1369" s="1" t="s">
        <v>3419</v>
      </c>
      <c r="D1369" s="416" t="str">
        <f t="shared" si="45"/>
        <v>Color Code</v>
      </c>
      <c r="E1369" s="273" t="e">
        <f ca="1">_xludf.IFNA(VLOOKUP('Comp X - Kilter'!B1369,'Kilter Holds'!$P$37:$AB$662,13,0),0)</f>
        <v>#NAME?</v>
      </c>
      <c r="F1369" s="274"/>
      <c r="G1369" s="274" t="e">
        <f t="shared" ca="1" si="42"/>
        <v>#NAME?</v>
      </c>
      <c r="H1369" s="274">
        <f t="shared" si="43"/>
        <v>0</v>
      </c>
      <c r="K1369" s="274"/>
    </row>
    <row r="1370" spans="2:11" ht="13.5" customHeight="1">
      <c r="B1370" s="1" t="s">
        <v>2054</v>
      </c>
      <c r="C1370" s="1" t="s">
        <v>3420</v>
      </c>
      <c r="D1370" s="406" t="str">
        <f t="shared" si="45"/>
        <v>11-12</v>
      </c>
      <c r="E1370" s="273" t="e">
        <f ca="1">_xludf.IFNA(VLOOKUP('Comp X - Kilter'!B1370,'Kilter Holds'!$P$37:$AB$662,5,0),0)</f>
        <v>#NAME?</v>
      </c>
      <c r="F1370" s="274"/>
      <c r="G1370" s="274" t="e">
        <f t="shared" ca="1" si="42"/>
        <v>#NAME?</v>
      </c>
      <c r="H1370" s="274">
        <f t="shared" si="43"/>
        <v>0</v>
      </c>
      <c r="K1370" s="274"/>
    </row>
    <row r="1371" spans="2:11" ht="13.5" customHeight="1">
      <c r="B1371" s="1" t="s">
        <v>2054</v>
      </c>
      <c r="C1371" s="1" t="s">
        <v>3420</v>
      </c>
      <c r="D1371" s="408" t="str">
        <f t="shared" si="45"/>
        <v>14-01</v>
      </c>
      <c r="E1371" s="273" t="e">
        <f ca="1">_xludf.IFNA(VLOOKUP('Comp X - Kilter'!B1371,'Kilter Holds'!$P$37:$AB$662,6,0),0)</f>
        <v>#NAME?</v>
      </c>
      <c r="F1371" s="274"/>
      <c r="G1371" s="274" t="e">
        <f t="shared" ca="1" si="42"/>
        <v>#NAME?</v>
      </c>
      <c r="H1371" s="274">
        <f t="shared" si="43"/>
        <v>0</v>
      </c>
      <c r="K1371" s="274"/>
    </row>
    <row r="1372" spans="2:11" ht="13.5" customHeight="1">
      <c r="B1372" s="1" t="s">
        <v>2054</v>
      </c>
      <c r="C1372" s="1" t="s">
        <v>3420</v>
      </c>
      <c r="D1372" s="409" t="str">
        <f t="shared" si="45"/>
        <v>15-12</v>
      </c>
      <c r="E1372" s="273" t="e">
        <f ca="1">_xludf.IFNA(VLOOKUP('Comp X - Kilter'!B1372,'Kilter Holds'!$P$37:$AB$662,7,0),0)</f>
        <v>#NAME?</v>
      </c>
      <c r="F1372" s="274"/>
      <c r="G1372" s="274" t="e">
        <f t="shared" ca="1" si="42"/>
        <v>#NAME?</v>
      </c>
      <c r="H1372" s="274">
        <f t="shared" si="43"/>
        <v>0</v>
      </c>
      <c r="K1372" s="274"/>
    </row>
    <row r="1373" spans="2:11" ht="13.5" customHeight="1">
      <c r="B1373" s="1" t="s">
        <v>2054</v>
      </c>
      <c r="C1373" s="1" t="s">
        <v>3420</v>
      </c>
      <c r="D1373" s="410" t="str">
        <f t="shared" si="45"/>
        <v>16-16</v>
      </c>
      <c r="E1373" s="273" t="e">
        <f ca="1">_xludf.IFNA(VLOOKUP('Comp X - Kilter'!B1373,'Kilter Holds'!$P$37:$AB$662,8,0),0)</f>
        <v>#NAME?</v>
      </c>
      <c r="F1373" s="274"/>
      <c r="G1373" s="274" t="e">
        <f t="shared" ca="1" si="42"/>
        <v>#NAME?</v>
      </c>
      <c r="H1373" s="274">
        <f t="shared" si="43"/>
        <v>0</v>
      </c>
      <c r="K1373" s="274"/>
    </row>
    <row r="1374" spans="2:11" ht="13.5" customHeight="1">
      <c r="B1374" s="1" t="s">
        <v>2054</v>
      </c>
      <c r="C1374" s="1" t="s">
        <v>3420</v>
      </c>
      <c r="D1374" s="411" t="str">
        <f t="shared" si="45"/>
        <v>13-01</v>
      </c>
      <c r="E1374" s="273" t="e">
        <f ca="1">_xludf.IFNA(VLOOKUP('Comp X - Kilter'!B1374,'Kilter Holds'!$P$37:$AB$662,9,0),0)</f>
        <v>#NAME?</v>
      </c>
      <c r="F1374" s="274"/>
      <c r="G1374" s="274" t="e">
        <f t="shared" ca="1" si="42"/>
        <v>#NAME?</v>
      </c>
      <c r="H1374" s="274">
        <f t="shared" si="43"/>
        <v>0</v>
      </c>
      <c r="K1374" s="274"/>
    </row>
    <row r="1375" spans="2:11" ht="13.5" customHeight="1">
      <c r="B1375" s="1" t="s">
        <v>2054</v>
      </c>
      <c r="C1375" s="1" t="s">
        <v>3420</v>
      </c>
      <c r="D1375" s="413" t="str">
        <f t="shared" si="45"/>
        <v>07-13</v>
      </c>
      <c r="E1375" s="273" t="e">
        <f ca="1">_xludf.IFNA(VLOOKUP('Comp X - Kilter'!B1375,'Kilter Holds'!$P$37:$AB$662,10,0),0)</f>
        <v>#NAME?</v>
      </c>
      <c r="F1375" s="274"/>
      <c r="G1375" s="274" t="e">
        <f t="shared" ca="1" si="42"/>
        <v>#NAME?</v>
      </c>
      <c r="H1375" s="274">
        <f t="shared" si="43"/>
        <v>0</v>
      </c>
      <c r="K1375" s="274"/>
    </row>
    <row r="1376" spans="2:11" ht="13.5" customHeight="1">
      <c r="B1376" s="1" t="s">
        <v>2054</v>
      </c>
      <c r="C1376" s="1" t="s">
        <v>3420</v>
      </c>
      <c r="D1376" s="414" t="str">
        <f t="shared" si="45"/>
        <v>11-26</v>
      </c>
      <c r="E1376" s="273" t="e">
        <f ca="1">_xludf.IFNA(VLOOKUP('Comp X - Kilter'!B1376,'Kilter Holds'!$P$37:$AB$662,11,0),0)</f>
        <v>#NAME?</v>
      </c>
      <c r="F1376" s="274"/>
      <c r="G1376" s="274" t="e">
        <f t="shared" ca="1" si="42"/>
        <v>#NAME?</v>
      </c>
      <c r="H1376" s="274">
        <f t="shared" si="43"/>
        <v>0</v>
      </c>
      <c r="K1376" s="274"/>
    </row>
    <row r="1377" spans="2:11" ht="13.5" customHeight="1">
      <c r="B1377" s="1" t="s">
        <v>2054</v>
      </c>
      <c r="C1377" s="1" t="s">
        <v>3420</v>
      </c>
      <c r="D1377" s="415" t="str">
        <f t="shared" si="45"/>
        <v>18-01</v>
      </c>
      <c r="E1377" s="273" t="e">
        <f ca="1">_xludf.IFNA(VLOOKUP('Comp X - Kilter'!B1377,'Kilter Holds'!$P$37:$AB$662,12,0),0)</f>
        <v>#NAME?</v>
      </c>
      <c r="F1377" s="274"/>
      <c r="G1377" s="274" t="e">
        <f t="shared" ca="1" si="42"/>
        <v>#NAME?</v>
      </c>
      <c r="H1377" s="274">
        <f t="shared" si="43"/>
        <v>0</v>
      </c>
      <c r="K1377" s="274"/>
    </row>
    <row r="1378" spans="2:11" ht="13.5" customHeight="1">
      <c r="B1378" s="1" t="s">
        <v>2054</v>
      </c>
      <c r="C1378" s="1" t="s">
        <v>3420</v>
      </c>
      <c r="D1378" s="416" t="str">
        <f t="shared" si="45"/>
        <v>Color Code</v>
      </c>
      <c r="E1378" s="273" t="e">
        <f ca="1">_xludf.IFNA(VLOOKUP('Comp X - Kilter'!B1378,'Kilter Holds'!$P$37:$AB$662,13,0),0)</f>
        <v>#NAME?</v>
      </c>
      <c r="F1378" s="274"/>
      <c r="G1378" s="274" t="e">
        <f t="shared" ca="1" si="42"/>
        <v>#NAME?</v>
      </c>
      <c r="H1378" s="274">
        <f t="shared" si="43"/>
        <v>0</v>
      </c>
      <c r="K1378" s="274"/>
    </row>
    <row r="1379" spans="2:11" ht="13.5" customHeight="1">
      <c r="B1379" s="1" t="s">
        <v>2043</v>
      </c>
      <c r="C1379" s="1" t="s">
        <v>3421</v>
      </c>
      <c r="D1379" s="406" t="str">
        <f t="shared" ref="D1379:D1396" si="46">D695</f>
        <v>11-12</v>
      </c>
      <c r="E1379" s="273" t="e">
        <f ca="1">_xludf.IFNA(VLOOKUP('Comp X - Kilter'!B1379,'Kilter Holds'!$P$37:$AB$662,5,0),0)</f>
        <v>#NAME?</v>
      </c>
      <c r="F1379" s="274"/>
      <c r="G1379" s="274" t="e">
        <f t="shared" ca="1" si="42"/>
        <v>#NAME?</v>
      </c>
      <c r="H1379" s="274">
        <f t="shared" si="43"/>
        <v>0</v>
      </c>
      <c r="K1379" s="274"/>
    </row>
    <row r="1380" spans="2:11" ht="13.5" customHeight="1">
      <c r="B1380" s="1" t="s">
        <v>2043</v>
      </c>
      <c r="C1380" s="1" t="s">
        <v>3421</v>
      </c>
      <c r="D1380" s="408" t="str">
        <f t="shared" si="46"/>
        <v>14-01</v>
      </c>
      <c r="E1380" s="273" t="e">
        <f ca="1">_xludf.IFNA(VLOOKUP('Comp X - Kilter'!B1380,'Kilter Holds'!$P$37:$AB$662,6,0),0)</f>
        <v>#NAME?</v>
      </c>
      <c r="F1380" s="274"/>
      <c r="G1380" s="274" t="e">
        <f t="shared" ca="1" si="42"/>
        <v>#NAME?</v>
      </c>
      <c r="H1380" s="274">
        <f t="shared" si="43"/>
        <v>0</v>
      </c>
      <c r="K1380" s="274"/>
    </row>
    <row r="1381" spans="2:11" ht="13.5" customHeight="1">
      <c r="B1381" s="1" t="s">
        <v>2043</v>
      </c>
      <c r="C1381" s="1" t="s">
        <v>3421</v>
      </c>
      <c r="D1381" s="409" t="str">
        <f t="shared" si="46"/>
        <v>15-12</v>
      </c>
      <c r="E1381" s="273" t="e">
        <f ca="1">_xludf.IFNA(VLOOKUP('Comp X - Kilter'!B1381,'Kilter Holds'!$P$37:$AB$662,7,0),0)</f>
        <v>#NAME?</v>
      </c>
      <c r="F1381" s="274"/>
      <c r="G1381" s="274" t="e">
        <f t="shared" ca="1" si="42"/>
        <v>#NAME?</v>
      </c>
      <c r="H1381" s="274">
        <f t="shared" si="43"/>
        <v>0</v>
      </c>
      <c r="K1381" s="274"/>
    </row>
    <row r="1382" spans="2:11" ht="13.5" customHeight="1">
      <c r="B1382" s="1" t="s">
        <v>2043</v>
      </c>
      <c r="C1382" s="1" t="s">
        <v>3421</v>
      </c>
      <c r="D1382" s="410" t="str">
        <f t="shared" si="46"/>
        <v>16-16</v>
      </c>
      <c r="E1382" s="273" t="e">
        <f ca="1">_xludf.IFNA(VLOOKUP('Comp X - Kilter'!B1382,'Kilter Holds'!$P$37:$AB$662,8,0),0)</f>
        <v>#NAME?</v>
      </c>
      <c r="F1382" s="274"/>
      <c r="G1382" s="274" t="e">
        <f t="shared" ca="1" si="42"/>
        <v>#NAME?</v>
      </c>
      <c r="H1382" s="274">
        <f t="shared" si="43"/>
        <v>0</v>
      </c>
      <c r="K1382" s="274"/>
    </row>
    <row r="1383" spans="2:11" ht="13.5" customHeight="1">
      <c r="B1383" s="1" t="s">
        <v>2043</v>
      </c>
      <c r="C1383" s="1" t="s">
        <v>3421</v>
      </c>
      <c r="D1383" s="411" t="str">
        <f t="shared" si="46"/>
        <v>13-01</v>
      </c>
      <c r="E1383" s="273" t="e">
        <f ca="1">_xludf.IFNA(VLOOKUP('Comp X - Kilter'!B1383,'Kilter Holds'!$P$37:$AB$662,9,0),0)</f>
        <v>#NAME?</v>
      </c>
      <c r="F1383" s="274"/>
      <c r="G1383" s="274" t="e">
        <f t="shared" ca="1" si="42"/>
        <v>#NAME?</v>
      </c>
      <c r="H1383" s="274">
        <f t="shared" si="43"/>
        <v>0</v>
      </c>
      <c r="K1383" s="274"/>
    </row>
    <row r="1384" spans="2:11" ht="13.5" customHeight="1">
      <c r="B1384" s="1" t="s">
        <v>2043</v>
      </c>
      <c r="C1384" s="1" t="s">
        <v>3421</v>
      </c>
      <c r="D1384" s="413" t="str">
        <f t="shared" si="46"/>
        <v>07-13</v>
      </c>
      <c r="E1384" s="273" t="e">
        <f ca="1">_xludf.IFNA(VLOOKUP('Comp X - Kilter'!B1384,'Kilter Holds'!$P$37:$AB$662,10,0),0)</f>
        <v>#NAME?</v>
      </c>
      <c r="F1384" s="274"/>
      <c r="G1384" s="274" t="e">
        <f t="shared" ca="1" si="42"/>
        <v>#NAME?</v>
      </c>
      <c r="H1384" s="274">
        <f t="shared" si="43"/>
        <v>0</v>
      </c>
      <c r="K1384" s="274"/>
    </row>
    <row r="1385" spans="2:11" ht="13.5" customHeight="1">
      <c r="B1385" s="1" t="s">
        <v>2043</v>
      </c>
      <c r="C1385" s="1" t="s">
        <v>3421</v>
      </c>
      <c r="D1385" s="414" t="str">
        <f t="shared" si="46"/>
        <v>11-26</v>
      </c>
      <c r="E1385" s="273" t="e">
        <f ca="1">_xludf.IFNA(VLOOKUP('Comp X - Kilter'!B1385,'Kilter Holds'!$P$37:$AB$662,11,0),0)</f>
        <v>#NAME?</v>
      </c>
      <c r="F1385" s="274"/>
      <c r="G1385" s="274" t="e">
        <f t="shared" ca="1" si="42"/>
        <v>#NAME?</v>
      </c>
      <c r="H1385" s="274">
        <f t="shared" si="43"/>
        <v>0</v>
      </c>
      <c r="K1385" s="274"/>
    </row>
    <row r="1386" spans="2:11" ht="13.5" customHeight="1">
      <c r="B1386" s="1" t="s">
        <v>2043</v>
      </c>
      <c r="C1386" s="1" t="s">
        <v>3421</v>
      </c>
      <c r="D1386" s="415" t="str">
        <f t="shared" si="46"/>
        <v>18-01</v>
      </c>
      <c r="E1386" s="273" t="e">
        <f ca="1">_xludf.IFNA(VLOOKUP('Comp X - Kilter'!B1386,'Kilter Holds'!$P$37:$AB$662,12,0),0)</f>
        <v>#NAME?</v>
      </c>
      <c r="F1386" s="274"/>
      <c r="G1386" s="274" t="e">
        <f t="shared" ca="1" si="42"/>
        <v>#NAME?</v>
      </c>
      <c r="H1386" s="274">
        <f t="shared" si="43"/>
        <v>0</v>
      </c>
      <c r="K1386" s="274"/>
    </row>
    <row r="1387" spans="2:11" ht="13.5" customHeight="1">
      <c r="B1387" s="1" t="s">
        <v>2043</v>
      </c>
      <c r="C1387" s="1" t="s">
        <v>3421</v>
      </c>
      <c r="D1387" s="416" t="str">
        <f t="shared" si="46"/>
        <v>Color Code</v>
      </c>
      <c r="E1387" s="273" t="e">
        <f ca="1">_xludf.IFNA(VLOOKUP('Comp X - Kilter'!B1387,'Kilter Holds'!$P$37:$AB$662,13,0),0)</f>
        <v>#NAME?</v>
      </c>
      <c r="F1387" s="274"/>
      <c r="G1387" s="274" t="e">
        <f t="shared" ca="1" si="42"/>
        <v>#NAME?</v>
      </c>
      <c r="H1387" s="274">
        <f t="shared" si="43"/>
        <v>0</v>
      </c>
      <c r="K1387" s="274"/>
    </row>
    <row r="1388" spans="2:11" ht="13.5" customHeight="1">
      <c r="B1388" s="1" t="s">
        <v>2055</v>
      </c>
      <c r="C1388" s="1" t="s">
        <v>3422</v>
      </c>
      <c r="D1388" s="406" t="str">
        <f t="shared" si="46"/>
        <v>11-12</v>
      </c>
      <c r="E1388" s="273" t="e">
        <f ca="1">_xludf.IFNA(VLOOKUP('Comp X - Kilter'!B1388,'Kilter Holds'!$P$37:$AB$662,5,0),0)</f>
        <v>#NAME?</v>
      </c>
      <c r="F1388" s="274"/>
      <c r="G1388" s="274" t="e">
        <f t="shared" ca="1" si="42"/>
        <v>#NAME?</v>
      </c>
      <c r="H1388" s="274">
        <f t="shared" si="43"/>
        <v>0</v>
      </c>
      <c r="K1388" s="274"/>
    </row>
    <row r="1389" spans="2:11" ht="13.5" customHeight="1">
      <c r="B1389" s="1" t="s">
        <v>2055</v>
      </c>
      <c r="C1389" s="1" t="s">
        <v>3422</v>
      </c>
      <c r="D1389" s="408" t="str">
        <f t="shared" si="46"/>
        <v>14-01</v>
      </c>
      <c r="E1389" s="273" t="e">
        <f ca="1">_xludf.IFNA(VLOOKUP('Comp X - Kilter'!B1389,'Kilter Holds'!$P$37:$AB$662,6,0),0)</f>
        <v>#NAME?</v>
      </c>
      <c r="F1389" s="274"/>
      <c r="G1389" s="274" t="e">
        <f t="shared" ca="1" si="42"/>
        <v>#NAME?</v>
      </c>
      <c r="H1389" s="274">
        <f t="shared" si="43"/>
        <v>0</v>
      </c>
      <c r="K1389" s="274"/>
    </row>
    <row r="1390" spans="2:11" ht="13.5" customHeight="1">
      <c r="B1390" s="1" t="s">
        <v>2055</v>
      </c>
      <c r="C1390" s="1" t="s">
        <v>3422</v>
      </c>
      <c r="D1390" s="409" t="str">
        <f t="shared" si="46"/>
        <v>15-12</v>
      </c>
      <c r="E1390" s="273" t="e">
        <f ca="1">_xludf.IFNA(VLOOKUP('Comp X - Kilter'!B1390,'Kilter Holds'!$P$37:$AB$662,7,0),0)</f>
        <v>#NAME?</v>
      </c>
      <c r="F1390" s="274"/>
      <c r="G1390" s="274" t="e">
        <f t="shared" ca="1" si="42"/>
        <v>#NAME?</v>
      </c>
      <c r="H1390" s="274">
        <f t="shared" si="43"/>
        <v>0</v>
      </c>
      <c r="K1390" s="274"/>
    </row>
    <row r="1391" spans="2:11" ht="13.5" customHeight="1">
      <c r="B1391" s="1" t="s">
        <v>2055</v>
      </c>
      <c r="C1391" s="1" t="s">
        <v>3422</v>
      </c>
      <c r="D1391" s="410" t="str">
        <f t="shared" si="46"/>
        <v>16-16</v>
      </c>
      <c r="E1391" s="273" t="e">
        <f ca="1">_xludf.IFNA(VLOOKUP('Comp X - Kilter'!B1391,'Kilter Holds'!$P$37:$AB$662,8,0),0)</f>
        <v>#NAME?</v>
      </c>
      <c r="F1391" s="274"/>
      <c r="G1391" s="274" t="e">
        <f t="shared" ca="1" si="42"/>
        <v>#NAME?</v>
      </c>
      <c r="H1391" s="274">
        <f t="shared" si="43"/>
        <v>0</v>
      </c>
      <c r="K1391" s="274"/>
    </row>
    <row r="1392" spans="2:11" ht="13.5" customHeight="1">
      <c r="B1392" s="1" t="s">
        <v>2055</v>
      </c>
      <c r="C1392" s="1" t="s">
        <v>3422</v>
      </c>
      <c r="D1392" s="411" t="str">
        <f t="shared" si="46"/>
        <v>13-01</v>
      </c>
      <c r="E1392" s="273" t="e">
        <f ca="1">_xludf.IFNA(VLOOKUP('Comp X - Kilter'!B1392,'Kilter Holds'!$P$37:$AB$662,9,0),0)</f>
        <v>#NAME?</v>
      </c>
      <c r="F1392" s="274"/>
      <c r="G1392" s="274" t="e">
        <f t="shared" ca="1" si="42"/>
        <v>#NAME?</v>
      </c>
      <c r="H1392" s="274">
        <f t="shared" si="43"/>
        <v>0</v>
      </c>
      <c r="K1392" s="274"/>
    </row>
    <row r="1393" spans="2:11" ht="13.5" customHeight="1">
      <c r="B1393" s="1" t="s">
        <v>2055</v>
      </c>
      <c r="C1393" s="1" t="s">
        <v>3422</v>
      </c>
      <c r="D1393" s="413" t="str">
        <f t="shared" si="46"/>
        <v>07-13</v>
      </c>
      <c r="E1393" s="273" t="e">
        <f ca="1">_xludf.IFNA(VLOOKUP('Comp X - Kilter'!B1393,'Kilter Holds'!$P$37:$AB$662,10,0),0)</f>
        <v>#NAME?</v>
      </c>
      <c r="F1393" s="274"/>
      <c r="G1393" s="274" t="e">
        <f t="shared" ca="1" si="42"/>
        <v>#NAME?</v>
      </c>
      <c r="H1393" s="274">
        <f t="shared" si="43"/>
        <v>0</v>
      </c>
      <c r="K1393" s="274"/>
    </row>
    <row r="1394" spans="2:11" ht="13.5" customHeight="1">
      <c r="B1394" s="1" t="s">
        <v>2055</v>
      </c>
      <c r="C1394" s="1" t="s">
        <v>3422</v>
      </c>
      <c r="D1394" s="414" t="str">
        <f t="shared" si="46"/>
        <v>11-26</v>
      </c>
      <c r="E1394" s="273" t="e">
        <f ca="1">_xludf.IFNA(VLOOKUP('Comp X - Kilter'!B1394,'Kilter Holds'!$P$37:$AB$662,11,0),0)</f>
        <v>#NAME?</v>
      </c>
      <c r="F1394" s="274"/>
      <c r="G1394" s="274" t="e">
        <f t="shared" ca="1" si="42"/>
        <v>#NAME?</v>
      </c>
      <c r="H1394" s="274">
        <f t="shared" si="43"/>
        <v>0</v>
      </c>
      <c r="K1394" s="274"/>
    </row>
    <row r="1395" spans="2:11" ht="13.5" customHeight="1">
      <c r="B1395" s="1" t="s">
        <v>2055</v>
      </c>
      <c r="C1395" s="1" t="s">
        <v>3422</v>
      </c>
      <c r="D1395" s="415" t="str">
        <f t="shared" si="46"/>
        <v>18-01</v>
      </c>
      <c r="E1395" s="273" t="e">
        <f ca="1">_xludf.IFNA(VLOOKUP('Comp X - Kilter'!B1395,'Kilter Holds'!$P$37:$AB$662,12,0),0)</f>
        <v>#NAME?</v>
      </c>
      <c r="F1395" s="274"/>
      <c r="G1395" s="274" t="e">
        <f t="shared" ca="1" si="42"/>
        <v>#NAME?</v>
      </c>
      <c r="H1395" s="274">
        <f t="shared" si="43"/>
        <v>0</v>
      </c>
      <c r="K1395" s="274"/>
    </row>
    <row r="1396" spans="2:11" ht="13.5" customHeight="1">
      <c r="B1396" s="1" t="s">
        <v>2055</v>
      </c>
      <c r="C1396" s="1" t="s">
        <v>3422</v>
      </c>
      <c r="D1396" s="416" t="str">
        <f t="shared" si="46"/>
        <v>Color Code</v>
      </c>
      <c r="E1396" s="273" t="e">
        <f ca="1">_xludf.IFNA(VLOOKUP('Comp X - Kilter'!B1396,'Kilter Holds'!$P$37:$AB$662,13,0),0)</f>
        <v>#NAME?</v>
      </c>
      <c r="F1396" s="274"/>
      <c r="G1396" s="274" t="e">
        <f t="shared" ca="1" si="42"/>
        <v>#NAME?</v>
      </c>
      <c r="H1396" s="274">
        <f t="shared" si="43"/>
        <v>0</v>
      </c>
      <c r="K1396" s="274"/>
    </row>
    <row r="1397" spans="2:11" ht="13.5" customHeight="1">
      <c r="B1397" s="1" t="s">
        <v>2044</v>
      </c>
      <c r="C1397" s="1" t="s">
        <v>3423</v>
      </c>
      <c r="D1397" s="406" t="str">
        <f t="shared" ref="D1397:D1405" si="47">D704</f>
        <v>11-12</v>
      </c>
      <c r="E1397" s="273" t="e">
        <f ca="1">_xludf.IFNA(VLOOKUP('Comp X - Kilter'!B1397,'Kilter Holds'!$P$37:$AB$662,5,0),0)</f>
        <v>#NAME?</v>
      </c>
      <c r="F1397" s="274"/>
      <c r="G1397" s="274" t="e">
        <f t="shared" ca="1" si="42"/>
        <v>#NAME?</v>
      </c>
      <c r="H1397" s="274">
        <f t="shared" si="43"/>
        <v>0</v>
      </c>
      <c r="K1397" s="274"/>
    </row>
    <row r="1398" spans="2:11" ht="13.5" customHeight="1">
      <c r="B1398" s="1" t="s">
        <v>2044</v>
      </c>
      <c r="C1398" s="1" t="s">
        <v>3423</v>
      </c>
      <c r="D1398" s="408" t="str">
        <f t="shared" si="47"/>
        <v>14-01</v>
      </c>
      <c r="E1398" s="273" t="e">
        <f ca="1">_xludf.IFNA(VLOOKUP('Comp X - Kilter'!B1398,'Kilter Holds'!$P$37:$AB$662,6,0),0)</f>
        <v>#NAME?</v>
      </c>
      <c r="F1398" s="274"/>
      <c r="G1398" s="274" t="e">
        <f t="shared" ca="1" si="42"/>
        <v>#NAME?</v>
      </c>
      <c r="H1398" s="274">
        <f t="shared" si="43"/>
        <v>0</v>
      </c>
      <c r="K1398" s="274"/>
    </row>
    <row r="1399" spans="2:11" ht="13.5" customHeight="1">
      <c r="B1399" s="1" t="s">
        <v>2044</v>
      </c>
      <c r="C1399" s="1" t="s">
        <v>3423</v>
      </c>
      <c r="D1399" s="409" t="str">
        <f t="shared" si="47"/>
        <v>15-12</v>
      </c>
      <c r="E1399" s="273" t="e">
        <f ca="1">_xludf.IFNA(VLOOKUP('Comp X - Kilter'!B1399,'Kilter Holds'!$P$37:$AB$662,7,0),0)</f>
        <v>#NAME?</v>
      </c>
      <c r="F1399" s="274"/>
      <c r="G1399" s="274" t="e">
        <f t="shared" ca="1" si="42"/>
        <v>#NAME?</v>
      </c>
      <c r="H1399" s="274">
        <f t="shared" si="43"/>
        <v>0</v>
      </c>
      <c r="K1399" s="274"/>
    </row>
    <row r="1400" spans="2:11" ht="13.5" customHeight="1">
      <c r="B1400" s="1" t="s">
        <v>2044</v>
      </c>
      <c r="C1400" s="1" t="s">
        <v>3423</v>
      </c>
      <c r="D1400" s="410" t="str">
        <f t="shared" si="47"/>
        <v>16-16</v>
      </c>
      <c r="E1400" s="273" t="e">
        <f ca="1">_xludf.IFNA(VLOOKUP('Comp X - Kilter'!B1400,'Kilter Holds'!$P$37:$AB$662,8,0),0)</f>
        <v>#NAME?</v>
      </c>
      <c r="F1400" s="274"/>
      <c r="G1400" s="274" t="e">
        <f t="shared" ca="1" si="42"/>
        <v>#NAME?</v>
      </c>
      <c r="H1400" s="274">
        <f t="shared" si="43"/>
        <v>0</v>
      </c>
      <c r="K1400" s="274"/>
    </row>
    <row r="1401" spans="2:11" ht="13.5" customHeight="1">
      <c r="B1401" s="1" t="s">
        <v>2044</v>
      </c>
      <c r="C1401" s="1" t="s">
        <v>3423</v>
      </c>
      <c r="D1401" s="411" t="str">
        <f t="shared" si="47"/>
        <v>13-01</v>
      </c>
      <c r="E1401" s="273" t="e">
        <f ca="1">_xludf.IFNA(VLOOKUP('Comp X - Kilter'!B1401,'Kilter Holds'!$P$37:$AB$662,9,0),0)</f>
        <v>#NAME?</v>
      </c>
      <c r="F1401" s="274"/>
      <c r="G1401" s="274" t="e">
        <f t="shared" ca="1" si="42"/>
        <v>#NAME?</v>
      </c>
      <c r="H1401" s="274">
        <f t="shared" si="43"/>
        <v>0</v>
      </c>
      <c r="K1401" s="274"/>
    </row>
    <row r="1402" spans="2:11" ht="13.5" customHeight="1">
      <c r="B1402" s="1" t="s">
        <v>2044</v>
      </c>
      <c r="C1402" s="1" t="s">
        <v>3423</v>
      </c>
      <c r="D1402" s="413" t="str">
        <f t="shared" si="47"/>
        <v>07-13</v>
      </c>
      <c r="E1402" s="273" t="e">
        <f ca="1">_xludf.IFNA(VLOOKUP('Comp X - Kilter'!B1402,'Kilter Holds'!$P$37:$AB$662,10,0),0)</f>
        <v>#NAME?</v>
      </c>
      <c r="F1402" s="274"/>
      <c r="G1402" s="274" t="e">
        <f t="shared" ca="1" si="42"/>
        <v>#NAME?</v>
      </c>
      <c r="H1402" s="274">
        <f t="shared" si="43"/>
        <v>0</v>
      </c>
      <c r="K1402" s="274"/>
    </row>
    <row r="1403" spans="2:11" ht="13.5" customHeight="1">
      <c r="B1403" s="1" t="s">
        <v>2044</v>
      </c>
      <c r="C1403" s="1" t="s">
        <v>3423</v>
      </c>
      <c r="D1403" s="414" t="str">
        <f t="shared" si="47"/>
        <v>11-26</v>
      </c>
      <c r="E1403" s="273" t="e">
        <f ca="1">_xludf.IFNA(VLOOKUP('Comp X - Kilter'!B1403,'Kilter Holds'!$P$37:$AB$662,11,0),0)</f>
        <v>#NAME?</v>
      </c>
      <c r="F1403" s="274"/>
      <c r="G1403" s="274" t="e">
        <f t="shared" ca="1" si="42"/>
        <v>#NAME?</v>
      </c>
      <c r="H1403" s="274">
        <f t="shared" si="43"/>
        <v>0</v>
      </c>
      <c r="K1403" s="274"/>
    </row>
    <row r="1404" spans="2:11" ht="13.5" customHeight="1">
      <c r="B1404" s="1" t="s">
        <v>2044</v>
      </c>
      <c r="C1404" s="1" t="s">
        <v>3423</v>
      </c>
      <c r="D1404" s="415" t="str">
        <f t="shared" si="47"/>
        <v>18-01</v>
      </c>
      <c r="E1404" s="273" t="e">
        <f ca="1">_xludf.IFNA(VLOOKUP('Comp X - Kilter'!B1404,'Kilter Holds'!$P$37:$AB$662,12,0),0)</f>
        <v>#NAME?</v>
      </c>
      <c r="F1404" s="274"/>
      <c r="G1404" s="274" t="e">
        <f t="shared" ca="1" si="42"/>
        <v>#NAME?</v>
      </c>
      <c r="H1404" s="274">
        <f t="shared" si="43"/>
        <v>0</v>
      </c>
      <c r="K1404" s="274"/>
    </row>
    <row r="1405" spans="2:11" ht="13.5" customHeight="1">
      <c r="B1405" s="1" t="s">
        <v>2044</v>
      </c>
      <c r="C1405" s="1" t="s">
        <v>3423</v>
      </c>
      <c r="D1405" s="416" t="str">
        <f t="shared" si="47"/>
        <v>Color Code</v>
      </c>
      <c r="E1405" s="273" t="e">
        <f ca="1">_xludf.IFNA(VLOOKUP('Comp X - Kilter'!B1405,'Kilter Holds'!$P$37:$AB$662,13,0),0)</f>
        <v>#NAME?</v>
      </c>
      <c r="F1405" s="274"/>
      <c r="G1405" s="274" t="e">
        <f t="shared" ca="1" si="42"/>
        <v>#NAME?</v>
      </c>
      <c r="H1405" s="274">
        <f t="shared" si="43"/>
        <v>0</v>
      </c>
      <c r="K1405" s="274"/>
    </row>
    <row r="1406" spans="2:11" ht="13.5" customHeight="1">
      <c r="B1406" s="1" t="s">
        <v>2047</v>
      </c>
      <c r="C1406" s="1" t="s">
        <v>3424</v>
      </c>
      <c r="D1406" s="406" t="str">
        <f t="shared" ref="D1406:D1432" si="48">D704</f>
        <v>11-12</v>
      </c>
      <c r="E1406" s="273" t="e">
        <f ca="1">_xludf.IFNA(VLOOKUP('Comp X - Kilter'!B1406,'Kilter Holds'!$P$37:$AB$662,5,0),0)</f>
        <v>#NAME?</v>
      </c>
      <c r="F1406" s="274"/>
      <c r="G1406" s="274" t="e">
        <f t="shared" ca="1" si="42"/>
        <v>#NAME?</v>
      </c>
      <c r="H1406" s="274">
        <f t="shared" si="43"/>
        <v>0</v>
      </c>
      <c r="K1406" s="274"/>
    </row>
    <row r="1407" spans="2:11" ht="13.5" customHeight="1">
      <c r="B1407" s="1" t="s">
        <v>2047</v>
      </c>
      <c r="C1407" s="1" t="s">
        <v>3424</v>
      </c>
      <c r="D1407" s="408" t="str">
        <f t="shared" si="48"/>
        <v>14-01</v>
      </c>
      <c r="E1407" s="273" t="e">
        <f ca="1">_xludf.IFNA(VLOOKUP('Comp X - Kilter'!B1407,'Kilter Holds'!$P$37:$AB$662,6,0),0)</f>
        <v>#NAME?</v>
      </c>
      <c r="F1407" s="274"/>
      <c r="G1407" s="274" t="e">
        <f t="shared" ca="1" si="42"/>
        <v>#NAME?</v>
      </c>
      <c r="H1407" s="274">
        <f t="shared" si="43"/>
        <v>0</v>
      </c>
      <c r="K1407" s="274"/>
    </row>
    <row r="1408" spans="2:11" ht="13.5" customHeight="1">
      <c r="B1408" s="1" t="s">
        <v>2047</v>
      </c>
      <c r="C1408" s="1" t="s">
        <v>3424</v>
      </c>
      <c r="D1408" s="409" t="str">
        <f t="shared" si="48"/>
        <v>15-12</v>
      </c>
      <c r="E1408" s="273" t="e">
        <f ca="1">_xludf.IFNA(VLOOKUP('Comp X - Kilter'!B1408,'Kilter Holds'!$P$37:$AB$662,7,0),0)</f>
        <v>#NAME?</v>
      </c>
      <c r="F1408" s="274"/>
      <c r="G1408" s="274" t="e">
        <f t="shared" ca="1" si="42"/>
        <v>#NAME?</v>
      </c>
      <c r="H1408" s="274">
        <f t="shared" si="43"/>
        <v>0</v>
      </c>
      <c r="K1408" s="274"/>
    </row>
    <row r="1409" spans="2:11" ht="13.5" customHeight="1">
      <c r="B1409" s="1" t="s">
        <v>2047</v>
      </c>
      <c r="C1409" s="1" t="s">
        <v>3424</v>
      </c>
      <c r="D1409" s="410" t="str">
        <f t="shared" si="48"/>
        <v>16-16</v>
      </c>
      <c r="E1409" s="273" t="e">
        <f ca="1">_xludf.IFNA(VLOOKUP('Comp X - Kilter'!B1409,'Kilter Holds'!$P$37:$AB$662,8,0),0)</f>
        <v>#NAME?</v>
      </c>
      <c r="F1409" s="274"/>
      <c r="G1409" s="274" t="e">
        <f t="shared" ca="1" si="42"/>
        <v>#NAME?</v>
      </c>
      <c r="H1409" s="274">
        <f t="shared" si="43"/>
        <v>0</v>
      </c>
      <c r="K1409" s="274"/>
    </row>
    <row r="1410" spans="2:11" ht="13.5" customHeight="1">
      <c r="B1410" s="1" t="s">
        <v>2047</v>
      </c>
      <c r="C1410" s="1" t="s">
        <v>3424</v>
      </c>
      <c r="D1410" s="411" t="str">
        <f t="shared" si="48"/>
        <v>13-01</v>
      </c>
      <c r="E1410" s="273" t="e">
        <f ca="1">_xludf.IFNA(VLOOKUP('Comp X - Kilter'!B1410,'Kilter Holds'!$P$37:$AB$662,9,0),0)</f>
        <v>#NAME?</v>
      </c>
      <c r="F1410" s="274"/>
      <c r="G1410" s="274" t="e">
        <f t="shared" ca="1" si="42"/>
        <v>#NAME?</v>
      </c>
      <c r="H1410" s="274">
        <f t="shared" si="43"/>
        <v>0</v>
      </c>
      <c r="K1410" s="274"/>
    </row>
    <row r="1411" spans="2:11" ht="13.5" customHeight="1">
      <c r="B1411" s="1" t="s">
        <v>2047</v>
      </c>
      <c r="C1411" s="1" t="s">
        <v>3424</v>
      </c>
      <c r="D1411" s="413" t="str">
        <f t="shared" si="48"/>
        <v>07-13</v>
      </c>
      <c r="E1411" s="273" t="e">
        <f ca="1">_xludf.IFNA(VLOOKUP('Comp X - Kilter'!B1411,'Kilter Holds'!$P$37:$AB$662,10,0),0)</f>
        <v>#NAME?</v>
      </c>
      <c r="F1411" s="274"/>
      <c r="G1411" s="274" t="e">
        <f t="shared" ca="1" si="42"/>
        <v>#NAME?</v>
      </c>
      <c r="H1411" s="274">
        <f t="shared" si="43"/>
        <v>0</v>
      </c>
      <c r="K1411" s="274"/>
    </row>
    <row r="1412" spans="2:11" ht="13.5" customHeight="1">
      <c r="B1412" s="1" t="s">
        <v>2047</v>
      </c>
      <c r="C1412" s="1" t="s">
        <v>3424</v>
      </c>
      <c r="D1412" s="414" t="str">
        <f t="shared" si="48"/>
        <v>11-26</v>
      </c>
      <c r="E1412" s="273" t="e">
        <f ca="1">_xludf.IFNA(VLOOKUP('Comp X - Kilter'!B1412,'Kilter Holds'!$P$37:$AB$662,11,0),0)</f>
        <v>#NAME?</v>
      </c>
      <c r="F1412" s="274"/>
      <c r="G1412" s="274" t="e">
        <f t="shared" ca="1" si="42"/>
        <v>#NAME?</v>
      </c>
      <c r="H1412" s="274">
        <f t="shared" si="43"/>
        <v>0</v>
      </c>
      <c r="K1412" s="274"/>
    </row>
    <row r="1413" spans="2:11" ht="13.5" customHeight="1">
      <c r="B1413" s="1" t="s">
        <v>2047</v>
      </c>
      <c r="C1413" s="1" t="s">
        <v>3424</v>
      </c>
      <c r="D1413" s="415" t="str">
        <f t="shared" si="48"/>
        <v>18-01</v>
      </c>
      <c r="E1413" s="273" t="e">
        <f ca="1">_xludf.IFNA(VLOOKUP('Comp X - Kilter'!B1413,'Kilter Holds'!$P$37:$AB$662,12,0),0)</f>
        <v>#NAME?</v>
      </c>
      <c r="F1413" s="274"/>
      <c r="G1413" s="274" t="e">
        <f t="shared" ca="1" si="42"/>
        <v>#NAME?</v>
      </c>
      <c r="H1413" s="274">
        <f t="shared" si="43"/>
        <v>0</v>
      </c>
      <c r="K1413" s="274"/>
    </row>
    <row r="1414" spans="2:11" ht="13.5" customHeight="1">
      <c r="B1414" s="1" t="s">
        <v>2047</v>
      </c>
      <c r="C1414" s="1" t="s">
        <v>3424</v>
      </c>
      <c r="D1414" s="416" t="str">
        <f t="shared" si="48"/>
        <v>Color Code</v>
      </c>
      <c r="E1414" s="273" t="e">
        <f ca="1">_xludf.IFNA(VLOOKUP('Comp X - Kilter'!B1414,'Kilter Holds'!$P$37:$AB$662,13,0),0)</f>
        <v>#NAME?</v>
      </c>
      <c r="F1414" s="274"/>
      <c r="G1414" s="274" t="e">
        <f t="shared" ca="1" si="42"/>
        <v>#NAME?</v>
      </c>
      <c r="H1414" s="274">
        <f t="shared" si="43"/>
        <v>0</v>
      </c>
      <c r="K1414" s="274"/>
    </row>
    <row r="1415" spans="2:11" ht="13.5" customHeight="1">
      <c r="B1415" s="1" t="s">
        <v>2048</v>
      </c>
      <c r="C1415" s="1" t="s">
        <v>3425</v>
      </c>
      <c r="D1415" s="406" t="str">
        <f t="shared" si="48"/>
        <v>11-12</v>
      </c>
      <c r="E1415" s="273" t="e">
        <f ca="1">_xludf.IFNA(VLOOKUP('Comp X - Kilter'!B1415,'Kilter Holds'!$P$37:$AB$662,5,0),0)</f>
        <v>#NAME?</v>
      </c>
      <c r="F1415" s="274"/>
      <c r="G1415" s="274" t="e">
        <f t="shared" ca="1" si="42"/>
        <v>#NAME?</v>
      </c>
      <c r="H1415" s="274">
        <f t="shared" si="43"/>
        <v>0</v>
      </c>
      <c r="K1415" s="274"/>
    </row>
    <row r="1416" spans="2:11" ht="13.5" customHeight="1">
      <c r="B1416" s="1" t="s">
        <v>2048</v>
      </c>
      <c r="C1416" s="1" t="s">
        <v>3425</v>
      </c>
      <c r="D1416" s="408" t="str">
        <f t="shared" si="48"/>
        <v>14-01</v>
      </c>
      <c r="E1416" s="273" t="e">
        <f ca="1">_xludf.IFNA(VLOOKUP('Comp X - Kilter'!B1416,'Kilter Holds'!$P$37:$AB$662,6,0),0)</f>
        <v>#NAME?</v>
      </c>
      <c r="F1416" s="274"/>
      <c r="G1416" s="274" t="e">
        <f t="shared" ca="1" si="42"/>
        <v>#NAME?</v>
      </c>
      <c r="H1416" s="274">
        <f t="shared" si="43"/>
        <v>0</v>
      </c>
      <c r="K1416" s="274"/>
    </row>
    <row r="1417" spans="2:11" ht="13.5" customHeight="1">
      <c r="B1417" s="1" t="s">
        <v>2048</v>
      </c>
      <c r="C1417" s="1" t="s">
        <v>3425</v>
      </c>
      <c r="D1417" s="409" t="str">
        <f t="shared" si="48"/>
        <v>15-12</v>
      </c>
      <c r="E1417" s="273" t="e">
        <f ca="1">_xludf.IFNA(VLOOKUP('Comp X - Kilter'!B1417,'Kilter Holds'!$P$37:$AB$662,7,0),0)</f>
        <v>#NAME?</v>
      </c>
      <c r="F1417" s="274"/>
      <c r="G1417" s="274" t="e">
        <f t="shared" ca="1" si="42"/>
        <v>#NAME?</v>
      </c>
      <c r="H1417" s="274">
        <f t="shared" si="43"/>
        <v>0</v>
      </c>
      <c r="K1417" s="274"/>
    </row>
    <row r="1418" spans="2:11" ht="13.5" customHeight="1">
      <c r="B1418" s="1" t="s">
        <v>2048</v>
      </c>
      <c r="C1418" s="1" t="s">
        <v>3425</v>
      </c>
      <c r="D1418" s="410" t="str">
        <f t="shared" si="48"/>
        <v>16-16</v>
      </c>
      <c r="E1418" s="273" t="e">
        <f ca="1">_xludf.IFNA(VLOOKUP('Comp X - Kilter'!B1418,'Kilter Holds'!$P$37:$AB$662,8,0),0)</f>
        <v>#NAME?</v>
      </c>
      <c r="F1418" s="274"/>
      <c r="G1418" s="274" t="e">
        <f t="shared" ca="1" si="42"/>
        <v>#NAME?</v>
      </c>
      <c r="H1418" s="274">
        <f t="shared" si="43"/>
        <v>0</v>
      </c>
      <c r="K1418" s="274"/>
    </row>
    <row r="1419" spans="2:11" ht="13.5" customHeight="1">
      <c r="B1419" s="1" t="s">
        <v>2048</v>
      </c>
      <c r="C1419" s="1" t="s">
        <v>3425</v>
      </c>
      <c r="D1419" s="411" t="str">
        <f t="shared" si="48"/>
        <v>13-01</v>
      </c>
      <c r="E1419" s="273" t="e">
        <f ca="1">_xludf.IFNA(VLOOKUP('Comp X - Kilter'!B1419,'Kilter Holds'!$P$37:$AB$662,9,0),0)</f>
        <v>#NAME?</v>
      </c>
      <c r="F1419" s="274"/>
      <c r="G1419" s="274" t="e">
        <f t="shared" ca="1" si="42"/>
        <v>#NAME?</v>
      </c>
      <c r="H1419" s="274">
        <f t="shared" si="43"/>
        <v>0</v>
      </c>
      <c r="K1419" s="274"/>
    </row>
    <row r="1420" spans="2:11" ht="13.5" customHeight="1">
      <c r="B1420" s="1" t="s">
        <v>2048</v>
      </c>
      <c r="C1420" s="1" t="s">
        <v>3425</v>
      </c>
      <c r="D1420" s="413" t="str">
        <f t="shared" si="48"/>
        <v>07-13</v>
      </c>
      <c r="E1420" s="273" t="e">
        <f ca="1">_xludf.IFNA(VLOOKUP('Comp X - Kilter'!B1420,'Kilter Holds'!$P$37:$AB$662,10,0),0)</f>
        <v>#NAME?</v>
      </c>
      <c r="F1420" s="274"/>
      <c r="G1420" s="274" t="e">
        <f t="shared" ca="1" si="42"/>
        <v>#NAME?</v>
      </c>
      <c r="H1420" s="274">
        <f t="shared" si="43"/>
        <v>0</v>
      </c>
      <c r="K1420" s="274"/>
    </row>
    <row r="1421" spans="2:11" ht="13.5" customHeight="1">
      <c r="B1421" s="1" t="s">
        <v>2048</v>
      </c>
      <c r="C1421" s="1" t="s">
        <v>3425</v>
      </c>
      <c r="D1421" s="414" t="str">
        <f t="shared" si="48"/>
        <v>11-26</v>
      </c>
      <c r="E1421" s="273" t="e">
        <f ca="1">_xludf.IFNA(VLOOKUP('Comp X - Kilter'!B1421,'Kilter Holds'!$P$37:$AB$662,11,0),0)</f>
        <v>#NAME?</v>
      </c>
      <c r="F1421" s="274"/>
      <c r="G1421" s="274" t="e">
        <f t="shared" ca="1" si="42"/>
        <v>#NAME?</v>
      </c>
      <c r="H1421" s="274">
        <f t="shared" si="43"/>
        <v>0</v>
      </c>
      <c r="K1421" s="274"/>
    </row>
    <row r="1422" spans="2:11" ht="13.5" customHeight="1">
      <c r="B1422" s="1" t="s">
        <v>2048</v>
      </c>
      <c r="C1422" s="1" t="s">
        <v>3425</v>
      </c>
      <c r="D1422" s="415" t="str">
        <f t="shared" si="48"/>
        <v>18-01</v>
      </c>
      <c r="E1422" s="273" t="e">
        <f ca="1">_xludf.IFNA(VLOOKUP('Comp X - Kilter'!B1422,'Kilter Holds'!$P$37:$AB$662,12,0),0)</f>
        <v>#NAME?</v>
      </c>
      <c r="F1422" s="274"/>
      <c r="G1422" s="274" t="e">
        <f t="shared" ca="1" si="42"/>
        <v>#NAME?</v>
      </c>
      <c r="H1422" s="274">
        <f t="shared" si="43"/>
        <v>0</v>
      </c>
      <c r="K1422" s="274"/>
    </row>
    <row r="1423" spans="2:11" ht="13.5" customHeight="1">
      <c r="B1423" s="1" t="s">
        <v>2048</v>
      </c>
      <c r="C1423" s="1" t="s">
        <v>3425</v>
      </c>
      <c r="D1423" s="416" t="str">
        <f t="shared" si="48"/>
        <v>Color Code</v>
      </c>
      <c r="E1423" s="273" t="e">
        <f ca="1">_xludf.IFNA(VLOOKUP('Comp X - Kilter'!B1423,'Kilter Holds'!$P$37:$AB$662,13,0),0)</f>
        <v>#NAME?</v>
      </c>
      <c r="F1423" s="274"/>
      <c r="G1423" s="274" t="e">
        <f t="shared" ca="1" si="42"/>
        <v>#NAME?</v>
      </c>
      <c r="H1423" s="274">
        <f t="shared" si="43"/>
        <v>0</v>
      </c>
      <c r="K1423" s="274"/>
    </row>
    <row r="1424" spans="2:11" ht="13.5" customHeight="1">
      <c r="B1424" s="1" t="s">
        <v>2059</v>
      </c>
      <c r="C1424" s="1" t="s">
        <v>3426</v>
      </c>
      <c r="D1424" s="406" t="str">
        <f t="shared" si="48"/>
        <v>11-12</v>
      </c>
      <c r="E1424" s="273" t="e">
        <f ca="1">_xludf.IFNA(VLOOKUP('Comp X - Kilter'!B1424,'Kilter Holds'!$P$37:$AB$662,5,0),0)</f>
        <v>#NAME?</v>
      </c>
      <c r="F1424" s="274"/>
      <c r="G1424" s="274" t="e">
        <f t="shared" ca="1" si="42"/>
        <v>#NAME?</v>
      </c>
      <c r="H1424" s="274">
        <f t="shared" si="43"/>
        <v>0</v>
      </c>
      <c r="K1424" s="274"/>
    </row>
    <row r="1425" spans="2:11" ht="13.5" customHeight="1">
      <c r="B1425" s="1" t="s">
        <v>2059</v>
      </c>
      <c r="C1425" s="1" t="s">
        <v>3426</v>
      </c>
      <c r="D1425" s="408" t="str">
        <f t="shared" si="48"/>
        <v>14-01</v>
      </c>
      <c r="E1425" s="273" t="e">
        <f ca="1">_xludf.IFNA(VLOOKUP('Comp X - Kilter'!B1425,'Kilter Holds'!$P$37:$AB$662,6,0),0)</f>
        <v>#NAME?</v>
      </c>
      <c r="F1425" s="274"/>
      <c r="G1425" s="274" t="e">
        <f t="shared" ca="1" si="42"/>
        <v>#NAME?</v>
      </c>
      <c r="H1425" s="274">
        <f t="shared" si="43"/>
        <v>0</v>
      </c>
      <c r="K1425" s="274"/>
    </row>
    <row r="1426" spans="2:11" ht="13.5" customHeight="1">
      <c r="B1426" s="1" t="s">
        <v>2059</v>
      </c>
      <c r="C1426" s="1" t="s">
        <v>3426</v>
      </c>
      <c r="D1426" s="409" t="str">
        <f t="shared" si="48"/>
        <v>15-12</v>
      </c>
      <c r="E1426" s="273" t="e">
        <f ca="1">_xludf.IFNA(VLOOKUP('Comp X - Kilter'!B1426,'Kilter Holds'!$P$37:$AB$662,7,0),0)</f>
        <v>#NAME?</v>
      </c>
      <c r="F1426" s="274"/>
      <c r="G1426" s="274" t="e">
        <f t="shared" ca="1" si="42"/>
        <v>#NAME?</v>
      </c>
      <c r="H1426" s="274">
        <f t="shared" si="43"/>
        <v>0</v>
      </c>
      <c r="K1426" s="274"/>
    </row>
    <row r="1427" spans="2:11" ht="13.5" customHeight="1">
      <c r="B1427" s="1" t="s">
        <v>2059</v>
      </c>
      <c r="C1427" s="1" t="s">
        <v>3426</v>
      </c>
      <c r="D1427" s="410" t="str">
        <f t="shared" si="48"/>
        <v>16-16</v>
      </c>
      <c r="E1427" s="273" t="e">
        <f ca="1">_xludf.IFNA(VLOOKUP('Comp X - Kilter'!B1427,'Kilter Holds'!$P$37:$AB$662,8,0),0)</f>
        <v>#NAME?</v>
      </c>
      <c r="F1427" s="274"/>
      <c r="G1427" s="274" t="e">
        <f t="shared" ca="1" si="42"/>
        <v>#NAME?</v>
      </c>
      <c r="H1427" s="274">
        <f t="shared" si="43"/>
        <v>0</v>
      </c>
      <c r="K1427" s="274"/>
    </row>
    <row r="1428" spans="2:11" ht="13.5" customHeight="1">
      <c r="B1428" s="1" t="s">
        <v>2059</v>
      </c>
      <c r="C1428" s="1" t="s">
        <v>3426</v>
      </c>
      <c r="D1428" s="411" t="str">
        <f t="shared" si="48"/>
        <v>13-01</v>
      </c>
      <c r="E1428" s="273" t="e">
        <f ca="1">_xludf.IFNA(VLOOKUP('Comp X - Kilter'!B1428,'Kilter Holds'!$P$37:$AB$662,9,0),0)</f>
        <v>#NAME?</v>
      </c>
      <c r="F1428" s="274"/>
      <c r="G1428" s="274" t="e">
        <f t="shared" ca="1" si="42"/>
        <v>#NAME?</v>
      </c>
      <c r="H1428" s="274">
        <f t="shared" si="43"/>
        <v>0</v>
      </c>
      <c r="K1428" s="274"/>
    </row>
    <row r="1429" spans="2:11" ht="13.5" customHeight="1">
      <c r="B1429" s="1" t="s">
        <v>2059</v>
      </c>
      <c r="C1429" s="1" t="s">
        <v>3426</v>
      </c>
      <c r="D1429" s="413" t="str">
        <f t="shared" si="48"/>
        <v>07-13</v>
      </c>
      <c r="E1429" s="273" t="e">
        <f ca="1">_xludf.IFNA(VLOOKUP('Comp X - Kilter'!B1429,'Kilter Holds'!$P$37:$AB$662,10,0),0)</f>
        <v>#NAME?</v>
      </c>
      <c r="F1429" s="274"/>
      <c r="G1429" s="274" t="e">
        <f t="shared" ca="1" si="42"/>
        <v>#NAME?</v>
      </c>
      <c r="H1429" s="274">
        <f t="shared" si="43"/>
        <v>0</v>
      </c>
      <c r="K1429" s="274"/>
    </row>
    <row r="1430" spans="2:11" ht="13.5" customHeight="1">
      <c r="B1430" s="1" t="s">
        <v>2059</v>
      </c>
      <c r="C1430" s="1" t="s">
        <v>3426</v>
      </c>
      <c r="D1430" s="414" t="str">
        <f t="shared" si="48"/>
        <v>11-26</v>
      </c>
      <c r="E1430" s="273" t="e">
        <f ca="1">_xludf.IFNA(VLOOKUP('Comp X - Kilter'!B1430,'Kilter Holds'!$P$37:$AB$662,11,0),0)</f>
        <v>#NAME?</v>
      </c>
      <c r="F1430" s="274"/>
      <c r="G1430" s="274" t="e">
        <f t="shared" ca="1" si="42"/>
        <v>#NAME?</v>
      </c>
      <c r="H1430" s="274">
        <f t="shared" si="43"/>
        <v>0</v>
      </c>
      <c r="K1430" s="274"/>
    </row>
    <row r="1431" spans="2:11" ht="13.5" customHeight="1">
      <c r="B1431" s="1" t="s">
        <v>2059</v>
      </c>
      <c r="C1431" s="1" t="s">
        <v>3426</v>
      </c>
      <c r="D1431" s="415" t="str">
        <f t="shared" si="48"/>
        <v>18-01</v>
      </c>
      <c r="E1431" s="273" t="e">
        <f ca="1">_xludf.IFNA(VLOOKUP('Comp X - Kilter'!B1431,'Kilter Holds'!$P$37:$AB$662,12,0),0)</f>
        <v>#NAME?</v>
      </c>
      <c r="F1431" s="274"/>
      <c r="G1431" s="274" t="e">
        <f t="shared" ca="1" si="42"/>
        <v>#NAME?</v>
      </c>
      <c r="H1431" s="274">
        <f t="shared" si="43"/>
        <v>0</v>
      </c>
      <c r="K1431" s="274"/>
    </row>
    <row r="1432" spans="2:11" ht="13.5" customHeight="1">
      <c r="B1432" s="1" t="s">
        <v>2059</v>
      </c>
      <c r="C1432" s="1" t="s">
        <v>3426</v>
      </c>
      <c r="D1432" s="416" t="str">
        <f t="shared" si="48"/>
        <v>Color Code</v>
      </c>
      <c r="E1432" s="273" t="e">
        <f ca="1">_xludf.IFNA(VLOOKUP('Comp X - Kilter'!B1432,'Kilter Holds'!$P$37:$AB$662,13,0),0)</f>
        <v>#NAME?</v>
      </c>
      <c r="F1432" s="274"/>
      <c r="G1432" s="274" t="e">
        <f t="shared" ca="1" si="42"/>
        <v>#NAME?</v>
      </c>
      <c r="H1432" s="274">
        <f t="shared" si="43"/>
        <v>0</v>
      </c>
      <c r="K1432" s="274"/>
    </row>
    <row r="1433" spans="2:11" ht="13.5" customHeight="1">
      <c r="B1433" s="1" t="s">
        <v>2050</v>
      </c>
      <c r="C1433" s="1" t="s">
        <v>3427</v>
      </c>
      <c r="D1433" s="406" t="str">
        <f t="shared" ref="D1433:D1450" si="49">D713</f>
        <v>11-12</v>
      </c>
      <c r="E1433" s="273" t="e">
        <f ca="1">_xludf.IFNA(VLOOKUP('Comp X - Kilter'!B1433,'Kilter Holds'!$P$37:$AB$662,5,0),0)</f>
        <v>#NAME?</v>
      </c>
      <c r="F1433" s="274"/>
      <c r="G1433" s="274" t="e">
        <f t="shared" ca="1" si="42"/>
        <v>#NAME?</v>
      </c>
      <c r="H1433" s="274">
        <f t="shared" si="43"/>
        <v>0</v>
      </c>
      <c r="K1433" s="274"/>
    </row>
    <row r="1434" spans="2:11" ht="13.5" customHeight="1">
      <c r="B1434" s="1" t="s">
        <v>2050</v>
      </c>
      <c r="C1434" s="1" t="s">
        <v>3427</v>
      </c>
      <c r="D1434" s="408" t="str">
        <f t="shared" si="49"/>
        <v>14-01</v>
      </c>
      <c r="E1434" s="273" t="e">
        <f ca="1">_xludf.IFNA(VLOOKUP('Comp X - Kilter'!B1434,'Kilter Holds'!$P$37:$AB$662,6,0),0)</f>
        <v>#NAME?</v>
      </c>
      <c r="F1434" s="274"/>
      <c r="G1434" s="274" t="e">
        <f t="shared" ca="1" si="42"/>
        <v>#NAME?</v>
      </c>
      <c r="H1434" s="274">
        <f t="shared" si="43"/>
        <v>0</v>
      </c>
      <c r="K1434" s="274"/>
    </row>
    <row r="1435" spans="2:11" ht="13.5" customHeight="1">
      <c r="B1435" s="1" t="s">
        <v>2050</v>
      </c>
      <c r="C1435" s="1" t="s">
        <v>3427</v>
      </c>
      <c r="D1435" s="409" t="str">
        <f t="shared" si="49"/>
        <v>15-12</v>
      </c>
      <c r="E1435" s="273" t="e">
        <f ca="1">_xludf.IFNA(VLOOKUP('Comp X - Kilter'!B1435,'Kilter Holds'!$P$37:$AB$662,7,0),0)</f>
        <v>#NAME?</v>
      </c>
      <c r="F1435" s="274"/>
      <c r="G1435" s="274" t="e">
        <f t="shared" ca="1" si="42"/>
        <v>#NAME?</v>
      </c>
      <c r="H1435" s="274">
        <f t="shared" si="43"/>
        <v>0</v>
      </c>
      <c r="K1435" s="274"/>
    </row>
    <row r="1436" spans="2:11" ht="13.5" customHeight="1">
      <c r="B1436" s="1" t="s">
        <v>2050</v>
      </c>
      <c r="C1436" s="1" t="s">
        <v>3427</v>
      </c>
      <c r="D1436" s="410" t="str">
        <f t="shared" si="49"/>
        <v>16-16</v>
      </c>
      <c r="E1436" s="273" t="e">
        <f ca="1">_xludf.IFNA(VLOOKUP('Comp X - Kilter'!B1436,'Kilter Holds'!$P$37:$AB$662,8,0),0)</f>
        <v>#NAME?</v>
      </c>
      <c r="F1436" s="274"/>
      <c r="G1436" s="274" t="e">
        <f t="shared" ca="1" si="42"/>
        <v>#NAME?</v>
      </c>
      <c r="H1436" s="274">
        <f t="shared" si="43"/>
        <v>0</v>
      </c>
      <c r="K1436" s="274"/>
    </row>
    <row r="1437" spans="2:11" ht="13.5" customHeight="1">
      <c r="B1437" s="1" t="s">
        <v>2050</v>
      </c>
      <c r="C1437" s="1" t="s">
        <v>3427</v>
      </c>
      <c r="D1437" s="411" t="str">
        <f t="shared" si="49"/>
        <v>13-01</v>
      </c>
      <c r="E1437" s="273" t="e">
        <f ca="1">_xludf.IFNA(VLOOKUP('Comp X - Kilter'!B1437,'Kilter Holds'!$P$37:$AB$662,9,0),0)</f>
        <v>#NAME?</v>
      </c>
      <c r="F1437" s="274"/>
      <c r="G1437" s="274" t="e">
        <f t="shared" ca="1" si="42"/>
        <v>#NAME?</v>
      </c>
      <c r="H1437" s="274">
        <f t="shared" si="43"/>
        <v>0</v>
      </c>
      <c r="K1437" s="274"/>
    </row>
    <row r="1438" spans="2:11" ht="13.5" customHeight="1">
      <c r="B1438" s="1" t="s">
        <v>2050</v>
      </c>
      <c r="C1438" s="1" t="s">
        <v>3427</v>
      </c>
      <c r="D1438" s="413" t="str">
        <f t="shared" si="49"/>
        <v>07-13</v>
      </c>
      <c r="E1438" s="273" t="e">
        <f ca="1">_xludf.IFNA(VLOOKUP('Comp X - Kilter'!B1438,'Kilter Holds'!$P$37:$AB$662,10,0),0)</f>
        <v>#NAME?</v>
      </c>
      <c r="F1438" s="274"/>
      <c r="G1438" s="274" t="e">
        <f t="shared" ca="1" si="42"/>
        <v>#NAME?</v>
      </c>
      <c r="H1438" s="274">
        <f t="shared" si="43"/>
        <v>0</v>
      </c>
      <c r="K1438" s="274"/>
    </row>
    <row r="1439" spans="2:11" ht="13.5" customHeight="1">
      <c r="B1439" s="1" t="s">
        <v>2050</v>
      </c>
      <c r="C1439" s="1" t="s">
        <v>3427</v>
      </c>
      <c r="D1439" s="414" t="str">
        <f t="shared" si="49"/>
        <v>11-26</v>
      </c>
      <c r="E1439" s="273" t="e">
        <f ca="1">_xludf.IFNA(VLOOKUP('Comp X - Kilter'!B1439,'Kilter Holds'!$P$37:$AB$662,11,0),0)</f>
        <v>#NAME?</v>
      </c>
      <c r="F1439" s="274"/>
      <c r="G1439" s="274" t="e">
        <f t="shared" ca="1" si="42"/>
        <v>#NAME?</v>
      </c>
      <c r="H1439" s="274">
        <f t="shared" si="43"/>
        <v>0</v>
      </c>
      <c r="K1439" s="274"/>
    </row>
    <row r="1440" spans="2:11" ht="13.5" customHeight="1">
      <c r="B1440" s="1" t="s">
        <v>2050</v>
      </c>
      <c r="C1440" s="1" t="s">
        <v>3427</v>
      </c>
      <c r="D1440" s="415" t="str">
        <f t="shared" si="49"/>
        <v>18-01</v>
      </c>
      <c r="E1440" s="273" t="e">
        <f ca="1">_xludf.IFNA(VLOOKUP('Comp X - Kilter'!B1440,'Kilter Holds'!$P$37:$AB$662,12,0),0)</f>
        <v>#NAME?</v>
      </c>
      <c r="F1440" s="274"/>
      <c r="G1440" s="274" t="e">
        <f t="shared" ca="1" si="42"/>
        <v>#NAME?</v>
      </c>
      <c r="H1440" s="274">
        <f t="shared" si="43"/>
        <v>0</v>
      </c>
      <c r="K1440" s="274"/>
    </row>
    <row r="1441" spans="2:11" ht="13.5" customHeight="1">
      <c r="B1441" s="1" t="s">
        <v>2050</v>
      </c>
      <c r="C1441" s="1" t="s">
        <v>3427</v>
      </c>
      <c r="D1441" s="416" t="str">
        <f t="shared" si="49"/>
        <v>Color Code</v>
      </c>
      <c r="E1441" s="273" t="e">
        <f ca="1">_xludf.IFNA(VLOOKUP('Comp X - Kilter'!B1441,'Kilter Holds'!$P$37:$AB$662,13,0),0)</f>
        <v>#NAME?</v>
      </c>
      <c r="F1441" s="274"/>
      <c r="G1441" s="274" t="e">
        <f t="shared" ca="1" si="42"/>
        <v>#NAME?</v>
      </c>
      <c r="H1441" s="274">
        <f t="shared" si="43"/>
        <v>0</v>
      </c>
      <c r="K1441" s="274"/>
    </row>
    <row r="1442" spans="2:11" ht="13.5" customHeight="1">
      <c r="B1442" s="1" t="s">
        <v>2051</v>
      </c>
      <c r="C1442" s="1" t="s">
        <v>3428</v>
      </c>
      <c r="D1442" s="406" t="str">
        <f t="shared" si="49"/>
        <v>11-12</v>
      </c>
      <c r="E1442" s="273" t="e">
        <f ca="1">_xludf.IFNA(VLOOKUP('Comp X - Kilter'!B1442,'Kilter Holds'!$P$37:$AB$662,5,0),0)</f>
        <v>#NAME?</v>
      </c>
      <c r="F1442" s="274"/>
      <c r="G1442" s="274" t="e">
        <f t="shared" ca="1" si="42"/>
        <v>#NAME?</v>
      </c>
      <c r="H1442" s="274">
        <f t="shared" si="43"/>
        <v>0</v>
      </c>
      <c r="K1442" s="274"/>
    </row>
    <row r="1443" spans="2:11" ht="13.5" customHeight="1">
      <c r="B1443" s="1" t="s">
        <v>2051</v>
      </c>
      <c r="C1443" s="1" t="s">
        <v>3428</v>
      </c>
      <c r="D1443" s="408" t="str">
        <f t="shared" si="49"/>
        <v>14-01</v>
      </c>
      <c r="E1443" s="273" t="e">
        <f ca="1">_xludf.IFNA(VLOOKUP('Comp X - Kilter'!B1443,'Kilter Holds'!$P$37:$AB$662,6,0),0)</f>
        <v>#NAME?</v>
      </c>
      <c r="F1443" s="274"/>
      <c r="G1443" s="274" t="e">
        <f t="shared" ca="1" si="42"/>
        <v>#NAME?</v>
      </c>
      <c r="H1443" s="274">
        <f t="shared" si="43"/>
        <v>0</v>
      </c>
      <c r="K1443" s="274"/>
    </row>
    <row r="1444" spans="2:11" ht="13.5" customHeight="1">
      <c r="B1444" s="1" t="s">
        <v>2051</v>
      </c>
      <c r="C1444" s="1" t="s">
        <v>3428</v>
      </c>
      <c r="D1444" s="409" t="str">
        <f t="shared" si="49"/>
        <v>15-12</v>
      </c>
      <c r="E1444" s="273" t="e">
        <f ca="1">_xludf.IFNA(VLOOKUP('Comp X - Kilter'!B1444,'Kilter Holds'!$P$37:$AB$662,7,0),0)</f>
        <v>#NAME?</v>
      </c>
      <c r="F1444" s="274"/>
      <c r="G1444" s="274" t="e">
        <f t="shared" ca="1" si="42"/>
        <v>#NAME?</v>
      </c>
      <c r="H1444" s="274">
        <f t="shared" si="43"/>
        <v>0</v>
      </c>
      <c r="K1444" s="274"/>
    </row>
    <row r="1445" spans="2:11" ht="13.5" customHeight="1">
      <c r="B1445" s="1" t="s">
        <v>2051</v>
      </c>
      <c r="C1445" s="1" t="s">
        <v>3428</v>
      </c>
      <c r="D1445" s="410" t="str">
        <f t="shared" si="49"/>
        <v>16-16</v>
      </c>
      <c r="E1445" s="273" t="e">
        <f ca="1">_xludf.IFNA(VLOOKUP('Comp X - Kilter'!B1445,'Kilter Holds'!$P$37:$AB$662,8,0),0)</f>
        <v>#NAME?</v>
      </c>
      <c r="F1445" s="274"/>
      <c r="G1445" s="274" t="e">
        <f t="shared" ca="1" si="42"/>
        <v>#NAME?</v>
      </c>
      <c r="H1445" s="274">
        <f t="shared" si="43"/>
        <v>0</v>
      </c>
      <c r="K1445" s="274"/>
    </row>
    <row r="1446" spans="2:11" ht="13.5" customHeight="1">
      <c r="B1446" s="1" t="s">
        <v>2051</v>
      </c>
      <c r="C1446" s="1" t="s">
        <v>3428</v>
      </c>
      <c r="D1446" s="411" t="str">
        <f t="shared" si="49"/>
        <v>13-01</v>
      </c>
      <c r="E1446" s="273" t="e">
        <f ca="1">_xludf.IFNA(VLOOKUP('Comp X - Kilter'!B1446,'Kilter Holds'!$P$37:$AB$662,9,0),0)</f>
        <v>#NAME?</v>
      </c>
      <c r="F1446" s="274"/>
      <c r="G1446" s="274" t="e">
        <f t="shared" ca="1" si="42"/>
        <v>#NAME?</v>
      </c>
      <c r="H1446" s="274">
        <f t="shared" si="43"/>
        <v>0</v>
      </c>
      <c r="K1446" s="274"/>
    </row>
    <row r="1447" spans="2:11" ht="13.5" customHeight="1">
      <c r="B1447" s="1" t="s">
        <v>2051</v>
      </c>
      <c r="C1447" s="1" t="s">
        <v>3428</v>
      </c>
      <c r="D1447" s="413" t="str">
        <f t="shared" si="49"/>
        <v>07-13</v>
      </c>
      <c r="E1447" s="273" t="e">
        <f ca="1">_xludf.IFNA(VLOOKUP('Comp X - Kilter'!B1447,'Kilter Holds'!$P$37:$AB$662,10,0),0)</f>
        <v>#NAME?</v>
      </c>
      <c r="F1447" s="274"/>
      <c r="G1447" s="274" t="e">
        <f t="shared" ca="1" si="42"/>
        <v>#NAME?</v>
      </c>
      <c r="H1447" s="274">
        <f t="shared" si="43"/>
        <v>0</v>
      </c>
      <c r="K1447" s="274"/>
    </row>
    <row r="1448" spans="2:11" ht="13.5" customHeight="1">
      <c r="B1448" s="1" t="s">
        <v>2051</v>
      </c>
      <c r="C1448" s="1" t="s">
        <v>3428</v>
      </c>
      <c r="D1448" s="414" t="str">
        <f t="shared" si="49"/>
        <v>11-26</v>
      </c>
      <c r="E1448" s="273" t="e">
        <f ca="1">_xludf.IFNA(VLOOKUP('Comp X - Kilter'!B1448,'Kilter Holds'!$P$37:$AB$662,11,0),0)</f>
        <v>#NAME?</v>
      </c>
      <c r="F1448" s="274"/>
      <c r="G1448" s="274" t="e">
        <f t="shared" ca="1" si="42"/>
        <v>#NAME?</v>
      </c>
      <c r="H1448" s="274">
        <f t="shared" si="43"/>
        <v>0</v>
      </c>
      <c r="K1448" s="274"/>
    </row>
    <row r="1449" spans="2:11" ht="13.5" customHeight="1">
      <c r="B1449" s="1" t="s">
        <v>2051</v>
      </c>
      <c r="C1449" s="1" t="s">
        <v>3428</v>
      </c>
      <c r="D1449" s="415" t="str">
        <f t="shared" si="49"/>
        <v>18-01</v>
      </c>
      <c r="E1449" s="273" t="e">
        <f ca="1">_xludf.IFNA(VLOOKUP('Comp X - Kilter'!B1449,'Kilter Holds'!$P$37:$AB$662,12,0),0)</f>
        <v>#NAME?</v>
      </c>
      <c r="F1449" s="274"/>
      <c r="G1449" s="274" t="e">
        <f t="shared" ca="1" si="42"/>
        <v>#NAME?</v>
      </c>
      <c r="H1449" s="274">
        <f t="shared" si="43"/>
        <v>0</v>
      </c>
      <c r="K1449" s="274"/>
    </row>
    <row r="1450" spans="2:11" ht="13.5" customHeight="1">
      <c r="B1450" s="1" t="s">
        <v>2051</v>
      </c>
      <c r="C1450" s="1" t="s">
        <v>3428</v>
      </c>
      <c r="D1450" s="416" t="str">
        <f t="shared" si="49"/>
        <v>Color Code</v>
      </c>
      <c r="E1450" s="273" t="e">
        <f ca="1">_xludf.IFNA(VLOOKUP('Comp X - Kilter'!B1450,'Kilter Holds'!$P$37:$AB$662,13,0),0)</f>
        <v>#NAME?</v>
      </c>
      <c r="F1450" s="274"/>
      <c r="G1450" s="274" t="e">
        <f t="shared" ca="1" si="42"/>
        <v>#NAME?</v>
      </c>
      <c r="H1450" s="274">
        <f t="shared" si="43"/>
        <v>0</v>
      </c>
      <c r="K1450" s="274"/>
    </row>
    <row r="1451" spans="2:11" ht="13.5" customHeight="1">
      <c r="B1451" s="1" t="s">
        <v>2057</v>
      </c>
      <c r="C1451" s="1" t="s">
        <v>3429</v>
      </c>
      <c r="D1451" s="406" t="str">
        <f t="shared" ref="D1451:D1486" si="50">D668</f>
        <v>11-12</v>
      </c>
      <c r="E1451" s="273" t="e">
        <f ca="1">_xludf.IFNA(VLOOKUP('Comp X - Kilter'!B1451,'Kilter Holds'!$P$37:$AB$662,5,0),0)</f>
        <v>#NAME?</v>
      </c>
      <c r="F1451" s="274"/>
      <c r="G1451" s="274" t="e">
        <f t="shared" ca="1" si="42"/>
        <v>#NAME?</v>
      </c>
      <c r="H1451" s="274">
        <f t="shared" si="43"/>
        <v>0</v>
      </c>
      <c r="K1451" s="274"/>
    </row>
    <row r="1452" spans="2:11" ht="13.5" customHeight="1">
      <c r="B1452" s="1" t="s">
        <v>2057</v>
      </c>
      <c r="C1452" s="1" t="s">
        <v>3429</v>
      </c>
      <c r="D1452" s="408" t="str">
        <f t="shared" si="50"/>
        <v>14-01</v>
      </c>
      <c r="E1452" s="273" t="e">
        <f ca="1">_xludf.IFNA(VLOOKUP('Comp X - Kilter'!B1452,'Kilter Holds'!$P$37:$AB$662,6,0),0)</f>
        <v>#NAME?</v>
      </c>
      <c r="F1452" s="274"/>
      <c r="G1452" s="274" t="e">
        <f t="shared" ca="1" si="42"/>
        <v>#NAME?</v>
      </c>
      <c r="H1452" s="274">
        <f t="shared" si="43"/>
        <v>0</v>
      </c>
      <c r="K1452" s="274"/>
    </row>
    <row r="1453" spans="2:11" ht="13.5" customHeight="1">
      <c r="B1453" s="1" t="s">
        <v>2057</v>
      </c>
      <c r="C1453" s="1" t="s">
        <v>3429</v>
      </c>
      <c r="D1453" s="409" t="str">
        <f t="shared" si="50"/>
        <v>15-12</v>
      </c>
      <c r="E1453" s="273" t="e">
        <f ca="1">_xludf.IFNA(VLOOKUP('Comp X - Kilter'!B1453,'Kilter Holds'!$P$37:$AB$662,7,0),0)</f>
        <v>#NAME?</v>
      </c>
      <c r="F1453" s="274"/>
      <c r="G1453" s="274" t="e">
        <f t="shared" ca="1" si="42"/>
        <v>#NAME?</v>
      </c>
      <c r="H1453" s="274">
        <f t="shared" si="43"/>
        <v>0</v>
      </c>
      <c r="K1453" s="274"/>
    </row>
    <row r="1454" spans="2:11" ht="13.5" customHeight="1">
      <c r="B1454" s="1" t="s">
        <v>2057</v>
      </c>
      <c r="C1454" s="1" t="s">
        <v>3429</v>
      </c>
      <c r="D1454" s="410" t="str">
        <f t="shared" si="50"/>
        <v>16-16</v>
      </c>
      <c r="E1454" s="273" t="e">
        <f ca="1">_xludf.IFNA(VLOOKUP('Comp X - Kilter'!B1454,'Kilter Holds'!$P$37:$AB$662,8,0),0)</f>
        <v>#NAME?</v>
      </c>
      <c r="F1454" s="274"/>
      <c r="G1454" s="274" t="e">
        <f t="shared" ca="1" si="42"/>
        <v>#NAME?</v>
      </c>
      <c r="H1454" s="274">
        <f t="shared" si="43"/>
        <v>0</v>
      </c>
      <c r="K1454" s="274"/>
    </row>
    <row r="1455" spans="2:11" ht="13.5" customHeight="1">
      <c r="B1455" s="1" t="s">
        <v>2057</v>
      </c>
      <c r="C1455" s="1" t="s">
        <v>3429</v>
      </c>
      <c r="D1455" s="411" t="str">
        <f t="shared" si="50"/>
        <v>13-01</v>
      </c>
      <c r="E1455" s="273" t="e">
        <f ca="1">_xludf.IFNA(VLOOKUP('Comp X - Kilter'!B1455,'Kilter Holds'!$P$37:$AB$662,9,0),0)</f>
        <v>#NAME?</v>
      </c>
      <c r="F1455" s="274"/>
      <c r="G1455" s="274" t="e">
        <f t="shared" ca="1" si="42"/>
        <v>#NAME?</v>
      </c>
      <c r="H1455" s="274">
        <f t="shared" si="43"/>
        <v>0</v>
      </c>
      <c r="K1455" s="274"/>
    </row>
    <row r="1456" spans="2:11" ht="13.5" customHeight="1">
      <c r="B1456" s="1" t="s">
        <v>2057</v>
      </c>
      <c r="C1456" s="1" t="s">
        <v>3429</v>
      </c>
      <c r="D1456" s="413" t="str">
        <f t="shared" si="50"/>
        <v>07-13</v>
      </c>
      <c r="E1456" s="273" t="e">
        <f ca="1">_xludf.IFNA(VLOOKUP('Comp X - Kilter'!B1456,'Kilter Holds'!$P$37:$AB$662,10,0),0)</f>
        <v>#NAME?</v>
      </c>
      <c r="F1456" s="274"/>
      <c r="G1456" s="274" t="e">
        <f t="shared" ca="1" si="42"/>
        <v>#NAME?</v>
      </c>
      <c r="H1456" s="274">
        <f t="shared" si="43"/>
        <v>0</v>
      </c>
      <c r="K1456" s="274"/>
    </row>
    <row r="1457" spans="2:11" ht="13.5" customHeight="1">
      <c r="B1457" s="1" t="s">
        <v>2057</v>
      </c>
      <c r="C1457" s="1" t="s">
        <v>3429</v>
      </c>
      <c r="D1457" s="414" t="str">
        <f t="shared" si="50"/>
        <v>11-26</v>
      </c>
      <c r="E1457" s="273" t="e">
        <f ca="1">_xludf.IFNA(VLOOKUP('Comp X - Kilter'!B1457,'Kilter Holds'!$P$37:$AB$662,11,0),0)</f>
        <v>#NAME?</v>
      </c>
      <c r="F1457" s="274"/>
      <c r="G1457" s="274" t="e">
        <f t="shared" ca="1" si="42"/>
        <v>#NAME?</v>
      </c>
      <c r="H1457" s="274">
        <f t="shared" si="43"/>
        <v>0</v>
      </c>
      <c r="K1457" s="274"/>
    </row>
    <row r="1458" spans="2:11" ht="13.5" customHeight="1">
      <c r="B1458" s="1" t="s">
        <v>2057</v>
      </c>
      <c r="C1458" s="1" t="s">
        <v>3429</v>
      </c>
      <c r="D1458" s="415" t="str">
        <f t="shared" si="50"/>
        <v>18-01</v>
      </c>
      <c r="E1458" s="273" t="e">
        <f ca="1">_xludf.IFNA(VLOOKUP('Comp X - Kilter'!B1458,'Kilter Holds'!$P$37:$AB$662,12,0),0)</f>
        <v>#NAME?</v>
      </c>
      <c r="F1458" s="274"/>
      <c r="G1458" s="274" t="e">
        <f t="shared" ca="1" si="42"/>
        <v>#NAME?</v>
      </c>
      <c r="H1458" s="274">
        <f t="shared" si="43"/>
        <v>0</v>
      </c>
      <c r="K1458" s="274"/>
    </row>
    <row r="1459" spans="2:11" ht="13.5" customHeight="1">
      <c r="B1459" s="1" t="s">
        <v>2057</v>
      </c>
      <c r="C1459" s="1" t="s">
        <v>3429</v>
      </c>
      <c r="D1459" s="416" t="str">
        <f t="shared" si="50"/>
        <v>Color Code</v>
      </c>
      <c r="E1459" s="273" t="e">
        <f ca="1">_xludf.IFNA(VLOOKUP('Comp X - Kilter'!B1459,'Kilter Holds'!$P$37:$AB$662,13,0),0)</f>
        <v>#NAME?</v>
      </c>
      <c r="F1459" s="274"/>
      <c r="G1459" s="274" t="e">
        <f t="shared" ca="1" si="42"/>
        <v>#NAME?</v>
      </c>
      <c r="H1459" s="274">
        <f t="shared" si="43"/>
        <v>0</v>
      </c>
      <c r="K1459" s="274"/>
    </row>
    <row r="1460" spans="2:11" ht="13.5" customHeight="1">
      <c r="B1460" s="1" t="s">
        <v>2058</v>
      </c>
      <c r="C1460" s="1" t="s">
        <v>3430</v>
      </c>
      <c r="D1460" s="406" t="str">
        <f t="shared" si="50"/>
        <v>11-12</v>
      </c>
      <c r="E1460" s="273" t="e">
        <f ca="1">_xludf.IFNA(VLOOKUP('Comp X - Kilter'!B1460,'Kilter Holds'!$P$37:$AB$662,5,0),0)</f>
        <v>#NAME?</v>
      </c>
      <c r="F1460" s="274"/>
      <c r="G1460" s="274" t="e">
        <f t="shared" ca="1" si="42"/>
        <v>#NAME?</v>
      </c>
      <c r="H1460" s="274">
        <f t="shared" si="43"/>
        <v>0</v>
      </c>
      <c r="K1460" s="274"/>
    </row>
    <row r="1461" spans="2:11" ht="13.5" customHeight="1">
      <c r="B1461" s="1" t="s">
        <v>2058</v>
      </c>
      <c r="C1461" s="1" t="s">
        <v>3430</v>
      </c>
      <c r="D1461" s="408" t="str">
        <f t="shared" si="50"/>
        <v>14-01</v>
      </c>
      <c r="E1461" s="273" t="e">
        <f ca="1">_xludf.IFNA(VLOOKUP('Comp X - Kilter'!B1461,'Kilter Holds'!$P$37:$AB$662,6,0),0)</f>
        <v>#NAME?</v>
      </c>
      <c r="F1461" s="274"/>
      <c r="G1461" s="274" t="e">
        <f t="shared" ca="1" si="42"/>
        <v>#NAME?</v>
      </c>
      <c r="H1461" s="274">
        <f t="shared" si="43"/>
        <v>0</v>
      </c>
      <c r="K1461" s="274"/>
    </row>
    <row r="1462" spans="2:11" ht="13.5" customHeight="1">
      <c r="B1462" s="1" t="s">
        <v>2058</v>
      </c>
      <c r="C1462" s="1" t="s">
        <v>3430</v>
      </c>
      <c r="D1462" s="409" t="str">
        <f t="shared" si="50"/>
        <v>15-12</v>
      </c>
      <c r="E1462" s="273" t="e">
        <f ca="1">_xludf.IFNA(VLOOKUP('Comp X - Kilter'!B1462,'Kilter Holds'!$P$37:$AB$662,7,0),0)</f>
        <v>#NAME?</v>
      </c>
      <c r="F1462" s="274"/>
      <c r="G1462" s="274" t="e">
        <f t="shared" ca="1" si="42"/>
        <v>#NAME?</v>
      </c>
      <c r="H1462" s="274">
        <f t="shared" si="43"/>
        <v>0</v>
      </c>
      <c r="K1462" s="274"/>
    </row>
    <row r="1463" spans="2:11" ht="13.5" customHeight="1">
      <c r="B1463" s="1" t="s">
        <v>2058</v>
      </c>
      <c r="C1463" s="1" t="s">
        <v>3430</v>
      </c>
      <c r="D1463" s="410" t="str">
        <f t="shared" si="50"/>
        <v>16-16</v>
      </c>
      <c r="E1463" s="273" t="e">
        <f ca="1">_xludf.IFNA(VLOOKUP('Comp X - Kilter'!B1463,'Kilter Holds'!$P$37:$AB$662,8,0),0)</f>
        <v>#NAME?</v>
      </c>
      <c r="F1463" s="274"/>
      <c r="G1463" s="274" t="e">
        <f t="shared" ca="1" si="42"/>
        <v>#NAME?</v>
      </c>
      <c r="H1463" s="274">
        <f t="shared" si="43"/>
        <v>0</v>
      </c>
      <c r="K1463" s="274"/>
    </row>
    <row r="1464" spans="2:11" ht="13.5" customHeight="1">
      <c r="B1464" s="1" t="s">
        <v>2058</v>
      </c>
      <c r="C1464" s="1" t="s">
        <v>3430</v>
      </c>
      <c r="D1464" s="411" t="str">
        <f t="shared" si="50"/>
        <v>13-01</v>
      </c>
      <c r="E1464" s="273" t="e">
        <f ca="1">_xludf.IFNA(VLOOKUP('Comp X - Kilter'!B1464,'Kilter Holds'!$P$37:$AB$662,9,0),0)</f>
        <v>#NAME?</v>
      </c>
      <c r="F1464" s="274"/>
      <c r="G1464" s="274" t="e">
        <f t="shared" ca="1" si="42"/>
        <v>#NAME?</v>
      </c>
      <c r="H1464" s="274">
        <f t="shared" si="43"/>
        <v>0</v>
      </c>
      <c r="K1464" s="274"/>
    </row>
    <row r="1465" spans="2:11" ht="13.5" customHeight="1">
      <c r="B1465" s="1" t="s">
        <v>2058</v>
      </c>
      <c r="C1465" s="1" t="s">
        <v>3430</v>
      </c>
      <c r="D1465" s="413" t="str">
        <f t="shared" si="50"/>
        <v>07-13</v>
      </c>
      <c r="E1465" s="273" t="e">
        <f ca="1">_xludf.IFNA(VLOOKUP('Comp X - Kilter'!B1465,'Kilter Holds'!$P$37:$AB$662,10,0),0)</f>
        <v>#NAME?</v>
      </c>
      <c r="F1465" s="274"/>
      <c r="G1465" s="274" t="e">
        <f t="shared" ca="1" si="42"/>
        <v>#NAME?</v>
      </c>
      <c r="H1465" s="274">
        <f t="shared" si="43"/>
        <v>0</v>
      </c>
      <c r="K1465" s="274"/>
    </row>
    <row r="1466" spans="2:11" ht="13.5" customHeight="1">
      <c r="B1466" s="1" t="s">
        <v>2058</v>
      </c>
      <c r="C1466" s="1" t="s">
        <v>3430</v>
      </c>
      <c r="D1466" s="414" t="str">
        <f t="shared" si="50"/>
        <v>11-26</v>
      </c>
      <c r="E1466" s="273" t="e">
        <f ca="1">_xludf.IFNA(VLOOKUP('Comp X - Kilter'!B1466,'Kilter Holds'!$P$37:$AB$662,11,0),0)</f>
        <v>#NAME?</v>
      </c>
      <c r="F1466" s="274"/>
      <c r="G1466" s="274" t="e">
        <f t="shared" ca="1" si="42"/>
        <v>#NAME?</v>
      </c>
      <c r="H1466" s="274">
        <f t="shared" si="43"/>
        <v>0</v>
      </c>
      <c r="K1466" s="274"/>
    </row>
    <row r="1467" spans="2:11" ht="13.5" customHeight="1">
      <c r="B1467" s="1" t="s">
        <v>2058</v>
      </c>
      <c r="C1467" s="1" t="s">
        <v>3430</v>
      </c>
      <c r="D1467" s="415" t="str">
        <f t="shared" si="50"/>
        <v>18-01</v>
      </c>
      <c r="E1467" s="273" t="e">
        <f ca="1">_xludf.IFNA(VLOOKUP('Comp X - Kilter'!B1467,'Kilter Holds'!$P$37:$AB$662,12,0),0)</f>
        <v>#NAME?</v>
      </c>
      <c r="F1467" s="274"/>
      <c r="G1467" s="274" t="e">
        <f t="shared" ca="1" si="42"/>
        <v>#NAME?</v>
      </c>
      <c r="H1467" s="274">
        <f t="shared" si="43"/>
        <v>0</v>
      </c>
      <c r="K1467" s="274"/>
    </row>
    <row r="1468" spans="2:11" ht="13.5" customHeight="1">
      <c r="B1468" s="1" t="s">
        <v>2058</v>
      </c>
      <c r="C1468" s="1" t="s">
        <v>3430</v>
      </c>
      <c r="D1468" s="416" t="str">
        <f t="shared" si="50"/>
        <v>Color Code</v>
      </c>
      <c r="E1468" s="273" t="e">
        <f ca="1">_xludf.IFNA(VLOOKUP('Comp X - Kilter'!B1468,'Kilter Holds'!$P$37:$AB$662,13,0),0)</f>
        <v>#NAME?</v>
      </c>
      <c r="F1468" s="274"/>
      <c r="G1468" s="274" t="e">
        <f t="shared" ca="1" si="42"/>
        <v>#NAME?</v>
      </c>
      <c r="H1468" s="274">
        <f t="shared" si="43"/>
        <v>0</v>
      </c>
      <c r="K1468" s="274"/>
    </row>
    <row r="1469" spans="2:11" ht="13.5" customHeight="1">
      <c r="B1469" s="1" t="s">
        <v>2056</v>
      </c>
      <c r="C1469" s="1" t="s">
        <v>3431</v>
      </c>
      <c r="D1469" s="406" t="str">
        <f t="shared" si="50"/>
        <v>11-12</v>
      </c>
      <c r="E1469" s="273" t="e">
        <f ca="1">_xludf.IFNA(VLOOKUP('Comp X - Kilter'!B1469,'Kilter Holds'!$P$37:$AB$662,5,0),0)</f>
        <v>#NAME?</v>
      </c>
      <c r="F1469" s="274"/>
      <c r="G1469" s="274" t="e">
        <f t="shared" ca="1" si="42"/>
        <v>#NAME?</v>
      </c>
      <c r="H1469" s="274">
        <f t="shared" si="43"/>
        <v>0</v>
      </c>
      <c r="K1469" s="274"/>
    </row>
    <row r="1470" spans="2:11" ht="13.5" customHeight="1">
      <c r="B1470" s="1" t="s">
        <v>2056</v>
      </c>
      <c r="C1470" s="1" t="s">
        <v>3431</v>
      </c>
      <c r="D1470" s="408" t="str">
        <f t="shared" si="50"/>
        <v>14-01</v>
      </c>
      <c r="E1470" s="273" t="e">
        <f ca="1">_xludf.IFNA(VLOOKUP('Comp X - Kilter'!B1470,'Kilter Holds'!$P$37:$AB$662,6,0),0)</f>
        <v>#NAME?</v>
      </c>
      <c r="F1470" s="274"/>
      <c r="G1470" s="274" t="e">
        <f t="shared" ca="1" si="42"/>
        <v>#NAME?</v>
      </c>
      <c r="H1470" s="274">
        <f t="shared" si="43"/>
        <v>0</v>
      </c>
      <c r="K1470" s="274"/>
    </row>
    <row r="1471" spans="2:11" ht="13.5" customHeight="1">
      <c r="B1471" s="1" t="s">
        <v>2056</v>
      </c>
      <c r="C1471" s="1" t="s">
        <v>3431</v>
      </c>
      <c r="D1471" s="409" t="str">
        <f t="shared" si="50"/>
        <v>15-12</v>
      </c>
      <c r="E1471" s="273" t="e">
        <f ca="1">_xludf.IFNA(VLOOKUP('Comp X - Kilter'!B1471,'Kilter Holds'!$P$37:$AB$662,7,0),0)</f>
        <v>#NAME?</v>
      </c>
      <c r="F1471" s="274"/>
      <c r="G1471" s="274" t="e">
        <f t="shared" ca="1" si="42"/>
        <v>#NAME?</v>
      </c>
      <c r="H1471" s="274">
        <f t="shared" si="43"/>
        <v>0</v>
      </c>
      <c r="K1471" s="274"/>
    </row>
    <row r="1472" spans="2:11" ht="13.5" customHeight="1">
      <c r="B1472" s="1" t="s">
        <v>2056</v>
      </c>
      <c r="C1472" s="1" t="s">
        <v>3431</v>
      </c>
      <c r="D1472" s="410" t="str">
        <f t="shared" si="50"/>
        <v>16-16</v>
      </c>
      <c r="E1472" s="273" t="e">
        <f ca="1">_xludf.IFNA(VLOOKUP('Comp X - Kilter'!B1472,'Kilter Holds'!$P$37:$AB$662,8,0),0)</f>
        <v>#NAME?</v>
      </c>
      <c r="F1472" s="274"/>
      <c r="G1472" s="274" t="e">
        <f t="shared" ca="1" si="42"/>
        <v>#NAME?</v>
      </c>
      <c r="H1472" s="274">
        <f t="shared" si="43"/>
        <v>0</v>
      </c>
      <c r="K1472" s="274"/>
    </row>
    <row r="1473" spans="2:11" ht="13.5" customHeight="1">
      <c r="B1473" s="1" t="s">
        <v>2056</v>
      </c>
      <c r="C1473" s="1" t="s">
        <v>3431</v>
      </c>
      <c r="D1473" s="411" t="str">
        <f t="shared" si="50"/>
        <v>13-01</v>
      </c>
      <c r="E1473" s="273" t="e">
        <f ca="1">_xludf.IFNA(VLOOKUP('Comp X - Kilter'!B1473,'Kilter Holds'!$P$37:$AB$662,9,0),0)</f>
        <v>#NAME?</v>
      </c>
      <c r="F1473" s="274"/>
      <c r="G1473" s="274" t="e">
        <f t="shared" ca="1" si="42"/>
        <v>#NAME?</v>
      </c>
      <c r="H1473" s="274">
        <f t="shared" si="43"/>
        <v>0</v>
      </c>
      <c r="K1473" s="274"/>
    </row>
    <row r="1474" spans="2:11" ht="13.5" customHeight="1">
      <c r="B1474" s="1" t="s">
        <v>2056</v>
      </c>
      <c r="C1474" s="1" t="s">
        <v>3431</v>
      </c>
      <c r="D1474" s="413" t="str">
        <f t="shared" si="50"/>
        <v>07-13</v>
      </c>
      <c r="E1474" s="273" t="e">
        <f ca="1">_xludf.IFNA(VLOOKUP('Comp X - Kilter'!B1474,'Kilter Holds'!$P$37:$AB$662,10,0),0)</f>
        <v>#NAME?</v>
      </c>
      <c r="F1474" s="274"/>
      <c r="G1474" s="274" t="e">
        <f t="shared" ca="1" si="42"/>
        <v>#NAME?</v>
      </c>
      <c r="H1474" s="274">
        <f t="shared" si="43"/>
        <v>0</v>
      </c>
      <c r="K1474" s="274"/>
    </row>
    <row r="1475" spans="2:11" ht="13.5" customHeight="1">
      <c r="B1475" s="1" t="s">
        <v>2056</v>
      </c>
      <c r="C1475" s="1" t="s">
        <v>3431</v>
      </c>
      <c r="D1475" s="414" t="str">
        <f t="shared" si="50"/>
        <v>11-26</v>
      </c>
      <c r="E1475" s="273" t="e">
        <f ca="1">_xludf.IFNA(VLOOKUP('Comp X - Kilter'!B1475,'Kilter Holds'!$P$37:$AB$662,11,0),0)</f>
        <v>#NAME?</v>
      </c>
      <c r="F1475" s="274"/>
      <c r="G1475" s="274" t="e">
        <f t="shared" ca="1" si="42"/>
        <v>#NAME?</v>
      </c>
      <c r="H1475" s="274">
        <f t="shared" si="43"/>
        <v>0</v>
      </c>
      <c r="K1475" s="274"/>
    </row>
    <row r="1476" spans="2:11" ht="13.5" customHeight="1">
      <c r="B1476" s="1" t="s">
        <v>2056</v>
      </c>
      <c r="C1476" s="1" t="s">
        <v>3431</v>
      </c>
      <c r="D1476" s="415" t="str">
        <f t="shared" si="50"/>
        <v>18-01</v>
      </c>
      <c r="E1476" s="273" t="e">
        <f ca="1">_xludf.IFNA(VLOOKUP('Comp X - Kilter'!B1476,'Kilter Holds'!$P$37:$AB$662,12,0),0)</f>
        <v>#NAME?</v>
      </c>
      <c r="F1476" s="274"/>
      <c r="G1476" s="274" t="e">
        <f t="shared" ca="1" si="42"/>
        <v>#NAME?</v>
      </c>
      <c r="H1476" s="274">
        <f t="shared" si="43"/>
        <v>0</v>
      </c>
      <c r="K1476" s="274"/>
    </row>
    <row r="1477" spans="2:11" ht="13.5" customHeight="1">
      <c r="B1477" s="1" t="s">
        <v>2056</v>
      </c>
      <c r="C1477" s="1" t="s">
        <v>3431</v>
      </c>
      <c r="D1477" s="416" t="str">
        <f t="shared" si="50"/>
        <v>Color Code</v>
      </c>
      <c r="E1477" s="273" t="e">
        <f ca="1">_xludf.IFNA(VLOOKUP('Comp X - Kilter'!B1477,'Kilter Holds'!$P$37:$AB$662,13,0),0)</f>
        <v>#NAME?</v>
      </c>
      <c r="F1477" s="274"/>
      <c r="G1477" s="274" t="e">
        <f t="shared" ca="1" si="42"/>
        <v>#NAME?</v>
      </c>
      <c r="H1477" s="274">
        <f t="shared" si="43"/>
        <v>0</v>
      </c>
      <c r="K1477" s="274"/>
    </row>
    <row r="1478" spans="2:11" ht="13.5" customHeight="1">
      <c r="B1478" s="1" t="s">
        <v>3432</v>
      </c>
      <c r="C1478" s="1" t="s">
        <v>3433</v>
      </c>
      <c r="D1478" s="406" t="str">
        <f t="shared" si="50"/>
        <v>11-12</v>
      </c>
      <c r="E1478" s="273" t="e">
        <f ca="1">_xludf.IFNA(VLOOKUP('Comp X - Kilter'!B1478,'Kilter Holds'!$P$37:$AB$662,5,0),0)</f>
        <v>#NAME?</v>
      </c>
      <c r="F1478" s="274"/>
      <c r="G1478" s="274" t="e">
        <f t="shared" ca="1" si="42"/>
        <v>#NAME?</v>
      </c>
      <c r="H1478" s="274">
        <f t="shared" si="43"/>
        <v>0</v>
      </c>
      <c r="K1478" s="274"/>
    </row>
    <row r="1479" spans="2:11" ht="13.5" customHeight="1">
      <c r="B1479" s="1" t="s">
        <v>3432</v>
      </c>
      <c r="C1479" s="1" t="s">
        <v>3433</v>
      </c>
      <c r="D1479" s="408" t="str">
        <f t="shared" si="50"/>
        <v>14-01</v>
      </c>
      <c r="E1479" s="273" t="e">
        <f ca="1">_xludf.IFNA(VLOOKUP('Comp X - Kilter'!B1479,'Kilter Holds'!$P$37:$AB$662,6,0),0)</f>
        <v>#NAME?</v>
      </c>
      <c r="F1479" s="274"/>
      <c r="G1479" s="274" t="e">
        <f t="shared" ca="1" si="42"/>
        <v>#NAME?</v>
      </c>
      <c r="H1479" s="274">
        <f t="shared" si="43"/>
        <v>0</v>
      </c>
      <c r="K1479" s="274"/>
    </row>
    <row r="1480" spans="2:11" ht="13.5" customHeight="1">
      <c r="B1480" s="1" t="s">
        <v>3432</v>
      </c>
      <c r="C1480" s="1" t="s">
        <v>3433</v>
      </c>
      <c r="D1480" s="409" t="str">
        <f t="shared" si="50"/>
        <v>15-12</v>
      </c>
      <c r="E1480" s="273" t="e">
        <f ca="1">_xludf.IFNA(VLOOKUP('Comp X - Kilter'!B1480,'Kilter Holds'!$P$37:$AB$662,7,0),0)</f>
        <v>#NAME?</v>
      </c>
      <c r="F1480" s="274"/>
      <c r="G1480" s="274" t="e">
        <f t="shared" ca="1" si="42"/>
        <v>#NAME?</v>
      </c>
      <c r="H1480" s="274">
        <f t="shared" si="43"/>
        <v>0</v>
      </c>
      <c r="K1480" s="274"/>
    </row>
    <row r="1481" spans="2:11" ht="13.5" customHeight="1">
      <c r="B1481" s="1" t="s">
        <v>3432</v>
      </c>
      <c r="C1481" s="1" t="s">
        <v>3433</v>
      </c>
      <c r="D1481" s="410" t="str">
        <f t="shared" si="50"/>
        <v>16-16</v>
      </c>
      <c r="E1481" s="273" t="e">
        <f ca="1">_xludf.IFNA(VLOOKUP('Comp X - Kilter'!B1481,'Kilter Holds'!$P$37:$AB$662,8,0),0)</f>
        <v>#NAME?</v>
      </c>
      <c r="F1481" s="274"/>
      <c r="G1481" s="274" t="e">
        <f t="shared" ca="1" si="42"/>
        <v>#NAME?</v>
      </c>
      <c r="H1481" s="274">
        <f t="shared" si="43"/>
        <v>0</v>
      </c>
      <c r="K1481" s="274"/>
    </row>
    <row r="1482" spans="2:11" ht="13.5" customHeight="1">
      <c r="B1482" s="1" t="s">
        <v>3432</v>
      </c>
      <c r="C1482" s="1" t="s">
        <v>3433</v>
      </c>
      <c r="D1482" s="411" t="str">
        <f t="shared" si="50"/>
        <v>13-01</v>
      </c>
      <c r="E1482" s="273" t="e">
        <f ca="1">_xludf.IFNA(VLOOKUP('Comp X - Kilter'!B1482,'Kilter Holds'!$P$37:$AB$662,9,0),0)</f>
        <v>#NAME?</v>
      </c>
      <c r="F1482" s="274"/>
      <c r="G1482" s="274" t="e">
        <f t="shared" ca="1" si="42"/>
        <v>#NAME?</v>
      </c>
      <c r="H1482" s="274">
        <f t="shared" si="43"/>
        <v>0</v>
      </c>
      <c r="K1482" s="274"/>
    </row>
    <row r="1483" spans="2:11" ht="13.5" customHeight="1">
      <c r="B1483" s="1" t="s">
        <v>3432</v>
      </c>
      <c r="C1483" s="1" t="s">
        <v>3433</v>
      </c>
      <c r="D1483" s="413" t="str">
        <f t="shared" si="50"/>
        <v>07-13</v>
      </c>
      <c r="E1483" s="273" t="e">
        <f ca="1">_xludf.IFNA(VLOOKUP('Comp X - Kilter'!B1483,'Kilter Holds'!$P$37:$AB$662,10,0),0)</f>
        <v>#NAME?</v>
      </c>
      <c r="F1483" s="274"/>
      <c r="G1483" s="274" t="e">
        <f t="shared" ca="1" si="42"/>
        <v>#NAME?</v>
      </c>
      <c r="H1483" s="274">
        <f t="shared" si="43"/>
        <v>0</v>
      </c>
      <c r="K1483" s="274"/>
    </row>
    <row r="1484" spans="2:11" ht="13.5" customHeight="1">
      <c r="B1484" s="1" t="s">
        <v>3432</v>
      </c>
      <c r="C1484" s="1" t="s">
        <v>3433</v>
      </c>
      <c r="D1484" s="414" t="str">
        <f t="shared" si="50"/>
        <v>11-26</v>
      </c>
      <c r="E1484" s="273" t="e">
        <f ca="1">_xludf.IFNA(VLOOKUP('Comp X - Kilter'!B1484,'Kilter Holds'!$P$37:$AB$662,11,0),0)</f>
        <v>#NAME?</v>
      </c>
      <c r="F1484" s="274"/>
      <c r="G1484" s="274" t="e">
        <f t="shared" ca="1" si="42"/>
        <v>#NAME?</v>
      </c>
      <c r="H1484" s="274">
        <f t="shared" si="43"/>
        <v>0</v>
      </c>
      <c r="K1484" s="274"/>
    </row>
    <row r="1485" spans="2:11" ht="13.5" customHeight="1">
      <c r="B1485" s="1" t="s">
        <v>3432</v>
      </c>
      <c r="C1485" s="1" t="s">
        <v>3433</v>
      </c>
      <c r="D1485" s="415" t="str">
        <f t="shared" si="50"/>
        <v>18-01</v>
      </c>
      <c r="E1485" s="273" t="e">
        <f ca="1">_xludf.IFNA(VLOOKUP('Comp X - Kilter'!B1485,'Kilter Holds'!$P$37:$AB$662,12,0),0)</f>
        <v>#NAME?</v>
      </c>
      <c r="F1485" s="274"/>
      <c r="G1485" s="274" t="e">
        <f t="shared" ca="1" si="42"/>
        <v>#NAME?</v>
      </c>
      <c r="H1485" s="274">
        <f t="shared" si="43"/>
        <v>0</v>
      </c>
      <c r="K1485" s="274"/>
    </row>
    <row r="1486" spans="2:11" ht="13.5" customHeight="1">
      <c r="B1486" s="1" t="s">
        <v>3432</v>
      </c>
      <c r="C1486" s="1" t="s">
        <v>3433</v>
      </c>
      <c r="D1486" s="416" t="str">
        <f t="shared" si="50"/>
        <v>Color Code</v>
      </c>
      <c r="E1486" s="273" t="e">
        <f ca="1">_xludf.IFNA(VLOOKUP('Comp X - Kilter'!B1486,'Kilter Holds'!$P$37:$AB$662,13,0),0)</f>
        <v>#NAME?</v>
      </c>
      <c r="F1486" s="274"/>
      <c r="G1486" s="274" t="e">
        <f t="shared" ca="1" si="42"/>
        <v>#NAME?</v>
      </c>
      <c r="H1486" s="274">
        <f t="shared" si="43"/>
        <v>0</v>
      </c>
      <c r="K1486" s="274"/>
    </row>
    <row r="1487" spans="2:11" ht="13.5" customHeight="1">
      <c r="B1487" s="1" t="s">
        <v>2075</v>
      </c>
      <c r="C1487" s="1" t="s">
        <v>3434</v>
      </c>
      <c r="D1487" s="406" t="str">
        <f t="shared" ref="D1487:D1513" si="51">D686</f>
        <v>11-12</v>
      </c>
      <c r="E1487" s="273" t="e">
        <f ca="1">_xludf.IFNA(VLOOKUP('Comp X - Kilter'!B1487,'Kilter Holds'!$P$37:$AB$662,5,0),0)</f>
        <v>#NAME?</v>
      </c>
      <c r="F1487" s="274"/>
      <c r="G1487" s="274" t="e">
        <f t="shared" ca="1" si="42"/>
        <v>#NAME?</v>
      </c>
      <c r="H1487" s="274">
        <f t="shared" si="43"/>
        <v>0</v>
      </c>
      <c r="K1487" s="274"/>
    </row>
    <row r="1488" spans="2:11" ht="13.5" customHeight="1">
      <c r="B1488" s="1" t="s">
        <v>2075</v>
      </c>
      <c r="C1488" s="1" t="s">
        <v>3434</v>
      </c>
      <c r="D1488" s="408" t="str">
        <f t="shared" si="51"/>
        <v>14-01</v>
      </c>
      <c r="E1488" s="273" t="e">
        <f ca="1">_xludf.IFNA(VLOOKUP('Comp X - Kilter'!B1488,'Kilter Holds'!$P$37:$AB$662,6,0),0)</f>
        <v>#NAME?</v>
      </c>
      <c r="F1488" s="274"/>
      <c r="G1488" s="274" t="e">
        <f t="shared" ca="1" si="42"/>
        <v>#NAME?</v>
      </c>
      <c r="H1488" s="274">
        <f t="shared" si="43"/>
        <v>0</v>
      </c>
      <c r="K1488" s="274"/>
    </row>
    <row r="1489" spans="2:11" ht="13.5" customHeight="1">
      <c r="B1489" s="1" t="s">
        <v>2075</v>
      </c>
      <c r="C1489" s="1" t="s">
        <v>3434</v>
      </c>
      <c r="D1489" s="409" t="str">
        <f t="shared" si="51"/>
        <v>15-12</v>
      </c>
      <c r="E1489" s="273" t="e">
        <f ca="1">_xludf.IFNA(VLOOKUP('Comp X - Kilter'!B1489,'Kilter Holds'!$P$37:$AB$662,7,0),0)</f>
        <v>#NAME?</v>
      </c>
      <c r="F1489" s="274"/>
      <c r="G1489" s="274" t="e">
        <f t="shared" ca="1" si="42"/>
        <v>#NAME?</v>
      </c>
      <c r="H1489" s="274">
        <f t="shared" si="43"/>
        <v>0</v>
      </c>
      <c r="K1489" s="274"/>
    </row>
    <row r="1490" spans="2:11" ht="13.5" customHeight="1">
      <c r="B1490" s="1" t="s">
        <v>2075</v>
      </c>
      <c r="C1490" s="1" t="s">
        <v>3434</v>
      </c>
      <c r="D1490" s="410" t="str">
        <f t="shared" si="51"/>
        <v>16-16</v>
      </c>
      <c r="E1490" s="273" t="e">
        <f ca="1">_xludf.IFNA(VLOOKUP('Comp X - Kilter'!B1490,'Kilter Holds'!$P$37:$AB$662,8,0),0)</f>
        <v>#NAME?</v>
      </c>
      <c r="F1490" s="274"/>
      <c r="G1490" s="274" t="e">
        <f t="shared" ca="1" si="42"/>
        <v>#NAME?</v>
      </c>
      <c r="H1490" s="274">
        <f t="shared" si="43"/>
        <v>0</v>
      </c>
      <c r="K1490" s="274"/>
    </row>
    <row r="1491" spans="2:11" ht="13.5" customHeight="1">
      <c r="B1491" s="1" t="s">
        <v>2075</v>
      </c>
      <c r="C1491" s="1" t="s">
        <v>3434</v>
      </c>
      <c r="D1491" s="411" t="str">
        <f t="shared" si="51"/>
        <v>13-01</v>
      </c>
      <c r="E1491" s="273" t="e">
        <f ca="1">_xludf.IFNA(VLOOKUP('Comp X - Kilter'!B1491,'Kilter Holds'!$P$37:$AB$662,9,0),0)</f>
        <v>#NAME?</v>
      </c>
      <c r="F1491" s="274"/>
      <c r="G1491" s="274" t="e">
        <f t="shared" ca="1" si="42"/>
        <v>#NAME?</v>
      </c>
      <c r="H1491" s="274">
        <f t="shared" si="43"/>
        <v>0</v>
      </c>
      <c r="K1491" s="274"/>
    </row>
    <row r="1492" spans="2:11" ht="13.5" customHeight="1">
      <c r="B1492" s="1" t="s">
        <v>2075</v>
      </c>
      <c r="C1492" s="1" t="s">
        <v>3434</v>
      </c>
      <c r="D1492" s="413" t="str">
        <f t="shared" si="51"/>
        <v>07-13</v>
      </c>
      <c r="E1492" s="273" t="e">
        <f ca="1">_xludf.IFNA(VLOOKUP('Comp X - Kilter'!B1492,'Kilter Holds'!$P$37:$AB$662,10,0),0)</f>
        <v>#NAME?</v>
      </c>
      <c r="F1492" s="274"/>
      <c r="G1492" s="274" t="e">
        <f t="shared" ca="1" si="42"/>
        <v>#NAME?</v>
      </c>
      <c r="H1492" s="274">
        <f t="shared" si="43"/>
        <v>0</v>
      </c>
      <c r="K1492" s="274"/>
    </row>
    <row r="1493" spans="2:11" ht="13.5" customHeight="1">
      <c r="B1493" s="1" t="s">
        <v>2075</v>
      </c>
      <c r="C1493" s="1" t="s">
        <v>3434</v>
      </c>
      <c r="D1493" s="414" t="str">
        <f t="shared" si="51"/>
        <v>11-26</v>
      </c>
      <c r="E1493" s="273" t="e">
        <f ca="1">_xludf.IFNA(VLOOKUP('Comp X - Kilter'!B1493,'Kilter Holds'!$P$37:$AB$662,11,0),0)</f>
        <v>#NAME?</v>
      </c>
      <c r="F1493" s="274"/>
      <c r="G1493" s="274" t="e">
        <f t="shared" ca="1" si="42"/>
        <v>#NAME?</v>
      </c>
      <c r="H1493" s="274">
        <f t="shared" si="43"/>
        <v>0</v>
      </c>
      <c r="K1493" s="274"/>
    </row>
    <row r="1494" spans="2:11" ht="13.5" customHeight="1">
      <c r="B1494" s="1" t="s">
        <v>2075</v>
      </c>
      <c r="C1494" s="1" t="s">
        <v>3434</v>
      </c>
      <c r="D1494" s="415" t="str">
        <f t="shared" si="51"/>
        <v>18-01</v>
      </c>
      <c r="E1494" s="273" t="e">
        <f ca="1">_xludf.IFNA(VLOOKUP('Comp X - Kilter'!B1494,'Kilter Holds'!$P$37:$AB$662,12,0),0)</f>
        <v>#NAME?</v>
      </c>
      <c r="F1494" s="274"/>
      <c r="G1494" s="274" t="e">
        <f t="shared" ca="1" si="42"/>
        <v>#NAME?</v>
      </c>
      <c r="H1494" s="274">
        <f t="shared" si="43"/>
        <v>0</v>
      </c>
      <c r="K1494" s="274"/>
    </row>
    <row r="1495" spans="2:11" ht="13.5" customHeight="1">
      <c r="B1495" s="1" t="s">
        <v>2075</v>
      </c>
      <c r="C1495" s="1" t="s">
        <v>3434</v>
      </c>
      <c r="D1495" s="416" t="str">
        <f t="shared" si="51"/>
        <v>Color Code</v>
      </c>
      <c r="E1495" s="273" t="e">
        <f ca="1">_xludf.IFNA(VLOOKUP('Comp X - Kilter'!B1495,'Kilter Holds'!$P$37:$AB$662,13,0),0)</f>
        <v>#NAME?</v>
      </c>
      <c r="F1495" s="274"/>
      <c r="G1495" s="274" t="e">
        <f t="shared" ca="1" si="42"/>
        <v>#NAME?</v>
      </c>
      <c r="H1495" s="274">
        <f t="shared" si="43"/>
        <v>0</v>
      </c>
      <c r="K1495" s="274"/>
    </row>
    <row r="1496" spans="2:11" ht="13.5" customHeight="1">
      <c r="B1496" s="1" t="s">
        <v>2060</v>
      </c>
      <c r="C1496" s="1" t="s">
        <v>3435</v>
      </c>
      <c r="D1496" s="406" t="str">
        <f t="shared" si="51"/>
        <v>11-12</v>
      </c>
      <c r="E1496" s="273" t="e">
        <f ca="1">_xludf.IFNA(VLOOKUP('Comp X - Kilter'!B1496,'Kilter Holds'!$P$37:$AB$662,5,0),0)</f>
        <v>#NAME?</v>
      </c>
      <c r="F1496" s="274"/>
      <c r="G1496" s="274" t="e">
        <f t="shared" ca="1" si="42"/>
        <v>#NAME?</v>
      </c>
      <c r="H1496" s="274">
        <f t="shared" si="43"/>
        <v>0</v>
      </c>
      <c r="K1496" s="274"/>
    </row>
    <row r="1497" spans="2:11" ht="13.5" customHeight="1">
      <c r="B1497" s="1" t="s">
        <v>2060</v>
      </c>
      <c r="C1497" s="1" t="s">
        <v>3435</v>
      </c>
      <c r="D1497" s="408" t="str">
        <f t="shared" si="51"/>
        <v>14-01</v>
      </c>
      <c r="E1497" s="273" t="e">
        <f ca="1">_xludf.IFNA(VLOOKUP('Comp X - Kilter'!B1497,'Kilter Holds'!$P$37:$AB$662,6,0),0)</f>
        <v>#NAME?</v>
      </c>
      <c r="F1497" s="274"/>
      <c r="G1497" s="274" t="e">
        <f t="shared" ca="1" si="42"/>
        <v>#NAME?</v>
      </c>
      <c r="H1497" s="274">
        <f t="shared" si="43"/>
        <v>0</v>
      </c>
      <c r="K1497" s="274"/>
    </row>
    <row r="1498" spans="2:11" ht="13.5" customHeight="1">
      <c r="B1498" s="1" t="s">
        <v>2060</v>
      </c>
      <c r="C1498" s="1" t="s">
        <v>3435</v>
      </c>
      <c r="D1498" s="409" t="str">
        <f t="shared" si="51"/>
        <v>15-12</v>
      </c>
      <c r="E1498" s="273" t="e">
        <f ca="1">_xludf.IFNA(VLOOKUP('Comp X - Kilter'!B1498,'Kilter Holds'!$P$37:$AB$662,7,0),0)</f>
        <v>#NAME?</v>
      </c>
      <c r="F1498" s="274"/>
      <c r="G1498" s="274" t="e">
        <f t="shared" ca="1" si="42"/>
        <v>#NAME?</v>
      </c>
      <c r="H1498" s="274">
        <f t="shared" si="43"/>
        <v>0</v>
      </c>
      <c r="K1498" s="274"/>
    </row>
    <row r="1499" spans="2:11" ht="13.5" customHeight="1">
      <c r="B1499" s="1" t="s">
        <v>2060</v>
      </c>
      <c r="C1499" s="1" t="s">
        <v>3435</v>
      </c>
      <c r="D1499" s="410" t="str">
        <f t="shared" si="51"/>
        <v>16-16</v>
      </c>
      <c r="E1499" s="273" t="e">
        <f ca="1">_xludf.IFNA(VLOOKUP('Comp X - Kilter'!B1499,'Kilter Holds'!$P$37:$AB$662,8,0),0)</f>
        <v>#NAME?</v>
      </c>
      <c r="F1499" s="274"/>
      <c r="G1499" s="274" t="e">
        <f t="shared" ca="1" si="42"/>
        <v>#NAME?</v>
      </c>
      <c r="H1499" s="274">
        <f t="shared" si="43"/>
        <v>0</v>
      </c>
      <c r="K1499" s="274"/>
    </row>
    <row r="1500" spans="2:11" ht="13.5" customHeight="1">
      <c r="B1500" s="1" t="s">
        <v>2060</v>
      </c>
      <c r="C1500" s="1" t="s">
        <v>3435</v>
      </c>
      <c r="D1500" s="411" t="str">
        <f t="shared" si="51"/>
        <v>13-01</v>
      </c>
      <c r="E1500" s="273" t="e">
        <f ca="1">_xludf.IFNA(VLOOKUP('Comp X - Kilter'!B1500,'Kilter Holds'!$P$37:$AB$662,9,0),0)</f>
        <v>#NAME?</v>
      </c>
      <c r="F1500" s="274"/>
      <c r="G1500" s="274" t="e">
        <f t="shared" ca="1" si="42"/>
        <v>#NAME?</v>
      </c>
      <c r="H1500" s="274">
        <f t="shared" si="43"/>
        <v>0</v>
      </c>
      <c r="K1500" s="274"/>
    </row>
    <row r="1501" spans="2:11" ht="13.5" customHeight="1">
      <c r="B1501" s="1" t="s">
        <v>2060</v>
      </c>
      <c r="C1501" s="1" t="s">
        <v>3435</v>
      </c>
      <c r="D1501" s="413" t="str">
        <f t="shared" si="51"/>
        <v>07-13</v>
      </c>
      <c r="E1501" s="273" t="e">
        <f ca="1">_xludf.IFNA(VLOOKUP('Comp X - Kilter'!B1501,'Kilter Holds'!$P$37:$AB$662,10,0),0)</f>
        <v>#NAME?</v>
      </c>
      <c r="F1501" s="274"/>
      <c r="G1501" s="274" t="e">
        <f t="shared" ca="1" si="42"/>
        <v>#NAME?</v>
      </c>
      <c r="H1501" s="274">
        <f t="shared" si="43"/>
        <v>0</v>
      </c>
      <c r="K1501" s="274"/>
    </row>
    <row r="1502" spans="2:11" ht="13.5" customHeight="1">
      <c r="B1502" s="1" t="s">
        <v>2060</v>
      </c>
      <c r="C1502" s="1" t="s">
        <v>3435</v>
      </c>
      <c r="D1502" s="414" t="str">
        <f t="shared" si="51"/>
        <v>11-26</v>
      </c>
      <c r="E1502" s="273" t="e">
        <f ca="1">_xludf.IFNA(VLOOKUP('Comp X - Kilter'!B1502,'Kilter Holds'!$P$37:$AB$662,11,0),0)</f>
        <v>#NAME?</v>
      </c>
      <c r="F1502" s="274"/>
      <c r="G1502" s="274" t="e">
        <f t="shared" ca="1" si="42"/>
        <v>#NAME?</v>
      </c>
      <c r="H1502" s="274">
        <f t="shared" si="43"/>
        <v>0</v>
      </c>
      <c r="K1502" s="274"/>
    </row>
    <row r="1503" spans="2:11" ht="13.5" customHeight="1">
      <c r="B1503" s="1" t="s">
        <v>2060</v>
      </c>
      <c r="C1503" s="1" t="s">
        <v>3435</v>
      </c>
      <c r="D1503" s="415" t="str">
        <f t="shared" si="51"/>
        <v>18-01</v>
      </c>
      <c r="E1503" s="273" t="e">
        <f ca="1">_xludf.IFNA(VLOOKUP('Comp X - Kilter'!B1503,'Kilter Holds'!$P$37:$AB$662,12,0),0)</f>
        <v>#NAME?</v>
      </c>
      <c r="F1503" s="274"/>
      <c r="G1503" s="274" t="e">
        <f t="shared" ca="1" si="42"/>
        <v>#NAME?</v>
      </c>
      <c r="H1503" s="274">
        <f t="shared" si="43"/>
        <v>0</v>
      </c>
      <c r="K1503" s="274"/>
    </row>
    <row r="1504" spans="2:11" ht="13.5" customHeight="1">
      <c r="B1504" s="1" t="s">
        <v>2060</v>
      </c>
      <c r="C1504" s="1" t="s">
        <v>3435</v>
      </c>
      <c r="D1504" s="416" t="str">
        <f t="shared" si="51"/>
        <v>Color Code</v>
      </c>
      <c r="E1504" s="273" t="e">
        <f ca="1">_xludf.IFNA(VLOOKUP('Comp X - Kilter'!B1504,'Kilter Holds'!$P$37:$AB$662,13,0),0)</f>
        <v>#NAME?</v>
      </c>
      <c r="F1504" s="274"/>
      <c r="G1504" s="274" t="e">
        <f t="shared" ca="1" si="42"/>
        <v>#NAME?</v>
      </c>
      <c r="H1504" s="274">
        <f t="shared" si="43"/>
        <v>0</v>
      </c>
      <c r="K1504" s="274"/>
    </row>
    <row r="1505" spans="2:11" ht="13.5" customHeight="1">
      <c r="B1505" s="1" t="s">
        <v>2061</v>
      </c>
      <c r="C1505" s="1" t="s">
        <v>3436</v>
      </c>
      <c r="D1505" s="406" t="str">
        <f t="shared" si="51"/>
        <v>11-12</v>
      </c>
      <c r="E1505" s="273" t="e">
        <f ca="1">_xludf.IFNA(VLOOKUP('Comp X - Kilter'!B1505,'Kilter Holds'!$P$37:$AB$662,5,0),0)</f>
        <v>#NAME?</v>
      </c>
      <c r="F1505" s="274"/>
      <c r="G1505" s="274" t="e">
        <f t="shared" ca="1" si="42"/>
        <v>#NAME?</v>
      </c>
      <c r="H1505" s="274">
        <f t="shared" si="43"/>
        <v>0</v>
      </c>
      <c r="K1505" s="274"/>
    </row>
    <row r="1506" spans="2:11" ht="13.5" customHeight="1">
      <c r="B1506" s="1" t="s">
        <v>2061</v>
      </c>
      <c r="C1506" s="1" t="s">
        <v>3436</v>
      </c>
      <c r="D1506" s="408" t="str">
        <f t="shared" si="51"/>
        <v>14-01</v>
      </c>
      <c r="E1506" s="273" t="e">
        <f ca="1">_xludf.IFNA(VLOOKUP('Comp X - Kilter'!B1506,'Kilter Holds'!$P$37:$AB$662,6,0),0)</f>
        <v>#NAME?</v>
      </c>
      <c r="F1506" s="274"/>
      <c r="G1506" s="274" t="e">
        <f t="shared" ca="1" si="42"/>
        <v>#NAME?</v>
      </c>
      <c r="H1506" s="274">
        <f t="shared" si="43"/>
        <v>0</v>
      </c>
      <c r="K1506" s="274"/>
    </row>
    <row r="1507" spans="2:11" ht="13.5" customHeight="1">
      <c r="B1507" s="1" t="s">
        <v>2061</v>
      </c>
      <c r="C1507" s="1" t="s">
        <v>3436</v>
      </c>
      <c r="D1507" s="409" t="str">
        <f t="shared" si="51"/>
        <v>15-12</v>
      </c>
      <c r="E1507" s="273" t="e">
        <f ca="1">_xludf.IFNA(VLOOKUP('Comp X - Kilter'!B1507,'Kilter Holds'!$P$37:$AB$662,7,0),0)</f>
        <v>#NAME?</v>
      </c>
      <c r="F1507" s="274"/>
      <c r="G1507" s="274" t="e">
        <f t="shared" ca="1" si="42"/>
        <v>#NAME?</v>
      </c>
      <c r="H1507" s="274">
        <f t="shared" si="43"/>
        <v>0</v>
      </c>
      <c r="K1507" s="274"/>
    </row>
    <row r="1508" spans="2:11" ht="13.5" customHeight="1">
      <c r="B1508" s="1" t="s">
        <v>2061</v>
      </c>
      <c r="C1508" s="1" t="s">
        <v>3436</v>
      </c>
      <c r="D1508" s="410" t="str">
        <f t="shared" si="51"/>
        <v>16-16</v>
      </c>
      <c r="E1508" s="273" t="e">
        <f ca="1">_xludf.IFNA(VLOOKUP('Comp X - Kilter'!B1508,'Kilter Holds'!$P$37:$AB$662,8,0),0)</f>
        <v>#NAME?</v>
      </c>
      <c r="F1508" s="274"/>
      <c r="G1508" s="274" t="e">
        <f t="shared" ca="1" si="42"/>
        <v>#NAME?</v>
      </c>
      <c r="H1508" s="274">
        <f t="shared" si="43"/>
        <v>0</v>
      </c>
      <c r="K1508" s="274"/>
    </row>
    <row r="1509" spans="2:11" ht="13.5" customHeight="1">
      <c r="B1509" s="1" t="s">
        <v>2061</v>
      </c>
      <c r="C1509" s="1" t="s">
        <v>3436</v>
      </c>
      <c r="D1509" s="411" t="str">
        <f t="shared" si="51"/>
        <v>13-01</v>
      </c>
      <c r="E1509" s="273" t="e">
        <f ca="1">_xludf.IFNA(VLOOKUP('Comp X - Kilter'!B1509,'Kilter Holds'!$P$37:$AB$662,9,0),0)</f>
        <v>#NAME?</v>
      </c>
      <c r="F1509" s="274"/>
      <c r="G1509" s="274" t="e">
        <f t="shared" ca="1" si="42"/>
        <v>#NAME?</v>
      </c>
      <c r="H1509" s="274">
        <f t="shared" si="43"/>
        <v>0</v>
      </c>
      <c r="K1509" s="274"/>
    </row>
    <row r="1510" spans="2:11" ht="13.5" customHeight="1">
      <c r="B1510" s="1" t="s">
        <v>2061</v>
      </c>
      <c r="C1510" s="1" t="s">
        <v>3436</v>
      </c>
      <c r="D1510" s="413" t="str">
        <f t="shared" si="51"/>
        <v>07-13</v>
      </c>
      <c r="E1510" s="273" t="e">
        <f ca="1">_xludf.IFNA(VLOOKUP('Comp X - Kilter'!B1510,'Kilter Holds'!$P$37:$AB$662,10,0),0)</f>
        <v>#NAME?</v>
      </c>
      <c r="F1510" s="274"/>
      <c r="G1510" s="274" t="e">
        <f t="shared" ca="1" si="42"/>
        <v>#NAME?</v>
      </c>
      <c r="H1510" s="274">
        <f t="shared" si="43"/>
        <v>0</v>
      </c>
      <c r="K1510" s="274"/>
    </row>
    <row r="1511" spans="2:11" ht="13.5" customHeight="1">
      <c r="B1511" s="1" t="s">
        <v>2061</v>
      </c>
      <c r="C1511" s="1" t="s">
        <v>3436</v>
      </c>
      <c r="D1511" s="414" t="str">
        <f t="shared" si="51"/>
        <v>11-26</v>
      </c>
      <c r="E1511" s="273" t="e">
        <f ca="1">_xludf.IFNA(VLOOKUP('Comp X - Kilter'!B1511,'Kilter Holds'!$P$37:$AB$662,11,0),0)</f>
        <v>#NAME?</v>
      </c>
      <c r="F1511" s="274"/>
      <c r="G1511" s="274" t="e">
        <f t="shared" ca="1" si="42"/>
        <v>#NAME?</v>
      </c>
      <c r="H1511" s="274">
        <f t="shared" si="43"/>
        <v>0</v>
      </c>
      <c r="K1511" s="274"/>
    </row>
    <row r="1512" spans="2:11" ht="13.5" customHeight="1">
      <c r="B1512" s="1" t="s">
        <v>2061</v>
      </c>
      <c r="C1512" s="1" t="s">
        <v>3436</v>
      </c>
      <c r="D1512" s="415" t="str">
        <f t="shared" si="51"/>
        <v>18-01</v>
      </c>
      <c r="E1512" s="273" t="e">
        <f ca="1">_xludf.IFNA(VLOOKUP('Comp X - Kilter'!B1512,'Kilter Holds'!$P$37:$AB$662,12,0),0)</f>
        <v>#NAME?</v>
      </c>
      <c r="F1512" s="274"/>
      <c r="G1512" s="274" t="e">
        <f t="shared" ca="1" si="42"/>
        <v>#NAME?</v>
      </c>
      <c r="H1512" s="274">
        <f t="shared" si="43"/>
        <v>0</v>
      </c>
      <c r="K1512" s="274"/>
    </row>
    <row r="1513" spans="2:11" ht="13.5" customHeight="1">
      <c r="B1513" s="1" t="s">
        <v>2061</v>
      </c>
      <c r="C1513" s="1" t="s">
        <v>3436</v>
      </c>
      <c r="D1513" s="416" t="str">
        <f t="shared" si="51"/>
        <v>Color Code</v>
      </c>
      <c r="E1513" s="273" t="e">
        <f ca="1">_xludf.IFNA(VLOOKUP('Comp X - Kilter'!B1513,'Kilter Holds'!$P$37:$AB$662,13,0),0)</f>
        <v>#NAME?</v>
      </c>
      <c r="F1513" s="274"/>
      <c r="G1513" s="274" t="e">
        <f t="shared" ca="1" si="42"/>
        <v>#NAME?</v>
      </c>
      <c r="H1513" s="274">
        <f t="shared" si="43"/>
        <v>0</v>
      </c>
      <c r="K1513" s="274"/>
    </row>
    <row r="1514" spans="2:11" ht="13.5" customHeight="1">
      <c r="B1514" s="1" t="s">
        <v>2052</v>
      </c>
      <c r="C1514" s="1" t="s">
        <v>3437</v>
      </c>
      <c r="D1514" s="406" t="str">
        <f t="shared" ref="D1514:D1549" si="52">D686</f>
        <v>11-12</v>
      </c>
      <c r="E1514" s="273" t="e">
        <f ca="1">_xludf.IFNA(VLOOKUP('Comp X - Kilter'!B1514,'Kilter Holds'!$P$37:$AB$662,5,0),0)</f>
        <v>#NAME?</v>
      </c>
      <c r="F1514" s="274"/>
      <c r="G1514" s="274" t="e">
        <f t="shared" ca="1" si="42"/>
        <v>#NAME?</v>
      </c>
      <c r="H1514" s="274">
        <f t="shared" si="43"/>
        <v>0</v>
      </c>
      <c r="K1514" s="274"/>
    </row>
    <row r="1515" spans="2:11" ht="13.5" customHeight="1">
      <c r="B1515" s="1" t="s">
        <v>2052</v>
      </c>
      <c r="C1515" s="1" t="s">
        <v>3437</v>
      </c>
      <c r="D1515" s="408" t="str">
        <f t="shared" si="52"/>
        <v>14-01</v>
      </c>
      <c r="E1515" s="273" t="e">
        <f ca="1">_xludf.IFNA(VLOOKUP('Comp X - Kilter'!B1515,'Kilter Holds'!$P$37:$AB$662,6,0),0)</f>
        <v>#NAME?</v>
      </c>
      <c r="F1515" s="274"/>
      <c r="G1515" s="274" t="e">
        <f t="shared" ca="1" si="42"/>
        <v>#NAME?</v>
      </c>
      <c r="H1515" s="274">
        <f t="shared" si="43"/>
        <v>0</v>
      </c>
      <c r="K1515" s="274"/>
    </row>
    <row r="1516" spans="2:11" ht="13.5" customHeight="1">
      <c r="B1516" s="1" t="s">
        <v>2052</v>
      </c>
      <c r="C1516" s="1" t="s">
        <v>3437</v>
      </c>
      <c r="D1516" s="409" t="str">
        <f t="shared" si="52"/>
        <v>15-12</v>
      </c>
      <c r="E1516" s="273" t="e">
        <f ca="1">_xludf.IFNA(VLOOKUP('Comp X - Kilter'!B1516,'Kilter Holds'!$P$37:$AB$662,7,0),0)</f>
        <v>#NAME?</v>
      </c>
      <c r="F1516" s="274"/>
      <c r="G1516" s="274" t="e">
        <f t="shared" ca="1" si="42"/>
        <v>#NAME?</v>
      </c>
      <c r="H1516" s="274">
        <f t="shared" si="43"/>
        <v>0</v>
      </c>
      <c r="K1516" s="274"/>
    </row>
    <row r="1517" spans="2:11" ht="13.5" customHeight="1">
      <c r="B1517" s="1" t="s">
        <v>2052</v>
      </c>
      <c r="C1517" s="1" t="s">
        <v>3437</v>
      </c>
      <c r="D1517" s="410" t="str">
        <f t="shared" si="52"/>
        <v>16-16</v>
      </c>
      <c r="E1517" s="273" t="e">
        <f ca="1">_xludf.IFNA(VLOOKUP('Comp X - Kilter'!B1517,'Kilter Holds'!$P$37:$AB$662,8,0),0)</f>
        <v>#NAME?</v>
      </c>
      <c r="F1517" s="274"/>
      <c r="G1517" s="274" t="e">
        <f t="shared" ca="1" si="42"/>
        <v>#NAME?</v>
      </c>
      <c r="H1517" s="274">
        <f t="shared" si="43"/>
        <v>0</v>
      </c>
      <c r="K1517" s="274"/>
    </row>
    <row r="1518" spans="2:11" ht="13.5" customHeight="1">
      <c r="B1518" s="1" t="s">
        <v>2052</v>
      </c>
      <c r="C1518" s="1" t="s">
        <v>3437</v>
      </c>
      <c r="D1518" s="411" t="str">
        <f t="shared" si="52"/>
        <v>13-01</v>
      </c>
      <c r="E1518" s="273" t="e">
        <f ca="1">_xludf.IFNA(VLOOKUP('Comp X - Kilter'!B1518,'Kilter Holds'!$P$37:$AB$662,9,0),0)</f>
        <v>#NAME?</v>
      </c>
      <c r="F1518" s="274"/>
      <c r="G1518" s="274" t="e">
        <f t="shared" ca="1" si="42"/>
        <v>#NAME?</v>
      </c>
      <c r="H1518" s="274">
        <f t="shared" si="43"/>
        <v>0</v>
      </c>
      <c r="K1518" s="274"/>
    </row>
    <row r="1519" spans="2:11" ht="13.5" customHeight="1">
      <c r="B1519" s="1" t="s">
        <v>2052</v>
      </c>
      <c r="C1519" s="1" t="s">
        <v>3437</v>
      </c>
      <c r="D1519" s="413" t="str">
        <f t="shared" si="52"/>
        <v>07-13</v>
      </c>
      <c r="E1519" s="273" t="e">
        <f ca="1">_xludf.IFNA(VLOOKUP('Comp X - Kilter'!B1519,'Kilter Holds'!$P$37:$AB$662,10,0),0)</f>
        <v>#NAME?</v>
      </c>
      <c r="F1519" s="274"/>
      <c r="G1519" s="274" t="e">
        <f t="shared" ca="1" si="42"/>
        <v>#NAME?</v>
      </c>
      <c r="H1519" s="274">
        <f t="shared" si="43"/>
        <v>0</v>
      </c>
      <c r="K1519" s="274"/>
    </row>
    <row r="1520" spans="2:11" ht="13.5" customHeight="1">
      <c r="B1520" s="1" t="s">
        <v>2052</v>
      </c>
      <c r="C1520" s="1" t="s">
        <v>3437</v>
      </c>
      <c r="D1520" s="414" t="str">
        <f t="shared" si="52"/>
        <v>11-26</v>
      </c>
      <c r="E1520" s="273" t="e">
        <f ca="1">_xludf.IFNA(VLOOKUP('Comp X - Kilter'!B1520,'Kilter Holds'!$P$37:$AB$662,11,0),0)</f>
        <v>#NAME?</v>
      </c>
      <c r="F1520" s="274"/>
      <c r="G1520" s="274" t="e">
        <f t="shared" ca="1" si="42"/>
        <v>#NAME?</v>
      </c>
      <c r="H1520" s="274">
        <f t="shared" si="43"/>
        <v>0</v>
      </c>
      <c r="K1520" s="274"/>
    </row>
    <row r="1521" spans="2:11" ht="13.5" customHeight="1">
      <c r="B1521" s="1" t="s">
        <v>2052</v>
      </c>
      <c r="C1521" s="1" t="s">
        <v>3437</v>
      </c>
      <c r="D1521" s="415" t="str">
        <f t="shared" si="52"/>
        <v>18-01</v>
      </c>
      <c r="E1521" s="273" t="e">
        <f ca="1">_xludf.IFNA(VLOOKUP('Comp X - Kilter'!B1521,'Kilter Holds'!$P$37:$AB$662,12,0),0)</f>
        <v>#NAME?</v>
      </c>
      <c r="F1521" s="274"/>
      <c r="G1521" s="274" t="e">
        <f t="shared" ca="1" si="42"/>
        <v>#NAME?</v>
      </c>
      <c r="H1521" s="274">
        <f t="shared" si="43"/>
        <v>0</v>
      </c>
      <c r="K1521" s="274"/>
    </row>
    <row r="1522" spans="2:11" ht="13.5" customHeight="1">
      <c r="B1522" s="1" t="s">
        <v>2052</v>
      </c>
      <c r="C1522" s="1" t="s">
        <v>3437</v>
      </c>
      <c r="D1522" s="416" t="str">
        <f t="shared" si="52"/>
        <v>Color Code</v>
      </c>
      <c r="E1522" s="273" t="e">
        <f ca="1">_xludf.IFNA(VLOOKUP('Comp X - Kilter'!B1522,'Kilter Holds'!$P$37:$AB$662,13,0),0)</f>
        <v>#NAME?</v>
      </c>
      <c r="F1522" s="274"/>
      <c r="G1522" s="274" t="e">
        <f t="shared" ca="1" si="42"/>
        <v>#NAME?</v>
      </c>
      <c r="H1522" s="274">
        <f t="shared" si="43"/>
        <v>0</v>
      </c>
      <c r="K1522" s="274"/>
    </row>
    <row r="1523" spans="2:11" ht="13.5" customHeight="1">
      <c r="B1523" s="1" t="s">
        <v>2071</v>
      </c>
      <c r="C1523" s="1" t="s">
        <v>3438</v>
      </c>
      <c r="D1523" s="406" t="str">
        <f t="shared" si="52"/>
        <v>11-12</v>
      </c>
      <c r="E1523" s="273" t="e">
        <f ca="1">_xludf.IFNA(VLOOKUP('Comp X - Kilter'!B1523,'Kilter Holds'!$P$37:$AB$662,5,0),0)</f>
        <v>#NAME?</v>
      </c>
      <c r="F1523" s="274"/>
      <c r="G1523" s="274" t="e">
        <f t="shared" ca="1" si="42"/>
        <v>#NAME?</v>
      </c>
      <c r="H1523" s="274">
        <f t="shared" si="43"/>
        <v>0</v>
      </c>
      <c r="K1523" s="274"/>
    </row>
    <row r="1524" spans="2:11" ht="13.5" customHeight="1">
      <c r="B1524" s="1" t="s">
        <v>2071</v>
      </c>
      <c r="C1524" s="1" t="s">
        <v>3438</v>
      </c>
      <c r="D1524" s="408" t="str">
        <f t="shared" si="52"/>
        <v>14-01</v>
      </c>
      <c r="E1524" s="273" t="e">
        <f ca="1">_xludf.IFNA(VLOOKUP('Comp X - Kilter'!B1524,'Kilter Holds'!$P$37:$AB$662,6,0),0)</f>
        <v>#NAME?</v>
      </c>
      <c r="F1524" s="274"/>
      <c r="G1524" s="274" t="e">
        <f t="shared" ca="1" si="42"/>
        <v>#NAME?</v>
      </c>
      <c r="H1524" s="274">
        <f t="shared" si="43"/>
        <v>0</v>
      </c>
      <c r="K1524" s="274"/>
    </row>
    <row r="1525" spans="2:11" ht="13.5" customHeight="1">
      <c r="B1525" s="1" t="s">
        <v>2071</v>
      </c>
      <c r="C1525" s="1" t="s">
        <v>3438</v>
      </c>
      <c r="D1525" s="409" t="str">
        <f t="shared" si="52"/>
        <v>15-12</v>
      </c>
      <c r="E1525" s="273" t="e">
        <f ca="1">_xludf.IFNA(VLOOKUP('Comp X - Kilter'!B1525,'Kilter Holds'!$P$37:$AB$662,7,0),0)</f>
        <v>#NAME?</v>
      </c>
      <c r="F1525" s="274"/>
      <c r="G1525" s="274" t="e">
        <f t="shared" ca="1" si="42"/>
        <v>#NAME?</v>
      </c>
      <c r="H1525" s="274">
        <f t="shared" si="43"/>
        <v>0</v>
      </c>
      <c r="K1525" s="274"/>
    </row>
    <row r="1526" spans="2:11" ht="13.5" customHeight="1">
      <c r="B1526" s="1" t="s">
        <v>2071</v>
      </c>
      <c r="C1526" s="1" t="s">
        <v>3438</v>
      </c>
      <c r="D1526" s="410" t="str">
        <f t="shared" si="52"/>
        <v>16-16</v>
      </c>
      <c r="E1526" s="273" t="e">
        <f ca="1">_xludf.IFNA(VLOOKUP('Comp X - Kilter'!B1526,'Kilter Holds'!$P$37:$AB$662,8,0),0)</f>
        <v>#NAME?</v>
      </c>
      <c r="F1526" s="274"/>
      <c r="G1526" s="274" t="e">
        <f t="shared" ca="1" si="42"/>
        <v>#NAME?</v>
      </c>
      <c r="H1526" s="274">
        <f t="shared" si="43"/>
        <v>0</v>
      </c>
      <c r="K1526" s="274"/>
    </row>
    <row r="1527" spans="2:11" ht="13.5" customHeight="1">
      <c r="B1527" s="1" t="s">
        <v>2071</v>
      </c>
      <c r="C1527" s="1" t="s">
        <v>3438</v>
      </c>
      <c r="D1527" s="411" t="str">
        <f t="shared" si="52"/>
        <v>13-01</v>
      </c>
      <c r="E1527" s="273" t="e">
        <f ca="1">_xludf.IFNA(VLOOKUP('Comp X - Kilter'!B1527,'Kilter Holds'!$P$37:$AB$662,9,0),0)</f>
        <v>#NAME?</v>
      </c>
      <c r="F1527" s="274"/>
      <c r="G1527" s="274" t="e">
        <f t="shared" ca="1" si="42"/>
        <v>#NAME?</v>
      </c>
      <c r="H1527" s="274">
        <f t="shared" si="43"/>
        <v>0</v>
      </c>
      <c r="K1527" s="274"/>
    </row>
    <row r="1528" spans="2:11" ht="13.5" customHeight="1">
      <c r="B1528" s="1" t="s">
        <v>2071</v>
      </c>
      <c r="C1528" s="1" t="s">
        <v>3438</v>
      </c>
      <c r="D1528" s="413" t="str">
        <f t="shared" si="52"/>
        <v>07-13</v>
      </c>
      <c r="E1528" s="273" t="e">
        <f ca="1">_xludf.IFNA(VLOOKUP('Comp X - Kilter'!B1528,'Kilter Holds'!$P$37:$AB$662,10,0),0)</f>
        <v>#NAME?</v>
      </c>
      <c r="F1528" s="274"/>
      <c r="G1528" s="274" t="e">
        <f t="shared" ca="1" si="42"/>
        <v>#NAME?</v>
      </c>
      <c r="H1528" s="274">
        <f t="shared" si="43"/>
        <v>0</v>
      </c>
      <c r="K1528" s="274"/>
    </row>
    <row r="1529" spans="2:11" ht="13.5" customHeight="1">
      <c r="B1529" s="1" t="s">
        <v>2071</v>
      </c>
      <c r="C1529" s="1" t="s">
        <v>3438</v>
      </c>
      <c r="D1529" s="414" t="str">
        <f t="shared" si="52"/>
        <v>11-26</v>
      </c>
      <c r="E1529" s="273" t="e">
        <f ca="1">_xludf.IFNA(VLOOKUP('Comp X - Kilter'!B1529,'Kilter Holds'!$P$37:$AB$662,11,0),0)</f>
        <v>#NAME?</v>
      </c>
      <c r="F1529" s="274"/>
      <c r="G1529" s="274" t="e">
        <f t="shared" ca="1" si="42"/>
        <v>#NAME?</v>
      </c>
      <c r="H1529" s="274">
        <f t="shared" si="43"/>
        <v>0</v>
      </c>
      <c r="K1529" s="274"/>
    </row>
    <row r="1530" spans="2:11" ht="13.5" customHeight="1">
      <c r="B1530" s="1" t="s">
        <v>2071</v>
      </c>
      <c r="C1530" s="1" t="s">
        <v>3438</v>
      </c>
      <c r="D1530" s="415" t="str">
        <f t="shared" si="52"/>
        <v>18-01</v>
      </c>
      <c r="E1530" s="273" t="e">
        <f ca="1">_xludf.IFNA(VLOOKUP('Comp X - Kilter'!B1530,'Kilter Holds'!$P$37:$AB$662,12,0),0)</f>
        <v>#NAME?</v>
      </c>
      <c r="F1530" s="274"/>
      <c r="G1530" s="274" t="e">
        <f t="shared" ca="1" si="42"/>
        <v>#NAME?</v>
      </c>
      <c r="H1530" s="274">
        <f t="shared" si="43"/>
        <v>0</v>
      </c>
      <c r="K1530" s="274"/>
    </row>
    <row r="1531" spans="2:11" ht="13.5" customHeight="1">
      <c r="B1531" s="1" t="s">
        <v>2071</v>
      </c>
      <c r="C1531" s="1" t="s">
        <v>3438</v>
      </c>
      <c r="D1531" s="416" t="str">
        <f t="shared" si="52"/>
        <v>Color Code</v>
      </c>
      <c r="E1531" s="273" t="e">
        <f ca="1">_xludf.IFNA(VLOOKUP('Comp X - Kilter'!B1531,'Kilter Holds'!$P$37:$AB$662,13,0),0)</f>
        <v>#NAME?</v>
      </c>
      <c r="F1531" s="274"/>
      <c r="G1531" s="274" t="e">
        <f t="shared" ca="1" si="42"/>
        <v>#NAME?</v>
      </c>
      <c r="H1531" s="274">
        <f t="shared" si="43"/>
        <v>0</v>
      </c>
      <c r="K1531" s="274"/>
    </row>
    <row r="1532" spans="2:11" ht="13.5" customHeight="1">
      <c r="B1532" s="1" t="s">
        <v>2076</v>
      </c>
      <c r="C1532" s="1" t="s">
        <v>3439</v>
      </c>
      <c r="D1532" s="406" t="str">
        <f t="shared" si="52"/>
        <v>11-12</v>
      </c>
      <c r="E1532" s="273" t="e">
        <f ca="1">_xludf.IFNA(VLOOKUP('Comp X - Kilter'!B1532,'Kilter Holds'!$P$37:$AB$662,5,0),0)</f>
        <v>#NAME?</v>
      </c>
      <c r="F1532" s="274"/>
      <c r="G1532" s="274" t="e">
        <f t="shared" ref="G1532:G1786" ca="1" si="53">E1532*F1532</f>
        <v>#NAME?</v>
      </c>
      <c r="H1532" s="274">
        <f t="shared" ref="H1532:H1786" si="54">IF($S$11="Y",G1532*0.15,0)</f>
        <v>0</v>
      </c>
      <c r="K1532" s="274"/>
    </row>
    <row r="1533" spans="2:11" ht="13.5" customHeight="1">
      <c r="B1533" s="1" t="s">
        <v>2076</v>
      </c>
      <c r="C1533" s="1" t="s">
        <v>3439</v>
      </c>
      <c r="D1533" s="408" t="str">
        <f t="shared" si="52"/>
        <v>14-01</v>
      </c>
      <c r="E1533" s="273" t="e">
        <f ca="1">_xludf.IFNA(VLOOKUP('Comp X - Kilter'!B1533,'Kilter Holds'!$P$37:$AB$662,6,0),0)</f>
        <v>#NAME?</v>
      </c>
      <c r="F1533" s="274"/>
      <c r="G1533" s="274" t="e">
        <f t="shared" ca="1" si="53"/>
        <v>#NAME?</v>
      </c>
      <c r="H1533" s="274">
        <f t="shared" si="54"/>
        <v>0</v>
      </c>
      <c r="K1533" s="274"/>
    </row>
    <row r="1534" spans="2:11" ht="13.5" customHeight="1">
      <c r="B1534" s="1" t="s">
        <v>2076</v>
      </c>
      <c r="C1534" s="1" t="s">
        <v>3439</v>
      </c>
      <c r="D1534" s="409" t="str">
        <f t="shared" si="52"/>
        <v>15-12</v>
      </c>
      <c r="E1534" s="273" t="e">
        <f ca="1">_xludf.IFNA(VLOOKUP('Comp X - Kilter'!B1534,'Kilter Holds'!$P$37:$AB$662,7,0),0)</f>
        <v>#NAME?</v>
      </c>
      <c r="F1534" s="274"/>
      <c r="G1534" s="274" t="e">
        <f t="shared" ca="1" si="53"/>
        <v>#NAME?</v>
      </c>
      <c r="H1534" s="274">
        <f t="shared" si="54"/>
        <v>0</v>
      </c>
      <c r="K1534" s="274"/>
    </row>
    <row r="1535" spans="2:11" ht="13.5" customHeight="1">
      <c r="B1535" s="1" t="s">
        <v>2076</v>
      </c>
      <c r="C1535" s="1" t="s">
        <v>3439</v>
      </c>
      <c r="D1535" s="410" t="str">
        <f t="shared" si="52"/>
        <v>16-16</v>
      </c>
      <c r="E1535" s="273" t="e">
        <f ca="1">_xludf.IFNA(VLOOKUP('Comp X - Kilter'!B1535,'Kilter Holds'!$P$37:$AB$662,8,0),0)</f>
        <v>#NAME?</v>
      </c>
      <c r="F1535" s="274"/>
      <c r="G1535" s="274" t="e">
        <f t="shared" ca="1" si="53"/>
        <v>#NAME?</v>
      </c>
      <c r="H1535" s="274">
        <f t="shared" si="54"/>
        <v>0</v>
      </c>
      <c r="K1535" s="274"/>
    </row>
    <row r="1536" spans="2:11" ht="13.5" customHeight="1">
      <c r="B1536" s="1" t="s">
        <v>2076</v>
      </c>
      <c r="C1536" s="1" t="s">
        <v>3439</v>
      </c>
      <c r="D1536" s="411" t="str">
        <f t="shared" si="52"/>
        <v>13-01</v>
      </c>
      <c r="E1536" s="273" t="e">
        <f ca="1">_xludf.IFNA(VLOOKUP('Comp X - Kilter'!B1536,'Kilter Holds'!$P$37:$AB$662,9,0),0)</f>
        <v>#NAME?</v>
      </c>
      <c r="F1536" s="274"/>
      <c r="G1536" s="274" t="e">
        <f t="shared" ca="1" si="53"/>
        <v>#NAME?</v>
      </c>
      <c r="H1536" s="274">
        <f t="shared" si="54"/>
        <v>0</v>
      </c>
      <c r="K1536" s="274"/>
    </row>
    <row r="1537" spans="2:11" ht="13.5" customHeight="1">
      <c r="B1537" s="1" t="s">
        <v>2076</v>
      </c>
      <c r="C1537" s="1" t="s">
        <v>3439</v>
      </c>
      <c r="D1537" s="413" t="str">
        <f t="shared" si="52"/>
        <v>07-13</v>
      </c>
      <c r="E1537" s="273" t="e">
        <f ca="1">_xludf.IFNA(VLOOKUP('Comp X - Kilter'!B1537,'Kilter Holds'!$P$37:$AB$662,10,0),0)</f>
        <v>#NAME?</v>
      </c>
      <c r="F1537" s="274"/>
      <c r="G1537" s="274" t="e">
        <f t="shared" ca="1" si="53"/>
        <v>#NAME?</v>
      </c>
      <c r="H1537" s="274">
        <f t="shared" si="54"/>
        <v>0</v>
      </c>
      <c r="K1537" s="274"/>
    </row>
    <row r="1538" spans="2:11" ht="13.5" customHeight="1">
      <c r="B1538" s="1" t="s">
        <v>2076</v>
      </c>
      <c r="C1538" s="1" t="s">
        <v>3439</v>
      </c>
      <c r="D1538" s="414" t="str">
        <f t="shared" si="52"/>
        <v>11-26</v>
      </c>
      <c r="E1538" s="273" t="e">
        <f ca="1">_xludf.IFNA(VLOOKUP('Comp X - Kilter'!B1538,'Kilter Holds'!$P$37:$AB$662,11,0),0)</f>
        <v>#NAME?</v>
      </c>
      <c r="F1538" s="274"/>
      <c r="G1538" s="274" t="e">
        <f t="shared" ca="1" si="53"/>
        <v>#NAME?</v>
      </c>
      <c r="H1538" s="274">
        <f t="shared" si="54"/>
        <v>0</v>
      </c>
      <c r="K1538" s="274"/>
    </row>
    <row r="1539" spans="2:11" ht="13.5" customHeight="1">
      <c r="B1539" s="1" t="s">
        <v>2076</v>
      </c>
      <c r="C1539" s="1" t="s">
        <v>3439</v>
      </c>
      <c r="D1539" s="415" t="str">
        <f t="shared" si="52"/>
        <v>18-01</v>
      </c>
      <c r="E1539" s="273" t="e">
        <f ca="1">_xludf.IFNA(VLOOKUP('Comp X - Kilter'!B1539,'Kilter Holds'!$P$37:$AB$662,12,0),0)</f>
        <v>#NAME?</v>
      </c>
      <c r="F1539" s="274"/>
      <c r="G1539" s="274" t="e">
        <f t="shared" ca="1" si="53"/>
        <v>#NAME?</v>
      </c>
      <c r="H1539" s="274">
        <f t="shared" si="54"/>
        <v>0</v>
      </c>
      <c r="K1539" s="274"/>
    </row>
    <row r="1540" spans="2:11" ht="13.5" customHeight="1">
      <c r="B1540" s="1" t="s">
        <v>2076</v>
      </c>
      <c r="C1540" s="1" t="s">
        <v>3439</v>
      </c>
      <c r="D1540" s="416" t="str">
        <f t="shared" si="52"/>
        <v>Color Code</v>
      </c>
      <c r="E1540" s="273" t="e">
        <f ca="1">_xludf.IFNA(VLOOKUP('Comp X - Kilter'!B1540,'Kilter Holds'!$P$37:$AB$662,13,0),0)</f>
        <v>#NAME?</v>
      </c>
      <c r="F1540" s="274"/>
      <c r="G1540" s="274" t="e">
        <f t="shared" ca="1" si="53"/>
        <v>#NAME?</v>
      </c>
      <c r="H1540" s="274">
        <f t="shared" si="54"/>
        <v>0</v>
      </c>
      <c r="K1540" s="274"/>
    </row>
    <row r="1541" spans="2:11" ht="13.5" customHeight="1">
      <c r="B1541" s="1" t="s">
        <v>2062</v>
      </c>
      <c r="C1541" s="1" t="s">
        <v>3440</v>
      </c>
      <c r="D1541" s="406" t="str">
        <f t="shared" si="52"/>
        <v>11-12</v>
      </c>
      <c r="E1541" s="273" t="e">
        <f ca="1">_xludf.IFNA(VLOOKUP('Comp X - Kilter'!B1541,'Kilter Holds'!$P$37:$AB$662,5,0),0)</f>
        <v>#NAME?</v>
      </c>
      <c r="F1541" s="274"/>
      <c r="G1541" s="274" t="e">
        <f t="shared" ca="1" si="53"/>
        <v>#NAME?</v>
      </c>
      <c r="H1541" s="274">
        <f t="shared" si="54"/>
        <v>0</v>
      </c>
      <c r="K1541" s="274"/>
    </row>
    <row r="1542" spans="2:11" ht="13.5" customHeight="1">
      <c r="B1542" s="1" t="s">
        <v>2062</v>
      </c>
      <c r="C1542" s="1" t="s">
        <v>3440</v>
      </c>
      <c r="D1542" s="408" t="str">
        <f t="shared" si="52"/>
        <v>14-01</v>
      </c>
      <c r="E1542" s="273" t="e">
        <f ca="1">_xludf.IFNA(VLOOKUP('Comp X - Kilter'!B1542,'Kilter Holds'!$P$37:$AB$662,6,0),0)</f>
        <v>#NAME?</v>
      </c>
      <c r="F1542" s="274"/>
      <c r="G1542" s="274" t="e">
        <f t="shared" ca="1" si="53"/>
        <v>#NAME?</v>
      </c>
      <c r="H1542" s="274">
        <f t="shared" si="54"/>
        <v>0</v>
      </c>
      <c r="K1542" s="274"/>
    </row>
    <row r="1543" spans="2:11" ht="13.5" customHeight="1">
      <c r="B1543" s="1" t="s">
        <v>2062</v>
      </c>
      <c r="C1543" s="1" t="s">
        <v>3440</v>
      </c>
      <c r="D1543" s="409" t="str">
        <f t="shared" si="52"/>
        <v>15-12</v>
      </c>
      <c r="E1543" s="273" t="e">
        <f ca="1">_xludf.IFNA(VLOOKUP('Comp X - Kilter'!B1543,'Kilter Holds'!$P$37:$AB$662,7,0),0)</f>
        <v>#NAME?</v>
      </c>
      <c r="F1543" s="274"/>
      <c r="G1543" s="274" t="e">
        <f t="shared" ca="1" si="53"/>
        <v>#NAME?</v>
      </c>
      <c r="H1543" s="274">
        <f t="shared" si="54"/>
        <v>0</v>
      </c>
      <c r="K1543" s="274"/>
    </row>
    <row r="1544" spans="2:11" ht="13.5" customHeight="1">
      <c r="B1544" s="1" t="s">
        <v>2062</v>
      </c>
      <c r="C1544" s="1" t="s">
        <v>3440</v>
      </c>
      <c r="D1544" s="410" t="str">
        <f t="shared" si="52"/>
        <v>16-16</v>
      </c>
      <c r="E1544" s="273" t="e">
        <f ca="1">_xludf.IFNA(VLOOKUP('Comp X - Kilter'!B1544,'Kilter Holds'!$P$37:$AB$662,8,0),0)</f>
        <v>#NAME?</v>
      </c>
      <c r="F1544" s="274"/>
      <c r="G1544" s="274" t="e">
        <f t="shared" ca="1" si="53"/>
        <v>#NAME?</v>
      </c>
      <c r="H1544" s="274">
        <f t="shared" si="54"/>
        <v>0</v>
      </c>
      <c r="K1544" s="274"/>
    </row>
    <row r="1545" spans="2:11" ht="13.5" customHeight="1">
      <c r="B1545" s="1" t="s">
        <v>2062</v>
      </c>
      <c r="C1545" s="1" t="s">
        <v>3440</v>
      </c>
      <c r="D1545" s="411" t="str">
        <f t="shared" si="52"/>
        <v>13-01</v>
      </c>
      <c r="E1545" s="273" t="e">
        <f ca="1">_xludf.IFNA(VLOOKUP('Comp X - Kilter'!B1545,'Kilter Holds'!$P$37:$AB$662,9,0),0)</f>
        <v>#NAME?</v>
      </c>
      <c r="F1545" s="274"/>
      <c r="G1545" s="274" t="e">
        <f t="shared" ca="1" si="53"/>
        <v>#NAME?</v>
      </c>
      <c r="H1545" s="274">
        <f t="shared" si="54"/>
        <v>0</v>
      </c>
      <c r="K1545" s="274"/>
    </row>
    <row r="1546" spans="2:11" ht="13.5" customHeight="1">
      <c r="B1546" s="1" t="s">
        <v>2062</v>
      </c>
      <c r="C1546" s="1" t="s">
        <v>3440</v>
      </c>
      <c r="D1546" s="413" t="str">
        <f t="shared" si="52"/>
        <v>07-13</v>
      </c>
      <c r="E1546" s="273" t="e">
        <f ca="1">_xludf.IFNA(VLOOKUP('Comp X - Kilter'!B1546,'Kilter Holds'!$P$37:$AB$662,10,0),0)</f>
        <v>#NAME?</v>
      </c>
      <c r="F1546" s="274"/>
      <c r="G1546" s="274" t="e">
        <f t="shared" ca="1" si="53"/>
        <v>#NAME?</v>
      </c>
      <c r="H1546" s="274">
        <f t="shared" si="54"/>
        <v>0</v>
      </c>
      <c r="K1546" s="274"/>
    </row>
    <row r="1547" spans="2:11" ht="13.5" customHeight="1">
      <c r="B1547" s="1" t="s">
        <v>2062</v>
      </c>
      <c r="C1547" s="1" t="s">
        <v>3440</v>
      </c>
      <c r="D1547" s="414" t="str">
        <f t="shared" si="52"/>
        <v>11-26</v>
      </c>
      <c r="E1547" s="273" t="e">
        <f ca="1">_xludf.IFNA(VLOOKUP('Comp X - Kilter'!B1547,'Kilter Holds'!$P$37:$AB$662,11,0),0)</f>
        <v>#NAME?</v>
      </c>
      <c r="F1547" s="274"/>
      <c r="G1547" s="274" t="e">
        <f t="shared" ca="1" si="53"/>
        <v>#NAME?</v>
      </c>
      <c r="H1547" s="274">
        <f t="shared" si="54"/>
        <v>0</v>
      </c>
      <c r="K1547" s="274"/>
    </row>
    <row r="1548" spans="2:11" ht="13.5" customHeight="1">
      <c r="B1548" s="1" t="s">
        <v>2062</v>
      </c>
      <c r="C1548" s="1" t="s">
        <v>3440</v>
      </c>
      <c r="D1548" s="415" t="str">
        <f t="shared" si="52"/>
        <v>18-01</v>
      </c>
      <c r="E1548" s="273" t="e">
        <f ca="1">_xludf.IFNA(VLOOKUP('Comp X - Kilter'!B1548,'Kilter Holds'!$P$37:$AB$662,12,0),0)</f>
        <v>#NAME?</v>
      </c>
      <c r="F1548" s="274"/>
      <c r="G1548" s="274" t="e">
        <f t="shared" ca="1" si="53"/>
        <v>#NAME?</v>
      </c>
      <c r="H1548" s="274">
        <f t="shared" si="54"/>
        <v>0</v>
      </c>
      <c r="K1548" s="274"/>
    </row>
    <row r="1549" spans="2:11" ht="13.5" customHeight="1">
      <c r="B1549" s="1" t="s">
        <v>2062</v>
      </c>
      <c r="C1549" s="1" t="s">
        <v>3440</v>
      </c>
      <c r="D1549" s="416" t="str">
        <f t="shared" si="52"/>
        <v>Color Code</v>
      </c>
      <c r="E1549" s="273" t="e">
        <f ca="1">_xludf.IFNA(VLOOKUP('Comp X - Kilter'!B1549,'Kilter Holds'!$P$37:$AB$662,13,0),0)</f>
        <v>#NAME?</v>
      </c>
      <c r="F1549" s="274"/>
      <c r="G1549" s="274" t="e">
        <f t="shared" ca="1" si="53"/>
        <v>#NAME?</v>
      </c>
      <c r="H1549" s="274">
        <f t="shared" si="54"/>
        <v>0</v>
      </c>
      <c r="K1549" s="274"/>
    </row>
    <row r="1550" spans="2:11" ht="13.5" customHeight="1">
      <c r="B1550" s="1" t="s">
        <v>2063</v>
      </c>
      <c r="C1550" s="1" t="s">
        <v>3441</v>
      </c>
      <c r="D1550" s="406" t="str">
        <f t="shared" ref="D1550:D1567" si="55">D551</f>
        <v>11-12</v>
      </c>
      <c r="E1550" s="273" t="e">
        <f ca="1">_xludf.IFNA(VLOOKUP('Comp X - Kilter'!B1550,'Kilter Holds'!$P$37:$AB$662,5,0),0)</f>
        <v>#NAME?</v>
      </c>
      <c r="F1550" s="274"/>
      <c r="G1550" s="274" t="e">
        <f t="shared" ca="1" si="53"/>
        <v>#NAME?</v>
      </c>
      <c r="H1550" s="274">
        <f t="shared" si="54"/>
        <v>0</v>
      </c>
      <c r="K1550" s="274"/>
    </row>
    <row r="1551" spans="2:11" ht="13.5" customHeight="1">
      <c r="B1551" s="1" t="s">
        <v>2063</v>
      </c>
      <c r="C1551" s="1" t="s">
        <v>3441</v>
      </c>
      <c r="D1551" s="408" t="str">
        <f t="shared" si="55"/>
        <v>14-01</v>
      </c>
      <c r="E1551" s="273" t="e">
        <f ca="1">_xludf.IFNA(VLOOKUP('Comp X - Kilter'!B1551,'Kilter Holds'!$P$37:$AB$662,6,0),0)</f>
        <v>#NAME?</v>
      </c>
      <c r="F1551" s="274"/>
      <c r="G1551" s="274" t="e">
        <f t="shared" ca="1" si="53"/>
        <v>#NAME?</v>
      </c>
      <c r="H1551" s="274">
        <f t="shared" si="54"/>
        <v>0</v>
      </c>
      <c r="K1551" s="274"/>
    </row>
    <row r="1552" spans="2:11" ht="13.5" customHeight="1">
      <c r="B1552" s="1" t="s">
        <v>2063</v>
      </c>
      <c r="C1552" s="1" t="s">
        <v>3441</v>
      </c>
      <c r="D1552" s="409" t="str">
        <f t="shared" si="55"/>
        <v>15-12</v>
      </c>
      <c r="E1552" s="273" t="e">
        <f ca="1">_xludf.IFNA(VLOOKUP('Comp X - Kilter'!B1552,'Kilter Holds'!$P$37:$AB$662,7,0),0)</f>
        <v>#NAME?</v>
      </c>
      <c r="F1552" s="274"/>
      <c r="G1552" s="274" t="e">
        <f t="shared" ca="1" si="53"/>
        <v>#NAME?</v>
      </c>
      <c r="H1552" s="274">
        <f t="shared" si="54"/>
        <v>0</v>
      </c>
      <c r="K1552" s="274"/>
    </row>
    <row r="1553" spans="2:11" ht="13.5" customHeight="1">
      <c r="B1553" s="1" t="s">
        <v>2063</v>
      </c>
      <c r="C1553" s="1" t="s">
        <v>3441</v>
      </c>
      <c r="D1553" s="410" t="str">
        <f t="shared" si="55"/>
        <v>16-16</v>
      </c>
      <c r="E1553" s="273" t="e">
        <f ca="1">_xludf.IFNA(VLOOKUP('Comp X - Kilter'!B1553,'Kilter Holds'!$P$37:$AB$662,8,0),0)</f>
        <v>#NAME?</v>
      </c>
      <c r="F1553" s="274"/>
      <c r="G1553" s="274" t="e">
        <f t="shared" ca="1" si="53"/>
        <v>#NAME?</v>
      </c>
      <c r="H1553" s="274">
        <f t="shared" si="54"/>
        <v>0</v>
      </c>
      <c r="K1553" s="274"/>
    </row>
    <row r="1554" spans="2:11" ht="13.5" customHeight="1">
      <c r="B1554" s="1" t="s">
        <v>2063</v>
      </c>
      <c r="C1554" s="1" t="s">
        <v>3441</v>
      </c>
      <c r="D1554" s="411" t="str">
        <f t="shared" si="55"/>
        <v>13-01</v>
      </c>
      <c r="E1554" s="273" t="e">
        <f ca="1">_xludf.IFNA(VLOOKUP('Comp X - Kilter'!B1554,'Kilter Holds'!$P$37:$AB$662,9,0),0)</f>
        <v>#NAME?</v>
      </c>
      <c r="F1554" s="274"/>
      <c r="G1554" s="274" t="e">
        <f t="shared" ca="1" si="53"/>
        <v>#NAME?</v>
      </c>
      <c r="H1554" s="274">
        <f t="shared" si="54"/>
        <v>0</v>
      </c>
      <c r="K1554" s="274"/>
    </row>
    <row r="1555" spans="2:11" ht="13.5" customHeight="1">
      <c r="B1555" s="1" t="s">
        <v>2063</v>
      </c>
      <c r="C1555" s="1" t="s">
        <v>3441</v>
      </c>
      <c r="D1555" s="413" t="str">
        <f t="shared" si="55"/>
        <v>07-13</v>
      </c>
      <c r="E1555" s="273" t="e">
        <f ca="1">_xludf.IFNA(VLOOKUP('Comp X - Kilter'!B1555,'Kilter Holds'!$P$37:$AB$662,10,0),0)</f>
        <v>#NAME?</v>
      </c>
      <c r="F1555" s="274"/>
      <c r="G1555" s="274" t="e">
        <f t="shared" ca="1" si="53"/>
        <v>#NAME?</v>
      </c>
      <c r="H1555" s="274">
        <f t="shared" si="54"/>
        <v>0</v>
      </c>
      <c r="K1555" s="274"/>
    </row>
    <row r="1556" spans="2:11" ht="13.5" customHeight="1">
      <c r="B1556" s="1" t="s">
        <v>2063</v>
      </c>
      <c r="C1556" s="1" t="s">
        <v>3441</v>
      </c>
      <c r="D1556" s="414" t="str">
        <f t="shared" si="55"/>
        <v>11-26</v>
      </c>
      <c r="E1556" s="273" t="e">
        <f ca="1">_xludf.IFNA(VLOOKUP('Comp X - Kilter'!B1556,'Kilter Holds'!$P$37:$AB$662,11,0),0)</f>
        <v>#NAME?</v>
      </c>
      <c r="F1556" s="274"/>
      <c r="G1556" s="274" t="e">
        <f t="shared" ca="1" si="53"/>
        <v>#NAME?</v>
      </c>
      <c r="H1556" s="274">
        <f t="shared" si="54"/>
        <v>0</v>
      </c>
      <c r="K1556" s="274"/>
    </row>
    <row r="1557" spans="2:11" ht="13.5" customHeight="1">
      <c r="B1557" s="1" t="s">
        <v>2063</v>
      </c>
      <c r="C1557" s="1" t="s">
        <v>3441</v>
      </c>
      <c r="D1557" s="415" t="str">
        <f t="shared" si="55"/>
        <v>18-01</v>
      </c>
      <c r="E1557" s="273" t="e">
        <f ca="1">_xludf.IFNA(VLOOKUP('Comp X - Kilter'!B1557,'Kilter Holds'!$P$37:$AB$662,12,0),0)</f>
        <v>#NAME?</v>
      </c>
      <c r="F1557" s="274"/>
      <c r="G1557" s="274" t="e">
        <f t="shared" ca="1" si="53"/>
        <v>#NAME?</v>
      </c>
      <c r="H1557" s="274">
        <f t="shared" si="54"/>
        <v>0</v>
      </c>
      <c r="K1557" s="274"/>
    </row>
    <row r="1558" spans="2:11" ht="13.5" customHeight="1">
      <c r="B1558" s="1" t="s">
        <v>2063</v>
      </c>
      <c r="C1558" s="1" t="s">
        <v>3441</v>
      </c>
      <c r="D1558" s="416" t="str">
        <f t="shared" si="55"/>
        <v>Color Code</v>
      </c>
      <c r="E1558" s="273" t="e">
        <f ca="1">_xludf.IFNA(VLOOKUP('Comp X - Kilter'!B1558,'Kilter Holds'!$P$37:$AB$662,13,0),0)</f>
        <v>#NAME?</v>
      </c>
      <c r="F1558" s="274"/>
      <c r="G1558" s="274" t="e">
        <f t="shared" ca="1" si="53"/>
        <v>#NAME?</v>
      </c>
      <c r="H1558" s="274">
        <f t="shared" si="54"/>
        <v>0</v>
      </c>
      <c r="K1558" s="274"/>
    </row>
    <row r="1559" spans="2:11" ht="13.5" customHeight="1">
      <c r="B1559" s="1" t="s">
        <v>2078</v>
      </c>
      <c r="C1559" s="1" t="s">
        <v>3442</v>
      </c>
      <c r="D1559" s="406" t="str">
        <f t="shared" si="55"/>
        <v>11-12</v>
      </c>
      <c r="E1559" s="273" t="e">
        <f ca="1">_xludf.IFNA(VLOOKUP('Comp X - Kilter'!B1559,'Kilter Holds'!$P$37:$AB$662,5,0),0)</f>
        <v>#NAME?</v>
      </c>
      <c r="F1559" s="274"/>
      <c r="G1559" s="274" t="e">
        <f t="shared" ca="1" si="53"/>
        <v>#NAME?</v>
      </c>
      <c r="H1559" s="274">
        <f t="shared" si="54"/>
        <v>0</v>
      </c>
      <c r="K1559" s="274"/>
    </row>
    <row r="1560" spans="2:11" ht="13.5" customHeight="1">
      <c r="B1560" s="1" t="s">
        <v>2078</v>
      </c>
      <c r="C1560" s="1" t="s">
        <v>3442</v>
      </c>
      <c r="D1560" s="408" t="str">
        <f t="shared" si="55"/>
        <v>14-01</v>
      </c>
      <c r="E1560" s="273" t="e">
        <f ca="1">_xludf.IFNA(VLOOKUP('Comp X - Kilter'!B1560,'Kilter Holds'!$P$37:$AB$662,6,0),0)</f>
        <v>#NAME?</v>
      </c>
      <c r="F1560" s="274"/>
      <c r="G1560" s="274" t="e">
        <f t="shared" ca="1" si="53"/>
        <v>#NAME?</v>
      </c>
      <c r="H1560" s="274">
        <f t="shared" si="54"/>
        <v>0</v>
      </c>
      <c r="K1560" s="274"/>
    </row>
    <row r="1561" spans="2:11" ht="13.5" customHeight="1">
      <c r="B1561" s="1" t="s">
        <v>2078</v>
      </c>
      <c r="C1561" s="1" t="s">
        <v>3442</v>
      </c>
      <c r="D1561" s="409" t="str">
        <f t="shared" si="55"/>
        <v>15-12</v>
      </c>
      <c r="E1561" s="273" t="e">
        <f ca="1">_xludf.IFNA(VLOOKUP('Comp X - Kilter'!B1561,'Kilter Holds'!$P$37:$AB$662,7,0),0)</f>
        <v>#NAME?</v>
      </c>
      <c r="F1561" s="274"/>
      <c r="G1561" s="274" t="e">
        <f t="shared" ca="1" si="53"/>
        <v>#NAME?</v>
      </c>
      <c r="H1561" s="274">
        <f t="shared" si="54"/>
        <v>0</v>
      </c>
      <c r="K1561" s="274"/>
    </row>
    <row r="1562" spans="2:11" ht="13.5" customHeight="1">
      <c r="B1562" s="1" t="s">
        <v>2078</v>
      </c>
      <c r="C1562" s="1" t="s">
        <v>3442</v>
      </c>
      <c r="D1562" s="410" t="str">
        <f t="shared" si="55"/>
        <v>16-16</v>
      </c>
      <c r="E1562" s="273" t="e">
        <f ca="1">_xludf.IFNA(VLOOKUP('Comp X - Kilter'!B1562,'Kilter Holds'!$P$37:$AB$662,8,0),0)</f>
        <v>#NAME?</v>
      </c>
      <c r="F1562" s="274"/>
      <c r="G1562" s="274" t="e">
        <f t="shared" ca="1" si="53"/>
        <v>#NAME?</v>
      </c>
      <c r="H1562" s="274">
        <f t="shared" si="54"/>
        <v>0</v>
      </c>
      <c r="K1562" s="274"/>
    </row>
    <row r="1563" spans="2:11" ht="13.5" customHeight="1">
      <c r="B1563" s="1" t="s">
        <v>2078</v>
      </c>
      <c r="C1563" s="1" t="s">
        <v>3442</v>
      </c>
      <c r="D1563" s="411" t="str">
        <f t="shared" si="55"/>
        <v>13-01</v>
      </c>
      <c r="E1563" s="273" t="e">
        <f ca="1">_xludf.IFNA(VLOOKUP('Comp X - Kilter'!B1563,'Kilter Holds'!$P$37:$AB$662,9,0),0)</f>
        <v>#NAME?</v>
      </c>
      <c r="F1563" s="274"/>
      <c r="G1563" s="274" t="e">
        <f t="shared" ca="1" si="53"/>
        <v>#NAME?</v>
      </c>
      <c r="H1563" s="274">
        <f t="shared" si="54"/>
        <v>0</v>
      </c>
      <c r="K1563" s="274"/>
    </row>
    <row r="1564" spans="2:11" ht="13.5" customHeight="1">
      <c r="B1564" s="1" t="s">
        <v>2078</v>
      </c>
      <c r="C1564" s="1" t="s">
        <v>3442</v>
      </c>
      <c r="D1564" s="413" t="str">
        <f t="shared" si="55"/>
        <v>07-13</v>
      </c>
      <c r="E1564" s="273" t="e">
        <f ca="1">_xludf.IFNA(VLOOKUP('Comp X - Kilter'!B1564,'Kilter Holds'!$P$37:$AB$662,10,0),0)</f>
        <v>#NAME?</v>
      </c>
      <c r="F1564" s="274"/>
      <c r="G1564" s="274" t="e">
        <f t="shared" ca="1" si="53"/>
        <v>#NAME?</v>
      </c>
      <c r="H1564" s="274">
        <f t="shared" si="54"/>
        <v>0</v>
      </c>
      <c r="K1564" s="274"/>
    </row>
    <row r="1565" spans="2:11" ht="13.5" customHeight="1">
      <c r="B1565" s="1" t="s">
        <v>2078</v>
      </c>
      <c r="C1565" s="1" t="s">
        <v>3442</v>
      </c>
      <c r="D1565" s="414" t="str">
        <f t="shared" si="55"/>
        <v>11-26</v>
      </c>
      <c r="E1565" s="273" t="e">
        <f ca="1">_xludf.IFNA(VLOOKUP('Comp X - Kilter'!B1565,'Kilter Holds'!$P$37:$AB$662,11,0),0)</f>
        <v>#NAME?</v>
      </c>
      <c r="F1565" s="274"/>
      <c r="G1565" s="274" t="e">
        <f t="shared" ca="1" si="53"/>
        <v>#NAME?</v>
      </c>
      <c r="H1565" s="274">
        <f t="shared" si="54"/>
        <v>0</v>
      </c>
      <c r="K1565" s="274"/>
    </row>
    <row r="1566" spans="2:11" ht="13.5" customHeight="1">
      <c r="B1566" s="1" t="s">
        <v>2078</v>
      </c>
      <c r="C1566" s="1" t="s">
        <v>3442</v>
      </c>
      <c r="D1566" s="415" t="str">
        <f t="shared" si="55"/>
        <v>18-01</v>
      </c>
      <c r="E1566" s="273" t="e">
        <f ca="1">_xludf.IFNA(VLOOKUP('Comp X - Kilter'!B1566,'Kilter Holds'!$P$37:$AB$662,12,0),0)</f>
        <v>#NAME?</v>
      </c>
      <c r="F1566" s="274"/>
      <c r="G1566" s="274" t="e">
        <f t="shared" ca="1" si="53"/>
        <v>#NAME?</v>
      </c>
      <c r="H1566" s="274">
        <f t="shared" si="54"/>
        <v>0</v>
      </c>
      <c r="K1566" s="274"/>
    </row>
    <row r="1567" spans="2:11" ht="13.5" customHeight="1">
      <c r="B1567" s="1" t="s">
        <v>2078</v>
      </c>
      <c r="C1567" s="1" t="s">
        <v>3442</v>
      </c>
      <c r="D1567" s="416" t="str">
        <f t="shared" si="55"/>
        <v>Color Code</v>
      </c>
      <c r="E1567" s="273" t="e">
        <f ca="1">_xludf.IFNA(VLOOKUP('Comp X - Kilter'!B1567,'Kilter Holds'!$P$37:$AB$662,13,0),0)</f>
        <v>#NAME?</v>
      </c>
      <c r="F1567" s="274"/>
      <c r="G1567" s="274" t="e">
        <f t="shared" ca="1" si="53"/>
        <v>#NAME?</v>
      </c>
      <c r="H1567" s="274">
        <f t="shared" si="54"/>
        <v>0</v>
      </c>
      <c r="K1567" s="274"/>
    </row>
    <row r="1568" spans="2:11" ht="13.5" customHeight="1">
      <c r="B1568" s="209" t="s">
        <v>1934</v>
      </c>
      <c r="C1568" s="1" t="s">
        <v>3443</v>
      </c>
      <c r="D1568" s="406" t="str">
        <f t="shared" ref="D1568:D1576" si="56">D560</f>
        <v>11-12</v>
      </c>
      <c r="E1568" s="273" t="e">
        <f ca="1">_xludf.IFNA(VLOOKUP('Comp X - Kilter'!B1568,'Kilter Holds'!$P$37:$AB$662,5,0),0)</f>
        <v>#NAME?</v>
      </c>
      <c r="F1568" s="274"/>
      <c r="G1568" s="274" t="e">
        <f t="shared" ca="1" si="53"/>
        <v>#NAME?</v>
      </c>
      <c r="H1568" s="274">
        <f t="shared" si="54"/>
        <v>0</v>
      </c>
      <c r="K1568" s="274"/>
    </row>
    <row r="1569" spans="2:11" ht="13.5" customHeight="1">
      <c r="B1569" s="209" t="s">
        <v>1934</v>
      </c>
      <c r="C1569" s="1" t="s">
        <v>3443</v>
      </c>
      <c r="D1569" s="408" t="str">
        <f t="shared" si="56"/>
        <v>14-01</v>
      </c>
      <c r="E1569" s="273" t="e">
        <f ca="1">_xludf.IFNA(VLOOKUP('Comp X - Kilter'!B1569,'Kilter Holds'!$P$37:$AB$662,6,0),0)</f>
        <v>#NAME?</v>
      </c>
      <c r="F1569" s="274"/>
      <c r="G1569" s="274" t="e">
        <f t="shared" ca="1" si="53"/>
        <v>#NAME?</v>
      </c>
      <c r="H1569" s="274">
        <f t="shared" si="54"/>
        <v>0</v>
      </c>
      <c r="K1569" s="274"/>
    </row>
    <row r="1570" spans="2:11" ht="13.5" customHeight="1">
      <c r="B1570" s="209" t="s">
        <v>1934</v>
      </c>
      <c r="C1570" s="1" t="s">
        <v>3443</v>
      </c>
      <c r="D1570" s="409" t="str">
        <f t="shared" si="56"/>
        <v>15-12</v>
      </c>
      <c r="E1570" s="273" t="e">
        <f ca="1">_xludf.IFNA(VLOOKUP('Comp X - Kilter'!B1570,'Kilter Holds'!$P$37:$AB$662,7,0),0)</f>
        <v>#NAME?</v>
      </c>
      <c r="F1570" s="274"/>
      <c r="G1570" s="274" t="e">
        <f t="shared" ca="1" si="53"/>
        <v>#NAME?</v>
      </c>
      <c r="H1570" s="274">
        <f t="shared" si="54"/>
        <v>0</v>
      </c>
      <c r="K1570" s="274"/>
    </row>
    <row r="1571" spans="2:11" ht="13.5" customHeight="1">
      <c r="B1571" s="209" t="s">
        <v>1934</v>
      </c>
      <c r="C1571" s="1" t="s">
        <v>3443</v>
      </c>
      <c r="D1571" s="410" t="str">
        <f t="shared" si="56"/>
        <v>16-16</v>
      </c>
      <c r="E1571" s="273" t="e">
        <f ca="1">_xludf.IFNA(VLOOKUP('Comp X - Kilter'!B1571,'Kilter Holds'!$P$37:$AB$662,8,0),0)</f>
        <v>#NAME?</v>
      </c>
      <c r="F1571" s="274"/>
      <c r="G1571" s="274" t="e">
        <f t="shared" ca="1" si="53"/>
        <v>#NAME?</v>
      </c>
      <c r="H1571" s="274">
        <f t="shared" si="54"/>
        <v>0</v>
      </c>
      <c r="K1571" s="274"/>
    </row>
    <row r="1572" spans="2:11" ht="13.5" customHeight="1">
      <c r="B1572" s="209" t="s">
        <v>1934</v>
      </c>
      <c r="C1572" s="1" t="s">
        <v>3443</v>
      </c>
      <c r="D1572" s="411" t="str">
        <f t="shared" si="56"/>
        <v>13-01</v>
      </c>
      <c r="E1572" s="273" t="e">
        <f ca="1">_xludf.IFNA(VLOOKUP('Comp X - Kilter'!B1572,'Kilter Holds'!$P$37:$AB$662,9,0),0)</f>
        <v>#NAME?</v>
      </c>
      <c r="F1572" s="274"/>
      <c r="G1572" s="274" t="e">
        <f t="shared" ca="1" si="53"/>
        <v>#NAME?</v>
      </c>
      <c r="H1572" s="274">
        <f t="shared" si="54"/>
        <v>0</v>
      </c>
      <c r="K1572" s="274"/>
    </row>
    <row r="1573" spans="2:11" ht="13.5" customHeight="1">
      <c r="B1573" s="209" t="s">
        <v>1934</v>
      </c>
      <c r="C1573" s="1" t="s">
        <v>3443</v>
      </c>
      <c r="D1573" s="413" t="str">
        <f t="shared" si="56"/>
        <v>07-13</v>
      </c>
      <c r="E1573" s="273" t="e">
        <f ca="1">_xludf.IFNA(VLOOKUP('Comp X - Kilter'!B1573,'Kilter Holds'!$P$37:$AB$662,10,0),0)</f>
        <v>#NAME?</v>
      </c>
      <c r="F1573" s="274"/>
      <c r="G1573" s="274" t="e">
        <f t="shared" ca="1" si="53"/>
        <v>#NAME?</v>
      </c>
      <c r="H1573" s="274">
        <f t="shared" si="54"/>
        <v>0</v>
      </c>
      <c r="K1573" s="274"/>
    </row>
    <row r="1574" spans="2:11" ht="13.5" customHeight="1">
      <c r="B1574" s="209" t="s">
        <v>1934</v>
      </c>
      <c r="C1574" s="1" t="s">
        <v>3443</v>
      </c>
      <c r="D1574" s="414" t="str">
        <f t="shared" si="56"/>
        <v>11-26</v>
      </c>
      <c r="E1574" s="273" t="e">
        <f ca="1">_xludf.IFNA(VLOOKUP('Comp X - Kilter'!B1574,'Kilter Holds'!$P$37:$AB$662,11,0),0)</f>
        <v>#NAME?</v>
      </c>
      <c r="F1574" s="274"/>
      <c r="G1574" s="274" t="e">
        <f t="shared" ca="1" si="53"/>
        <v>#NAME?</v>
      </c>
      <c r="H1574" s="274">
        <f t="shared" si="54"/>
        <v>0</v>
      </c>
      <c r="K1574" s="274"/>
    </row>
    <row r="1575" spans="2:11" ht="13.5" customHeight="1">
      <c r="B1575" s="209" t="s">
        <v>1934</v>
      </c>
      <c r="C1575" s="1" t="s">
        <v>3443</v>
      </c>
      <c r="D1575" s="415" t="str">
        <f t="shared" si="56"/>
        <v>18-01</v>
      </c>
      <c r="E1575" s="273" t="e">
        <f ca="1">_xludf.IFNA(VLOOKUP('Comp X - Kilter'!B1575,'Kilter Holds'!$P$37:$AB$662,12,0),0)</f>
        <v>#NAME?</v>
      </c>
      <c r="F1575" s="274"/>
      <c r="G1575" s="274" t="e">
        <f t="shared" ca="1" si="53"/>
        <v>#NAME?</v>
      </c>
      <c r="H1575" s="274">
        <f t="shared" si="54"/>
        <v>0</v>
      </c>
      <c r="K1575" s="274"/>
    </row>
    <row r="1576" spans="2:11" ht="13.5" customHeight="1">
      <c r="B1576" s="209" t="s">
        <v>1934</v>
      </c>
      <c r="C1576" s="1" t="s">
        <v>3443</v>
      </c>
      <c r="D1576" s="416" t="str">
        <f t="shared" si="56"/>
        <v>Color Code</v>
      </c>
      <c r="E1576" s="273" t="e">
        <f ca="1">_xludf.IFNA(VLOOKUP('Comp X - Kilter'!B1576,'Kilter Holds'!$P$37:$AB$662,13,0),0)</f>
        <v>#NAME?</v>
      </c>
      <c r="F1576" s="274"/>
      <c r="G1576" s="274" t="e">
        <f t="shared" ca="1" si="53"/>
        <v>#NAME?</v>
      </c>
      <c r="H1576" s="274">
        <f t="shared" si="54"/>
        <v>0</v>
      </c>
      <c r="K1576" s="274"/>
    </row>
    <row r="1577" spans="2:11" ht="13.5" customHeight="1">
      <c r="B1577" s="209" t="s">
        <v>1935</v>
      </c>
      <c r="C1577" s="1" t="s">
        <v>3444</v>
      </c>
      <c r="D1577" s="406" t="str">
        <f t="shared" ref="D1577:D1675" si="57">D1568</f>
        <v>11-12</v>
      </c>
      <c r="E1577" s="273" t="e">
        <f ca="1">_xludf.IFNA(VLOOKUP('Comp X - Kilter'!B1577,'Kilter Holds'!$P$37:$AB$662,5,0),0)</f>
        <v>#NAME?</v>
      </c>
      <c r="F1577" s="274"/>
      <c r="G1577" s="274" t="e">
        <f t="shared" ca="1" si="53"/>
        <v>#NAME?</v>
      </c>
      <c r="H1577" s="274">
        <f t="shared" si="54"/>
        <v>0</v>
      </c>
      <c r="K1577" s="274"/>
    </row>
    <row r="1578" spans="2:11" ht="13.5" customHeight="1">
      <c r="B1578" s="209" t="s">
        <v>1935</v>
      </c>
      <c r="C1578" s="1" t="s">
        <v>3444</v>
      </c>
      <c r="D1578" s="408" t="str">
        <f t="shared" si="57"/>
        <v>14-01</v>
      </c>
      <c r="E1578" s="273" t="e">
        <f ca="1">_xludf.IFNA(VLOOKUP('Comp X - Kilter'!B1578,'Kilter Holds'!$P$37:$AB$662,6,0),0)</f>
        <v>#NAME?</v>
      </c>
      <c r="F1578" s="274"/>
      <c r="G1578" s="274" t="e">
        <f t="shared" ca="1" si="53"/>
        <v>#NAME?</v>
      </c>
      <c r="H1578" s="274">
        <f t="shared" si="54"/>
        <v>0</v>
      </c>
      <c r="K1578" s="274"/>
    </row>
    <row r="1579" spans="2:11" ht="13.5" customHeight="1">
      <c r="B1579" s="209" t="s">
        <v>1935</v>
      </c>
      <c r="C1579" s="1" t="s">
        <v>3444</v>
      </c>
      <c r="D1579" s="409" t="str">
        <f t="shared" si="57"/>
        <v>15-12</v>
      </c>
      <c r="E1579" s="273" t="e">
        <f ca="1">_xludf.IFNA(VLOOKUP('Comp X - Kilter'!B1579,'Kilter Holds'!$P$37:$AB$662,7,0),0)</f>
        <v>#NAME?</v>
      </c>
      <c r="F1579" s="274"/>
      <c r="G1579" s="274" t="e">
        <f t="shared" ca="1" si="53"/>
        <v>#NAME?</v>
      </c>
      <c r="H1579" s="274">
        <f t="shared" si="54"/>
        <v>0</v>
      </c>
      <c r="K1579" s="274"/>
    </row>
    <row r="1580" spans="2:11" ht="13.5" customHeight="1">
      <c r="B1580" s="209" t="s">
        <v>1935</v>
      </c>
      <c r="C1580" s="1" t="s">
        <v>3444</v>
      </c>
      <c r="D1580" s="410" t="str">
        <f t="shared" si="57"/>
        <v>16-16</v>
      </c>
      <c r="E1580" s="273" t="e">
        <f ca="1">_xludf.IFNA(VLOOKUP('Comp X - Kilter'!B1580,'Kilter Holds'!$P$37:$AB$662,8,0),0)</f>
        <v>#NAME?</v>
      </c>
      <c r="F1580" s="274"/>
      <c r="G1580" s="274" t="e">
        <f t="shared" ca="1" si="53"/>
        <v>#NAME?</v>
      </c>
      <c r="H1580" s="274">
        <f t="shared" si="54"/>
        <v>0</v>
      </c>
      <c r="K1580" s="274"/>
    </row>
    <row r="1581" spans="2:11" ht="13.5" customHeight="1">
      <c r="B1581" s="209" t="s">
        <v>1935</v>
      </c>
      <c r="C1581" s="1" t="s">
        <v>3444</v>
      </c>
      <c r="D1581" s="411" t="str">
        <f t="shared" si="57"/>
        <v>13-01</v>
      </c>
      <c r="E1581" s="273" t="e">
        <f ca="1">_xludf.IFNA(VLOOKUP('Comp X - Kilter'!B1581,'Kilter Holds'!$P$37:$AB$662,9,0),0)</f>
        <v>#NAME?</v>
      </c>
      <c r="F1581" s="274"/>
      <c r="G1581" s="274" t="e">
        <f t="shared" ca="1" si="53"/>
        <v>#NAME?</v>
      </c>
      <c r="H1581" s="274">
        <f t="shared" si="54"/>
        <v>0</v>
      </c>
      <c r="K1581" s="274"/>
    </row>
    <row r="1582" spans="2:11" ht="13.5" customHeight="1">
      <c r="B1582" s="209" t="s">
        <v>1935</v>
      </c>
      <c r="C1582" s="1" t="s">
        <v>3444</v>
      </c>
      <c r="D1582" s="413" t="str">
        <f t="shared" si="57"/>
        <v>07-13</v>
      </c>
      <c r="E1582" s="273" t="e">
        <f ca="1">_xludf.IFNA(VLOOKUP('Comp X - Kilter'!B1582,'Kilter Holds'!$P$37:$AB$662,10,0),0)</f>
        <v>#NAME?</v>
      </c>
      <c r="F1582" s="274"/>
      <c r="G1582" s="274" t="e">
        <f t="shared" ca="1" si="53"/>
        <v>#NAME?</v>
      </c>
      <c r="H1582" s="274">
        <f t="shared" si="54"/>
        <v>0</v>
      </c>
      <c r="K1582" s="274"/>
    </row>
    <row r="1583" spans="2:11" ht="13.5" customHeight="1">
      <c r="B1583" s="209" t="s">
        <v>1935</v>
      </c>
      <c r="C1583" s="1" t="s">
        <v>3444</v>
      </c>
      <c r="D1583" s="414" t="str">
        <f t="shared" si="57"/>
        <v>11-26</v>
      </c>
      <c r="E1583" s="273" t="e">
        <f ca="1">_xludf.IFNA(VLOOKUP('Comp X - Kilter'!B1583,'Kilter Holds'!$P$37:$AB$662,11,0),0)</f>
        <v>#NAME?</v>
      </c>
      <c r="F1583" s="274"/>
      <c r="G1583" s="274" t="e">
        <f t="shared" ca="1" si="53"/>
        <v>#NAME?</v>
      </c>
      <c r="H1583" s="274">
        <f t="shared" si="54"/>
        <v>0</v>
      </c>
      <c r="K1583" s="274"/>
    </row>
    <row r="1584" spans="2:11" ht="13.5" customHeight="1">
      <c r="B1584" s="209" t="s">
        <v>1935</v>
      </c>
      <c r="C1584" s="1" t="s">
        <v>3444</v>
      </c>
      <c r="D1584" s="415" t="str">
        <f t="shared" si="57"/>
        <v>18-01</v>
      </c>
      <c r="E1584" s="273" t="e">
        <f ca="1">_xludf.IFNA(VLOOKUP('Comp X - Kilter'!B1584,'Kilter Holds'!$P$37:$AB$662,12,0),0)</f>
        <v>#NAME?</v>
      </c>
      <c r="F1584" s="274"/>
      <c r="G1584" s="274" t="e">
        <f t="shared" ca="1" si="53"/>
        <v>#NAME?</v>
      </c>
      <c r="H1584" s="274">
        <f t="shared" si="54"/>
        <v>0</v>
      </c>
      <c r="K1584" s="274"/>
    </row>
    <row r="1585" spans="2:11" ht="13.5" customHeight="1">
      <c r="B1585" s="209" t="s">
        <v>1935</v>
      </c>
      <c r="C1585" s="1" t="s">
        <v>3444</v>
      </c>
      <c r="D1585" s="416" t="str">
        <f t="shared" si="57"/>
        <v>Color Code</v>
      </c>
      <c r="E1585" s="273" t="e">
        <f ca="1">_xludf.IFNA(VLOOKUP('Comp X - Kilter'!B1585,'Kilter Holds'!$P$37:$AB$662,13,0),0)</f>
        <v>#NAME?</v>
      </c>
      <c r="F1585" s="274"/>
      <c r="G1585" s="274" t="e">
        <f t="shared" ca="1" si="53"/>
        <v>#NAME?</v>
      </c>
      <c r="H1585" s="274">
        <f t="shared" si="54"/>
        <v>0</v>
      </c>
      <c r="K1585" s="274"/>
    </row>
    <row r="1586" spans="2:11" ht="13.5" customHeight="1">
      <c r="B1586" s="209" t="s">
        <v>1936</v>
      </c>
      <c r="C1586" s="1" t="s">
        <v>3445</v>
      </c>
      <c r="D1586" s="406" t="str">
        <f t="shared" si="57"/>
        <v>11-12</v>
      </c>
      <c r="E1586" s="273" t="e">
        <f ca="1">_xludf.IFNA(VLOOKUP('Comp X - Kilter'!B1586,'Kilter Holds'!$P$37:$AB$662,5,0),0)</f>
        <v>#NAME?</v>
      </c>
      <c r="F1586" s="274"/>
      <c r="G1586" s="274" t="e">
        <f t="shared" ca="1" si="53"/>
        <v>#NAME?</v>
      </c>
      <c r="H1586" s="274">
        <f t="shared" si="54"/>
        <v>0</v>
      </c>
      <c r="K1586" s="274"/>
    </row>
    <row r="1587" spans="2:11" ht="13.5" customHeight="1">
      <c r="B1587" s="209" t="s">
        <v>1936</v>
      </c>
      <c r="C1587" s="1" t="s">
        <v>3445</v>
      </c>
      <c r="D1587" s="408" t="str">
        <f t="shared" si="57"/>
        <v>14-01</v>
      </c>
      <c r="E1587" s="273" t="e">
        <f ca="1">_xludf.IFNA(VLOOKUP('Comp X - Kilter'!B1587,'Kilter Holds'!$P$37:$AB$662,6,0),0)</f>
        <v>#NAME?</v>
      </c>
      <c r="F1587" s="274"/>
      <c r="G1587" s="274" t="e">
        <f t="shared" ca="1" si="53"/>
        <v>#NAME?</v>
      </c>
      <c r="H1587" s="274">
        <f t="shared" si="54"/>
        <v>0</v>
      </c>
      <c r="K1587" s="274"/>
    </row>
    <row r="1588" spans="2:11" ht="13.5" customHeight="1">
      <c r="B1588" s="209" t="s">
        <v>1936</v>
      </c>
      <c r="C1588" s="1" t="s">
        <v>3445</v>
      </c>
      <c r="D1588" s="409" t="str">
        <f t="shared" si="57"/>
        <v>15-12</v>
      </c>
      <c r="E1588" s="273" t="e">
        <f ca="1">_xludf.IFNA(VLOOKUP('Comp X - Kilter'!B1588,'Kilter Holds'!$P$37:$AB$662,7,0),0)</f>
        <v>#NAME?</v>
      </c>
      <c r="F1588" s="274"/>
      <c r="G1588" s="274" t="e">
        <f t="shared" ca="1" si="53"/>
        <v>#NAME?</v>
      </c>
      <c r="H1588" s="274">
        <f t="shared" si="54"/>
        <v>0</v>
      </c>
      <c r="K1588" s="274"/>
    </row>
    <row r="1589" spans="2:11" ht="13.5" customHeight="1">
      <c r="B1589" s="209" t="s">
        <v>1936</v>
      </c>
      <c r="C1589" s="1" t="s">
        <v>3445</v>
      </c>
      <c r="D1589" s="410" t="str">
        <f t="shared" si="57"/>
        <v>16-16</v>
      </c>
      <c r="E1589" s="273" t="e">
        <f ca="1">_xludf.IFNA(VLOOKUP('Comp X - Kilter'!B1589,'Kilter Holds'!$P$37:$AB$662,8,0),0)</f>
        <v>#NAME?</v>
      </c>
      <c r="F1589" s="274"/>
      <c r="G1589" s="274" t="e">
        <f t="shared" ca="1" si="53"/>
        <v>#NAME?</v>
      </c>
      <c r="H1589" s="274">
        <f t="shared" si="54"/>
        <v>0</v>
      </c>
      <c r="K1589" s="274"/>
    </row>
    <row r="1590" spans="2:11" ht="13.5" customHeight="1">
      <c r="B1590" s="209" t="s">
        <v>1936</v>
      </c>
      <c r="C1590" s="1" t="s">
        <v>3445</v>
      </c>
      <c r="D1590" s="411" t="str">
        <f t="shared" si="57"/>
        <v>13-01</v>
      </c>
      <c r="E1590" s="273" t="e">
        <f ca="1">_xludf.IFNA(VLOOKUP('Comp X - Kilter'!B1590,'Kilter Holds'!$P$37:$AB$662,9,0),0)</f>
        <v>#NAME?</v>
      </c>
      <c r="F1590" s="274"/>
      <c r="G1590" s="274" t="e">
        <f t="shared" ca="1" si="53"/>
        <v>#NAME?</v>
      </c>
      <c r="H1590" s="274">
        <f t="shared" si="54"/>
        <v>0</v>
      </c>
      <c r="K1590" s="274"/>
    </row>
    <row r="1591" spans="2:11" ht="13.5" customHeight="1">
      <c r="B1591" s="209" t="s">
        <v>1936</v>
      </c>
      <c r="C1591" s="1" t="s">
        <v>3445</v>
      </c>
      <c r="D1591" s="413" t="str">
        <f t="shared" si="57"/>
        <v>07-13</v>
      </c>
      <c r="E1591" s="273" t="e">
        <f ca="1">_xludf.IFNA(VLOOKUP('Comp X - Kilter'!B1591,'Kilter Holds'!$P$37:$AB$662,10,0),0)</f>
        <v>#NAME?</v>
      </c>
      <c r="F1591" s="274"/>
      <c r="G1591" s="274" t="e">
        <f t="shared" ca="1" si="53"/>
        <v>#NAME?</v>
      </c>
      <c r="H1591" s="274">
        <f t="shared" si="54"/>
        <v>0</v>
      </c>
      <c r="K1591" s="274"/>
    </row>
    <row r="1592" spans="2:11" ht="13.5" customHeight="1">
      <c r="B1592" s="209" t="s">
        <v>1936</v>
      </c>
      <c r="C1592" s="1" t="s">
        <v>3445</v>
      </c>
      <c r="D1592" s="414" t="str">
        <f t="shared" si="57"/>
        <v>11-26</v>
      </c>
      <c r="E1592" s="273" t="e">
        <f ca="1">_xludf.IFNA(VLOOKUP('Comp X - Kilter'!B1592,'Kilter Holds'!$P$37:$AB$662,11,0),0)</f>
        <v>#NAME?</v>
      </c>
      <c r="F1592" s="274"/>
      <c r="G1592" s="274" t="e">
        <f t="shared" ca="1" si="53"/>
        <v>#NAME?</v>
      </c>
      <c r="H1592" s="274">
        <f t="shared" si="54"/>
        <v>0</v>
      </c>
      <c r="K1592" s="274"/>
    </row>
    <row r="1593" spans="2:11" ht="13.5" customHeight="1">
      <c r="B1593" s="209" t="s">
        <v>1936</v>
      </c>
      <c r="C1593" s="1" t="s">
        <v>3445</v>
      </c>
      <c r="D1593" s="415" t="str">
        <f t="shared" si="57"/>
        <v>18-01</v>
      </c>
      <c r="E1593" s="273" t="e">
        <f ca="1">_xludf.IFNA(VLOOKUP('Comp X - Kilter'!B1593,'Kilter Holds'!$P$37:$AB$662,12,0),0)</f>
        <v>#NAME?</v>
      </c>
      <c r="F1593" s="274"/>
      <c r="G1593" s="274" t="e">
        <f t="shared" ca="1" si="53"/>
        <v>#NAME?</v>
      </c>
      <c r="H1593" s="274">
        <f t="shared" si="54"/>
        <v>0</v>
      </c>
      <c r="K1593" s="274"/>
    </row>
    <row r="1594" spans="2:11" ht="13.5" customHeight="1">
      <c r="B1594" s="209" t="s">
        <v>1936</v>
      </c>
      <c r="C1594" s="1" t="s">
        <v>3445</v>
      </c>
      <c r="D1594" s="416" t="str">
        <f t="shared" si="57"/>
        <v>Color Code</v>
      </c>
      <c r="E1594" s="273" t="e">
        <f ca="1">_xludf.IFNA(VLOOKUP('Comp X - Kilter'!B1594,'Kilter Holds'!$P$37:$AB$662,13,0),0)</f>
        <v>#NAME?</v>
      </c>
      <c r="F1594" s="274"/>
      <c r="G1594" s="274" t="e">
        <f t="shared" ca="1" si="53"/>
        <v>#NAME?</v>
      </c>
      <c r="H1594" s="274">
        <f t="shared" si="54"/>
        <v>0</v>
      </c>
      <c r="K1594" s="274"/>
    </row>
    <row r="1595" spans="2:11" ht="13.5" customHeight="1">
      <c r="B1595" s="209" t="s">
        <v>1937</v>
      </c>
      <c r="C1595" s="1" t="s">
        <v>3446</v>
      </c>
      <c r="D1595" s="406" t="str">
        <f t="shared" si="57"/>
        <v>11-12</v>
      </c>
      <c r="E1595" s="273" t="e">
        <f ca="1">_xludf.IFNA(VLOOKUP('Comp X - Kilter'!B1595,'Kilter Holds'!$P$37:$AB$662,5,0),0)</f>
        <v>#NAME?</v>
      </c>
      <c r="F1595" s="274"/>
      <c r="G1595" s="274" t="e">
        <f t="shared" ca="1" si="53"/>
        <v>#NAME?</v>
      </c>
      <c r="H1595" s="274">
        <f t="shared" si="54"/>
        <v>0</v>
      </c>
      <c r="K1595" s="274"/>
    </row>
    <row r="1596" spans="2:11" ht="13.5" customHeight="1">
      <c r="B1596" s="209" t="s">
        <v>1937</v>
      </c>
      <c r="C1596" s="1" t="s">
        <v>3446</v>
      </c>
      <c r="D1596" s="408" t="str">
        <f t="shared" si="57"/>
        <v>14-01</v>
      </c>
      <c r="E1596" s="273" t="e">
        <f ca="1">_xludf.IFNA(VLOOKUP('Comp X - Kilter'!B1596,'Kilter Holds'!$P$37:$AB$662,6,0),0)</f>
        <v>#NAME?</v>
      </c>
      <c r="F1596" s="274"/>
      <c r="G1596" s="274" t="e">
        <f t="shared" ca="1" si="53"/>
        <v>#NAME?</v>
      </c>
      <c r="H1596" s="274">
        <f t="shared" si="54"/>
        <v>0</v>
      </c>
      <c r="K1596" s="274"/>
    </row>
    <row r="1597" spans="2:11" ht="13.5" customHeight="1">
      <c r="B1597" s="209" t="s">
        <v>1937</v>
      </c>
      <c r="C1597" s="1" t="s">
        <v>3446</v>
      </c>
      <c r="D1597" s="409" t="str">
        <f t="shared" si="57"/>
        <v>15-12</v>
      </c>
      <c r="E1597" s="273" t="e">
        <f ca="1">_xludf.IFNA(VLOOKUP('Comp X - Kilter'!B1597,'Kilter Holds'!$P$37:$AB$662,7,0),0)</f>
        <v>#NAME?</v>
      </c>
      <c r="F1597" s="274"/>
      <c r="G1597" s="274" t="e">
        <f t="shared" ca="1" si="53"/>
        <v>#NAME?</v>
      </c>
      <c r="H1597" s="274">
        <f t="shared" si="54"/>
        <v>0</v>
      </c>
      <c r="K1597" s="274"/>
    </row>
    <row r="1598" spans="2:11" ht="13.5" customHeight="1">
      <c r="B1598" s="209" t="s">
        <v>1937</v>
      </c>
      <c r="C1598" s="1" t="s">
        <v>3446</v>
      </c>
      <c r="D1598" s="410" t="str">
        <f t="shared" si="57"/>
        <v>16-16</v>
      </c>
      <c r="E1598" s="273" t="e">
        <f ca="1">_xludf.IFNA(VLOOKUP('Comp X - Kilter'!B1598,'Kilter Holds'!$P$37:$AB$662,8,0),0)</f>
        <v>#NAME?</v>
      </c>
      <c r="F1598" s="274"/>
      <c r="G1598" s="274" t="e">
        <f t="shared" ca="1" si="53"/>
        <v>#NAME?</v>
      </c>
      <c r="H1598" s="274">
        <f t="shared" si="54"/>
        <v>0</v>
      </c>
      <c r="K1598" s="274"/>
    </row>
    <row r="1599" spans="2:11" ht="13.5" customHeight="1">
      <c r="B1599" s="209" t="s">
        <v>1937</v>
      </c>
      <c r="C1599" s="1" t="s">
        <v>3446</v>
      </c>
      <c r="D1599" s="411" t="str">
        <f t="shared" si="57"/>
        <v>13-01</v>
      </c>
      <c r="E1599" s="273" t="e">
        <f ca="1">_xludf.IFNA(VLOOKUP('Comp X - Kilter'!B1599,'Kilter Holds'!$P$37:$AB$662,9,0),0)</f>
        <v>#NAME?</v>
      </c>
      <c r="F1599" s="274"/>
      <c r="G1599" s="274" t="e">
        <f t="shared" ca="1" si="53"/>
        <v>#NAME?</v>
      </c>
      <c r="H1599" s="274">
        <f t="shared" si="54"/>
        <v>0</v>
      </c>
      <c r="K1599" s="274"/>
    </row>
    <row r="1600" spans="2:11" ht="13.5" customHeight="1">
      <c r="B1600" s="209" t="s">
        <v>1937</v>
      </c>
      <c r="C1600" s="1" t="s">
        <v>3446</v>
      </c>
      <c r="D1600" s="413" t="str">
        <f t="shared" si="57"/>
        <v>07-13</v>
      </c>
      <c r="E1600" s="273" t="e">
        <f ca="1">_xludf.IFNA(VLOOKUP('Comp X - Kilter'!B1600,'Kilter Holds'!$P$37:$AB$662,10,0),0)</f>
        <v>#NAME?</v>
      </c>
      <c r="F1600" s="274"/>
      <c r="G1600" s="274" t="e">
        <f t="shared" ca="1" si="53"/>
        <v>#NAME?</v>
      </c>
      <c r="H1600" s="274">
        <f t="shared" si="54"/>
        <v>0</v>
      </c>
      <c r="K1600" s="274"/>
    </row>
    <row r="1601" spans="2:11" ht="13.5" customHeight="1">
      <c r="B1601" s="209" t="s">
        <v>1937</v>
      </c>
      <c r="C1601" s="1" t="s">
        <v>3446</v>
      </c>
      <c r="D1601" s="414" t="str">
        <f t="shared" si="57"/>
        <v>11-26</v>
      </c>
      <c r="E1601" s="273" t="e">
        <f ca="1">_xludf.IFNA(VLOOKUP('Comp X - Kilter'!B1601,'Kilter Holds'!$P$37:$AB$662,11,0),0)</f>
        <v>#NAME?</v>
      </c>
      <c r="F1601" s="274"/>
      <c r="G1601" s="274" t="e">
        <f t="shared" ca="1" si="53"/>
        <v>#NAME?</v>
      </c>
      <c r="H1601" s="274">
        <f t="shared" si="54"/>
        <v>0</v>
      </c>
      <c r="K1601" s="274"/>
    </row>
    <row r="1602" spans="2:11" ht="13.5" customHeight="1">
      <c r="B1602" s="209" t="s">
        <v>1937</v>
      </c>
      <c r="C1602" s="1" t="s">
        <v>3446</v>
      </c>
      <c r="D1602" s="415" t="str">
        <f t="shared" si="57"/>
        <v>18-01</v>
      </c>
      <c r="E1602" s="273" t="e">
        <f ca="1">_xludf.IFNA(VLOOKUP('Comp X - Kilter'!B1602,'Kilter Holds'!$P$37:$AB$662,12,0),0)</f>
        <v>#NAME?</v>
      </c>
      <c r="F1602" s="274"/>
      <c r="G1602" s="274" t="e">
        <f t="shared" ca="1" si="53"/>
        <v>#NAME?</v>
      </c>
      <c r="H1602" s="274">
        <f t="shared" si="54"/>
        <v>0</v>
      </c>
      <c r="K1602" s="274"/>
    </row>
    <row r="1603" spans="2:11" ht="13.5" customHeight="1">
      <c r="B1603" s="209" t="s">
        <v>1937</v>
      </c>
      <c r="C1603" s="1" t="s">
        <v>3446</v>
      </c>
      <c r="D1603" s="416" t="str">
        <f t="shared" si="57"/>
        <v>Color Code</v>
      </c>
      <c r="E1603" s="273" t="e">
        <f ca="1">_xludf.IFNA(VLOOKUP('Comp X - Kilter'!B1603,'Kilter Holds'!$P$37:$AB$662,13,0),0)</f>
        <v>#NAME?</v>
      </c>
      <c r="F1603" s="274"/>
      <c r="G1603" s="274" t="e">
        <f t="shared" ca="1" si="53"/>
        <v>#NAME?</v>
      </c>
      <c r="H1603" s="274">
        <f t="shared" si="54"/>
        <v>0</v>
      </c>
      <c r="K1603" s="274"/>
    </row>
    <row r="1604" spans="2:11" ht="13.5" customHeight="1">
      <c r="B1604" s="209" t="s">
        <v>1938</v>
      </c>
      <c r="C1604" s="1" t="s">
        <v>3447</v>
      </c>
      <c r="D1604" s="406" t="str">
        <f t="shared" si="57"/>
        <v>11-12</v>
      </c>
      <c r="E1604" s="273" t="e">
        <f ca="1">_xludf.IFNA(VLOOKUP('Comp X - Kilter'!B1604,'Kilter Holds'!$P$37:$AB$662,5,0),0)</f>
        <v>#NAME?</v>
      </c>
      <c r="F1604" s="274"/>
      <c r="G1604" s="274" t="e">
        <f t="shared" ca="1" si="53"/>
        <v>#NAME?</v>
      </c>
      <c r="H1604" s="274">
        <f t="shared" si="54"/>
        <v>0</v>
      </c>
      <c r="K1604" s="274"/>
    </row>
    <row r="1605" spans="2:11" ht="13.5" customHeight="1">
      <c r="B1605" s="209" t="s">
        <v>1938</v>
      </c>
      <c r="C1605" s="1" t="s">
        <v>3447</v>
      </c>
      <c r="D1605" s="408" t="str">
        <f t="shared" si="57"/>
        <v>14-01</v>
      </c>
      <c r="E1605" s="273" t="e">
        <f ca="1">_xludf.IFNA(VLOOKUP('Comp X - Kilter'!B1605,'Kilter Holds'!$P$37:$AB$662,6,0),0)</f>
        <v>#NAME?</v>
      </c>
      <c r="F1605" s="274"/>
      <c r="G1605" s="274" t="e">
        <f t="shared" ca="1" si="53"/>
        <v>#NAME?</v>
      </c>
      <c r="H1605" s="274">
        <f t="shared" si="54"/>
        <v>0</v>
      </c>
      <c r="K1605" s="274"/>
    </row>
    <row r="1606" spans="2:11" ht="13.5" customHeight="1">
      <c r="B1606" s="209" t="s">
        <v>1938</v>
      </c>
      <c r="C1606" s="1" t="s">
        <v>3447</v>
      </c>
      <c r="D1606" s="409" t="str">
        <f t="shared" si="57"/>
        <v>15-12</v>
      </c>
      <c r="E1606" s="273" t="e">
        <f ca="1">_xludf.IFNA(VLOOKUP('Comp X - Kilter'!B1606,'Kilter Holds'!$P$37:$AB$662,7,0),0)</f>
        <v>#NAME?</v>
      </c>
      <c r="F1606" s="274"/>
      <c r="G1606" s="274" t="e">
        <f t="shared" ca="1" si="53"/>
        <v>#NAME?</v>
      </c>
      <c r="H1606" s="274">
        <f t="shared" si="54"/>
        <v>0</v>
      </c>
      <c r="K1606" s="274"/>
    </row>
    <row r="1607" spans="2:11" ht="13.5" customHeight="1">
      <c r="B1607" s="209" t="s">
        <v>1938</v>
      </c>
      <c r="C1607" s="1" t="s">
        <v>3447</v>
      </c>
      <c r="D1607" s="410" t="str">
        <f t="shared" si="57"/>
        <v>16-16</v>
      </c>
      <c r="E1607" s="273" t="e">
        <f ca="1">_xludf.IFNA(VLOOKUP('Comp X - Kilter'!B1607,'Kilter Holds'!$P$37:$AB$662,8,0),0)</f>
        <v>#NAME?</v>
      </c>
      <c r="F1607" s="274"/>
      <c r="G1607" s="274" t="e">
        <f t="shared" ca="1" si="53"/>
        <v>#NAME?</v>
      </c>
      <c r="H1607" s="274">
        <f t="shared" si="54"/>
        <v>0</v>
      </c>
      <c r="K1607" s="274"/>
    </row>
    <row r="1608" spans="2:11" ht="13.5" customHeight="1">
      <c r="B1608" s="209" t="s">
        <v>1938</v>
      </c>
      <c r="C1608" s="1" t="s">
        <v>3447</v>
      </c>
      <c r="D1608" s="411" t="str">
        <f t="shared" si="57"/>
        <v>13-01</v>
      </c>
      <c r="E1608" s="273" t="e">
        <f ca="1">_xludf.IFNA(VLOOKUP('Comp X - Kilter'!B1608,'Kilter Holds'!$P$37:$AB$662,9,0),0)</f>
        <v>#NAME?</v>
      </c>
      <c r="F1608" s="274"/>
      <c r="G1608" s="274" t="e">
        <f t="shared" ca="1" si="53"/>
        <v>#NAME?</v>
      </c>
      <c r="H1608" s="274">
        <f t="shared" si="54"/>
        <v>0</v>
      </c>
      <c r="K1608" s="274"/>
    </row>
    <row r="1609" spans="2:11" ht="13.5" customHeight="1">
      <c r="B1609" s="209" t="s">
        <v>1938</v>
      </c>
      <c r="C1609" s="1" t="s">
        <v>3447</v>
      </c>
      <c r="D1609" s="413" t="str">
        <f t="shared" si="57"/>
        <v>07-13</v>
      </c>
      <c r="E1609" s="273" t="e">
        <f ca="1">_xludf.IFNA(VLOOKUP('Comp X - Kilter'!B1609,'Kilter Holds'!$P$37:$AB$662,10,0),0)</f>
        <v>#NAME?</v>
      </c>
      <c r="F1609" s="274"/>
      <c r="G1609" s="274" t="e">
        <f t="shared" ca="1" si="53"/>
        <v>#NAME?</v>
      </c>
      <c r="H1609" s="274">
        <f t="shared" si="54"/>
        <v>0</v>
      </c>
      <c r="K1609" s="274"/>
    </row>
    <row r="1610" spans="2:11" ht="13.5" customHeight="1">
      <c r="B1610" s="209" t="s">
        <v>1938</v>
      </c>
      <c r="C1610" s="1" t="s">
        <v>3447</v>
      </c>
      <c r="D1610" s="414" t="str">
        <f t="shared" si="57"/>
        <v>11-26</v>
      </c>
      <c r="E1610" s="273" t="e">
        <f ca="1">_xludf.IFNA(VLOOKUP('Comp X - Kilter'!B1610,'Kilter Holds'!$P$37:$AB$662,11,0),0)</f>
        <v>#NAME?</v>
      </c>
      <c r="F1610" s="274"/>
      <c r="G1610" s="274" t="e">
        <f t="shared" ca="1" si="53"/>
        <v>#NAME?</v>
      </c>
      <c r="H1610" s="274">
        <f t="shared" si="54"/>
        <v>0</v>
      </c>
      <c r="K1610" s="274"/>
    </row>
    <row r="1611" spans="2:11" ht="13.5" customHeight="1">
      <c r="B1611" s="209" t="s">
        <v>1938</v>
      </c>
      <c r="C1611" s="1" t="s">
        <v>3447</v>
      </c>
      <c r="D1611" s="415" t="str">
        <f t="shared" si="57"/>
        <v>18-01</v>
      </c>
      <c r="E1611" s="273" t="e">
        <f ca="1">_xludf.IFNA(VLOOKUP('Comp X - Kilter'!B1611,'Kilter Holds'!$P$37:$AB$662,12,0),0)</f>
        <v>#NAME?</v>
      </c>
      <c r="F1611" s="274"/>
      <c r="G1611" s="274" t="e">
        <f t="shared" ca="1" si="53"/>
        <v>#NAME?</v>
      </c>
      <c r="H1611" s="274">
        <f t="shared" si="54"/>
        <v>0</v>
      </c>
      <c r="K1611" s="274"/>
    </row>
    <row r="1612" spans="2:11" ht="13.5" customHeight="1">
      <c r="B1612" s="209" t="s">
        <v>1938</v>
      </c>
      <c r="C1612" s="1" t="s">
        <v>3447</v>
      </c>
      <c r="D1612" s="416" t="str">
        <f t="shared" si="57"/>
        <v>Color Code</v>
      </c>
      <c r="E1612" s="273" t="e">
        <f ca="1">_xludf.IFNA(VLOOKUP('Comp X - Kilter'!B1612,'Kilter Holds'!$P$37:$AB$662,13,0),0)</f>
        <v>#NAME?</v>
      </c>
      <c r="F1612" s="274"/>
      <c r="G1612" s="274" t="e">
        <f t="shared" ca="1" si="53"/>
        <v>#NAME?</v>
      </c>
      <c r="H1612" s="274">
        <f t="shared" si="54"/>
        <v>0</v>
      </c>
      <c r="K1612" s="274"/>
    </row>
    <row r="1613" spans="2:11" ht="13.5" customHeight="1">
      <c r="B1613" s="209" t="s">
        <v>1939</v>
      </c>
      <c r="C1613" s="1" t="s">
        <v>3448</v>
      </c>
      <c r="D1613" s="406" t="str">
        <f t="shared" si="57"/>
        <v>11-12</v>
      </c>
      <c r="E1613" s="273" t="e">
        <f ca="1">_xludf.IFNA(VLOOKUP('Comp X - Kilter'!B1613,'Kilter Holds'!$P$37:$AB$662,5,0),0)</f>
        <v>#NAME?</v>
      </c>
      <c r="F1613" s="274"/>
      <c r="G1613" s="274" t="e">
        <f t="shared" ca="1" si="53"/>
        <v>#NAME?</v>
      </c>
      <c r="H1613" s="274">
        <f t="shared" si="54"/>
        <v>0</v>
      </c>
      <c r="K1613" s="274"/>
    </row>
    <row r="1614" spans="2:11" ht="13.5" customHeight="1">
      <c r="B1614" s="209" t="s">
        <v>1939</v>
      </c>
      <c r="C1614" s="1" t="s">
        <v>3448</v>
      </c>
      <c r="D1614" s="408" t="str">
        <f t="shared" si="57"/>
        <v>14-01</v>
      </c>
      <c r="E1614" s="273" t="e">
        <f ca="1">_xludf.IFNA(VLOOKUP('Comp X - Kilter'!B1614,'Kilter Holds'!$P$37:$AB$662,6,0),0)</f>
        <v>#NAME?</v>
      </c>
      <c r="F1614" s="274"/>
      <c r="G1614" s="274" t="e">
        <f t="shared" ca="1" si="53"/>
        <v>#NAME?</v>
      </c>
      <c r="H1614" s="274">
        <f t="shared" si="54"/>
        <v>0</v>
      </c>
      <c r="K1614" s="274"/>
    </row>
    <row r="1615" spans="2:11" ht="13.5" customHeight="1">
      <c r="B1615" s="209" t="s">
        <v>1939</v>
      </c>
      <c r="C1615" s="1" t="s">
        <v>3448</v>
      </c>
      <c r="D1615" s="409" t="str">
        <f t="shared" si="57"/>
        <v>15-12</v>
      </c>
      <c r="E1615" s="273" t="e">
        <f ca="1">_xludf.IFNA(VLOOKUP('Comp X - Kilter'!B1615,'Kilter Holds'!$P$37:$AB$662,7,0),0)</f>
        <v>#NAME?</v>
      </c>
      <c r="F1615" s="274"/>
      <c r="G1615" s="274" t="e">
        <f t="shared" ca="1" si="53"/>
        <v>#NAME?</v>
      </c>
      <c r="H1615" s="274">
        <f t="shared" si="54"/>
        <v>0</v>
      </c>
      <c r="K1615" s="274"/>
    </row>
    <row r="1616" spans="2:11" ht="13.5" customHeight="1">
      <c r="B1616" s="209" t="s">
        <v>1939</v>
      </c>
      <c r="C1616" s="1" t="s">
        <v>3448</v>
      </c>
      <c r="D1616" s="410" t="str">
        <f t="shared" si="57"/>
        <v>16-16</v>
      </c>
      <c r="E1616" s="273" t="e">
        <f ca="1">_xludf.IFNA(VLOOKUP('Comp X - Kilter'!B1616,'Kilter Holds'!$P$37:$AB$662,8,0),0)</f>
        <v>#NAME?</v>
      </c>
      <c r="F1616" s="274"/>
      <c r="G1616" s="274" t="e">
        <f t="shared" ca="1" si="53"/>
        <v>#NAME?</v>
      </c>
      <c r="H1616" s="274">
        <f t="shared" si="54"/>
        <v>0</v>
      </c>
      <c r="K1616" s="274"/>
    </row>
    <row r="1617" spans="2:11" ht="13.5" customHeight="1">
      <c r="B1617" s="209" t="s">
        <v>1939</v>
      </c>
      <c r="C1617" s="1" t="s">
        <v>3448</v>
      </c>
      <c r="D1617" s="411" t="str">
        <f t="shared" si="57"/>
        <v>13-01</v>
      </c>
      <c r="E1617" s="273" t="e">
        <f ca="1">_xludf.IFNA(VLOOKUP('Comp X - Kilter'!B1617,'Kilter Holds'!$P$37:$AB$662,9,0),0)</f>
        <v>#NAME?</v>
      </c>
      <c r="F1617" s="274"/>
      <c r="G1617" s="274" t="e">
        <f t="shared" ca="1" si="53"/>
        <v>#NAME?</v>
      </c>
      <c r="H1617" s="274">
        <f t="shared" si="54"/>
        <v>0</v>
      </c>
      <c r="K1617" s="274"/>
    </row>
    <row r="1618" spans="2:11" ht="13.5" customHeight="1">
      <c r="B1618" s="209" t="s">
        <v>1939</v>
      </c>
      <c r="C1618" s="1" t="s">
        <v>3448</v>
      </c>
      <c r="D1618" s="413" t="str">
        <f t="shared" si="57"/>
        <v>07-13</v>
      </c>
      <c r="E1618" s="273" t="e">
        <f ca="1">_xludf.IFNA(VLOOKUP('Comp X - Kilter'!B1618,'Kilter Holds'!$P$37:$AB$662,10,0),0)</f>
        <v>#NAME?</v>
      </c>
      <c r="F1618" s="274"/>
      <c r="G1618" s="274" t="e">
        <f t="shared" ca="1" si="53"/>
        <v>#NAME?</v>
      </c>
      <c r="H1618" s="274">
        <f t="shared" si="54"/>
        <v>0</v>
      </c>
      <c r="K1618" s="274"/>
    </row>
    <row r="1619" spans="2:11" ht="13.5" customHeight="1">
      <c r="B1619" s="209" t="s">
        <v>1939</v>
      </c>
      <c r="C1619" s="1" t="s">
        <v>3448</v>
      </c>
      <c r="D1619" s="414" t="str">
        <f t="shared" si="57"/>
        <v>11-26</v>
      </c>
      <c r="E1619" s="273" t="e">
        <f ca="1">_xludf.IFNA(VLOOKUP('Comp X - Kilter'!B1619,'Kilter Holds'!$P$37:$AB$662,11,0),0)</f>
        <v>#NAME?</v>
      </c>
      <c r="F1619" s="274"/>
      <c r="G1619" s="274" t="e">
        <f t="shared" ca="1" si="53"/>
        <v>#NAME?</v>
      </c>
      <c r="H1619" s="274">
        <f t="shared" si="54"/>
        <v>0</v>
      </c>
      <c r="K1619" s="274"/>
    </row>
    <row r="1620" spans="2:11" ht="13.5" customHeight="1">
      <c r="B1620" s="209" t="s">
        <v>1939</v>
      </c>
      <c r="C1620" s="1" t="s">
        <v>3448</v>
      </c>
      <c r="D1620" s="415" t="str">
        <f t="shared" si="57"/>
        <v>18-01</v>
      </c>
      <c r="E1620" s="273" t="e">
        <f ca="1">_xludf.IFNA(VLOOKUP('Comp X - Kilter'!B1620,'Kilter Holds'!$P$37:$AB$662,12,0),0)</f>
        <v>#NAME?</v>
      </c>
      <c r="F1620" s="274"/>
      <c r="G1620" s="274" t="e">
        <f t="shared" ca="1" si="53"/>
        <v>#NAME?</v>
      </c>
      <c r="H1620" s="274">
        <f t="shared" si="54"/>
        <v>0</v>
      </c>
      <c r="K1620" s="274"/>
    </row>
    <row r="1621" spans="2:11" ht="13.5" customHeight="1">
      <c r="B1621" s="209" t="s">
        <v>1939</v>
      </c>
      <c r="C1621" s="1" t="s">
        <v>3448</v>
      </c>
      <c r="D1621" s="416" t="str">
        <f t="shared" si="57"/>
        <v>Color Code</v>
      </c>
      <c r="E1621" s="273" t="e">
        <f ca="1">_xludf.IFNA(VLOOKUP('Comp X - Kilter'!B1621,'Kilter Holds'!$P$37:$AB$662,13,0),0)</f>
        <v>#NAME?</v>
      </c>
      <c r="F1621" s="274"/>
      <c r="G1621" s="274" t="e">
        <f t="shared" ca="1" si="53"/>
        <v>#NAME?</v>
      </c>
      <c r="H1621" s="274">
        <f t="shared" si="54"/>
        <v>0</v>
      </c>
      <c r="K1621" s="274"/>
    </row>
    <row r="1622" spans="2:11" ht="13.5" customHeight="1">
      <c r="B1622" s="209" t="s">
        <v>1940</v>
      </c>
      <c r="C1622" s="1" t="s">
        <v>3449</v>
      </c>
      <c r="D1622" s="406" t="str">
        <f t="shared" si="57"/>
        <v>11-12</v>
      </c>
      <c r="E1622" s="273" t="e">
        <f ca="1">_xludf.IFNA(VLOOKUP('Comp X - Kilter'!B1622,'Kilter Holds'!$P$37:$AB$662,5,0),0)</f>
        <v>#NAME?</v>
      </c>
      <c r="F1622" s="274"/>
      <c r="G1622" s="274" t="e">
        <f t="shared" ca="1" si="53"/>
        <v>#NAME?</v>
      </c>
      <c r="H1622" s="274">
        <f t="shared" si="54"/>
        <v>0</v>
      </c>
      <c r="K1622" s="274"/>
    </row>
    <row r="1623" spans="2:11" ht="13.5" customHeight="1">
      <c r="B1623" s="209" t="s">
        <v>1940</v>
      </c>
      <c r="C1623" s="1" t="s">
        <v>3449</v>
      </c>
      <c r="D1623" s="408" t="str">
        <f t="shared" si="57"/>
        <v>14-01</v>
      </c>
      <c r="E1623" s="273" t="e">
        <f ca="1">_xludf.IFNA(VLOOKUP('Comp X - Kilter'!B1623,'Kilter Holds'!$P$37:$AB$662,6,0),0)</f>
        <v>#NAME?</v>
      </c>
      <c r="F1623" s="274"/>
      <c r="G1623" s="274" t="e">
        <f t="shared" ca="1" si="53"/>
        <v>#NAME?</v>
      </c>
      <c r="H1623" s="274">
        <f t="shared" si="54"/>
        <v>0</v>
      </c>
      <c r="K1623" s="274"/>
    </row>
    <row r="1624" spans="2:11" ht="13.5" customHeight="1">
      <c r="B1624" s="209" t="s">
        <v>1940</v>
      </c>
      <c r="C1624" s="1" t="s">
        <v>3449</v>
      </c>
      <c r="D1624" s="409" t="str">
        <f t="shared" si="57"/>
        <v>15-12</v>
      </c>
      <c r="E1624" s="273" t="e">
        <f ca="1">_xludf.IFNA(VLOOKUP('Comp X - Kilter'!B1624,'Kilter Holds'!$P$37:$AB$662,7,0),0)</f>
        <v>#NAME?</v>
      </c>
      <c r="F1624" s="274"/>
      <c r="G1624" s="274" t="e">
        <f t="shared" ca="1" si="53"/>
        <v>#NAME?</v>
      </c>
      <c r="H1624" s="274">
        <f t="shared" si="54"/>
        <v>0</v>
      </c>
      <c r="K1624" s="274"/>
    </row>
    <row r="1625" spans="2:11" ht="13.5" customHeight="1">
      <c r="B1625" s="209" t="s">
        <v>1940</v>
      </c>
      <c r="C1625" s="1" t="s">
        <v>3449</v>
      </c>
      <c r="D1625" s="410" t="str">
        <f t="shared" si="57"/>
        <v>16-16</v>
      </c>
      <c r="E1625" s="273" t="e">
        <f ca="1">_xludf.IFNA(VLOOKUP('Comp X - Kilter'!B1625,'Kilter Holds'!$P$37:$AB$662,8,0),0)</f>
        <v>#NAME?</v>
      </c>
      <c r="F1625" s="274"/>
      <c r="G1625" s="274" t="e">
        <f t="shared" ca="1" si="53"/>
        <v>#NAME?</v>
      </c>
      <c r="H1625" s="274">
        <f t="shared" si="54"/>
        <v>0</v>
      </c>
      <c r="K1625" s="274"/>
    </row>
    <row r="1626" spans="2:11" ht="13.5" customHeight="1">
      <c r="B1626" s="209" t="s">
        <v>1940</v>
      </c>
      <c r="C1626" s="1" t="s">
        <v>3449</v>
      </c>
      <c r="D1626" s="411" t="str">
        <f t="shared" si="57"/>
        <v>13-01</v>
      </c>
      <c r="E1626" s="273" t="e">
        <f ca="1">_xludf.IFNA(VLOOKUP('Comp X - Kilter'!B1626,'Kilter Holds'!$P$37:$AB$662,9,0),0)</f>
        <v>#NAME?</v>
      </c>
      <c r="F1626" s="274"/>
      <c r="G1626" s="274" t="e">
        <f t="shared" ca="1" si="53"/>
        <v>#NAME?</v>
      </c>
      <c r="H1626" s="274">
        <f t="shared" si="54"/>
        <v>0</v>
      </c>
      <c r="K1626" s="274"/>
    </row>
    <row r="1627" spans="2:11" ht="13.5" customHeight="1">
      <c r="B1627" s="209" t="s">
        <v>1940</v>
      </c>
      <c r="C1627" s="1" t="s">
        <v>3449</v>
      </c>
      <c r="D1627" s="413" t="str">
        <f t="shared" si="57"/>
        <v>07-13</v>
      </c>
      <c r="E1627" s="273" t="e">
        <f ca="1">_xludf.IFNA(VLOOKUP('Comp X - Kilter'!B1627,'Kilter Holds'!$P$37:$AB$662,10,0),0)</f>
        <v>#NAME?</v>
      </c>
      <c r="F1627" s="274"/>
      <c r="G1627" s="274" t="e">
        <f t="shared" ca="1" si="53"/>
        <v>#NAME?</v>
      </c>
      <c r="H1627" s="274">
        <f t="shared" si="54"/>
        <v>0</v>
      </c>
      <c r="K1627" s="274"/>
    </row>
    <row r="1628" spans="2:11" ht="13.5" customHeight="1">
      <c r="B1628" s="209" t="s">
        <v>1940</v>
      </c>
      <c r="C1628" s="1" t="s">
        <v>3449</v>
      </c>
      <c r="D1628" s="414" t="str">
        <f t="shared" si="57"/>
        <v>11-26</v>
      </c>
      <c r="E1628" s="273" t="e">
        <f ca="1">_xludf.IFNA(VLOOKUP('Comp X - Kilter'!B1628,'Kilter Holds'!$P$37:$AB$662,11,0),0)</f>
        <v>#NAME?</v>
      </c>
      <c r="F1628" s="274"/>
      <c r="G1628" s="274" t="e">
        <f t="shared" ca="1" si="53"/>
        <v>#NAME?</v>
      </c>
      <c r="H1628" s="274">
        <f t="shared" si="54"/>
        <v>0</v>
      </c>
      <c r="K1628" s="274"/>
    </row>
    <row r="1629" spans="2:11" ht="13.5" customHeight="1">
      <c r="B1629" s="209" t="s">
        <v>1940</v>
      </c>
      <c r="C1629" s="1" t="s">
        <v>3449</v>
      </c>
      <c r="D1629" s="415" t="str">
        <f t="shared" si="57"/>
        <v>18-01</v>
      </c>
      <c r="E1629" s="273" t="e">
        <f ca="1">_xludf.IFNA(VLOOKUP('Comp X - Kilter'!B1629,'Kilter Holds'!$P$37:$AB$662,12,0),0)</f>
        <v>#NAME?</v>
      </c>
      <c r="F1629" s="274"/>
      <c r="G1629" s="274" t="e">
        <f t="shared" ca="1" si="53"/>
        <v>#NAME?</v>
      </c>
      <c r="H1629" s="274">
        <f t="shared" si="54"/>
        <v>0</v>
      </c>
      <c r="K1629" s="274"/>
    </row>
    <row r="1630" spans="2:11" ht="13.5" customHeight="1">
      <c r="B1630" s="209" t="s">
        <v>1940</v>
      </c>
      <c r="C1630" s="1" t="s">
        <v>3449</v>
      </c>
      <c r="D1630" s="416" t="str">
        <f t="shared" si="57"/>
        <v>Color Code</v>
      </c>
      <c r="E1630" s="273" t="e">
        <f ca="1">_xludf.IFNA(VLOOKUP('Comp X - Kilter'!B1630,'Kilter Holds'!$P$37:$AB$662,13,0),0)</f>
        <v>#NAME?</v>
      </c>
      <c r="F1630" s="274"/>
      <c r="G1630" s="274" t="e">
        <f t="shared" ca="1" si="53"/>
        <v>#NAME?</v>
      </c>
      <c r="H1630" s="274">
        <f t="shared" si="54"/>
        <v>0</v>
      </c>
      <c r="K1630" s="274"/>
    </row>
    <row r="1631" spans="2:11" ht="13.5" customHeight="1">
      <c r="B1631" s="209" t="s">
        <v>1941</v>
      </c>
      <c r="C1631" s="1" t="s">
        <v>3450</v>
      </c>
      <c r="D1631" s="406" t="str">
        <f t="shared" si="57"/>
        <v>11-12</v>
      </c>
      <c r="E1631" s="273" t="e">
        <f ca="1">_xludf.IFNA(VLOOKUP('Comp X - Kilter'!B1631,'Kilter Holds'!$P$37:$AB$662,5,0),0)</f>
        <v>#NAME?</v>
      </c>
      <c r="F1631" s="274"/>
      <c r="G1631" s="274" t="e">
        <f t="shared" ca="1" si="53"/>
        <v>#NAME?</v>
      </c>
      <c r="H1631" s="274">
        <f t="shared" si="54"/>
        <v>0</v>
      </c>
      <c r="K1631" s="274"/>
    </row>
    <row r="1632" spans="2:11" ht="13.5" customHeight="1">
      <c r="B1632" s="209" t="s">
        <v>1941</v>
      </c>
      <c r="C1632" s="1" t="s">
        <v>3450</v>
      </c>
      <c r="D1632" s="408" t="str">
        <f t="shared" si="57"/>
        <v>14-01</v>
      </c>
      <c r="E1632" s="273" t="e">
        <f ca="1">_xludf.IFNA(VLOOKUP('Comp X - Kilter'!B1632,'Kilter Holds'!$P$37:$AB$662,6,0),0)</f>
        <v>#NAME?</v>
      </c>
      <c r="F1632" s="274"/>
      <c r="G1632" s="274" t="e">
        <f t="shared" ca="1" si="53"/>
        <v>#NAME?</v>
      </c>
      <c r="H1632" s="274">
        <f t="shared" si="54"/>
        <v>0</v>
      </c>
      <c r="K1632" s="274"/>
    </row>
    <row r="1633" spans="2:11" ht="13.5" customHeight="1">
      <c r="B1633" s="209" t="s">
        <v>1941</v>
      </c>
      <c r="C1633" s="1" t="s">
        <v>3450</v>
      </c>
      <c r="D1633" s="409" t="str">
        <f t="shared" si="57"/>
        <v>15-12</v>
      </c>
      <c r="E1633" s="273" t="e">
        <f ca="1">_xludf.IFNA(VLOOKUP('Comp X - Kilter'!B1633,'Kilter Holds'!$P$37:$AB$662,7,0),0)</f>
        <v>#NAME?</v>
      </c>
      <c r="F1633" s="274"/>
      <c r="G1633" s="274" t="e">
        <f t="shared" ca="1" si="53"/>
        <v>#NAME?</v>
      </c>
      <c r="H1633" s="274">
        <f t="shared" si="54"/>
        <v>0</v>
      </c>
      <c r="K1633" s="274"/>
    </row>
    <row r="1634" spans="2:11" ht="13.5" customHeight="1">
      <c r="B1634" s="209" t="s">
        <v>1941</v>
      </c>
      <c r="C1634" s="1" t="s">
        <v>3450</v>
      </c>
      <c r="D1634" s="410" t="str">
        <f t="shared" si="57"/>
        <v>16-16</v>
      </c>
      <c r="E1634" s="273" t="e">
        <f ca="1">_xludf.IFNA(VLOOKUP('Comp X - Kilter'!B1634,'Kilter Holds'!$P$37:$AB$662,8,0),0)</f>
        <v>#NAME?</v>
      </c>
      <c r="F1634" s="274"/>
      <c r="G1634" s="274" t="e">
        <f t="shared" ca="1" si="53"/>
        <v>#NAME?</v>
      </c>
      <c r="H1634" s="274">
        <f t="shared" si="54"/>
        <v>0</v>
      </c>
      <c r="K1634" s="274"/>
    </row>
    <row r="1635" spans="2:11" ht="13.5" customHeight="1">
      <c r="B1635" s="209" t="s">
        <v>1941</v>
      </c>
      <c r="C1635" s="1" t="s">
        <v>3450</v>
      </c>
      <c r="D1635" s="411" t="str">
        <f t="shared" si="57"/>
        <v>13-01</v>
      </c>
      <c r="E1635" s="273" t="e">
        <f ca="1">_xludf.IFNA(VLOOKUP('Comp X - Kilter'!B1635,'Kilter Holds'!$P$37:$AB$662,9,0),0)</f>
        <v>#NAME?</v>
      </c>
      <c r="F1635" s="274"/>
      <c r="G1635" s="274" t="e">
        <f t="shared" ca="1" si="53"/>
        <v>#NAME?</v>
      </c>
      <c r="H1635" s="274">
        <f t="shared" si="54"/>
        <v>0</v>
      </c>
      <c r="K1635" s="274"/>
    </row>
    <row r="1636" spans="2:11" ht="13.5" customHeight="1">
      <c r="B1636" s="209" t="s">
        <v>1941</v>
      </c>
      <c r="C1636" s="1" t="s">
        <v>3450</v>
      </c>
      <c r="D1636" s="413" t="str">
        <f t="shared" si="57"/>
        <v>07-13</v>
      </c>
      <c r="E1636" s="273" t="e">
        <f ca="1">_xludf.IFNA(VLOOKUP('Comp X - Kilter'!B1636,'Kilter Holds'!$P$37:$AB$662,10,0),0)</f>
        <v>#NAME?</v>
      </c>
      <c r="F1636" s="274"/>
      <c r="G1636" s="274" t="e">
        <f t="shared" ca="1" si="53"/>
        <v>#NAME?</v>
      </c>
      <c r="H1636" s="274">
        <f t="shared" si="54"/>
        <v>0</v>
      </c>
      <c r="K1636" s="274"/>
    </row>
    <row r="1637" spans="2:11" ht="13.5" customHeight="1">
      <c r="B1637" s="209" t="s">
        <v>1941</v>
      </c>
      <c r="C1637" s="1" t="s">
        <v>3450</v>
      </c>
      <c r="D1637" s="414" t="str">
        <f t="shared" si="57"/>
        <v>11-26</v>
      </c>
      <c r="E1637" s="273" t="e">
        <f ca="1">_xludf.IFNA(VLOOKUP('Comp X - Kilter'!B1637,'Kilter Holds'!$P$37:$AB$662,11,0),0)</f>
        <v>#NAME?</v>
      </c>
      <c r="F1637" s="274"/>
      <c r="G1637" s="274" t="e">
        <f t="shared" ca="1" si="53"/>
        <v>#NAME?</v>
      </c>
      <c r="H1637" s="274">
        <f t="shared" si="54"/>
        <v>0</v>
      </c>
      <c r="K1637" s="274"/>
    </row>
    <row r="1638" spans="2:11" ht="13.5" customHeight="1">
      <c r="B1638" s="209" t="s">
        <v>1941</v>
      </c>
      <c r="C1638" s="1" t="s">
        <v>3450</v>
      </c>
      <c r="D1638" s="415" t="str">
        <f t="shared" si="57"/>
        <v>18-01</v>
      </c>
      <c r="E1638" s="273" t="e">
        <f ca="1">_xludf.IFNA(VLOOKUP('Comp X - Kilter'!B1638,'Kilter Holds'!$P$37:$AB$662,12,0),0)</f>
        <v>#NAME?</v>
      </c>
      <c r="F1638" s="274"/>
      <c r="G1638" s="274" t="e">
        <f t="shared" ca="1" si="53"/>
        <v>#NAME?</v>
      </c>
      <c r="H1638" s="274">
        <f t="shared" si="54"/>
        <v>0</v>
      </c>
      <c r="K1638" s="274"/>
    </row>
    <row r="1639" spans="2:11" ht="13.5" customHeight="1">
      <c r="B1639" s="209" t="s">
        <v>1941</v>
      </c>
      <c r="C1639" s="1" t="s">
        <v>3450</v>
      </c>
      <c r="D1639" s="416" t="str">
        <f t="shared" si="57"/>
        <v>Color Code</v>
      </c>
      <c r="E1639" s="273" t="e">
        <f ca="1">_xludf.IFNA(VLOOKUP('Comp X - Kilter'!B1639,'Kilter Holds'!$P$37:$AB$662,13,0),0)</f>
        <v>#NAME?</v>
      </c>
      <c r="F1639" s="274"/>
      <c r="G1639" s="274" t="e">
        <f t="shared" ca="1" si="53"/>
        <v>#NAME?</v>
      </c>
      <c r="H1639" s="274">
        <f t="shared" si="54"/>
        <v>0</v>
      </c>
      <c r="K1639" s="274"/>
    </row>
    <row r="1640" spans="2:11" ht="13.5" customHeight="1">
      <c r="B1640" s="209" t="s">
        <v>1942</v>
      </c>
      <c r="C1640" s="1" t="s">
        <v>3451</v>
      </c>
      <c r="D1640" s="406" t="str">
        <f t="shared" si="57"/>
        <v>11-12</v>
      </c>
      <c r="E1640" s="273" t="e">
        <f ca="1">_xludf.IFNA(VLOOKUP('Comp X - Kilter'!B1640,'Kilter Holds'!$P$37:$AB$662,5,0),0)</f>
        <v>#NAME?</v>
      </c>
      <c r="F1640" s="274"/>
      <c r="G1640" s="274" t="e">
        <f t="shared" ca="1" si="53"/>
        <v>#NAME?</v>
      </c>
      <c r="H1640" s="274">
        <f t="shared" si="54"/>
        <v>0</v>
      </c>
      <c r="K1640" s="274"/>
    </row>
    <row r="1641" spans="2:11" ht="13.5" customHeight="1">
      <c r="B1641" s="209" t="s">
        <v>1942</v>
      </c>
      <c r="C1641" s="1" t="s">
        <v>3451</v>
      </c>
      <c r="D1641" s="408" t="str">
        <f t="shared" si="57"/>
        <v>14-01</v>
      </c>
      <c r="E1641" s="273" t="e">
        <f ca="1">_xludf.IFNA(VLOOKUP('Comp X - Kilter'!B1641,'Kilter Holds'!$P$37:$AB$662,6,0),0)</f>
        <v>#NAME?</v>
      </c>
      <c r="F1641" s="274"/>
      <c r="G1641" s="274" t="e">
        <f t="shared" ca="1" si="53"/>
        <v>#NAME?</v>
      </c>
      <c r="H1641" s="274">
        <f t="shared" si="54"/>
        <v>0</v>
      </c>
      <c r="K1641" s="274"/>
    </row>
    <row r="1642" spans="2:11" ht="13.5" customHeight="1">
      <c r="B1642" s="209" t="s">
        <v>1942</v>
      </c>
      <c r="C1642" s="1" t="s">
        <v>3451</v>
      </c>
      <c r="D1642" s="409" t="str">
        <f t="shared" si="57"/>
        <v>15-12</v>
      </c>
      <c r="E1642" s="273" t="e">
        <f ca="1">_xludf.IFNA(VLOOKUP('Comp X - Kilter'!B1642,'Kilter Holds'!$P$37:$AB$662,7,0),0)</f>
        <v>#NAME?</v>
      </c>
      <c r="F1642" s="274"/>
      <c r="G1642" s="274" t="e">
        <f t="shared" ca="1" si="53"/>
        <v>#NAME?</v>
      </c>
      <c r="H1642" s="274">
        <f t="shared" si="54"/>
        <v>0</v>
      </c>
      <c r="K1642" s="274"/>
    </row>
    <row r="1643" spans="2:11" ht="13.5" customHeight="1">
      <c r="B1643" s="209" t="s">
        <v>1942</v>
      </c>
      <c r="C1643" s="1" t="s">
        <v>3451</v>
      </c>
      <c r="D1643" s="410" t="str">
        <f t="shared" si="57"/>
        <v>16-16</v>
      </c>
      <c r="E1643" s="273" t="e">
        <f ca="1">_xludf.IFNA(VLOOKUP('Comp X - Kilter'!B1643,'Kilter Holds'!$P$37:$AB$662,8,0),0)</f>
        <v>#NAME?</v>
      </c>
      <c r="F1643" s="274"/>
      <c r="G1643" s="274" t="e">
        <f t="shared" ca="1" si="53"/>
        <v>#NAME?</v>
      </c>
      <c r="H1643" s="274">
        <f t="shared" si="54"/>
        <v>0</v>
      </c>
      <c r="K1643" s="274"/>
    </row>
    <row r="1644" spans="2:11" ht="13.5" customHeight="1">
      <c r="B1644" s="209" t="s">
        <v>1942</v>
      </c>
      <c r="C1644" s="1" t="s">
        <v>3451</v>
      </c>
      <c r="D1644" s="411" t="str">
        <f t="shared" si="57"/>
        <v>13-01</v>
      </c>
      <c r="E1644" s="273" t="e">
        <f ca="1">_xludf.IFNA(VLOOKUP('Comp X - Kilter'!B1644,'Kilter Holds'!$P$37:$AB$662,9,0),0)</f>
        <v>#NAME?</v>
      </c>
      <c r="F1644" s="274"/>
      <c r="G1644" s="274" t="e">
        <f t="shared" ca="1" si="53"/>
        <v>#NAME?</v>
      </c>
      <c r="H1644" s="274">
        <f t="shared" si="54"/>
        <v>0</v>
      </c>
      <c r="K1644" s="274"/>
    </row>
    <row r="1645" spans="2:11" ht="13.5" customHeight="1">
      <c r="B1645" s="209" t="s">
        <v>1942</v>
      </c>
      <c r="C1645" s="1" t="s">
        <v>3451</v>
      </c>
      <c r="D1645" s="413" t="str">
        <f t="shared" si="57"/>
        <v>07-13</v>
      </c>
      <c r="E1645" s="273" t="e">
        <f ca="1">_xludf.IFNA(VLOOKUP('Comp X - Kilter'!B1645,'Kilter Holds'!$P$37:$AB$662,10,0),0)</f>
        <v>#NAME?</v>
      </c>
      <c r="F1645" s="274"/>
      <c r="G1645" s="274" t="e">
        <f t="shared" ca="1" si="53"/>
        <v>#NAME?</v>
      </c>
      <c r="H1645" s="274">
        <f t="shared" si="54"/>
        <v>0</v>
      </c>
      <c r="K1645" s="274"/>
    </row>
    <row r="1646" spans="2:11" ht="13.5" customHeight="1">
      <c r="B1646" s="209" t="s">
        <v>1942</v>
      </c>
      <c r="C1646" s="1" t="s">
        <v>3451</v>
      </c>
      <c r="D1646" s="414" t="str">
        <f t="shared" si="57"/>
        <v>11-26</v>
      </c>
      <c r="E1646" s="273" t="e">
        <f ca="1">_xludf.IFNA(VLOOKUP('Comp X - Kilter'!B1646,'Kilter Holds'!$P$37:$AB$662,11,0),0)</f>
        <v>#NAME?</v>
      </c>
      <c r="F1646" s="274"/>
      <c r="G1646" s="274" t="e">
        <f t="shared" ca="1" si="53"/>
        <v>#NAME?</v>
      </c>
      <c r="H1646" s="274">
        <f t="shared" si="54"/>
        <v>0</v>
      </c>
      <c r="K1646" s="274"/>
    </row>
    <row r="1647" spans="2:11" ht="13.5" customHeight="1">
      <c r="B1647" s="209" t="s">
        <v>1942</v>
      </c>
      <c r="C1647" s="1" t="s">
        <v>3451</v>
      </c>
      <c r="D1647" s="415" t="str">
        <f t="shared" si="57"/>
        <v>18-01</v>
      </c>
      <c r="E1647" s="273" t="e">
        <f ca="1">_xludf.IFNA(VLOOKUP('Comp X - Kilter'!B1647,'Kilter Holds'!$P$37:$AB$662,12,0),0)</f>
        <v>#NAME?</v>
      </c>
      <c r="F1647" s="274"/>
      <c r="G1647" s="274" t="e">
        <f t="shared" ca="1" si="53"/>
        <v>#NAME?</v>
      </c>
      <c r="H1647" s="274">
        <f t="shared" si="54"/>
        <v>0</v>
      </c>
      <c r="K1647" s="274"/>
    </row>
    <row r="1648" spans="2:11" ht="13.5" customHeight="1">
      <c r="B1648" s="209" t="s">
        <v>1942</v>
      </c>
      <c r="C1648" s="1" t="s">
        <v>3451</v>
      </c>
      <c r="D1648" s="416" t="str">
        <f t="shared" si="57"/>
        <v>Color Code</v>
      </c>
      <c r="E1648" s="273" t="e">
        <f ca="1">_xludf.IFNA(VLOOKUP('Comp X - Kilter'!B1648,'Kilter Holds'!$P$37:$AB$662,13,0),0)</f>
        <v>#NAME?</v>
      </c>
      <c r="F1648" s="274"/>
      <c r="G1648" s="274" t="e">
        <f t="shared" ca="1" si="53"/>
        <v>#NAME?</v>
      </c>
      <c r="H1648" s="274">
        <f t="shared" si="54"/>
        <v>0</v>
      </c>
      <c r="K1648" s="274"/>
    </row>
    <row r="1649" spans="2:11" ht="13.5" customHeight="1">
      <c r="B1649" s="209" t="s">
        <v>1943</v>
      </c>
      <c r="C1649" s="1" t="s">
        <v>3452</v>
      </c>
      <c r="D1649" s="406" t="str">
        <f t="shared" si="57"/>
        <v>11-12</v>
      </c>
      <c r="E1649" s="273" t="e">
        <f ca="1">_xludf.IFNA(VLOOKUP('Comp X - Kilter'!B1649,'Kilter Holds'!$P$37:$AB$662,5,0),0)</f>
        <v>#NAME?</v>
      </c>
      <c r="F1649" s="274"/>
      <c r="G1649" s="274" t="e">
        <f t="shared" ca="1" si="53"/>
        <v>#NAME?</v>
      </c>
      <c r="H1649" s="274">
        <f t="shared" si="54"/>
        <v>0</v>
      </c>
      <c r="K1649" s="274"/>
    </row>
    <row r="1650" spans="2:11" ht="13.5" customHeight="1">
      <c r="B1650" s="209" t="s">
        <v>1943</v>
      </c>
      <c r="C1650" s="1" t="s">
        <v>3452</v>
      </c>
      <c r="D1650" s="408" t="str">
        <f t="shared" si="57"/>
        <v>14-01</v>
      </c>
      <c r="E1650" s="273" t="e">
        <f ca="1">_xludf.IFNA(VLOOKUP('Comp X - Kilter'!B1650,'Kilter Holds'!$P$37:$AB$662,6,0),0)</f>
        <v>#NAME?</v>
      </c>
      <c r="F1650" s="274"/>
      <c r="G1650" s="274" t="e">
        <f t="shared" ca="1" si="53"/>
        <v>#NAME?</v>
      </c>
      <c r="H1650" s="274">
        <f t="shared" si="54"/>
        <v>0</v>
      </c>
      <c r="K1650" s="274"/>
    </row>
    <row r="1651" spans="2:11" ht="13.5" customHeight="1">
      <c r="B1651" s="209" t="s">
        <v>1943</v>
      </c>
      <c r="C1651" s="1" t="s">
        <v>3452</v>
      </c>
      <c r="D1651" s="409" t="str">
        <f t="shared" si="57"/>
        <v>15-12</v>
      </c>
      <c r="E1651" s="273" t="e">
        <f ca="1">_xludf.IFNA(VLOOKUP('Comp X - Kilter'!B1651,'Kilter Holds'!$P$37:$AB$662,7,0),0)</f>
        <v>#NAME?</v>
      </c>
      <c r="F1651" s="274"/>
      <c r="G1651" s="274" t="e">
        <f t="shared" ca="1" si="53"/>
        <v>#NAME?</v>
      </c>
      <c r="H1651" s="274">
        <f t="shared" si="54"/>
        <v>0</v>
      </c>
      <c r="K1651" s="274"/>
    </row>
    <row r="1652" spans="2:11" ht="13.5" customHeight="1">
      <c r="B1652" s="209" t="s">
        <v>1943</v>
      </c>
      <c r="C1652" s="1" t="s">
        <v>3452</v>
      </c>
      <c r="D1652" s="410" t="str">
        <f t="shared" si="57"/>
        <v>16-16</v>
      </c>
      <c r="E1652" s="273" t="e">
        <f ca="1">_xludf.IFNA(VLOOKUP('Comp X - Kilter'!B1652,'Kilter Holds'!$P$37:$AB$662,8,0),0)</f>
        <v>#NAME?</v>
      </c>
      <c r="F1652" s="274"/>
      <c r="G1652" s="274" t="e">
        <f t="shared" ca="1" si="53"/>
        <v>#NAME?</v>
      </c>
      <c r="H1652" s="274">
        <f t="shared" si="54"/>
        <v>0</v>
      </c>
      <c r="K1652" s="274"/>
    </row>
    <row r="1653" spans="2:11" ht="13.5" customHeight="1">
      <c r="B1653" s="209" t="s">
        <v>1943</v>
      </c>
      <c r="C1653" s="1" t="s">
        <v>3452</v>
      </c>
      <c r="D1653" s="411" t="str">
        <f t="shared" si="57"/>
        <v>13-01</v>
      </c>
      <c r="E1653" s="273" t="e">
        <f ca="1">_xludf.IFNA(VLOOKUP('Comp X - Kilter'!B1653,'Kilter Holds'!$P$37:$AB$662,9,0),0)</f>
        <v>#NAME?</v>
      </c>
      <c r="F1653" s="274"/>
      <c r="G1653" s="274" t="e">
        <f t="shared" ca="1" si="53"/>
        <v>#NAME?</v>
      </c>
      <c r="H1653" s="274">
        <f t="shared" si="54"/>
        <v>0</v>
      </c>
      <c r="K1653" s="274"/>
    </row>
    <row r="1654" spans="2:11" ht="13.5" customHeight="1">
      <c r="B1654" s="209" t="s">
        <v>1943</v>
      </c>
      <c r="C1654" s="1" t="s">
        <v>3452</v>
      </c>
      <c r="D1654" s="413" t="str">
        <f t="shared" si="57"/>
        <v>07-13</v>
      </c>
      <c r="E1654" s="273" t="e">
        <f ca="1">_xludf.IFNA(VLOOKUP('Comp X - Kilter'!B1654,'Kilter Holds'!$P$37:$AB$662,10,0),0)</f>
        <v>#NAME?</v>
      </c>
      <c r="F1654" s="274"/>
      <c r="G1654" s="274" t="e">
        <f t="shared" ca="1" si="53"/>
        <v>#NAME?</v>
      </c>
      <c r="H1654" s="274">
        <f t="shared" si="54"/>
        <v>0</v>
      </c>
      <c r="K1654" s="274"/>
    </row>
    <row r="1655" spans="2:11" ht="13.5" customHeight="1">
      <c r="B1655" s="209" t="s">
        <v>1943</v>
      </c>
      <c r="C1655" s="1" t="s">
        <v>3452</v>
      </c>
      <c r="D1655" s="414" t="str">
        <f t="shared" si="57"/>
        <v>11-26</v>
      </c>
      <c r="E1655" s="273" t="e">
        <f ca="1">_xludf.IFNA(VLOOKUP('Comp X - Kilter'!B1655,'Kilter Holds'!$P$37:$AB$662,11,0),0)</f>
        <v>#NAME?</v>
      </c>
      <c r="F1655" s="274"/>
      <c r="G1655" s="274" t="e">
        <f t="shared" ca="1" si="53"/>
        <v>#NAME?</v>
      </c>
      <c r="H1655" s="274">
        <f t="shared" si="54"/>
        <v>0</v>
      </c>
      <c r="K1655" s="274"/>
    </row>
    <row r="1656" spans="2:11" ht="13.5" customHeight="1">
      <c r="B1656" s="209" t="s">
        <v>1943</v>
      </c>
      <c r="C1656" s="1" t="s">
        <v>3452</v>
      </c>
      <c r="D1656" s="415" t="str">
        <f t="shared" si="57"/>
        <v>18-01</v>
      </c>
      <c r="E1656" s="273" t="e">
        <f ca="1">_xludf.IFNA(VLOOKUP('Comp X - Kilter'!B1656,'Kilter Holds'!$P$37:$AB$662,12,0),0)</f>
        <v>#NAME?</v>
      </c>
      <c r="F1656" s="274"/>
      <c r="G1656" s="274" t="e">
        <f t="shared" ca="1" si="53"/>
        <v>#NAME?</v>
      </c>
      <c r="H1656" s="274">
        <f t="shared" si="54"/>
        <v>0</v>
      </c>
      <c r="K1656" s="274"/>
    </row>
    <row r="1657" spans="2:11" ht="13.5" customHeight="1">
      <c r="B1657" s="209" t="s">
        <v>1943</v>
      </c>
      <c r="C1657" s="1" t="s">
        <v>3452</v>
      </c>
      <c r="D1657" s="416" t="str">
        <f t="shared" si="57"/>
        <v>Color Code</v>
      </c>
      <c r="E1657" s="273" t="e">
        <f ca="1">_xludf.IFNA(VLOOKUP('Comp X - Kilter'!B1657,'Kilter Holds'!$P$37:$AB$662,13,0),0)</f>
        <v>#NAME?</v>
      </c>
      <c r="F1657" s="274"/>
      <c r="G1657" s="274" t="e">
        <f t="shared" ca="1" si="53"/>
        <v>#NAME?</v>
      </c>
      <c r="H1657" s="274">
        <f t="shared" si="54"/>
        <v>0</v>
      </c>
      <c r="K1657" s="274"/>
    </row>
    <row r="1658" spans="2:11" ht="13.5" customHeight="1">
      <c r="B1658" s="209" t="s">
        <v>1944</v>
      </c>
      <c r="C1658" s="1" t="s">
        <v>3453</v>
      </c>
      <c r="D1658" s="406" t="str">
        <f t="shared" si="57"/>
        <v>11-12</v>
      </c>
      <c r="E1658" s="273" t="e">
        <f ca="1">_xludf.IFNA(VLOOKUP('Comp X - Kilter'!B1658,'Kilter Holds'!$P$37:$AB$662,5,0),0)</f>
        <v>#NAME?</v>
      </c>
      <c r="F1658" s="274"/>
      <c r="G1658" s="274" t="e">
        <f t="shared" ca="1" si="53"/>
        <v>#NAME?</v>
      </c>
      <c r="H1658" s="274">
        <f t="shared" si="54"/>
        <v>0</v>
      </c>
      <c r="K1658" s="274"/>
    </row>
    <row r="1659" spans="2:11" ht="13.5" customHeight="1">
      <c r="B1659" s="209" t="s">
        <v>1944</v>
      </c>
      <c r="C1659" s="1" t="s">
        <v>3453</v>
      </c>
      <c r="D1659" s="408" t="str">
        <f t="shared" si="57"/>
        <v>14-01</v>
      </c>
      <c r="E1659" s="273" t="e">
        <f ca="1">_xludf.IFNA(VLOOKUP('Comp X - Kilter'!B1659,'Kilter Holds'!$P$37:$AB$662,6,0),0)</f>
        <v>#NAME?</v>
      </c>
      <c r="F1659" s="274"/>
      <c r="G1659" s="274" t="e">
        <f t="shared" ca="1" si="53"/>
        <v>#NAME?</v>
      </c>
      <c r="H1659" s="274">
        <f t="shared" si="54"/>
        <v>0</v>
      </c>
      <c r="K1659" s="274"/>
    </row>
    <row r="1660" spans="2:11" ht="13.5" customHeight="1">
      <c r="B1660" s="209" t="s">
        <v>1944</v>
      </c>
      <c r="C1660" s="1" t="s">
        <v>3453</v>
      </c>
      <c r="D1660" s="409" t="str">
        <f t="shared" si="57"/>
        <v>15-12</v>
      </c>
      <c r="E1660" s="273" t="e">
        <f ca="1">_xludf.IFNA(VLOOKUP('Comp X - Kilter'!B1660,'Kilter Holds'!$P$37:$AB$662,7,0),0)</f>
        <v>#NAME?</v>
      </c>
      <c r="F1660" s="274"/>
      <c r="G1660" s="274" t="e">
        <f t="shared" ca="1" si="53"/>
        <v>#NAME?</v>
      </c>
      <c r="H1660" s="274">
        <f t="shared" si="54"/>
        <v>0</v>
      </c>
      <c r="K1660" s="274"/>
    </row>
    <row r="1661" spans="2:11" ht="13.5" customHeight="1">
      <c r="B1661" s="209" t="s">
        <v>1944</v>
      </c>
      <c r="C1661" s="1" t="s">
        <v>3453</v>
      </c>
      <c r="D1661" s="410" t="str">
        <f t="shared" si="57"/>
        <v>16-16</v>
      </c>
      <c r="E1661" s="273" t="e">
        <f ca="1">_xludf.IFNA(VLOOKUP('Comp X - Kilter'!B1661,'Kilter Holds'!$P$37:$AB$662,8,0),0)</f>
        <v>#NAME?</v>
      </c>
      <c r="F1661" s="274"/>
      <c r="G1661" s="274" t="e">
        <f t="shared" ca="1" si="53"/>
        <v>#NAME?</v>
      </c>
      <c r="H1661" s="274">
        <f t="shared" si="54"/>
        <v>0</v>
      </c>
      <c r="K1661" s="274"/>
    </row>
    <row r="1662" spans="2:11" ht="13.5" customHeight="1">
      <c r="B1662" s="209" t="s">
        <v>1944</v>
      </c>
      <c r="C1662" s="1" t="s">
        <v>3453</v>
      </c>
      <c r="D1662" s="411" t="str">
        <f t="shared" si="57"/>
        <v>13-01</v>
      </c>
      <c r="E1662" s="273" t="e">
        <f ca="1">_xludf.IFNA(VLOOKUP('Comp X - Kilter'!B1662,'Kilter Holds'!$P$37:$AB$662,9,0),0)</f>
        <v>#NAME?</v>
      </c>
      <c r="F1662" s="274"/>
      <c r="G1662" s="274" t="e">
        <f t="shared" ca="1" si="53"/>
        <v>#NAME?</v>
      </c>
      <c r="H1662" s="274">
        <f t="shared" si="54"/>
        <v>0</v>
      </c>
      <c r="K1662" s="274"/>
    </row>
    <row r="1663" spans="2:11" ht="13.5" customHeight="1">
      <c r="B1663" s="209" t="s">
        <v>1944</v>
      </c>
      <c r="C1663" s="1" t="s">
        <v>3453</v>
      </c>
      <c r="D1663" s="413" t="str">
        <f t="shared" si="57"/>
        <v>07-13</v>
      </c>
      <c r="E1663" s="273" t="e">
        <f ca="1">_xludf.IFNA(VLOOKUP('Comp X - Kilter'!B1663,'Kilter Holds'!$P$37:$AB$662,10,0),0)</f>
        <v>#NAME?</v>
      </c>
      <c r="F1663" s="274"/>
      <c r="G1663" s="274" t="e">
        <f t="shared" ca="1" si="53"/>
        <v>#NAME?</v>
      </c>
      <c r="H1663" s="274">
        <f t="shared" si="54"/>
        <v>0</v>
      </c>
      <c r="K1663" s="274"/>
    </row>
    <row r="1664" spans="2:11" ht="13.5" customHeight="1">
      <c r="B1664" s="209" t="s">
        <v>1944</v>
      </c>
      <c r="C1664" s="1" t="s">
        <v>3453</v>
      </c>
      <c r="D1664" s="414" t="str">
        <f t="shared" si="57"/>
        <v>11-26</v>
      </c>
      <c r="E1664" s="273" t="e">
        <f ca="1">_xludf.IFNA(VLOOKUP('Comp X - Kilter'!B1664,'Kilter Holds'!$P$37:$AB$662,11,0),0)</f>
        <v>#NAME?</v>
      </c>
      <c r="F1664" s="274"/>
      <c r="G1664" s="274" t="e">
        <f t="shared" ca="1" si="53"/>
        <v>#NAME?</v>
      </c>
      <c r="H1664" s="274">
        <f t="shared" si="54"/>
        <v>0</v>
      </c>
      <c r="K1664" s="274"/>
    </row>
    <row r="1665" spans="2:11" ht="13.5" customHeight="1">
      <c r="B1665" s="209" t="s">
        <v>1944</v>
      </c>
      <c r="C1665" s="1" t="s">
        <v>3453</v>
      </c>
      <c r="D1665" s="415" t="str">
        <f t="shared" si="57"/>
        <v>18-01</v>
      </c>
      <c r="E1665" s="273" t="e">
        <f ca="1">_xludf.IFNA(VLOOKUP('Comp X - Kilter'!B1665,'Kilter Holds'!$P$37:$AB$662,12,0),0)</f>
        <v>#NAME?</v>
      </c>
      <c r="F1665" s="274"/>
      <c r="G1665" s="274" t="e">
        <f t="shared" ca="1" si="53"/>
        <v>#NAME?</v>
      </c>
      <c r="H1665" s="274">
        <f t="shared" si="54"/>
        <v>0</v>
      </c>
      <c r="K1665" s="274"/>
    </row>
    <row r="1666" spans="2:11" ht="13.5" customHeight="1">
      <c r="B1666" s="209" t="s">
        <v>1944</v>
      </c>
      <c r="C1666" s="1" t="s">
        <v>3453</v>
      </c>
      <c r="D1666" s="416" t="str">
        <f t="shared" si="57"/>
        <v>Color Code</v>
      </c>
      <c r="E1666" s="273" t="e">
        <f ca="1">_xludf.IFNA(VLOOKUP('Comp X - Kilter'!B1666,'Kilter Holds'!$P$37:$AB$662,13,0),0)</f>
        <v>#NAME?</v>
      </c>
      <c r="F1666" s="274"/>
      <c r="G1666" s="274" t="e">
        <f t="shared" ca="1" si="53"/>
        <v>#NAME?</v>
      </c>
      <c r="H1666" s="274">
        <f t="shared" si="54"/>
        <v>0</v>
      </c>
      <c r="K1666" s="274"/>
    </row>
    <row r="1667" spans="2:11" ht="13.5" customHeight="1">
      <c r="B1667" s="209" t="s">
        <v>1945</v>
      </c>
      <c r="C1667" s="1" t="s">
        <v>3454</v>
      </c>
      <c r="D1667" s="406" t="str">
        <f t="shared" si="57"/>
        <v>11-12</v>
      </c>
      <c r="E1667" s="273" t="e">
        <f ca="1">_xludf.IFNA(VLOOKUP('Comp X - Kilter'!B1667,'Kilter Holds'!$P$37:$AB$662,5,0),0)</f>
        <v>#NAME?</v>
      </c>
      <c r="F1667" s="274"/>
      <c r="G1667" s="274" t="e">
        <f t="shared" ca="1" si="53"/>
        <v>#NAME?</v>
      </c>
      <c r="H1667" s="274">
        <f t="shared" si="54"/>
        <v>0</v>
      </c>
      <c r="K1667" s="274"/>
    </row>
    <row r="1668" spans="2:11" ht="13.5" customHeight="1">
      <c r="B1668" s="209" t="s">
        <v>1945</v>
      </c>
      <c r="C1668" s="1" t="s">
        <v>3454</v>
      </c>
      <c r="D1668" s="408" t="str">
        <f t="shared" si="57"/>
        <v>14-01</v>
      </c>
      <c r="E1668" s="273" t="e">
        <f ca="1">_xludf.IFNA(VLOOKUP('Comp X - Kilter'!B1668,'Kilter Holds'!$P$37:$AB$662,6,0),0)</f>
        <v>#NAME?</v>
      </c>
      <c r="F1668" s="274"/>
      <c r="G1668" s="274" t="e">
        <f t="shared" ca="1" si="53"/>
        <v>#NAME?</v>
      </c>
      <c r="H1668" s="274">
        <f t="shared" si="54"/>
        <v>0</v>
      </c>
      <c r="K1668" s="274"/>
    </row>
    <row r="1669" spans="2:11" ht="13.5" customHeight="1">
      <c r="B1669" s="209" t="s">
        <v>1945</v>
      </c>
      <c r="C1669" s="1" t="s">
        <v>3454</v>
      </c>
      <c r="D1669" s="409" t="str">
        <f t="shared" si="57"/>
        <v>15-12</v>
      </c>
      <c r="E1669" s="273" t="e">
        <f ca="1">_xludf.IFNA(VLOOKUP('Comp X - Kilter'!B1669,'Kilter Holds'!$P$37:$AB$662,7,0),0)</f>
        <v>#NAME?</v>
      </c>
      <c r="F1669" s="274"/>
      <c r="G1669" s="274" t="e">
        <f t="shared" ca="1" si="53"/>
        <v>#NAME?</v>
      </c>
      <c r="H1669" s="274">
        <f t="shared" si="54"/>
        <v>0</v>
      </c>
      <c r="K1669" s="274"/>
    </row>
    <row r="1670" spans="2:11" ht="13.5" customHeight="1">
      <c r="B1670" s="209" t="s">
        <v>1945</v>
      </c>
      <c r="C1670" s="1" t="s">
        <v>3454</v>
      </c>
      <c r="D1670" s="410" t="str">
        <f t="shared" si="57"/>
        <v>16-16</v>
      </c>
      <c r="E1670" s="273" t="e">
        <f ca="1">_xludf.IFNA(VLOOKUP('Comp X - Kilter'!B1670,'Kilter Holds'!$P$37:$AB$662,8,0),0)</f>
        <v>#NAME?</v>
      </c>
      <c r="F1670" s="274"/>
      <c r="G1670" s="274" t="e">
        <f t="shared" ca="1" si="53"/>
        <v>#NAME?</v>
      </c>
      <c r="H1670" s="274">
        <f t="shared" si="54"/>
        <v>0</v>
      </c>
      <c r="K1670" s="274"/>
    </row>
    <row r="1671" spans="2:11" ht="13.5" customHeight="1">
      <c r="B1671" s="209" t="s">
        <v>1945</v>
      </c>
      <c r="C1671" s="1" t="s">
        <v>3454</v>
      </c>
      <c r="D1671" s="411" t="str">
        <f t="shared" si="57"/>
        <v>13-01</v>
      </c>
      <c r="E1671" s="273" t="e">
        <f ca="1">_xludf.IFNA(VLOOKUP('Comp X - Kilter'!B1671,'Kilter Holds'!$P$37:$AB$662,9,0),0)</f>
        <v>#NAME?</v>
      </c>
      <c r="F1671" s="274"/>
      <c r="G1671" s="274" t="e">
        <f t="shared" ca="1" si="53"/>
        <v>#NAME?</v>
      </c>
      <c r="H1671" s="274">
        <f t="shared" si="54"/>
        <v>0</v>
      </c>
      <c r="K1671" s="274"/>
    </row>
    <row r="1672" spans="2:11" ht="13.5" customHeight="1">
      <c r="B1672" s="209" t="s">
        <v>1945</v>
      </c>
      <c r="C1672" s="1" t="s">
        <v>3454</v>
      </c>
      <c r="D1672" s="413" t="str">
        <f t="shared" si="57"/>
        <v>07-13</v>
      </c>
      <c r="E1672" s="273" t="e">
        <f ca="1">_xludf.IFNA(VLOOKUP('Comp X - Kilter'!B1672,'Kilter Holds'!$P$37:$AB$662,10,0),0)</f>
        <v>#NAME?</v>
      </c>
      <c r="F1672" s="274"/>
      <c r="G1672" s="274" t="e">
        <f t="shared" ca="1" si="53"/>
        <v>#NAME?</v>
      </c>
      <c r="H1672" s="274">
        <f t="shared" si="54"/>
        <v>0</v>
      </c>
      <c r="K1672" s="274"/>
    </row>
    <row r="1673" spans="2:11" ht="13.5" customHeight="1">
      <c r="B1673" s="209" t="s">
        <v>1945</v>
      </c>
      <c r="C1673" s="1" t="s">
        <v>3454</v>
      </c>
      <c r="D1673" s="414" t="str">
        <f t="shared" si="57"/>
        <v>11-26</v>
      </c>
      <c r="E1673" s="273" t="e">
        <f ca="1">_xludf.IFNA(VLOOKUP('Comp X - Kilter'!B1673,'Kilter Holds'!$P$37:$AB$662,11,0),0)</f>
        <v>#NAME?</v>
      </c>
      <c r="F1673" s="274"/>
      <c r="G1673" s="274" t="e">
        <f t="shared" ca="1" si="53"/>
        <v>#NAME?</v>
      </c>
      <c r="H1673" s="274">
        <f t="shared" si="54"/>
        <v>0</v>
      </c>
      <c r="K1673" s="274"/>
    </row>
    <row r="1674" spans="2:11" ht="13.5" customHeight="1">
      <c r="B1674" s="209" t="s">
        <v>1945</v>
      </c>
      <c r="C1674" s="1" t="s">
        <v>3454</v>
      </c>
      <c r="D1674" s="415" t="str">
        <f t="shared" si="57"/>
        <v>18-01</v>
      </c>
      <c r="E1674" s="273" t="e">
        <f ca="1">_xludf.IFNA(VLOOKUP('Comp X - Kilter'!B1674,'Kilter Holds'!$P$37:$AB$662,12,0),0)</f>
        <v>#NAME?</v>
      </c>
      <c r="F1674" s="274"/>
      <c r="G1674" s="274" t="e">
        <f t="shared" ca="1" si="53"/>
        <v>#NAME?</v>
      </c>
      <c r="H1674" s="274">
        <f t="shared" si="54"/>
        <v>0</v>
      </c>
      <c r="K1674" s="274"/>
    </row>
    <row r="1675" spans="2:11" ht="13.5" customHeight="1">
      <c r="B1675" s="209" t="s">
        <v>1945</v>
      </c>
      <c r="C1675" s="1" t="s">
        <v>3454</v>
      </c>
      <c r="D1675" s="416" t="str">
        <f t="shared" si="57"/>
        <v>Color Code</v>
      </c>
      <c r="E1675" s="273" t="e">
        <f ca="1">_xludf.IFNA(VLOOKUP('Comp X - Kilter'!B1675,'Kilter Holds'!$P$37:$AB$662,13,0),0)</f>
        <v>#NAME?</v>
      </c>
      <c r="F1675" s="274"/>
      <c r="G1675" s="274" t="e">
        <f t="shared" ca="1" si="53"/>
        <v>#NAME?</v>
      </c>
      <c r="H1675" s="274">
        <f t="shared" si="54"/>
        <v>0</v>
      </c>
      <c r="K1675" s="274"/>
    </row>
    <row r="1676" spans="2:11" ht="13.5" customHeight="1">
      <c r="B1676" s="1" t="s">
        <v>1946</v>
      </c>
      <c r="C1676" s="1" t="s">
        <v>3455</v>
      </c>
      <c r="D1676" s="406" t="str">
        <f t="shared" ref="D1676:D1684" si="58">D1658</f>
        <v>11-12</v>
      </c>
      <c r="E1676" s="273" t="e">
        <f ca="1">_xludf.IFNA(VLOOKUP('Comp X - Kilter'!B1676,'Kilter Holds'!$P$37:$AB$662,5,0),0)</f>
        <v>#NAME?</v>
      </c>
      <c r="F1676" s="274"/>
      <c r="G1676" s="274" t="e">
        <f t="shared" ca="1" si="53"/>
        <v>#NAME?</v>
      </c>
      <c r="H1676" s="274">
        <f t="shared" si="54"/>
        <v>0</v>
      </c>
      <c r="K1676" s="274"/>
    </row>
    <row r="1677" spans="2:11" ht="13.5" customHeight="1">
      <c r="B1677" s="1" t="s">
        <v>1946</v>
      </c>
      <c r="C1677" s="1" t="s">
        <v>3455</v>
      </c>
      <c r="D1677" s="408" t="str">
        <f t="shared" si="58"/>
        <v>14-01</v>
      </c>
      <c r="E1677" s="273" t="e">
        <f ca="1">_xludf.IFNA(VLOOKUP('Comp X - Kilter'!B1677,'Kilter Holds'!$P$37:$AB$662,6,0),0)</f>
        <v>#NAME?</v>
      </c>
      <c r="F1677" s="274"/>
      <c r="G1677" s="274" t="e">
        <f t="shared" ca="1" si="53"/>
        <v>#NAME?</v>
      </c>
      <c r="H1677" s="274">
        <f t="shared" si="54"/>
        <v>0</v>
      </c>
      <c r="K1677" s="274"/>
    </row>
    <row r="1678" spans="2:11" ht="13.5" customHeight="1">
      <c r="B1678" s="1" t="s">
        <v>1946</v>
      </c>
      <c r="C1678" s="1" t="s">
        <v>3455</v>
      </c>
      <c r="D1678" s="409" t="str">
        <f t="shared" si="58"/>
        <v>15-12</v>
      </c>
      <c r="E1678" s="273" t="e">
        <f ca="1">_xludf.IFNA(VLOOKUP('Comp X - Kilter'!B1678,'Kilter Holds'!$P$37:$AB$662,7,0),0)</f>
        <v>#NAME?</v>
      </c>
      <c r="F1678" s="274"/>
      <c r="G1678" s="274" t="e">
        <f t="shared" ca="1" si="53"/>
        <v>#NAME?</v>
      </c>
      <c r="H1678" s="274">
        <f t="shared" si="54"/>
        <v>0</v>
      </c>
      <c r="K1678" s="274"/>
    </row>
    <row r="1679" spans="2:11" ht="13.5" customHeight="1">
      <c r="B1679" s="1" t="s">
        <v>1946</v>
      </c>
      <c r="C1679" s="1" t="s">
        <v>3455</v>
      </c>
      <c r="D1679" s="410" t="str">
        <f t="shared" si="58"/>
        <v>16-16</v>
      </c>
      <c r="E1679" s="273" t="e">
        <f ca="1">_xludf.IFNA(VLOOKUP('Comp X - Kilter'!B1679,'Kilter Holds'!$P$37:$AB$662,8,0),0)</f>
        <v>#NAME?</v>
      </c>
      <c r="F1679" s="274"/>
      <c r="G1679" s="274" t="e">
        <f t="shared" ca="1" si="53"/>
        <v>#NAME?</v>
      </c>
      <c r="H1679" s="274">
        <f t="shared" si="54"/>
        <v>0</v>
      </c>
      <c r="K1679" s="274"/>
    </row>
    <row r="1680" spans="2:11" ht="13.5" customHeight="1">
      <c r="B1680" s="1" t="s">
        <v>1946</v>
      </c>
      <c r="C1680" s="1" t="s">
        <v>3455</v>
      </c>
      <c r="D1680" s="411" t="str">
        <f t="shared" si="58"/>
        <v>13-01</v>
      </c>
      <c r="E1680" s="273" t="e">
        <f ca="1">_xludf.IFNA(VLOOKUP('Comp X - Kilter'!B1680,'Kilter Holds'!$P$37:$AB$662,9,0),0)</f>
        <v>#NAME?</v>
      </c>
      <c r="F1680" s="274"/>
      <c r="G1680" s="274" t="e">
        <f t="shared" ca="1" si="53"/>
        <v>#NAME?</v>
      </c>
      <c r="H1680" s="274">
        <f t="shared" si="54"/>
        <v>0</v>
      </c>
      <c r="K1680" s="274"/>
    </row>
    <row r="1681" spans="2:11" ht="13.5" customHeight="1">
      <c r="B1681" s="1" t="s">
        <v>1946</v>
      </c>
      <c r="C1681" s="1" t="s">
        <v>3455</v>
      </c>
      <c r="D1681" s="413" t="str">
        <f t="shared" si="58"/>
        <v>07-13</v>
      </c>
      <c r="E1681" s="273" t="e">
        <f ca="1">_xludf.IFNA(VLOOKUP('Comp X - Kilter'!B1681,'Kilter Holds'!$P$37:$AB$662,10,0),0)</f>
        <v>#NAME?</v>
      </c>
      <c r="F1681" s="274"/>
      <c r="G1681" s="274" t="e">
        <f t="shared" ca="1" si="53"/>
        <v>#NAME?</v>
      </c>
      <c r="H1681" s="274">
        <f t="shared" si="54"/>
        <v>0</v>
      </c>
      <c r="K1681" s="274"/>
    </row>
    <row r="1682" spans="2:11" ht="13.5" customHeight="1">
      <c r="B1682" s="1" t="s">
        <v>1946</v>
      </c>
      <c r="C1682" s="1" t="s">
        <v>3455</v>
      </c>
      <c r="D1682" s="414" t="str">
        <f t="shared" si="58"/>
        <v>11-26</v>
      </c>
      <c r="E1682" s="273" t="e">
        <f ca="1">_xludf.IFNA(VLOOKUP('Comp X - Kilter'!B1682,'Kilter Holds'!$P$37:$AB$662,11,0),0)</f>
        <v>#NAME?</v>
      </c>
      <c r="F1682" s="274"/>
      <c r="G1682" s="274" t="e">
        <f t="shared" ca="1" si="53"/>
        <v>#NAME?</v>
      </c>
      <c r="H1682" s="274">
        <f t="shared" si="54"/>
        <v>0</v>
      </c>
      <c r="K1682" s="274"/>
    </row>
    <row r="1683" spans="2:11" ht="13.5" customHeight="1">
      <c r="B1683" s="1" t="s">
        <v>1946</v>
      </c>
      <c r="C1683" s="1" t="s">
        <v>3455</v>
      </c>
      <c r="D1683" s="415" t="str">
        <f t="shared" si="58"/>
        <v>18-01</v>
      </c>
      <c r="E1683" s="273" t="e">
        <f ca="1">_xludf.IFNA(VLOOKUP('Comp X - Kilter'!B1683,'Kilter Holds'!$P$37:$AB$662,12,0),0)</f>
        <v>#NAME?</v>
      </c>
      <c r="F1683" s="274"/>
      <c r="G1683" s="274" t="e">
        <f t="shared" ca="1" si="53"/>
        <v>#NAME?</v>
      </c>
      <c r="H1683" s="274">
        <f t="shared" si="54"/>
        <v>0</v>
      </c>
      <c r="K1683" s="274"/>
    </row>
    <row r="1684" spans="2:11" ht="13.5" customHeight="1">
      <c r="B1684" s="1" t="s">
        <v>1946</v>
      </c>
      <c r="C1684" s="1" t="s">
        <v>3455</v>
      </c>
      <c r="D1684" s="416" t="str">
        <f t="shared" si="58"/>
        <v>Color Code</v>
      </c>
      <c r="E1684" s="273" t="e">
        <f ca="1">_xludf.IFNA(VLOOKUP('Comp X - Kilter'!B1684,'Kilter Holds'!$P$37:$AB$662,13,0),0)</f>
        <v>#NAME?</v>
      </c>
      <c r="F1684" s="274"/>
      <c r="G1684" s="274" t="e">
        <f t="shared" ca="1" si="53"/>
        <v>#NAME?</v>
      </c>
      <c r="H1684" s="274">
        <f t="shared" si="54"/>
        <v>0</v>
      </c>
      <c r="K1684" s="274"/>
    </row>
    <row r="1685" spans="2:11" ht="13.5" customHeight="1">
      <c r="B1685" s="1" t="s">
        <v>1947</v>
      </c>
      <c r="C1685" s="1" t="s">
        <v>3456</v>
      </c>
      <c r="D1685" s="406" t="str">
        <f t="shared" ref="D1685:D1765" si="59">D1676</f>
        <v>11-12</v>
      </c>
      <c r="E1685" s="273" t="e">
        <f ca="1">_xludf.IFNA(VLOOKUP('Comp X - Kilter'!B1685,'Kilter Holds'!$P$37:$AB$662,5,0),0)</f>
        <v>#NAME?</v>
      </c>
      <c r="F1685" s="274"/>
      <c r="G1685" s="274" t="e">
        <f t="shared" ca="1" si="53"/>
        <v>#NAME?</v>
      </c>
      <c r="H1685" s="274">
        <f t="shared" si="54"/>
        <v>0</v>
      </c>
      <c r="K1685" s="274"/>
    </row>
    <row r="1686" spans="2:11" ht="13.5" customHeight="1">
      <c r="B1686" s="1" t="s">
        <v>1947</v>
      </c>
      <c r="C1686" s="1" t="s">
        <v>3456</v>
      </c>
      <c r="D1686" s="408" t="str">
        <f t="shared" si="59"/>
        <v>14-01</v>
      </c>
      <c r="E1686" s="273" t="e">
        <f ca="1">_xludf.IFNA(VLOOKUP('Comp X - Kilter'!B1686,'Kilter Holds'!$P$37:$AB$662,6,0),0)</f>
        <v>#NAME?</v>
      </c>
      <c r="F1686" s="274"/>
      <c r="G1686" s="274" t="e">
        <f t="shared" ca="1" si="53"/>
        <v>#NAME?</v>
      </c>
      <c r="H1686" s="274">
        <f t="shared" si="54"/>
        <v>0</v>
      </c>
      <c r="K1686" s="274"/>
    </row>
    <row r="1687" spans="2:11" ht="13.5" customHeight="1">
      <c r="B1687" s="1" t="s">
        <v>1947</v>
      </c>
      <c r="C1687" s="1" t="s">
        <v>3456</v>
      </c>
      <c r="D1687" s="409" t="str">
        <f t="shared" si="59"/>
        <v>15-12</v>
      </c>
      <c r="E1687" s="273" t="e">
        <f ca="1">_xludf.IFNA(VLOOKUP('Comp X - Kilter'!B1687,'Kilter Holds'!$P$37:$AB$662,7,0),0)</f>
        <v>#NAME?</v>
      </c>
      <c r="F1687" s="274"/>
      <c r="G1687" s="274" t="e">
        <f t="shared" ca="1" si="53"/>
        <v>#NAME?</v>
      </c>
      <c r="H1687" s="274">
        <f t="shared" si="54"/>
        <v>0</v>
      </c>
      <c r="K1687" s="274"/>
    </row>
    <row r="1688" spans="2:11" ht="13.5" customHeight="1">
      <c r="B1688" s="1" t="s">
        <v>1947</v>
      </c>
      <c r="C1688" s="1" t="s">
        <v>3456</v>
      </c>
      <c r="D1688" s="410" t="str">
        <f t="shared" si="59"/>
        <v>16-16</v>
      </c>
      <c r="E1688" s="273" t="e">
        <f ca="1">_xludf.IFNA(VLOOKUP('Comp X - Kilter'!B1688,'Kilter Holds'!$P$37:$AB$662,8,0),0)</f>
        <v>#NAME?</v>
      </c>
      <c r="F1688" s="274"/>
      <c r="G1688" s="274" t="e">
        <f t="shared" ca="1" si="53"/>
        <v>#NAME?</v>
      </c>
      <c r="H1688" s="274">
        <f t="shared" si="54"/>
        <v>0</v>
      </c>
      <c r="K1688" s="274"/>
    </row>
    <row r="1689" spans="2:11" ht="13.5" customHeight="1">
      <c r="B1689" s="1" t="s">
        <v>1947</v>
      </c>
      <c r="C1689" s="1" t="s">
        <v>3456</v>
      </c>
      <c r="D1689" s="411" t="str">
        <f t="shared" si="59"/>
        <v>13-01</v>
      </c>
      <c r="E1689" s="273" t="e">
        <f ca="1">_xludf.IFNA(VLOOKUP('Comp X - Kilter'!B1689,'Kilter Holds'!$P$37:$AB$662,9,0),0)</f>
        <v>#NAME?</v>
      </c>
      <c r="F1689" s="274"/>
      <c r="G1689" s="274" t="e">
        <f t="shared" ca="1" si="53"/>
        <v>#NAME?</v>
      </c>
      <c r="H1689" s="274">
        <f t="shared" si="54"/>
        <v>0</v>
      </c>
      <c r="K1689" s="274"/>
    </row>
    <row r="1690" spans="2:11" ht="13.5" customHeight="1">
      <c r="B1690" s="1" t="s">
        <v>1947</v>
      </c>
      <c r="C1690" s="1" t="s">
        <v>3456</v>
      </c>
      <c r="D1690" s="413" t="str">
        <f t="shared" si="59"/>
        <v>07-13</v>
      </c>
      <c r="E1690" s="273" t="e">
        <f ca="1">_xludf.IFNA(VLOOKUP('Comp X - Kilter'!B1690,'Kilter Holds'!$P$37:$AB$662,10,0),0)</f>
        <v>#NAME?</v>
      </c>
      <c r="F1690" s="274"/>
      <c r="G1690" s="274" t="e">
        <f t="shared" ca="1" si="53"/>
        <v>#NAME?</v>
      </c>
      <c r="H1690" s="274">
        <f t="shared" si="54"/>
        <v>0</v>
      </c>
      <c r="K1690" s="274"/>
    </row>
    <row r="1691" spans="2:11" ht="13.5" customHeight="1">
      <c r="B1691" s="1" t="s">
        <v>1947</v>
      </c>
      <c r="C1691" s="1" t="s">
        <v>3456</v>
      </c>
      <c r="D1691" s="414" t="str">
        <f t="shared" si="59"/>
        <v>11-26</v>
      </c>
      <c r="E1691" s="273" t="e">
        <f ca="1">_xludf.IFNA(VLOOKUP('Comp X - Kilter'!B1691,'Kilter Holds'!$P$37:$AB$662,11,0),0)</f>
        <v>#NAME?</v>
      </c>
      <c r="F1691" s="274"/>
      <c r="G1691" s="274" t="e">
        <f t="shared" ca="1" si="53"/>
        <v>#NAME?</v>
      </c>
      <c r="H1691" s="274">
        <f t="shared" si="54"/>
        <v>0</v>
      </c>
      <c r="K1691" s="274"/>
    </row>
    <row r="1692" spans="2:11" ht="13.5" customHeight="1">
      <c r="B1692" s="1" t="s">
        <v>1947</v>
      </c>
      <c r="C1692" s="1" t="s">
        <v>3456</v>
      </c>
      <c r="D1692" s="415" t="str">
        <f t="shared" si="59"/>
        <v>18-01</v>
      </c>
      <c r="E1692" s="273" t="e">
        <f ca="1">_xludf.IFNA(VLOOKUP('Comp X - Kilter'!B1692,'Kilter Holds'!$P$37:$AB$662,12,0),0)</f>
        <v>#NAME?</v>
      </c>
      <c r="F1692" s="274"/>
      <c r="G1692" s="274" t="e">
        <f t="shared" ca="1" si="53"/>
        <v>#NAME?</v>
      </c>
      <c r="H1692" s="274">
        <f t="shared" si="54"/>
        <v>0</v>
      </c>
      <c r="K1692" s="274"/>
    </row>
    <row r="1693" spans="2:11" ht="13.5" customHeight="1">
      <c r="B1693" s="1" t="s">
        <v>1947</v>
      </c>
      <c r="C1693" s="1" t="s">
        <v>3456</v>
      </c>
      <c r="D1693" s="416" t="str">
        <f t="shared" si="59"/>
        <v>Color Code</v>
      </c>
      <c r="E1693" s="273" t="e">
        <f ca="1">_xludf.IFNA(VLOOKUP('Comp X - Kilter'!B1693,'Kilter Holds'!$P$37:$AB$662,13,0),0)</f>
        <v>#NAME?</v>
      </c>
      <c r="F1693" s="274"/>
      <c r="G1693" s="274" t="e">
        <f t="shared" ca="1" si="53"/>
        <v>#NAME?</v>
      </c>
      <c r="H1693" s="274">
        <f t="shared" si="54"/>
        <v>0</v>
      </c>
      <c r="K1693" s="274"/>
    </row>
    <row r="1694" spans="2:11" ht="13.5" customHeight="1">
      <c r="B1694" s="1" t="s">
        <v>1948</v>
      </c>
      <c r="C1694" s="1" t="s">
        <v>3457</v>
      </c>
      <c r="D1694" s="406" t="str">
        <f t="shared" si="59"/>
        <v>11-12</v>
      </c>
      <c r="E1694" s="273" t="e">
        <f ca="1">_xludf.IFNA(VLOOKUP('Comp X - Kilter'!B1694,'Kilter Holds'!$P$37:$AB$662,5,0),0)</f>
        <v>#NAME?</v>
      </c>
      <c r="F1694" s="274"/>
      <c r="G1694" s="274" t="e">
        <f t="shared" ca="1" si="53"/>
        <v>#NAME?</v>
      </c>
      <c r="H1694" s="274">
        <f t="shared" si="54"/>
        <v>0</v>
      </c>
      <c r="K1694" s="274"/>
    </row>
    <row r="1695" spans="2:11" ht="13.5" customHeight="1">
      <c r="B1695" s="1" t="s">
        <v>1948</v>
      </c>
      <c r="C1695" s="1" t="s">
        <v>3457</v>
      </c>
      <c r="D1695" s="408" t="str">
        <f t="shared" si="59"/>
        <v>14-01</v>
      </c>
      <c r="E1695" s="273" t="e">
        <f ca="1">_xludf.IFNA(VLOOKUP('Comp X - Kilter'!B1695,'Kilter Holds'!$P$37:$AB$662,6,0),0)</f>
        <v>#NAME?</v>
      </c>
      <c r="F1695" s="274"/>
      <c r="G1695" s="274" t="e">
        <f t="shared" ca="1" si="53"/>
        <v>#NAME?</v>
      </c>
      <c r="H1695" s="274">
        <f t="shared" si="54"/>
        <v>0</v>
      </c>
      <c r="K1695" s="274"/>
    </row>
    <row r="1696" spans="2:11" ht="13.5" customHeight="1">
      <c r="B1696" s="1" t="s">
        <v>1948</v>
      </c>
      <c r="C1696" s="1" t="s">
        <v>3457</v>
      </c>
      <c r="D1696" s="409" t="str">
        <f t="shared" si="59"/>
        <v>15-12</v>
      </c>
      <c r="E1696" s="273" t="e">
        <f ca="1">_xludf.IFNA(VLOOKUP('Comp X - Kilter'!B1696,'Kilter Holds'!$P$37:$AB$662,7,0),0)</f>
        <v>#NAME?</v>
      </c>
      <c r="F1696" s="274"/>
      <c r="G1696" s="274" t="e">
        <f t="shared" ca="1" si="53"/>
        <v>#NAME?</v>
      </c>
      <c r="H1696" s="274">
        <f t="shared" si="54"/>
        <v>0</v>
      </c>
      <c r="K1696" s="274"/>
    </row>
    <row r="1697" spans="2:11" ht="13.5" customHeight="1">
      <c r="B1697" s="1" t="s">
        <v>1948</v>
      </c>
      <c r="C1697" s="1" t="s">
        <v>3457</v>
      </c>
      <c r="D1697" s="410" t="str">
        <f t="shared" si="59"/>
        <v>16-16</v>
      </c>
      <c r="E1697" s="273" t="e">
        <f ca="1">_xludf.IFNA(VLOOKUP('Comp X - Kilter'!B1697,'Kilter Holds'!$P$37:$AB$662,8,0),0)</f>
        <v>#NAME?</v>
      </c>
      <c r="F1697" s="274"/>
      <c r="G1697" s="274" t="e">
        <f t="shared" ca="1" si="53"/>
        <v>#NAME?</v>
      </c>
      <c r="H1697" s="274">
        <f t="shared" si="54"/>
        <v>0</v>
      </c>
      <c r="K1697" s="274"/>
    </row>
    <row r="1698" spans="2:11" ht="13.5" customHeight="1">
      <c r="B1698" s="1" t="s">
        <v>1948</v>
      </c>
      <c r="C1698" s="1" t="s">
        <v>3457</v>
      </c>
      <c r="D1698" s="411" t="str">
        <f t="shared" si="59"/>
        <v>13-01</v>
      </c>
      <c r="E1698" s="273" t="e">
        <f ca="1">_xludf.IFNA(VLOOKUP('Comp X - Kilter'!B1698,'Kilter Holds'!$P$37:$AB$662,9,0),0)</f>
        <v>#NAME?</v>
      </c>
      <c r="F1698" s="274"/>
      <c r="G1698" s="274" t="e">
        <f t="shared" ca="1" si="53"/>
        <v>#NAME?</v>
      </c>
      <c r="H1698" s="274">
        <f t="shared" si="54"/>
        <v>0</v>
      </c>
      <c r="K1698" s="274"/>
    </row>
    <row r="1699" spans="2:11" ht="13.5" customHeight="1">
      <c r="B1699" s="1" t="s">
        <v>1948</v>
      </c>
      <c r="C1699" s="1" t="s">
        <v>3457</v>
      </c>
      <c r="D1699" s="413" t="str">
        <f t="shared" si="59"/>
        <v>07-13</v>
      </c>
      <c r="E1699" s="273" t="e">
        <f ca="1">_xludf.IFNA(VLOOKUP('Comp X - Kilter'!B1699,'Kilter Holds'!$P$37:$AB$662,10,0),0)</f>
        <v>#NAME?</v>
      </c>
      <c r="F1699" s="274"/>
      <c r="G1699" s="274" t="e">
        <f t="shared" ca="1" si="53"/>
        <v>#NAME?</v>
      </c>
      <c r="H1699" s="274">
        <f t="shared" si="54"/>
        <v>0</v>
      </c>
      <c r="K1699" s="274"/>
    </row>
    <row r="1700" spans="2:11" ht="13.5" customHeight="1">
      <c r="B1700" s="1" t="s">
        <v>1948</v>
      </c>
      <c r="C1700" s="1" t="s">
        <v>3457</v>
      </c>
      <c r="D1700" s="414" t="str">
        <f t="shared" si="59"/>
        <v>11-26</v>
      </c>
      <c r="E1700" s="273" t="e">
        <f ca="1">_xludf.IFNA(VLOOKUP('Comp X - Kilter'!B1700,'Kilter Holds'!$P$37:$AB$662,11,0),0)</f>
        <v>#NAME?</v>
      </c>
      <c r="F1700" s="274"/>
      <c r="G1700" s="274" t="e">
        <f t="shared" ca="1" si="53"/>
        <v>#NAME?</v>
      </c>
      <c r="H1700" s="274">
        <f t="shared" si="54"/>
        <v>0</v>
      </c>
      <c r="K1700" s="274"/>
    </row>
    <row r="1701" spans="2:11" ht="13.5" customHeight="1">
      <c r="B1701" s="1" t="s">
        <v>1948</v>
      </c>
      <c r="C1701" s="1" t="s">
        <v>3457</v>
      </c>
      <c r="D1701" s="415" t="str">
        <f t="shared" si="59"/>
        <v>18-01</v>
      </c>
      <c r="E1701" s="273" t="e">
        <f ca="1">_xludf.IFNA(VLOOKUP('Comp X - Kilter'!B1701,'Kilter Holds'!$P$37:$AB$662,12,0),0)</f>
        <v>#NAME?</v>
      </c>
      <c r="F1701" s="274"/>
      <c r="G1701" s="274" t="e">
        <f t="shared" ca="1" si="53"/>
        <v>#NAME?</v>
      </c>
      <c r="H1701" s="274">
        <f t="shared" si="54"/>
        <v>0</v>
      </c>
      <c r="K1701" s="274"/>
    </row>
    <row r="1702" spans="2:11" ht="13.5" customHeight="1">
      <c r="B1702" s="1" t="s">
        <v>1948</v>
      </c>
      <c r="C1702" s="1" t="s">
        <v>3457</v>
      </c>
      <c r="D1702" s="416" t="str">
        <f t="shared" si="59"/>
        <v>Color Code</v>
      </c>
      <c r="E1702" s="273" t="e">
        <f ca="1">_xludf.IFNA(VLOOKUP('Comp X - Kilter'!B1702,'Kilter Holds'!$P$37:$AB$662,13,0),0)</f>
        <v>#NAME?</v>
      </c>
      <c r="F1702" s="274"/>
      <c r="G1702" s="274" t="e">
        <f t="shared" ca="1" si="53"/>
        <v>#NAME?</v>
      </c>
      <c r="H1702" s="274">
        <f t="shared" si="54"/>
        <v>0</v>
      </c>
      <c r="K1702" s="274"/>
    </row>
    <row r="1703" spans="2:11" ht="13.5" customHeight="1">
      <c r="B1703" s="1" t="s">
        <v>2096</v>
      </c>
      <c r="C1703" s="1" t="s">
        <v>3458</v>
      </c>
      <c r="D1703" s="406" t="str">
        <f t="shared" si="59"/>
        <v>11-12</v>
      </c>
      <c r="E1703" s="273" t="e">
        <f ca="1">_xludf.IFNA(VLOOKUP('Comp X - Kilter'!B1703,'Kilter Holds'!$P$37:$AB$662,5,0),0)</f>
        <v>#NAME?</v>
      </c>
      <c r="F1703" s="274"/>
      <c r="G1703" s="274" t="e">
        <f t="shared" ca="1" si="53"/>
        <v>#NAME?</v>
      </c>
      <c r="H1703" s="274">
        <f t="shared" si="54"/>
        <v>0</v>
      </c>
      <c r="K1703" s="274"/>
    </row>
    <row r="1704" spans="2:11" ht="13.5" customHeight="1">
      <c r="B1704" s="1" t="s">
        <v>2096</v>
      </c>
      <c r="C1704" s="1" t="s">
        <v>3458</v>
      </c>
      <c r="D1704" s="408" t="str">
        <f t="shared" si="59"/>
        <v>14-01</v>
      </c>
      <c r="E1704" s="273" t="e">
        <f ca="1">_xludf.IFNA(VLOOKUP('Comp X - Kilter'!B1704,'Kilter Holds'!$P$37:$AB$662,6,0),0)</f>
        <v>#NAME?</v>
      </c>
      <c r="F1704" s="274"/>
      <c r="G1704" s="274" t="e">
        <f t="shared" ca="1" si="53"/>
        <v>#NAME?</v>
      </c>
      <c r="H1704" s="274">
        <f t="shared" si="54"/>
        <v>0</v>
      </c>
      <c r="K1704" s="274"/>
    </row>
    <row r="1705" spans="2:11" ht="13.5" customHeight="1">
      <c r="B1705" s="1" t="s">
        <v>2096</v>
      </c>
      <c r="C1705" s="1" t="s">
        <v>3458</v>
      </c>
      <c r="D1705" s="409" t="str">
        <f t="shared" si="59"/>
        <v>15-12</v>
      </c>
      <c r="E1705" s="273" t="e">
        <f ca="1">_xludf.IFNA(VLOOKUP('Comp X - Kilter'!B1705,'Kilter Holds'!$P$37:$AB$662,7,0),0)</f>
        <v>#NAME?</v>
      </c>
      <c r="F1705" s="274"/>
      <c r="G1705" s="274" t="e">
        <f t="shared" ca="1" si="53"/>
        <v>#NAME?</v>
      </c>
      <c r="H1705" s="274">
        <f t="shared" si="54"/>
        <v>0</v>
      </c>
      <c r="K1705" s="274"/>
    </row>
    <row r="1706" spans="2:11" ht="13.5" customHeight="1">
      <c r="B1706" s="1" t="s">
        <v>2096</v>
      </c>
      <c r="C1706" s="1" t="s">
        <v>3458</v>
      </c>
      <c r="D1706" s="410" t="str">
        <f t="shared" si="59"/>
        <v>16-16</v>
      </c>
      <c r="E1706" s="273" t="e">
        <f ca="1">_xludf.IFNA(VLOOKUP('Comp X - Kilter'!B1706,'Kilter Holds'!$P$37:$AB$662,8,0),0)</f>
        <v>#NAME?</v>
      </c>
      <c r="F1706" s="274"/>
      <c r="G1706" s="274" t="e">
        <f t="shared" ca="1" si="53"/>
        <v>#NAME?</v>
      </c>
      <c r="H1706" s="274">
        <f t="shared" si="54"/>
        <v>0</v>
      </c>
      <c r="K1706" s="274"/>
    </row>
    <row r="1707" spans="2:11" ht="13.5" customHeight="1">
      <c r="B1707" s="1" t="s">
        <v>2096</v>
      </c>
      <c r="C1707" s="1" t="s">
        <v>3458</v>
      </c>
      <c r="D1707" s="411" t="str">
        <f t="shared" si="59"/>
        <v>13-01</v>
      </c>
      <c r="E1707" s="273" t="e">
        <f ca="1">_xludf.IFNA(VLOOKUP('Comp X - Kilter'!B1707,'Kilter Holds'!$P$37:$AB$662,9,0),0)</f>
        <v>#NAME?</v>
      </c>
      <c r="F1707" s="274"/>
      <c r="G1707" s="274" t="e">
        <f t="shared" ca="1" si="53"/>
        <v>#NAME?</v>
      </c>
      <c r="H1707" s="274">
        <f t="shared" si="54"/>
        <v>0</v>
      </c>
      <c r="K1707" s="274"/>
    </row>
    <row r="1708" spans="2:11" ht="13.5" customHeight="1">
      <c r="B1708" s="1" t="s">
        <v>2096</v>
      </c>
      <c r="C1708" s="1" t="s">
        <v>3458</v>
      </c>
      <c r="D1708" s="413" t="str">
        <f t="shared" si="59"/>
        <v>07-13</v>
      </c>
      <c r="E1708" s="273" t="e">
        <f ca="1">_xludf.IFNA(VLOOKUP('Comp X - Kilter'!B1708,'Kilter Holds'!$P$37:$AB$662,10,0),0)</f>
        <v>#NAME?</v>
      </c>
      <c r="F1708" s="274"/>
      <c r="G1708" s="274" t="e">
        <f t="shared" ca="1" si="53"/>
        <v>#NAME?</v>
      </c>
      <c r="H1708" s="274">
        <f t="shared" si="54"/>
        <v>0</v>
      </c>
      <c r="K1708" s="274"/>
    </row>
    <row r="1709" spans="2:11" ht="13.5" customHeight="1">
      <c r="B1709" s="1" t="s">
        <v>2096</v>
      </c>
      <c r="C1709" s="1" t="s">
        <v>3458</v>
      </c>
      <c r="D1709" s="414" t="str">
        <f t="shared" si="59"/>
        <v>11-26</v>
      </c>
      <c r="E1709" s="273" t="e">
        <f ca="1">_xludf.IFNA(VLOOKUP('Comp X - Kilter'!B1709,'Kilter Holds'!$P$37:$AB$662,11,0),0)</f>
        <v>#NAME?</v>
      </c>
      <c r="F1709" s="274"/>
      <c r="G1709" s="274" t="e">
        <f t="shared" ca="1" si="53"/>
        <v>#NAME?</v>
      </c>
      <c r="H1709" s="274">
        <f t="shared" si="54"/>
        <v>0</v>
      </c>
      <c r="K1709" s="274"/>
    </row>
    <row r="1710" spans="2:11" ht="13.5" customHeight="1">
      <c r="B1710" s="1" t="s">
        <v>2096</v>
      </c>
      <c r="C1710" s="1" t="s">
        <v>3458</v>
      </c>
      <c r="D1710" s="415" t="str">
        <f t="shared" si="59"/>
        <v>18-01</v>
      </c>
      <c r="E1710" s="273" t="e">
        <f ca="1">_xludf.IFNA(VLOOKUP('Comp X - Kilter'!B1710,'Kilter Holds'!$P$37:$AB$662,12,0),0)</f>
        <v>#NAME?</v>
      </c>
      <c r="F1710" s="274"/>
      <c r="G1710" s="274" t="e">
        <f t="shared" ca="1" si="53"/>
        <v>#NAME?</v>
      </c>
      <c r="H1710" s="274">
        <f t="shared" si="54"/>
        <v>0</v>
      </c>
      <c r="K1710" s="274"/>
    </row>
    <row r="1711" spans="2:11" ht="13.5" customHeight="1">
      <c r="B1711" s="1" t="s">
        <v>2096</v>
      </c>
      <c r="C1711" s="1" t="s">
        <v>3458</v>
      </c>
      <c r="D1711" s="416" t="str">
        <f t="shared" si="59"/>
        <v>Color Code</v>
      </c>
      <c r="E1711" s="273" t="e">
        <f ca="1">_xludf.IFNA(VLOOKUP('Comp X - Kilter'!B1711,'Kilter Holds'!$P$37:$AB$662,13,0),0)</f>
        <v>#NAME?</v>
      </c>
      <c r="F1711" s="274"/>
      <c r="G1711" s="274" t="e">
        <f t="shared" ca="1" si="53"/>
        <v>#NAME?</v>
      </c>
      <c r="H1711" s="274">
        <f t="shared" si="54"/>
        <v>0</v>
      </c>
      <c r="K1711" s="274"/>
    </row>
    <row r="1712" spans="2:11" ht="13.5" customHeight="1">
      <c r="B1712" s="1" t="s">
        <v>2097</v>
      </c>
      <c r="C1712" s="1" t="s">
        <v>3459</v>
      </c>
      <c r="D1712" s="406" t="str">
        <f t="shared" si="59"/>
        <v>11-12</v>
      </c>
      <c r="E1712" s="273" t="e">
        <f ca="1">_xludf.IFNA(VLOOKUP('Comp X - Kilter'!B1712,'Kilter Holds'!$P$37:$AB$662,5,0),0)</f>
        <v>#NAME?</v>
      </c>
      <c r="F1712" s="274"/>
      <c r="G1712" s="274" t="e">
        <f t="shared" ca="1" si="53"/>
        <v>#NAME?</v>
      </c>
      <c r="H1712" s="274">
        <f t="shared" si="54"/>
        <v>0</v>
      </c>
      <c r="K1712" s="274"/>
    </row>
    <row r="1713" spans="2:11" ht="13.5" customHeight="1">
      <c r="B1713" s="1" t="s">
        <v>2097</v>
      </c>
      <c r="C1713" s="1" t="s">
        <v>3459</v>
      </c>
      <c r="D1713" s="408" t="str">
        <f t="shared" si="59"/>
        <v>14-01</v>
      </c>
      <c r="E1713" s="273" t="e">
        <f ca="1">_xludf.IFNA(VLOOKUP('Comp X - Kilter'!B1713,'Kilter Holds'!$P$37:$AB$662,6,0),0)</f>
        <v>#NAME?</v>
      </c>
      <c r="F1713" s="274"/>
      <c r="G1713" s="274" t="e">
        <f t="shared" ca="1" si="53"/>
        <v>#NAME?</v>
      </c>
      <c r="H1713" s="274">
        <f t="shared" si="54"/>
        <v>0</v>
      </c>
      <c r="K1713" s="274"/>
    </row>
    <row r="1714" spans="2:11" ht="13.5" customHeight="1">
      <c r="B1714" s="1" t="s">
        <v>2097</v>
      </c>
      <c r="C1714" s="1" t="s">
        <v>3459</v>
      </c>
      <c r="D1714" s="409" t="str">
        <f t="shared" si="59"/>
        <v>15-12</v>
      </c>
      <c r="E1714" s="273" t="e">
        <f ca="1">_xludf.IFNA(VLOOKUP('Comp X - Kilter'!B1714,'Kilter Holds'!$P$37:$AB$662,7,0),0)</f>
        <v>#NAME?</v>
      </c>
      <c r="F1714" s="274"/>
      <c r="G1714" s="274" t="e">
        <f t="shared" ca="1" si="53"/>
        <v>#NAME?</v>
      </c>
      <c r="H1714" s="274">
        <f t="shared" si="54"/>
        <v>0</v>
      </c>
      <c r="K1714" s="274"/>
    </row>
    <row r="1715" spans="2:11" ht="13.5" customHeight="1">
      <c r="B1715" s="1" t="s">
        <v>2097</v>
      </c>
      <c r="C1715" s="1" t="s">
        <v>3459</v>
      </c>
      <c r="D1715" s="410" t="str">
        <f t="shared" si="59"/>
        <v>16-16</v>
      </c>
      <c r="E1715" s="273" t="e">
        <f ca="1">_xludf.IFNA(VLOOKUP('Comp X - Kilter'!B1715,'Kilter Holds'!$P$37:$AB$662,8,0),0)</f>
        <v>#NAME?</v>
      </c>
      <c r="F1715" s="274"/>
      <c r="G1715" s="274" t="e">
        <f t="shared" ca="1" si="53"/>
        <v>#NAME?</v>
      </c>
      <c r="H1715" s="274">
        <f t="shared" si="54"/>
        <v>0</v>
      </c>
      <c r="K1715" s="274"/>
    </row>
    <row r="1716" spans="2:11" ht="13.5" customHeight="1">
      <c r="B1716" s="1" t="s">
        <v>2097</v>
      </c>
      <c r="C1716" s="1" t="s">
        <v>3459</v>
      </c>
      <c r="D1716" s="411" t="str">
        <f t="shared" si="59"/>
        <v>13-01</v>
      </c>
      <c r="E1716" s="273" t="e">
        <f ca="1">_xludf.IFNA(VLOOKUP('Comp X - Kilter'!B1716,'Kilter Holds'!$P$37:$AB$662,9,0),0)</f>
        <v>#NAME?</v>
      </c>
      <c r="F1716" s="274"/>
      <c r="G1716" s="274" t="e">
        <f t="shared" ca="1" si="53"/>
        <v>#NAME?</v>
      </c>
      <c r="H1716" s="274">
        <f t="shared" si="54"/>
        <v>0</v>
      </c>
      <c r="K1716" s="274"/>
    </row>
    <row r="1717" spans="2:11" ht="13.5" customHeight="1">
      <c r="B1717" s="1" t="s">
        <v>2097</v>
      </c>
      <c r="C1717" s="1" t="s">
        <v>3459</v>
      </c>
      <c r="D1717" s="413" t="str">
        <f t="shared" si="59"/>
        <v>07-13</v>
      </c>
      <c r="E1717" s="273" t="e">
        <f ca="1">_xludf.IFNA(VLOOKUP('Comp X - Kilter'!B1717,'Kilter Holds'!$P$37:$AB$662,10,0),0)</f>
        <v>#NAME?</v>
      </c>
      <c r="F1717" s="274"/>
      <c r="G1717" s="274" t="e">
        <f t="shared" ca="1" si="53"/>
        <v>#NAME?</v>
      </c>
      <c r="H1717" s="274">
        <f t="shared" si="54"/>
        <v>0</v>
      </c>
      <c r="K1717" s="274"/>
    </row>
    <row r="1718" spans="2:11" ht="13.5" customHeight="1">
      <c r="B1718" s="1" t="s">
        <v>2097</v>
      </c>
      <c r="C1718" s="1" t="s">
        <v>3459</v>
      </c>
      <c r="D1718" s="414" t="str">
        <f t="shared" si="59"/>
        <v>11-26</v>
      </c>
      <c r="E1718" s="273" t="e">
        <f ca="1">_xludf.IFNA(VLOOKUP('Comp X - Kilter'!B1718,'Kilter Holds'!$P$37:$AB$662,11,0),0)</f>
        <v>#NAME?</v>
      </c>
      <c r="F1718" s="274"/>
      <c r="G1718" s="274" t="e">
        <f t="shared" ca="1" si="53"/>
        <v>#NAME?</v>
      </c>
      <c r="H1718" s="274">
        <f t="shared" si="54"/>
        <v>0</v>
      </c>
      <c r="K1718" s="274"/>
    </row>
    <row r="1719" spans="2:11" ht="13.5" customHeight="1">
      <c r="B1719" s="1" t="s">
        <v>2097</v>
      </c>
      <c r="C1719" s="1" t="s">
        <v>3459</v>
      </c>
      <c r="D1719" s="415" t="str">
        <f t="shared" si="59"/>
        <v>18-01</v>
      </c>
      <c r="E1719" s="273" t="e">
        <f ca="1">_xludf.IFNA(VLOOKUP('Comp X - Kilter'!B1719,'Kilter Holds'!$P$37:$AB$662,12,0),0)</f>
        <v>#NAME?</v>
      </c>
      <c r="F1719" s="274"/>
      <c r="G1719" s="274" t="e">
        <f t="shared" ca="1" si="53"/>
        <v>#NAME?</v>
      </c>
      <c r="H1719" s="274">
        <f t="shared" si="54"/>
        <v>0</v>
      </c>
      <c r="K1719" s="274"/>
    </row>
    <row r="1720" spans="2:11" ht="13.5" customHeight="1">
      <c r="B1720" s="1" t="s">
        <v>2097</v>
      </c>
      <c r="C1720" s="1" t="s">
        <v>3459</v>
      </c>
      <c r="D1720" s="416" t="str">
        <f t="shared" si="59"/>
        <v>Color Code</v>
      </c>
      <c r="E1720" s="273" t="e">
        <f ca="1">_xludf.IFNA(VLOOKUP('Comp X - Kilter'!B1720,'Kilter Holds'!$P$37:$AB$662,13,0),0)</f>
        <v>#NAME?</v>
      </c>
      <c r="F1720" s="274"/>
      <c r="G1720" s="274" t="e">
        <f t="shared" ca="1" si="53"/>
        <v>#NAME?</v>
      </c>
      <c r="H1720" s="274">
        <f t="shared" si="54"/>
        <v>0</v>
      </c>
      <c r="K1720" s="274"/>
    </row>
    <row r="1721" spans="2:11" ht="13.5" customHeight="1">
      <c r="B1721" s="1" t="s">
        <v>2098</v>
      </c>
      <c r="C1721" s="1" t="s">
        <v>3460</v>
      </c>
      <c r="D1721" s="406" t="str">
        <f t="shared" si="59"/>
        <v>11-12</v>
      </c>
      <c r="E1721" s="273" t="e">
        <f ca="1">_xludf.IFNA(VLOOKUP('Comp X - Kilter'!B1721,'Kilter Holds'!$P$37:$AB$662,5,0),0)</f>
        <v>#NAME?</v>
      </c>
      <c r="F1721" s="274"/>
      <c r="G1721" s="274" t="e">
        <f t="shared" ca="1" si="53"/>
        <v>#NAME?</v>
      </c>
      <c r="H1721" s="274">
        <f t="shared" si="54"/>
        <v>0</v>
      </c>
      <c r="K1721" s="274"/>
    </row>
    <row r="1722" spans="2:11" ht="13.5" customHeight="1">
      <c r="B1722" s="1" t="s">
        <v>2098</v>
      </c>
      <c r="C1722" s="1" t="s">
        <v>3460</v>
      </c>
      <c r="D1722" s="408" t="str">
        <f t="shared" si="59"/>
        <v>14-01</v>
      </c>
      <c r="E1722" s="273" t="e">
        <f ca="1">_xludf.IFNA(VLOOKUP('Comp X - Kilter'!B1722,'Kilter Holds'!$P$37:$AB$662,6,0),0)</f>
        <v>#NAME?</v>
      </c>
      <c r="F1722" s="274"/>
      <c r="G1722" s="274" t="e">
        <f t="shared" ca="1" si="53"/>
        <v>#NAME?</v>
      </c>
      <c r="H1722" s="274">
        <f t="shared" si="54"/>
        <v>0</v>
      </c>
      <c r="K1722" s="274"/>
    </row>
    <row r="1723" spans="2:11" ht="13.5" customHeight="1">
      <c r="B1723" s="1" t="s">
        <v>2098</v>
      </c>
      <c r="C1723" s="1" t="s">
        <v>3460</v>
      </c>
      <c r="D1723" s="409" t="str">
        <f t="shared" si="59"/>
        <v>15-12</v>
      </c>
      <c r="E1723" s="273" t="e">
        <f ca="1">_xludf.IFNA(VLOOKUP('Comp X - Kilter'!B1723,'Kilter Holds'!$P$37:$AB$662,7,0),0)</f>
        <v>#NAME?</v>
      </c>
      <c r="F1723" s="274"/>
      <c r="G1723" s="274" t="e">
        <f t="shared" ca="1" si="53"/>
        <v>#NAME?</v>
      </c>
      <c r="H1723" s="274">
        <f t="shared" si="54"/>
        <v>0</v>
      </c>
      <c r="K1723" s="274"/>
    </row>
    <row r="1724" spans="2:11" ht="13.5" customHeight="1">
      <c r="B1724" s="1" t="s">
        <v>2098</v>
      </c>
      <c r="C1724" s="1" t="s">
        <v>3460</v>
      </c>
      <c r="D1724" s="410" t="str">
        <f t="shared" si="59"/>
        <v>16-16</v>
      </c>
      <c r="E1724" s="273" t="e">
        <f ca="1">_xludf.IFNA(VLOOKUP('Comp X - Kilter'!B1724,'Kilter Holds'!$P$37:$AB$662,8,0),0)</f>
        <v>#NAME?</v>
      </c>
      <c r="F1724" s="274"/>
      <c r="G1724" s="274" t="e">
        <f t="shared" ca="1" si="53"/>
        <v>#NAME?</v>
      </c>
      <c r="H1724" s="274">
        <f t="shared" si="54"/>
        <v>0</v>
      </c>
      <c r="K1724" s="274"/>
    </row>
    <row r="1725" spans="2:11" ht="13.5" customHeight="1">
      <c r="B1725" s="1" t="s">
        <v>2098</v>
      </c>
      <c r="C1725" s="1" t="s">
        <v>3460</v>
      </c>
      <c r="D1725" s="411" t="str">
        <f t="shared" si="59"/>
        <v>13-01</v>
      </c>
      <c r="E1725" s="273" t="e">
        <f ca="1">_xludf.IFNA(VLOOKUP('Comp X - Kilter'!B1725,'Kilter Holds'!$P$37:$AB$662,9,0),0)</f>
        <v>#NAME?</v>
      </c>
      <c r="F1725" s="274"/>
      <c r="G1725" s="274" t="e">
        <f t="shared" ca="1" si="53"/>
        <v>#NAME?</v>
      </c>
      <c r="H1725" s="274">
        <f t="shared" si="54"/>
        <v>0</v>
      </c>
      <c r="K1725" s="274"/>
    </row>
    <row r="1726" spans="2:11" ht="13.5" customHeight="1">
      <c r="B1726" s="1" t="s">
        <v>2098</v>
      </c>
      <c r="C1726" s="1" t="s">
        <v>3460</v>
      </c>
      <c r="D1726" s="413" t="str">
        <f t="shared" si="59"/>
        <v>07-13</v>
      </c>
      <c r="E1726" s="273" t="e">
        <f ca="1">_xludf.IFNA(VLOOKUP('Comp X - Kilter'!B1726,'Kilter Holds'!$P$37:$AB$662,10,0),0)</f>
        <v>#NAME?</v>
      </c>
      <c r="F1726" s="274"/>
      <c r="G1726" s="274" t="e">
        <f t="shared" ca="1" si="53"/>
        <v>#NAME?</v>
      </c>
      <c r="H1726" s="274">
        <f t="shared" si="54"/>
        <v>0</v>
      </c>
      <c r="K1726" s="274"/>
    </row>
    <row r="1727" spans="2:11" ht="13.5" customHeight="1">
      <c r="B1727" s="1" t="s">
        <v>2098</v>
      </c>
      <c r="C1727" s="1" t="s">
        <v>3460</v>
      </c>
      <c r="D1727" s="414" t="str">
        <f t="shared" si="59"/>
        <v>11-26</v>
      </c>
      <c r="E1727" s="273" t="e">
        <f ca="1">_xludf.IFNA(VLOOKUP('Comp X - Kilter'!B1727,'Kilter Holds'!$P$37:$AB$662,11,0),0)</f>
        <v>#NAME?</v>
      </c>
      <c r="F1727" s="274"/>
      <c r="G1727" s="274" t="e">
        <f t="shared" ca="1" si="53"/>
        <v>#NAME?</v>
      </c>
      <c r="H1727" s="274">
        <f t="shared" si="54"/>
        <v>0</v>
      </c>
      <c r="K1727" s="274"/>
    </row>
    <row r="1728" spans="2:11" ht="13.5" customHeight="1">
      <c r="B1728" s="1" t="s">
        <v>2098</v>
      </c>
      <c r="C1728" s="1" t="s">
        <v>3460</v>
      </c>
      <c r="D1728" s="415" t="str">
        <f t="shared" si="59"/>
        <v>18-01</v>
      </c>
      <c r="E1728" s="273" t="e">
        <f ca="1">_xludf.IFNA(VLOOKUP('Comp X - Kilter'!B1728,'Kilter Holds'!$P$37:$AB$662,12,0),0)</f>
        <v>#NAME?</v>
      </c>
      <c r="F1728" s="274"/>
      <c r="G1728" s="274" t="e">
        <f t="shared" ca="1" si="53"/>
        <v>#NAME?</v>
      </c>
      <c r="H1728" s="274">
        <f t="shared" si="54"/>
        <v>0</v>
      </c>
      <c r="K1728" s="274"/>
    </row>
    <row r="1729" spans="2:11" ht="13.5" customHeight="1">
      <c r="B1729" s="1" t="s">
        <v>2098</v>
      </c>
      <c r="C1729" s="1" t="s">
        <v>3460</v>
      </c>
      <c r="D1729" s="416" t="str">
        <f t="shared" si="59"/>
        <v>Color Code</v>
      </c>
      <c r="E1729" s="273" t="e">
        <f ca="1">_xludf.IFNA(VLOOKUP('Comp X - Kilter'!B1729,'Kilter Holds'!$P$37:$AB$662,13,0),0)</f>
        <v>#NAME?</v>
      </c>
      <c r="F1729" s="274"/>
      <c r="G1729" s="274" t="e">
        <f t="shared" ca="1" si="53"/>
        <v>#NAME?</v>
      </c>
      <c r="H1729" s="274">
        <f t="shared" si="54"/>
        <v>0</v>
      </c>
      <c r="K1729" s="274"/>
    </row>
    <row r="1730" spans="2:11" ht="13.5" customHeight="1">
      <c r="B1730" s="1" t="s">
        <v>2099</v>
      </c>
      <c r="C1730" s="1" t="s">
        <v>3461</v>
      </c>
      <c r="D1730" s="406" t="str">
        <f t="shared" si="59"/>
        <v>11-12</v>
      </c>
      <c r="E1730" s="273" t="e">
        <f ca="1">_xludf.IFNA(VLOOKUP('Comp X - Kilter'!B1730,'Kilter Holds'!$P$37:$AB$662,5,0),0)</f>
        <v>#NAME?</v>
      </c>
      <c r="F1730" s="274"/>
      <c r="G1730" s="274" t="e">
        <f t="shared" ca="1" si="53"/>
        <v>#NAME?</v>
      </c>
      <c r="H1730" s="274">
        <f t="shared" si="54"/>
        <v>0</v>
      </c>
      <c r="K1730" s="274"/>
    </row>
    <row r="1731" spans="2:11" ht="13.5" customHeight="1">
      <c r="B1731" s="1" t="s">
        <v>2099</v>
      </c>
      <c r="C1731" s="1" t="s">
        <v>3461</v>
      </c>
      <c r="D1731" s="408" t="str">
        <f t="shared" si="59"/>
        <v>14-01</v>
      </c>
      <c r="E1731" s="273" t="e">
        <f ca="1">_xludf.IFNA(VLOOKUP('Comp X - Kilter'!B1731,'Kilter Holds'!$P$37:$AB$662,6,0),0)</f>
        <v>#NAME?</v>
      </c>
      <c r="F1731" s="274"/>
      <c r="G1731" s="274" t="e">
        <f t="shared" ca="1" si="53"/>
        <v>#NAME?</v>
      </c>
      <c r="H1731" s="274">
        <f t="shared" si="54"/>
        <v>0</v>
      </c>
      <c r="K1731" s="274"/>
    </row>
    <row r="1732" spans="2:11" ht="13.5" customHeight="1">
      <c r="B1732" s="1" t="s">
        <v>2099</v>
      </c>
      <c r="C1732" s="1" t="s">
        <v>3461</v>
      </c>
      <c r="D1732" s="409" t="str">
        <f t="shared" si="59"/>
        <v>15-12</v>
      </c>
      <c r="E1732" s="273" t="e">
        <f ca="1">_xludf.IFNA(VLOOKUP('Comp X - Kilter'!B1732,'Kilter Holds'!$P$37:$AB$662,7,0),0)</f>
        <v>#NAME?</v>
      </c>
      <c r="F1732" s="274"/>
      <c r="G1732" s="274" t="e">
        <f t="shared" ca="1" si="53"/>
        <v>#NAME?</v>
      </c>
      <c r="H1732" s="274">
        <f t="shared" si="54"/>
        <v>0</v>
      </c>
      <c r="K1732" s="274"/>
    </row>
    <row r="1733" spans="2:11" ht="13.5" customHeight="1">
      <c r="B1733" s="1" t="s">
        <v>2099</v>
      </c>
      <c r="C1733" s="1" t="s">
        <v>3461</v>
      </c>
      <c r="D1733" s="410" t="str">
        <f t="shared" si="59"/>
        <v>16-16</v>
      </c>
      <c r="E1733" s="273" t="e">
        <f ca="1">_xludf.IFNA(VLOOKUP('Comp X - Kilter'!B1733,'Kilter Holds'!$P$37:$AB$662,8,0),0)</f>
        <v>#NAME?</v>
      </c>
      <c r="F1733" s="274"/>
      <c r="G1733" s="274" t="e">
        <f t="shared" ca="1" si="53"/>
        <v>#NAME?</v>
      </c>
      <c r="H1733" s="274">
        <f t="shared" si="54"/>
        <v>0</v>
      </c>
      <c r="K1733" s="274"/>
    </row>
    <row r="1734" spans="2:11" ht="13.5" customHeight="1">
      <c r="B1734" s="1" t="s">
        <v>2099</v>
      </c>
      <c r="C1734" s="1" t="s">
        <v>3461</v>
      </c>
      <c r="D1734" s="411" t="str">
        <f t="shared" si="59"/>
        <v>13-01</v>
      </c>
      <c r="E1734" s="273" t="e">
        <f ca="1">_xludf.IFNA(VLOOKUP('Comp X - Kilter'!B1734,'Kilter Holds'!$P$37:$AB$662,9,0),0)</f>
        <v>#NAME?</v>
      </c>
      <c r="F1734" s="274"/>
      <c r="G1734" s="274" t="e">
        <f t="shared" ca="1" si="53"/>
        <v>#NAME?</v>
      </c>
      <c r="H1734" s="274">
        <f t="shared" si="54"/>
        <v>0</v>
      </c>
      <c r="K1734" s="274"/>
    </row>
    <row r="1735" spans="2:11" ht="13.5" customHeight="1">
      <c r="B1735" s="1" t="s">
        <v>2099</v>
      </c>
      <c r="C1735" s="1" t="s">
        <v>3461</v>
      </c>
      <c r="D1735" s="413" t="str">
        <f t="shared" si="59"/>
        <v>07-13</v>
      </c>
      <c r="E1735" s="273" t="e">
        <f ca="1">_xludf.IFNA(VLOOKUP('Comp X - Kilter'!B1735,'Kilter Holds'!$P$37:$AB$662,10,0),0)</f>
        <v>#NAME?</v>
      </c>
      <c r="F1735" s="274"/>
      <c r="G1735" s="274" t="e">
        <f t="shared" ca="1" si="53"/>
        <v>#NAME?</v>
      </c>
      <c r="H1735" s="274">
        <f t="shared" si="54"/>
        <v>0</v>
      </c>
      <c r="K1735" s="274"/>
    </row>
    <row r="1736" spans="2:11" ht="13.5" customHeight="1">
      <c r="B1736" s="1" t="s">
        <v>2099</v>
      </c>
      <c r="C1736" s="1" t="s">
        <v>3461</v>
      </c>
      <c r="D1736" s="414" t="str">
        <f t="shared" si="59"/>
        <v>11-26</v>
      </c>
      <c r="E1736" s="273" t="e">
        <f ca="1">_xludf.IFNA(VLOOKUP('Comp X - Kilter'!B1736,'Kilter Holds'!$P$37:$AB$662,11,0),0)</f>
        <v>#NAME?</v>
      </c>
      <c r="F1736" s="274"/>
      <c r="G1736" s="274" t="e">
        <f t="shared" ca="1" si="53"/>
        <v>#NAME?</v>
      </c>
      <c r="H1736" s="274">
        <f t="shared" si="54"/>
        <v>0</v>
      </c>
      <c r="K1736" s="274"/>
    </row>
    <row r="1737" spans="2:11" ht="13.5" customHeight="1">
      <c r="B1737" s="1" t="s">
        <v>2099</v>
      </c>
      <c r="C1737" s="1" t="s">
        <v>3461</v>
      </c>
      <c r="D1737" s="415" t="str">
        <f t="shared" si="59"/>
        <v>18-01</v>
      </c>
      <c r="E1737" s="273" t="e">
        <f ca="1">_xludf.IFNA(VLOOKUP('Comp X - Kilter'!B1737,'Kilter Holds'!$P$37:$AB$662,12,0),0)</f>
        <v>#NAME?</v>
      </c>
      <c r="F1737" s="274"/>
      <c r="G1737" s="274" t="e">
        <f t="shared" ca="1" si="53"/>
        <v>#NAME?</v>
      </c>
      <c r="H1737" s="274">
        <f t="shared" si="54"/>
        <v>0</v>
      </c>
      <c r="K1737" s="274"/>
    </row>
    <row r="1738" spans="2:11" ht="13.5" customHeight="1">
      <c r="B1738" s="1" t="s">
        <v>2099</v>
      </c>
      <c r="C1738" s="1" t="s">
        <v>3461</v>
      </c>
      <c r="D1738" s="416" t="str">
        <f t="shared" si="59"/>
        <v>Color Code</v>
      </c>
      <c r="E1738" s="273" t="e">
        <f ca="1">_xludf.IFNA(VLOOKUP('Comp X - Kilter'!B1738,'Kilter Holds'!$P$37:$AB$662,13,0),0)</f>
        <v>#NAME?</v>
      </c>
      <c r="F1738" s="274"/>
      <c r="G1738" s="274" t="e">
        <f t="shared" ca="1" si="53"/>
        <v>#NAME?</v>
      </c>
      <c r="H1738" s="274">
        <f t="shared" si="54"/>
        <v>0</v>
      </c>
      <c r="K1738" s="274"/>
    </row>
    <row r="1739" spans="2:11" ht="13.5" customHeight="1">
      <c r="B1739" s="1" t="s">
        <v>2100</v>
      </c>
      <c r="C1739" s="1" t="s">
        <v>3462</v>
      </c>
      <c r="D1739" s="406" t="str">
        <f t="shared" si="59"/>
        <v>11-12</v>
      </c>
      <c r="E1739" s="273" t="e">
        <f ca="1">_xludf.IFNA(VLOOKUP('Comp X - Kilter'!B1739,'Kilter Holds'!$P$37:$AB$662,5,0),0)</f>
        <v>#NAME?</v>
      </c>
      <c r="F1739" s="274"/>
      <c r="G1739" s="274" t="e">
        <f t="shared" ca="1" si="53"/>
        <v>#NAME?</v>
      </c>
      <c r="H1739" s="274">
        <f t="shared" si="54"/>
        <v>0</v>
      </c>
      <c r="K1739" s="274"/>
    </row>
    <row r="1740" spans="2:11" ht="13.5" customHeight="1">
      <c r="B1740" s="1" t="s">
        <v>2100</v>
      </c>
      <c r="C1740" s="1" t="s">
        <v>3462</v>
      </c>
      <c r="D1740" s="408" t="str">
        <f t="shared" si="59"/>
        <v>14-01</v>
      </c>
      <c r="E1740" s="273" t="e">
        <f ca="1">_xludf.IFNA(VLOOKUP('Comp X - Kilter'!B1740,'Kilter Holds'!$P$37:$AB$662,6,0),0)</f>
        <v>#NAME?</v>
      </c>
      <c r="F1740" s="274"/>
      <c r="G1740" s="274" t="e">
        <f t="shared" ca="1" si="53"/>
        <v>#NAME?</v>
      </c>
      <c r="H1740" s="274">
        <f t="shared" si="54"/>
        <v>0</v>
      </c>
      <c r="K1740" s="274"/>
    </row>
    <row r="1741" spans="2:11" ht="13.5" customHeight="1">
      <c r="B1741" s="1" t="s">
        <v>2100</v>
      </c>
      <c r="C1741" s="1" t="s">
        <v>3462</v>
      </c>
      <c r="D1741" s="409" t="str">
        <f t="shared" si="59"/>
        <v>15-12</v>
      </c>
      <c r="E1741" s="273" t="e">
        <f ca="1">_xludf.IFNA(VLOOKUP('Comp X - Kilter'!B1741,'Kilter Holds'!$P$37:$AB$662,7,0),0)</f>
        <v>#NAME?</v>
      </c>
      <c r="F1741" s="274"/>
      <c r="G1741" s="274" t="e">
        <f t="shared" ca="1" si="53"/>
        <v>#NAME?</v>
      </c>
      <c r="H1741" s="274">
        <f t="shared" si="54"/>
        <v>0</v>
      </c>
      <c r="K1741" s="274"/>
    </row>
    <row r="1742" spans="2:11" ht="13.5" customHeight="1">
      <c r="B1742" s="1" t="s">
        <v>2100</v>
      </c>
      <c r="C1742" s="1" t="s">
        <v>3462</v>
      </c>
      <c r="D1742" s="410" t="str">
        <f t="shared" si="59"/>
        <v>16-16</v>
      </c>
      <c r="E1742" s="273" t="e">
        <f ca="1">_xludf.IFNA(VLOOKUP('Comp X - Kilter'!B1742,'Kilter Holds'!$P$37:$AB$662,8,0),0)</f>
        <v>#NAME?</v>
      </c>
      <c r="F1742" s="274"/>
      <c r="G1742" s="274" t="e">
        <f t="shared" ca="1" si="53"/>
        <v>#NAME?</v>
      </c>
      <c r="H1742" s="274">
        <f t="shared" si="54"/>
        <v>0</v>
      </c>
      <c r="K1742" s="274"/>
    </row>
    <row r="1743" spans="2:11" ht="13.5" customHeight="1">
      <c r="B1743" s="1" t="s">
        <v>2100</v>
      </c>
      <c r="C1743" s="1" t="s">
        <v>3462</v>
      </c>
      <c r="D1743" s="411" t="str">
        <f t="shared" si="59"/>
        <v>13-01</v>
      </c>
      <c r="E1743" s="273" t="e">
        <f ca="1">_xludf.IFNA(VLOOKUP('Comp X - Kilter'!B1743,'Kilter Holds'!$P$37:$AB$662,9,0),0)</f>
        <v>#NAME?</v>
      </c>
      <c r="F1743" s="274"/>
      <c r="G1743" s="274" t="e">
        <f t="shared" ca="1" si="53"/>
        <v>#NAME?</v>
      </c>
      <c r="H1743" s="274">
        <f t="shared" si="54"/>
        <v>0</v>
      </c>
      <c r="K1743" s="274"/>
    </row>
    <row r="1744" spans="2:11" ht="13.5" customHeight="1">
      <c r="B1744" s="1" t="s">
        <v>2100</v>
      </c>
      <c r="C1744" s="1" t="s">
        <v>3462</v>
      </c>
      <c r="D1744" s="413" t="str">
        <f t="shared" si="59"/>
        <v>07-13</v>
      </c>
      <c r="E1744" s="273" t="e">
        <f ca="1">_xludf.IFNA(VLOOKUP('Comp X - Kilter'!B1744,'Kilter Holds'!$P$37:$AB$662,10,0),0)</f>
        <v>#NAME?</v>
      </c>
      <c r="F1744" s="274"/>
      <c r="G1744" s="274" t="e">
        <f t="shared" ca="1" si="53"/>
        <v>#NAME?</v>
      </c>
      <c r="H1744" s="274">
        <f t="shared" si="54"/>
        <v>0</v>
      </c>
      <c r="K1744" s="274"/>
    </row>
    <row r="1745" spans="2:11" ht="13.5" customHeight="1">
      <c r="B1745" s="1" t="s">
        <v>2100</v>
      </c>
      <c r="C1745" s="1" t="s">
        <v>3462</v>
      </c>
      <c r="D1745" s="414" t="str">
        <f t="shared" si="59"/>
        <v>11-26</v>
      </c>
      <c r="E1745" s="273" t="e">
        <f ca="1">_xludf.IFNA(VLOOKUP('Comp X - Kilter'!B1745,'Kilter Holds'!$P$37:$AB$662,11,0),0)</f>
        <v>#NAME?</v>
      </c>
      <c r="F1745" s="274"/>
      <c r="G1745" s="274" t="e">
        <f t="shared" ca="1" si="53"/>
        <v>#NAME?</v>
      </c>
      <c r="H1745" s="274">
        <f t="shared" si="54"/>
        <v>0</v>
      </c>
      <c r="K1745" s="274"/>
    </row>
    <row r="1746" spans="2:11" ht="13.5" customHeight="1">
      <c r="B1746" s="1" t="s">
        <v>2100</v>
      </c>
      <c r="C1746" s="1" t="s">
        <v>3462</v>
      </c>
      <c r="D1746" s="415" t="str">
        <f t="shared" si="59"/>
        <v>18-01</v>
      </c>
      <c r="E1746" s="273" t="e">
        <f ca="1">_xludf.IFNA(VLOOKUP('Comp X - Kilter'!B1746,'Kilter Holds'!$P$37:$AB$662,12,0),0)</f>
        <v>#NAME?</v>
      </c>
      <c r="F1746" s="274"/>
      <c r="G1746" s="274" t="e">
        <f t="shared" ca="1" si="53"/>
        <v>#NAME?</v>
      </c>
      <c r="H1746" s="274">
        <f t="shared" si="54"/>
        <v>0</v>
      </c>
      <c r="K1746" s="274"/>
    </row>
    <row r="1747" spans="2:11" ht="13.5" customHeight="1">
      <c r="B1747" s="1" t="s">
        <v>2100</v>
      </c>
      <c r="C1747" s="1" t="s">
        <v>3462</v>
      </c>
      <c r="D1747" s="416" t="str">
        <f t="shared" si="59"/>
        <v>Color Code</v>
      </c>
      <c r="E1747" s="273" t="e">
        <f ca="1">_xludf.IFNA(VLOOKUP('Comp X - Kilter'!B1747,'Kilter Holds'!$P$37:$AB$662,13,0),0)</f>
        <v>#NAME?</v>
      </c>
      <c r="F1747" s="274"/>
      <c r="G1747" s="274" t="e">
        <f t="shared" ca="1" si="53"/>
        <v>#NAME?</v>
      </c>
      <c r="H1747" s="274">
        <f t="shared" si="54"/>
        <v>0</v>
      </c>
      <c r="K1747" s="274"/>
    </row>
    <row r="1748" spans="2:11" ht="13.5" customHeight="1">
      <c r="B1748" s="1" t="s">
        <v>2101</v>
      </c>
      <c r="C1748" s="1" t="s">
        <v>3463</v>
      </c>
      <c r="D1748" s="406" t="str">
        <f t="shared" si="59"/>
        <v>11-12</v>
      </c>
      <c r="E1748" s="273" t="e">
        <f ca="1">_xludf.IFNA(VLOOKUP('Comp X - Kilter'!B1748,'Kilter Holds'!$P$37:$AB$662,5,0),0)</f>
        <v>#NAME?</v>
      </c>
      <c r="F1748" s="274"/>
      <c r="G1748" s="274" t="e">
        <f t="shared" ca="1" si="53"/>
        <v>#NAME?</v>
      </c>
      <c r="H1748" s="274">
        <f t="shared" si="54"/>
        <v>0</v>
      </c>
      <c r="K1748" s="274"/>
    </row>
    <row r="1749" spans="2:11" ht="13.5" customHeight="1">
      <c r="B1749" s="1" t="s">
        <v>2101</v>
      </c>
      <c r="C1749" s="1" t="s">
        <v>3463</v>
      </c>
      <c r="D1749" s="408" t="str">
        <f t="shared" si="59"/>
        <v>14-01</v>
      </c>
      <c r="E1749" s="273" t="e">
        <f ca="1">_xludf.IFNA(VLOOKUP('Comp X - Kilter'!B1749,'Kilter Holds'!$P$37:$AB$662,6,0),0)</f>
        <v>#NAME?</v>
      </c>
      <c r="F1749" s="274"/>
      <c r="G1749" s="274" t="e">
        <f t="shared" ca="1" si="53"/>
        <v>#NAME?</v>
      </c>
      <c r="H1749" s="274">
        <f t="shared" si="54"/>
        <v>0</v>
      </c>
      <c r="K1749" s="274"/>
    </row>
    <row r="1750" spans="2:11" ht="13.5" customHeight="1">
      <c r="B1750" s="1" t="s">
        <v>2101</v>
      </c>
      <c r="C1750" s="1" t="s">
        <v>3463</v>
      </c>
      <c r="D1750" s="409" t="str">
        <f t="shared" si="59"/>
        <v>15-12</v>
      </c>
      <c r="E1750" s="273" t="e">
        <f ca="1">_xludf.IFNA(VLOOKUP('Comp X - Kilter'!B1750,'Kilter Holds'!$P$37:$AB$662,7,0),0)</f>
        <v>#NAME?</v>
      </c>
      <c r="F1750" s="274"/>
      <c r="G1750" s="274" t="e">
        <f t="shared" ca="1" si="53"/>
        <v>#NAME?</v>
      </c>
      <c r="H1750" s="274">
        <f t="shared" si="54"/>
        <v>0</v>
      </c>
      <c r="K1750" s="274"/>
    </row>
    <row r="1751" spans="2:11" ht="13.5" customHeight="1">
      <c r="B1751" s="1" t="s">
        <v>2101</v>
      </c>
      <c r="C1751" s="1" t="s">
        <v>3463</v>
      </c>
      <c r="D1751" s="410" t="str">
        <f t="shared" si="59"/>
        <v>16-16</v>
      </c>
      <c r="E1751" s="273" t="e">
        <f ca="1">_xludf.IFNA(VLOOKUP('Comp X - Kilter'!B1751,'Kilter Holds'!$P$37:$AB$662,8,0),0)</f>
        <v>#NAME?</v>
      </c>
      <c r="F1751" s="274"/>
      <c r="G1751" s="274" t="e">
        <f t="shared" ca="1" si="53"/>
        <v>#NAME?</v>
      </c>
      <c r="H1751" s="274">
        <f t="shared" si="54"/>
        <v>0</v>
      </c>
      <c r="K1751" s="274"/>
    </row>
    <row r="1752" spans="2:11" ht="13.5" customHeight="1">
      <c r="B1752" s="1" t="s">
        <v>2101</v>
      </c>
      <c r="C1752" s="1" t="s">
        <v>3463</v>
      </c>
      <c r="D1752" s="411" t="str">
        <f t="shared" si="59"/>
        <v>13-01</v>
      </c>
      <c r="E1752" s="273" t="e">
        <f ca="1">_xludf.IFNA(VLOOKUP('Comp X - Kilter'!B1752,'Kilter Holds'!$P$37:$AB$662,9,0),0)</f>
        <v>#NAME?</v>
      </c>
      <c r="F1752" s="274"/>
      <c r="G1752" s="274" t="e">
        <f t="shared" ca="1" si="53"/>
        <v>#NAME?</v>
      </c>
      <c r="H1752" s="274">
        <f t="shared" si="54"/>
        <v>0</v>
      </c>
      <c r="K1752" s="274"/>
    </row>
    <row r="1753" spans="2:11" ht="13.5" customHeight="1">
      <c r="B1753" s="1" t="s">
        <v>2101</v>
      </c>
      <c r="C1753" s="1" t="s">
        <v>3463</v>
      </c>
      <c r="D1753" s="413" t="str">
        <f t="shared" si="59"/>
        <v>07-13</v>
      </c>
      <c r="E1753" s="273" t="e">
        <f ca="1">_xludf.IFNA(VLOOKUP('Comp X - Kilter'!B1753,'Kilter Holds'!$P$37:$AB$662,10,0),0)</f>
        <v>#NAME?</v>
      </c>
      <c r="F1753" s="274"/>
      <c r="G1753" s="274" t="e">
        <f t="shared" ca="1" si="53"/>
        <v>#NAME?</v>
      </c>
      <c r="H1753" s="274">
        <f t="shared" si="54"/>
        <v>0</v>
      </c>
      <c r="K1753" s="274"/>
    </row>
    <row r="1754" spans="2:11" ht="13.5" customHeight="1">
      <c r="B1754" s="1" t="s">
        <v>2101</v>
      </c>
      <c r="C1754" s="1" t="s">
        <v>3463</v>
      </c>
      <c r="D1754" s="414" t="str">
        <f t="shared" si="59"/>
        <v>11-26</v>
      </c>
      <c r="E1754" s="273" t="e">
        <f ca="1">_xludf.IFNA(VLOOKUP('Comp X - Kilter'!B1754,'Kilter Holds'!$P$37:$AB$662,11,0),0)</f>
        <v>#NAME?</v>
      </c>
      <c r="F1754" s="274"/>
      <c r="G1754" s="274" t="e">
        <f t="shared" ca="1" si="53"/>
        <v>#NAME?</v>
      </c>
      <c r="H1754" s="274">
        <f t="shared" si="54"/>
        <v>0</v>
      </c>
      <c r="K1754" s="274"/>
    </row>
    <row r="1755" spans="2:11" ht="13.5" customHeight="1">
      <c r="B1755" s="1" t="s">
        <v>2101</v>
      </c>
      <c r="C1755" s="1" t="s">
        <v>3463</v>
      </c>
      <c r="D1755" s="415" t="str">
        <f t="shared" si="59"/>
        <v>18-01</v>
      </c>
      <c r="E1755" s="273" t="e">
        <f ca="1">_xludf.IFNA(VLOOKUP('Comp X - Kilter'!B1755,'Kilter Holds'!$P$37:$AB$662,12,0),0)</f>
        <v>#NAME?</v>
      </c>
      <c r="F1755" s="274"/>
      <c r="G1755" s="274" t="e">
        <f t="shared" ca="1" si="53"/>
        <v>#NAME?</v>
      </c>
      <c r="H1755" s="274">
        <f t="shared" si="54"/>
        <v>0</v>
      </c>
      <c r="K1755" s="274"/>
    </row>
    <row r="1756" spans="2:11" ht="13.5" customHeight="1">
      <c r="B1756" s="1" t="s">
        <v>2101</v>
      </c>
      <c r="C1756" s="1" t="s">
        <v>3463</v>
      </c>
      <c r="D1756" s="416" t="str">
        <f t="shared" si="59"/>
        <v>Color Code</v>
      </c>
      <c r="E1756" s="273" t="e">
        <f ca="1">_xludf.IFNA(VLOOKUP('Comp X - Kilter'!B1756,'Kilter Holds'!$P$37:$AB$662,13,0),0)</f>
        <v>#NAME?</v>
      </c>
      <c r="F1756" s="274"/>
      <c r="G1756" s="274" t="e">
        <f t="shared" ca="1" si="53"/>
        <v>#NAME?</v>
      </c>
      <c r="H1756" s="274">
        <f t="shared" si="54"/>
        <v>0</v>
      </c>
      <c r="K1756" s="274"/>
    </row>
    <row r="1757" spans="2:11" ht="13.5" customHeight="1">
      <c r="B1757" s="1" t="s">
        <v>2077</v>
      </c>
      <c r="C1757" s="1" t="s">
        <v>3464</v>
      </c>
      <c r="D1757" s="406" t="str">
        <f t="shared" si="59"/>
        <v>11-12</v>
      </c>
      <c r="E1757" s="273" t="e">
        <f ca="1">_xludf.IFNA(VLOOKUP('Comp X - Kilter'!B1757,'Kilter Holds'!$P$37:$AB$662,5,0),0)</f>
        <v>#NAME?</v>
      </c>
      <c r="F1757" s="274"/>
      <c r="G1757" s="274" t="e">
        <f t="shared" ca="1" si="53"/>
        <v>#NAME?</v>
      </c>
      <c r="H1757" s="274">
        <f t="shared" si="54"/>
        <v>0</v>
      </c>
      <c r="K1757" s="274"/>
    </row>
    <row r="1758" spans="2:11" ht="13.5" customHeight="1">
      <c r="B1758" s="1" t="s">
        <v>2077</v>
      </c>
      <c r="C1758" s="1" t="s">
        <v>3464</v>
      </c>
      <c r="D1758" s="408" t="str">
        <f t="shared" si="59"/>
        <v>14-01</v>
      </c>
      <c r="E1758" s="273" t="e">
        <f ca="1">_xludf.IFNA(VLOOKUP('Comp X - Kilter'!B1758,'Kilter Holds'!$P$37:$AB$662,6,0),0)</f>
        <v>#NAME?</v>
      </c>
      <c r="F1758" s="274"/>
      <c r="G1758" s="274" t="e">
        <f t="shared" ca="1" si="53"/>
        <v>#NAME?</v>
      </c>
      <c r="H1758" s="274">
        <f t="shared" si="54"/>
        <v>0</v>
      </c>
      <c r="K1758" s="274"/>
    </row>
    <row r="1759" spans="2:11" ht="13.5" customHeight="1">
      <c r="B1759" s="1" t="s">
        <v>2077</v>
      </c>
      <c r="C1759" s="1" t="s">
        <v>3464</v>
      </c>
      <c r="D1759" s="409" t="str">
        <f t="shared" si="59"/>
        <v>15-12</v>
      </c>
      <c r="E1759" s="273" t="e">
        <f ca="1">_xludf.IFNA(VLOOKUP('Comp X - Kilter'!B1759,'Kilter Holds'!$P$37:$AB$662,7,0),0)</f>
        <v>#NAME?</v>
      </c>
      <c r="F1759" s="274"/>
      <c r="G1759" s="274" t="e">
        <f t="shared" ca="1" si="53"/>
        <v>#NAME?</v>
      </c>
      <c r="H1759" s="274">
        <f t="shared" si="54"/>
        <v>0</v>
      </c>
      <c r="K1759" s="274"/>
    </row>
    <row r="1760" spans="2:11" ht="13.5" customHeight="1">
      <c r="B1760" s="1" t="s">
        <v>2077</v>
      </c>
      <c r="C1760" s="1" t="s">
        <v>3464</v>
      </c>
      <c r="D1760" s="410" t="str">
        <f t="shared" si="59"/>
        <v>16-16</v>
      </c>
      <c r="E1760" s="273" t="e">
        <f ca="1">_xludf.IFNA(VLOOKUP('Comp X - Kilter'!B1760,'Kilter Holds'!$P$37:$AB$662,8,0),0)</f>
        <v>#NAME?</v>
      </c>
      <c r="F1760" s="274"/>
      <c r="G1760" s="274" t="e">
        <f t="shared" ca="1" si="53"/>
        <v>#NAME?</v>
      </c>
      <c r="H1760" s="274">
        <f t="shared" si="54"/>
        <v>0</v>
      </c>
      <c r="K1760" s="274"/>
    </row>
    <row r="1761" spans="2:11" ht="13.5" customHeight="1">
      <c r="B1761" s="1" t="s">
        <v>2077</v>
      </c>
      <c r="C1761" s="1" t="s">
        <v>3464</v>
      </c>
      <c r="D1761" s="411" t="str">
        <f t="shared" si="59"/>
        <v>13-01</v>
      </c>
      <c r="E1761" s="273" t="e">
        <f ca="1">_xludf.IFNA(VLOOKUP('Comp X - Kilter'!B1761,'Kilter Holds'!$P$37:$AB$662,9,0),0)</f>
        <v>#NAME?</v>
      </c>
      <c r="F1761" s="274"/>
      <c r="G1761" s="274" t="e">
        <f t="shared" ca="1" si="53"/>
        <v>#NAME?</v>
      </c>
      <c r="H1761" s="274">
        <f t="shared" si="54"/>
        <v>0</v>
      </c>
      <c r="K1761" s="274"/>
    </row>
    <row r="1762" spans="2:11" ht="13.5" customHeight="1">
      <c r="B1762" s="1" t="s">
        <v>2077</v>
      </c>
      <c r="C1762" s="1" t="s">
        <v>3464</v>
      </c>
      <c r="D1762" s="413" t="str">
        <f t="shared" si="59"/>
        <v>07-13</v>
      </c>
      <c r="E1762" s="273" t="e">
        <f ca="1">_xludf.IFNA(VLOOKUP('Comp X - Kilter'!B1762,'Kilter Holds'!$P$37:$AB$662,10,0),0)</f>
        <v>#NAME?</v>
      </c>
      <c r="F1762" s="274"/>
      <c r="G1762" s="274" t="e">
        <f t="shared" ca="1" si="53"/>
        <v>#NAME?</v>
      </c>
      <c r="H1762" s="274">
        <f t="shared" si="54"/>
        <v>0</v>
      </c>
      <c r="K1762" s="274"/>
    </row>
    <row r="1763" spans="2:11" ht="13.5" customHeight="1">
      <c r="B1763" s="1" t="s">
        <v>2077</v>
      </c>
      <c r="C1763" s="1" t="s">
        <v>3464</v>
      </c>
      <c r="D1763" s="414" t="str">
        <f t="shared" si="59"/>
        <v>11-26</v>
      </c>
      <c r="E1763" s="273" t="e">
        <f ca="1">_xludf.IFNA(VLOOKUP('Comp X - Kilter'!B1763,'Kilter Holds'!$P$37:$AB$662,11,0),0)</f>
        <v>#NAME?</v>
      </c>
      <c r="F1763" s="274"/>
      <c r="G1763" s="274" t="e">
        <f t="shared" ca="1" si="53"/>
        <v>#NAME?</v>
      </c>
      <c r="H1763" s="274">
        <f t="shared" si="54"/>
        <v>0</v>
      </c>
      <c r="K1763" s="274"/>
    </row>
    <row r="1764" spans="2:11" ht="13.5" customHeight="1">
      <c r="B1764" s="1" t="s">
        <v>2077</v>
      </c>
      <c r="C1764" s="1" t="s">
        <v>3464</v>
      </c>
      <c r="D1764" s="415" t="str">
        <f t="shared" si="59"/>
        <v>18-01</v>
      </c>
      <c r="E1764" s="273" t="e">
        <f ca="1">_xludf.IFNA(VLOOKUP('Comp X - Kilter'!B1764,'Kilter Holds'!$P$37:$AB$662,12,0),0)</f>
        <v>#NAME?</v>
      </c>
      <c r="F1764" s="274"/>
      <c r="G1764" s="274" t="e">
        <f t="shared" ca="1" si="53"/>
        <v>#NAME?</v>
      </c>
      <c r="H1764" s="274">
        <f t="shared" si="54"/>
        <v>0</v>
      </c>
      <c r="K1764" s="274"/>
    </row>
    <row r="1765" spans="2:11" ht="13.5" customHeight="1">
      <c r="B1765" s="1" t="s">
        <v>2077</v>
      </c>
      <c r="C1765" s="1" t="s">
        <v>3464</v>
      </c>
      <c r="D1765" s="416" t="str">
        <f t="shared" si="59"/>
        <v>Color Code</v>
      </c>
      <c r="E1765" s="273" t="e">
        <f ca="1">_xludf.IFNA(VLOOKUP('Comp X - Kilter'!B1765,'Kilter Holds'!$P$37:$AB$662,13,0),0)</f>
        <v>#NAME?</v>
      </c>
      <c r="F1765" s="274"/>
      <c r="G1765" s="274" t="e">
        <f t="shared" ca="1" si="53"/>
        <v>#NAME?</v>
      </c>
      <c r="H1765" s="274">
        <f t="shared" si="54"/>
        <v>0</v>
      </c>
      <c r="K1765" s="274"/>
    </row>
    <row r="1766" spans="2:11" ht="13.5" customHeight="1">
      <c r="B1766" s="1" t="s">
        <v>3465</v>
      </c>
      <c r="C1766" s="1" t="s">
        <v>3466</v>
      </c>
      <c r="D1766" s="406" t="str">
        <f t="shared" ref="D1766:D1774" si="60">D1694</f>
        <v>11-12</v>
      </c>
      <c r="E1766" s="273" t="e">
        <f ca="1">_xludf.IFNA(VLOOKUP('Comp X - Kilter'!B1766,'Kilter Holds'!$P$37:$AB$662,5,0),0)</f>
        <v>#NAME?</v>
      </c>
      <c r="F1766" s="274"/>
      <c r="G1766" s="274" t="e">
        <f t="shared" ca="1" si="53"/>
        <v>#NAME?</v>
      </c>
      <c r="H1766" s="274">
        <f t="shared" si="54"/>
        <v>0</v>
      </c>
      <c r="K1766" s="274"/>
    </row>
    <row r="1767" spans="2:11" ht="13.5" customHeight="1">
      <c r="B1767" s="1" t="s">
        <v>3465</v>
      </c>
      <c r="C1767" s="1" t="s">
        <v>3466</v>
      </c>
      <c r="D1767" s="408" t="str">
        <f t="shared" si="60"/>
        <v>14-01</v>
      </c>
      <c r="E1767" s="273" t="e">
        <f ca="1">_xludf.IFNA(VLOOKUP('Comp X - Kilter'!B1767,'Kilter Holds'!$P$37:$AB$662,6,0),0)</f>
        <v>#NAME?</v>
      </c>
      <c r="F1767" s="274"/>
      <c r="G1767" s="274" t="e">
        <f t="shared" ca="1" si="53"/>
        <v>#NAME?</v>
      </c>
      <c r="H1767" s="274">
        <f t="shared" si="54"/>
        <v>0</v>
      </c>
      <c r="K1767" s="274"/>
    </row>
    <row r="1768" spans="2:11" ht="13.5" customHeight="1">
      <c r="B1768" s="1" t="s">
        <v>3465</v>
      </c>
      <c r="C1768" s="1" t="s">
        <v>3466</v>
      </c>
      <c r="D1768" s="409" t="str">
        <f t="shared" si="60"/>
        <v>15-12</v>
      </c>
      <c r="E1768" s="273" t="e">
        <f ca="1">_xludf.IFNA(VLOOKUP('Comp X - Kilter'!B1768,'Kilter Holds'!$P$37:$AB$662,7,0),0)</f>
        <v>#NAME?</v>
      </c>
      <c r="F1768" s="274"/>
      <c r="G1768" s="274" t="e">
        <f t="shared" ca="1" si="53"/>
        <v>#NAME?</v>
      </c>
      <c r="H1768" s="274">
        <f t="shared" si="54"/>
        <v>0</v>
      </c>
      <c r="K1768" s="274"/>
    </row>
    <row r="1769" spans="2:11" ht="13.5" customHeight="1">
      <c r="B1769" s="1" t="s">
        <v>3465</v>
      </c>
      <c r="C1769" s="1" t="s">
        <v>3466</v>
      </c>
      <c r="D1769" s="410" t="str">
        <f t="shared" si="60"/>
        <v>16-16</v>
      </c>
      <c r="E1769" s="273" t="e">
        <f ca="1">_xludf.IFNA(VLOOKUP('Comp X - Kilter'!B1769,'Kilter Holds'!$P$37:$AB$662,8,0),0)</f>
        <v>#NAME?</v>
      </c>
      <c r="F1769" s="274"/>
      <c r="G1769" s="274" t="e">
        <f t="shared" ca="1" si="53"/>
        <v>#NAME?</v>
      </c>
      <c r="H1769" s="274">
        <f t="shared" si="54"/>
        <v>0</v>
      </c>
      <c r="K1769" s="274"/>
    </row>
    <row r="1770" spans="2:11" ht="13.5" customHeight="1">
      <c r="B1770" s="1" t="s">
        <v>3465</v>
      </c>
      <c r="C1770" s="1" t="s">
        <v>3466</v>
      </c>
      <c r="D1770" s="411" t="str">
        <f t="shared" si="60"/>
        <v>13-01</v>
      </c>
      <c r="E1770" s="273" t="e">
        <f ca="1">_xludf.IFNA(VLOOKUP('Comp X - Kilter'!B1770,'Kilter Holds'!$P$37:$AB$662,9,0),0)</f>
        <v>#NAME?</v>
      </c>
      <c r="F1770" s="274"/>
      <c r="G1770" s="274" t="e">
        <f t="shared" ca="1" si="53"/>
        <v>#NAME?</v>
      </c>
      <c r="H1770" s="274">
        <f t="shared" si="54"/>
        <v>0</v>
      </c>
      <c r="K1770" s="274"/>
    </row>
    <row r="1771" spans="2:11" ht="13.5" customHeight="1">
      <c r="B1771" s="1" t="s">
        <v>3465</v>
      </c>
      <c r="C1771" s="1" t="s">
        <v>3466</v>
      </c>
      <c r="D1771" s="413" t="str">
        <f t="shared" si="60"/>
        <v>07-13</v>
      </c>
      <c r="E1771" s="273" t="e">
        <f ca="1">_xludf.IFNA(VLOOKUP('Comp X - Kilter'!B1771,'Kilter Holds'!$P$37:$AB$662,10,0),0)</f>
        <v>#NAME?</v>
      </c>
      <c r="F1771" s="274"/>
      <c r="G1771" s="274" t="e">
        <f t="shared" ca="1" si="53"/>
        <v>#NAME?</v>
      </c>
      <c r="H1771" s="274">
        <f t="shared" si="54"/>
        <v>0</v>
      </c>
      <c r="K1771" s="274"/>
    </row>
    <row r="1772" spans="2:11" ht="13.5" customHeight="1">
      <c r="B1772" s="1" t="s">
        <v>3465</v>
      </c>
      <c r="C1772" s="1" t="s">
        <v>3466</v>
      </c>
      <c r="D1772" s="414" t="str">
        <f t="shared" si="60"/>
        <v>11-26</v>
      </c>
      <c r="E1772" s="273" t="e">
        <f ca="1">_xludf.IFNA(VLOOKUP('Comp X - Kilter'!B1772,'Kilter Holds'!$P$37:$AB$662,11,0),0)</f>
        <v>#NAME?</v>
      </c>
      <c r="F1772" s="274"/>
      <c r="G1772" s="274" t="e">
        <f t="shared" ca="1" si="53"/>
        <v>#NAME?</v>
      </c>
      <c r="H1772" s="274">
        <f t="shared" si="54"/>
        <v>0</v>
      </c>
      <c r="K1772" s="274"/>
    </row>
    <row r="1773" spans="2:11" ht="13.5" customHeight="1">
      <c r="B1773" s="1" t="s">
        <v>3465</v>
      </c>
      <c r="C1773" s="1" t="s">
        <v>3466</v>
      </c>
      <c r="D1773" s="415" t="str">
        <f t="shared" si="60"/>
        <v>18-01</v>
      </c>
      <c r="E1773" s="273" t="e">
        <f ca="1">_xludf.IFNA(VLOOKUP('Comp X - Kilter'!B1773,'Kilter Holds'!$P$37:$AB$662,12,0),0)</f>
        <v>#NAME?</v>
      </c>
      <c r="F1773" s="274"/>
      <c r="G1773" s="274" t="e">
        <f t="shared" ca="1" si="53"/>
        <v>#NAME?</v>
      </c>
      <c r="H1773" s="274">
        <f t="shared" si="54"/>
        <v>0</v>
      </c>
      <c r="K1773" s="274"/>
    </row>
    <row r="1774" spans="2:11" ht="13.5" customHeight="1">
      <c r="B1774" s="1" t="s">
        <v>3465</v>
      </c>
      <c r="C1774" s="1" t="s">
        <v>3466</v>
      </c>
      <c r="D1774" s="416" t="str">
        <f t="shared" si="60"/>
        <v>Color Code</v>
      </c>
      <c r="E1774" s="273" t="e">
        <f ca="1">_xludf.IFNA(VLOOKUP('Comp X - Kilter'!B1774,'Kilter Holds'!$P$37:$AB$662,13,0),0)</f>
        <v>#NAME?</v>
      </c>
      <c r="F1774" s="274"/>
      <c r="G1774" s="274" t="e">
        <f t="shared" ca="1" si="53"/>
        <v>#NAME?</v>
      </c>
      <c r="H1774" s="274">
        <f t="shared" si="54"/>
        <v>0</v>
      </c>
      <c r="K1774" s="274"/>
    </row>
    <row r="1775" spans="2:11" ht="13.5" customHeight="1">
      <c r="B1775" s="209" t="s">
        <v>1949</v>
      </c>
      <c r="C1775" s="209" t="s">
        <v>3467</v>
      </c>
      <c r="D1775" s="406" t="str">
        <f t="shared" ref="D1775:D1783" si="61">D1685</f>
        <v>11-12</v>
      </c>
      <c r="E1775" s="273" t="e">
        <f ca="1">_xludf.IFNA(VLOOKUP('Comp X - Kilter'!B1775,'Kilter Holds'!$P$37:$AB$662,5,0),0)</f>
        <v>#NAME?</v>
      </c>
      <c r="F1775" s="274"/>
      <c r="G1775" s="274" t="e">
        <f t="shared" ca="1" si="53"/>
        <v>#NAME?</v>
      </c>
      <c r="H1775" s="274">
        <f t="shared" si="54"/>
        <v>0</v>
      </c>
      <c r="K1775" s="274"/>
    </row>
    <row r="1776" spans="2:11" ht="13.5" customHeight="1">
      <c r="B1776" s="209" t="s">
        <v>1949</v>
      </c>
      <c r="C1776" s="209" t="s">
        <v>3467</v>
      </c>
      <c r="D1776" s="408" t="str">
        <f t="shared" si="61"/>
        <v>14-01</v>
      </c>
      <c r="E1776" s="273" t="e">
        <f ca="1">_xludf.IFNA(VLOOKUP('Comp X - Kilter'!B1776,'Kilter Holds'!$P$37:$AB$662,6,0),0)</f>
        <v>#NAME?</v>
      </c>
      <c r="F1776" s="274"/>
      <c r="G1776" s="274" t="e">
        <f t="shared" ca="1" si="53"/>
        <v>#NAME?</v>
      </c>
      <c r="H1776" s="274">
        <f t="shared" si="54"/>
        <v>0</v>
      </c>
      <c r="K1776" s="274"/>
    </row>
    <row r="1777" spans="2:11" ht="13.5" customHeight="1">
      <c r="B1777" s="209" t="s">
        <v>1949</v>
      </c>
      <c r="C1777" s="209" t="s">
        <v>3467</v>
      </c>
      <c r="D1777" s="409" t="str">
        <f t="shared" si="61"/>
        <v>15-12</v>
      </c>
      <c r="E1777" s="273" t="e">
        <f ca="1">_xludf.IFNA(VLOOKUP('Comp X - Kilter'!B1777,'Kilter Holds'!$P$37:$AB$662,7,0),0)</f>
        <v>#NAME?</v>
      </c>
      <c r="F1777" s="274"/>
      <c r="G1777" s="274" t="e">
        <f t="shared" ca="1" si="53"/>
        <v>#NAME?</v>
      </c>
      <c r="H1777" s="274">
        <f t="shared" si="54"/>
        <v>0</v>
      </c>
      <c r="K1777" s="274"/>
    </row>
    <row r="1778" spans="2:11" ht="13.5" customHeight="1">
      <c r="B1778" s="209" t="s">
        <v>1949</v>
      </c>
      <c r="C1778" s="209" t="s">
        <v>3467</v>
      </c>
      <c r="D1778" s="410" t="str">
        <f t="shared" si="61"/>
        <v>16-16</v>
      </c>
      <c r="E1778" s="273" t="e">
        <f ca="1">_xludf.IFNA(VLOOKUP('Comp X - Kilter'!B1778,'Kilter Holds'!$P$37:$AB$662,8,0),0)</f>
        <v>#NAME?</v>
      </c>
      <c r="F1778" s="274"/>
      <c r="G1778" s="274" t="e">
        <f t="shared" ca="1" si="53"/>
        <v>#NAME?</v>
      </c>
      <c r="H1778" s="274">
        <f t="shared" si="54"/>
        <v>0</v>
      </c>
      <c r="K1778" s="274"/>
    </row>
    <row r="1779" spans="2:11" ht="13.5" customHeight="1">
      <c r="B1779" s="209" t="s">
        <v>1949</v>
      </c>
      <c r="C1779" s="209" t="s">
        <v>3467</v>
      </c>
      <c r="D1779" s="411" t="str">
        <f t="shared" si="61"/>
        <v>13-01</v>
      </c>
      <c r="E1779" s="273" t="e">
        <f ca="1">_xludf.IFNA(VLOOKUP('Comp X - Kilter'!B1779,'Kilter Holds'!$P$37:$AB$662,9,0),0)</f>
        <v>#NAME?</v>
      </c>
      <c r="F1779" s="274"/>
      <c r="G1779" s="274" t="e">
        <f t="shared" ca="1" si="53"/>
        <v>#NAME?</v>
      </c>
      <c r="H1779" s="274">
        <f t="shared" si="54"/>
        <v>0</v>
      </c>
      <c r="K1779" s="274"/>
    </row>
    <row r="1780" spans="2:11" ht="13.5" customHeight="1">
      <c r="B1780" s="209" t="s">
        <v>1949</v>
      </c>
      <c r="C1780" s="209" t="s">
        <v>3467</v>
      </c>
      <c r="D1780" s="413" t="str">
        <f t="shared" si="61"/>
        <v>07-13</v>
      </c>
      <c r="E1780" s="273" t="e">
        <f ca="1">_xludf.IFNA(VLOOKUP('Comp X - Kilter'!B1780,'Kilter Holds'!$P$37:$AB$662,10,0),0)</f>
        <v>#NAME?</v>
      </c>
      <c r="F1780" s="274"/>
      <c r="G1780" s="274" t="e">
        <f t="shared" ca="1" si="53"/>
        <v>#NAME?</v>
      </c>
      <c r="H1780" s="274">
        <f t="shared" si="54"/>
        <v>0</v>
      </c>
      <c r="K1780" s="274"/>
    </row>
    <row r="1781" spans="2:11" ht="13.5" customHeight="1">
      <c r="B1781" s="209" t="s">
        <v>1949</v>
      </c>
      <c r="C1781" s="209" t="s">
        <v>3467</v>
      </c>
      <c r="D1781" s="414" t="str">
        <f t="shared" si="61"/>
        <v>11-26</v>
      </c>
      <c r="E1781" s="273" t="e">
        <f ca="1">_xludf.IFNA(VLOOKUP('Comp X - Kilter'!B1781,'Kilter Holds'!$P$37:$AB$662,11,0),0)</f>
        <v>#NAME?</v>
      </c>
      <c r="F1781" s="274"/>
      <c r="G1781" s="274" t="e">
        <f t="shared" ca="1" si="53"/>
        <v>#NAME?</v>
      </c>
      <c r="H1781" s="274">
        <f t="shared" si="54"/>
        <v>0</v>
      </c>
      <c r="K1781" s="274"/>
    </row>
    <row r="1782" spans="2:11" ht="13.5" customHeight="1">
      <c r="B1782" s="209" t="s">
        <v>1949</v>
      </c>
      <c r="C1782" s="209" t="s">
        <v>3467</v>
      </c>
      <c r="D1782" s="415" t="str">
        <f t="shared" si="61"/>
        <v>18-01</v>
      </c>
      <c r="E1782" s="273" t="e">
        <f ca="1">_xludf.IFNA(VLOOKUP('Comp X - Kilter'!B1782,'Kilter Holds'!$P$37:$AB$662,12,0),0)</f>
        <v>#NAME?</v>
      </c>
      <c r="F1782" s="274"/>
      <c r="G1782" s="274" t="e">
        <f t="shared" ca="1" si="53"/>
        <v>#NAME?</v>
      </c>
      <c r="H1782" s="274">
        <f t="shared" si="54"/>
        <v>0</v>
      </c>
      <c r="K1782" s="274"/>
    </row>
    <row r="1783" spans="2:11" ht="13.5" customHeight="1">
      <c r="B1783" s="209" t="s">
        <v>1949</v>
      </c>
      <c r="C1783" s="209" t="s">
        <v>3467</v>
      </c>
      <c r="D1783" s="416" t="str">
        <f t="shared" si="61"/>
        <v>Color Code</v>
      </c>
      <c r="E1783" s="273" t="e">
        <f ca="1">_xludf.IFNA(VLOOKUP('Comp X - Kilter'!B1783,'Kilter Holds'!$P$37:$AB$662,13,0),0)</f>
        <v>#NAME?</v>
      </c>
      <c r="F1783" s="274"/>
      <c r="G1783" s="274" t="e">
        <f t="shared" ca="1" si="53"/>
        <v>#NAME?</v>
      </c>
      <c r="H1783" s="274">
        <f t="shared" si="54"/>
        <v>0</v>
      </c>
      <c r="K1783" s="274"/>
    </row>
    <row r="1784" spans="2:11" ht="13.5" customHeight="1">
      <c r="B1784" s="209" t="s">
        <v>1950</v>
      </c>
      <c r="C1784" s="209" t="s">
        <v>3468</v>
      </c>
      <c r="D1784" s="406" t="str">
        <f t="shared" ref="D1784:D1792" si="62">D1658</f>
        <v>11-12</v>
      </c>
      <c r="E1784" s="273" t="e">
        <f ca="1">_xludf.IFNA(VLOOKUP('Comp X - Kilter'!B1784,'Kilter Holds'!$P$37:$AB$662,5,0),0)</f>
        <v>#NAME?</v>
      </c>
      <c r="F1784" s="274"/>
      <c r="G1784" s="274" t="e">
        <f t="shared" ca="1" si="53"/>
        <v>#NAME?</v>
      </c>
      <c r="H1784" s="274">
        <f t="shared" si="54"/>
        <v>0</v>
      </c>
      <c r="K1784" s="274"/>
    </row>
    <row r="1785" spans="2:11" ht="13.5" customHeight="1">
      <c r="B1785" s="209" t="s">
        <v>1950</v>
      </c>
      <c r="C1785" s="209" t="s">
        <v>3468</v>
      </c>
      <c r="D1785" s="408" t="str">
        <f t="shared" si="62"/>
        <v>14-01</v>
      </c>
      <c r="E1785" s="273" t="e">
        <f ca="1">_xludf.IFNA(VLOOKUP('Comp X - Kilter'!B1785,'Kilter Holds'!$P$37:$AB$662,6,0),0)</f>
        <v>#NAME?</v>
      </c>
      <c r="F1785" s="274"/>
      <c r="G1785" s="274" t="e">
        <f t="shared" ca="1" si="53"/>
        <v>#NAME?</v>
      </c>
      <c r="H1785" s="274">
        <f t="shared" si="54"/>
        <v>0</v>
      </c>
      <c r="K1785" s="274"/>
    </row>
    <row r="1786" spans="2:11" ht="13.5" customHeight="1">
      <c r="B1786" s="209" t="s">
        <v>1950</v>
      </c>
      <c r="C1786" s="209" t="s">
        <v>3468</v>
      </c>
      <c r="D1786" s="409" t="str">
        <f t="shared" si="62"/>
        <v>15-12</v>
      </c>
      <c r="E1786" s="273" t="e">
        <f ca="1">_xludf.IFNA(VLOOKUP('Comp X - Kilter'!B1786,'Kilter Holds'!$P$37:$AB$662,7,0),0)</f>
        <v>#NAME?</v>
      </c>
      <c r="F1786" s="274"/>
      <c r="G1786" s="274" t="e">
        <f t="shared" ca="1" si="53"/>
        <v>#NAME?</v>
      </c>
      <c r="H1786" s="274">
        <f t="shared" si="54"/>
        <v>0</v>
      </c>
      <c r="K1786" s="274"/>
    </row>
    <row r="1787" spans="2:11" ht="13.5" customHeight="1">
      <c r="B1787" s="209" t="s">
        <v>1950</v>
      </c>
      <c r="C1787" s="209" t="s">
        <v>3468</v>
      </c>
      <c r="D1787" s="410" t="str">
        <f t="shared" si="62"/>
        <v>16-16</v>
      </c>
      <c r="E1787" s="273" t="e">
        <f ca="1">_xludf.IFNA(VLOOKUP('Comp X - Kilter'!B1787,'Kilter Holds'!$P$37:$AB$662,8,0),0)</f>
        <v>#NAME?</v>
      </c>
      <c r="F1787" s="274"/>
      <c r="G1787" s="274" t="e">
        <f t="shared" ref="G1787:G2041" ca="1" si="63">E1787*F1787</f>
        <v>#NAME?</v>
      </c>
      <c r="H1787" s="274">
        <f t="shared" ref="H1787:H2041" si="64">IF($S$11="Y",G1787*0.15,0)</f>
        <v>0</v>
      </c>
      <c r="K1787" s="274"/>
    </row>
    <row r="1788" spans="2:11" ht="13.5" customHeight="1">
      <c r="B1788" s="209" t="s">
        <v>1950</v>
      </c>
      <c r="C1788" s="209" t="s">
        <v>3468</v>
      </c>
      <c r="D1788" s="411" t="str">
        <f t="shared" si="62"/>
        <v>13-01</v>
      </c>
      <c r="E1788" s="273" t="e">
        <f ca="1">_xludf.IFNA(VLOOKUP('Comp X - Kilter'!B1788,'Kilter Holds'!$P$37:$AB$662,9,0),0)</f>
        <v>#NAME?</v>
      </c>
      <c r="F1788" s="274"/>
      <c r="G1788" s="274" t="e">
        <f t="shared" ca="1" si="63"/>
        <v>#NAME?</v>
      </c>
      <c r="H1788" s="274">
        <f t="shared" si="64"/>
        <v>0</v>
      </c>
      <c r="K1788" s="274"/>
    </row>
    <row r="1789" spans="2:11" ht="13.5" customHeight="1">
      <c r="B1789" s="209" t="s">
        <v>1950</v>
      </c>
      <c r="C1789" s="209" t="s">
        <v>3468</v>
      </c>
      <c r="D1789" s="413" t="str">
        <f t="shared" si="62"/>
        <v>07-13</v>
      </c>
      <c r="E1789" s="273" t="e">
        <f ca="1">_xludf.IFNA(VLOOKUP('Comp X - Kilter'!B1789,'Kilter Holds'!$P$37:$AB$662,10,0),0)</f>
        <v>#NAME?</v>
      </c>
      <c r="F1789" s="274"/>
      <c r="G1789" s="274" t="e">
        <f t="shared" ca="1" si="63"/>
        <v>#NAME?</v>
      </c>
      <c r="H1789" s="274">
        <f t="shared" si="64"/>
        <v>0</v>
      </c>
      <c r="K1789" s="274"/>
    </row>
    <row r="1790" spans="2:11" ht="13.5" customHeight="1">
      <c r="B1790" s="209" t="s">
        <v>1950</v>
      </c>
      <c r="C1790" s="209" t="s">
        <v>3468</v>
      </c>
      <c r="D1790" s="414" t="str">
        <f t="shared" si="62"/>
        <v>11-26</v>
      </c>
      <c r="E1790" s="273" t="e">
        <f ca="1">_xludf.IFNA(VLOOKUP('Comp X - Kilter'!B1790,'Kilter Holds'!$P$37:$AB$662,11,0),0)</f>
        <v>#NAME?</v>
      </c>
      <c r="F1790" s="274"/>
      <c r="G1790" s="274" t="e">
        <f t="shared" ca="1" si="63"/>
        <v>#NAME?</v>
      </c>
      <c r="H1790" s="274">
        <f t="shared" si="64"/>
        <v>0</v>
      </c>
      <c r="K1790" s="274"/>
    </row>
    <row r="1791" spans="2:11" ht="13.5" customHeight="1">
      <c r="B1791" s="209" t="s">
        <v>1950</v>
      </c>
      <c r="C1791" s="209" t="s">
        <v>3468</v>
      </c>
      <c r="D1791" s="415" t="str">
        <f t="shared" si="62"/>
        <v>18-01</v>
      </c>
      <c r="E1791" s="273" t="e">
        <f ca="1">_xludf.IFNA(VLOOKUP('Comp X - Kilter'!B1791,'Kilter Holds'!$P$37:$AB$662,12,0),0)</f>
        <v>#NAME?</v>
      </c>
      <c r="F1791" s="274"/>
      <c r="G1791" s="274" t="e">
        <f t="shared" ca="1" si="63"/>
        <v>#NAME?</v>
      </c>
      <c r="H1791" s="274">
        <f t="shared" si="64"/>
        <v>0</v>
      </c>
      <c r="K1791" s="274"/>
    </row>
    <row r="1792" spans="2:11" ht="13.5" customHeight="1">
      <c r="B1792" s="209" t="s">
        <v>1950</v>
      </c>
      <c r="C1792" s="209" t="s">
        <v>3468</v>
      </c>
      <c r="D1792" s="416" t="str">
        <f t="shared" si="62"/>
        <v>Color Code</v>
      </c>
      <c r="E1792" s="273" t="e">
        <f ca="1">_xludf.IFNA(VLOOKUP('Comp X - Kilter'!B1792,'Kilter Holds'!$P$37:$AB$662,13,0),0)</f>
        <v>#NAME?</v>
      </c>
      <c r="F1792" s="274"/>
      <c r="G1792" s="274" t="e">
        <f t="shared" ca="1" si="63"/>
        <v>#NAME?</v>
      </c>
      <c r="H1792" s="274">
        <f t="shared" si="64"/>
        <v>0</v>
      </c>
      <c r="K1792" s="274"/>
    </row>
    <row r="1793" spans="2:11" ht="13.5" customHeight="1">
      <c r="B1793" s="209" t="s">
        <v>1951</v>
      </c>
      <c r="C1793" s="209" t="s">
        <v>3469</v>
      </c>
      <c r="D1793" s="406" t="str">
        <f t="shared" ref="D1793:D1801" si="65">D1658</f>
        <v>11-12</v>
      </c>
      <c r="E1793" s="273" t="e">
        <f ca="1">_xludf.IFNA(VLOOKUP('Comp X - Kilter'!B1793,'Kilter Holds'!$P$37:$AB$662,5,0),0)</f>
        <v>#NAME?</v>
      </c>
      <c r="F1793" s="274"/>
      <c r="G1793" s="274" t="e">
        <f t="shared" ca="1" si="63"/>
        <v>#NAME?</v>
      </c>
      <c r="H1793" s="274">
        <f t="shared" si="64"/>
        <v>0</v>
      </c>
      <c r="K1793" s="274"/>
    </row>
    <row r="1794" spans="2:11" ht="13.5" customHeight="1">
      <c r="B1794" s="209" t="s">
        <v>1951</v>
      </c>
      <c r="C1794" s="209" t="s">
        <v>3469</v>
      </c>
      <c r="D1794" s="408" t="str">
        <f t="shared" si="65"/>
        <v>14-01</v>
      </c>
      <c r="E1794" s="273" t="e">
        <f ca="1">_xludf.IFNA(VLOOKUP('Comp X - Kilter'!B1794,'Kilter Holds'!$P$37:$AB$662,6,0),0)</f>
        <v>#NAME?</v>
      </c>
      <c r="F1794" s="274"/>
      <c r="G1794" s="274" t="e">
        <f t="shared" ca="1" si="63"/>
        <v>#NAME?</v>
      </c>
      <c r="H1794" s="274">
        <f t="shared" si="64"/>
        <v>0</v>
      </c>
      <c r="K1794" s="274"/>
    </row>
    <row r="1795" spans="2:11" ht="13.5" customHeight="1">
      <c r="B1795" s="209" t="s">
        <v>1951</v>
      </c>
      <c r="C1795" s="209" t="s">
        <v>3469</v>
      </c>
      <c r="D1795" s="409" t="str">
        <f t="shared" si="65"/>
        <v>15-12</v>
      </c>
      <c r="E1795" s="273" t="e">
        <f ca="1">_xludf.IFNA(VLOOKUP('Comp X - Kilter'!B1795,'Kilter Holds'!$P$37:$AB$662,7,0),0)</f>
        <v>#NAME?</v>
      </c>
      <c r="F1795" s="274"/>
      <c r="G1795" s="274" t="e">
        <f t="shared" ca="1" si="63"/>
        <v>#NAME?</v>
      </c>
      <c r="H1795" s="274">
        <f t="shared" si="64"/>
        <v>0</v>
      </c>
      <c r="K1795" s="274"/>
    </row>
    <row r="1796" spans="2:11" ht="13.5" customHeight="1">
      <c r="B1796" s="209" t="s">
        <v>1951</v>
      </c>
      <c r="C1796" s="209" t="s">
        <v>3469</v>
      </c>
      <c r="D1796" s="410" t="str">
        <f t="shared" si="65"/>
        <v>16-16</v>
      </c>
      <c r="E1796" s="273" t="e">
        <f ca="1">_xludf.IFNA(VLOOKUP('Comp X - Kilter'!B1796,'Kilter Holds'!$P$37:$AB$662,8,0),0)</f>
        <v>#NAME?</v>
      </c>
      <c r="F1796" s="274"/>
      <c r="G1796" s="274" t="e">
        <f t="shared" ca="1" si="63"/>
        <v>#NAME?</v>
      </c>
      <c r="H1796" s="274">
        <f t="shared" si="64"/>
        <v>0</v>
      </c>
      <c r="K1796" s="274"/>
    </row>
    <row r="1797" spans="2:11" ht="13.5" customHeight="1">
      <c r="B1797" s="209" t="s">
        <v>1951</v>
      </c>
      <c r="C1797" s="209" t="s">
        <v>3469</v>
      </c>
      <c r="D1797" s="411" t="str">
        <f t="shared" si="65"/>
        <v>13-01</v>
      </c>
      <c r="E1797" s="273" t="e">
        <f ca="1">_xludf.IFNA(VLOOKUP('Comp X - Kilter'!B1797,'Kilter Holds'!$P$37:$AB$662,9,0),0)</f>
        <v>#NAME?</v>
      </c>
      <c r="F1797" s="274"/>
      <c r="G1797" s="274" t="e">
        <f t="shared" ca="1" si="63"/>
        <v>#NAME?</v>
      </c>
      <c r="H1797" s="274">
        <f t="shared" si="64"/>
        <v>0</v>
      </c>
      <c r="K1797" s="274"/>
    </row>
    <row r="1798" spans="2:11" ht="13.5" customHeight="1">
      <c r="B1798" s="209" t="s">
        <v>1951</v>
      </c>
      <c r="C1798" s="209" t="s">
        <v>3469</v>
      </c>
      <c r="D1798" s="413" t="str">
        <f t="shared" si="65"/>
        <v>07-13</v>
      </c>
      <c r="E1798" s="273" t="e">
        <f ca="1">_xludf.IFNA(VLOOKUP('Comp X - Kilter'!B1798,'Kilter Holds'!$P$37:$AB$662,10,0),0)</f>
        <v>#NAME?</v>
      </c>
      <c r="F1798" s="274"/>
      <c r="G1798" s="274" t="e">
        <f t="shared" ca="1" si="63"/>
        <v>#NAME?</v>
      </c>
      <c r="H1798" s="274">
        <f t="shared" si="64"/>
        <v>0</v>
      </c>
      <c r="K1798" s="274"/>
    </row>
    <row r="1799" spans="2:11" ht="13.5" customHeight="1">
      <c r="B1799" s="209" t="s">
        <v>1951</v>
      </c>
      <c r="C1799" s="209" t="s">
        <v>3469</v>
      </c>
      <c r="D1799" s="414" t="str">
        <f t="shared" si="65"/>
        <v>11-26</v>
      </c>
      <c r="E1799" s="273" t="e">
        <f ca="1">_xludf.IFNA(VLOOKUP('Comp X - Kilter'!B1799,'Kilter Holds'!$P$37:$AB$662,11,0),0)</f>
        <v>#NAME?</v>
      </c>
      <c r="F1799" s="274"/>
      <c r="G1799" s="274" t="e">
        <f t="shared" ca="1" si="63"/>
        <v>#NAME?</v>
      </c>
      <c r="H1799" s="274">
        <f t="shared" si="64"/>
        <v>0</v>
      </c>
      <c r="K1799" s="274"/>
    </row>
    <row r="1800" spans="2:11" ht="13.5" customHeight="1">
      <c r="B1800" s="209" t="s">
        <v>1951</v>
      </c>
      <c r="C1800" s="209" t="s">
        <v>3469</v>
      </c>
      <c r="D1800" s="415" t="str">
        <f t="shared" si="65"/>
        <v>18-01</v>
      </c>
      <c r="E1800" s="273" t="e">
        <f ca="1">_xludf.IFNA(VLOOKUP('Comp X - Kilter'!B1800,'Kilter Holds'!$P$37:$AB$662,12,0),0)</f>
        <v>#NAME?</v>
      </c>
      <c r="F1800" s="274"/>
      <c r="G1800" s="274" t="e">
        <f t="shared" ca="1" si="63"/>
        <v>#NAME?</v>
      </c>
      <c r="H1800" s="274">
        <f t="shared" si="64"/>
        <v>0</v>
      </c>
      <c r="K1800" s="274"/>
    </row>
    <row r="1801" spans="2:11" ht="13.5" customHeight="1">
      <c r="B1801" s="209" t="s">
        <v>1951</v>
      </c>
      <c r="C1801" s="209" t="s">
        <v>3469</v>
      </c>
      <c r="D1801" s="416" t="str">
        <f t="shared" si="65"/>
        <v>Color Code</v>
      </c>
      <c r="E1801" s="273" t="e">
        <f ca="1">_xludf.IFNA(VLOOKUP('Comp X - Kilter'!B1801,'Kilter Holds'!$P$37:$AB$662,13,0),0)</f>
        <v>#NAME?</v>
      </c>
      <c r="F1801" s="274"/>
      <c r="G1801" s="274" t="e">
        <f t="shared" ca="1" si="63"/>
        <v>#NAME?</v>
      </c>
      <c r="H1801" s="274">
        <f t="shared" si="64"/>
        <v>0</v>
      </c>
      <c r="K1801" s="274"/>
    </row>
    <row r="1802" spans="2:11" ht="13.5" customHeight="1">
      <c r="B1802" s="209" t="s">
        <v>1952</v>
      </c>
      <c r="C1802" s="209" t="s">
        <v>3470</v>
      </c>
      <c r="D1802" s="406" t="str">
        <f t="shared" ref="D1802:D1810" si="66">D1676</f>
        <v>11-12</v>
      </c>
      <c r="E1802" s="273" t="e">
        <f ca="1">_xludf.IFNA(VLOOKUP('Comp X - Kilter'!B1802,'Kilter Holds'!$P$37:$AB$662,5,0),0)</f>
        <v>#NAME?</v>
      </c>
      <c r="F1802" s="274"/>
      <c r="G1802" s="274" t="e">
        <f t="shared" ca="1" si="63"/>
        <v>#NAME?</v>
      </c>
      <c r="H1802" s="274">
        <f t="shared" si="64"/>
        <v>0</v>
      </c>
      <c r="K1802" s="274"/>
    </row>
    <row r="1803" spans="2:11" ht="13.5" customHeight="1">
      <c r="B1803" s="209" t="s">
        <v>1952</v>
      </c>
      <c r="C1803" s="209" t="s">
        <v>3470</v>
      </c>
      <c r="D1803" s="408" t="str">
        <f t="shared" si="66"/>
        <v>14-01</v>
      </c>
      <c r="E1803" s="273" t="e">
        <f ca="1">_xludf.IFNA(VLOOKUP('Comp X - Kilter'!B1803,'Kilter Holds'!$P$37:$AB$662,6,0),0)</f>
        <v>#NAME?</v>
      </c>
      <c r="F1803" s="274"/>
      <c r="G1803" s="274" t="e">
        <f t="shared" ca="1" si="63"/>
        <v>#NAME?</v>
      </c>
      <c r="H1803" s="274">
        <f t="shared" si="64"/>
        <v>0</v>
      </c>
      <c r="K1803" s="274"/>
    </row>
    <row r="1804" spans="2:11" ht="13.5" customHeight="1">
      <c r="B1804" s="209" t="s">
        <v>1952</v>
      </c>
      <c r="C1804" s="209" t="s">
        <v>3470</v>
      </c>
      <c r="D1804" s="409" t="str">
        <f t="shared" si="66"/>
        <v>15-12</v>
      </c>
      <c r="E1804" s="273" t="e">
        <f ca="1">_xludf.IFNA(VLOOKUP('Comp X - Kilter'!B1804,'Kilter Holds'!$P$37:$AB$662,7,0),0)</f>
        <v>#NAME?</v>
      </c>
      <c r="F1804" s="274"/>
      <c r="G1804" s="274" t="e">
        <f t="shared" ca="1" si="63"/>
        <v>#NAME?</v>
      </c>
      <c r="H1804" s="274">
        <f t="shared" si="64"/>
        <v>0</v>
      </c>
      <c r="K1804" s="274"/>
    </row>
    <row r="1805" spans="2:11" ht="13.5" customHeight="1">
      <c r="B1805" s="209" t="s">
        <v>1952</v>
      </c>
      <c r="C1805" s="209" t="s">
        <v>3470</v>
      </c>
      <c r="D1805" s="410" t="str">
        <f t="shared" si="66"/>
        <v>16-16</v>
      </c>
      <c r="E1805" s="273" t="e">
        <f ca="1">_xludf.IFNA(VLOOKUP('Comp X - Kilter'!B1805,'Kilter Holds'!$P$37:$AB$662,8,0),0)</f>
        <v>#NAME?</v>
      </c>
      <c r="F1805" s="274"/>
      <c r="G1805" s="274" t="e">
        <f t="shared" ca="1" si="63"/>
        <v>#NAME?</v>
      </c>
      <c r="H1805" s="274">
        <f t="shared" si="64"/>
        <v>0</v>
      </c>
      <c r="K1805" s="274"/>
    </row>
    <row r="1806" spans="2:11" ht="13.5" customHeight="1">
      <c r="B1806" s="209" t="s">
        <v>1952</v>
      </c>
      <c r="C1806" s="209" t="s">
        <v>3470</v>
      </c>
      <c r="D1806" s="411" t="str">
        <f t="shared" si="66"/>
        <v>13-01</v>
      </c>
      <c r="E1806" s="273" t="e">
        <f ca="1">_xludf.IFNA(VLOOKUP('Comp X - Kilter'!B1806,'Kilter Holds'!$P$37:$AB$662,9,0),0)</f>
        <v>#NAME?</v>
      </c>
      <c r="F1806" s="274"/>
      <c r="G1806" s="274" t="e">
        <f t="shared" ca="1" si="63"/>
        <v>#NAME?</v>
      </c>
      <c r="H1806" s="274">
        <f t="shared" si="64"/>
        <v>0</v>
      </c>
      <c r="K1806" s="274"/>
    </row>
    <row r="1807" spans="2:11" ht="13.5" customHeight="1">
      <c r="B1807" s="209" t="s">
        <v>1952</v>
      </c>
      <c r="C1807" s="209" t="s">
        <v>3470</v>
      </c>
      <c r="D1807" s="413" t="str">
        <f t="shared" si="66"/>
        <v>07-13</v>
      </c>
      <c r="E1807" s="273" t="e">
        <f ca="1">_xludf.IFNA(VLOOKUP('Comp X - Kilter'!B1807,'Kilter Holds'!$P$37:$AB$662,10,0),0)</f>
        <v>#NAME?</v>
      </c>
      <c r="F1807" s="274"/>
      <c r="G1807" s="274" t="e">
        <f t="shared" ca="1" si="63"/>
        <v>#NAME?</v>
      </c>
      <c r="H1807" s="274">
        <f t="shared" si="64"/>
        <v>0</v>
      </c>
      <c r="K1807" s="274"/>
    </row>
    <row r="1808" spans="2:11" ht="13.5" customHeight="1">
      <c r="B1808" s="209" t="s">
        <v>1952</v>
      </c>
      <c r="C1808" s="209" t="s">
        <v>3470</v>
      </c>
      <c r="D1808" s="414" t="str">
        <f t="shared" si="66"/>
        <v>11-26</v>
      </c>
      <c r="E1808" s="273" t="e">
        <f ca="1">_xludf.IFNA(VLOOKUP('Comp X - Kilter'!B1808,'Kilter Holds'!$P$37:$AB$662,11,0),0)</f>
        <v>#NAME?</v>
      </c>
      <c r="F1808" s="274"/>
      <c r="G1808" s="274" t="e">
        <f t="shared" ca="1" si="63"/>
        <v>#NAME?</v>
      </c>
      <c r="H1808" s="274">
        <f t="shared" si="64"/>
        <v>0</v>
      </c>
      <c r="K1808" s="274"/>
    </row>
    <row r="1809" spans="2:11" ht="13.5" customHeight="1">
      <c r="B1809" s="209" t="s">
        <v>1952</v>
      </c>
      <c r="C1809" s="209" t="s">
        <v>3470</v>
      </c>
      <c r="D1809" s="415" t="str">
        <f t="shared" si="66"/>
        <v>18-01</v>
      </c>
      <c r="E1809" s="273" t="e">
        <f ca="1">_xludf.IFNA(VLOOKUP('Comp X - Kilter'!B1809,'Kilter Holds'!$P$37:$AB$662,12,0),0)</f>
        <v>#NAME?</v>
      </c>
      <c r="F1809" s="274"/>
      <c r="G1809" s="274" t="e">
        <f t="shared" ca="1" si="63"/>
        <v>#NAME?</v>
      </c>
      <c r="H1809" s="274">
        <f t="shared" si="64"/>
        <v>0</v>
      </c>
      <c r="K1809" s="274"/>
    </row>
    <row r="1810" spans="2:11" ht="13.5" customHeight="1">
      <c r="B1810" s="209" t="s">
        <v>1952</v>
      </c>
      <c r="C1810" s="209" t="s">
        <v>3470</v>
      </c>
      <c r="D1810" s="416" t="str">
        <f t="shared" si="66"/>
        <v>Color Code</v>
      </c>
      <c r="E1810" s="273" t="e">
        <f ca="1">_xludf.IFNA(VLOOKUP('Comp X - Kilter'!B1810,'Kilter Holds'!$P$37:$AB$662,13,0),0)</f>
        <v>#NAME?</v>
      </c>
      <c r="F1810" s="274"/>
      <c r="G1810" s="274" t="e">
        <f t="shared" ca="1" si="63"/>
        <v>#NAME?</v>
      </c>
      <c r="H1810" s="274">
        <f t="shared" si="64"/>
        <v>0</v>
      </c>
      <c r="K1810" s="274"/>
    </row>
    <row r="1811" spans="2:11" ht="13.5" customHeight="1">
      <c r="B1811" s="209" t="s">
        <v>1953</v>
      </c>
      <c r="C1811" s="209" t="s">
        <v>3471</v>
      </c>
      <c r="D1811" s="406" t="str">
        <f t="shared" ref="D1811:D1828" si="67">D1784</f>
        <v>11-12</v>
      </c>
      <c r="E1811" s="273" t="e">
        <f ca="1">_xludf.IFNA(VLOOKUP('Comp X - Kilter'!B1811,'Kilter Holds'!$P$37:$AB$662,5,0),0)</f>
        <v>#NAME?</v>
      </c>
      <c r="F1811" s="274"/>
      <c r="G1811" s="274" t="e">
        <f t="shared" ca="1" si="63"/>
        <v>#NAME?</v>
      </c>
      <c r="H1811" s="274">
        <f t="shared" si="64"/>
        <v>0</v>
      </c>
      <c r="K1811" s="274"/>
    </row>
    <row r="1812" spans="2:11" ht="13.5" customHeight="1">
      <c r="B1812" s="209" t="s">
        <v>1953</v>
      </c>
      <c r="C1812" s="209" t="s">
        <v>3471</v>
      </c>
      <c r="D1812" s="408" t="str">
        <f t="shared" si="67"/>
        <v>14-01</v>
      </c>
      <c r="E1812" s="273" t="e">
        <f ca="1">_xludf.IFNA(VLOOKUP('Comp X - Kilter'!B1812,'Kilter Holds'!$P$37:$AB$662,6,0),0)</f>
        <v>#NAME?</v>
      </c>
      <c r="F1812" s="274"/>
      <c r="G1812" s="274" t="e">
        <f t="shared" ca="1" si="63"/>
        <v>#NAME?</v>
      </c>
      <c r="H1812" s="274">
        <f t="shared" si="64"/>
        <v>0</v>
      </c>
      <c r="K1812" s="274"/>
    </row>
    <row r="1813" spans="2:11" ht="13.5" customHeight="1">
      <c r="B1813" s="209" t="s">
        <v>1953</v>
      </c>
      <c r="C1813" s="209" t="s">
        <v>3471</v>
      </c>
      <c r="D1813" s="409" t="str">
        <f t="shared" si="67"/>
        <v>15-12</v>
      </c>
      <c r="E1813" s="273" t="e">
        <f ca="1">_xludf.IFNA(VLOOKUP('Comp X - Kilter'!B1813,'Kilter Holds'!$P$37:$AB$662,7,0),0)</f>
        <v>#NAME?</v>
      </c>
      <c r="F1813" s="274"/>
      <c r="G1813" s="274" t="e">
        <f t="shared" ca="1" si="63"/>
        <v>#NAME?</v>
      </c>
      <c r="H1813" s="274">
        <f t="shared" si="64"/>
        <v>0</v>
      </c>
      <c r="K1813" s="274"/>
    </row>
    <row r="1814" spans="2:11" ht="13.5" customHeight="1">
      <c r="B1814" s="209" t="s">
        <v>1953</v>
      </c>
      <c r="C1814" s="209" t="s">
        <v>3471</v>
      </c>
      <c r="D1814" s="410" t="str">
        <f t="shared" si="67"/>
        <v>16-16</v>
      </c>
      <c r="E1814" s="273" t="e">
        <f ca="1">_xludf.IFNA(VLOOKUP('Comp X - Kilter'!B1814,'Kilter Holds'!$P$37:$AB$662,8,0),0)</f>
        <v>#NAME?</v>
      </c>
      <c r="F1814" s="274"/>
      <c r="G1814" s="274" t="e">
        <f t="shared" ca="1" si="63"/>
        <v>#NAME?</v>
      </c>
      <c r="H1814" s="274">
        <f t="shared" si="64"/>
        <v>0</v>
      </c>
      <c r="K1814" s="274"/>
    </row>
    <row r="1815" spans="2:11" ht="13.5" customHeight="1">
      <c r="B1815" s="209" t="s">
        <v>1953</v>
      </c>
      <c r="C1815" s="209" t="s">
        <v>3471</v>
      </c>
      <c r="D1815" s="411" t="str">
        <f t="shared" si="67"/>
        <v>13-01</v>
      </c>
      <c r="E1815" s="273" t="e">
        <f ca="1">_xludf.IFNA(VLOOKUP('Comp X - Kilter'!B1815,'Kilter Holds'!$P$37:$AB$662,9,0),0)</f>
        <v>#NAME?</v>
      </c>
      <c r="F1815" s="274"/>
      <c r="G1815" s="274" t="e">
        <f t="shared" ca="1" si="63"/>
        <v>#NAME?</v>
      </c>
      <c r="H1815" s="274">
        <f t="shared" si="64"/>
        <v>0</v>
      </c>
      <c r="K1815" s="274"/>
    </row>
    <row r="1816" spans="2:11" ht="13.5" customHeight="1">
      <c r="B1816" s="209" t="s">
        <v>1953</v>
      </c>
      <c r="C1816" s="209" t="s">
        <v>3471</v>
      </c>
      <c r="D1816" s="413" t="str">
        <f t="shared" si="67"/>
        <v>07-13</v>
      </c>
      <c r="E1816" s="273" t="e">
        <f ca="1">_xludf.IFNA(VLOOKUP('Comp X - Kilter'!B1816,'Kilter Holds'!$P$37:$AB$662,10,0),0)</f>
        <v>#NAME?</v>
      </c>
      <c r="F1816" s="274"/>
      <c r="G1816" s="274" t="e">
        <f t="shared" ca="1" si="63"/>
        <v>#NAME?</v>
      </c>
      <c r="H1816" s="274">
        <f t="shared" si="64"/>
        <v>0</v>
      </c>
      <c r="K1816" s="274"/>
    </row>
    <row r="1817" spans="2:11" ht="13.5" customHeight="1">
      <c r="B1817" s="209" t="s">
        <v>1953</v>
      </c>
      <c r="C1817" s="209" t="s">
        <v>3471</v>
      </c>
      <c r="D1817" s="414" t="str">
        <f t="shared" si="67"/>
        <v>11-26</v>
      </c>
      <c r="E1817" s="273" t="e">
        <f ca="1">_xludf.IFNA(VLOOKUP('Comp X - Kilter'!B1817,'Kilter Holds'!$P$37:$AB$662,11,0),0)</f>
        <v>#NAME?</v>
      </c>
      <c r="F1817" s="274"/>
      <c r="G1817" s="274" t="e">
        <f t="shared" ca="1" si="63"/>
        <v>#NAME?</v>
      </c>
      <c r="H1817" s="274">
        <f t="shared" si="64"/>
        <v>0</v>
      </c>
      <c r="K1817" s="274"/>
    </row>
    <row r="1818" spans="2:11" ht="13.5" customHeight="1">
      <c r="B1818" s="209" t="s">
        <v>1953</v>
      </c>
      <c r="C1818" s="209" t="s">
        <v>3471</v>
      </c>
      <c r="D1818" s="415" t="str">
        <f t="shared" si="67"/>
        <v>18-01</v>
      </c>
      <c r="E1818" s="273" t="e">
        <f ca="1">_xludf.IFNA(VLOOKUP('Comp X - Kilter'!B1818,'Kilter Holds'!$P$37:$AB$662,12,0),0)</f>
        <v>#NAME?</v>
      </c>
      <c r="F1818" s="274"/>
      <c r="G1818" s="274" t="e">
        <f t="shared" ca="1" si="63"/>
        <v>#NAME?</v>
      </c>
      <c r="H1818" s="274">
        <f t="shared" si="64"/>
        <v>0</v>
      </c>
      <c r="K1818" s="274"/>
    </row>
    <row r="1819" spans="2:11" ht="13.5" customHeight="1">
      <c r="B1819" s="209" t="s">
        <v>1953</v>
      </c>
      <c r="C1819" s="209" t="s">
        <v>3471</v>
      </c>
      <c r="D1819" s="416" t="str">
        <f t="shared" si="67"/>
        <v>Color Code</v>
      </c>
      <c r="E1819" s="273" t="e">
        <f ca="1">_xludf.IFNA(VLOOKUP('Comp X - Kilter'!B1819,'Kilter Holds'!$P$37:$AB$662,13,0),0)</f>
        <v>#NAME?</v>
      </c>
      <c r="F1819" s="274"/>
      <c r="G1819" s="274" t="e">
        <f t="shared" ca="1" si="63"/>
        <v>#NAME?</v>
      </c>
      <c r="H1819" s="274">
        <f t="shared" si="64"/>
        <v>0</v>
      </c>
      <c r="K1819" s="274"/>
    </row>
    <row r="1820" spans="2:11" ht="13.5" customHeight="1">
      <c r="B1820" s="209" t="s">
        <v>1954</v>
      </c>
      <c r="C1820" s="209" t="s">
        <v>3472</v>
      </c>
      <c r="D1820" s="406" t="str">
        <f t="shared" si="67"/>
        <v>11-12</v>
      </c>
      <c r="E1820" s="273" t="e">
        <f ca="1">_xludf.IFNA(VLOOKUP('Comp X - Kilter'!B1820,'Kilter Holds'!$P$37:$AB$662,5,0),0)</f>
        <v>#NAME?</v>
      </c>
      <c r="F1820" s="274"/>
      <c r="G1820" s="274" t="e">
        <f t="shared" ca="1" si="63"/>
        <v>#NAME?</v>
      </c>
      <c r="H1820" s="274">
        <f t="shared" si="64"/>
        <v>0</v>
      </c>
      <c r="K1820" s="274"/>
    </row>
    <row r="1821" spans="2:11" ht="13.5" customHeight="1">
      <c r="B1821" s="209" t="s">
        <v>1954</v>
      </c>
      <c r="C1821" s="209" t="s">
        <v>3472</v>
      </c>
      <c r="D1821" s="408" t="str">
        <f t="shared" si="67"/>
        <v>14-01</v>
      </c>
      <c r="E1821" s="273" t="e">
        <f ca="1">_xludf.IFNA(VLOOKUP('Comp X - Kilter'!B1821,'Kilter Holds'!$P$37:$AB$662,6,0),0)</f>
        <v>#NAME?</v>
      </c>
      <c r="F1821" s="274"/>
      <c r="G1821" s="274" t="e">
        <f t="shared" ca="1" si="63"/>
        <v>#NAME?</v>
      </c>
      <c r="H1821" s="274">
        <f t="shared" si="64"/>
        <v>0</v>
      </c>
      <c r="K1821" s="274"/>
    </row>
    <row r="1822" spans="2:11" ht="13.5" customHeight="1">
      <c r="B1822" s="209" t="s">
        <v>1954</v>
      </c>
      <c r="C1822" s="209" t="s">
        <v>3472</v>
      </c>
      <c r="D1822" s="409" t="str">
        <f t="shared" si="67"/>
        <v>15-12</v>
      </c>
      <c r="E1822" s="273" t="e">
        <f ca="1">_xludf.IFNA(VLOOKUP('Comp X - Kilter'!B1822,'Kilter Holds'!$P$37:$AB$662,7,0),0)</f>
        <v>#NAME?</v>
      </c>
      <c r="F1822" s="274"/>
      <c r="G1822" s="274" t="e">
        <f t="shared" ca="1" si="63"/>
        <v>#NAME?</v>
      </c>
      <c r="H1822" s="274">
        <f t="shared" si="64"/>
        <v>0</v>
      </c>
      <c r="K1822" s="274"/>
    </row>
    <row r="1823" spans="2:11" ht="13.5" customHeight="1">
      <c r="B1823" s="209" t="s">
        <v>1954</v>
      </c>
      <c r="C1823" s="209" t="s">
        <v>3472</v>
      </c>
      <c r="D1823" s="410" t="str">
        <f t="shared" si="67"/>
        <v>16-16</v>
      </c>
      <c r="E1823" s="273" t="e">
        <f ca="1">_xludf.IFNA(VLOOKUP('Comp X - Kilter'!B1823,'Kilter Holds'!$P$37:$AB$662,8,0),0)</f>
        <v>#NAME?</v>
      </c>
      <c r="F1823" s="274"/>
      <c r="G1823" s="274" t="e">
        <f t="shared" ca="1" si="63"/>
        <v>#NAME?</v>
      </c>
      <c r="H1823" s="274">
        <f t="shared" si="64"/>
        <v>0</v>
      </c>
      <c r="K1823" s="274"/>
    </row>
    <row r="1824" spans="2:11" ht="13.5" customHeight="1">
      <c r="B1824" s="209" t="s">
        <v>1954</v>
      </c>
      <c r="C1824" s="209" t="s">
        <v>3472</v>
      </c>
      <c r="D1824" s="411" t="str">
        <f t="shared" si="67"/>
        <v>13-01</v>
      </c>
      <c r="E1824" s="273" t="e">
        <f ca="1">_xludf.IFNA(VLOOKUP('Comp X - Kilter'!B1824,'Kilter Holds'!$P$37:$AB$662,9,0),0)</f>
        <v>#NAME?</v>
      </c>
      <c r="F1824" s="274"/>
      <c r="G1824" s="274" t="e">
        <f t="shared" ca="1" si="63"/>
        <v>#NAME?</v>
      </c>
      <c r="H1824" s="274">
        <f t="shared" si="64"/>
        <v>0</v>
      </c>
      <c r="K1824" s="274"/>
    </row>
    <row r="1825" spans="2:11" ht="13.5" customHeight="1">
      <c r="B1825" s="209" t="s">
        <v>1954</v>
      </c>
      <c r="C1825" s="209" t="s">
        <v>3472</v>
      </c>
      <c r="D1825" s="413" t="str">
        <f t="shared" si="67"/>
        <v>07-13</v>
      </c>
      <c r="E1825" s="273" t="e">
        <f ca="1">_xludf.IFNA(VLOOKUP('Comp X - Kilter'!B1825,'Kilter Holds'!$P$37:$AB$662,10,0),0)</f>
        <v>#NAME?</v>
      </c>
      <c r="F1825" s="274"/>
      <c r="G1825" s="274" t="e">
        <f t="shared" ca="1" si="63"/>
        <v>#NAME?</v>
      </c>
      <c r="H1825" s="274">
        <f t="shared" si="64"/>
        <v>0</v>
      </c>
      <c r="K1825" s="274"/>
    </row>
    <row r="1826" spans="2:11" ht="13.5" customHeight="1">
      <c r="B1826" s="209" t="s">
        <v>1954</v>
      </c>
      <c r="C1826" s="209" t="s">
        <v>3472</v>
      </c>
      <c r="D1826" s="414" t="str">
        <f t="shared" si="67"/>
        <v>11-26</v>
      </c>
      <c r="E1826" s="273" t="e">
        <f ca="1">_xludf.IFNA(VLOOKUP('Comp X - Kilter'!B1826,'Kilter Holds'!$P$37:$AB$662,11,0),0)</f>
        <v>#NAME?</v>
      </c>
      <c r="F1826" s="274"/>
      <c r="G1826" s="274" t="e">
        <f t="shared" ca="1" si="63"/>
        <v>#NAME?</v>
      </c>
      <c r="H1826" s="274">
        <f t="shared" si="64"/>
        <v>0</v>
      </c>
      <c r="K1826" s="274"/>
    </row>
    <row r="1827" spans="2:11" ht="13.5" customHeight="1">
      <c r="B1827" s="209" t="s">
        <v>1954</v>
      </c>
      <c r="C1827" s="209" t="s">
        <v>3472</v>
      </c>
      <c r="D1827" s="415" t="str">
        <f t="shared" si="67"/>
        <v>18-01</v>
      </c>
      <c r="E1827" s="273" t="e">
        <f ca="1">_xludf.IFNA(VLOOKUP('Comp X - Kilter'!B1827,'Kilter Holds'!$P$37:$AB$662,12,0),0)</f>
        <v>#NAME?</v>
      </c>
      <c r="F1827" s="274"/>
      <c r="G1827" s="274" t="e">
        <f t="shared" ca="1" si="63"/>
        <v>#NAME?</v>
      </c>
      <c r="H1827" s="274">
        <f t="shared" si="64"/>
        <v>0</v>
      </c>
      <c r="K1827" s="274"/>
    </row>
    <row r="1828" spans="2:11" ht="13.5" customHeight="1">
      <c r="B1828" s="209" t="s">
        <v>1954</v>
      </c>
      <c r="C1828" s="209" t="s">
        <v>3472</v>
      </c>
      <c r="D1828" s="416" t="str">
        <f t="shared" si="67"/>
        <v>Color Code</v>
      </c>
      <c r="E1828" s="273" t="e">
        <f ca="1">_xludf.IFNA(VLOOKUP('Comp X - Kilter'!B1828,'Kilter Holds'!$P$37:$AB$662,13,0),0)</f>
        <v>#NAME?</v>
      </c>
      <c r="F1828" s="274"/>
      <c r="G1828" s="274" t="e">
        <f t="shared" ca="1" si="63"/>
        <v>#NAME?</v>
      </c>
      <c r="H1828" s="274">
        <f t="shared" si="64"/>
        <v>0</v>
      </c>
      <c r="K1828" s="274"/>
    </row>
    <row r="1829" spans="2:11" ht="13.5" customHeight="1">
      <c r="B1829" s="209" t="s">
        <v>1978</v>
      </c>
      <c r="C1829" s="209" t="s">
        <v>3473</v>
      </c>
      <c r="D1829" s="406" t="str">
        <f t="shared" ref="D1829:D1864" si="68">D1820</f>
        <v>11-12</v>
      </c>
      <c r="E1829" s="273" t="e">
        <f ca="1">_xludf.IFNA(VLOOKUP('Comp X - Kilter'!B1829,'Kilter Holds'!$P$37:$AB$662,5,0),0)</f>
        <v>#NAME?</v>
      </c>
      <c r="F1829" s="274"/>
      <c r="G1829" s="274" t="e">
        <f t="shared" ca="1" si="63"/>
        <v>#NAME?</v>
      </c>
      <c r="H1829" s="274">
        <f t="shared" si="64"/>
        <v>0</v>
      </c>
      <c r="K1829" s="274"/>
    </row>
    <row r="1830" spans="2:11" ht="13.5" customHeight="1">
      <c r="B1830" s="209" t="s">
        <v>1978</v>
      </c>
      <c r="C1830" s="209" t="s">
        <v>3473</v>
      </c>
      <c r="D1830" s="408" t="str">
        <f t="shared" si="68"/>
        <v>14-01</v>
      </c>
      <c r="E1830" s="273" t="e">
        <f ca="1">_xludf.IFNA(VLOOKUP('Comp X - Kilter'!B1830,'Kilter Holds'!$P$37:$AB$662,6,0),0)</f>
        <v>#NAME?</v>
      </c>
      <c r="F1830" s="274"/>
      <c r="G1830" s="274" t="e">
        <f t="shared" ca="1" si="63"/>
        <v>#NAME?</v>
      </c>
      <c r="H1830" s="274">
        <f t="shared" si="64"/>
        <v>0</v>
      </c>
      <c r="K1830" s="274"/>
    </row>
    <row r="1831" spans="2:11" ht="13.5" customHeight="1">
      <c r="B1831" s="209" t="s">
        <v>1978</v>
      </c>
      <c r="C1831" s="209" t="s">
        <v>3473</v>
      </c>
      <c r="D1831" s="409" t="str">
        <f t="shared" si="68"/>
        <v>15-12</v>
      </c>
      <c r="E1831" s="273" t="e">
        <f ca="1">_xludf.IFNA(VLOOKUP('Comp X - Kilter'!B1831,'Kilter Holds'!$P$37:$AB$662,7,0),0)</f>
        <v>#NAME?</v>
      </c>
      <c r="F1831" s="274"/>
      <c r="G1831" s="274" t="e">
        <f t="shared" ca="1" si="63"/>
        <v>#NAME?</v>
      </c>
      <c r="H1831" s="274">
        <f t="shared" si="64"/>
        <v>0</v>
      </c>
      <c r="K1831" s="274"/>
    </row>
    <row r="1832" spans="2:11" ht="13.5" customHeight="1">
      <c r="B1832" s="209" t="s">
        <v>1978</v>
      </c>
      <c r="C1832" s="209" t="s">
        <v>3473</v>
      </c>
      <c r="D1832" s="410" t="str">
        <f t="shared" si="68"/>
        <v>16-16</v>
      </c>
      <c r="E1832" s="273" t="e">
        <f ca="1">_xludf.IFNA(VLOOKUP('Comp X - Kilter'!B1832,'Kilter Holds'!$P$37:$AB$662,8,0),0)</f>
        <v>#NAME?</v>
      </c>
      <c r="F1832" s="274"/>
      <c r="G1832" s="274" t="e">
        <f t="shared" ca="1" si="63"/>
        <v>#NAME?</v>
      </c>
      <c r="H1832" s="274">
        <f t="shared" si="64"/>
        <v>0</v>
      </c>
      <c r="K1832" s="274"/>
    </row>
    <row r="1833" spans="2:11" ht="13.5" customHeight="1">
      <c r="B1833" s="209" t="s">
        <v>1978</v>
      </c>
      <c r="C1833" s="209" t="s">
        <v>3473</v>
      </c>
      <c r="D1833" s="411" t="str">
        <f t="shared" si="68"/>
        <v>13-01</v>
      </c>
      <c r="E1833" s="273" t="e">
        <f ca="1">_xludf.IFNA(VLOOKUP('Comp X - Kilter'!B1833,'Kilter Holds'!$P$37:$AB$662,9,0),0)</f>
        <v>#NAME?</v>
      </c>
      <c r="F1833" s="274"/>
      <c r="G1833" s="274" t="e">
        <f t="shared" ca="1" si="63"/>
        <v>#NAME?</v>
      </c>
      <c r="H1833" s="274">
        <f t="shared" si="64"/>
        <v>0</v>
      </c>
      <c r="K1833" s="274"/>
    </row>
    <row r="1834" spans="2:11" ht="13.5" customHeight="1">
      <c r="B1834" s="209" t="s">
        <v>1978</v>
      </c>
      <c r="C1834" s="209" t="s">
        <v>3473</v>
      </c>
      <c r="D1834" s="413" t="str">
        <f t="shared" si="68"/>
        <v>07-13</v>
      </c>
      <c r="E1834" s="273" t="e">
        <f ca="1">_xludf.IFNA(VLOOKUP('Comp X - Kilter'!B1834,'Kilter Holds'!$P$37:$AB$662,10,0),0)</f>
        <v>#NAME?</v>
      </c>
      <c r="F1834" s="274"/>
      <c r="G1834" s="274" t="e">
        <f t="shared" ca="1" si="63"/>
        <v>#NAME?</v>
      </c>
      <c r="H1834" s="274">
        <f t="shared" si="64"/>
        <v>0</v>
      </c>
      <c r="K1834" s="274"/>
    </row>
    <row r="1835" spans="2:11" ht="13.5" customHeight="1">
      <c r="B1835" s="209" t="s">
        <v>1978</v>
      </c>
      <c r="C1835" s="209" t="s">
        <v>3473</v>
      </c>
      <c r="D1835" s="414" t="str">
        <f t="shared" si="68"/>
        <v>11-26</v>
      </c>
      <c r="E1835" s="273" t="e">
        <f ca="1">_xludf.IFNA(VLOOKUP('Comp X - Kilter'!B1835,'Kilter Holds'!$P$37:$AB$662,11,0),0)</f>
        <v>#NAME?</v>
      </c>
      <c r="F1835" s="274"/>
      <c r="G1835" s="274" t="e">
        <f t="shared" ca="1" si="63"/>
        <v>#NAME?</v>
      </c>
      <c r="H1835" s="274">
        <f t="shared" si="64"/>
        <v>0</v>
      </c>
      <c r="K1835" s="274"/>
    </row>
    <row r="1836" spans="2:11" ht="13.5" customHeight="1">
      <c r="B1836" s="209" t="s">
        <v>1978</v>
      </c>
      <c r="C1836" s="209" t="s">
        <v>3473</v>
      </c>
      <c r="D1836" s="415" t="str">
        <f t="shared" si="68"/>
        <v>18-01</v>
      </c>
      <c r="E1836" s="273" t="e">
        <f ca="1">_xludf.IFNA(VLOOKUP('Comp X - Kilter'!B1836,'Kilter Holds'!$P$37:$AB$662,12,0),0)</f>
        <v>#NAME?</v>
      </c>
      <c r="F1836" s="274"/>
      <c r="G1836" s="274" t="e">
        <f t="shared" ca="1" si="63"/>
        <v>#NAME?</v>
      </c>
      <c r="H1836" s="274">
        <f t="shared" si="64"/>
        <v>0</v>
      </c>
      <c r="K1836" s="274"/>
    </row>
    <row r="1837" spans="2:11" ht="13.5" customHeight="1">
      <c r="B1837" s="209" t="s">
        <v>1978</v>
      </c>
      <c r="C1837" s="209" t="s">
        <v>3473</v>
      </c>
      <c r="D1837" s="416" t="str">
        <f t="shared" si="68"/>
        <v>Color Code</v>
      </c>
      <c r="E1837" s="273" t="e">
        <f ca="1">_xludf.IFNA(VLOOKUP('Comp X - Kilter'!B1837,'Kilter Holds'!$P$37:$AB$662,13,0),0)</f>
        <v>#NAME?</v>
      </c>
      <c r="F1837" s="274"/>
      <c r="G1837" s="274" t="e">
        <f t="shared" ca="1" si="63"/>
        <v>#NAME?</v>
      </c>
      <c r="H1837" s="274">
        <f t="shared" si="64"/>
        <v>0</v>
      </c>
      <c r="K1837" s="274"/>
    </row>
    <row r="1838" spans="2:11" ht="13.5" customHeight="1">
      <c r="B1838" s="209" t="s">
        <v>1979</v>
      </c>
      <c r="C1838" s="209" t="s">
        <v>3474</v>
      </c>
      <c r="D1838" s="406" t="str">
        <f t="shared" si="68"/>
        <v>11-12</v>
      </c>
      <c r="E1838" s="273" t="e">
        <f ca="1">_xludf.IFNA(VLOOKUP('Comp X - Kilter'!B1838,'Kilter Holds'!$P$37:$AB$662,5,0),0)</f>
        <v>#NAME?</v>
      </c>
      <c r="F1838" s="274"/>
      <c r="G1838" s="274" t="e">
        <f t="shared" ca="1" si="63"/>
        <v>#NAME?</v>
      </c>
      <c r="H1838" s="274">
        <f t="shared" si="64"/>
        <v>0</v>
      </c>
      <c r="K1838" s="274"/>
    </row>
    <row r="1839" spans="2:11" ht="13.5" customHeight="1">
      <c r="B1839" s="209" t="s">
        <v>1979</v>
      </c>
      <c r="C1839" s="209" t="s">
        <v>3474</v>
      </c>
      <c r="D1839" s="408" t="str">
        <f t="shared" si="68"/>
        <v>14-01</v>
      </c>
      <c r="E1839" s="273" t="e">
        <f ca="1">_xludf.IFNA(VLOOKUP('Comp X - Kilter'!B1839,'Kilter Holds'!$P$37:$AB$662,6,0),0)</f>
        <v>#NAME?</v>
      </c>
      <c r="F1839" s="274"/>
      <c r="G1839" s="274" t="e">
        <f t="shared" ca="1" si="63"/>
        <v>#NAME?</v>
      </c>
      <c r="H1839" s="274">
        <f t="shared" si="64"/>
        <v>0</v>
      </c>
      <c r="K1839" s="274"/>
    </row>
    <row r="1840" spans="2:11" ht="13.5" customHeight="1">
      <c r="B1840" s="209" t="s">
        <v>1979</v>
      </c>
      <c r="C1840" s="209" t="s">
        <v>3474</v>
      </c>
      <c r="D1840" s="409" t="str">
        <f t="shared" si="68"/>
        <v>15-12</v>
      </c>
      <c r="E1840" s="273" t="e">
        <f ca="1">_xludf.IFNA(VLOOKUP('Comp X - Kilter'!B1840,'Kilter Holds'!$P$37:$AB$662,7,0),0)</f>
        <v>#NAME?</v>
      </c>
      <c r="F1840" s="274"/>
      <c r="G1840" s="274" t="e">
        <f t="shared" ca="1" si="63"/>
        <v>#NAME?</v>
      </c>
      <c r="H1840" s="274">
        <f t="shared" si="64"/>
        <v>0</v>
      </c>
      <c r="K1840" s="274"/>
    </row>
    <row r="1841" spans="2:11" ht="13.5" customHeight="1">
      <c r="B1841" s="209" t="s">
        <v>1979</v>
      </c>
      <c r="C1841" s="209" t="s">
        <v>3474</v>
      </c>
      <c r="D1841" s="410" t="str">
        <f t="shared" si="68"/>
        <v>16-16</v>
      </c>
      <c r="E1841" s="273" t="e">
        <f ca="1">_xludf.IFNA(VLOOKUP('Comp X - Kilter'!B1841,'Kilter Holds'!$P$37:$AB$662,8,0),0)</f>
        <v>#NAME?</v>
      </c>
      <c r="F1841" s="274"/>
      <c r="G1841" s="274" t="e">
        <f t="shared" ca="1" si="63"/>
        <v>#NAME?</v>
      </c>
      <c r="H1841" s="274">
        <f t="shared" si="64"/>
        <v>0</v>
      </c>
      <c r="K1841" s="274"/>
    </row>
    <row r="1842" spans="2:11" ht="13.5" customHeight="1">
      <c r="B1842" s="209" t="s">
        <v>1979</v>
      </c>
      <c r="C1842" s="209" t="s">
        <v>3474</v>
      </c>
      <c r="D1842" s="411" t="str">
        <f t="shared" si="68"/>
        <v>13-01</v>
      </c>
      <c r="E1842" s="273" t="e">
        <f ca="1">_xludf.IFNA(VLOOKUP('Comp X - Kilter'!B1842,'Kilter Holds'!$P$37:$AB$662,9,0),0)</f>
        <v>#NAME?</v>
      </c>
      <c r="F1842" s="274"/>
      <c r="G1842" s="274" t="e">
        <f t="shared" ca="1" si="63"/>
        <v>#NAME?</v>
      </c>
      <c r="H1842" s="274">
        <f t="shared" si="64"/>
        <v>0</v>
      </c>
      <c r="K1842" s="274"/>
    </row>
    <row r="1843" spans="2:11" ht="13.5" customHeight="1">
      <c r="B1843" s="209" t="s">
        <v>1979</v>
      </c>
      <c r="C1843" s="209" t="s">
        <v>3474</v>
      </c>
      <c r="D1843" s="413" t="str">
        <f t="shared" si="68"/>
        <v>07-13</v>
      </c>
      <c r="E1843" s="273" t="e">
        <f ca="1">_xludf.IFNA(VLOOKUP('Comp X - Kilter'!B1843,'Kilter Holds'!$P$37:$AB$662,10,0),0)</f>
        <v>#NAME?</v>
      </c>
      <c r="F1843" s="274"/>
      <c r="G1843" s="274" t="e">
        <f t="shared" ca="1" si="63"/>
        <v>#NAME?</v>
      </c>
      <c r="H1843" s="274">
        <f t="shared" si="64"/>
        <v>0</v>
      </c>
      <c r="K1843" s="274"/>
    </row>
    <row r="1844" spans="2:11" ht="13.5" customHeight="1">
      <c r="B1844" s="209" t="s">
        <v>1979</v>
      </c>
      <c r="C1844" s="209" t="s">
        <v>3474</v>
      </c>
      <c r="D1844" s="414" t="str">
        <f t="shared" si="68"/>
        <v>11-26</v>
      </c>
      <c r="E1844" s="273" t="e">
        <f ca="1">_xludf.IFNA(VLOOKUP('Comp X - Kilter'!B1844,'Kilter Holds'!$P$37:$AB$662,11,0),0)</f>
        <v>#NAME?</v>
      </c>
      <c r="F1844" s="274"/>
      <c r="G1844" s="274" t="e">
        <f t="shared" ca="1" si="63"/>
        <v>#NAME?</v>
      </c>
      <c r="H1844" s="274">
        <f t="shared" si="64"/>
        <v>0</v>
      </c>
      <c r="K1844" s="274"/>
    </row>
    <row r="1845" spans="2:11" ht="13.5" customHeight="1">
      <c r="B1845" s="209" t="s">
        <v>1979</v>
      </c>
      <c r="C1845" s="209" t="s">
        <v>3474</v>
      </c>
      <c r="D1845" s="415" t="str">
        <f t="shared" si="68"/>
        <v>18-01</v>
      </c>
      <c r="E1845" s="273" t="e">
        <f ca="1">_xludf.IFNA(VLOOKUP('Comp X - Kilter'!B1845,'Kilter Holds'!$P$37:$AB$662,12,0),0)</f>
        <v>#NAME?</v>
      </c>
      <c r="F1845" s="274"/>
      <c r="G1845" s="274" t="e">
        <f t="shared" ca="1" si="63"/>
        <v>#NAME?</v>
      </c>
      <c r="H1845" s="274">
        <f t="shared" si="64"/>
        <v>0</v>
      </c>
      <c r="K1845" s="274"/>
    </row>
    <row r="1846" spans="2:11" ht="13.5" customHeight="1">
      <c r="B1846" s="209" t="s">
        <v>1979</v>
      </c>
      <c r="C1846" s="209" t="s">
        <v>3474</v>
      </c>
      <c r="D1846" s="416" t="str">
        <f t="shared" si="68"/>
        <v>Color Code</v>
      </c>
      <c r="E1846" s="273" t="e">
        <f ca="1">_xludf.IFNA(VLOOKUP('Comp X - Kilter'!B1846,'Kilter Holds'!$P$37:$AB$662,13,0),0)</f>
        <v>#NAME?</v>
      </c>
      <c r="F1846" s="274"/>
      <c r="G1846" s="274" t="e">
        <f t="shared" ca="1" si="63"/>
        <v>#NAME?</v>
      </c>
      <c r="H1846" s="274">
        <f t="shared" si="64"/>
        <v>0</v>
      </c>
      <c r="K1846" s="274"/>
    </row>
    <row r="1847" spans="2:11" ht="13.5" customHeight="1">
      <c r="B1847" s="209" t="s">
        <v>1955</v>
      </c>
      <c r="C1847" s="209" t="s">
        <v>3475</v>
      </c>
      <c r="D1847" s="406" t="str">
        <f t="shared" si="68"/>
        <v>11-12</v>
      </c>
      <c r="E1847" s="273" t="e">
        <f ca="1">_xludf.IFNA(VLOOKUP('Comp X - Kilter'!B1847,'Kilter Holds'!$P$37:$AB$662,5,0),0)</f>
        <v>#NAME?</v>
      </c>
      <c r="F1847" s="274"/>
      <c r="G1847" s="274" t="e">
        <f t="shared" ca="1" si="63"/>
        <v>#NAME?</v>
      </c>
      <c r="H1847" s="274">
        <f t="shared" si="64"/>
        <v>0</v>
      </c>
      <c r="K1847" s="274"/>
    </row>
    <row r="1848" spans="2:11" ht="13.5" customHeight="1">
      <c r="B1848" s="209" t="s">
        <v>1955</v>
      </c>
      <c r="C1848" s="209" t="s">
        <v>3475</v>
      </c>
      <c r="D1848" s="408" t="str">
        <f t="shared" si="68"/>
        <v>14-01</v>
      </c>
      <c r="E1848" s="273" t="e">
        <f ca="1">_xludf.IFNA(VLOOKUP('Comp X - Kilter'!B1848,'Kilter Holds'!$P$37:$AB$662,6,0),0)</f>
        <v>#NAME?</v>
      </c>
      <c r="F1848" s="274"/>
      <c r="G1848" s="274" t="e">
        <f t="shared" ca="1" si="63"/>
        <v>#NAME?</v>
      </c>
      <c r="H1848" s="274">
        <f t="shared" si="64"/>
        <v>0</v>
      </c>
      <c r="K1848" s="274"/>
    </row>
    <row r="1849" spans="2:11" ht="13.5" customHeight="1">
      <c r="B1849" s="209" t="s">
        <v>1955</v>
      </c>
      <c r="C1849" s="209" t="s">
        <v>3475</v>
      </c>
      <c r="D1849" s="409" t="str">
        <f t="shared" si="68"/>
        <v>15-12</v>
      </c>
      <c r="E1849" s="273" t="e">
        <f ca="1">_xludf.IFNA(VLOOKUP('Comp X - Kilter'!B1849,'Kilter Holds'!$P$37:$AB$662,7,0),0)</f>
        <v>#NAME?</v>
      </c>
      <c r="F1849" s="274"/>
      <c r="G1849" s="274" t="e">
        <f t="shared" ca="1" si="63"/>
        <v>#NAME?</v>
      </c>
      <c r="H1849" s="274">
        <f t="shared" si="64"/>
        <v>0</v>
      </c>
      <c r="K1849" s="274"/>
    </row>
    <row r="1850" spans="2:11" ht="13.5" customHeight="1">
      <c r="B1850" s="209" t="s">
        <v>1955</v>
      </c>
      <c r="C1850" s="209" t="s">
        <v>3475</v>
      </c>
      <c r="D1850" s="410" t="str">
        <f t="shared" si="68"/>
        <v>16-16</v>
      </c>
      <c r="E1850" s="273" t="e">
        <f ca="1">_xludf.IFNA(VLOOKUP('Comp X - Kilter'!B1850,'Kilter Holds'!$P$37:$AB$662,8,0),0)</f>
        <v>#NAME?</v>
      </c>
      <c r="F1850" s="274"/>
      <c r="G1850" s="274" t="e">
        <f t="shared" ca="1" si="63"/>
        <v>#NAME?</v>
      </c>
      <c r="H1850" s="274">
        <f t="shared" si="64"/>
        <v>0</v>
      </c>
      <c r="K1850" s="274"/>
    </row>
    <row r="1851" spans="2:11" ht="13.5" customHeight="1">
      <c r="B1851" s="209" t="s">
        <v>1955</v>
      </c>
      <c r="C1851" s="209" t="s">
        <v>3475</v>
      </c>
      <c r="D1851" s="411" t="str">
        <f t="shared" si="68"/>
        <v>13-01</v>
      </c>
      <c r="E1851" s="273" t="e">
        <f ca="1">_xludf.IFNA(VLOOKUP('Comp X - Kilter'!B1851,'Kilter Holds'!$P$37:$AB$662,9,0),0)</f>
        <v>#NAME?</v>
      </c>
      <c r="F1851" s="274"/>
      <c r="G1851" s="274" t="e">
        <f t="shared" ca="1" si="63"/>
        <v>#NAME?</v>
      </c>
      <c r="H1851" s="274">
        <f t="shared" si="64"/>
        <v>0</v>
      </c>
      <c r="K1851" s="274"/>
    </row>
    <row r="1852" spans="2:11" ht="13.5" customHeight="1">
      <c r="B1852" s="209" t="s">
        <v>1955</v>
      </c>
      <c r="C1852" s="209" t="s">
        <v>3475</v>
      </c>
      <c r="D1852" s="413" t="str">
        <f t="shared" si="68"/>
        <v>07-13</v>
      </c>
      <c r="E1852" s="273" t="e">
        <f ca="1">_xludf.IFNA(VLOOKUP('Comp X - Kilter'!B1852,'Kilter Holds'!$P$37:$AB$662,10,0),0)</f>
        <v>#NAME?</v>
      </c>
      <c r="F1852" s="274"/>
      <c r="G1852" s="274" t="e">
        <f t="shared" ca="1" si="63"/>
        <v>#NAME?</v>
      </c>
      <c r="H1852" s="274">
        <f t="shared" si="64"/>
        <v>0</v>
      </c>
      <c r="K1852" s="274"/>
    </row>
    <row r="1853" spans="2:11" ht="13.5" customHeight="1">
      <c r="B1853" s="209" t="s">
        <v>1955</v>
      </c>
      <c r="C1853" s="209" t="s">
        <v>3475</v>
      </c>
      <c r="D1853" s="414" t="str">
        <f t="shared" si="68"/>
        <v>11-26</v>
      </c>
      <c r="E1853" s="273" t="e">
        <f ca="1">_xludf.IFNA(VLOOKUP('Comp X - Kilter'!B1853,'Kilter Holds'!$P$37:$AB$662,11,0),0)</f>
        <v>#NAME?</v>
      </c>
      <c r="F1853" s="274"/>
      <c r="G1853" s="274" t="e">
        <f t="shared" ca="1" si="63"/>
        <v>#NAME?</v>
      </c>
      <c r="H1853" s="274">
        <f t="shared" si="64"/>
        <v>0</v>
      </c>
      <c r="K1853" s="274"/>
    </row>
    <row r="1854" spans="2:11" ht="13.5" customHeight="1">
      <c r="B1854" s="209" t="s">
        <v>1955</v>
      </c>
      <c r="C1854" s="209" t="s">
        <v>3475</v>
      </c>
      <c r="D1854" s="415" t="str">
        <f t="shared" si="68"/>
        <v>18-01</v>
      </c>
      <c r="E1854" s="273" t="e">
        <f ca="1">_xludf.IFNA(VLOOKUP('Comp X - Kilter'!B1854,'Kilter Holds'!$P$37:$AB$662,12,0),0)</f>
        <v>#NAME?</v>
      </c>
      <c r="F1854" s="274"/>
      <c r="G1854" s="274" t="e">
        <f t="shared" ca="1" si="63"/>
        <v>#NAME?</v>
      </c>
      <c r="H1854" s="274">
        <f t="shared" si="64"/>
        <v>0</v>
      </c>
      <c r="K1854" s="274"/>
    </row>
    <row r="1855" spans="2:11" ht="13.5" customHeight="1">
      <c r="B1855" s="209" t="s">
        <v>1955</v>
      </c>
      <c r="C1855" s="209" t="s">
        <v>3475</v>
      </c>
      <c r="D1855" s="416" t="str">
        <f t="shared" si="68"/>
        <v>Color Code</v>
      </c>
      <c r="E1855" s="273" t="e">
        <f ca="1">_xludf.IFNA(VLOOKUP('Comp X - Kilter'!B1855,'Kilter Holds'!$P$37:$AB$662,13,0),0)</f>
        <v>#NAME?</v>
      </c>
      <c r="F1855" s="274"/>
      <c r="G1855" s="274" t="e">
        <f t="shared" ca="1" si="63"/>
        <v>#NAME?</v>
      </c>
      <c r="H1855" s="274">
        <f t="shared" si="64"/>
        <v>0</v>
      </c>
      <c r="K1855" s="274"/>
    </row>
    <row r="1856" spans="2:11" ht="13.5" customHeight="1">
      <c r="B1856" s="209" t="s">
        <v>1956</v>
      </c>
      <c r="C1856" s="209" t="s">
        <v>3476</v>
      </c>
      <c r="D1856" s="406" t="str">
        <f t="shared" si="68"/>
        <v>11-12</v>
      </c>
      <c r="E1856" s="273" t="e">
        <f ca="1">_xludf.IFNA(VLOOKUP('Comp X - Kilter'!B1856,'Kilter Holds'!$P$37:$AB$662,5,0),0)</f>
        <v>#NAME?</v>
      </c>
      <c r="F1856" s="274"/>
      <c r="G1856" s="274" t="e">
        <f t="shared" ca="1" si="63"/>
        <v>#NAME?</v>
      </c>
      <c r="H1856" s="274">
        <f t="shared" si="64"/>
        <v>0</v>
      </c>
      <c r="K1856" s="274"/>
    </row>
    <row r="1857" spans="2:11" ht="13.5" customHeight="1">
      <c r="B1857" s="209" t="s">
        <v>1956</v>
      </c>
      <c r="C1857" s="209" t="s">
        <v>3476</v>
      </c>
      <c r="D1857" s="408" t="str">
        <f t="shared" si="68"/>
        <v>14-01</v>
      </c>
      <c r="E1857" s="273" t="e">
        <f ca="1">_xludf.IFNA(VLOOKUP('Comp X - Kilter'!B1857,'Kilter Holds'!$P$37:$AB$662,6,0),0)</f>
        <v>#NAME?</v>
      </c>
      <c r="F1857" s="274"/>
      <c r="G1857" s="274" t="e">
        <f t="shared" ca="1" si="63"/>
        <v>#NAME?</v>
      </c>
      <c r="H1857" s="274">
        <f t="shared" si="64"/>
        <v>0</v>
      </c>
      <c r="K1857" s="274"/>
    </row>
    <row r="1858" spans="2:11" ht="13.5" customHeight="1">
      <c r="B1858" s="209" t="s">
        <v>1956</v>
      </c>
      <c r="C1858" s="209" t="s">
        <v>3476</v>
      </c>
      <c r="D1858" s="409" t="str">
        <f t="shared" si="68"/>
        <v>15-12</v>
      </c>
      <c r="E1858" s="273" t="e">
        <f ca="1">_xludf.IFNA(VLOOKUP('Comp X - Kilter'!B1858,'Kilter Holds'!$P$37:$AB$662,7,0),0)</f>
        <v>#NAME?</v>
      </c>
      <c r="F1858" s="274"/>
      <c r="G1858" s="274" t="e">
        <f t="shared" ca="1" si="63"/>
        <v>#NAME?</v>
      </c>
      <c r="H1858" s="274">
        <f t="shared" si="64"/>
        <v>0</v>
      </c>
      <c r="K1858" s="274"/>
    </row>
    <row r="1859" spans="2:11" ht="13.5" customHeight="1">
      <c r="B1859" s="209" t="s">
        <v>1956</v>
      </c>
      <c r="C1859" s="209" t="s">
        <v>3476</v>
      </c>
      <c r="D1859" s="410" t="str">
        <f t="shared" si="68"/>
        <v>16-16</v>
      </c>
      <c r="E1859" s="273" t="e">
        <f ca="1">_xludf.IFNA(VLOOKUP('Comp X - Kilter'!B1859,'Kilter Holds'!$P$37:$AB$662,8,0),0)</f>
        <v>#NAME?</v>
      </c>
      <c r="F1859" s="274"/>
      <c r="G1859" s="274" t="e">
        <f t="shared" ca="1" si="63"/>
        <v>#NAME?</v>
      </c>
      <c r="H1859" s="274">
        <f t="shared" si="64"/>
        <v>0</v>
      </c>
      <c r="K1859" s="274"/>
    </row>
    <row r="1860" spans="2:11" ht="13.5" customHeight="1">
      <c r="B1860" s="209" t="s">
        <v>1956</v>
      </c>
      <c r="C1860" s="209" t="s">
        <v>3476</v>
      </c>
      <c r="D1860" s="411" t="str">
        <f t="shared" si="68"/>
        <v>13-01</v>
      </c>
      <c r="E1860" s="273" t="e">
        <f ca="1">_xludf.IFNA(VLOOKUP('Comp X - Kilter'!B1860,'Kilter Holds'!$P$37:$AB$662,9,0),0)</f>
        <v>#NAME?</v>
      </c>
      <c r="F1860" s="274"/>
      <c r="G1860" s="274" t="e">
        <f t="shared" ca="1" si="63"/>
        <v>#NAME?</v>
      </c>
      <c r="H1860" s="274">
        <f t="shared" si="64"/>
        <v>0</v>
      </c>
      <c r="K1860" s="274"/>
    </row>
    <row r="1861" spans="2:11" ht="13.5" customHeight="1">
      <c r="B1861" s="209" t="s">
        <v>1956</v>
      </c>
      <c r="C1861" s="209" t="s">
        <v>3476</v>
      </c>
      <c r="D1861" s="413" t="str">
        <f t="shared" si="68"/>
        <v>07-13</v>
      </c>
      <c r="E1861" s="273" t="e">
        <f ca="1">_xludf.IFNA(VLOOKUP('Comp X - Kilter'!B1861,'Kilter Holds'!$P$37:$AB$662,10,0),0)</f>
        <v>#NAME?</v>
      </c>
      <c r="F1861" s="274"/>
      <c r="G1861" s="274" t="e">
        <f t="shared" ca="1" si="63"/>
        <v>#NAME?</v>
      </c>
      <c r="H1861" s="274">
        <f t="shared" si="64"/>
        <v>0</v>
      </c>
      <c r="K1861" s="274"/>
    </row>
    <row r="1862" spans="2:11" ht="13.5" customHeight="1">
      <c r="B1862" s="209" t="s">
        <v>1956</v>
      </c>
      <c r="C1862" s="209" t="s">
        <v>3476</v>
      </c>
      <c r="D1862" s="414" t="str">
        <f t="shared" si="68"/>
        <v>11-26</v>
      </c>
      <c r="E1862" s="273" t="e">
        <f ca="1">_xludf.IFNA(VLOOKUP('Comp X - Kilter'!B1862,'Kilter Holds'!$P$37:$AB$662,11,0),0)</f>
        <v>#NAME?</v>
      </c>
      <c r="F1862" s="274"/>
      <c r="G1862" s="274" t="e">
        <f t="shared" ca="1" si="63"/>
        <v>#NAME?</v>
      </c>
      <c r="H1862" s="274">
        <f t="shared" si="64"/>
        <v>0</v>
      </c>
      <c r="K1862" s="274"/>
    </row>
    <row r="1863" spans="2:11" ht="13.5" customHeight="1">
      <c r="B1863" s="209" t="s">
        <v>1956</v>
      </c>
      <c r="C1863" s="209" t="s">
        <v>3476</v>
      </c>
      <c r="D1863" s="415" t="str">
        <f t="shared" si="68"/>
        <v>18-01</v>
      </c>
      <c r="E1863" s="273" t="e">
        <f ca="1">_xludf.IFNA(VLOOKUP('Comp X - Kilter'!B1863,'Kilter Holds'!$P$37:$AB$662,12,0),0)</f>
        <v>#NAME?</v>
      </c>
      <c r="F1863" s="274"/>
      <c r="G1863" s="274" t="e">
        <f t="shared" ca="1" si="63"/>
        <v>#NAME?</v>
      </c>
      <c r="H1863" s="274">
        <f t="shared" si="64"/>
        <v>0</v>
      </c>
      <c r="K1863" s="274"/>
    </row>
    <row r="1864" spans="2:11" ht="13.5" customHeight="1">
      <c r="B1864" s="209" t="s">
        <v>1956</v>
      </c>
      <c r="C1864" s="209" t="s">
        <v>3476</v>
      </c>
      <c r="D1864" s="416" t="str">
        <f t="shared" si="68"/>
        <v>Color Code</v>
      </c>
      <c r="E1864" s="273" t="e">
        <f ca="1">_xludf.IFNA(VLOOKUP('Comp X - Kilter'!B1864,'Kilter Holds'!$P$37:$AB$662,13,0),0)</f>
        <v>#NAME?</v>
      </c>
      <c r="F1864" s="274"/>
      <c r="G1864" s="274" t="e">
        <f t="shared" ca="1" si="63"/>
        <v>#NAME?</v>
      </c>
      <c r="H1864" s="274">
        <f t="shared" si="64"/>
        <v>0</v>
      </c>
      <c r="K1864" s="274"/>
    </row>
    <row r="1865" spans="2:11" ht="13.5" customHeight="1">
      <c r="B1865" s="209" t="s">
        <v>1957</v>
      </c>
      <c r="C1865" s="209" t="s">
        <v>3477</v>
      </c>
      <c r="D1865" s="406" t="str">
        <f t="shared" ref="D1865:D1873" si="69">D1658</f>
        <v>11-12</v>
      </c>
      <c r="E1865" s="273" t="e">
        <f ca="1">_xludf.IFNA(VLOOKUP('Comp X - Kilter'!B1865,'Kilter Holds'!$P$37:$AB$662,5,0),0)</f>
        <v>#NAME?</v>
      </c>
      <c r="F1865" s="274"/>
      <c r="G1865" s="274" t="e">
        <f t="shared" ca="1" si="63"/>
        <v>#NAME?</v>
      </c>
      <c r="H1865" s="274">
        <f t="shared" si="64"/>
        <v>0</v>
      </c>
      <c r="K1865" s="274"/>
    </row>
    <row r="1866" spans="2:11" ht="13.5" customHeight="1">
      <c r="B1866" s="209" t="s">
        <v>1957</v>
      </c>
      <c r="C1866" s="209" t="s">
        <v>3477</v>
      </c>
      <c r="D1866" s="408" t="str">
        <f t="shared" si="69"/>
        <v>14-01</v>
      </c>
      <c r="E1866" s="273" t="e">
        <f ca="1">_xludf.IFNA(VLOOKUP('Comp X - Kilter'!B1866,'Kilter Holds'!$P$37:$AB$662,6,0),0)</f>
        <v>#NAME?</v>
      </c>
      <c r="F1866" s="274"/>
      <c r="G1866" s="274" t="e">
        <f t="shared" ca="1" si="63"/>
        <v>#NAME?</v>
      </c>
      <c r="H1866" s="274">
        <f t="shared" si="64"/>
        <v>0</v>
      </c>
      <c r="K1866" s="274"/>
    </row>
    <row r="1867" spans="2:11" ht="13.5" customHeight="1">
      <c r="B1867" s="209" t="s">
        <v>1957</v>
      </c>
      <c r="C1867" s="209" t="s">
        <v>3477</v>
      </c>
      <c r="D1867" s="409" t="str">
        <f t="shared" si="69"/>
        <v>15-12</v>
      </c>
      <c r="E1867" s="273" t="e">
        <f ca="1">_xludf.IFNA(VLOOKUP('Comp X - Kilter'!B1867,'Kilter Holds'!$P$37:$AB$662,7,0),0)</f>
        <v>#NAME?</v>
      </c>
      <c r="F1867" s="274"/>
      <c r="G1867" s="274" t="e">
        <f t="shared" ca="1" si="63"/>
        <v>#NAME?</v>
      </c>
      <c r="H1867" s="274">
        <f t="shared" si="64"/>
        <v>0</v>
      </c>
      <c r="K1867" s="274"/>
    </row>
    <row r="1868" spans="2:11" ht="13.5" customHeight="1">
      <c r="B1868" s="209" t="s">
        <v>1957</v>
      </c>
      <c r="C1868" s="209" t="s">
        <v>3477</v>
      </c>
      <c r="D1868" s="410" t="str">
        <f t="shared" si="69"/>
        <v>16-16</v>
      </c>
      <c r="E1868" s="273" t="e">
        <f ca="1">_xludf.IFNA(VLOOKUP('Comp X - Kilter'!B1868,'Kilter Holds'!$P$37:$AB$662,8,0),0)</f>
        <v>#NAME?</v>
      </c>
      <c r="F1868" s="274"/>
      <c r="G1868" s="274" t="e">
        <f t="shared" ca="1" si="63"/>
        <v>#NAME?</v>
      </c>
      <c r="H1868" s="274">
        <f t="shared" si="64"/>
        <v>0</v>
      </c>
      <c r="K1868" s="274"/>
    </row>
    <row r="1869" spans="2:11" ht="13.5" customHeight="1">
      <c r="B1869" s="209" t="s">
        <v>1957</v>
      </c>
      <c r="C1869" s="209" t="s">
        <v>3477</v>
      </c>
      <c r="D1869" s="411" t="str">
        <f t="shared" si="69"/>
        <v>13-01</v>
      </c>
      <c r="E1869" s="273" t="e">
        <f ca="1">_xludf.IFNA(VLOOKUP('Comp X - Kilter'!B1869,'Kilter Holds'!$P$37:$AB$662,9,0),0)</f>
        <v>#NAME?</v>
      </c>
      <c r="F1869" s="274"/>
      <c r="G1869" s="274" t="e">
        <f t="shared" ca="1" si="63"/>
        <v>#NAME?</v>
      </c>
      <c r="H1869" s="274">
        <f t="shared" si="64"/>
        <v>0</v>
      </c>
      <c r="K1869" s="274"/>
    </row>
    <row r="1870" spans="2:11" ht="13.5" customHeight="1">
      <c r="B1870" s="209" t="s">
        <v>1957</v>
      </c>
      <c r="C1870" s="209" t="s">
        <v>3477</v>
      </c>
      <c r="D1870" s="413" t="str">
        <f t="shared" si="69"/>
        <v>07-13</v>
      </c>
      <c r="E1870" s="273" t="e">
        <f ca="1">_xludf.IFNA(VLOOKUP('Comp X - Kilter'!B1870,'Kilter Holds'!$P$37:$AB$662,10,0),0)</f>
        <v>#NAME?</v>
      </c>
      <c r="F1870" s="274"/>
      <c r="G1870" s="274" t="e">
        <f t="shared" ca="1" si="63"/>
        <v>#NAME?</v>
      </c>
      <c r="H1870" s="274">
        <f t="shared" si="64"/>
        <v>0</v>
      </c>
      <c r="K1870" s="274"/>
    </row>
    <row r="1871" spans="2:11" ht="13.5" customHeight="1">
      <c r="B1871" s="209" t="s">
        <v>1957</v>
      </c>
      <c r="C1871" s="209" t="s">
        <v>3477</v>
      </c>
      <c r="D1871" s="414" t="str">
        <f t="shared" si="69"/>
        <v>11-26</v>
      </c>
      <c r="E1871" s="273" t="e">
        <f ca="1">_xludf.IFNA(VLOOKUP('Comp X - Kilter'!B1871,'Kilter Holds'!$P$37:$AB$662,11,0),0)</f>
        <v>#NAME?</v>
      </c>
      <c r="F1871" s="274"/>
      <c r="G1871" s="274" t="e">
        <f t="shared" ca="1" si="63"/>
        <v>#NAME?</v>
      </c>
      <c r="H1871" s="274">
        <f t="shared" si="64"/>
        <v>0</v>
      </c>
      <c r="K1871" s="274"/>
    </row>
    <row r="1872" spans="2:11" ht="13.5" customHeight="1">
      <c r="B1872" s="209" t="s">
        <v>1957</v>
      </c>
      <c r="C1872" s="209" t="s">
        <v>3477</v>
      </c>
      <c r="D1872" s="415" t="str">
        <f t="shared" si="69"/>
        <v>18-01</v>
      </c>
      <c r="E1872" s="273" t="e">
        <f ca="1">_xludf.IFNA(VLOOKUP('Comp X - Kilter'!B1872,'Kilter Holds'!$P$37:$AB$662,12,0),0)</f>
        <v>#NAME?</v>
      </c>
      <c r="F1872" s="274"/>
      <c r="G1872" s="274" t="e">
        <f t="shared" ca="1" si="63"/>
        <v>#NAME?</v>
      </c>
      <c r="H1872" s="274">
        <f t="shared" si="64"/>
        <v>0</v>
      </c>
      <c r="K1872" s="274"/>
    </row>
    <row r="1873" spans="2:11" ht="13.5" customHeight="1">
      <c r="B1873" s="209" t="s">
        <v>1957</v>
      </c>
      <c r="C1873" s="209" t="s">
        <v>3477</v>
      </c>
      <c r="D1873" s="416" t="str">
        <f t="shared" si="69"/>
        <v>Color Code</v>
      </c>
      <c r="E1873" s="273" t="e">
        <f ca="1">_xludf.IFNA(VLOOKUP('Comp X - Kilter'!B1873,'Kilter Holds'!$P$37:$AB$662,13,0),0)</f>
        <v>#NAME?</v>
      </c>
      <c r="F1873" s="274"/>
      <c r="G1873" s="274" t="e">
        <f t="shared" ca="1" si="63"/>
        <v>#NAME?</v>
      </c>
      <c r="H1873" s="274">
        <f t="shared" si="64"/>
        <v>0</v>
      </c>
      <c r="K1873" s="274"/>
    </row>
    <row r="1874" spans="2:11" ht="13.5" customHeight="1">
      <c r="B1874" s="209" t="s">
        <v>1958</v>
      </c>
      <c r="C1874" s="209" t="s">
        <v>3478</v>
      </c>
      <c r="D1874" s="406" t="str">
        <f t="shared" ref="D1874:D1882" si="70">D1793</f>
        <v>11-12</v>
      </c>
      <c r="E1874" s="273" t="e">
        <f ca="1">_xludf.IFNA(VLOOKUP('Comp X - Kilter'!B1874,'Kilter Holds'!$P$37:$AB$662,5,0),0)</f>
        <v>#NAME?</v>
      </c>
      <c r="F1874" s="274"/>
      <c r="G1874" s="274" t="e">
        <f t="shared" ca="1" si="63"/>
        <v>#NAME?</v>
      </c>
      <c r="H1874" s="274">
        <f t="shared" si="64"/>
        <v>0</v>
      </c>
      <c r="K1874" s="274"/>
    </row>
    <row r="1875" spans="2:11" ht="13.5" customHeight="1">
      <c r="B1875" s="209" t="s">
        <v>1958</v>
      </c>
      <c r="C1875" s="209" t="s">
        <v>3478</v>
      </c>
      <c r="D1875" s="408" t="str">
        <f t="shared" si="70"/>
        <v>14-01</v>
      </c>
      <c r="E1875" s="273" t="e">
        <f ca="1">_xludf.IFNA(VLOOKUP('Comp X - Kilter'!B1875,'Kilter Holds'!$P$37:$AB$662,6,0),0)</f>
        <v>#NAME?</v>
      </c>
      <c r="F1875" s="274"/>
      <c r="G1875" s="274" t="e">
        <f t="shared" ca="1" si="63"/>
        <v>#NAME?</v>
      </c>
      <c r="H1875" s="274">
        <f t="shared" si="64"/>
        <v>0</v>
      </c>
      <c r="K1875" s="274"/>
    </row>
    <row r="1876" spans="2:11" ht="13.5" customHeight="1">
      <c r="B1876" s="209" t="s">
        <v>1958</v>
      </c>
      <c r="C1876" s="209" t="s">
        <v>3478</v>
      </c>
      <c r="D1876" s="409" t="str">
        <f t="shared" si="70"/>
        <v>15-12</v>
      </c>
      <c r="E1876" s="273" t="e">
        <f ca="1">_xludf.IFNA(VLOOKUP('Comp X - Kilter'!B1876,'Kilter Holds'!$P$37:$AB$662,7,0),0)</f>
        <v>#NAME?</v>
      </c>
      <c r="F1876" s="274"/>
      <c r="G1876" s="274" t="e">
        <f t="shared" ca="1" si="63"/>
        <v>#NAME?</v>
      </c>
      <c r="H1876" s="274">
        <f t="shared" si="64"/>
        <v>0</v>
      </c>
      <c r="K1876" s="274"/>
    </row>
    <row r="1877" spans="2:11" ht="13.5" customHeight="1">
      <c r="B1877" s="209" t="s">
        <v>1958</v>
      </c>
      <c r="C1877" s="209" t="s">
        <v>3478</v>
      </c>
      <c r="D1877" s="410" t="str">
        <f t="shared" si="70"/>
        <v>16-16</v>
      </c>
      <c r="E1877" s="273" t="e">
        <f ca="1">_xludf.IFNA(VLOOKUP('Comp X - Kilter'!B1877,'Kilter Holds'!$P$37:$AB$662,8,0),0)</f>
        <v>#NAME?</v>
      </c>
      <c r="F1877" s="274"/>
      <c r="G1877" s="274" t="e">
        <f t="shared" ca="1" si="63"/>
        <v>#NAME?</v>
      </c>
      <c r="H1877" s="274">
        <f t="shared" si="64"/>
        <v>0</v>
      </c>
      <c r="K1877" s="274"/>
    </row>
    <row r="1878" spans="2:11" ht="13.5" customHeight="1">
      <c r="B1878" s="209" t="s">
        <v>1958</v>
      </c>
      <c r="C1878" s="209" t="s">
        <v>3478</v>
      </c>
      <c r="D1878" s="411" t="str">
        <f t="shared" si="70"/>
        <v>13-01</v>
      </c>
      <c r="E1878" s="273" t="e">
        <f ca="1">_xludf.IFNA(VLOOKUP('Comp X - Kilter'!B1878,'Kilter Holds'!$P$37:$AB$662,9,0),0)</f>
        <v>#NAME?</v>
      </c>
      <c r="F1878" s="274"/>
      <c r="G1878" s="274" t="e">
        <f t="shared" ca="1" si="63"/>
        <v>#NAME?</v>
      </c>
      <c r="H1878" s="274">
        <f t="shared" si="64"/>
        <v>0</v>
      </c>
      <c r="K1878" s="274"/>
    </row>
    <row r="1879" spans="2:11" ht="13.5" customHeight="1">
      <c r="B1879" s="209" t="s">
        <v>1958</v>
      </c>
      <c r="C1879" s="209" t="s">
        <v>3478</v>
      </c>
      <c r="D1879" s="413" t="str">
        <f t="shared" si="70"/>
        <v>07-13</v>
      </c>
      <c r="E1879" s="273" t="e">
        <f ca="1">_xludf.IFNA(VLOOKUP('Comp X - Kilter'!B1879,'Kilter Holds'!$P$37:$AB$662,10,0),0)</f>
        <v>#NAME?</v>
      </c>
      <c r="F1879" s="274"/>
      <c r="G1879" s="274" t="e">
        <f t="shared" ca="1" si="63"/>
        <v>#NAME?</v>
      </c>
      <c r="H1879" s="274">
        <f t="shared" si="64"/>
        <v>0</v>
      </c>
      <c r="K1879" s="274"/>
    </row>
    <row r="1880" spans="2:11" ht="13.5" customHeight="1">
      <c r="B1880" s="209" t="s">
        <v>1958</v>
      </c>
      <c r="C1880" s="209" t="s">
        <v>3478</v>
      </c>
      <c r="D1880" s="414" t="str">
        <f t="shared" si="70"/>
        <v>11-26</v>
      </c>
      <c r="E1880" s="273" t="e">
        <f ca="1">_xludf.IFNA(VLOOKUP('Comp X - Kilter'!B1880,'Kilter Holds'!$P$37:$AB$662,11,0),0)</f>
        <v>#NAME?</v>
      </c>
      <c r="F1880" s="274"/>
      <c r="G1880" s="274" t="e">
        <f t="shared" ca="1" si="63"/>
        <v>#NAME?</v>
      </c>
      <c r="H1880" s="274">
        <f t="shared" si="64"/>
        <v>0</v>
      </c>
      <c r="K1880" s="274"/>
    </row>
    <row r="1881" spans="2:11" ht="13.5" customHeight="1">
      <c r="B1881" s="209" t="s">
        <v>1958</v>
      </c>
      <c r="C1881" s="209" t="s">
        <v>3478</v>
      </c>
      <c r="D1881" s="415" t="str">
        <f t="shared" si="70"/>
        <v>18-01</v>
      </c>
      <c r="E1881" s="273" t="e">
        <f ca="1">_xludf.IFNA(VLOOKUP('Comp X - Kilter'!B1881,'Kilter Holds'!$P$37:$AB$662,12,0),0)</f>
        <v>#NAME?</v>
      </c>
      <c r="F1881" s="274"/>
      <c r="G1881" s="274" t="e">
        <f t="shared" ca="1" si="63"/>
        <v>#NAME?</v>
      </c>
      <c r="H1881" s="274">
        <f t="shared" si="64"/>
        <v>0</v>
      </c>
      <c r="K1881" s="274"/>
    </row>
    <row r="1882" spans="2:11" ht="13.5" customHeight="1">
      <c r="B1882" s="209" t="s">
        <v>1958</v>
      </c>
      <c r="C1882" s="209" t="s">
        <v>3478</v>
      </c>
      <c r="D1882" s="416" t="str">
        <f t="shared" si="70"/>
        <v>Color Code</v>
      </c>
      <c r="E1882" s="273" t="e">
        <f ca="1">_xludf.IFNA(VLOOKUP('Comp X - Kilter'!B1882,'Kilter Holds'!$P$37:$AB$662,13,0),0)</f>
        <v>#NAME?</v>
      </c>
      <c r="F1882" s="274"/>
      <c r="G1882" s="274" t="e">
        <f t="shared" ca="1" si="63"/>
        <v>#NAME?</v>
      </c>
      <c r="H1882" s="274">
        <f t="shared" si="64"/>
        <v>0</v>
      </c>
      <c r="K1882" s="274"/>
    </row>
    <row r="1883" spans="2:11" ht="13.5" customHeight="1">
      <c r="B1883" s="209" t="s">
        <v>1959</v>
      </c>
      <c r="C1883" s="209" t="s">
        <v>3479</v>
      </c>
      <c r="D1883" s="406" t="str">
        <f t="shared" ref="D1883:D1900" si="71">D1811</f>
        <v>11-12</v>
      </c>
      <c r="E1883" s="273" t="e">
        <f ca="1">_xludf.IFNA(VLOOKUP('Comp X - Kilter'!B1883,'Kilter Holds'!$P$37:$AB$662,5,0),0)</f>
        <v>#NAME?</v>
      </c>
      <c r="F1883" s="274"/>
      <c r="G1883" s="274" t="e">
        <f t="shared" ca="1" si="63"/>
        <v>#NAME?</v>
      </c>
      <c r="H1883" s="274">
        <f t="shared" si="64"/>
        <v>0</v>
      </c>
      <c r="K1883" s="274"/>
    </row>
    <row r="1884" spans="2:11" ht="13.5" customHeight="1">
      <c r="B1884" s="209" t="s">
        <v>1959</v>
      </c>
      <c r="C1884" s="209" t="s">
        <v>3479</v>
      </c>
      <c r="D1884" s="408" t="str">
        <f t="shared" si="71"/>
        <v>14-01</v>
      </c>
      <c r="E1884" s="273" t="e">
        <f ca="1">_xludf.IFNA(VLOOKUP('Comp X - Kilter'!B1884,'Kilter Holds'!$P$37:$AB$662,6,0),0)</f>
        <v>#NAME?</v>
      </c>
      <c r="F1884" s="274"/>
      <c r="G1884" s="274" t="e">
        <f t="shared" ca="1" si="63"/>
        <v>#NAME?</v>
      </c>
      <c r="H1884" s="274">
        <f t="shared" si="64"/>
        <v>0</v>
      </c>
      <c r="K1884" s="274"/>
    </row>
    <row r="1885" spans="2:11" ht="13.5" customHeight="1">
      <c r="B1885" s="209" t="s">
        <v>1959</v>
      </c>
      <c r="C1885" s="209" t="s">
        <v>3479</v>
      </c>
      <c r="D1885" s="409" t="str">
        <f t="shared" si="71"/>
        <v>15-12</v>
      </c>
      <c r="E1885" s="273" t="e">
        <f ca="1">_xludf.IFNA(VLOOKUP('Comp X - Kilter'!B1885,'Kilter Holds'!$P$37:$AB$662,7,0),0)</f>
        <v>#NAME?</v>
      </c>
      <c r="F1885" s="274"/>
      <c r="G1885" s="274" t="e">
        <f t="shared" ca="1" si="63"/>
        <v>#NAME?</v>
      </c>
      <c r="H1885" s="274">
        <f t="shared" si="64"/>
        <v>0</v>
      </c>
      <c r="K1885" s="274"/>
    </row>
    <row r="1886" spans="2:11" ht="13.5" customHeight="1">
      <c r="B1886" s="209" t="s">
        <v>1959</v>
      </c>
      <c r="C1886" s="209" t="s">
        <v>3479</v>
      </c>
      <c r="D1886" s="410" t="str">
        <f t="shared" si="71"/>
        <v>16-16</v>
      </c>
      <c r="E1886" s="273" t="e">
        <f ca="1">_xludf.IFNA(VLOOKUP('Comp X - Kilter'!B1886,'Kilter Holds'!$P$37:$AB$662,8,0),0)</f>
        <v>#NAME?</v>
      </c>
      <c r="F1886" s="274"/>
      <c r="G1886" s="274" t="e">
        <f t="shared" ca="1" si="63"/>
        <v>#NAME?</v>
      </c>
      <c r="H1886" s="274">
        <f t="shared" si="64"/>
        <v>0</v>
      </c>
      <c r="K1886" s="274"/>
    </row>
    <row r="1887" spans="2:11" ht="13.5" customHeight="1">
      <c r="B1887" s="209" t="s">
        <v>1959</v>
      </c>
      <c r="C1887" s="209" t="s">
        <v>3479</v>
      </c>
      <c r="D1887" s="411" t="str">
        <f t="shared" si="71"/>
        <v>13-01</v>
      </c>
      <c r="E1887" s="273" t="e">
        <f ca="1">_xludf.IFNA(VLOOKUP('Comp X - Kilter'!B1887,'Kilter Holds'!$P$37:$AB$662,9,0),0)</f>
        <v>#NAME?</v>
      </c>
      <c r="F1887" s="274"/>
      <c r="G1887" s="274" t="e">
        <f t="shared" ca="1" si="63"/>
        <v>#NAME?</v>
      </c>
      <c r="H1887" s="274">
        <f t="shared" si="64"/>
        <v>0</v>
      </c>
      <c r="K1887" s="274"/>
    </row>
    <row r="1888" spans="2:11" ht="13.5" customHeight="1">
      <c r="B1888" s="209" t="s">
        <v>1959</v>
      </c>
      <c r="C1888" s="209" t="s">
        <v>3479</v>
      </c>
      <c r="D1888" s="413" t="str">
        <f t="shared" si="71"/>
        <v>07-13</v>
      </c>
      <c r="E1888" s="273" t="e">
        <f ca="1">_xludf.IFNA(VLOOKUP('Comp X - Kilter'!B1888,'Kilter Holds'!$P$37:$AB$662,10,0),0)</f>
        <v>#NAME?</v>
      </c>
      <c r="F1888" s="274"/>
      <c r="G1888" s="274" t="e">
        <f t="shared" ca="1" si="63"/>
        <v>#NAME?</v>
      </c>
      <c r="H1888" s="274">
        <f t="shared" si="64"/>
        <v>0</v>
      </c>
      <c r="K1888" s="274"/>
    </row>
    <row r="1889" spans="2:11" ht="13.5" customHeight="1">
      <c r="B1889" s="209" t="s">
        <v>1959</v>
      </c>
      <c r="C1889" s="209" t="s">
        <v>3479</v>
      </c>
      <c r="D1889" s="414" t="str">
        <f t="shared" si="71"/>
        <v>11-26</v>
      </c>
      <c r="E1889" s="273" t="e">
        <f ca="1">_xludf.IFNA(VLOOKUP('Comp X - Kilter'!B1889,'Kilter Holds'!$P$37:$AB$662,11,0),0)</f>
        <v>#NAME?</v>
      </c>
      <c r="F1889" s="274"/>
      <c r="G1889" s="274" t="e">
        <f t="shared" ca="1" si="63"/>
        <v>#NAME?</v>
      </c>
      <c r="H1889" s="274">
        <f t="shared" si="64"/>
        <v>0</v>
      </c>
      <c r="K1889" s="274"/>
    </row>
    <row r="1890" spans="2:11" ht="13.5" customHeight="1">
      <c r="B1890" s="209" t="s">
        <v>1959</v>
      </c>
      <c r="C1890" s="209" t="s">
        <v>3479</v>
      </c>
      <c r="D1890" s="415" t="str">
        <f t="shared" si="71"/>
        <v>18-01</v>
      </c>
      <c r="E1890" s="273" t="e">
        <f ca="1">_xludf.IFNA(VLOOKUP('Comp X - Kilter'!B1890,'Kilter Holds'!$P$37:$AB$662,12,0),0)</f>
        <v>#NAME?</v>
      </c>
      <c r="F1890" s="274"/>
      <c r="G1890" s="274" t="e">
        <f t="shared" ca="1" si="63"/>
        <v>#NAME?</v>
      </c>
      <c r="H1890" s="274">
        <f t="shared" si="64"/>
        <v>0</v>
      </c>
      <c r="K1890" s="274"/>
    </row>
    <row r="1891" spans="2:11" ht="13.5" customHeight="1">
      <c r="B1891" s="209" t="s">
        <v>1959</v>
      </c>
      <c r="C1891" s="209" t="s">
        <v>3479</v>
      </c>
      <c r="D1891" s="416" t="str">
        <f t="shared" si="71"/>
        <v>Color Code</v>
      </c>
      <c r="E1891" s="273" t="e">
        <f ca="1">_xludf.IFNA(VLOOKUP('Comp X - Kilter'!B1891,'Kilter Holds'!$P$37:$AB$662,13,0),0)</f>
        <v>#NAME?</v>
      </c>
      <c r="F1891" s="274"/>
      <c r="G1891" s="274" t="e">
        <f t="shared" ca="1" si="63"/>
        <v>#NAME?</v>
      </c>
      <c r="H1891" s="274">
        <f t="shared" si="64"/>
        <v>0</v>
      </c>
      <c r="K1891" s="274"/>
    </row>
    <row r="1892" spans="2:11" ht="13.5" customHeight="1">
      <c r="B1892" s="209" t="s">
        <v>1960</v>
      </c>
      <c r="C1892" s="209" t="s">
        <v>3480</v>
      </c>
      <c r="D1892" s="406" t="str">
        <f t="shared" si="71"/>
        <v>11-12</v>
      </c>
      <c r="E1892" s="273" t="e">
        <f ca="1">_xludf.IFNA(VLOOKUP('Comp X - Kilter'!B1892,'Kilter Holds'!$P$37:$AB$662,5,0),0)</f>
        <v>#NAME?</v>
      </c>
      <c r="F1892" s="274"/>
      <c r="G1892" s="274" t="e">
        <f t="shared" ca="1" si="63"/>
        <v>#NAME?</v>
      </c>
      <c r="H1892" s="274">
        <f t="shared" si="64"/>
        <v>0</v>
      </c>
      <c r="K1892" s="274"/>
    </row>
    <row r="1893" spans="2:11" ht="13.5" customHeight="1">
      <c r="B1893" s="209" t="s">
        <v>1960</v>
      </c>
      <c r="C1893" s="209" t="s">
        <v>3480</v>
      </c>
      <c r="D1893" s="408" t="str">
        <f t="shared" si="71"/>
        <v>14-01</v>
      </c>
      <c r="E1893" s="273" t="e">
        <f ca="1">_xludf.IFNA(VLOOKUP('Comp X - Kilter'!B1893,'Kilter Holds'!$P$37:$AB$662,6,0),0)</f>
        <v>#NAME?</v>
      </c>
      <c r="F1893" s="274"/>
      <c r="G1893" s="274" t="e">
        <f t="shared" ca="1" si="63"/>
        <v>#NAME?</v>
      </c>
      <c r="H1893" s="274">
        <f t="shared" si="64"/>
        <v>0</v>
      </c>
      <c r="K1893" s="274"/>
    </row>
    <row r="1894" spans="2:11" ht="13.5" customHeight="1">
      <c r="B1894" s="209" t="s">
        <v>1960</v>
      </c>
      <c r="C1894" s="209" t="s">
        <v>3480</v>
      </c>
      <c r="D1894" s="409" t="str">
        <f t="shared" si="71"/>
        <v>15-12</v>
      </c>
      <c r="E1894" s="273" t="e">
        <f ca="1">_xludf.IFNA(VLOOKUP('Comp X - Kilter'!B1894,'Kilter Holds'!$P$37:$AB$662,7,0),0)</f>
        <v>#NAME?</v>
      </c>
      <c r="F1894" s="274"/>
      <c r="G1894" s="274" t="e">
        <f t="shared" ca="1" si="63"/>
        <v>#NAME?</v>
      </c>
      <c r="H1894" s="274">
        <f t="shared" si="64"/>
        <v>0</v>
      </c>
      <c r="K1894" s="274"/>
    </row>
    <row r="1895" spans="2:11" ht="13.5" customHeight="1">
      <c r="B1895" s="209" t="s">
        <v>1960</v>
      </c>
      <c r="C1895" s="209" t="s">
        <v>3480</v>
      </c>
      <c r="D1895" s="410" t="str">
        <f t="shared" si="71"/>
        <v>16-16</v>
      </c>
      <c r="E1895" s="273" t="e">
        <f ca="1">_xludf.IFNA(VLOOKUP('Comp X - Kilter'!B1895,'Kilter Holds'!$P$37:$AB$662,8,0),0)</f>
        <v>#NAME?</v>
      </c>
      <c r="F1895" s="274"/>
      <c r="G1895" s="274" t="e">
        <f t="shared" ca="1" si="63"/>
        <v>#NAME?</v>
      </c>
      <c r="H1895" s="274">
        <f t="shared" si="64"/>
        <v>0</v>
      </c>
      <c r="K1895" s="274"/>
    </row>
    <row r="1896" spans="2:11" ht="13.5" customHeight="1">
      <c r="B1896" s="209" t="s">
        <v>1960</v>
      </c>
      <c r="C1896" s="209" t="s">
        <v>3480</v>
      </c>
      <c r="D1896" s="411" t="str">
        <f t="shared" si="71"/>
        <v>13-01</v>
      </c>
      <c r="E1896" s="273" t="e">
        <f ca="1">_xludf.IFNA(VLOOKUP('Comp X - Kilter'!B1896,'Kilter Holds'!$P$37:$AB$662,9,0),0)</f>
        <v>#NAME?</v>
      </c>
      <c r="F1896" s="274"/>
      <c r="G1896" s="274" t="e">
        <f t="shared" ca="1" si="63"/>
        <v>#NAME?</v>
      </c>
      <c r="H1896" s="274">
        <f t="shared" si="64"/>
        <v>0</v>
      </c>
      <c r="K1896" s="274"/>
    </row>
    <row r="1897" spans="2:11" ht="13.5" customHeight="1">
      <c r="B1897" s="209" t="s">
        <v>1960</v>
      </c>
      <c r="C1897" s="209" t="s">
        <v>3480</v>
      </c>
      <c r="D1897" s="413" t="str">
        <f t="shared" si="71"/>
        <v>07-13</v>
      </c>
      <c r="E1897" s="273" t="e">
        <f ca="1">_xludf.IFNA(VLOOKUP('Comp X - Kilter'!B1897,'Kilter Holds'!$P$37:$AB$662,10,0),0)</f>
        <v>#NAME?</v>
      </c>
      <c r="F1897" s="274"/>
      <c r="G1897" s="274" t="e">
        <f t="shared" ca="1" si="63"/>
        <v>#NAME?</v>
      </c>
      <c r="H1897" s="274">
        <f t="shared" si="64"/>
        <v>0</v>
      </c>
      <c r="K1897" s="274"/>
    </row>
    <row r="1898" spans="2:11" ht="13.5" customHeight="1">
      <c r="B1898" s="209" t="s">
        <v>1960</v>
      </c>
      <c r="C1898" s="209" t="s">
        <v>3480</v>
      </c>
      <c r="D1898" s="414" t="str">
        <f t="shared" si="71"/>
        <v>11-26</v>
      </c>
      <c r="E1898" s="273" t="e">
        <f ca="1">_xludf.IFNA(VLOOKUP('Comp X - Kilter'!B1898,'Kilter Holds'!$P$37:$AB$662,11,0),0)</f>
        <v>#NAME?</v>
      </c>
      <c r="F1898" s="274"/>
      <c r="G1898" s="274" t="e">
        <f t="shared" ca="1" si="63"/>
        <v>#NAME?</v>
      </c>
      <c r="H1898" s="274">
        <f t="shared" si="64"/>
        <v>0</v>
      </c>
      <c r="K1898" s="274"/>
    </row>
    <row r="1899" spans="2:11" ht="13.5" customHeight="1">
      <c r="B1899" s="209" t="s">
        <v>1960</v>
      </c>
      <c r="C1899" s="209" t="s">
        <v>3480</v>
      </c>
      <c r="D1899" s="415" t="str">
        <f t="shared" si="71"/>
        <v>18-01</v>
      </c>
      <c r="E1899" s="273" t="e">
        <f ca="1">_xludf.IFNA(VLOOKUP('Comp X - Kilter'!B1899,'Kilter Holds'!$P$37:$AB$662,12,0),0)</f>
        <v>#NAME?</v>
      </c>
      <c r="F1899" s="274"/>
      <c r="G1899" s="274" t="e">
        <f t="shared" ca="1" si="63"/>
        <v>#NAME?</v>
      </c>
      <c r="H1899" s="274">
        <f t="shared" si="64"/>
        <v>0</v>
      </c>
      <c r="K1899" s="274"/>
    </row>
    <row r="1900" spans="2:11" ht="13.5" customHeight="1">
      <c r="B1900" s="209" t="s">
        <v>1960</v>
      </c>
      <c r="C1900" s="209" t="s">
        <v>3480</v>
      </c>
      <c r="D1900" s="416" t="str">
        <f t="shared" si="71"/>
        <v>Color Code</v>
      </c>
      <c r="E1900" s="273" t="e">
        <f ca="1">_xludf.IFNA(VLOOKUP('Comp X - Kilter'!B1900,'Kilter Holds'!$P$37:$AB$662,13,0),0)</f>
        <v>#NAME?</v>
      </c>
      <c r="F1900" s="274"/>
      <c r="G1900" s="274" t="e">
        <f t="shared" ca="1" si="63"/>
        <v>#NAME?</v>
      </c>
      <c r="H1900" s="274">
        <f t="shared" si="64"/>
        <v>0</v>
      </c>
      <c r="K1900" s="274"/>
    </row>
    <row r="1901" spans="2:11" ht="13.5" customHeight="1">
      <c r="B1901" s="1" t="s">
        <v>1980</v>
      </c>
      <c r="C1901" s="1" t="s">
        <v>3481</v>
      </c>
      <c r="D1901" s="406" t="str">
        <f t="shared" ref="D1901:D1909" si="72">D1820</f>
        <v>11-12</v>
      </c>
      <c r="E1901" s="273" t="e">
        <f ca="1">_xludf.IFNA(VLOOKUP('Comp X - Kilter'!B1901,'Kilter Holds'!$P$37:$AB$662,5,0),0)</f>
        <v>#NAME?</v>
      </c>
      <c r="F1901" s="274"/>
      <c r="G1901" s="274" t="e">
        <f t="shared" ca="1" si="63"/>
        <v>#NAME?</v>
      </c>
      <c r="H1901" s="274">
        <f t="shared" si="64"/>
        <v>0</v>
      </c>
      <c r="K1901" s="274"/>
    </row>
    <row r="1902" spans="2:11" ht="13.5" customHeight="1">
      <c r="B1902" s="1" t="s">
        <v>1980</v>
      </c>
      <c r="C1902" s="1" t="s">
        <v>3481</v>
      </c>
      <c r="D1902" s="408" t="str">
        <f t="shared" si="72"/>
        <v>14-01</v>
      </c>
      <c r="E1902" s="273" t="e">
        <f ca="1">_xludf.IFNA(VLOOKUP('Comp X - Kilter'!B1902,'Kilter Holds'!$P$37:$AB$662,6,0),0)</f>
        <v>#NAME?</v>
      </c>
      <c r="F1902" s="274"/>
      <c r="G1902" s="274" t="e">
        <f t="shared" ca="1" si="63"/>
        <v>#NAME?</v>
      </c>
      <c r="H1902" s="274">
        <f t="shared" si="64"/>
        <v>0</v>
      </c>
      <c r="K1902" s="274"/>
    </row>
    <row r="1903" spans="2:11" ht="13.5" customHeight="1">
      <c r="B1903" s="1" t="s">
        <v>1980</v>
      </c>
      <c r="C1903" s="1" t="s">
        <v>3481</v>
      </c>
      <c r="D1903" s="409" t="str">
        <f t="shared" si="72"/>
        <v>15-12</v>
      </c>
      <c r="E1903" s="273" t="e">
        <f ca="1">_xludf.IFNA(VLOOKUP('Comp X - Kilter'!B1903,'Kilter Holds'!$P$37:$AB$662,7,0),0)</f>
        <v>#NAME?</v>
      </c>
      <c r="F1903" s="274"/>
      <c r="G1903" s="274" t="e">
        <f t="shared" ca="1" si="63"/>
        <v>#NAME?</v>
      </c>
      <c r="H1903" s="274">
        <f t="shared" si="64"/>
        <v>0</v>
      </c>
      <c r="K1903" s="274"/>
    </row>
    <row r="1904" spans="2:11" ht="13.5" customHeight="1">
      <c r="B1904" s="1" t="s">
        <v>1980</v>
      </c>
      <c r="C1904" s="1" t="s">
        <v>3481</v>
      </c>
      <c r="D1904" s="410" t="str">
        <f t="shared" si="72"/>
        <v>16-16</v>
      </c>
      <c r="E1904" s="273" t="e">
        <f ca="1">_xludf.IFNA(VLOOKUP('Comp X - Kilter'!B1904,'Kilter Holds'!$P$37:$AB$662,8,0),0)</f>
        <v>#NAME?</v>
      </c>
      <c r="F1904" s="274"/>
      <c r="G1904" s="274" t="e">
        <f t="shared" ca="1" si="63"/>
        <v>#NAME?</v>
      </c>
      <c r="H1904" s="274">
        <f t="shared" si="64"/>
        <v>0</v>
      </c>
      <c r="K1904" s="274"/>
    </row>
    <row r="1905" spans="2:11" ht="13.5" customHeight="1">
      <c r="B1905" s="1" t="s">
        <v>1980</v>
      </c>
      <c r="C1905" s="1" t="s">
        <v>3481</v>
      </c>
      <c r="D1905" s="411" t="str">
        <f t="shared" si="72"/>
        <v>13-01</v>
      </c>
      <c r="E1905" s="273" t="e">
        <f ca="1">_xludf.IFNA(VLOOKUP('Comp X - Kilter'!B1905,'Kilter Holds'!$P$37:$AB$662,9,0),0)</f>
        <v>#NAME?</v>
      </c>
      <c r="F1905" s="274"/>
      <c r="G1905" s="274" t="e">
        <f t="shared" ca="1" si="63"/>
        <v>#NAME?</v>
      </c>
      <c r="H1905" s="274">
        <f t="shared" si="64"/>
        <v>0</v>
      </c>
      <c r="K1905" s="274"/>
    </row>
    <row r="1906" spans="2:11" ht="13.5" customHeight="1">
      <c r="B1906" s="1" t="s">
        <v>1980</v>
      </c>
      <c r="C1906" s="1" t="s">
        <v>3481</v>
      </c>
      <c r="D1906" s="413" t="str">
        <f t="shared" si="72"/>
        <v>07-13</v>
      </c>
      <c r="E1906" s="273" t="e">
        <f ca="1">_xludf.IFNA(VLOOKUP('Comp X - Kilter'!B1906,'Kilter Holds'!$P$37:$AB$662,10,0),0)</f>
        <v>#NAME?</v>
      </c>
      <c r="F1906" s="274"/>
      <c r="G1906" s="274" t="e">
        <f t="shared" ca="1" si="63"/>
        <v>#NAME?</v>
      </c>
      <c r="H1906" s="274">
        <f t="shared" si="64"/>
        <v>0</v>
      </c>
      <c r="K1906" s="274"/>
    </row>
    <row r="1907" spans="2:11" ht="13.5" customHeight="1">
      <c r="B1907" s="1" t="s">
        <v>1980</v>
      </c>
      <c r="C1907" s="1" t="s">
        <v>3481</v>
      </c>
      <c r="D1907" s="414" t="str">
        <f t="shared" si="72"/>
        <v>11-26</v>
      </c>
      <c r="E1907" s="273" t="e">
        <f ca="1">_xludf.IFNA(VLOOKUP('Comp X - Kilter'!B1907,'Kilter Holds'!$P$37:$AB$662,11,0),0)</f>
        <v>#NAME?</v>
      </c>
      <c r="F1907" s="274"/>
      <c r="G1907" s="274" t="e">
        <f t="shared" ca="1" si="63"/>
        <v>#NAME?</v>
      </c>
      <c r="H1907" s="274">
        <f t="shared" si="64"/>
        <v>0</v>
      </c>
      <c r="K1907" s="274"/>
    </row>
    <row r="1908" spans="2:11" ht="13.5" customHeight="1">
      <c r="B1908" s="1" t="s">
        <v>1980</v>
      </c>
      <c r="C1908" s="1" t="s">
        <v>3481</v>
      </c>
      <c r="D1908" s="415" t="str">
        <f t="shared" si="72"/>
        <v>18-01</v>
      </c>
      <c r="E1908" s="273" t="e">
        <f ca="1">_xludf.IFNA(VLOOKUP('Comp X - Kilter'!B1908,'Kilter Holds'!$P$37:$AB$662,12,0),0)</f>
        <v>#NAME?</v>
      </c>
      <c r="F1908" s="274"/>
      <c r="G1908" s="274" t="e">
        <f t="shared" ca="1" si="63"/>
        <v>#NAME?</v>
      </c>
      <c r="H1908" s="274">
        <f t="shared" si="64"/>
        <v>0</v>
      </c>
      <c r="K1908" s="274"/>
    </row>
    <row r="1909" spans="2:11" ht="13.5" customHeight="1">
      <c r="B1909" s="1" t="s">
        <v>1980</v>
      </c>
      <c r="C1909" s="1" t="s">
        <v>3481</v>
      </c>
      <c r="D1909" s="416" t="str">
        <f t="shared" si="72"/>
        <v>Color Code</v>
      </c>
      <c r="E1909" s="273" t="e">
        <f ca="1">_xludf.IFNA(VLOOKUP('Comp X - Kilter'!B1909,'Kilter Holds'!$P$37:$AB$662,13,0),0)</f>
        <v>#NAME?</v>
      </c>
      <c r="F1909" s="274"/>
      <c r="G1909" s="274" t="e">
        <f t="shared" ca="1" si="63"/>
        <v>#NAME?</v>
      </c>
      <c r="H1909" s="274">
        <f t="shared" si="64"/>
        <v>0</v>
      </c>
      <c r="K1909" s="274"/>
    </row>
    <row r="1910" spans="2:11" ht="13.5" customHeight="1">
      <c r="B1910" s="1" t="s">
        <v>1981</v>
      </c>
      <c r="C1910" s="1" t="s">
        <v>3482</v>
      </c>
      <c r="D1910" s="406" t="str">
        <f t="shared" ref="D1910:D1918" si="73">D1820</f>
        <v>11-12</v>
      </c>
      <c r="E1910" s="273" t="e">
        <f ca="1">_xludf.IFNA(VLOOKUP('Comp X - Kilter'!B1910,'Kilter Holds'!$P$37:$AB$662,5,0),0)</f>
        <v>#NAME?</v>
      </c>
      <c r="F1910" s="274"/>
      <c r="G1910" s="274" t="e">
        <f t="shared" ca="1" si="63"/>
        <v>#NAME?</v>
      </c>
      <c r="H1910" s="274">
        <f t="shared" si="64"/>
        <v>0</v>
      </c>
      <c r="K1910" s="274"/>
    </row>
    <row r="1911" spans="2:11" ht="13.5" customHeight="1">
      <c r="B1911" s="1" t="s">
        <v>1981</v>
      </c>
      <c r="C1911" s="1" t="s">
        <v>3482</v>
      </c>
      <c r="D1911" s="408" t="str">
        <f t="shared" si="73"/>
        <v>14-01</v>
      </c>
      <c r="E1911" s="273" t="e">
        <f ca="1">_xludf.IFNA(VLOOKUP('Comp X - Kilter'!B1911,'Kilter Holds'!$P$37:$AB$662,6,0),0)</f>
        <v>#NAME?</v>
      </c>
      <c r="F1911" s="274"/>
      <c r="G1911" s="274" t="e">
        <f t="shared" ca="1" si="63"/>
        <v>#NAME?</v>
      </c>
      <c r="H1911" s="274">
        <f t="shared" si="64"/>
        <v>0</v>
      </c>
      <c r="K1911" s="274"/>
    </row>
    <row r="1912" spans="2:11" ht="13.5" customHeight="1">
      <c r="B1912" s="1" t="s">
        <v>1981</v>
      </c>
      <c r="C1912" s="1" t="s">
        <v>3482</v>
      </c>
      <c r="D1912" s="409" t="str">
        <f t="shared" si="73"/>
        <v>15-12</v>
      </c>
      <c r="E1912" s="273" t="e">
        <f ca="1">_xludf.IFNA(VLOOKUP('Comp X - Kilter'!B1912,'Kilter Holds'!$P$37:$AB$662,7,0),0)</f>
        <v>#NAME?</v>
      </c>
      <c r="F1912" s="274"/>
      <c r="G1912" s="274" t="e">
        <f t="shared" ca="1" si="63"/>
        <v>#NAME?</v>
      </c>
      <c r="H1912" s="274">
        <f t="shared" si="64"/>
        <v>0</v>
      </c>
      <c r="K1912" s="274"/>
    </row>
    <row r="1913" spans="2:11" ht="13.5" customHeight="1">
      <c r="B1913" s="1" t="s">
        <v>1981</v>
      </c>
      <c r="C1913" s="1" t="s">
        <v>3482</v>
      </c>
      <c r="D1913" s="410" t="str">
        <f t="shared" si="73"/>
        <v>16-16</v>
      </c>
      <c r="E1913" s="273" t="e">
        <f ca="1">_xludf.IFNA(VLOOKUP('Comp X - Kilter'!B1913,'Kilter Holds'!$P$37:$AB$662,8,0),0)</f>
        <v>#NAME?</v>
      </c>
      <c r="F1913" s="274"/>
      <c r="G1913" s="274" t="e">
        <f t="shared" ca="1" si="63"/>
        <v>#NAME?</v>
      </c>
      <c r="H1913" s="274">
        <f t="shared" si="64"/>
        <v>0</v>
      </c>
      <c r="K1913" s="274"/>
    </row>
    <row r="1914" spans="2:11" ht="13.5" customHeight="1">
      <c r="B1914" s="1" t="s">
        <v>1981</v>
      </c>
      <c r="C1914" s="1" t="s">
        <v>3482</v>
      </c>
      <c r="D1914" s="411" t="str">
        <f t="shared" si="73"/>
        <v>13-01</v>
      </c>
      <c r="E1914" s="273" t="e">
        <f ca="1">_xludf.IFNA(VLOOKUP('Comp X - Kilter'!B1914,'Kilter Holds'!$P$37:$AB$662,9,0),0)</f>
        <v>#NAME?</v>
      </c>
      <c r="F1914" s="274"/>
      <c r="G1914" s="274" t="e">
        <f t="shared" ca="1" si="63"/>
        <v>#NAME?</v>
      </c>
      <c r="H1914" s="274">
        <f t="shared" si="64"/>
        <v>0</v>
      </c>
      <c r="K1914" s="274"/>
    </row>
    <row r="1915" spans="2:11" ht="13.5" customHeight="1">
      <c r="B1915" s="1" t="s">
        <v>1981</v>
      </c>
      <c r="C1915" s="1" t="s">
        <v>3482</v>
      </c>
      <c r="D1915" s="413" t="str">
        <f t="shared" si="73"/>
        <v>07-13</v>
      </c>
      <c r="E1915" s="273" t="e">
        <f ca="1">_xludf.IFNA(VLOOKUP('Comp X - Kilter'!B1915,'Kilter Holds'!$P$37:$AB$662,10,0),0)</f>
        <v>#NAME?</v>
      </c>
      <c r="F1915" s="274"/>
      <c r="G1915" s="274" t="e">
        <f t="shared" ca="1" si="63"/>
        <v>#NAME?</v>
      </c>
      <c r="H1915" s="274">
        <f t="shared" si="64"/>
        <v>0</v>
      </c>
      <c r="K1915" s="274"/>
    </row>
    <row r="1916" spans="2:11" ht="13.5" customHeight="1">
      <c r="B1916" s="1" t="s">
        <v>1981</v>
      </c>
      <c r="C1916" s="1" t="s">
        <v>3482</v>
      </c>
      <c r="D1916" s="414" t="str">
        <f t="shared" si="73"/>
        <v>11-26</v>
      </c>
      <c r="E1916" s="273" t="e">
        <f ca="1">_xludf.IFNA(VLOOKUP('Comp X - Kilter'!B1916,'Kilter Holds'!$P$37:$AB$662,11,0),0)</f>
        <v>#NAME?</v>
      </c>
      <c r="F1916" s="274"/>
      <c r="G1916" s="274" t="e">
        <f t="shared" ca="1" si="63"/>
        <v>#NAME?</v>
      </c>
      <c r="H1916" s="274">
        <f t="shared" si="64"/>
        <v>0</v>
      </c>
      <c r="K1916" s="274"/>
    </row>
    <row r="1917" spans="2:11" ht="13.5" customHeight="1">
      <c r="B1917" s="1" t="s">
        <v>1981</v>
      </c>
      <c r="C1917" s="1" t="s">
        <v>3482</v>
      </c>
      <c r="D1917" s="415" t="str">
        <f t="shared" si="73"/>
        <v>18-01</v>
      </c>
      <c r="E1917" s="273" t="e">
        <f ca="1">_xludf.IFNA(VLOOKUP('Comp X - Kilter'!B1917,'Kilter Holds'!$P$37:$AB$662,12,0),0)</f>
        <v>#NAME?</v>
      </c>
      <c r="F1917" s="274"/>
      <c r="G1917" s="274" t="e">
        <f t="shared" ca="1" si="63"/>
        <v>#NAME?</v>
      </c>
      <c r="H1917" s="274">
        <f t="shared" si="64"/>
        <v>0</v>
      </c>
      <c r="K1917" s="274"/>
    </row>
    <row r="1918" spans="2:11" ht="13.5" customHeight="1">
      <c r="B1918" s="1" t="s">
        <v>1981</v>
      </c>
      <c r="C1918" s="1" t="s">
        <v>3482</v>
      </c>
      <c r="D1918" s="416" t="str">
        <f t="shared" si="73"/>
        <v>Color Code</v>
      </c>
      <c r="E1918" s="273" t="e">
        <f ca="1">_xludf.IFNA(VLOOKUP('Comp X - Kilter'!B1918,'Kilter Holds'!$P$37:$AB$662,13,0),0)</f>
        <v>#NAME?</v>
      </c>
      <c r="F1918" s="274"/>
      <c r="G1918" s="274" t="e">
        <f t="shared" ca="1" si="63"/>
        <v>#NAME?</v>
      </c>
      <c r="H1918" s="274">
        <f t="shared" si="64"/>
        <v>0</v>
      </c>
      <c r="K1918" s="274"/>
    </row>
    <row r="1919" spans="2:11" ht="13.5" customHeight="1">
      <c r="B1919" s="1" t="s">
        <v>1982</v>
      </c>
      <c r="C1919" s="1" t="s">
        <v>3483</v>
      </c>
      <c r="D1919" s="406" t="str">
        <f t="shared" ref="D1919:D1963" si="74">D1820</f>
        <v>11-12</v>
      </c>
      <c r="E1919" s="273" t="e">
        <f ca="1">_xludf.IFNA(VLOOKUP('Comp X - Kilter'!B1919,'Kilter Holds'!$P$37:$AB$662,5,0),0)</f>
        <v>#NAME?</v>
      </c>
      <c r="F1919" s="274"/>
      <c r="G1919" s="274" t="e">
        <f t="shared" ca="1" si="63"/>
        <v>#NAME?</v>
      </c>
      <c r="H1919" s="274">
        <f t="shared" si="64"/>
        <v>0</v>
      </c>
      <c r="K1919" s="274"/>
    </row>
    <row r="1920" spans="2:11" ht="13.5" customHeight="1">
      <c r="B1920" s="1" t="s">
        <v>1982</v>
      </c>
      <c r="C1920" s="1" t="s">
        <v>3483</v>
      </c>
      <c r="D1920" s="408" t="str">
        <f t="shared" si="74"/>
        <v>14-01</v>
      </c>
      <c r="E1920" s="273" t="e">
        <f ca="1">_xludf.IFNA(VLOOKUP('Comp X - Kilter'!B1920,'Kilter Holds'!$P$37:$AB$662,6,0),0)</f>
        <v>#NAME?</v>
      </c>
      <c r="F1920" s="274"/>
      <c r="G1920" s="274" t="e">
        <f t="shared" ca="1" si="63"/>
        <v>#NAME?</v>
      </c>
      <c r="H1920" s="274">
        <f t="shared" si="64"/>
        <v>0</v>
      </c>
      <c r="K1920" s="274"/>
    </row>
    <row r="1921" spans="2:11" ht="13.5" customHeight="1">
      <c r="B1921" s="1" t="s">
        <v>1982</v>
      </c>
      <c r="C1921" s="1" t="s">
        <v>3483</v>
      </c>
      <c r="D1921" s="409" t="str">
        <f t="shared" si="74"/>
        <v>15-12</v>
      </c>
      <c r="E1921" s="273" t="e">
        <f ca="1">_xludf.IFNA(VLOOKUP('Comp X - Kilter'!B1921,'Kilter Holds'!$P$37:$AB$662,7,0),0)</f>
        <v>#NAME?</v>
      </c>
      <c r="F1921" s="274"/>
      <c r="G1921" s="274" t="e">
        <f t="shared" ca="1" si="63"/>
        <v>#NAME?</v>
      </c>
      <c r="H1921" s="274">
        <f t="shared" si="64"/>
        <v>0</v>
      </c>
      <c r="K1921" s="274"/>
    </row>
    <row r="1922" spans="2:11" ht="13.5" customHeight="1">
      <c r="B1922" s="1" t="s">
        <v>1982</v>
      </c>
      <c r="C1922" s="1" t="s">
        <v>3483</v>
      </c>
      <c r="D1922" s="410" t="str">
        <f t="shared" si="74"/>
        <v>16-16</v>
      </c>
      <c r="E1922" s="273" t="e">
        <f ca="1">_xludf.IFNA(VLOOKUP('Comp X - Kilter'!B1922,'Kilter Holds'!$P$37:$AB$662,8,0),0)</f>
        <v>#NAME?</v>
      </c>
      <c r="F1922" s="274"/>
      <c r="G1922" s="274" t="e">
        <f t="shared" ca="1" si="63"/>
        <v>#NAME?</v>
      </c>
      <c r="H1922" s="274">
        <f t="shared" si="64"/>
        <v>0</v>
      </c>
      <c r="K1922" s="274"/>
    </row>
    <row r="1923" spans="2:11" ht="13.5" customHeight="1">
      <c r="B1923" s="1" t="s">
        <v>1982</v>
      </c>
      <c r="C1923" s="1" t="s">
        <v>3483</v>
      </c>
      <c r="D1923" s="411" t="str">
        <f t="shared" si="74"/>
        <v>13-01</v>
      </c>
      <c r="E1923" s="273" t="e">
        <f ca="1">_xludf.IFNA(VLOOKUP('Comp X - Kilter'!B1923,'Kilter Holds'!$P$37:$AB$662,9,0),0)</f>
        <v>#NAME?</v>
      </c>
      <c r="F1923" s="274"/>
      <c r="G1923" s="274" t="e">
        <f t="shared" ca="1" si="63"/>
        <v>#NAME?</v>
      </c>
      <c r="H1923" s="274">
        <f t="shared" si="64"/>
        <v>0</v>
      </c>
      <c r="K1923" s="274"/>
    </row>
    <row r="1924" spans="2:11" ht="13.5" customHeight="1">
      <c r="B1924" s="1" t="s">
        <v>1982</v>
      </c>
      <c r="C1924" s="1" t="s">
        <v>3483</v>
      </c>
      <c r="D1924" s="413" t="str">
        <f t="shared" si="74"/>
        <v>07-13</v>
      </c>
      <c r="E1924" s="273" t="e">
        <f ca="1">_xludf.IFNA(VLOOKUP('Comp X - Kilter'!B1924,'Kilter Holds'!$P$37:$AB$662,10,0),0)</f>
        <v>#NAME?</v>
      </c>
      <c r="F1924" s="274"/>
      <c r="G1924" s="274" t="e">
        <f t="shared" ca="1" si="63"/>
        <v>#NAME?</v>
      </c>
      <c r="H1924" s="274">
        <f t="shared" si="64"/>
        <v>0</v>
      </c>
      <c r="K1924" s="274"/>
    </row>
    <row r="1925" spans="2:11" ht="13.5" customHeight="1">
      <c r="B1925" s="1" t="s">
        <v>1982</v>
      </c>
      <c r="C1925" s="1" t="s">
        <v>3483</v>
      </c>
      <c r="D1925" s="414" t="str">
        <f t="shared" si="74"/>
        <v>11-26</v>
      </c>
      <c r="E1925" s="273" t="e">
        <f ca="1">_xludf.IFNA(VLOOKUP('Comp X - Kilter'!B1925,'Kilter Holds'!$P$37:$AB$662,11,0),0)</f>
        <v>#NAME?</v>
      </c>
      <c r="F1925" s="274"/>
      <c r="G1925" s="274" t="e">
        <f t="shared" ca="1" si="63"/>
        <v>#NAME?</v>
      </c>
      <c r="H1925" s="274">
        <f t="shared" si="64"/>
        <v>0</v>
      </c>
      <c r="K1925" s="274"/>
    </row>
    <row r="1926" spans="2:11" ht="13.5" customHeight="1">
      <c r="B1926" s="1" t="s">
        <v>1982</v>
      </c>
      <c r="C1926" s="1" t="s">
        <v>3483</v>
      </c>
      <c r="D1926" s="415" t="str">
        <f t="shared" si="74"/>
        <v>18-01</v>
      </c>
      <c r="E1926" s="273" t="e">
        <f ca="1">_xludf.IFNA(VLOOKUP('Comp X - Kilter'!B1926,'Kilter Holds'!$P$37:$AB$662,12,0),0)</f>
        <v>#NAME?</v>
      </c>
      <c r="F1926" s="274"/>
      <c r="G1926" s="274" t="e">
        <f t="shared" ca="1" si="63"/>
        <v>#NAME?</v>
      </c>
      <c r="H1926" s="274">
        <f t="shared" si="64"/>
        <v>0</v>
      </c>
      <c r="K1926" s="274"/>
    </row>
    <row r="1927" spans="2:11" ht="13.5" customHeight="1">
      <c r="B1927" s="1" t="s">
        <v>1982</v>
      </c>
      <c r="C1927" s="1" t="s">
        <v>3483</v>
      </c>
      <c r="D1927" s="416" t="str">
        <f t="shared" si="74"/>
        <v>Color Code</v>
      </c>
      <c r="E1927" s="273" t="e">
        <f ca="1">_xludf.IFNA(VLOOKUP('Comp X - Kilter'!B1927,'Kilter Holds'!$P$37:$AB$662,13,0),0)</f>
        <v>#NAME?</v>
      </c>
      <c r="F1927" s="274"/>
      <c r="G1927" s="274" t="e">
        <f t="shared" ca="1" si="63"/>
        <v>#NAME?</v>
      </c>
      <c r="H1927" s="274">
        <f t="shared" si="64"/>
        <v>0</v>
      </c>
      <c r="K1927" s="274"/>
    </row>
    <row r="1928" spans="2:11" ht="13.5" customHeight="1">
      <c r="B1928" s="1" t="s">
        <v>1983</v>
      </c>
      <c r="C1928" s="1" t="s">
        <v>3484</v>
      </c>
      <c r="D1928" s="406" t="str">
        <f t="shared" si="74"/>
        <v>11-12</v>
      </c>
      <c r="E1928" s="273" t="e">
        <f ca="1">_xludf.IFNA(VLOOKUP('Comp X - Kilter'!B1928,'Kilter Holds'!$P$37:$AB$662,5,0),0)</f>
        <v>#NAME?</v>
      </c>
      <c r="F1928" s="274"/>
      <c r="G1928" s="274" t="e">
        <f t="shared" ca="1" si="63"/>
        <v>#NAME?</v>
      </c>
      <c r="H1928" s="274">
        <f t="shared" si="64"/>
        <v>0</v>
      </c>
      <c r="K1928" s="274"/>
    </row>
    <row r="1929" spans="2:11" ht="13.5" customHeight="1">
      <c r="B1929" s="1" t="s">
        <v>1983</v>
      </c>
      <c r="C1929" s="1" t="s">
        <v>3484</v>
      </c>
      <c r="D1929" s="408" t="str">
        <f t="shared" si="74"/>
        <v>14-01</v>
      </c>
      <c r="E1929" s="273" t="e">
        <f ca="1">_xludf.IFNA(VLOOKUP('Comp X - Kilter'!B1929,'Kilter Holds'!$P$37:$AB$662,6,0),0)</f>
        <v>#NAME?</v>
      </c>
      <c r="F1929" s="274"/>
      <c r="G1929" s="274" t="e">
        <f t="shared" ca="1" si="63"/>
        <v>#NAME?</v>
      </c>
      <c r="H1929" s="274">
        <f t="shared" si="64"/>
        <v>0</v>
      </c>
      <c r="K1929" s="274"/>
    </row>
    <row r="1930" spans="2:11" ht="13.5" customHeight="1">
      <c r="B1930" s="1" t="s">
        <v>1983</v>
      </c>
      <c r="C1930" s="1" t="s">
        <v>3484</v>
      </c>
      <c r="D1930" s="409" t="str">
        <f t="shared" si="74"/>
        <v>15-12</v>
      </c>
      <c r="E1930" s="273" t="e">
        <f ca="1">_xludf.IFNA(VLOOKUP('Comp X - Kilter'!B1930,'Kilter Holds'!$P$37:$AB$662,7,0),0)</f>
        <v>#NAME?</v>
      </c>
      <c r="F1930" s="274"/>
      <c r="G1930" s="274" t="e">
        <f t="shared" ca="1" si="63"/>
        <v>#NAME?</v>
      </c>
      <c r="H1930" s="274">
        <f t="shared" si="64"/>
        <v>0</v>
      </c>
      <c r="K1930" s="274"/>
    </row>
    <row r="1931" spans="2:11" ht="13.5" customHeight="1">
      <c r="B1931" s="1" t="s">
        <v>1983</v>
      </c>
      <c r="C1931" s="1" t="s">
        <v>3484</v>
      </c>
      <c r="D1931" s="410" t="str">
        <f t="shared" si="74"/>
        <v>16-16</v>
      </c>
      <c r="E1931" s="273" t="e">
        <f ca="1">_xludf.IFNA(VLOOKUP('Comp X - Kilter'!B1931,'Kilter Holds'!$P$37:$AB$662,8,0),0)</f>
        <v>#NAME?</v>
      </c>
      <c r="F1931" s="274"/>
      <c r="G1931" s="274" t="e">
        <f t="shared" ca="1" si="63"/>
        <v>#NAME?</v>
      </c>
      <c r="H1931" s="274">
        <f t="shared" si="64"/>
        <v>0</v>
      </c>
      <c r="K1931" s="274"/>
    </row>
    <row r="1932" spans="2:11" ht="13.5" customHeight="1">
      <c r="B1932" s="1" t="s">
        <v>1983</v>
      </c>
      <c r="C1932" s="1" t="s">
        <v>3484</v>
      </c>
      <c r="D1932" s="411" t="str">
        <f t="shared" si="74"/>
        <v>13-01</v>
      </c>
      <c r="E1932" s="273" t="e">
        <f ca="1">_xludf.IFNA(VLOOKUP('Comp X - Kilter'!B1932,'Kilter Holds'!$P$37:$AB$662,9,0),0)</f>
        <v>#NAME?</v>
      </c>
      <c r="F1932" s="274"/>
      <c r="G1932" s="274" t="e">
        <f t="shared" ca="1" si="63"/>
        <v>#NAME?</v>
      </c>
      <c r="H1932" s="274">
        <f t="shared" si="64"/>
        <v>0</v>
      </c>
      <c r="K1932" s="274"/>
    </row>
    <row r="1933" spans="2:11" ht="13.5" customHeight="1">
      <c r="B1933" s="1" t="s">
        <v>1983</v>
      </c>
      <c r="C1933" s="1" t="s">
        <v>3484</v>
      </c>
      <c r="D1933" s="413" t="str">
        <f t="shared" si="74"/>
        <v>07-13</v>
      </c>
      <c r="E1933" s="273" t="e">
        <f ca="1">_xludf.IFNA(VLOOKUP('Comp X - Kilter'!B1933,'Kilter Holds'!$P$37:$AB$662,10,0),0)</f>
        <v>#NAME?</v>
      </c>
      <c r="F1933" s="274"/>
      <c r="G1933" s="274" t="e">
        <f t="shared" ca="1" si="63"/>
        <v>#NAME?</v>
      </c>
      <c r="H1933" s="274">
        <f t="shared" si="64"/>
        <v>0</v>
      </c>
      <c r="K1933" s="274"/>
    </row>
    <row r="1934" spans="2:11" ht="13.5" customHeight="1">
      <c r="B1934" s="1" t="s">
        <v>1983</v>
      </c>
      <c r="C1934" s="1" t="s">
        <v>3484</v>
      </c>
      <c r="D1934" s="414" t="str">
        <f t="shared" si="74"/>
        <v>11-26</v>
      </c>
      <c r="E1934" s="273" t="e">
        <f ca="1">_xludf.IFNA(VLOOKUP('Comp X - Kilter'!B1934,'Kilter Holds'!$P$37:$AB$662,11,0),0)</f>
        <v>#NAME?</v>
      </c>
      <c r="F1934" s="274"/>
      <c r="G1934" s="274" t="e">
        <f t="shared" ca="1" si="63"/>
        <v>#NAME?</v>
      </c>
      <c r="H1934" s="274">
        <f t="shared" si="64"/>
        <v>0</v>
      </c>
      <c r="K1934" s="274"/>
    </row>
    <row r="1935" spans="2:11" ht="13.5" customHeight="1">
      <c r="B1935" s="1" t="s">
        <v>1983</v>
      </c>
      <c r="C1935" s="1" t="s">
        <v>3484</v>
      </c>
      <c r="D1935" s="415" t="str">
        <f t="shared" si="74"/>
        <v>18-01</v>
      </c>
      <c r="E1935" s="273" t="e">
        <f ca="1">_xludf.IFNA(VLOOKUP('Comp X - Kilter'!B1935,'Kilter Holds'!$P$37:$AB$662,12,0),0)</f>
        <v>#NAME?</v>
      </c>
      <c r="F1935" s="274"/>
      <c r="G1935" s="274" t="e">
        <f t="shared" ca="1" si="63"/>
        <v>#NAME?</v>
      </c>
      <c r="H1935" s="274">
        <f t="shared" si="64"/>
        <v>0</v>
      </c>
      <c r="K1935" s="274"/>
    </row>
    <row r="1936" spans="2:11" ht="13.5" customHeight="1">
      <c r="B1936" s="1" t="s">
        <v>1983</v>
      </c>
      <c r="C1936" s="1" t="s">
        <v>3484</v>
      </c>
      <c r="D1936" s="416" t="str">
        <f t="shared" si="74"/>
        <v>Color Code</v>
      </c>
      <c r="E1936" s="273" t="e">
        <f ca="1">_xludf.IFNA(VLOOKUP('Comp X - Kilter'!B1936,'Kilter Holds'!$P$37:$AB$662,13,0),0)</f>
        <v>#NAME?</v>
      </c>
      <c r="F1936" s="274"/>
      <c r="G1936" s="274" t="e">
        <f t="shared" ca="1" si="63"/>
        <v>#NAME?</v>
      </c>
      <c r="H1936" s="274">
        <f t="shared" si="64"/>
        <v>0</v>
      </c>
      <c r="K1936" s="274"/>
    </row>
    <row r="1937" spans="2:11" ht="13.5" customHeight="1">
      <c r="B1937" s="1" t="s">
        <v>1984</v>
      </c>
      <c r="C1937" s="1" t="s">
        <v>3485</v>
      </c>
      <c r="D1937" s="406" t="str">
        <f t="shared" si="74"/>
        <v>11-12</v>
      </c>
      <c r="E1937" s="273" t="e">
        <f ca="1">_xludf.IFNA(VLOOKUP('Comp X - Kilter'!B1937,'Kilter Holds'!$P$37:$AB$662,5,0),0)</f>
        <v>#NAME?</v>
      </c>
      <c r="F1937" s="274"/>
      <c r="G1937" s="274" t="e">
        <f t="shared" ca="1" si="63"/>
        <v>#NAME?</v>
      </c>
      <c r="H1937" s="274">
        <f t="shared" si="64"/>
        <v>0</v>
      </c>
      <c r="K1937" s="274"/>
    </row>
    <row r="1938" spans="2:11" ht="13.5" customHeight="1">
      <c r="B1938" s="1" t="s">
        <v>1984</v>
      </c>
      <c r="C1938" s="1" t="s">
        <v>3485</v>
      </c>
      <c r="D1938" s="408" t="str">
        <f t="shared" si="74"/>
        <v>14-01</v>
      </c>
      <c r="E1938" s="273" t="e">
        <f ca="1">_xludf.IFNA(VLOOKUP('Comp X - Kilter'!B1938,'Kilter Holds'!$P$37:$AB$662,6,0),0)</f>
        <v>#NAME?</v>
      </c>
      <c r="F1938" s="274"/>
      <c r="G1938" s="274" t="e">
        <f t="shared" ca="1" si="63"/>
        <v>#NAME?</v>
      </c>
      <c r="H1938" s="274">
        <f t="shared" si="64"/>
        <v>0</v>
      </c>
      <c r="K1938" s="274"/>
    </row>
    <row r="1939" spans="2:11" ht="13.5" customHeight="1">
      <c r="B1939" s="1" t="s">
        <v>1984</v>
      </c>
      <c r="C1939" s="1" t="s">
        <v>3485</v>
      </c>
      <c r="D1939" s="409" t="str">
        <f t="shared" si="74"/>
        <v>15-12</v>
      </c>
      <c r="E1939" s="273" t="e">
        <f ca="1">_xludf.IFNA(VLOOKUP('Comp X - Kilter'!B1939,'Kilter Holds'!$P$37:$AB$662,7,0),0)</f>
        <v>#NAME?</v>
      </c>
      <c r="F1939" s="274"/>
      <c r="G1939" s="274" t="e">
        <f t="shared" ca="1" si="63"/>
        <v>#NAME?</v>
      </c>
      <c r="H1939" s="274">
        <f t="shared" si="64"/>
        <v>0</v>
      </c>
      <c r="K1939" s="274"/>
    </row>
    <row r="1940" spans="2:11" ht="13.5" customHeight="1">
      <c r="B1940" s="1" t="s">
        <v>1984</v>
      </c>
      <c r="C1940" s="1" t="s">
        <v>3485</v>
      </c>
      <c r="D1940" s="410" t="str">
        <f t="shared" si="74"/>
        <v>16-16</v>
      </c>
      <c r="E1940" s="273" t="e">
        <f ca="1">_xludf.IFNA(VLOOKUP('Comp X - Kilter'!B1940,'Kilter Holds'!$P$37:$AB$662,8,0),0)</f>
        <v>#NAME?</v>
      </c>
      <c r="F1940" s="274"/>
      <c r="G1940" s="274" t="e">
        <f t="shared" ca="1" si="63"/>
        <v>#NAME?</v>
      </c>
      <c r="H1940" s="274">
        <f t="shared" si="64"/>
        <v>0</v>
      </c>
      <c r="K1940" s="274"/>
    </row>
    <row r="1941" spans="2:11" ht="13.5" customHeight="1">
      <c r="B1941" s="1" t="s">
        <v>1984</v>
      </c>
      <c r="C1941" s="1" t="s">
        <v>3485</v>
      </c>
      <c r="D1941" s="411" t="str">
        <f t="shared" si="74"/>
        <v>13-01</v>
      </c>
      <c r="E1941" s="273" t="e">
        <f ca="1">_xludf.IFNA(VLOOKUP('Comp X - Kilter'!B1941,'Kilter Holds'!$P$37:$AB$662,9,0),0)</f>
        <v>#NAME?</v>
      </c>
      <c r="F1941" s="274"/>
      <c r="G1941" s="274" t="e">
        <f t="shared" ca="1" si="63"/>
        <v>#NAME?</v>
      </c>
      <c r="H1941" s="274">
        <f t="shared" si="64"/>
        <v>0</v>
      </c>
      <c r="K1941" s="274"/>
    </row>
    <row r="1942" spans="2:11" ht="13.5" customHeight="1">
      <c r="B1942" s="1" t="s">
        <v>1984</v>
      </c>
      <c r="C1942" s="1" t="s">
        <v>3485</v>
      </c>
      <c r="D1942" s="413" t="str">
        <f t="shared" si="74"/>
        <v>07-13</v>
      </c>
      <c r="E1942" s="273" t="e">
        <f ca="1">_xludf.IFNA(VLOOKUP('Comp X - Kilter'!B1942,'Kilter Holds'!$P$37:$AB$662,10,0),0)</f>
        <v>#NAME?</v>
      </c>
      <c r="F1942" s="274"/>
      <c r="G1942" s="274" t="e">
        <f t="shared" ca="1" si="63"/>
        <v>#NAME?</v>
      </c>
      <c r="H1942" s="274">
        <f t="shared" si="64"/>
        <v>0</v>
      </c>
      <c r="K1942" s="274"/>
    </row>
    <row r="1943" spans="2:11" ht="13.5" customHeight="1">
      <c r="B1943" s="1" t="s">
        <v>1984</v>
      </c>
      <c r="C1943" s="1" t="s">
        <v>3485</v>
      </c>
      <c r="D1943" s="414" t="str">
        <f t="shared" si="74"/>
        <v>11-26</v>
      </c>
      <c r="E1943" s="273" t="e">
        <f ca="1">_xludf.IFNA(VLOOKUP('Comp X - Kilter'!B1943,'Kilter Holds'!$P$37:$AB$662,11,0),0)</f>
        <v>#NAME?</v>
      </c>
      <c r="F1943" s="274"/>
      <c r="G1943" s="274" t="e">
        <f t="shared" ca="1" si="63"/>
        <v>#NAME?</v>
      </c>
      <c r="H1943" s="274">
        <f t="shared" si="64"/>
        <v>0</v>
      </c>
      <c r="K1943" s="274"/>
    </row>
    <row r="1944" spans="2:11" ht="13.5" customHeight="1">
      <c r="B1944" s="1" t="s">
        <v>1984</v>
      </c>
      <c r="C1944" s="1" t="s">
        <v>3485</v>
      </c>
      <c r="D1944" s="415" t="str">
        <f t="shared" si="74"/>
        <v>18-01</v>
      </c>
      <c r="E1944" s="273" t="e">
        <f ca="1">_xludf.IFNA(VLOOKUP('Comp X - Kilter'!B1944,'Kilter Holds'!$P$37:$AB$662,12,0),0)</f>
        <v>#NAME?</v>
      </c>
      <c r="F1944" s="274"/>
      <c r="G1944" s="274" t="e">
        <f t="shared" ca="1" si="63"/>
        <v>#NAME?</v>
      </c>
      <c r="H1944" s="274">
        <f t="shared" si="64"/>
        <v>0</v>
      </c>
      <c r="K1944" s="274"/>
    </row>
    <row r="1945" spans="2:11" ht="13.5" customHeight="1">
      <c r="B1945" s="1" t="s">
        <v>1984</v>
      </c>
      <c r="C1945" s="1" t="s">
        <v>3485</v>
      </c>
      <c r="D1945" s="416" t="str">
        <f t="shared" si="74"/>
        <v>Color Code</v>
      </c>
      <c r="E1945" s="273" t="e">
        <f ca="1">_xludf.IFNA(VLOOKUP('Comp X - Kilter'!B1945,'Kilter Holds'!$P$37:$AB$662,13,0),0)</f>
        <v>#NAME?</v>
      </c>
      <c r="F1945" s="274"/>
      <c r="G1945" s="274" t="e">
        <f t="shared" ca="1" si="63"/>
        <v>#NAME?</v>
      </c>
      <c r="H1945" s="274">
        <f t="shared" si="64"/>
        <v>0</v>
      </c>
      <c r="K1945" s="274"/>
    </row>
    <row r="1946" spans="2:11" ht="13.5" customHeight="1">
      <c r="B1946" s="1" t="s">
        <v>1985</v>
      </c>
      <c r="C1946" s="1" t="s">
        <v>3486</v>
      </c>
      <c r="D1946" s="406" t="str">
        <f t="shared" si="74"/>
        <v>11-12</v>
      </c>
      <c r="E1946" s="273" t="e">
        <f ca="1">_xludf.IFNA(VLOOKUP('Comp X - Kilter'!B1946,'Kilter Holds'!$P$37:$AB$662,5,0),0)</f>
        <v>#NAME?</v>
      </c>
      <c r="F1946" s="274"/>
      <c r="G1946" s="274" t="e">
        <f t="shared" ca="1" si="63"/>
        <v>#NAME?</v>
      </c>
      <c r="H1946" s="274">
        <f t="shared" si="64"/>
        <v>0</v>
      </c>
      <c r="K1946" s="274"/>
    </row>
    <row r="1947" spans="2:11" ht="13.5" customHeight="1">
      <c r="B1947" s="1" t="s">
        <v>1985</v>
      </c>
      <c r="C1947" s="1" t="s">
        <v>3486</v>
      </c>
      <c r="D1947" s="408" t="str">
        <f t="shared" si="74"/>
        <v>14-01</v>
      </c>
      <c r="E1947" s="273" t="e">
        <f ca="1">_xludf.IFNA(VLOOKUP('Comp X - Kilter'!B1947,'Kilter Holds'!$P$37:$AB$662,6,0),0)</f>
        <v>#NAME?</v>
      </c>
      <c r="F1947" s="274"/>
      <c r="G1947" s="274" t="e">
        <f t="shared" ca="1" si="63"/>
        <v>#NAME?</v>
      </c>
      <c r="H1947" s="274">
        <f t="shared" si="64"/>
        <v>0</v>
      </c>
      <c r="K1947" s="274"/>
    </row>
    <row r="1948" spans="2:11" ht="13.5" customHeight="1">
      <c r="B1948" s="1" t="s">
        <v>1985</v>
      </c>
      <c r="C1948" s="1" t="s">
        <v>3486</v>
      </c>
      <c r="D1948" s="409" t="str">
        <f t="shared" si="74"/>
        <v>15-12</v>
      </c>
      <c r="E1948" s="273" t="e">
        <f ca="1">_xludf.IFNA(VLOOKUP('Comp X - Kilter'!B1948,'Kilter Holds'!$P$37:$AB$662,7,0),0)</f>
        <v>#NAME?</v>
      </c>
      <c r="F1948" s="274"/>
      <c r="G1948" s="274" t="e">
        <f t="shared" ca="1" si="63"/>
        <v>#NAME?</v>
      </c>
      <c r="H1948" s="274">
        <f t="shared" si="64"/>
        <v>0</v>
      </c>
      <c r="K1948" s="274"/>
    </row>
    <row r="1949" spans="2:11" ht="13.5" customHeight="1">
      <c r="B1949" s="1" t="s">
        <v>1985</v>
      </c>
      <c r="C1949" s="1" t="s">
        <v>3486</v>
      </c>
      <c r="D1949" s="410" t="str">
        <f t="shared" si="74"/>
        <v>16-16</v>
      </c>
      <c r="E1949" s="273" t="e">
        <f ca="1">_xludf.IFNA(VLOOKUP('Comp X - Kilter'!B1949,'Kilter Holds'!$P$37:$AB$662,8,0),0)</f>
        <v>#NAME?</v>
      </c>
      <c r="F1949" s="274"/>
      <c r="G1949" s="274" t="e">
        <f t="shared" ca="1" si="63"/>
        <v>#NAME?</v>
      </c>
      <c r="H1949" s="274">
        <f t="shared" si="64"/>
        <v>0</v>
      </c>
      <c r="K1949" s="274"/>
    </row>
    <row r="1950" spans="2:11" ht="13.5" customHeight="1">
      <c r="B1950" s="1" t="s">
        <v>1985</v>
      </c>
      <c r="C1950" s="1" t="s">
        <v>3486</v>
      </c>
      <c r="D1950" s="411" t="str">
        <f t="shared" si="74"/>
        <v>13-01</v>
      </c>
      <c r="E1950" s="273" t="e">
        <f ca="1">_xludf.IFNA(VLOOKUP('Comp X - Kilter'!B1950,'Kilter Holds'!$P$37:$AB$662,9,0),0)</f>
        <v>#NAME?</v>
      </c>
      <c r="F1950" s="274"/>
      <c r="G1950" s="274" t="e">
        <f t="shared" ca="1" si="63"/>
        <v>#NAME?</v>
      </c>
      <c r="H1950" s="274">
        <f t="shared" si="64"/>
        <v>0</v>
      </c>
      <c r="K1950" s="274"/>
    </row>
    <row r="1951" spans="2:11" ht="13.5" customHeight="1">
      <c r="B1951" s="1" t="s">
        <v>1985</v>
      </c>
      <c r="C1951" s="1" t="s">
        <v>3486</v>
      </c>
      <c r="D1951" s="413" t="str">
        <f t="shared" si="74"/>
        <v>07-13</v>
      </c>
      <c r="E1951" s="273" t="e">
        <f ca="1">_xludf.IFNA(VLOOKUP('Comp X - Kilter'!B1951,'Kilter Holds'!$P$37:$AB$662,10,0),0)</f>
        <v>#NAME?</v>
      </c>
      <c r="F1951" s="274"/>
      <c r="G1951" s="274" t="e">
        <f t="shared" ca="1" si="63"/>
        <v>#NAME?</v>
      </c>
      <c r="H1951" s="274">
        <f t="shared" si="64"/>
        <v>0</v>
      </c>
      <c r="K1951" s="274"/>
    </row>
    <row r="1952" spans="2:11" ht="13.5" customHeight="1">
      <c r="B1952" s="1" t="s">
        <v>1985</v>
      </c>
      <c r="C1952" s="1" t="s">
        <v>3486</v>
      </c>
      <c r="D1952" s="414" t="str">
        <f t="shared" si="74"/>
        <v>11-26</v>
      </c>
      <c r="E1952" s="273" t="e">
        <f ca="1">_xludf.IFNA(VLOOKUP('Comp X - Kilter'!B1952,'Kilter Holds'!$P$37:$AB$662,11,0),0)</f>
        <v>#NAME?</v>
      </c>
      <c r="F1952" s="274"/>
      <c r="G1952" s="274" t="e">
        <f t="shared" ca="1" si="63"/>
        <v>#NAME?</v>
      </c>
      <c r="H1952" s="274">
        <f t="shared" si="64"/>
        <v>0</v>
      </c>
      <c r="K1952" s="274"/>
    </row>
    <row r="1953" spans="2:11" ht="13.5" customHeight="1">
      <c r="B1953" s="1" t="s">
        <v>1985</v>
      </c>
      <c r="C1953" s="1" t="s">
        <v>3486</v>
      </c>
      <c r="D1953" s="415" t="str">
        <f t="shared" si="74"/>
        <v>18-01</v>
      </c>
      <c r="E1953" s="273" t="e">
        <f ca="1">_xludf.IFNA(VLOOKUP('Comp X - Kilter'!B1953,'Kilter Holds'!$P$37:$AB$662,12,0),0)</f>
        <v>#NAME?</v>
      </c>
      <c r="F1953" s="274"/>
      <c r="G1953" s="274" t="e">
        <f t="shared" ca="1" si="63"/>
        <v>#NAME?</v>
      </c>
      <c r="H1953" s="274">
        <f t="shared" si="64"/>
        <v>0</v>
      </c>
      <c r="K1953" s="274"/>
    </row>
    <row r="1954" spans="2:11" ht="13.5" customHeight="1">
      <c r="B1954" s="1" t="s">
        <v>1985</v>
      </c>
      <c r="C1954" s="1" t="s">
        <v>3486</v>
      </c>
      <c r="D1954" s="416" t="str">
        <f t="shared" si="74"/>
        <v>Color Code</v>
      </c>
      <c r="E1954" s="273" t="e">
        <f ca="1">_xludf.IFNA(VLOOKUP('Comp X - Kilter'!B1954,'Kilter Holds'!$P$37:$AB$662,13,0),0)</f>
        <v>#NAME?</v>
      </c>
      <c r="F1954" s="274"/>
      <c r="G1954" s="274" t="e">
        <f t="shared" ca="1" si="63"/>
        <v>#NAME?</v>
      </c>
      <c r="H1954" s="274">
        <f t="shared" si="64"/>
        <v>0</v>
      </c>
      <c r="K1954" s="274"/>
    </row>
    <row r="1955" spans="2:11" ht="13.5" customHeight="1">
      <c r="B1955" s="1" t="s">
        <v>2103</v>
      </c>
      <c r="C1955" s="1" t="s">
        <v>3487</v>
      </c>
      <c r="D1955" s="406" t="str">
        <f t="shared" si="74"/>
        <v>11-12</v>
      </c>
      <c r="E1955" s="273" t="e">
        <f ca="1">_xludf.IFNA(VLOOKUP('Comp X - Kilter'!B1955,'Kilter Holds'!$P$37:$AB$662,5,0),0)</f>
        <v>#NAME?</v>
      </c>
      <c r="F1955" s="274"/>
      <c r="G1955" s="274" t="e">
        <f t="shared" ca="1" si="63"/>
        <v>#NAME?</v>
      </c>
      <c r="H1955" s="274">
        <f t="shared" si="64"/>
        <v>0</v>
      </c>
      <c r="K1955" s="274"/>
    </row>
    <row r="1956" spans="2:11" ht="13.5" customHeight="1">
      <c r="B1956" s="1" t="s">
        <v>2103</v>
      </c>
      <c r="C1956" s="1" t="s">
        <v>3487</v>
      </c>
      <c r="D1956" s="408" t="str">
        <f t="shared" si="74"/>
        <v>14-01</v>
      </c>
      <c r="E1956" s="273" t="e">
        <f ca="1">_xludf.IFNA(VLOOKUP('Comp X - Kilter'!B1956,'Kilter Holds'!$P$37:$AB$662,6,0),0)</f>
        <v>#NAME?</v>
      </c>
      <c r="F1956" s="274"/>
      <c r="G1956" s="274" t="e">
        <f t="shared" ca="1" si="63"/>
        <v>#NAME?</v>
      </c>
      <c r="H1956" s="274">
        <f t="shared" si="64"/>
        <v>0</v>
      </c>
      <c r="K1956" s="274"/>
    </row>
    <row r="1957" spans="2:11" ht="13.5" customHeight="1">
      <c r="B1957" s="1" t="s">
        <v>2103</v>
      </c>
      <c r="C1957" s="1" t="s">
        <v>3487</v>
      </c>
      <c r="D1957" s="409" t="str">
        <f t="shared" si="74"/>
        <v>15-12</v>
      </c>
      <c r="E1957" s="273" t="e">
        <f ca="1">_xludf.IFNA(VLOOKUP('Comp X - Kilter'!B1957,'Kilter Holds'!$P$37:$AB$662,7,0),0)</f>
        <v>#NAME?</v>
      </c>
      <c r="F1957" s="274"/>
      <c r="G1957" s="274" t="e">
        <f t="shared" ca="1" si="63"/>
        <v>#NAME?</v>
      </c>
      <c r="H1957" s="274">
        <f t="shared" si="64"/>
        <v>0</v>
      </c>
      <c r="K1957" s="274"/>
    </row>
    <row r="1958" spans="2:11" ht="13.5" customHeight="1">
      <c r="B1958" s="1" t="s">
        <v>2103</v>
      </c>
      <c r="C1958" s="1" t="s">
        <v>3487</v>
      </c>
      <c r="D1958" s="410" t="str">
        <f t="shared" si="74"/>
        <v>16-16</v>
      </c>
      <c r="E1958" s="273" t="e">
        <f ca="1">_xludf.IFNA(VLOOKUP('Comp X - Kilter'!B1958,'Kilter Holds'!$P$37:$AB$662,8,0),0)</f>
        <v>#NAME?</v>
      </c>
      <c r="F1958" s="274"/>
      <c r="G1958" s="274" t="e">
        <f t="shared" ca="1" si="63"/>
        <v>#NAME?</v>
      </c>
      <c r="H1958" s="274">
        <f t="shared" si="64"/>
        <v>0</v>
      </c>
      <c r="K1958" s="274"/>
    </row>
    <row r="1959" spans="2:11" ht="13.5" customHeight="1">
      <c r="B1959" s="1" t="s">
        <v>2103</v>
      </c>
      <c r="C1959" s="1" t="s">
        <v>3487</v>
      </c>
      <c r="D1959" s="411" t="str">
        <f t="shared" si="74"/>
        <v>13-01</v>
      </c>
      <c r="E1959" s="273" t="e">
        <f ca="1">_xludf.IFNA(VLOOKUP('Comp X - Kilter'!B1959,'Kilter Holds'!$P$37:$AB$662,9,0),0)</f>
        <v>#NAME?</v>
      </c>
      <c r="F1959" s="274"/>
      <c r="G1959" s="274" t="e">
        <f t="shared" ca="1" si="63"/>
        <v>#NAME?</v>
      </c>
      <c r="H1959" s="274">
        <f t="shared" si="64"/>
        <v>0</v>
      </c>
      <c r="K1959" s="274"/>
    </row>
    <row r="1960" spans="2:11" ht="13.5" customHeight="1">
      <c r="B1960" s="1" t="s">
        <v>2103</v>
      </c>
      <c r="C1960" s="1" t="s">
        <v>3487</v>
      </c>
      <c r="D1960" s="413" t="str">
        <f t="shared" si="74"/>
        <v>07-13</v>
      </c>
      <c r="E1960" s="273" t="e">
        <f ca="1">_xludf.IFNA(VLOOKUP('Comp X - Kilter'!B1960,'Kilter Holds'!$P$37:$AB$662,10,0),0)</f>
        <v>#NAME?</v>
      </c>
      <c r="F1960" s="274"/>
      <c r="G1960" s="274" t="e">
        <f t="shared" ca="1" si="63"/>
        <v>#NAME?</v>
      </c>
      <c r="H1960" s="274">
        <f t="shared" si="64"/>
        <v>0</v>
      </c>
      <c r="K1960" s="274"/>
    </row>
    <row r="1961" spans="2:11" ht="13.5" customHeight="1">
      <c r="B1961" s="1" t="s">
        <v>2103</v>
      </c>
      <c r="C1961" s="1" t="s">
        <v>3487</v>
      </c>
      <c r="D1961" s="414" t="str">
        <f t="shared" si="74"/>
        <v>11-26</v>
      </c>
      <c r="E1961" s="273" t="e">
        <f ca="1">_xludf.IFNA(VLOOKUP('Comp X - Kilter'!B1961,'Kilter Holds'!$P$37:$AB$662,11,0),0)</f>
        <v>#NAME?</v>
      </c>
      <c r="F1961" s="274"/>
      <c r="G1961" s="274" t="e">
        <f t="shared" ca="1" si="63"/>
        <v>#NAME?</v>
      </c>
      <c r="H1961" s="274">
        <f t="shared" si="64"/>
        <v>0</v>
      </c>
      <c r="K1961" s="274"/>
    </row>
    <row r="1962" spans="2:11" ht="13.5" customHeight="1">
      <c r="B1962" s="1" t="s">
        <v>2103</v>
      </c>
      <c r="C1962" s="1" t="s">
        <v>3487</v>
      </c>
      <c r="D1962" s="415" t="str">
        <f t="shared" si="74"/>
        <v>18-01</v>
      </c>
      <c r="E1962" s="273" t="e">
        <f ca="1">_xludf.IFNA(VLOOKUP('Comp X - Kilter'!B1962,'Kilter Holds'!$P$37:$AB$662,12,0),0)</f>
        <v>#NAME?</v>
      </c>
      <c r="F1962" s="274"/>
      <c r="G1962" s="274" t="e">
        <f t="shared" ca="1" si="63"/>
        <v>#NAME?</v>
      </c>
      <c r="H1962" s="274">
        <f t="shared" si="64"/>
        <v>0</v>
      </c>
      <c r="K1962" s="274"/>
    </row>
    <row r="1963" spans="2:11" ht="13.5" customHeight="1">
      <c r="B1963" s="1" t="s">
        <v>2103</v>
      </c>
      <c r="C1963" s="1" t="s">
        <v>3487</v>
      </c>
      <c r="D1963" s="416" t="str">
        <f t="shared" si="74"/>
        <v>Color Code</v>
      </c>
      <c r="E1963" s="273" t="e">
        <f ca="1">_xludf.IFNA(VLOOKUP('Comp X - Kilter'!B1963,'Kilter Holds'!$P$37:$AB$662,13,0),0)</f>
        <v>#NAME?</v>
      </c>
      <c r="F1963" s="274"/>
      <c r="G1963" s="274" t="e">
        <f t="shared" ca="1" si="63"/>
        <v>#NAME?</v>
      </c>
      <c r="H1963" s="274">
        <f t="shared" si="64"/>
        <v>0</v>
      </c>
      <c r="K1963" s="274"/>
    </row>
    <row r="1964" spans="2:11" ht="13.5" customHeight="1">
      <c r="B1964" s="1" t="s">
        <v>1976</v>
      </c>
      <c r="C1964" s="1" t="s">
        <v>3488</v>
      </c>
      <c r="D1964" s="406" t="str">
        <f t="shared" ref="D1964:D1972" si="75">D1847</f>
        <v>11-12</v>
      </c>
      <c r="E1964" s="273" t="e">
        <f ca="1">_xludf.IFNA(VLOOKUP('Comp X - Kilter'!B1964,'Kilter Holds'!$P$37:$AB$662,5,0),0)</f>
        <v>#NAME?</v>
      </c>
      <c r="F1964" s="274"/>
      <c r="G1964" s="274" t="e">
        <f t="shared" ca="1" si="63"/>
        <v>#NAME?</v>
      </c>
      <c r="H1964" s="274">
        <f t="shared" si="64"/>
        <v>0</v>
      </c>
      <c r="K1964" s="274"/>
    </row>
    <row r="1965" spans="2:11" ht="13.5" customHeight="1">
      <c r="B1965" s="1" t="s">
        <v>1976</v>
      </c>
      <c r="C1965" s="1" t="s">
        <v>3488</v>
      </c>
      <c r="D1965" s="408" t="str">
        <f t="shared" si="75"/>
        <v>14-01</v>
      </c>
      <c r="E1965" s="273" t="e">
        <f ca="1">_xludf.IFNA(VLOOKUP('Comp X - Kilter'!B1965,'Kilter Holds'!$P$37:$AB$662,6,0),0)</f>
        <v>#NAME?</v>
      </c>
      <c r="F1965" s="274"/>
      <c r="G1965" s="274" t="e">
        <f t="shared" ca="1" si="63"/>
        <v>#NAME?</v>
      </c>
      <c r="H1965" s="274">
        <f t="shared" si="64"/>
        <v>0</v>
      </c>
      <c r="K1965" s="274"/>
    </row>
    <row r="1966" spans="2:11" ht="13.5" customHeight="1">
      <c r="B1966" s="1" t="s">
        <v>1976</v>
      </c>
      <c r="C1966" s="1" t="s">
        <v>3488</v>
      </c>
      <c r="D1966" s="409" t="str">
        <f t="shared" si="75"/>
        <v>15-12</v>
      </c>
      <c r="E1966" s="273" t="e">
        <f ca="1">_xludf.IFNA(VLOOKUP('Comp X - Kilter'!B1966,'Kilter Holds'!$P$37:$AB$662,7,0),0)</f>
        <v>#NAME?</v>
      </c>
      <c r="F1966" s="274"/>
      <c r="G1966" s="274" t="e">
        <f t="shared" ca="1" si="63"/>
        <v>#NAME?</v>
      </c>
      <c r="H1966" s="274">
        <f t="shared" si="64"/>
        <v>0</v>
      </c>
      <c r="K1966" s="274"/>
    </row>
    <row r="1967" spans="2:11" ht="13.5" customHeight="1">
      <c r="B1967" s="1" t="s">
        <v>1976</v>
      </c>
      <c r="C1967" s="1" t="s">
        <v>3488</v>
      </c>
      <c r="D1967" s="410" t="str">
        <f t="shared" si="75"/>
        <v>16-16</v>
      </c>
      <c r="E1967" s="273" t="e">
        <f ca="1">_xludf.IFNA(VLOOKUP('Comp X - Kilter'!B1967,'Kilter Holds'!$P$37:$AB$662,8,0),0)</f>
        <v>#NAME?</v>
      </c>
      <c r="F1967" s="274"/>
      <c r="G1967" s="274" t="e">
        <f t="shared" ca="1" si="63"/>
        <v>#NAME?</v>
      </c>
      <c r="H1967" s="274">
        <f t="shared" si="64"/>
        <v>0</v>
      </c>
      <c r="K1967" s="274"/>
    </row>
    <row r="1968" spans="2:11" ht="13.5" customHeight="1">
      <c r="B1968" s="1" t="s">
        <v>1976</v>
      </c>
      <c r="C1968" s="1" t="s">
        <v>3488</v>
      </c>
      <c r="D1968" s="411" t="str">
        <f t="shared" si="75"/>
        <v>13-01</v>
      </c>
      <c r="E1968" s="273" t="e">
        <f ca="1">_xludf.IFNA(VLOOKUP('Comp X - Kilter'!B1968,'Kilter Holds'!$P$37:$AB$662,9,0),0)</f>
        <v>#NAME?</v>
      </c>
      <c r="F1968" s="274"/>
      <c r="G1968" s="274" t="e">
        <f t="shared" ca="1" si="63"/>
        <v>#NAME?</v>
      </c>
      <c r="H1968" s="274">
        <f t="shared" si="64"/>
        <v>0</v>
      </c>
      <c r="K1968" s="274"/>
    </row>
    <row r="1969" spans="2:11" ht="13.5" customHeight="1">
      <c r="B1969" s="1" t="s">
        <v>1976</v>
      </c>
      <c r="C1969" s="1" t="s">
        <v>3488</v>
      </c>
      <c r="D1969" s="413" t="str">
        <f t="shared" si="75"/>
        <v>07-13</v>
      </c>
      <c r="E1969" s="273" t="e">
        <f ca="1">_xludf.IFNA(VLOOKUP('Comp X - Kilter'!B1969,'Kilter Holds'!$P$37:$AB$662,10,0),0)</f>
        <v>#NAME?</v>
      </c>
      <c r="F1969" s="274"/>
      <c r="G1969" s="274" t="e">
        <f t="shared" ca="1" si="63"/>
        <v>#NAME?</v>
      </c>
      <c r="H1969" s="274">
        <f t="shared" si="64"/>
        <v>0</v>
      </c>
      <c r="K1969" s="274"/>
    </row>
    <row r="1970" spans="2:11" ht="13.5" customHeight="1">
      <c r="B1970" s="1" t="s">
        <v>1976</v>
      </c>
      <c r="C1970" s="1" t="s">
        <v>3488</v>
      </c>
      <c r="D1970" s="414" t="str">
        <f t="shared" si="75"/>
        <v>11-26</v>
      </c>
      <c r="E1970" s="273" t="e">
        <f ca="1">_xludf.IFNA(VLOOKUP('Comp X - Kilter'!B1970,'Kilter Holds'!$P$37:$AB$662,11,0),0)</f>
        <v>#NAME?</v>
      </c>
      <c r="F1970" s="274"/>
      <c r="G1970" s="274" t="e">
        <f t="shared" ca="1" si="63"/>
        <v>#NAME?</v>
      </c>
      <c r="H1970" s="274">
        <f t="shared" si="64"/>
        <v>0</v>
      </c>
      <c r="K1970" s="274"/>
    </row>
    <row r="1971" spans="2:11" ht="13.5" customHeight="1">
      <c r="B1971" s="1" t="s">
        <v>1976</v>
      </c>
      <c r="C1971" s="1" t="s">
        <v>3488</v>
      </c>
      <c r="D1971" s="415" t="str">
        <f t="shared" si="75"/>
        <v>18-01</v>
      </c>
      <c r="E1971" s="273" t="e">
        <f ca="1">_xludf.IFNA(VLOOKUP('Comp X - Kilter'!B1971,'Kilter Holds'!$P$37:$AB$662,12,0),0)</f>
        <v>#NAME?</v>
      </c>
      <c r="F1971" s="274"/>
      <c r="G1971" s="274" t="e">
        <f t="shared" ca="1" si="63"/>
        <v>#NAME?</v>
      </c>
      <c r="H1971" s="274">
        <f t="shared" si="64"/>
        <v>0</v>
      </c>
      <c r="K1971" s="274"/>
    </row>
    <row r="1972" spans="2:11" ht="13.5" customHeight="1">
      <c r="B1972" s="1" t="s">
        <v>1976</v>
      </c>
      <c r="C1972" s="1" t="s">
        <v>3488</v>
      </c>
      <c r="D1972" s="416" t="str">
        <f t="shared" si="75"/>
        <v>Color Code</v>
      </c>
      <c r="E1972" s="273" t="e">
        <f ca="1">_xludf.IFNA(VLOOKUP('Comp X - Kilter'!B1972,'Kilter Holds'!$P$37:$AB$662,13,0),0)</f>
        <v>#NAME?</v>
      </c>
      <c r="F1972" s="274"/>
      <c r="G1972" s="274" t="e">
        <f t="shared" ca="1" si="63"/>
        <v>#NAME?</v>
      </c>
      <c r="H1972" s="274">
        <f t="shared" si="64"/>
        <v>0</v>
      </c>
      <c r="K1972" s="274"/>
    </row>
    <row r="1973" spans="2:11" ht="13.5" customHeight="1">
      <c r="B1973" s="1" t="s">
        <v>1961</v>
      </c>
      <c r="C1973" s="1" t="s">
        <v>3489</v>
      </c>
      <c r="D1973" s="406" t="str">
        <f t="shared" ref="D1973:D1990" si="76">D1820</f>
        <v>11-12</v>
      </c>
      <c r="E1973" s="273" t="e">
        <f ca="1">_xludf.IFNA(VLOOKUP('Comp X - Kilter'!B1973,'Kilter Holds'!$P$37:$AB$662,5,0),0)</f>
        <v>#NAME?</v>
      </c>
      <c r="F1973" s="274"/>
      <c r="G1973" s="274" t="e">
        <f t="shared" ca="1" si="63"/>
        <v>#NAME?</v>
      </c>
      <c r="H1973" s="274">
        <f t="shared" si="64"/>
        <v>0</v>
      </c>
      <c r="K1973" s="274"/>
    </row>
    <row r="1974" spans="2:11" ht="13.5" customHeight="1">
      <c r="B1974" s="1" t="s">
        <v>1961</v>
      </c>
      <c r="C1974" s="1" t="s">
        <v>3489</v>
      </c>
      <c r="D1974" s="408" t="str">
        <f t="shared" si="76"/>
        <v>14-01</v>
      </c>
      <c r="E1974" s="273" t="e">
        <f ca="1">_xludf.IFNA(VLOOKUP('Comp X - Kilter'!B1974,'Kilter Holds'!$P$37:$AB$662,6,0),0)</f>
        <v>#NAME?</v>
      </c>
      <c r="F1974" s="274"/>
      <c r="G1974" s="274" t="e">
        <f t="shared" ca="1" si="63"/>
        <v>#NAME?</v>
      </c>
      <c r="H1974" s="274">
        <f t="shared" si="64"/>
        <v>0</v>
      </c>
      <c r="K1974" s="274"/>
    </row>
    <row r="1975" spans="2:11" ht="13.5" customHeight="1">
      <c r="B1975" s="1" t="s">
        <v>1961</v>
      </c>
      <c r="C1975" s="1" t="s">
        <v>3489</v>
      </c>
      <c r="D1975" s="409" t="str">
        <f t="shared" si="76"/>
        <v>15-12</v>
      </c>
      <c r="E1975" s="273" t="e">
        <f ca="1">_xludf.IFNA(VLOOKUP('Comp X - Kilter'!B1975,'Kilter Holds'!$P$37:$AB$662,7,0),0)</f>
        <v>#NAME?</v>
      </c>
      <c r="F1975" s="274"/>
      <c r="G1975" s="274" t="e">
        <f t="shared" ca="1" si="63"/>
        <v>#NAME?</v>
      </c>
      <c r="H1975" s="274">
        <f t="shared" si="64"/>
        <v>0</v>
      </c>
      <c r="K1975" s="274"/>
    </row>
    <row r="1976" spans="2:11" ht="13.5" customHeight="1">
      <c r="B1976" s="1" t="s">
        <v>1961</v>
      </c>
      <c r="C1976" s="1" t="s">
        <v>3489</v>
      </c>
      <c r="D1976" s="410" t="str">
        <f t="shared" si="76"/>
        <v>16-16</v>
      </c>
      <c r="E1976" s="273" t="e">
        <f ca="1">_xludf.IFNA(VLOOKUP('Comp X - Kilter'!B1976,'Kilter Holds'!$P$37:$AB$662,8,0),0)</f>
        <v>#NAME?</v>
      </c>
      <c r="F1976" s="274"/>
      <c r="G1976" s="274" t="e">
        <f t="shared" ca="1" si="63"/>
        <v>#NAME?</v>
      </c>
      <c r="H1976" s="274">
        <f t="shared" si="64"/>
        <v>0</v>
      </c>
      <c r="K1976" s="274"/>
    </row>
    <row r="1977" spans="2:11" ht="13.5" customHeight="1">
      <c r="B1977" s="1" t="s">
        <v>1961</v>
      </c>
      <c r="C1977" s="1" t="s">
        <v>3489</v>
      </c>
      <c r="D1977" s="411" t="str">
        <f t="shared" si="76"/>
        <v>13-01</v>
      </c>
      <c r="E1977" s="273" t="e">
        <f ca="1">_xludf.IFNA(VLOOKUP('Comp X - Kilter'!B1977,'Kilter Holds'!$P$37:$AB$662,9,0),0)</f>
        <v>#NAME?</v>
      </c>
      <c r="F1977" s="274"/>
      <c r="G1977" s="274" t="e">
        <f t="shared" ca="1" si="63"/>
        <v>#NAME?</v>
      </c>
      <c r="H1977" s="274">
        <f t="shared" si="64"/>
        <v>0</v>
      </c>
      <c r="K1977" s="274"/>
    </row>
    <row r="1978" spans="2:11" ht="13.5" customHeight="1">
      <c r="B1978" s="1" t="s">
        <v>1961</v>
      </c>
      <c r="C1978" s="1" t="s">
        <v>3489</v>
      </c>
      <c r="D1978" s="413" t="str">
        <f t="shared" si="76"/>
        <v>07-13</v>
      </c>
      <c r="E1978" s="273" t="e">
        <f ca="1">_xludf.IFNA(VLOOKUP('Comp X - Kilter'!B1978,'Kilter Holds'!$P$37:$AB$662,10,0),0)</f>
        <v>#NAME?</v>
      </c>
      <c r="F1978" s="274"/>
      <c r="G1978" s="274" t="e">
        <f t="shared" ca="1" si="63"/>
        <v>#NAME?</v>
      </c>
      <c r="H1978" s="274">
        <f t="shared" si="64"/>
        <v>0</v>
      </c>
      <c r="K1978" s="274"/>
    </row>
    <row r="1979" spans="2:11" ht="13.5" customHeight="1">
      <c r="B1979" s="1" t="s">
        <v>1961</v>
      </c>
      <c r="C1979" s="1" t="s">
        <v>3489</v>
      </c>
      <c r="D1979" s="414" t="str">
        <f t="shared" si="76"/>
        <v>11-26</v>
      </c>
      <c r="E1979" s="273" t="e">
        <f ca="1">_xludf.IFNA(VLOOKUP('Comp X - Kilter'!B1979,'Kilter Holds'!$P$37:$AB$662,11,0),0)</f>
        <v>#NAME?</v>
      </c>
      <c r="F1979" s="274"/>
      <c r="G1979" s="274" t="e">
        <f t="shared" ca="1" si="63"/>
        <v>#NAME?</v>
      </c>
      <c r="H1979" s="274">
        <f t="shared" si="64"/>
        <v>0</v>
      </c>
      <c r="K1979" s="274"/>
    </row>
    <row r="1980" spans="2:11" ht="13.5" customHeight="1">
      <c r="B1980" s="1" t="s">
        <v>1961</v>
      </c>
      <c r="C1980" s="1" t="s">
        <v>3489</v>
      </c>
      <c r="D1980" s="415" t="str">
        <f t="shared" si="76"/>
        <v>18-01</v>
      </c>
      <c r="E1980" s="273" t="e">
        <f ca="1">_xludf.IFNA(VLOOKUP('Comp X - Kilter'!B1980,'Kilter Holds'!$P$37:$AB$662,12,0),0)</f>
        <v>#NAME?</v>
      </c>
      <c r="F1980" s="274"/>
      <c r="G1980" s="274" t="e">
        <f t="shared" ca="1" si="63"/>
        <v>#NAME?</v>
      </c>
      <c r="H1980" s="274">
        <f t="shared" si="64"/>
        <v>0</v>
      </c>
      <c r="K1980" s="274"/>
    </row>
    <row r="1981" spans="2:11" ht="13.5" customHeight="1">
      <c r="B1981" s="1" t="s">
        <v>1961</v>
      </c>
      <c r="C1981" s="1" t="s">
        <v>3489</v>
      </c>
      <c r="D1981" s="416" t="str">
        <f t="shared" si="76"/>
        <v>Color Code</v>
      </c>
      <c r="E1981" s="273" t="e">
        <f ca="1">_xludf.IFNA(VLOOKUP('Comp X - Kilter'!B1981,'Kilter Holds'!$P$37:$AB$662,13,0),0)</f>
        <v>#NAME?</v>
      </c>
      <c r="F1981" s="274"/>
      <c r="G1981" s="274" t="e">
        <f t="shared" ca="1" si="63"/>
        <v>#NAME?</v>
      </c>
      <c r="H1981" s="274">
        <f t="shared" si="64"/>
        <v>0</v>
      </c>
      <c r="K1981" s="274"/>
    </row>
    <row r="1982" spans="2:11" ht="13.5" customHeight="1">
      <c r="B1982" s="1" t="s">
        <v>1988</v>
      </c>
      <c r="C1982" s="1" t="s">
        <v>3490</v>
      </c>
      <c r="D1982" s="406" t="str">
        <f t="shared" si="76"/>
        <v>11-12</v>
      </c>
      <c r="E1982" s="273" t="e">
        <f ca="1">_xludf.IFNA(VLOOKUP('Comp X - Kilter'!B1982,'Kilter Holds'!$P$37:$AB$662,5,0),0)</f>
        <v>#NAME?</v>
      </c>
      <c r="F1982" s="274"/>
      <c r="G1982" s="274" t="e">
        <f t="shared" ca="1" si="63"/>
        <v>#NAME?</v>
      </c>
      <c r="H1982" s="274">
        <f t="shared" si="64"/>
        <v>0</v>
      </c>
      <c r="K1982" s="274"/>
    </row>
    <row r="1983" spans="2:11" ht="13.5" customHeight="1">
      <c r="B1983" s="1" t="s">
        <v>1988</v>
      </c>
      <c r="C1983" s="1" t="s">
        <v>3490</v>
      </c>
      <c r="D1983" s="408" t="str">
        <f t="shared" si="76"/>
        <v>14-01</v>
      </c>
      <c r="E1983" s="273" t="e">
        <f ca="1">_xludf.IFNA(VLOOKUP('Comp X - Kilter'!B1983,'Kilter Holds'!$P$37:$AB$662,6,0),0)</f>
        <v>#NAME?</v>
      </c>
      <c r="F1983" s="274"/>
      <c r="G1983" s="274" t="e">
        <f t="shared" ca="1" si="63"/>
        <v>#NAME?</v>
      </c>
      <c r="H1983" s="274">
        <f t="shared" si="64"/>
        <v>0</v>
      </c>
      <c r="K1983" s="274"/>
    </row>
    <row r="1984" spans="2:11" ht="13.5" customHeight="1">
      <c r="B1984" s="1" t="s">
        <v>1988</v>
      </c>
      <c r="C1984" s="1" t="s">
        <v>3490</v>
      </c>
      <c r="D1984" s="409" t="str">
        <f t="shared" si="76"/>
        <v>15-12</v>
      </c>
      <c r="E1984" s="273" t="e">
        <f ca="1">_xludf.IFNA(VLOOKUP('Comp X - Kilter'!B1984,'Kilter Holds'!$P$37:$AB$662,7,0),0)</f>
        <v>#NAME?</v>
      </c>
      <c r="F1984" s="274"/>
      <c r="G1984" s="274" t="e">
        <f t="shared" ca="1" si="63"/>
        <v>#NAME?</v>
      </c>
      <c r="H1984" s="274">
        <f t="shared" si="64"/>
        <v>0</v>
      </c>
      <c r="K1984" s="274"/>
    </row>
    <row r="1985" spans="2:11" ht="13.5" customHeight="1">
      <c r="B1985" s="1" t="s">
        <v>1988</v>
      </c>
      <c r="C1985" s="1" t="s">
        <v>3490</v>
      </c>
      <c r="D1985" s="410" t="str">
        <f t="shared" si="76"/>
        <v>16-16</v>
      </c>
      <c r="E1985" s="273" t="e">
        <f ca="1">_xludf.IFNA(VLOOKUP('Comp X - Kilter'!B1985,'Kilter Holds'!$P$37:$AB$662,8,0),0)</f>
        <v>#NAME?</v>
      </c>
      <c r="F1985" s="274"/>
      <c r="G1985" s="274" t="e">
        <f t="shared" ca="1" si="63"/>
        <v>#NAME?</v>
      </c>
      <c r="H1985" s="274">
        <f t="shared" si="64"/>
        <v>0</v>
      </c>
      <c r="K1985" s="274"/>
    </row>
    <row r="1986" spans="2:11" ht="13.5" customHeight="1">
      <c r="B1986" s="1" t="s">
        <v>1988</v>
      </c>
      <c r="C1986" s="1" t="s">
        <v>3490</v>
      </c>
      <c r="D1986" s="411" t="str">
        <f t="shared" si="76"/>
        <v>13-01</v>
      </c>
      <c r="E1986" s="273" t="e">
        <f ca="1">_xludf.IFNA(VLOOKUP('Comp X - Kilter'!B1986,'Kilter Holds'!$P$37:$AB$662,9,0),0)</f>
        <v>#NAME?</v>
      </c>
      <c r="F1986" s="274"/>
      <c r="G1986" s="274" t="e">
        <f t="shared" ca="1" si="63"/>
        <v>#NAME?</v>
      </c>
      <c r="H1986" s="274">
        <f t="shared" si="64"/>
        <v>0</v>
      </c>
      <c r="K1986" s="274"/>
    </row>
    <row r="1987" spans="2:11" ht="13.5" customHeight="1">
      <c r="B1987" s="1" t="s">
        <v>1988</v>
      </c>
      <c r="C1987" s="1" t="s">
        <v>3490</v>
      </c>
      <c r="D1987" s="413" t="str">
        <f t="shared" si="76"/>
        <v>07-13</v>
      </c>
      <c r="E1987" s="273" t="e">
        <f ca="1">_xludf.IFNA(VLOOKUP('Comp X - Kilter'!B1987,'Kilter Holds'!$P$37:$AB$662,10,0),0)</f>
        <v>#NAME?</v>
      </c>
      <c r="F1987" s="274"/>
      <c r="G1987" s="274" t="e">
        <f t="shared" ca="1" si="63"/>
        <v>#NAME?</v>
      </c>
      <c r="H1987" s="274">
        <f t="shared" si="64"/>
        <v>0</v>
      </c>
      <c r="K1987" s="274"/>
    </row>
    <row r="1988" spans="2:11" ht="13.5" customHeight="1">
      <c r="B1988" s="1" t="s">
        <v>1988</v>
      </c>
      <c r="C1988" s="1" t="s">
        <v>3490</v>
      </c>
      <c r="D1988" s="414" t="str">
        <f t="shared" si="76"/>
        <v>11-26</v>
      </c>
      <c r="E1988" s="273" t="e">
        <f ca="1">_xludf.IFNA(VLOOKUP('Comp X - Kilter'!B1988,'Kilter Holds'!$P$37:$AB$662,11,0),0)</f>
        <v>#NAME?</v>
      </c>
      <c r="F1988" s="274"/>
      <c r="G1988" s="274" t="e">
        <f t="shared" ca="1" si="63"/>
        <v>#NAME?</v>
      </c>
      <c r="H1988" s="274">
        <f t="shared" si="64"/>
        <v>0</v>
      </c>
      <c r="K1988" s="274"/>
    </row>
    <row r="1989" spans="2:11" ht="13.5" customHeight="1">
      <c r="B1989" s="1" t="s">
        <v>1988</v>
      </c>
      <c r="C1989" s="1" t="s">
        <v>3490</v>
      </c>
      <c r="D1989" s="415" t="str">
        <f t="shared" si="76"/>
        <v>18-01</v>
      </c>
      <c r="E1989" s="273" t="e">
        <f ca="1">_xludf.IFNA(VLOOKUP('Comp X - Kilter'!B1989,'Kilter Holds'!$P$37:$AB$662,12,0),0)</f>
        <v>#NAME?</v>
      </c>
      <c r="F1989" s="274"/>
      <c r="G1989" s="274" t="e">
        <f t="shared" ca="1" si="63"/>
        <v>#NAME?</v>
      </c>
      <c r="H1989" s="274">
        <f t="shared" si="64"/>
        <v>0</v>
      </c>
      <c r="K1989" s="274"/>
    </row>
    <row r="1990" spans="2:11" ht="13.5" customHeight="1">
      <c r="B1990" s="1" t="s">
        <v>1988</v>
      </c>
      <c r="C1990" s="1" t="s">
        <v>3490</v>
      </c>
      <c r="D1990" s="416" t="str">
        <f t="shared" si="76"/>
        <v>Color Code</v>
      </c>
      <c r="E1990" s="273" t="e">
        <f ca="1">_xludf.IFNA(VLOOKUP('Comp X - Kilter'!B1990,'Kilter Holds'!$P$37:$AB$662,13,0),0)</f>
        <v>#NAME?</v>
      </c>
      <c r="F1990" s="274"/>
      <c r="G1990" s="274" t="e">
        <f t="shared" ca="1" si="63"/>
        <v>#NAME?</v>
      </c>
      <c r="H1990" s="274">
        <f t="shared" si="64"/>
        <v>0</v>
      </c>
      <c r="K1990" s="274"/>
    </row>
    <row r="1991" spans="2:11" ht="13.5" customHeight="1">
      <c r="B1991" s="1" t="s">
        <v>1989</v>
      </c>
      <c r="C1991" s="1" t="s">
        <v>3491</v>
      </c>
      <c r="D1991" s="406" t="str">
        <f t="shared" ref="D1991:D2008" si="77">D1865</f>
        <v>11-12</v>
      </c>
      <c r="E1991" s="273" t="e">
        <f ca="1">_xludf.IFNA(VLOOKUP('Comp X - Kilter'!B1991,'Kilter Holds'!$P$37:$AB$662,5,0),0)</f>
        <v>#NAME?</v>
      </c>
      <c r="F1991" s="274"/>
      <c r="G1991" s="274" t="e">
        <f t="shared" ca="1" si="63"/>
        <v>#NAME?</v>
      </c>
      <c r="H1991" s="274">
        <f t="shared" si="64"/>
        <v>0</v>
      </c>
      <c r="K1991" s="274"/>
    </row>
    <row r="1992" spans="2:11" ht="13.5" customHeight="1">
      <c r="B1992" s="1" t="s">
        <v>1989</v>
      </c>
      <c r="C1992" s="1" t="s">
        <v>3491</v>
      </c>
      <c r="D1992" s="408" t="str">
        <f t="shared" si="77"/>
        <v>14-01</v>
      </c>
      <c r="E1992" s="273" t="e">
        <f ca="1">_xludf.IFNA(VLOOKUP('Comp X - Kilter'!B1992,'Kilter Holds'!$P$37:$AB$662,6,0),0)</f>
        <v>#NAME?</v>
      </c>
      <c r="F1992" s="274"/>
      <c r="G1992" s="274" t="e">
        <f t="shared" ca="1" si="63"/>
        <v>#NAME?</v>
      </c>
      <c r="H1992" s="274">
        <f t="shared" si="64"/>
        <v>0</v>
      </c>
      <c r="K1992" s="274"/>
    </row>
    <row r="1993" spans="2:11" ht="13.5" customHeight="1">
      <c r="B1993" s="1" t="s">
        <v>1989</v>
      </c>
      <c r="C1993" s="1" t="s">
        <v>3491</v>
      </c>
      <c r="D1993" s="409" t="str">
        <f t="shared" si="77"/>
        <v>15-12</v>
      </c>
      <c r="E1993" s="273" t="e">
        <f ca="1">_xludf.IFNA(VLOOKUP('Comp X - Kilter'!B1993,'Kilter Holds'!$P$37:$AB$662,7,0),0)</f>
        <v>#NAME?</v>
      </c>
      <c r="F1993" s="274"/>
      <c r="G1993" s="274" t="e">
        <f t="shared" ca="1" si="63"/>
        <v>#NAME?</v>
      </c>
      <c r="H1993" s="274">
        <f t="shared" si="64"/>
        <v>0</v>
      </c>
      <c r="K1993" s="274"/>
    </row>
    <row r="1994" spans="2:11" ht="13.5" customHeight="1">
      <c r="B1994" s="1" t="s">
        <v>1989</v>
      </c>
      <c r="C1994" s="1" t="s">
        <v>3491</v>
      </c>
      <c r="D1994" s="410" t="str">
        <f t="shared" si="77"/>
        <v>16-16</v>
      </c>
      <c r="E1994" s="273" t="e">
        <f ca="1">_xludf.IFNA(VLOOKUP('Comp X - Kilter'!B1994,'Kilter Holds'!$P$37:$AB$662,8,0),0)</f>
        <v>#NAME?</v>
      </c>
      <c r="F1994" s="274"/>
      <c r="G1994" s="274" t="e">
        <f t="shared" ca="1" si="63"/>
        <v>#NAME?</v>
      </c>
      <c r="H1994" s="274">
        <f t="shared" si="64"/>
        <v>0</v>
      </c>
      <c r="K1994" s="274"/>
    </row>
    <row r="1995" spans="2:11" ht="13.5" customHeight="1">
      <c r="B1995" s="1" t="s">
        <v>1989</v>
      </c>
      <c r="C1995" s="1" t="s">
        <v>3491</v>
      </c>
      <c r="D1995" s="411" t="str">
        <f t="shared" si="77"/>
        <v>13-01</v>
      </c>
      <c r="E1995" s="273" t="e">
        <f ca="1">_xludf.IFNA(VLOOKUP('Comp X - Kilter'!B1995,'Kilter Holds'!$P$37:$AB$662,9,0),0)</f>
        <v>#NAME?</v>
      </c>
      <c r="F1995" s="274"/>
      <c r="G1995" s="274" t="e">
        <f t="shared" ca="1" si="63"/>
        <v>#NAME?</v>
      </c>
      <c r="H1995" s="274">
        <f t="shared" si="64"/>
        <v>0</v>
      </c>
      <c r="K1995" s="274"/>
    </row>
    <row r="1996" spans="2:11" ht="13.5" customHeight="1">
      <c r="B1996" s="1" t="s">
        <v>1989</v>
      </c>
      <c r="C1996" s="1" t="s">
        <v>3491</v>
      </c>
      <c r="D1996" s="413" t="str">
        <f t="shared" si="77"/>
        <v>07-13</v>
      </c>
      <c r="E1996" s="273" t="e">
        <f ca="1">_xludf.IFNA(VLOOKUP('Comp X - Kilter'!B1996,'Kilter Holds'!$P$37:$AB$662,10,0),0)</f>
        <v>#NAME?</v>
      </c>
      <c r="F1996" s="274"/>
      <c r="G1996" s="274" t="e">
        <f t="shared" ca="1" si="63"/>
        <v>#NAME?</v>
      </c>
      <c r="H1996" s="274">
        <f t="shared" si="64"/>
        <v>0</v>
      </c>
      <c r="K1996" s="274"/>
    </row>
    <row r="1997" spans="2:11" ht="13.5" customHeight="1">
      <c r="B1997" s="1" t="s">
        <v>1989</v>
      </c>
      <c r="C1997" s="1" t="s">
        <v>3491</v>
      </c>
      <c r="D1997" s="414" t="str">
        <f t="shared" si="77"/>
        <v>11-26</v>
      </c>
      <c r="E1997" s="273" t="e">
        <f ca="1">_xludf.IFNA(VLOOKUP('Comp X - Kilter'!B1997,'Kilter Holds'!$P$37:$AB$662,11,0),0)</f>
        <v>#NAME?</v>
      </c>
      <c r="F1997" s="274"/>
      <c r="G1997" s="274" t="e">
        <f t="shared" ca="1" si="63"/>
        <v>#NAME?</v>
      </c>
      <c r="H1997" s="274">
        <f t="shared" si="64"/>
        <v>0</v>
      </c>
      <c r="K1997" s="274"/>
    </row>
    <row r="1998" spans="2:11" ht="13.5" customHeight="1">
      <c r="B1998" s="1" t="s">
        <v>1989</v>
      </c>
      <c r="C1998" s="1" t="s">
        <v>3491</v>
      </c>
      <c r="D1998" s="415" t="str">
        <f t="shared" si="77"/>
        <v>18-01</v>
      </c>
      <c r="E1998" s="273" t="e">
        <f ca="1">_xludf.IFNA(VLOOKUP('Comp X - Kilter'!B1998,'Kilter Holds'!$P$37:$AB$662,12,0),0)</f>
        <v>#NAME?</v>
      </c>
      <c r="F1998" s="274"/>
      <c r="G1998" s="274" t="e">
        <f t="shared" ca="1" si="63"/>
        <v>#NAME?</v>
      </c>
      <c r="H1998" s="274">
        <f t="shared" si="64"/>
        <v>0</v>
      </c>
      <c r="K1998" s="274"/>
    </row>
    <row r="1999" spans="2:11" ht="13.5" customHeight="1">
      <c r="B1999" s="1" t="s">
        <v>1989</v>
      </c>
      <c r="C1999" s="1" t="s">
        <v>3491</v>
      </c>
      <c r="D1999" s="416" t="str">
        <f t="shared" si="77"/>
        <v>Color Code</v>
      </c>
      <c r="E1999" s="273" t="e">
        <f ca="1">_xludf.IFNA(VLOOKUP('Comp X - Kilter'!B1999,'Kilter Holds'!$P$37:$AB$662,13,0),0)</f>
        <v>#NAME?</v>
      </c>
      <c r="F1999" s="274"/>
      <c r="G1999" s="274" t="e">
        <f t="shared" ca="1" si="63"/>
        <v>#NAME?</v>
      </c>
      <c r="H1999" s="274">
        <f t="shared" si="64"/>
        <v>0</v>
      </c>
      <c r="K1999" s="274"/>
    </row>
    <row r="2000" spans="2:11" ht="13.5" customHeight="1">
      <c r="B2000" s="209" t="s">
        <v>1962</v>
      </c>
      <c r="C2000" s="209" t="s">
        <v>3492</v>
      </c>
      <c r="D2000" s="406" t="str">
        <f t="shared" si="77"/>
        <v>11-12</v>
      </c>
      <c r="E2000" s="273" t="e">
        <f ca="1">_xludf.IFNA(VLOOKUP('Comp X - Kilter'!B2000,'Kilter Holds'!$P$37:$AB$662,5,0),0)</f>
        <v>#NAME?</v>
      </c>
      <c r="F2000" s="274"/>
      <c r="G2000" s="274" t="e">
        <f t="shared" ca="1" si="63"/>
        <v>#NAME?</v>
      </c>
      <c r="H2000" s="274">
        <f t="shared" si="64"/>
        <v>0</v>
      </c>
      <c r="K2000" s="274"/>
    </row>
    <row r="2001" spans="2:11" ht="13.5" customHeight="1">
      <c r="B2001" s="209" t="s">
        <v>1962</v>
      </c>
      <c r="C2001" s="209" t="s">
        <v>3492</v>
      </c>
      <c r="D2001" s="408" t="str">
        <f t="shared" si="77"/>
        <v>14-01</v>
      </c>
      <c r="E2001" s="273" t="e">
        <f ca="1">_xludf.IFNA(VLOOKUP('Comp X - Kilter'!B2001,'Kilter Holds'!$P$37:$AB$662,6,0),0)</f>
        <v>#NAME?</v>
      </c>
      <c r="F2001" s="274"/>
      <c r="G2001" s="274" t="e">
        <f t="shared" ca="1" si="63"/>
        <v>#NAME?</v>
      </c>
      <c r="H2001" s="274">
        <f t="shared" si="64"/>
        <v>0</v>
      </c>
      <c r="K2001" s="274"/>
    </row>
    <row r="2002" spans="2:11" ht="13.5" customHeight="1">
      <c r="B2002" s="209" t="s">
        <v>1962</v>
      </c>
      <c r="C2002" s="209" t="s">
        <v>3492</v>
      </c>
      <c r="D2002" s="409" t="str">
        <f t="shared" si="77"/>
        <v>15-12</v>
      </c>
      <c r="E2002" s="273" t="e">
        <f ca="1">_xludf.IFNA(VLOOKUP('Comp X - Kilter'!B2002,'Kilter Holds'!$P$37:$AB$662,7,0),0)</f>
        <v>#NAME?</v>
      </c>
      <c r="F2002" s="274"/>
      <c r="G2002" s="274" t="e">
        <f t="shared" ca="1" si="63"/>
        <v>#NAME?</v>
      </c>
      <c r="H2002" s="274">
        <f t="shared" si="64"/>
        <v>0</v>
      </c>
      <c r="K2002" s="274"/>
    </row>
    <row r="2003" spans="2:11" ht="13.5" customHeight="1">
      <c r="B2003" s="209" t="s">
        <v>1962</v>
      </c>
      <c r="C2003" s="209" t="s">
        <v>3492</v>
      </c>
      <c r="D2003" s="410" t="str">
        <f t="shared" si="77"/>
        <v>16-16</v>
      </c>
      <c r="E2003" s="273" t="e">
        <f ca="1">_xludf.IFNA(VLOOKUP('Comp X - Kilter'!B2003,'Kilter Holds'!$P$37:$AB$662,8,0),0)</f>
        <v>#NAME?</v>
      </c>
      <c r="F2003" s="274"/>
      <c r="G2003" s="274" t="e">
        <f t="shared" ca="1" si="63"/>
        <v>#NAME?</v>
      </c>
      <c r="H2003" s="274">
        <f t="shared" si="64"/>
        <v>0</v>
      </c>
      <c r="K2003" s="274"/>
    </row>
    <row r="2004" spans="2:11" ht="13.5" customHeight="1">
      <c r="B2004" s="209" t="s">
        <v>1962</v>
      </c>
      <c r="C2004" s="209" t="s">
        <v>3492</v>
      </c>
      <c r="D2004" s="411" t="str">
        <f t="shared" si="77"/>
        <v>13-01</v>
      </c>
      <c r="E2004" s="273" t="e">
        <f ca="1">_xludf.IFNA(VLOOKUP('Comp X - Kilter'!B2004,'Kilter Holds'!$P$37:$AB$662,9,0),0)</f>
        <v>#NAME?</v>
      </c>
      <c r="F2004" s="274"/>
      <c r="G2004" s="274" t="e">
        <f t="shared" ca="1" si="63"/>
        <v>#NAME?</v>
      </c>
      <c r="H2004" s="274">
        <f t="shared" si="64"/>
        <v>0</v>
      </c>
      <c r="K2004" s="274"/>
    </row>
    <row r="2005" spans="2:11" ht="13.5" customHeight="1">
      <c r="B2005" s="209" t="s">
        <v>1962</v>
      </c>
      <c r="C2005" s="209" t="s">
        <v>3492</v>
      </c>
      <c r="D2005" s="413" t="str">
        <f t="shared" si="77"/>
        <v>07-13</v>
      </c>
      <c r="E2005" s="273" t="e">
        <f ca="1">_xludf.IFNA(VLOOKUP('Comp X - Kilter'!B2005,'Kilter Holds'!$P$37:$AB$662,10,0),0)</f>
        <v>#NAME?</v>
      </c>
      <c r="F2005" s="274"/>
      <c r="G2005" s="274" t="e">
        <f t="shared" ca="1" si="63"/>
        <v>#NAME?</v>
      </c>
      <c r="H2005" s="274">
        <f t="shared" si="64"/>
        <v>0</v>
      </c>
      <c r="K2005" s="274"/>
    </row>
    <row r="2006" spans="2:11" ht="13.5" customHeight="1">
      <c r="B2006" s="209" t="s">
        <v>1962</v>
      </c>
      <c r="C2006" s="209" t="s">
        <v>3492</v>
      </c>
      <c r="D2006" s="414" t="str">
        <f t="shared" si="77"/>
        <v>11-26</v>
      </c>
      <c r="E2006" s="273" t="e">
        <f ca="1">_xludf.IFNA(VLOOKUP('Comp X - Kilter'!B2006,'Kilter Holds'!$P$37:$AB$662,11,0),0)</f>
        <v>#NAME?</v>
      </c>
      <c r="F2006" s="274"/>
      <c r="G2006" s="274" t="e">
        <f t="shared" ca="1" si="63"/>
        <v>#NAME?</v>
      </c>
      <c r="H2006" s="274">
        <f t="shared" si="64"/>
        <v>0</v>
      </c>
      <c r="K2006" s="274"/>
    </row>
    <row r="2007" spans="2:11" ht="13.5" customHeight="1">
      <c r="B2007" s="209" t="s">
        <v>1962</v>
      </c>
      <c r="C2007" s="209" t="s">
        <v>3492</v>
      </c>
      <c r="D2007" s="415" t="str">
        <f t="shared" si="77"/>
        <v>18-01</v>
      </c>
      <c r="E2007" s="273" t="e">
        <f ca="1">_xludf.IFNA(VLOOKUP('Comp X - Kilter'!B2007,'Kilter Holds'!$P$37:$AB$662,12,0),0)</f>
        <v>#NAME?</v>
      </c>
      <c r="F2007" s="274"/>
      <c r="G2007" s="274" t="e">
        <f t="shared" ca="1" si="63"/>
        <v>#NAME?</v>
      </c>
      <c r="H2007" s="274">
        <f t="shared" si="64"/>
        <v>0</v>
      </c>
      <c r="K2007" s="274"/>
    </row>
    <row r="2008" spans="2:11" ht="13.5" customHeight="1">
      <c r="B2008" s="209" t="s">
        <v>1962</v>
      </c>
      <c r="C2008" s="209" t="s">
        <v>3492</v>
      </c>
      <c r="D2008" s="416" t="str">
        <f t="shared" si="77"/>
        <v>Color Code</v>
      </c>
      <c r="E2008" s="273" t="e">
        <f ca="1">_xludf.IFNA(VLOOKUP('Comp X - Kilter'!B2008,'Kilter Holds'!$P$37:$AB$662,13,0),0)</f>
        <v>#NAME?</v>
      </c>
      <c r="F2008" s="274"/>
      <c r="G2008" s="274" t="e">
        <f t="shared" ca="1" si="63"/>
        <v>#NAME?</v>
      </c>
      <c r="H2008" s="274">
        <f t="shared" si="64"/>
        <v>0</v>
      </c>
      <c r="K2008" s="274"/>
    </row>
    <row r="2009" spans="2:11" ht="13.5" customHeight="1">
      <c r="B2009" s="209" t="s">
        <v>1963</v>
      </c>
      <c r="C2009" s="209" t="s">
        <v>3493</v>
      </c>
      <c r="D2009" s="406" t="str">
        <f t="shared" ref="D2009:D2017" si="78">D1865</f>
        <v>11-12</v>
      </c>
      <c r="E2009" s="273" t="e">
        <f ca="1">_xludf.IFNA(VLOOKUP('Comp X - Kilter'!B2009,'Kilter Holds'!$P$37:$AB$662,5,0),0)</f>
        <v>#NAME?</v>
      </c>
      <c r="F2009" s="274"/>
      <c r="G2009" s="274" t="e">
        <f t="shared" ca="1" si="63"/>
        <v>#NAME?</v>
      </c>
      <c r="H2009" s="274">
        <f t="shared" si="64"/>
        <v>0</v>
      </c>
      <c r="K2009" s="274"/>
    </row>
    <row r="2010" spans="2:11" ht="13.5" customHeight="1">
      <c r="B2010" s="209" t="s">
        <v>1963</v>
      </c>
      <c r="C2010" s="209" t="s">
        <v>3493</v>
      </c>
      <c r="D2010" s="408" t="str">
        <f t="shared" si="78"/>
        <v>14-01</v>
      </c>
      <c r="E2010" s="273" t="e">
        <f ca="1">_xludf.IFNA(VLOOKUP('Comp X - Kilter'!B2010,'Kilter Holds'!$P$37:$AB$662,6,0),0)</f>
        <v>#NAME?</v>
      </c>
      <c r="F2010" s="274"/>
      <c r="G2010" s="274" t="e">
        <f t="shared" ca="1" si="63"/>
        <v>#NAME?</v>
      </c>
      <c r="H2010" s="274">
        <f t="shared" si="64"/>
        <v>0</v>
      </c>
      <c r="K2010" s="274"/>
    </row>
    <row r="2011" spans="2:11" ht="13.5" customHeight="1">
      <c r="B2011" s="209" t="s">
        <v>1963</v>
      </c>
      <c r="C2011" s="209" t="s">
        <v>3493</v>
      </c>
      <c r="D2011" s="409" t="str">
        <f t="shared" si="78"/>
        <v>15-12</v>
      </c>
      <c r="E2011" s="273" t="e">
        <f ca="1">_xludf.IFNA(VLOOKUP('Comp X - Kilter'!B2011,'Kilter Holds'!$P$37:$AB$662,7,0),0)</f>
        <v>#NAME?</v>
      </c>
      <c r="F2011" s="274"/>
      <c r="G2011" s="274" t="e">
        <f t="shared" ca="1" si="63"/>
        <v>#NAME?</v>
      </c>
      <c r="H2011" s="274">
        <f t="shared" si="64"/>
        <v>0</v>
      </c>
      <c r="K2011" s="274"/>
    </row>
    <row r="2012" spans="2:11" ht="13.5" customHeight="1">
      <c r="B2012" s="209" t="s">
        <v>1963</v>
      </c>
      <c r="C2012" s="209" t="s">
        <v>3493</v>
      </c>
      <c r="D2012" s="410" t="str">
        <f t="shared" si="78"/>
        <v>16-16</v>
      </c>
      <c r="E2012" s="273" t="e">
        <f ca="1">_xludf.IFNA(VLOOKUP('Comp X - Kilter'!B2012,'Kilter Holds'!$P$37:$AB$662,8,0),0)</f>
        <v>#NAME?</v>
      </c>
      <c r="F2012" s="274"/>
      <c r="G2012" s="274" t="e">
        <f t="shared" ca="1" si="63"/>
        <v>#NAME?</v>
      </c>
      <c r="H2012" s="274">
        <f t="shared" si="64"/>
        <v>0</v>
      </c>
      <c r="K2012" s="274"/>
    </row>
    <row r="2013" spans="2:11" ht="13.5" customHeight="1">
      <c r="B2013" s="209" t="s">
        <v>1963</v>
      </c>
      <c r="C2013" s="209" t="s">
        <v>3493</v>
      </c>
      <c r="D2013" s="411" t="str">
        <f t="shared" si="78"/>
        <v>13-01</v>
      </c>
      <c r="E2013" s="273" t="e">
        <f ca="1">_xludf.IFNA(VLOOKUP('Comp X - Kilter'!B2013,'Kilter Holds'!$P$37:$AB$662,9,0),0)</f>
        <v>#NAME?</v>
      </c>
      <c r="F2013" s="274"/>
      <c r="G2013" s="274" t="e">
        <f t="shared" ca="1" si="63"/>
        <v>#NAME?</v>
      </c>
      <c r="H2013" s="274">
        <f t="shared" si="64"/>
        <v>0</v>
      </c>
      <c r="K2013" s="274"/>
    </row>
    <row r="2014" spans="2:11" ht="13.5" customHeight="1">
      <c r="B2014" s="209" t="s">
        <v>1963</v>
      </c>
      <c r="C2014" s="209" t="s">
        <v>3493</v>
      </c>
      <c r="D2014" s="413" t="str">
        <f t="shared" si="78"/>
        <v>07-13</v>
      </c>
      <c r="E2014" s="273" t="e">
        <f ca="1">_xludf.IFNA(VLOOKUP('Comp X - Kilter'!B2014,'Kilter Holds'!$P$37:$AB$662,10,0),0)</f>
        <v>#NAME?</v>
      </c>
      <c r="F2014" s="274"/>
      <c r="G2014" s="274" t="e">
        <f t="shared" ca="1" si="63"/>
        <v>#NAME?</v>
      </c>
      <c r="H2014" s="274">
        <f t="shared" si="64"/>
        <v>0</v>
      </c>
      <c r="K2014" s="274"/>
    </row>
    <row r="2015" spans="2:11" ht="13.5" customHeight="1">
      <c r="B2015" s="209" t="s">
        <v>1963</v>
      </c>
      <c r="C2015" s="209" t="s">
        <v>3493</v>
      </c>
      <c r="D2015" s="414" t="str">
        <f t="shared" si="78"/>
        <v>11-26</v>
      </c>
      <c r="E2015" s="273" t="e">
        <f ca="1">_xludf.IFNA(VLOOKUP('Comp X - Kilter'!B2015,'Kilter Holds'!$P$37:$AB$662,11,0),0)</f>
        <v>#NAME?</v>
      </c>
      <c r="F2015" s="274"/>
      <c r="G2015" s="274" t="e">
        <f t="shared" ca="1" si="63"/>
        <v>#NAME?</v>
      </c>
      <c r="H2015" s="274">
        <f t="shared" si="64"/>
        <v>0</v>
      </c>
      <c r="K2015" s="274"/>
    </row>
    <row r="2016" spans="2:11" ht="13.5" customHeight="1">
      <c r="B2016" s="209" t="s">
        <v>1963</v>
      </c>
      <c r="C2016" s="209" t="s">
        <v>3493</v>
      </c>
      <c r="D2016" s="415" t="str">
        <f t="shared" si="78"/>
        <v>18-01</v>
      </c>
      <c r="E2016" s="273" t="e">
        <f ca="1">_xludf.IFNA(VLOOKUP('Comp X - Kilter'!B2016,'Kilter Holds'!$P$37:$AB$662,12,0),0)</f>
        <v>#NAME?</v>
      </c>
      <c r="F2016" s="274"/>
      <c r="G2016" s="274" t="e">
        <f t="shared" ca="1" si="63"/>
        <v>#NAME?</v>
      </c>
      <c r="H2016" s="274">
        <f t="shared" si="64"/>
        <v>0</v>
      </c>
      <c r="K2016" s="274"/>
    </row>
    <row r="2017" spans="2:11" ht="13.5" customHeight="1">
      <c r="B2017" s="209" t="s">
        <v>1963</v>
      </c>
      <c r="C2017" s="209" t="s">
        <v>3493</v>
      </c>
      <c r="D2017" s="416" t="str">
        <f t="shared" si="78"/>
        <v>Color Code</v>
      </c>
      <c r="E2017" s="273" t="e">
        <f ca="1">_xludf.IFNA(VLOOKUP('Comp X - Kilter'!B2017,'Kilter Holds'!$P$37:$AB$662,13,0),0)</f>
        <v>#NAME?</v>
      </c>
      <c r="F2017" s="274"/>
      <c r="G2017" s="274" t="e">
        <f t="shared" ca="1" si="63"/>
        <v>#NAME?</v>
      </c>
      <c r="H2017" s="274">
        <f t="shared" si="64"/>
        <v>0</v>
      </c>
      <c r="K2017" s="274"/>
    </row>
    <row r="2018" spans="2:11" ht="13.5" customHeight="1">
      <c r="B2018" s="209" t="s">
        <v>1990</v>
      </c>
      <c r="C2018" s="209" t="s">
        <v>3494</v>
      </c>
      <c r="D2018" s="406" t="str">
        <f t="shared" ref="D2018:D2035" si="79">D1865</f>
        <v>11-12</v>
      </c>
      <c r="E2018" s="273" t="e">
        <f ca="1">_xludf.IFNA(VLOOKUP('Comp X - Kilter'!B2018,'Kilter Holds'!$P$37:$AB$662,5,0),0)</f>
        <v>#NAME?</v>
      </c>
      <c r="F2018" s="274"/>
      <c r="G2018" s="274" t="e">
        <f t="shared" ca="1" si="63"/>
        <v>#NAME?</v>
      </c>
      <c r="H2018" s="274">
        <f t="shared" si="64"/>
        <v>0</v>
      </c>
      <c r="K2018" s="274"/>
    </row>
    <row r="2019" spans="2:11" ht="13.5" customHeight="1">
      <c r="B2019" s="209" t="s">
        <v>1990</v>
      </c>
      <c r="C2019" s="209" t="s">
        <v>3494</v>
      </c>
      <c r="D2019" s="408" t="str">
        <f t="shared" si="79"/>
        <v>14-01</v>
      </c>
      <c r="E2019" s="273" t="e">
        <f ca="1">_xludf.IFNA(VLOOKUP('Comp X - Kilter'!B2019,'Kilter Holds'!$P$37:$AB$662,6,0),0)</f>
        <v>#NAME?</v>
      </c>
      <c r="F2019" s="274"/>
      <c r="G2019" s="274" t="e">
        <f t="shared" ca="1" si="63"/>
        <v>#NAME?</v>
      </c>
      <c r="H2019" s="274">
        <f t="shared" si="64"/>
        <v>0</v>
      </c>
      <c r="K2019" s="274"/>
    </row>
    <row r="2020" spans="2:11" ht="13.5" customHeight="1">
      <c r="B2020" s="209" t="s">
        <v>1990</v>
      </c>
      <c r="C2020" s="209" t="s">
        <v>3494</v>
      </c>
      <c r="D2020" s="409" t="str">
        <f t="shared" si="79"/>
        <v>15-12</v>
      </c>
      <c r="E2020" s="273" t="e">
        <f ca="1">_xludf.IFNA(VLOOKUP('Comp X - Kilter'!B2020,'Kilter Holds'!$P$37:$AB$662,7,0),0)</f>
        <v>#NAME?</v>
      </c>
      <c r="F2020" s="274"/>
      <c r="G2020" s="274" t="e">
        <f t="shared" ca="1" si="63"/>
        <v>#NAME?</v>
      </c>
      <c r="H2020" s="274">
        <f t="shared" si="64"/>
        <v>0</v>
      </c>
      <c r="K2020" s="274"/>
    </row>
    <row r="2021" spans="2:11" ht="13.5" customHeight="1">
      <c r="B2021" s="209" t="s">
        <v>1990</v>
      </c>
      <c r="C2021" s="209" t="s">
        <v>3494</v>
      </c>
      <c r="D2021" s="410" t="str">
        <f t="shared" si="79"/>
        <v>16-16</v>
      </c>
      <c r="E2021" s="273" t="e">
        <f ca="1">_xludf.IFNA(VLOOKUP('Comp X - Kilter'!B2021,'Kilter Holds'!$P$37:$AB$662,8,0),0)</f>
        <v>#NAME?</v>
      </c>
      <c r="F2021" s="274"/>
      <c r="G2021" s="274" t="e">
        <f t="shared" ca="1" si="63"/>
        <v>#NAME?</v>
      </c>
      <c r="H2021" s="274">
        <f t="shared" si="64"/>
        <v>0</v>
      </c>
      <c r="K2021" s="274"/>
    </row>
    <row r="2022" spans="2:11" ht="13.5" customHeight="1">
      <c r="B2022" s="209" t="s">
        <v>1990</v>
      </c>
      <c r="C2022" s="209" t="s">
        <v>3494</v>
      </c>
      <c r="D2022" s="411" t="str">
        <f t="shared" si="79"/>
        <v>13-01</v>
      </c>
      <c r="E2022" s="273" t="e">
        <f ca="1">_xludf.IFNA(VLOOKUP('Comp X - Kilter'!B2022,'Kilter Holds'!$P$37:$AB$662,9,0),0)</f>
        <v>#NAME?</v>
      </c>
      <c r="F2022" s="274"/>
      <c r="G2022" s="274" t="e">
        <f t="shared" ca="1" si="63"/>
        <v>#NAME?</v>
      </c>
      <c r="H2022" s="274">
        <f t="shared" si="64"/>
        <v>0</v>
      </c>
      <c r="K2022" s="274"/>
    </row>
    <row r="2023" spans="2:11" ht="13.5" customHeight="1">
      <c r="B2023" s="209" t="s">
        <v>1990</v>
      </c>
      <c r="C2023" s="209" t="s">
        <v>3494</v>
      </c>
      <c r="D2023" s="413" t="str">
        <f t="shared" si="79"/>
        <v>07-13</v>
      </c>
      <c r="E2023" s="273" t="e">
        <f ca="1">_xludf.IFNA(VLOOKUP('Comp X - Kilter'!B2023,'Kilter Holds'!$P$37:$AB$662,10,0),0)</f>
        <v>#NAME?</v>
      </c>
      <c r="F2023" s="274"/>
      <c r="G2023" s="274" t="e">
        <f t="shared" ca="1" si="63"/>
        <v>#NAME?</v>
      </c>
      <c r="H2023" s="274">
        <f t="shared" si="64"/>
        <v>0</v>
      </c>
      <c r="K2023" s="274"/>
    </row>
    <row r="2024" spans="2:11" ht="13.5" customHeight="1">
      <c r="B2024" s="209" t="s">
        <v>1990</v>
      </c>
      <c r="C2024" s="209" t="s">
        <v>3494</v>
      </c>
      <c r="D2024" s="414" t="str">
        <f t="shared" si="79"/>
        <v>11-26</v>
      </c>
      <c r="E2024" s="273" t="e">
        <f ca="1">_xludf.IFNA(VLOOKUP('Comp X - Kilter'!B2024,'Kilter Holds'!$P$37:$AB$662,11,0),0)</f>
        <v>#NAME?</v>
      </c>
      <c r="F2024" s="274"/>
      <c r="G2024" s="274" t="e">
        <f t="shared" ca="1" si="63"/>
        <v>#NAME?</v>
      </c>
      <c r="H2024" s="274">
        <f t="shared" si="64"/>
        <v>0</v>
      </c>
      <c r="K2024" s="274"/>
    </row>
    <row r="2025" spans="2:11" ht="13.5" customHeight="1">
      <c r="B2025" s="209" t="s">
        <v>1990</v>
      </c>
      <c r="C2025" s="209" t="s">
        <v>3494</v>
      </c>
      <c r="D2025" s="415" t="str">
        <f t="shared" si="79"/>
        <v>18-01</v>
      </c>
      <c r="E2025" s="273" t="e">
        <f ca="1">_xludf.IFNA(VLOOKUP('Comp X - Kilter'!B2025,'Kilter Holds'!$P$37:$AB$662,12,0),0)</f>
        <v>#NAME?</v>
      </c>
      <c r="F2025" s="274"/>
      <c r="G2025" s="274" t="e">
        <f t="shared" ca="1" si="63"/>
        <v>#NAME?</v>
      </c>
      <c r="H2025" s="274">
        <f t="shared" si="64"/>
        <v>0</v>
      </c>
      <c r="K2025" s="274"/>
    </row>
    <row r="2026" spans="2:11" ht="13.5" customHeight="1">
      <c r="B2026" s="209" t="s">
        <v>1990</v>
      </c>
      <c r="C2026" s="209" t="s">
        <v>3494</v>
      </c>
      <c r="D2026" s="416" t="str">
        <f t="shared" si="79"/>
        <v>Color Code</v>
      </c>
      <c r="E2026" s="273" t="e">
        <f ca="1">_xludf.IFNA(VLOOKUP('Comp X - Kilter'!B2026,'Kilter Holds'!$P$37:$AB$662,13,0),0)</f>
        <v>#NAME?</v>
      </c>
      <c r="F2026" s="274"/>
      <c r="G2026" s="274" t="e">
        <f t="shared" ca="1" si="63"/>
        <v>#NAME?</v>
      </c>
      <c r="H2026" s="274">
        <f t="shared" si="64"/>
        <v>0</v>
      </c>
      <c r="K2026" s="274"/>
    </row>
    <row r="2027" spans="2:11" ht="13.5" customHeight="1">
      <c r="B2027" s="209" t="s">
        <v>1964</v>
      </c>
      <c r="C2027" s="209" t="s">
        <v>3495</v>
      </c>
      <c r="D2027" s="406" t="str">
        <f t="shared" si="79"/>
        <v>11-12</v>
      </c>
      <c r="E2027" s="273" t="e">
        <f ca="1">_xludf.IFNA(VLOOKUP('Comp X - Kilter'!B2027,'Kilter Holds'!$P$37:$AB$662,5,0),0)</f>
        <v>#NAME?</v>
      </c>
      <c r="F2027" s="274"/>
      <c r="G2027" s="274" t="e">
        <f t="shared" ca="1" si="63"/>
        <v>#NAME?</v>
      </c>
      <c r="H2027" s="274">
        <f t="shared" si="64"/>
        <v>0</v>
      </c>
      <c r="K2027" s="274"/>
    </row>
    <row r="2028" spans="2:11" ht="13.5" customHeight="1">
      <c r="B2028" s="209" t="s">
        <v>1964</v>
      </c>
      <c r="C2028" s="209" t="s">
        <v>3495</v>
      </c>
      <c r="D2028" s="408" t="str">
        <f t="shared" si="79"/>
        <v>14-01</v>
      </c>
      <c r="E2028" s="273" t="e">
        <f ca="1">_xludf.IFNA(VLOOKUP('Comp X - Kilter'!B2028,'Kilter Holds'!$P$37:$AB$662,6,0),0)</f>
        <v>#NAME?</v>
      </c>
      <c r="F2028" s="274"/>
      <c r="G2028" s="274" t="e">
        <f t="shared" ca="1" si="63"/>
        <v>#NAME?</v>
      </c>
      <c r="H2028" s="274">
        <f t="shared" si="64"/>
        <v>0</v>
      </c>
      <c r="K2028" s="274"/>
    </row>
    <row r="2029" spans="2:11" ht="13.5" customHeight="1">
      <c r="B2029" s="209" t="s">
        <v>1964</v>
      </c>
      <c r="C2029" s="209" t="s">
        <v>3495</v>
      </c>
      <c r="D2029" s="409" t="str">
        <f t="shared" si="79"/>
        <v>15-12</v>
      </c>
      <c r="E2029" s="273" t="e">
        <f ca="1">_xludf.IFNA(VLOOKUP('Comp X - Kilter'!B2029,'Kilter Holds'!$P$37:$AB$662,7,0),0)</f>
        <v>#NAME?</v>
      </c>
      <c r="F2029" s="274"/>
      <c r="G2029" s="274" t="e">
        <f t="shared" ca="1" si="63"/>
        <v>#NAME?</v>
      </c>
      <c r="H2029" s="274">
        <f t="shared" si="64"/>
        <v>0</v>
      </c>
      <c r="K2029" s="274"/>
    </row>
    <row r="2030" spans="2:11" ht="13.5" customHeight="1">
      <c r="B2030" s="209" t="s">
        <v>1964</v>
      </c>
      <c r="C2030" s="209" t="s">
        <v>3495</v>
      </c>
      <c r="D2030" s="410" t="str">
        <f t="shared" si="79"/>
        <v>16-16</v>
      </c>
      <c r="E2030" s="273" t="e">
        <f ca="1">_xludf.IFNA(VLOOKUP('Comp X - Kilter'!B2030,'Kilter Holds'!$P$37:$AB$662,8,0),0)</f>
        <v>#NAME?</v>
      </c>
      <c r="F2030" s="274"/>
      <c r="G2030" s="274" t="e">
        <f t="shared" ca="1" si="63"/>
        <v>#NAME?</v>
      </c>
      <c r="H2030" s="274">
        <f t="shared" si="64"/>
        <v>0</v>
      </c>
      <c r="K2030" s="274"/>
    </row>
    <row r="2031" spans="2:11" ht="13.5" customHeight="1">
      <c r="B2031" s="209" t="s">
        <v>1964</v>
      </c>
      <c r="C2031" s="209" t="s">
        <v>3495</v>
      </c>
      <c r="D2031" s="411" t="str">
        <f t="shared" si="79"/>
        <v>13-01</v>
      </c>
      <c r="E2031" s="273" t="e">
        <f ca="1">_xludf.IFNA(VLOOKUP('Comp X - Kilter'!B2031,'Kilter Holds'!$P$37:$AB$662,9,0),0)</f>
        <v>#NAME?</v>
      </c>
      <c r="F2031" s="274"/>
      <c r="G2031" s="274" t="e">
        <f t="shared" ca="1" si="63"/>
        <v>#NAME?</v>
      </c>
      <c r="H2031" s="274">
        <f t="shared" si="64"/>
        <v>0</v>
      </c>
      <c r="K2031" s="274"/>
    </row>
    <row r="2032" spans="2:11" ht="13.5" customHeight="1">
      <c r="B2032" s="209" t="s">
        <v>1964</v>
      </c>
      <c r="C2032" s="209" t="s">
        <v>3495</v>
      </c>
      <c r="D2032" s="413" t="str">
        <f t="shared" si="79"/>
        <v>07-13</v>
      </c>
      <c r="E2032" s="273" t="e">
        <f ca="1">_xludf.IFNA(VLOOKUP('Comp X - Kilter'!B2032,'Kilter Holds'!$P$37:$AB$662,10,0),0)</f>
        <v>#NAME?</v>
      </c>
      <c r="F2032" s="274"/>
      <c r="G2032" s="274" t="e">
        <f t="shared" ca="1" si="63"/>
        <v>#NAME?</v>
      </c>
      <c r="H2032" s="274">
        <f t="shared" si="64"/>
        <v>0</v>
      </c>
      <c r="K2032" s="274"/>
    </row>
    <row r="2033" spans="2:11" ht="13.5" customHeight="1">
      <c r="B2033" s="209" t="s">
        <v>1964</v>
      </c>
      <c r="C2033" s="209" t="s">
        <v>3495</v>
      </c>
      <c r="D2033" s="414" t="str">
        <f t="shared" si="79"/>
        <v>11-26</v>
      </c>
      <c r="E2033" s="273" t="e">
        <f ca="1">_xludf.IFNA(VLOOKUP('Comp X - Kilter'!B2033,'Kilter Holds'!$P$37:$AB$662,11,0),0)</f>
        <v>#NAME?</v>
      </c>
      <c r="F2033" s="274"/>
      <c r="G2033" s="274" t="e">
        <f t="shared" ca="1" si="63"/>
        <v>#NAME?</v>
      </c>
      <c r="H2033" s="274">
        <f t="shared" si="64"/>
        <v>0</v>
      </c>
      <c r="K2033" s="274"/>
    </row>
    <row r="2034" spans="2:11" ht="13.5" customHeight="1">
      <c r="B2034" s="209" t="s">
        <v>1964</v>
      </c>
      <c r="C2034" s="209" t="s">
        <v>3495</v>
      </c>
      <c r="D2034" s="415" t="str">
        <f t="shared" si="79"/>
        <v>18-01</v>
      </c>
      <c r="E2034" s="273" t="e">
        <f ca="1">_xludf.IFNA(VLOOKUP('Comp X - Kilter'!B2034,'Kilter Holds'!$P$37:$AB$662,12,0),0)</f>
        <v>#NAME?</v>
      </c>
      <c r="F2034" s="274"/>
      <c r="G2034" s="274" t="e">
        <f t="shared" ca="1" si="63"/>
        <v>#NAME?</v>
      </c>
      <c r="H2034" s="274">
        <f t="shared" si="64"/>
        <v>0</v>
      </c>
      <c r="K2034" s="274"/>
    </row>
    <row r="2035" spans="2:11" ht="13.5" customHeight="1">
      <c r="B2035" s="209" t="s">
        <v>1964</v>
      </c>
      <c r="C2035" s="209" t="s">
        <v>3495</v>
      </c>
      <c r="D2035" s="416" t="str">
        <f t="shared" si="79"/>
        <v>Color Code</v>
      </c>
      <c r="E2035" s="273" t="e">
        <f ca="1">_xludf.IFNA(VLOOKUP('Comp X - Kilter'!B2035,'Kilter Holds'!$P$37:$AB$662,13,0),0)</f>
        <v>#NAME?</v>
      </c>
      <c r="F2035" s="274"/>
      <c r="G2035" s="274" t="e">
        <f t="shared" ca="1" si="63"/>
        <v>#NAME?</v>
      </c>
      <c r="H2035" s="274">
        <f t="shared" si="64"/>
        <v>0</v>
      </c>
      <c r="K2035" s="274"/>
    </row>
    <row r="2036" spans="2:11" ht="13.5" customHeight="1">
      <c r="B2036" s="209" t="s">
        <v>1991</v>
      </c>
      <c r="C2036" s="209" t="s">
        <v>3496</v>
      </c>
      <c r="D2036" s="406" t="str">
        <f t="shared" ref="D2036:D2071" si="80">D1910</f>
        <v>11-12</v>
      </c>
      <c r="E2036" s="273" t="e">
        <f ca="1">_xludf.IFNA(VLOOKUP('Comp X - Kilter'!B2036,'Kilter Holds'!$P$37:$AB$662,5,0),0)</f>
        <v>#NAME?</v>
      </c>
      <c r="F2036" s="274"/>
      <c r="G2036" s="274" t="e">
        <f t="shared" ca="1" si="63"/>
        <v>#NAME?</v>
      </c>
      <c r="H2036" s="274">
        <f t="shared" si="64"/>
        <v>0</v>
      </c>
      <c r="K2036" s="274"/>
    </row>
    <row r="2037" spans="2:11" ht="13.5" customHeight="1">
      <c r="B2037" s="209" t="s">
        <v>1991</v>
      </c>
      <c r="C2037" s="209" t="s">
        <v>3496</v>
      </c>
      <c r="D2037" s="408" t="str">
        <f t="shared" si="80"/>
        <v>14-01</v>
      </c>
      <c r="E2037" s="273" t="e">
        <f ca="1">_xludf.IFNA(VLOOKUP('Comp X - Kilter'!B2037,'Kilter Holds'!$P$37:$AB$662,6,0),0)</f>
        <v>#NAME?</v>
      </c>
      <c r="F2037" s="274"/>
      <c r="G2037" s="274" t="e">
        <f t="shared" ca="1" si="63"/>
        <v>#NAME?</v>
      </c>
      <c r="H2037" s="274">
        <f t="shared" si="64"/>
        <v>0</v>
      </c>
      <c r="K2037" s="274"/>
    </row>
    <row r="2038" spans="2:11" ht="13.5" customHeight="1">
      <c r="B2038" s="209" t="s">
        <v>1991</v>
      </c>
      <c r="C2038" s="209" t="s">
        <v>3496</v>
      </c>
      <c r="D2038" s="409" t="str">
        <f t="shared" si="80"/>
        <v>15-12</v>
      </c>
      <c r="E2038" s="273" t="e">
        <f ca="1">_xludf.IFNA(VLOOKUP('Comp X - Kilter'!B2038,'Kilter Holds'!$P$37:$AB$662,7,0),0)</f>
        <v>#NAME?</v>
      </c>
      <c r="F2038" s="274"/>
      <c r="G2038" s="274" t="e">
        <f t="shared" ca="1" si="63"/>
        <v>#NAME?</v>
      </c>
      <c r="H2038" s="274">
        <f t="shared" si="64"/>
        <v>0</v>
      </c>
      <c r="K2038" s="274"/>
    </row>
    <row r="2039" spans="2:11" ht="13.5" customHeight="1">
      <c r="B2039" s="209" t="s">
        <v>1991</v>
      </c>
      <c r="C2039" s="209" t="s">
        <v>3496</v>
      </c>
      <c r="D2039" s="410" t="str">
        <f t="shared" si="80"/>
        <v>16-16</v>
      </c>
      <c r="E2039" s="273" t="e">
        <f ca="1">_xludf.IFNA(VLOOKUP('Comp X - Kilter'!B2039,'Kilter Holds'!$P$37:$AB$662,8,0),0)</f>
        <v>#NAME?</v>
      </c>
      <c r="F2039" s="274"/>
      <c r="G2039" s="274" t="e">
        <f t="shared" ca="1" si="63"/>
        <v>#NAME?</v>
      </c>
      <c r="H2039" s="274">
        <f t="shared" si="64"/>
        <v>0</v>
      </c>
      <c r="K2039" s="274"/>
    </row>
    <row r="2040" spans="2:11" ht="13.5" customHeight="1">
      <c r="B2040" s="209" t="s">
        <v>1991</v>
      </c>
      <c r="C2040" s="209" t="s">
        <v>3496</v>
      </c>
      <c r="D2040" s="411" t="str">
        <f t="shared" si="80"/>
        <v>13-01</v>
      </c>
      <c r="E2040" s="273" t="e">
        <f ca="1">_xludf.IFNA(VLOOKUP('Comp X - Kilter'!B2040,'Kilter Holds'!$P$37:$AB$662,9,0),0)</f>
        <v>#NAME?</v>
      </c>
      <c r="F2040" s="274"/>
      <c r="G2040" s="274" t="e">
        <f t="shared" ca="1" si="63"/>
        <v>#NAME?</v>
      </c>
      <c r="H2040" s="274">
        <f t="shared" si="64"/>
        <v>0</v>
      </c>
      <c r="K2040" s="274"/>
    </row>
    <row r="2041" spans="2:11" ht="13.5" customHeight="1">
      <c r="B2041" s="209" t="s">
        <v>1991</v>
      </c>
      <c r="C2041" s="209" t="s">
        <v>3496</v>
      </c>
      <c r="D2041" s="413" t="str">
        <f t="shared" si="80"/>
        <v>07-13</v>
      </c>
      <c r="E2041" s="273" t="e">
        <f ca="1">_xludf.IFNA(VLOOKUP('Comp X - Kilter'!B2041,'Kilter Holds'!$P$37:$AB$662,10,0),0)</f>
        <v>#NAME?</v>
      </c>
      <c r="F2041" s="274"/>
      <c r="G2041" s="274" t="e">
        <f t="shared" ca="1" si="63"/>
        <v>#NAME?</v>
      </c>
      <c r="H2041" s="274">
        <f t="shared" si="64"/>
        <v>0</v>
      </c>
      <c r="K2041" s="274"/>
    </row>
    <row r="2042" spans="2:11" ht="13.5" customHeight="1">
      <c r="B2042" s="209" t="s">
        <v>1991</v>
      </c>
      <c r="C2042" s="209" t="s">
        <v>3496</v>
      </c>
      <c r="D2042" s="414" t="str">
        <f t="shared" si="80"/>
        <v>11-26</v>
      </c>
      <c r="E2042" s="273" t="e">
        <f ca="1">_xludf.IFNA(VLOOKUP('Comp X - Kilter'!B2042,'Kilter Holds'!$P$37:$AB$662,11,0),0)</f>
        <v>#NAME?</v>
      </c>
      <c r="F2042" s="274"/>
      <c r="G2042" s="274" t="e">
        <f t="shared" ref="G2042:G2296" ca="1" si="81">E2042*F2042</f>
        <v>#NAME?</v>
      </c>
      <c r="H2042" s="274">
        <f t="shared" ref="H2042:H2296" si="82">IF($S$11="Y",G2042*0.15,0)</f>
        <v>0</v>
      </c>
      <c r="K2042" s="274"/>
    </row>
    <row r="2043" spans="2:11" ht="13.5" customHeight="1">
      <c r="B2043" s="209" t="s">
        <v>1991</v>
      </c>
      <c r="C2043" s="209" t="s">
        <v>3496</v>
      </c>
      <c r="D2043" s="415" t="str">
        <f t="shared" si="80"/>
        <v>18-01</v>
      </c>
      <c r="E2043" s="273" t="e">
        <f ca="1">_xludf.IFNA(VLOOKUP('Comp X - Kilter'!B2043,'Kilter Holds'!$P$37:$AB$662,12,0),0)</f>
        <v>#NAME?</v>
      </c>
      <c r="F2043" s="274"/>
      <c r="G2043" s="274" t="e">
        <f t="shared" ca="1" si="81"/>
        <v>#NAME?</v>
      </c>
      <c r="H2043" s="274">
        <f t="shared" si="82"/>
        <v>0</v>
      </c>
      <c r="K2043" s="274"/>
    </row>
    <row r="2044" spans="2:11" ht="13.5" customHeight="1">
      <c r="B2044" s="209" t="s">
        <v>1991</v>
      </c>
      <c r="C2044" s="209" t="s">
        <v>3496</v>
      </c>
      <c r="D2044" s="416" t="str">
        <f t="shared" si="80"/>
        <v>Color Code</v>
      </c>
      <c r="E2044" s="273" t="e">
        <f ca="1">_xludf.IFNA(VLOOKUP('Comp X - Kilter'!B2044,'Kilter Holds'!$P$37:$AB$662,13,0),0)</f>
        <v>#NAME?</v>
      </c>
      <c r="F2044" s="274"/>
      <c r="G2044" s="274" t="e">
        <f t="shared" ca="1" si="81"/>
        <v>#NAME?</v>
      </c>
      <c r="H2044" s="274">
        <f t="shared" si="82"/>
        <v>0</v>
      </c>
      <c r="K2044" s="274"/>
    </row>
    <row r="2045" spans="2:11" ht="13.5" customHeight="1">
      <c r="B2045" s="209" t="s">
        <v>1992</v>
      </c>
      <c r="C2045" s="209" t="s">
        <v>3497</v>
      </c>
      <c r="D2045" s="406" t="str">
        <f t="shared" si="80"/>
        <v>11-12</v>
      </c>
      <c r="E2045" s="273" t="e">
        <f ca="1">_xludf.IFNA(VLOOKUP('Comp X - Kilter'!B2045,'Kilter Holds'!$P$37:$AB$662,5,0),0)</f>
        <v>#NAME?</v>
      </c>
      <c r="F2045" s="274"/>
      <c r="G2045" s="274" t="e">
        <f t="shared" ca="1" si="81"/>
        <v>#NAME?</v>
      </c>
      <c r="H2045" s="274">
        <f t="shared" si="82"/>
        <v>0</v>
      </c>
      <c r="K2045" s="274"/>
    </row>
    <row r="2046" spans="2:11" ht="13.5" customHeight="1">
      <c r="B2046" s="209" t="s">
        <v>1992</v>
      </c>
      <c r="C2046" s="209" t="s">
        <v>3497</v>
      </c>
      <c r="D2046" s="408" t="str">
        <f t="shared" si="80"/>
        <v>14-01</v>
      </c>
      <c r="E2046" s="273" t="e">
        <f ca="1">_xludf.IFNA(VLOOKUP('Comp X - Kilter'!B2046,'Kilter Holds'!$P$37:$AB$662,6,0),0)</f>
        <v>#NAME?</v>
      </c>
      <c r="F2046" s="274"/>
      <c r="G2046" s="274" t="e">
        <f t="shared" ca="1" si="81"/>
        <v>#NAME?</v>
      </c>
      <c r="H2046" s="274">
        <f t="shared" si="82"/>
        <v>0</v>
      </c>
      <c r="K2046" s="274"/>
    </row>
    <row r="2047" spans="2:11" ht="13.5" customHeight="1">
      <c r="B2047" s="209" t="s">
        <v>1992</v>
      </c>
      <c r="C2047" s="209" t="s">
        <v>3497</v>
      </c>
      <c r="D2047" s="409" t="str">
        <f t="shared" si="80"/>
        <v>15-12</v>
      </c>
      <c r="E2047" s="273" t="e">
        <f ca="1">_xludf.IFNA(VLOOKUP('Comp X - Kilter'!B2047,'Kilter Holds'!$P$37:$AB$662,7,0),0)</f>
        <v>#NAME?</v>
      </c>
      <c r="F2047" s="274"/>
      <c r="G2047" s="274" t="e">
        <f t="shared" ca="1" si="81"/>
        <v>#NAME?</v>
      </c>
      <c r="H2047" s="274">
        <f t="shared" si="82"/>
        <v>0</v>
      </c>
      <c r="K2047" s="274"/>
    </row>
    <row r="2048" spans="2:11" ht="13.5" customHeight="1">
      <c r="B2048" s="209" t="s">
        <v>1992</v>
      </c>
      <c r="C2048" s="209" t="s">
        <v>3497</v>
      </c>
      <c r="D2048" s="410" t="str">
        <f t="shared" si="80"/>
        <v>16-16</v>
      </c>
      <c r="E2048" s="273" t="e">
        <f ca="1">_xludf.IFNA(VLOOKUP('Comp X - Kilter'!B2048,'Kilter Holds'!$P$37:$AB$662,8,0),0)</f>
        <v>#NAME?</v>
      </c>
      <c r="F2048" s="274"/>
      <c r="G2048" s="274" t="e">
        <f t="shared" ca="1" si="81"/>
        <v>#NAME?</v>
      </c>
      <c r="H2048" s="274">
        <f t="shared" si="82"/>
        <v>0</v>
      </c>
      <c r="K2048" s="274"/>
    </row>
    <row r="2049" spans="2:11" ht="13.5" customHeight="1">
      <c r="B2049" s="209" t="s">
        <v>1992</v>
      </c>
      <c r="C2049" s="209" t="s">
        <v>3497</v>
      </c>
      <c r="D2049" s="411" t="str">
        <f t="shared" si="80"/>
        <v>13-01</v>
      </c>
      <c r="E2049" s="273" t="e">
        <f ca="1">_xludf.IFNA(VLOOKUP('Comp X - Kilter'!B2049,'Kilter Holds'!$P$37:$AB$662,9,0),0)</f>
        <v>#NAME?</v>
      </c>
      <c r="F2049" s="274"/>
      <c r="G2049" s="274" t="e">
        <f t="shared" ca="1" si="81"/>
        <v>#NAME?</v>
      </c>
      <c r="H2049" s="274">
        <f t="shared" si="82"/>
        <v>0</v>
      </c>
      <c r="K2049" s="274"/>
    </row>
    <row r="2050" spans="2:11" ht="13.5" customHeight="1">
      <c r="B2050" s="209" t="s">
        <v>1992</v>
      </c>
      <c r="C2050" s="209" t="s">
        <v>3497</v>
      </c>
      <c r="D2050" s="413" t="str">
        <f t="shared" si="80"/>
        <v>07-13</v>
      </c>
      <c r="E2050" s="273" t="e">
        <f ca="1">_xludf.IFNA(VLOOKUP('Comp X - Kilter'!B2050,'Kilter Holds'!$P$37:$AB$662,10,0),0)</f>
        <v>#NAME?</v>
      </c>
      <c r="F2050" s="274"/>
      <c r="G2050" s="274" t="e">
        <f t="shared" ca="1" si="81"/>
        <v>#NAME?</v>
      </c>
      <c r="H2050" s="274">
        <f t="shared" si="82"/>
        <v>0</v>
      </c>
      <c r="K2050" s="274"/>
    </row>
    <row r="2051" spans="2:11" ht="13.5" customHeight="1">
      <c r="B2051" s="209" t="s">
        <v>1992</v>
      </c>
      <c r="C2051" s="209" t="s">
        <v>3497</v>
      </c>
      <c r="D2051" s="414" t="str">
        <f t="shared" si="80"/>
        <v>11-26</v>
      </c>
      <c r="E2051" s="273" t="e">
        <f ca="1">_xludf.IFNA(VLOOKUP('Comp X - Kilter'!B2051,'Kilter Holds'!$P$37:$AB$662,11,0),0)</f>
        <v>#NAME?</v>
      </c>
      <c r="F2051" s="274"/>
      <c r="G2051" s="274" t="e">
        <f t="shared" ca="1" si="81"/>
        <v>#NAME?</v>
      </c>
      <c r="H2051" s="274">
        <f t="shared" si="82"/>
        <v>0</v>
      </c>
      <c r="K2051" s="274"/>
    </row>
    <row r="2052" spans="2:11" ht="13.5" customHeight="1">
      <c r="B2052" s="209" t="s">
        <v>1992</v>
      </c>
      <c r="C2052" s="209" t="s">
        <v>3497</v>
      </c>
      <c r="D2052" s="415" t="str">
        <f t="shared" si="80"/>
        <v>18-01</v>
      </c>
      <c r="E2052" s="273" t="e">
        <f ca="1">_xludf.IFNA(VLOOKUP('Comp X - Kilter'!B2052,'Kilter Holds'!$P$37:$AB$662,12,0),0)</f>
        <v>#NAME?</v>
      </c>
      <c r="F2052" s="274"/>
      <c r="G2052" s="274" t="e">
        <f t="shared" ca="1" si="81"/>
        <v>#NAME?</v>
      </c>
      <c r="H2052" s="274">
        <f t="shared" si="82"/>
        <v>0</v>
      </c>
      <c r="K2052" s="274"/>
    </row>
    <row r="2053" spans="2:11" ht="13.5" customHeight="1">
      <c r="B2053" s="209" t="s">
        <v>1992</v>
      </c>
      <c r="C2053" s="209" t="s">
        <v>3497</v>
      </c>
      <c r="D2053" s="416" t="str">
        <f t="shared" si="80"/>
        <v>Color Code</v>
      </c>
      <c r="E2053" s="273" t="e">
        <f ca="1">_xludf.IFNA(VLOOKUP('Comp X - Kilter'!B2053,'Kilter Holds'!$P$37:$AB$662,13,0),0)</f>
        <v>#NAME?</v>
      </c>
      <c r="F2053" s="274"/>
      <c r="G2053" s="274" t="e">
        <f t="shared" ca="1" si="81"/>
        <v>#NAME?</v>
      </c>
      <c r="H2053" s="274">
        <f t="shared" si="82"/>
        <v>0</v>
      </c>
      <c r="K2053" s="274"/>
    </row>
    <row r="2054" spans="2:11" ht="13.5" customHeight="1">
      <c r="B2054" s="209" t="s">
        <v>1965</v>
      </c>
      <c r="C2054" s="209" t="s">
        <v>3498</v>
      </c>
      <c r="D2054" s="406" t="str">
        <f t="shared" si="80"/>
        <v>11-12</v>
      </c>
      <c r="E2054" s="273" t="e">
        <f ca="1">_xludf.IFNA(VLOOKUP('Comp X - Kilter'!B2054,'Kilter Holds'!$P$37:$AB$662,5,0),0)</f>
        <v>#NAME?</v>
      </c>
      <c r="F2054" s="274"/>
      <c r="G2054" s="274" t="e">
        <f t="shared" ca="1" si="81"/>
        <v>#NAME?</v>
      </c>
      <c r="H2054" s="274">
        <f t="shared" si="82"/>
        <v>0</v>
      </c>
      <c r="K2054" s="274"/>
    </row>
    <row r="2055" spans="2:11" ht="13.5" customHeight="1">
      <c r="B2055" s="209" t="s">
        <v>1965</v>
      </c>
      <c r="C2055" s="209" t="s">
        <v>3498</v>
      </c>
      <c r="D2055" s="408" t="str">
        <f t="shared" si="80"/>
        <v>14-01</v>
      </c>
      <c r="E2055" s="273" t="e">
        <f ca="1">_xludf.IFNA(VLOOKUP('Comp X - Kilter'!B2055,'Kilter Holds'!$P$37:$AB$662,6,0),0)</f>
        <v>#NAME?</v>
      </c>
      <c r="F2055" s="274"/>
      <c r="G2055" s="274" t="e">
        <f t="shared" ca="1" si="81"/>
        <v>#NAME?</v>
      </c>
      <c r="H2055" s="274">
        <f t="shared" si="82"/>
        <v>0</v>
      </c>
      <c r="K2055" s="274"/>
    </row>
    <row r="2056" spans="2:11" ht="13.5" customHeight="1">
      <c r="B2056" s="209" t="s">
        <v>1965</v>
      </c>
      <c r="C2056" s="209" t="s">
        <v>3498</v>
      </c>
      <c r="D2056" s="409" t="str">
        <f t="shared" si="80"/>
        <v>15-12</v>
      </c>
      <c r="E2056" s="273" t="e">
        <f ca="1">_xludf.IFNA(VLOOKUP('Comp X - Kilter'!B2056,'Kilter Holds'!$P$37:$AB$662,7,0),0)</f>
        <v>#NAME?</v>
      </c>
      <c r="F2056" s="274"/>
      <c r="G2056" s="274" t="e">
        <f t="shared" ca="1" si="81"/>
        <v>#NAME?</v>
      </c>
      <c r="H2056" s="274">
        <f t="shared" si="82"/>
        <v>0</v>
      </c>
      <c r="K2056" s="274"/>
    </row>
    <row r="2057" spans="2:11" ht="13.5" customHeight="1">
      <c r="B2057" s="209" t="s">
        <v>1965</v>
      </c>
      <c r="C2057" s="209" t="s">
        <v>3498</v>
      </c>
      <c r="D2057" s="410" t="str">
        <f t="shared" si="80"/>
        <v>16-16</v>
      </c>
      <c r="E2057" s="273" t="e">
        <f ca="1">_xludf.IFNA(VLOOKUP('Comp X - Kilter'!B2057,'Kilter Holds'!$P$37:$AB$662,8,0),0)</f>
        <v>#NAME?</v>
      </c>
      <c r="F2057" s="274"/>
      <c r="G2057" s="274" t="e">
        <f t="shared" ca="1" si="81"/>
        <v>#NAME?</v>
      </c>
      <c r="H2057" s="274">
        <f t="shared" si="82"/>
        <v>0</v>
      </c>
      <c r="K2057" s="274"/>
    </row>
    <row r="2058" spans="2:11" ht="13.5" customHeight="1">
      <c r="B2058" s="209" t="s">
        <v>1965</v>
      </c>
      <c r="C2058" s="209" t="s">
        <v>3498</v>
      </c>
      <c r="D2058" s="411" t="str">
        <f t="shared" si="80"/>
        <v>13-01</v>
      </c>
      <c r="E2058" s="273" t="e">
        <f ca="1">_xludf.IFNA(VLOOKUP('Comp X - Kilter'!B2058,'Kilter Holds'!$P$37:$AB$662,9,0),0)</f>
        <v>#NAME?</v>
      </c>
      <c r="F2058" s="274"/>
      <c r="G2058" s="274" t="e">
        <f t="shared" ca="1" si="81"/>
        <v>#NAME?</v>
      </c>
      <c r="H2058" s="274">
        <f t="shared" si="82"/>
        <v>0</v>
      </c>
      <c r="K2058" s="274"/>
    </row>
    <row r="2059" spans="2:11" ht="13.5" customHeight="1">
      <c r="B2059" s="209" t="s">
        <v>1965</v>
      </c>
      <c r="C2059" s="209" t="s">
        <v>3498</v>
      </c>
      <c r="D2059" s="413" t="str">
        <f t="shared" si="80"/>
        <v>07-13</v>
      </c>
      <c r="E2059" s="273" t="e">
        <f ca="1">_xludf.IFNA(VLOOKUP('Comp X - Kilter'!B2059,'Kilter Holds'!$P$37:$AB$662,10,0),0)</f>
        <v>#NAME?</v>
      </c>
      <c r="F2059" s="274"/>
      <c r="G2059" s="274" t="e">
        <f t="shared" ca="1" si="81"/>
        <v>#NAME?</v>
      </c>
      <c r="H2059" s="274">
        <f t="shared" si="82"/>
        <v>0</v>
      </c>
      <c r="K2059" s="274"/>
    </row>
    <row r="2060" spans="2:11" ht="13.5" customHeight="1">
      <c r="B2060" s="209" t="s">
        <v>1965</v>
      </c>
      <c r="C2060" s="209" t="s">
        <v>3498</v>
      </c>
      <c r="D2060" s="414" t="str">
        <f t="shared" si="80"/>
        <v>11-26</v>
      </c>
      <c r="E2060" s="273" t="e">
        <f ca="1">_xludf.IFNA(VLOOKUP('Comp X - Kilter'!B2060,'Kilter Holds'!$P$37:$AB$662,11,0),0)</f>
        <v>#NAME?</v>
      </c>
      <c r="F2060" s="274"/>
      <c r="G2060" s="274" t="e">
        <f t="shared" ca="1" si="81"/>
        <v>#NAME?</v>
      </c>
      <c r="H2060" s="274">
        <f t="shared" si="82"/>
        <v>0</v>
      </c>
      <c r="K2060" s="274"/>
    </row>
    <row r="2061" spans="2:11" ht="13.5" customHeight="1">
      <c r="B2061" s="209" t="s">
        <v>1965</v>
      </c>
      <c r="C2061" s="209" t="s">
        <v>3498</v>
      </c>
      <c r="D2061" s="415" t="str">
        <f t="shared" si="80"/>
        <v>18-01</v>
      </c>
      <c r="E2061" s="273" t="e">
        <f ca="1">_xludf.IFNA(VLOOKUP('Comp X - Kilter'!B2061,'Kilter Holds'!$P$37:$AB$662,12,0),0)</f>
        <v>#NAME?</v>
      </c>
      <c r="F2061" s="274"/>
      <c r="G2061" s="274" t="e">
        <f t="shared" ca="1" si="81"/>
        <v>#NAME?</v>
      </c>
      <c r="H2061" s="274">
        <f t="shared" si="82"/>
        <v>0</v>
      </c>
      <c r="K2061" s="274"/>
    </row>
    <row r="2062" spans="2:11" ht="13.5" customHeight="1">
      <c r="B2062" s="209" t="s">
        <v>1965</v>
      </c>
      <c r="C2062" s="209" t="s">
        <v>3498</v>
      </c>
      <c r="D2062" s="416" t="str">
        <f t="shared" si="80"/>
        <v>Color Code</v>
      </c>
      <c r="E2062" s="273" t="e">
        <f ca="1">_xludf.IFNA(VLOOKUP('Comp X - Kilter'!B2062,'Kilter Holds'!$P$37:$AB$662,13,0),0)</f>
        <v>#NAME?</v>
      </c>
      <c r="F2062" s="274"/>
      <c r="G2062" s="274" t="e">
        <f t="shared" ca="1" si="81"/>
        <v>#NAME?</v>
      </c>
      <c r="H2062" s="274">
        <f t="shared" si="82"/>
        <v>0</v>
      </c>
      <c r="K2062" s="274"/>
    </row>
    <row r="2063" spans="2:11" ht="13.5" customHeight="1">
      <c r="B2063" s="209" t="s">
        <v>1987</v>
      </c>
      <c r="C2063" s="209" t="s">
        <v>3499</v>
      </c>
      <c r="D2063" s="406" t="str">
        <f t="shared" si="80"/>
        <v>11-12</v>
      </c>
      <c r="E2063" s="273" t="e">
        <f ca="1">_xludf.IFNA(VLOOKUP('Comp X - Kilter'!B2063,'Kilter Holds'!$P$37:$AB$662,5,0),0)</f>
        <v>#NAME?</v>
      </c>
      <c r="F2063" s="274"/>
      <c r="G2063" s="274" t="e">
        <f t="shared" ca="1" si="81"/>
        <v>#NAME?</v>
      </c>
      <c r="H2063" s="274">
        <f t="shared" si="82"/>
        <v>0</v>
      </c>
      <c r="K2063" s="274"/>
    </row>
    <row r="2064" spans="2:11" ht="13.5" customHeight="1">
      <c r="B2064" s="209" t="s">
        <v>1987</v>
      </c>
      <c r="C2064" s="209" t="s">
        <v>3499</v>
      </c>
      <c r="D2064" s="408" t="str">
        <f t="shared" si="80"/>
        <v>14-01</v>
      </c>
      <c r="E2064" s="273" t="e">
        <f ca="1">_xludf.IFNA(VLOOKUP('Comp X - Kilter'!B2064,'Kilter Holds'!$P$37:$AB$662,6,0),0)</f>
        <v>#NAME?</v>
      </c>
      <c r="F2064" s="274"/>
      <c r="G2064" s="274" t="e">
        <f t="shared" ca="1" si="81"/>
        <v>#NAME?</v>
      </c>
      <c r="H2064" s="274">
        <f t="shared" si="82"/>
        <v>0</v>
      </c>
      <c r="K2064" s="274"/>
    </row>
    <row r="2065" spans="2:11" ht="13.5" customHeight="1">
      <c r="B2065" s="209" t="s">
        <v>1987</v>
      </c>
      <c r="C2065" s="209" t="s">
        <v>3499</v>
      </c>
      <c r="D2065" s="409" t="str">
        <f t="shared" si="80"/>
        <v>15-12</v>
      </c>
      <c r="E2065" s="273" t="e">
        <f ca="1">_xludf.IFNA(VLOOKUP('Comp X - Kilter'!B2065,'Kilter Holds'!$P$37:$AB$662,7,0),0)</f>
        <v>#NAME?</v>
      </c>
      <c r="F2065" s="274"/>
      <c r="G2065" s="274" t="e">
        <f t="shared" ca="1" si="81"/>
        <v>#NAME?</v>
      </c>
      <c r="H2065" s="274">
        <f t="shared" si="82"/>
        <v>0</v>
      </c>
      <c r="K2065" s="274"/>
    </row>
    <row r="2066" spans="2:11" ht="13.5" customHeight="1">
      <c r="B2066" s="209" t="s">
        <v>1987</v>
      </c>
      <c r="C2066" s="209" t="s">
        <v>3499</v>
      </c>
      <c r="D2066" s="410" t="str">
        <f t="shared" si="80"/>
        <v>16-16</v>
      </c>
      <c r="E2066" s="273" t="e">
        <f ca="1">_xludf.IFNA(VLOOKUP('Comp X - Kilter'!B2066,'Kilter Holds'!$P$37:$AB$662,8,0),0)</f>
        <v>#NAME?</v>
      </c>
      <c r="F2066" s="274"/>
      <c r="G2066" s="274" t="e">
        <f t="shared" ca="1" si="81"/>
        <v>#NAME?</v>
      </c>
      <c r="H2066" s="274">
        <f t="shared" si="82"/>
        <v>0</v>
      </c>
      <c r="K2066" s="274"/>
    </row>
    <row r="2067" spans="2:11" ht="13.5" customHeight="1">
      <c r="B2067" s="209" t="s">
        <v>1987</v>
      </c>
      <c r="C2067" s="209" t="s">
        <v>3499</v>
      </c>
      <c r="D2067" s="411" t="str">
        <f t="shared" si="80"/>
        <v>13-01</v>
      </c>
      <c r="E2067" s="273" t="e">
        <f ca="1">_xludf.IFNA(VLOOKUP('Comp X - Kilter'!B2067,'Kilter Holds'!$P$37:$AB$662,9,0),0)</f>
        <v>#NAME?</v>
      </c>
      <c r="F2067" s="274"/>
      <c r="G2067" s="274" t="e">
        <f t="shared" ca="1" si="81"/>
        <v>#NAME?</v>
      </c>
      <c r="H2067" s="274">
        <f t="shared" si="82"/>
        <v>0</v>
      </c>
      <c r="K2067" s="274"/>
    </row>
    <row r="2068" spans="2:11" ht="13.5" customHeight="1">
      <c r="B2068" s="209" t="s">
        <v>1987</v>
      </c>
      <c r="C2068" s="209" t="s">
        <v>3499</v>
      </c>
      <c r="D2068" s="413" t="str">
        <f t="shared" si="80"/>
        <v>07-13</v>
      </c>
      <c r="E2068" s="273" t="e">
        <f ca="1">_xludf.IFNA(VLOOKUP('Comp X - Kilter'!B2068,'Kilter Holds'!$P$37:$AB$662,10,0),0)</f>
        <v>#NAME?</v>
      </c>
      <c r="F2068" s="274"/>
      <c r="G2068" s="274" t="e">
        <f t="shared" ca="1" si="81"/>
        <v>#NAME?</v>
      </c>
      <c r="H2068" s="274">
        <f t="shared" si="82"/>
        <v>0</v>
      </c>
      <c r="K2068" s="274"/>
    </row>
    <row r="2069" spans="2:11" ht="13.5" customHeight="1">
      <c r="B2069" s="209" t="s">
        <v>1987</v>
      </c>
      <c r="C2069" s="209" t="s">
        <v>3499</v>
      </c>
      <c r="D2069" s="414" t="str">
        <f t="shared" si="80"/>
        <v>11-26</v>
      </c>
      <c r="E2069" s="273" t="e">
        <f ca="1">_xludf.IFNA(VLOOKUP('Comp X - Kilter'!B2069,'Kilter Holds'!$P$37:$AB$662,11,0),0)</f>
        <v>#NAME?</v>
      </c>
      <c r="F2069" s="274"/>
      <c r="G2069" s="274" t="e">
        <f t="shared" ca="1" si="81"/>
        <v>#NAME?</v>
      </c>
      <c r="H2069" s="274">
        <f t="shared" si="82"/>
        <v>0</v>
      </c>
      <c r="K2069" s="274"/>
    </row>
    <row r="2070" spans="2:11" ht="13.5" customHeight="1">
      <c r="B2070" s="209" t="s">
        <v>1987</v>
      </c>
      <c r="C2070" s="209" t="s">
        <v>3499</v>
      </c>
      <c r="D2070" s="415" t="str">
        <f t="shared" si="80"/>
        <v>18-01</v>
      </c>
      <c r="E2070" s="273" t="e">
        <f ca="1">_xludf.IFNA(VLOOKUP('Comp X - Kilter'!B2070,'Kilter Holds'!$P$37:$AB$662,12,0),0)</f>
        <v>#NAME?</v>
      </c>
      <c r="F2070" s="274"/>
      <c r="G2070" s="274" t="e">
        <f t="shared" ca="1" si="81"/>
        <v>#NAME?</v>
      </c>
      <c r="H2070" s="274">
        <f t="shared" si="82"/>
        <v>0</v>
      </c>
      <c r="K2070" s="274"/>
    </row>
    <row r="2071" spans="2:11" ht="13.5" customHeight="1">
      <c r="B2071" s="209" t="s">
        <v>1987</v>
      </c>
      <c r="C2071" s="209" t="s">
        <v>3499</v>
      </c>
      <c r="D2071" s="416" t="str">
        <f t="shared" si="80"/>
        <v>Color Code</v>
      </c>
      <c r="E2071" s="273" t="e">
        <f ca="1">_xludf.IFNA(VLOOKUP('Comp X - Kilter'!B2071,'Kilter Holds'!$P$37:$AB$662,13,0),0)</f>
        <v>#NAME?</v>
      </c>
      <c r="F2071" s="274"/>
      <c r="G2071" s="274" t="e">
        <f t="shared" ca="1" si="81"/>
        <v>#NAME?</v>
      </c>
      <c r="H2071" s="274">
        <f t="shared" si="82"/>
        <v>0</v>
      </c>
      <c r="K2071" s="274"/>
    </row>
    <row r="2072" spans="2:11" ht="13.5" customHeight="1">
      <c r="B2072" s="1" t="s">
        <v>1993</v>
      </c>
      <c r="C2072" s="1" t="s">
        <v>3500</v>
      </c>
      <c r="D2072" s="406" t="str">
        <f t="shared" ref="D2072:D2089" si="83">D1973</f>
        <v>11-12</v>
      </c>
      <c r="E2072" s="273" t="e">
        <f ca="1">_xludf.IFNA(VLOOKUP('Comp X - Kilter'!B2072,'Kilter Holds'!$P$37:$AB$662,5,0),0)</f>
        <v>#NAME?</v>
      </c>
      <c r="F2072" s="274"/>
      <c r="G2072" s="274" t="e">
        <f t="shared" ca="1" si="81"/>
        <v>#NAME?</v>
      </c>
      <c r="H2072" s="274">
        <f t="shared" si="82"/>
        <v>0</v>
      </c>
      <c r="K2072" s="274"/>
    </row>
    <row r="2073" spans="2:11" ht="13.5" customHeight="1">
      <c r="B2073" s="1" t="s">
        <v>1993</v>
      </c>
      <c r="C2073" s="1" t="s">
        <v>3500</v>
      </c>
      <c r="D2073" s="408" t="str">
        <f t="shared" si="83"/>
        <v>14-01</v>
      </c>
      <c r="E2073" s="273" t="e">
        <f ca="1">_xludf.IFNA(VLOOKUP('Comp X - Kilter'!B2073,'Kilter Holds'!$P$37:$AB$662,6,0),0)</f>
        <v>#NAME?</v>
      </c>
      <c r="F2073" s="274"/>
      <c r="G2073" s="274" t="e">
        <f t="shared" ca="1" si="81"/>
        <v>#NAME?</v>
      </c>
      <c r="H2073" s="274">
        <f t="shared" si="82"/>
        <v>0</v>
      </c>
      <c r="K2073" s="274"/>
    </row>
    <row r="2074" spans="2:11" ht="13.5" customHeight="1">
      <c r="B2074" s="1" t="s">
        <v>1993</v>
      </c>
      <c r="C2074" s="1" t="s">
        <v>3500</v>
      </c>
      <c r="D2074" s="409" t="str">
        <f t="shared" si="83"/>
        <v>15-12</v>
      </c>
      <c r="E2074" s="273" t="e">
        <f ca="1">_xludf.IFNA(VLOOKUP('Comp X - Kilter'!B2074,'Kilter Holds'!$P$37:$AB$662,7,0),0)</f>
        <v>#NAME?</v>
      </c>
      <c r="F2074" s="274"/>
      <c r="G2074" s="274" t="e">
        <f t="shared" ca="1" si="81"/>
        <v>#NAME?</v>
      </c>
      <c r="H2074" s="274">
        <f t="shared" si="82"/>
        <v>0</v>
      </c>
      <c r="K2074" s="274"/>
    </row>
    <row r="2075" spans="2:11" ht="13.5" customHeight="1">
      <c r="B2075" s="1" t="s">
        <v>1993</v>
      </c>
      <c r="C2075" s="1" t="s">
        <v>3500</v>
      </c>
      <c r="D2075" s="410" t="str">
        <f t="shared" si="83"/>
        <v>16-16</v>
      </c>
      <c r="E2075" s="273" t="e">
        <f ca="1">_xludf.IFNA(VLOOKUP('Comp X - Kilter'!B2075,'Kilter Holds'!$P$37:$AB$662,8,0),0)</f>
        <v>#NAME?</v>
      </c>
      <c r="F2075" s="274"/>
      <c r="G2075" s="274" t="e">
        <f t="shared" ca="1" si="81"/>
        <v>#NAME?</v>
      </c>
      <c r="H2075" s="274">
        <f t="shared" si="82"/>
        <v>0</v>
      </c>
      <c r="K2075" s="274"/>
    </row>
    <row r="2076" spans="2:11" ht="13.5" customHeight="1">
      <c r="B2076" s="1" t="s">
        <v>1993</v>
      </c>
      <c r="C2076" s="1" t="s">
        <v>3500</v>
      </c>
      <c r="D2076" s="411" t="str">
        <f t="shared" si="83"/>
        <v>13-01</v>
      </c>
      <c r="E2076" s="273" t="e">
        <f ca="1">_xludf.IFNA(VLOOKUP('Comp X - Kilter'!B2076,'Kilter Holds'!$P$37:$AB$662,9,0),0)</f>
        <v>#NAME?</v>
      </c>
      <c r="F2076" s="274"/>
      <c r="G2076" s="274" t="e">
        <f t="shared" ca="1" si="81"/>
        <v>#NAME?</v>
      </c>
      <c r="H2076" s="274">
        <f t="shared" si="82"/>
        <v>0</v>
      </c>
      <c r="K2076" s="274"/>
    </row>
    <row r="2077" spans="2:11" ht="13.5" customHeight="1">
      <c r="B2077" s="1" t="s">
        <v>1993</v>
      </c>
      <c r="C2077" s="1" t="s">
        <v>3500</v>
      </c>
      <c r="D2077" s="413" t="str">
        <f t="shared" si="83"/>
        <v>07-13</v>
      </c>
      <c r="E2077" s="273" t="e">
        <f ca="1">_xludf.IFNA(VLOOKUP('Comp X - Kilter'!B2077,'Kilter Holds'!$P$37:$AB$662,10,0),0)</f>
        <v>#NAME?</v>
      </c>
      <c r="F2077" s="274"/>
      <c r="G2077" s="274" t="e">
        <f t="shared" ca="1" si="81"/>
        <v>#NAME?</v>
      </c>
      <c r="H2077" s="274">
        <f t="shared" si="82"/>
        <v>0</v>
      </c>
      <c r="K2077" s="274"/>
    </row>
    <row r="2078" spans="2:11" ht="13.5" customHeight="1">
      <c r="B2078" s="1" t="s">
        <v>1993</v>
      </c>
      <c r="C2078" s="1" t="s">
        <v>3500</v>
      </c>
      <c r="D2078" s="414" t="str">
        <f t="shared" si="83"/>
        <v>11-26</v>
      </c>
      <c r="E2078" s="273" t="e">
        <f ca="1">_xludf.IFNA(VLOOKUP('Comp X - Kilter'!B2078,'Kilter Holds'!$P$37:$AB$662,11,0),0)</f>
        <v>#NAME?</v>
      </c>
      <c r="F2078" s="274"/>
      <c r="G2078" s="274" t="e">
        <f t="shared" ca="1" si="81"/>
        <v>#NAME?</v>
      </c>
      <c r="H2078" s="274">
        <f t="shared" si="82"/>
        <v>0</v>
      </c>
      <c r="K2078" s="274"/>
    </row>
    <row r="2079" spans="2:11" ht="13.5" customHeight="1">
      <c r="B2079" s="1" t="s">
        <v>1993</v>
      </c>
      <c r="C2079" s="1" t="s">
        <v>3500</v>
      </c>
      <c r="D2079" s="415" t="str">
        <f t="shared" si="83"/>
        <v>18-01</v>
      </c>
      <c r="E2079" s="273" t="e">
        <f ca="1">_xludf.IFNA(VLOOKUP('Comp X - Kilter'!B2079,'Kilter Holds'!$P$37:$AB$662,12,0),0)</f>
        <v>#NAME?</v>
      </c>
      <c r="F2079" s="274"/>
      <c r="G2079" s="274" t="e">
        <f t="shared" ca="1" si="81"/>
        <v>#NAME?</v>
      </c>
      <c r="H2079" s="274">
        <f t="shared" si="82"/>
        <v>0</v>
      </c>
      <c r="K2079" s="274"/>
    </row>
    <row r="2080" spans="2:11" ht="13.5" customHeight="1">
      <c r="B2080" s="1" t="s">
        <v>1993</v>
      </c>
      <c r="C2080" s="1" t="s">
        <v>3500</v>
      </c>
      <c r="D2080" s="416" t="str">
        <f t="shared" si="83"/>
        <v>Color Code</v>
      </c>
      <c r="E2080" s="273" t="e">
        <f ca="1">_xludf.IFNA(VLOOKUP('Comp X - Kilter'!B2080,'Kilter Holds'!$P$37:$AB$662,13,0),0)</f>
        <v>#NAME?</v>
      </c>
      <c r="F2080" s="274"/>
      <c r="G2080" s="274" t="e">
        <f t="shared" ca="1" si="81"/>
        <v>#NAME?</v>
      </c>
      <c r="H2080" s="274">
        <f t="shared" si="82"/>
        <v>0</v>
      </c>
      <c r="K2080" s="274"/>
    </row>
    <row r="2081" spans="2:11" ht="13.5" customHeight="1">
      <c r="B2081" s="1" t="s">
        <v>1994</v>
      </c>
      <c r="C2081" s="1" t="s">
        <v>3501</v>
      </c>
      <c r="D2081" s="406" t="str">
        <f t="shared" si="83"/>
        <v>11-12</v>
      </c>
      <c r="E2081" s="273" t="e">
        <f ca="1">_xludf.IFNA(VLOOKUP('Comp X - Kilter'!B2081,'Kilter Holds'!$P$37:$AB$662,5,0),0)</f>
        <v>#NAME?</v>
      </c>
      <c r="F2081" s="274"/>
      <c r="G2081" s="274" t="e">
        <f t="shared" ca="1" si="81"/>
        <v>#NAME?</v>
      </c>
      <c r="H2081" s="274">
        <f t="shared" si="82"/>
        <v>0</v>
      </c>
      <c r="K2081" s="274"/>
    </row>
    <row r="2082" spans="2:11" ht="13.5" customHeight="1">
      <c r="B2082" s="1" t="s">
        <v>1994</v>
      </c>
      <c r="C2082" s="1" t="s">
        <v>3501</v>
      </c>
      <c r="D2082" s="408" t="str">
        <f t="shared" si="83"/>
        <v>14-01</v>
      </c>
      <c r="E2082" s="273" t="e">
        <f ca="1">_xludf.IFNA(VLOOKUP('Comp X - Kilter'!B2082,'Kilter Holds'!$P$37:$AB$662,6,0),0)</f>
        <v>#NAME?</v>
      </c>
      <c r="F2082" s="274"/>
      <c r="G2082" s="274" t="e">
        <f t="shared" ca="1" si="81"/>
        <v>#NAME?</v>
      </c>
      <c r="H2082" s="274">
        <f t="shared" si="82"/>
        <v>0</v>
      </c>
      <c r="K2082" s="274"/>
    </row>
    <row r="2083" spans="2:11" ht="13.5" customHeight="1">
      <c r="B2083" s="1" t="s">
        <v>1994</v>
      </c>
      <c r="C2083" s="1" t="s">
        <v>3501</v>
      </c>
      <c r="D2083" s="409" t="str">
        <f t="shared" si="83"/>
        <v>15-12</v>
      </c>
      <c r="E2083" s="273" t="e">
        <f ca="1">_xludf.IFNA(VLOOKUP('Comp X - Kilter'!B2083,'Kilter Holds'!$P$37:$AB$662,7,0),0)</f>
        <v>#NAME?</v>
      </c>
      <c r="F2083" s="274"/>
      <c r="G2083" s="274" t="e">
        <f t="shared" ca="1" si="81"/>
        <v>#NAME?</v>
      </c>
      <c r="H2083" s="274">
        <f t="shared" si="82"/>
        <v>0</v>
      </c>
      <c r="K2083" s="274"/>
    </row>
    <row r="2084" spans="2:11" ht="13.5" customHeight="1">
      <c r="B2084" s="1" t="s">
        <v>1994</v>
      </c>
      <c r="C2084" s="1" t="s">
        <v>3501</v>
      </c>
      <c r="D2084" s="410" t="str">
        <f t="shared" si="83"/>
        <v>16-16</v>
      </c>
      <c r="E2084" s="273" t="e">
        <f ca="1">_xludf.IFNA(VLOOKUP('Comp X - Kilter'!B2084,'Kilter Holds'!$P$37:$AB$662,8,0),0)</f>
        <v>#NAME?</v>
      </c>
      <c r="F2084" s="274"/>
      <c r="G2084" s="274" t="e">
        <f t="shared" ca="1" si="81"/>
        <v>#NAME?</v>
      </c>
      <c r="H2084" s="274">
        <f t="shared" si="82"/>
        <v>0</v>
      </c>
      <c r="K2084" s="274"/>
    </row>
    <row r="2085" spans="2:11" ht="13.5" customHeight="1">
      <c r="B2085" s="1" t="s">
        <v>1994</v>
      </c>
      <c r="C2085" s="1" t="s">
        <v>3501</v>
      </c>
      <c r="D2085" s="411" t="str">
        <f t="shared" si="83"/>
        <v>13-01</v>
      </c>
      <c r="E2085" s="273" t="e">
        <f ca="1">_xludf.IFNA(VLOOKUP('Comp X - Kilter'!B2085,'Kilter Holds'!$P$37:$AB$662,9,0),0)</f>
        <v>#NAME?</v>
      </c>
      <c r="F2085" s="274"/>
      <c r="G2085" s="274" t="e">
        <f t="shared" ca="1" si="81"/>
        <v>#NAME?</v>
      </c>
      <c r="H2085" s="274">
        <f t="shared" si="82"/>
        <v>0</v>
      </c>
      <c r="K2085" s="274"/>
    </row>
    <row r="2086" spans="2:11" ht="13.5" customHeight="1">
      <c r="B2086" s="1" t="s">
        <v>1994</v>
      </c>
      <c r="C2086" s="1" t="s">
        <v>3501</v>
      </c>
      <c r="D2086" s="413" t="str">
        <f t="shared" si="83"/>
        <v>07-13</v>
      </c>
      <c r="E2086" s="273" t="e">
        <f ca="1">_xludf.IFNA(VLOOKUP('Comp X - Kilter'!B2086,'Kilter Holds'!$P$37:$AB$662,10,0),0)</f>
        <v>#NAME?</v>
      </c>
      <c r="F2086" s="274"/>
      <c r="G2086" s="274" t="e">
        <f t="shared" ca="1" si="81"/>
        <v>#NAME?</v>
      </c>
      <c r="H2086" s="274">
        <f t="shared" si="82"/>
        <v>0</v>
      </c>
      <c r="K2086" s="274"/>
    </row>
    <row r="2087" spans="2:11" ht="13.5" customHeight="1">
      <c r="B2087" s="1" t="s">
        <v>1994</v>
      </c>
      <c r="C2087" s="1" t="s">
        <v>3501</v>
      </c>
      <c r="D2087" s="414" t="str">
        <f t="shared" si="83"/>
        <v>11-26</v>
      </c>
      <c r="E2087" s="273" t="e">
        <f ca="1">_xludf.IFNA(VLOOKUP('Comp X - Kilter'!B2087,'Kilter Holds'!$P$37:$AB$662,11,0),0)</f>
        <v>#NAME?</v>
      </c>
      <c r="F2087" s="274"/>
      <c r="G2087" s="274" t="e">
        <f t="shared" ca="1" si="81"/>
        <v>#NAME?</v>
      </c>
      <c r="H2087" s="274">
        <f t="shared" si="82"/>
        <v>0</v>
      </c>
      <c r="K2087" s="274"/>
    </row>
    <row r="2088" spans="2:11" ht="13.5" customHeight="1">
      <c r="B2088" s="1" t="s">
        <v>1994</v>
      </c>
      <c r="C2088" s="1" t="s">
        <v>3501</v>
      </c>
      <c r="D2088" s="415" t="str">
        <f t="shared" si="83"/>
        <v>18-01</v>
      </c>
      <c r="E2088" s="273" t="e">
        <f ca="1">_xludf.IFNA(VLOOKUP('Comp X - Kilter'!B2088,'Kilter Holds'!$P$37:$AB$662,12,0),0)</f>
        <v>#NAME?</v>
      </c>
      <c r="F2088" s="274"/>
      <c r="G2088" s="274" t="e">
        <f t="shared" ca="1" si="81"/>
        <v>#NAME?</v>
      </c>
      <c r="H2088" s="274">
        <f t="shared" si="82"/>
        <v>0</v>
      </c>
      <c r="K2088" s="274"/>
    </row>
    <row r="2089" spans="2:11" ht="13.5" customHeight="1">
      <c r="B2089" s="1" t="s">
        <v>1994</v>
      </c>
      <c r="C2089" s="1" t="s">
        <v>3501</v>
      </c>
      <c r="D2089" s="416" t="str">
        <f t="shared" si="83"/>
        <v>Color Code</v>
      </c>
      <c r="E2089" s="273" t="e">
        <f ca="1">_xludf.IFNA(VLOOKUP('Comp X - Kilter'!B2089,'Kilter Holds'!$P$37:$AB$662,13,0),0)</f>
        <v>#NAME?</v>
      </c>
      <c r="F2089" s="274"/>
      <c r="G2089" s="274" t="e">
        <f t="shared" ca="1" si="81"/>
        <v>#NAME?</v>
      </c>
      <c r="H2089" s="274">
        <f t="shared" si="82"/>
        <v>0</v>
      </c>
      <c r="K2089" s="274"/>
    </row>
    <row r="2090" spans="2:11" ht="13.5" customHeight="1">
      <c r="B2090" s="1" t="s">
        <v>1966</v>
      </c>
      <c r="C2090" s="1" t="s">
        <v>3502</v>
      </c>
      <c r="D2090" s="406" t="str">
        <f t="shared" ref="D2090:D2098" si="84">D1874</f>
        <v>11-12</v>
      </c>
      <c r="E2090" s="273" t="e">
        <f ca="1">_xludf.IFNA(VLOOKUP('Comp X - Kilter'!B2090,'Kilter Holds'!$P$37:$AB$662,5,0),0)</f>
        <v>#NAME?</v>
      </c>
      <c r="F2090" s="274"/>
      <c r="G2090" s="274" t="e">
        <f t="shared" ca="1" si="81"/>
        <v>#NAME?</v>
      </c>
      <c r="H2090" s="274">
        <f t="shared" si="82"/>
        <v>0</v>
      </c>
      <c r="K2090" s="274"/>
    </row>
    <row r="2091" spans="2:11" ht="13.5" customHeight="1">
      <c r="B2091" s="1" t="s">
        <v>1966</v>
      </c>
      <c r="C2091" s="1" t="s">
        <v>3502</v>
      </c>
      <c r="D2091" s="408" t="str">
        <f t="shared" si="84"/>
        <v>14-01</v>
      </c>
      <c r="E2091" s="273" t="e">
        <f ca="1">_xludf.IFNA(VLOOKUP('Comp X - Kilter'!B2091,'Kilter Holds'!$P$37:$AB$662,6,0),0)</f>
        <v>#NAME?</v>
      </c>
      <c r="F2091" s="274"/>
      <c r="G2091" s="274" t="e">
        <f t="shared" ca="1" si="81"/>
        <v>#NAME?</v>
      </c>
      <c r="H2091" s="274">
        <f t="shared" si="82"/>
        <v>0</v>
      </c>
      <c r="K2091" s="274"/>
    </row>
    <row r="2092" spans="2:11" ht="13.5" customHeight="1">
      <c r="B2092" s="1" t="s">
        <v>1966</v>
      </c>
      <c r="C2092" s="1" t="s">
        <v>3502</v>
      </c>
      <c r="D2092" s="409" t="str">
        <f t="shared" si="84"/>
        <v>15-12</v>
      </c>
      <c r="E2092" s="273" t="e">
        <f ca="1">_xludf.IFNA(VLOOKUP('Comp X - Kilter'!B2092,'Kilter Holds'!$P$37:$AB$662,7,0),0)</f>
        <v>#NAME?</v>
      </c>
      <c r="F2092" s="274"/>
      <c r="G2092" s="274" t="e">
        <f t="shared" ca="1" si="81"/>
        <v>#NAME?</v>
      </c>
      <c r="H2092" s="274">
        <f t="shared" si="82"/>
        <v>0</v>
      </c>
      <c r="K2092" s="274"/>
    </row>
    <row r="2093" spans="2:11" ht="13.5" customHeight="1">
      <c r="B2093" s="1" t="s">
        <v>1966</v>
      </c>
      <c r="C2093" s="1" t="s">
        <v>3502</v>
      </c>
      <c r="D2093" s="410" t="str">
        <f t="shared" si="84"/>
        <v>16-16</v>
      </c>
      <c r="E2093" s="273" t="e">
        <f ca="1">_xludf.IFNA(VLOOKUP('Comp X - Kilter'!B2093,'Kilter Holds'!$P$37:$AB$662,8,0),0)</f>
        <v>#NAME?</v>
      </c>
      <c r="F2093" s="274"/>
      <c r="G2093" s="274" t="e">
        <f t="shared" ca="1" si="81"/>
        <v>#NAME?</v>
      </c>
      <c r="H2093" s="274">
        <f t="shared" si="82"/>
        <v>0</v>
      </c>
      <c r="K2093" s="274"/>
    </row>
    <row r="2094" spans="2:11" ht="13.5" customHeight="1">
      <c r="B2094" s="1" t="s">
        <v>1966</v>
      </c>
      <c r="C2094" s="1" t="s">
        <v>3502</v>
      </c>
      <c r="D2094" s="411" t="str">
        <f t="shared" si="84"/>
        <v>13-01</v>
      </c>
      <c r="E2094" s="273" t="e">
        <f ca="1">_xludf.IFNA(VLOOKUP('Comp X - Kilter'!B2094,'Kilter Holds'!$P$37:$AB$662,9,0),0)</f>
        <v>#NAME?</v>
      </c>
      <c r="F2094" s="274"/>
      <c r="G2094" s="274" t="e">
        <f t="shared" ca="1" si="81"/>
        <v>#NAME?</v>
      </c>
      <c r="H2094" s="274">
        <f t="shared" si="82"/>
        <v>0</v>
      </c>
      <c r="K2094" s="274"/>
    </row>
    <row r="2095" spans="2:11" ht="13.5" customHeight="1">
      <c r="B2095" s="1" t="s">
        <v>1966</v>
      </c>
      <c r="C2095" s="1" t="s">
        <v>3502</v>
      </c>
      <c r="D2095" s="413" t="str">
        <f t="shared" si="84"/>
        <v>07-13</v>
      </c>
      <c r="E2095" s="273" t="e">
        <f ca="1">_xludf.IFNA(VLOOKUP('Comp X - Kilter'!B2095,'Kilter Holds'!$P$37:$AB$662,10,0),0)</f>
        <v>#NAME?</v>
      </c>
      <c r="F2095" s="274"/>
      <c r="G2095" s="274" t="e">
        <f t="shared" ca="1" si="81"/>
        <v>#NAME?</v>
      </c>
      <c r="H2095" s="274">
        <f t="shared" si="82"/>
        <v>0</v>
      </c>
      <c r="K2095" s="274"/>
    </row>
    <row r="2096" spans="2:11" ht="13.5" customHeight="1">
      <c r="B2096" s="1" t="s">
        <v>1966</v>
      </c>
      <c r="C2096" s="1" t="s">
        <v>3502</v>
      </c>
      <c r="D2096" s="414" t="str">
        <f t="shared" si="84"/>
        <v>11-26</v>
      </c>
      <c r="E2096" s="273" t="e">
        <f ca="1">_xludf.IFNA(VLOOKUP('Comp X - Kilter'!B2096,'Kilter Holds'!$P$37:$AB$662,11,0),0)</f>
        <v>#NAME?</v>
      </c>
      <c r="F2096" s="274"/>
      <c r="G2096" s="274" t="e">
        <f t="shared" ca="1" si="81"/>
        <v>#NAME?</v>
      </c>
      <c r="H2096" s="274">
        <f t="shared" si="82"/>
        <v>0</v>
      </c>
      <c r="K2096" s="274"/>
    </row>
    <row r="2097" spans="2:11" ht="13.5" customHeight="1">
      <c r="B2097" s="1" t="s">
        <v>1966</v>
      </c>
      <c r="C2097" s="1" t="s">
        <v>3502</v>
      </c>
      <c r="D2097" s="415" t="str">
        <f t="shared" si="84"/>
        <v>18-01</v>
      </c>
      <c r="E2097" s="273" t="e">
        <f ca="1">_xludf.IFNA(VLOOKUP('Comp X - Kilter'!B2097,'Kilter Holds'!$P$37:$AB$662,12,0),0)</f>
        <v>#NAME?</v>
      </c>
      <c r="F2097" s="274"/>
      <c r="G2097" s="274" t="e">
        <f t="shared" ca="1" si="81"/>
        <v>#NAME?</v>
      </c>
      <c r="H2097" s="274">
        <f t="shared" si="82"/>
        <v>0</v>
      </c>
      <c r="K2097" s="274"/>
    </row>
    <row r="2098" spans="2:11" ht="13.5" customHeight="1">
      <c r="B2098" s="1" t="s">
        <v>1966</v>
      </c>
      <c r="C2098" s="1" t="s">
        <v>3502</v>
      </c>
      <c r="D2098" s="416" t="str">
        <f t="shared" si="84"/>
        <v>Color Code</v>
      </c>
      <c r="E2098" s="273" t="e">
        <f ca="1">_xludf.IFNA(VLOOKUP('Comp X - Kilter'!B2098,'Kilter Holds'!$P$37:$AB$662,13,0),0)</f>
        <v>#NAME?</v>
      </c>
      <c r="F2098" s="274"/>
      <c r="G2098" s="274" t="e">
        <f t="shared" ca="1" si="81"/>
        <v>#NAME?</v>
      </c>
      <c r="H2098" s="274">
        <f t="shared" si="82"/>
        <v>0</v>
      </c>
      <c r="K2098" s="274"/>
    </row>
    <row r="2099" spans="2:11" ht="13.5" customHeight="1">
      <c r="B2099" s="1" t="s">
        <v>1967</v>
      </c>
      <c r="C2099" s="1" t="s">
        <v>3503</v>
      </c>
      <c r="D2099" s="406" t="str">
        <f t="shared" ref="D2099:D2107" si="85">D1919</f>
        <v>11-12</v>
      </c>
      <c r="E2099" s="273" t="e">
        <f ca="1">_xludf.IFNA(VLOOKUP('Comp X - Kilter'!B2099,'Kilter Holds'!$P$37:$AB$662,5,0),0)</f>
        <v>#NAME?</v>
      </c>
      <c r="F2099" s="274"/>
      <c r="G2099" s="274" t="e">
        <f t="shared" ca="1" si="81"/>
        <v>#NAME?</v>
      </c>
      <c r="H2099" s="274">
        <f t="shared" si="82"/>
        <v>0</v>
      </c>
      <c r="K2099" s="274"/>
    </row>
    <row r="2100" spans="2:11" ht="13.5" customHeight="1">
      <c r="B2100" s="1" t="s">
        <v>1967</v>
      </c>
      <c r="C2100" s="1" t="s">
        <v>3503</v>
      </c>
      <c r="D2100" s="408" t="str">
        <f t="shared" si="85"/>
        <v>14-01</v>
      </c>
      <c r="E2100" s="273" t="e">
        <f ca="1">_xludf.IFNA(VLOOKUP('Comp X - Kilter'!B2100,'Kilter Holds'!$P$37:$AB$662,6,0),0)</f>
        <v>#NAME?</v>
      </c>
      <c r="F2100" s="274"/>
      <c r="G2100" s="274" t="e">
        <f t="shared" ca="1" si="81"/>
        <v>#NAME?</v>
      </c>
      <c r="H2100" s="274">
        <f t="shared" si="82"/>
        <v>0</v>
      </c>
      <c r="K2100" s="274"/>
    </row>
    <row r="2101" spans="2:11" ht="13.5" customHeight="1">
      <c r="B2101" s="1" t="s">
        <v>1967</v>
      </c>
      <c r="C2101" s="1" t="s">
        <v>3503</v>
      </c>
      <c r="D2101" s="409" t="str">
        <f t="shared" si="85"/>
        <v>15-12</v>
      </c>
      <c r="E2101" s="273" t="e">
        <f ca="1">_xludf.IFNA(VLOOKUP('Comp X - Kilter'!B2101,'Kilter Holds'!$P$37:$AB$662,7,0),0)</f>
        <v>#NAME?</v>
      </c>
      <c r="F2101" s="274"/>
      <c r="G2101" s="274" t="e">
        <f t="shared" ca="1" si="81"/>
        <v>#NAME?</v>
      </c>
      <c r="H2101" s="274">
        <f t="shared" si="82"/>
        <v>0</v>
      </c>
      <c r="K2101" s="274"/>
    </row>
    <row r="2102" spans="2:11" ht="13.5" customHeight="1">
      <c r="B2102" s="1" t="s">
        <v>1967</v>
      </c>
      <c r="C2102" s="1" t="s">
        <v>3503</v>
      </c>
      <c r="D2102" s="410" t="str">
        <f t="shared" si="85"/>
        <v>16-16</v>
      </c>
      <c r="E2102" s="273" t="e">
        <f ca="1">_xludf.IFNA(VLOOKUP('Comp X - Kilter'!B2102,'Kilter Holds'!$P$37:$AB$662,8,0),0)</f>
        <v>#NAME?</v>
      </c>
      <c r="F2102" s="274"/>
      <c r="G2102" s="274" t="e">
        <f t="shared" ca="1" si="81"/>
        <v>#NAME?</v>
      </c>
      <c r="H2102" s="274">
        <f t="shared" si="82"/>
        <v>0</v>
      </c>
      <c r="K2102" s="274"/>
    </row>
    <row r="2103" spans="2:11" ht="13.5" customHeight="1">
      <c r="B2103" s="1" t="s">
        <v>1967</v>
      </c>
      <c r="C2103" s="1" t="s">
        <v>3503</v>
      </c>
      <c r="D2103" s="411" t="str">
        <f t="shared" si="85"/>
        <v>13-01</v>
      </c>
      <c r="E2103" s="273" t="e">
        <f ca="1">_xludf.IFNA(VLOOKUP('Comp X - Kilter'!B2103,'Kilter Holds'!$P$37:$AB$662,9,0),0)</f>
        <v>#NAME?</v>
      </c>
      <c r="F2103" s="274"/>
      <c r="G2103" s="274" t="e">
        <f t="shared" ca="1" si="81"/>
        <v>#NAME?</v>
      </c>
      <c r="H2103" s="274">
        <f t="shared" si="82"/>
        <v>0</v>
      </c>
      <c r="K2103" s="274"/>
    </row>
    <row r="2104" spans="2:11" ht="13.5" customHeight="1">
      <c r="B2104" s="1" t="s">
        <v>1967</v>
      </c>
      <c r="C2104" s="1" t="s">
        <v>3503</v>
      </c>
      <c r="D2104" s="413" t="str">
        <f t="shared" si="85"/>
        <v>07-13</v>
      </c>
      <c r="E2104" s="273" t="e">
        <f ca="1">_xludf.IFNA(VLOOKUP('Comp X - Kilter'!B2104,'Kilter Holds'!$P$37:$AB$662,10,0),0)</f>
        <v>#NAME?</v>
      </c>
      <c r="F2104" s="274"/>
      <c r="G2104" s="274" t="e">
        <f t="shared" ca="1" si="81"/>
        <v>#NAME?</v>
      </c>
      <c r="H2104" s="274">
        <f t="shared" si="82"/>
        <v>0</v>
      </c>
      <c r="K2104" s="274"/>
    </row>
    <row r="2105" spans="2:11" ht="13.5" customHeight="1">
      <c r="B2105" s="1" t="s">
        <v>1967</v>
      </c>
      <c r="C2105" s="1" t="s">
        <v>3503</v>
      </c>
      <c r="D2105" s="414" t="str">
        <f t="shared" si="85"/>
        <v>11-26</v>
      </c>
      <c r="E2105" s="273" t="e">
        <f ca="1">_xludf.IFNA(VLOOKUP('Comp X - Kilter'!B2105,'Kilter Holds'!$P$37:$AB$662,11,0),0)</f>
        <v>#NAME?</v>
      </c>
      <c r="F2105" s="274"/>
      <c r="G2105" s="274" t="e">
        <f t="shared" ca="1" si="81"/>
        <v>#NAME?</v>
      </c>
      <c r="H2105" s="274">
        <f t="shared" si="82"/>
        <v>0</v>
      </c>
      <c r="K2105" s="274"/>
    </row>
    <row r="2106" spans="2:11" ht="13.5" customHeight="1">
      <c r="B2106" s="1" t="s">
        <v>1967</v>
      </c>
      <c r="C2106" s="1" t="s">
        <v>3503</v>
      </c>
      <c r="D2106" s="415" t="str">
        <f t="shared" si="85"/>
        <v>18-01</v>
      </c>
      <c r="E2106" s="273" t="e">
        <f ca="1">_xludf.IFNA(VLOOKUP('Comp X - Kilter'!B2106,'Kilter Holds'!$P$37:$AB$662,12,0),0)</f>
        <v>#NAME?</v>
      </c>
      <c r="F2106" s="274"/>
      <c r="G2106" s="274" t="e">
        <f t="shared" ca="1" si="81"/>
        <v>#NAME?</v>
      </c>
      <c r="H2106" s="274">
        <f t="shared" si="82"/>
        <v>0</v>
      </c>
      <c r="K2106" s="274"/>
    </row>
    <row r="2107" spans="2:11" ht="13.5" customHeight="1">
      <c r="B2107" s="1" t="s">
        <v>1967</v>
      </c>
      <c r="C2107" s="1" t="s">
        <v>3503</v>
      </c>
      <c r="D2107" s="416" t="str">
        <f t="shared" si="85"/>
        <v>Color Code</v>
      </c>
      <c r="E2107" s="273" t="e">
        <f ca="1">_xludf.IFNA(VLOOKUP('Comp X - Kilter'!B2107,'Kilter Holds'!$P$37:$AB$662,13,0),0)</f>
        <v>#NAME?</v>
      </c>
      <c r="F2107" s="274"/>
      <c r="G2107" s="274" t="e">
        <f t="shared" ca="1" si="81"/>
        <v>#NAME?</v>
      </c>
      <c r="H2107" s="274">
        <f t="shared" si="82"/>
        <v>0</v>
      </c>
      <c r="K2107" s="274"/>
    </row>
    <row r="2108" spans="2:11" ht="13.5" customHeight="1">
      <c r="B2108" s="209" t="s">
        <v>1995</v>
      </c>
      <c r="C2108" s="209" t="s">
        <v>3504</v>
      </c>
      <c r="D2108" s="406" t="str">
        <f t="shared" ref="D2108:D2125" si="86">D2018</f>
        <v>11-12</v>
      </c>
      <c r="E2108" s="273" t="e">
        <f ca="1">_xludf.IFNA(VLOOKUP('Comp X - Kilter'!B2108,'Kilter Holds'!$P$37:$AB$662,5,0),0)</f>
        <v>#NAME?</v>
      </c>
      <c r="F2108" s="274"/>
      <c r="G2108" s="274" t="e">
        <f t="shared" ca="1" si="81"/>
        <v>#NAME?</v>
      </c>
      <c r="H2108" s="274">
        <f t="shared" si="82"/>
        <v>0</v>
      </c>
      <c r="K2108" s="274"/>
    </row>
    <row r="2109" spans="2:11" ht="13.5" customHeight="1">
      <c r="B2109" s="209" t="s">
        <v>1995</v>
      </c>
      <c r="C2109" s="209" t="s">
        <v>3504</v>
      </c>
      <c r="D2109" s="408" t="str">
        <f t="shared" si="86"/>
        <v>14-01</v>
      </c>
      <c r="E2109" s="273" t="e">
        <f ca="1">_xludf.IFNA(VLOOKUP('Comp X - Kilter'!B2109,'Kilter Holds'!$P$37:$AB$662,6,0),0)</f>
        <v>#NAME?</v>
      </c>
      <c r="F2109" s="274"/>
      <c r="G2109" s="274" t="e">
        <f t="shared" ca="1" si="81"/>
        <v>#NAME?</v>
      </c>
      <c r="H2109" s="274">
        <f t="shared" si="82"/>
        <v>0</v>
      </c>
      <c r="K2109" s="274"/>
    </row>
    <row r="2110" spans="2:11" ht="13.5" customHeight="1">
      <c r="B2110" s="209" t="s">
        <v>1995</v>
      </c>
      <c r="C2110" s="209" t="s">
        <v>3504</v>
      </c>
      <c r="D2110" s="409" t="str">
        <f t="shared" si="86"/>
        <v>15-12</v>
      </c>
      <c r="E2110" s="273" t="e">
        <f ca="1">_xludf.IFNA(VLOOKUP('Comp X - Kilter'!B2110,'Kilter Holds'!$P$37:$AB$662,7,0),0)</f>
        <v>#NAME?</v>
      </c>
      <c r="F2110" s="274"/>
      <c r="G2110" s="274" t="e">
        <f t="shared" ca="1" si="81"/>
        <v>#NAME?</v>
      </c>
      <c r="H2110" s="274">
        <f t="shared" si="82"/>
        <v>0</v>
      </c>
      <c r="K2110" s="274"/>
    </row>
    <row r="2111" spans="2:11" ht="13.5" customHeight="1">
      <c r="B2111" s="209" t="s">
        <v>1995</v>
      </c>
      <c r="C2111" s="209" t="s">
        <v>3504</v>
      </c>
      <c r="D2111" s="410" t="str">
        <f t="shared" si="86"/>
        <v>16-16</v>
      </c>
      <c r="E2111" s="273" t="e">
        <f ca="1">_xludf.IFNA(VLOOKUP('Comp X - Kilter'!B2111,'Kilter Holds'!$P$37:$AB$662,8,0),0)</f>
        <v>#NAME?</v>
      </c>
      <c r="F2111" s="274"/>
      <c r="G2111" s="274" t="e">
        <f t="shared" ca="1" si="81"/>
        <v>#NAME?</v>
      </c>
      <c r="H2111" s="274">
        <f t="shared" si="82"/>
        <v>0</v>
      </c>
      <c r="K2111" s="274"/>
    </row>
    <row r="2112" spans="2:11" ht="13.5" customHeight="1">
      <c r="B2112" s="209" t="s">
        <v>1995</v>
      </c>
      <c r="C2112" s="209" t="s">
        <v>3504</v>
      </c>
      <c r="D2112" s="411" t="str">
        <f t="shared" si="86"/>
        <v>13-01</v>
      </c>
      <c r="E2112" s="273" t="e">
        <f ca="1">_xludf.IFNA(VLOOKUP('Comp X - Kilter'!B2112,'Kilter Holds'!$P$37:$AB$662,9,0),0)</f>
        <v>#NAME?</v>
      </c>
      <c r="F2112" s="274"/>
      <c r="G2112" s="274" t="e">
        <f t="shared" ca="1" si="81"/>
        <v>#NAME?</v>
      </c>
      <c r="H2112" s="274">
        <f t="shared" si="82"/>
        <v>0</v>
      </c>
      <c r="K2112" s="274"/>
    </row>
    <row r="2113" spans="2:11" ht="13.5" customHeight="1">
      <c r="B2113" s="209" t="s">
        <v>1995</v>
      </c>
      <c r="C2113" s="209" t="s">
        <v>3504</v>
      </c>
      <c r="D2113" s="413" t="str">
        <f t="shared" si="86"/>
        <v>07-13</v>
      </c>
      <c r="E2113" s="273" t="e">
        <f ca="1">_xludf.IFNA(VLOOKUP('Comp X - Kilter'!B2113,'Kilter Holds'!$P$37:$AB$662,10,0),0)</f>
        <v>#NAME?</v>
      </c>
      <c r="F2113" s="274"/>
      <c r="G2113" s="274" t="e">
        <f t="shared" ca="1" si="81"/>
        <v>#NAME?</v>
      </c>
      <c r="H2113" s="274">
        <f t="shared" si="82"/>
        <v>0</v>
      </c>
      <c r="K2113" s="274"/>
    </row>
    <row r="2114" spans="2:11" ht="13.5" customHeight="1">
      <c r="B2114" s="209" t="s">
        <v>1995</v>
      </c>
      <c r="C2114" s="209" t="s">
        <v>3504</v>
      </c>
      <c r="D2114" s="414" t="str">
        <f t="shared" si="86"/>
        <v>11-26</v>
      </c>
      <c r="E2114" s="273" t="e">
        <f ca="1">_xludf.IFNA(VLOOKUP('Comp X - Kilter'!B2114,'Kilter Holds'!$P$37:$AB$662,11,0),0)</f>
        <v>#NAME?</v>
      </c>
      <c r="F2114" s="274"/>
      <c r="G2114" s="274" t="e">
        <f t="shared" ca="1" si="81"/>
        <v>#NAME?</v>
      </c>
      <c r="H2114" s="274">
        <f t="shared" si="82"/>
        <v>0</v>
      </c>
      <c r="K2114" s="274"/>
    </row>
    <row r="2115" spans="2:11" ht="13.5" customHeight="1">
      <c r="B2115" s="209" t="s">
        <v>1995</v>
      </c>
      <c r="C2115" s="209" t="s">
        <v>3504</v>
      </c>
      <c r="D2115" s="415" t="str">
        <f t="shared" si="86"/>
        <v>18-01</v>
      </c>
      <c r="E2115" s="273" t="e">
        <f ca="1">_xludf.IFNA(VLOOKUP('Comp X - Kilter'!B2115,'Kilter Holds'!$P$37:$AB$662,12,0),0)</f>
        <v>#NAME?</v>
      </c>
      <c r="F2115" s="274"/>
      <c r="G2115" s="274" t="e">
        <f t="shared" ca="1" si="81"/>
        <v>#NAME?</v>
      </c>
      <c r="H2115" s="274">
        <f t="shared" si="82"/>
        <v>0</v>
      </c>
      <c r="K2115" s="274"/>
    </row>
    <row r="2116" spans="2:11" ht="13.5" customHeight="1">
      <c r="B2116" s="209" t="s">
        <v>1995</v>
      </c>
      <c r="C2116" s="209" t="s">
        <v>3504</v>
      </c>
      <c r="D2116" s="416" t="str">
        <f t="shared" si="86"/>
        <v>Color Code</v>
      </c>
      <c r="E2116" s="273" t="e">
        <f ca="1">_xludf.IFNA(VLOOKUP('Comp X - Kilter'!B2116,'Kilter Holds'!$P$37:$AB$662,13,0),0)</f>
        <v>#NAME?</v>
      </c>
      <c r="F2116" s="274"/>
      <c r="G2116" s="274" t="e">
        <f t="shared" ca="1" si="81"/>
        <v>#NAME?</v>
      </c>
      <c r="H2116" s="274">
        <f t="shared" si="82"/>
        <v>0</v>
      </c>
      <c r="K2116" s="274"/>
    </row>
    <row r="2117" spans="2:11" ht="13.5" customHeight="1">
      <c r="B2117" s="209" t="s">
        <v>2001</v>
      </c>
      <c r="C2117" s="209" t="s">
        <v>3505</v>
      </c>
      <c r="D2117" s="406" t="str">
        <f t="shared" si="86"/>
        <v>11-12</v>
      </c>
      <c r="E2117" s="273" t="e">
        <f ca="1">_xludf.IFNA(VLOOKUP('Comp X - Kilter'!B2117,'Kilter Holds'!$P$37:$AB$662,5,0),0)</f>
        <v>#NAME?</v>
      </c>
      <c r="F2117" s="274"/>
      <c r="G2117" s="274" t="e">
        <f t="shared" ca="1" si="81"/>
        <v>#NAME?</v>
      </c>
      <c r="H2117" s="274">
        <f t="shared" si="82"/>
        <v>0</v>
      </c>
      <c r="K2117" s="274"/>
    </row>
    <row r="2118" spans="2:11" ht="13.5" customHeight="1">
      <c r="B2118" s="209" t="s">
        <v>2001</v>
      </c>
      <c r="C2118" s="209" t="s">
        <v>3505</v>
      </c>
      <c r="D2118" s="408" t="str">
        <f t="shared" si="86"/>
        <v>14-01</v>
      </c>
      <c r="E2118" s="273" t="e">
        <f ca="1">_xludf.IFNA(VLOOKUP('Comp X - Kilter'!B2118,'Kilter Holds'!$P$37:$AB$662,6,0),0)</f>
        <v>#NAME?</v>
      </c>
      <c r="F2118" s="274"/>
      <c r="G2118" s="274" t="e">
        <f t="shared" ca="1" si="81"/>
        <v>#NAME?</v>
      </c>
      <c r="H2118" s="274">
        <f t="shared" si="82"/>
        <v>0</v>
      </c>
      <c r="K2118" s="274"/>
    </row>
    <row r="2119" spans="2:11" ht="13.5" customHeight="1">
      <c r="B2119" s="209" t="s">
        <v>2001</v>
      </c>
      <c r="C2119" s="209" t="s">
        <v>3505</v>
      </c>
      <c r="D2119" s="409" t="str">
        <f t="shared" si="86"/>
        <v>15-12</v>
      </c>
      <c r="E2119" s="273" t="e">
        <f ca="1">_xludf.IFNA(VLOOKUP('Comp X - Kilter'!B2119,'Kilter Holds'!$P$37:$AB$662,7,0),0)</f>
        <v>#NAME?</v>
      </c>
      <c r="F2119" s="274"/>
      <c r="G2119" s="274" t="e">
        <f t="shared" ca="1" si="81"/>
        <v>#NAME?</v>
      </c>
      <c r="H2119" s="274">
        <f t="shared" si="82"/>
        <v>0</v>
      </c>
      <c r="K2119" s="274"/>
    </row>
    <row r="2120" spans="2:11" ht="13.5" customHeight="1">
      <c r="B2120" s="209" t="s">
        <v>2001</v>
      </c>
      <c r="C2120" s="209" t="s">
        <v>3505</v>
      </c>
      <c r="D2120" s="410" t="str">
        <f t="shared" si="86"/>
        <v>16-16</v>
      </c>
      <c r="E2120" s="273" t="e">
        <f ca="1">_xludf.IFNA(VLOOKUP('Comp X - Kilter'!B2120,'Kilter Holds'!$P$37:$AB$662,8,0),0)</f>
        <v>#NAME?</v>
      </c>
      <c r="F2120" s="274"/>
      <c r="G2120" s="274" t="e">
        <f t="shared" ca="1" si="81"/>
        <v>#NAME?</v>
      </c>
      <c r="H2120" s="274">
        <f t="shared" si="82"/>
        <v>0</v>
      </c>
      <c r="K2120" s="274"/>
    </row>
    <row r="2121" spans="2:11" ht="13.5" customHeight="1">
      <c r="B2121" s="209" t="s">
        <v>2001</v>
      </c>
      <c r="C2121" s="209" t="s">
        <v>3505</v>
      </c>
      <c r="D2121" s="411" t="str">
        <f t="shared" si="86"/>
        <v>13-01</v>
      </c>
      <c r="E2121" s="273" t="e">
        <f ca="1">_xludf.IFNA(VLOOKUP('Comp X - Kilter'!B2121,'Kilter Holds'!$P$37:$AB$662,9,0),0)</f>
        <v>#NAME?</v>
      </c>
      <c r="F2121" s="274"/>
      <c r="G2121" s="274" t="e">
        <f t="shared" ca="1" si="81"/>
        <v>#NAME?</v>
      </c>
      <c r="H2121" s="274">
        <f t="shared" si="82"/>
        <v>0</v>
      </c>
      <c r="K2121" s="274"/>
    </row>
    <row r="2122" spans="2:11" ht="13.5" customHeight="1">
      <c r="B2122" s="209" t="s">
        <v>2001</v>
      </c>
      <c r="C2122" s="209" t="s">
        <v>3505</v>
      </c>
      <c r="D2122" s="413" t="str">
        <f t="shared" si="86"/>
        <v>07-13</v>
      </c>
      <c r="E2122" s="273" t="e">
        <f ca="1">_xludf.IFNA(VLOOKUP('Comp X - Kilter'!B2122,'Kilter Holds'!$P$37:$AB$662,10,0),0)</f>
        <v>#NAME?</v>
      </c>
      <c r="F2122" s="274"/>
      <c r="G2122" s="274" t="e">
        <f t="shared" ca="1" si="81"/>
        <v>#NAME?</v>
      </c>
      <c r="H2122" s="274">
        <f t="shared" si="82"/>
        <v>0</v>
      </c>
      <c r="K2122" s="274"/>
    </row>
    <row r="2123" spans="2:11" ht="13.5" customHeight="1">
      <c r="B2123" s="209" t="s">
        <v>2001</v>
      </c>
      <c r="C2123" s="209" t="s">
        <v>3505</v>
      </c>
      <c r="D2123" s="414" t="str">
        <f t="shared" si="86"/>
        <v>11-26</v>
      </c>
      <c r="E2123" s="273" t="e">
        <f ca="1">_xludf.IFNA(VLOOKUP('Comp X - Kilter'!B2123,'Kilter Holds'!$P$37:$AB$662,11,0),0)</f>
        <v>#NAME?</v>
      </c>
      <c r="F2123" s="274"/>
      <c r="G2123" s="274" t="e">
        <f t="shared" ca="1" si="81"/>
        <v>#NAME?</v>
      </c>
      <c r="H2123" s="274">
        <f t="shared" si="82"/>
        <v>0</v>
      </c>
      <c r="K2123" s="274"/>
    </row>
    <row r="2124" spans="2:11" ht="13.5" customHeight="1">
      <c r="B2124" s="209" t="s">
        <v>2001</v>
      </c>
      <c r="C2124" s="209" t="s">
        <v>3505</v>
      </c>
      <c r="D2124" s="415" t="str">
        <f t="shared" si="86"/>
        <v>18-01</v>
      </c>
      <c r="E2124" s="273" t="e">
        <f ca="1">_xludf.IFNA(VLOOKUP('Comp X - Kilter'!B2124,'Kilter Holds'!$P$37:$AB$662,12,0),0)</f>
        <v>#NAME?</v>
      </c>
      <c r="F2124" s="274"/>
      <c r="G2124" s="274" t="e">
        <f t="shared" ca="1" si="81"/>
        <v>#NAME?</v>
      </c>
      <c r="H2124" s="274">
        <f t="shared" si="82"/>
        <v>0</v>
      </c>
      <c r="K2124" s="274"/>
    </row>
    <row r="2125" spans="2:11" ht="13.5" customHeight="1">
      <c r="B2125" s="209" t="s">
        <v>2001</v>
      </c>
      <c r="C2125" s="209" t="s">
        <v>3505</v>
      </c>
      <c r="D2125" s="416" t="str">
        <f t="shared" si="86"/>
        <v>Color Code</v>
      </c>
      <c r="E2125" s="273" t="e">
        <f ca="1">_xludf.IFNA(VLOOKUP('Comp X - Kilter'!B2125,'Kilter Holds'!$P$37:$AB$662,13,0),0)</f>
        <v>#NAME?</v>
      </c>
      <c r="F2125" s="274"/>
      <c r="G2125" s="274" t="e">
        <f t="shared" ca="1" si="81"/>
        <v>#NAME?</v>
      </c>
      <c r="H2125" s="274">
        <f t="shared" si="82"/>
        <v>0</v>
      </c>
      <c r="K2125" s="274"/>
    </row>
    <row r="2126" spans="2:11" ht="13.5" customHeight="1">
      <c r="B2126" s="209" t="s">
        <v>2002</v>
      </c>
      <c r="C2126" s="209" t="s">
        <v>3506</v>
      </c>
      <c r="D2126" s="406" t="str">
        <f t="shared" ref="D2126:D2134" si="87">D2108</f>
        <v>11-12</v>
      </c>
      <c r="E2126" s="273" t="e">
        <f ca="1">_xludf.IFNA(VLOOKUP('Comp X - Kilter'!B2126,'Kilter Holds'!$P$37:$AB$662,5,0),0)</f>
        <v>#NAME?</v>
      </c>
      <c r="F2126" s="274"/>
      <c r="G2126" s="274" t="e">
        <f t="shared" ca="1" si="81"/>
        <v>#NAME?</v>
      </c>
      <c r="H2126" s="274">
        <f t="shared" si="82"/>
        <v>0</v>
      </c>
      <c r="K2126" s="274"/>
    </row>
    <row r="2127" spans="2:11" ht="13.5" customHeight="1">
      <c r="B2127" s="209" t="s">
        <v>2002</v>
      </c>
      <c r="C2127" s="209" t="s">
        <v>3506</v>
      </c>
      <c r="D2127" s="408" t="str">
        <f t="shared" si="87"/>
        <v>14-01</v>
      </c>
      <c r="E2127" s="273" t="e">
        <f ca="1">_xludf.IFNA(VLOOKUP('Comp X - Kilter'!B2127,'Kilter Holds'!$P$37:$AB$662,6,0),0)</f>
        <v>#NAME?</v>
      </c>
      <c r="F2127" s="274"/>
      <c r="G2127" s="274" t="e">
        <f t="shared" ca="1" si="81"/>
        <v>#NAME?</v>
      </c>
      <c r="H2127" s="274">
        <f t="shared" si="82"/>
        <v>0</v>
      </c>
      <c r="K2127" s="274"/>
    </row>
    <row r="2128" spans="2:11" ht="13.5" customHeight="1">
      <c r="B2128" s="209" t="s">
        <v>2002</v>
      </c>
      <c r="C2128" s="209" t="s">
        <v>3506</v>
      </c>
      <c r="D2128" s="409" t="str">
        <f t="shared" si="87"/>
        <v>15-12</v>
      </c>
      <c r="E2128" s="273" t="e">
        <f ca="1">_xludf.IFNA(VLOOKUP('Comp X - Kilter'!B2128,'Kilter Holds'!$P$37:$AB$662,7,0),0)</f>
        <v>#NAME?</v>
      </c>
      <c r="F2128" s="274"/>
      <c r="G2128" s="274" t="e">
        <f t="shared" ca="1" si="81"/>
        <v>#NAME?</v>
      </c>
      <c r="H2128" s="274">
        <f t="shared" si="82"/>
        <v>0</v>
      </c>
      <c r="K2128" s="274"/>
    </row>
    <row r="2129" spans="2:11" ht="13.5" customHeight="1">
      <c r="B2129" s="209" t="s">
        <v>2002</v>
      </c>
      <c r="C2129" s="209" t="s">
        <v>3506</v>
      </c>
      <c r="D2129" s="410" t="str">
        <f t="shared" si="87"/>
        <v>16-16</v>
      </c>
      <c r="E2129" s="273" t="e">
        <f ca="1">_xludf.IFNA(VLOOKUP('Comp X - Kilter'!B2129,'Kilter Holds'!$P$37:$AB$662,8,0),0)</f>
        <v>#NAME?</v>
      </c>
      <c r="F2129" s="274"/>
      <c r="G2129" s="274" t="e">
        <f t="shared" ca="1" si="81"/>
        <v>#NAME?</v>
      </c>
      <c r="H2129" s="274">
        <f t="shared" si="82"/>
        <v>0</v>
      </c>
      <c r="K2129" s="274"/>
    </row>
    <row r="2130" spans="2:11" ht="13.5" customHeight="1">
      <c r="B2130" s="209" t="s">
        <v>2002</v>
      </c>
      <c r="C2130" s="209" t="s">
        <v>3506</v>
      </c>
      <c r="D2130" s="411" t="str">
        <f t="shared" si="87"/>
        <v>13-01</v>
      </c>
      <c r="E2130" s="273" t="e">
        <f ca="1">_xludf.IFNA(VLOOKUP('Comp X - Kilter'!B2130,'Kilter Holds'!$P$37:$AB$662,9,0),0)</f>
        <v>#NAME?</v>
      </c>
      <c r="F2130" s="274"/>
      <c r="G2130" s="274" t="e">
        <f t="shared" ca="1" si="81"/>
        <v>#NAME?</v>
      </c>
      <c r="H2130" s="274">
        <f t="shared" si="82"/>
        <v>0</v>
      </c>
      <c r="K2130" s="274"/>
    </row>
    <row r="2131" spans="2:11" ht="13.5" customHeight="1">
      <c r="B2131" s="209" t="s">
        <v>2002</v>
      </c>
      <c r="C2131" s="209" t="s">
        <v>3506</v>
      </c>
      <c r="D2131" s="413" t="str">
        <f t="shared" si="87"/>
        <v>07-13</v>
      </c>
      <c r="E2131" s="273" t="e">
        <f ca="1">_xludf.IFNA(VLOOKUP('Comp X - Kilter'!B2131,'Kilter Holds'!$P$37:$AB$662,10,0),0)</f>
        <v>#NAME?</v>
      </c>
      <c r="F2131" s="274"/>
      <c r="G2131" s="274" t="e">
        <f t="shared" ca="1" si="81"/>
        <v>#NAME?</v>
      </c>
      <c r="H2131" s="274">
        <f t="shared" si="82"/>
        <v>0</v>
      </c>
      <c r="K2131" s="274"/>
    </row>
    <row r="2132" spans="2:11" ht="13.5" customHeight="1">
      <c r="B2132" s="209" t="s">
        <v>2002</v>
      </c>
      <c r="C2132" s="209" t="s">
        <v>3506</v>
      </c>
      <c r="D2132" s="414" t="str">
        <f t="shared" si="87"/>
        <v>11-26</v>
      </c>
      <c r="E2132" s="273" t="e">
        <f ca="1">_xludf.IFNA(VLOOKUP('Comp X - Kilter'!B2132,'Kilter Holds'!$P$37:$AB$662,11,0),0)</f>
        <v>#NAME?</v>
      </c>
      <c r="F2132" s="274"/>
      <c r="G2132" s="274" t="e">
        <f t="shared" ca="1" si="81"/>
        <v>#NAME?</v>
      </c>
      <c r="H2132" s="274">
        <f t="shared" si="82"/>
        <v>0</v>
      </c>
      <c r="K2132" s="274"/>
    </row>
    <row r="2133" spans="2:11" ht="13.5" customHeight="1">
      <c r="B2133" s="209" t="s">
        <v>2002</v>
      </c>
      <c r="C2133" s="209" t="s">
        <v>3506</v>
      </c>
      <c r="D2133" s="415" t="str">
        <f t="shared" si="87"/>
        <v>18-01</v>
      </c>
      <c r="E2133" s="273" t="e">
        <f ca="1">_xludf.IFNA(VLOOKUP('Comp X - Kilter'!B2133,'Kilter Holds'!$P$37:$AB$662,12,0),0)</f>
        <v>#NAME?</v>
      </c>
      <c r="F2133" s="274"/>
      <c r="G2133" s="274" t="e">
        <f t="shared" ca="1" si="81"/>
        <v>#NAME?</v>
      </c>
      <c r="H2133" s="274">
        <f t="shared" si="82"/>
        <v>0</v>
      </c>
      <c r="K2133" s="274"/>
    </row>
    <row r="2134" spans="2:11" ht="13.5" customHeight="1">
      <c r="B2134" s="209" t="s">
        <v>2002</v>
      </c>
      <c r="C2134" s="209" t="s">
        <v>3506</v>
      </c>
      <c r="D2134" s="416" t="str">
        <f t="shared" si="87"/>
        <v>Color Code</v>
      </c>
      <c r="E2134" s="273" t="e">
        <f ca="1">_xludf.IFNA(VLOOKUP('Comp X - Kilter'!B2134,'Kilter Holds'!$P$37:$AB$662,13,0),0)</f>
        <v>#NAME?</v>
      </c>
      <c r="F2134" s="274"/>
      <c r="G2134" s="274" t="e">
        <f t="shared" ca="1" si="81"/>
        <v>#NAME?</v>
      </c>
      <c r="H2134" s="274">
        <f t="shared" si="82"/>
        <v>0</v>
      </c>
      <c r="K2134" s="274"/>
    </row>
    <row r="2135" spans="2:11" ht="13.5" customHeight="1">
      <c r="B2135" s="209" t="s">
        <v>2003</v>
      </c>
      <c r="C2135" s="209" t="s">
        <v>3507</v>
      </c>
      <c r="D2135" s="406" t="str">
        <f t="shared" ref="D2135:D2161" si="88">D2126</f>
        <v>11-12</v>
      </c>
      <c r="E2135" s="273" t="e">
        <f ca="1">_xludf.IFNA(VLOOKUP('Comp X - Kilter'!B2135,'Kilter Holds'!$P$37:$AB$662,5,0),0)</f>
        <v>#NAME?</v>
      </c>
      <c r="F2135" s="274"/>
      <c r="G2135" s="274" t="e">
        <f t="shared" ca="1" si="81"/>
        <v>#NAME?</v>
      </c>
      <c r="H2135" s="274">
        <f t="shared" si="82"/>
        <v>0</v>
      </c>
      <c r="K2135" s="274"/>
    </row>
    <row r="2136" spans="2:11" ht="13.5" customHeight="1">
      <c r="B2136" s="209" t="s">
        <v>2003</v>
      </c>
      <c r="C2136" s="209" t="s">
        <v>3507</v>
      </c>
      <c r="D2136" s="408" t="str">
        <f t="shared" si="88"/>
        <v>14-01</v>
      </c>
      <c r="E2136" s="273" t="e">
        <f ca="1">_xludf.IFNA(VLOOKUP('Comp X - Kilter'!B2136,'Kilter Holds'!$P$37:$AB$662,6,0),0)</f>
        <v>#NAME?</v>
      </c>
      <c r="F2136" s="274"/>
      <c r="G2136" s="274" t="e">
        <f t="shared" ca="1" si="81"/>
        <v>#NAME?</v>
      </c>
      <c r="H2136" s="274">
        <f t="shared" si="82"/>
        <v>0</v>
      </c>
      <c r="K2136" s="274"/>
    </row>
    <row r="2137" spans="2:11" ht="13.5" customHeight="1">
      <c r="B2137" s="209" t="s">
        <v>2003</v>
      </c>
      <c r="C2137" s="209" t="s">
        <v>3507</v>
      </c>
      <c r="D2137" s="409" t="str">
        <f t="shared" si="88"/>
        <v>15-12</v>
      </c>
      <c r="E2137" s="273" t="e">
        <f ca="1">_xludf.IFNA(VLOOKUP('Comp X - Kilter'!B2137,'Kilter Holds'!$P$37:$AB$662,7,0),0)</f>
        <v>#NAME?</v>
      </c>
      <c r="F2137" s="274"/>
      <c r="G2137" s="274" t="e">
        <f t="shared" ca="1" si="81"/>
        <v>#NAME?</v>
      </c>
      <c r="H2137" s="274">
        <f t="shared" si="82"/>
        <v>0</v>
      </c>
      <c r="K2137" s="274"/>
    </row>
    <row r="2138" spans="2:11" ht="13.5" customHeight="1">
      <c r="B2138" s="209" t="s">
        <v>2003</v>
      </c>
      <c r="C2138" s="209" t="s">
        <v>3507</v>
      </c>
      <c r="D2138" s="410" t="str">
        <f t="shared" si="88"/>
        <v>16-16</v>
      </c>
      <c r="E2138" s="273" t="e">
        <f ca="1">_xludf.IFNA(VLOOKUP('Comp X - Kilter'!B2138,'Kilter Holds'!$P$37:$AB$662,8,0),0)</f>
        <v>#NAME?</v>
      </c>
      <c r="F2138" s="274"/>
      <c r="G2138" s="274" t="e">
        <f t="shared" ca="1" si="81"/>
        <v>#NAME?</v>
      </c>
      <c r="H2138" s="274">
        <f t="shared" si="82"/>
        <v>0</v>
      </c>
      <c r="K2138" s="274"/>
    </row>
    <row r="2139" spans="2:11" ht="13.5" customHeight="1">
      <c r="B2139" s="209" t="s">
        <v>2003</v>
      </c>
      <c r="C2139" s="209" t="s">
        <v>3507</v>
      </c>
      <c r="D2139" s="411" t="str">
        <f t="shared" si="88"/>
        <v>13-01</v>
      </c>
      <c r="E2139" s="273" t="e">
        <f ca="1">_xludf.IFNA(VLOOKUP('Comp X - Kilter'!B2139,'Kilter Holds'!$P$37:$AB$662,9,0),0)</f>
        <v>#NAME?</v>
      </c>
      <c r="F2139" s="274"/>
      <c r="G2139" s="274" t="e">
        <f t="shared" ca="1" si="81"/>
        <v>#NAME?</v>
      </c>
      <c r="H2139" s="274">
        <f t="shared" si="82"/>
        <v>0</v>
      </c>
      <c r="K2139" s="274"/>
    </row>
    <row r="2140" spans="2:11" ht="13.5" customHeight="1">
      <c r="B2140" s="209" t="s">
        <v>2003</v>
      </c>
      <c r="C2140" s="209" t="s">
        <v>3507</v>
      </c>
      <c r="D2140" s="413" t="str">
        <f t="shared" si="88"/>
        <v>07-13</v>
      </c>
      <c r="E2140" s="273" t="e">
        <f ca="1">_xludf.IFNA(VLOOKUP('Comp X - Kilter'!B2140,'Kilter Holds'!$P$37:$AB$662,10,0),0)</f>
        <v>#NAME?</v>
      </c>
      <c r="F2140" s="274"/>
      <c r="G2140" s="274" t="e">
        <f t="shared" ca="1" si="81"/>
        <v>#NAME?</v>
      </c>
      <c r="H2140" s="274">
        <f t="shared" si="82"/>
        <v>0</v>
      </c>
      <c r="K2140" s="274"/>
    </row>
    <row r="2141" spans="2:11" ht="13.5" customHeight="1">
      <c r="B2141" s="209" t="s">
        <v>2003</v>
      </c>
      <c r="C2141" s="209" t="s">
        <v>3507</v>
      </c>
      <c r="D2141" s="414" t="str">
        <f t="shared" si="88"/>
        <v>11-26</v>
      </c>
      <c r="E2141" s="273" t="e">
        <f ca="1">_xludf.IFNA(VLOOKUP('Comp X - Kilter'!B2141,'Kilter Holds'!$P$37:$AB$662,11,0),0)</f>
        <v>#NAME?</v>
      </c>
      <c r="F2141" s="274"/>
      <c r="G2141" s="274" t="e">
        <f t="shared" ca="1" si="81"/>
        <v>#NAME?</v>
      </c>
      <c r="H2141" s="274">
        <f t="shared" si="82"/>
        <v>0</v>
      </c>
      <c r="K2141" s="274"/>
    </row>
    <row r="2142" spans="2:11" ht="13.5" customHeight="1">
      <c r="B2142" s="209" t="s">
        <v>2003</v>
      </c>
      <c r="C2142" s="209" t="s">
        <v>3507</v>
      </c>
      <c r="D2142" s="415" t="str">
        <f t="shared" si="88"/>
        <v>18-01</v>
      </c>
      <c r="E2142" s="273" t="e">
        <f ca="1">_xludf.IFNA(VLOOKUP('Comp X - Kilter'!B2142,'Kilter Holds'!$P$37:$AB$662,12,0),0)</f>
        <v>#NAME?</v>
      </c>
      <c r="F2142" s="274"/>
      <c r="G2142" s="274" t="e">
        <f t="shared" ca="1" si="81"/>
        <v>#NAME?</v>
      </c>
      <c r="H2142" s="274">
        <f t="shared" si="82"/>
        <v>0</v>
      </c>
      <c r="K2142" s="274"/>
    </row>
    <row r="2143" spans="2:11" ht="13.5" customHeight="1">
      <c r="B2143" s="209" t="s">
        <v>2003</v>
      </c>
      <c r="C2143" s="209" t="s">
        <v>3507</v>
      </c>
      <c r="D2143" s="416" t="str">
        <f t="shared" si="88"/>
        <v>Color Code</v>
      </c>
      <c r="E2143" s="273" t="e">
        <f ca="1">_xludf.IFNA(VLOOKUP('Comp X - Kilter'!B2143,'Kilter Holds'!$P$37:$AB$662,13,0),0)</f>
        <v>#NAME?</v>
      </c>
      <c r="F2143" s="274"/>
      <c r="G2143" s="274" t="e">
        <f t="shared" ca="1" si="81"/>
        <v>#NAME?</v>
      </c>
      <c r="H2143" s="274">
        <f t="shared" si="82"/>
        <v>0</v>
      </c>
      <c r="K2143" s="274"/>
    </row>
    <row r="2144" spans="2:11" ht="13.5" customHeight="1">
      <c r="B2144" s="209" t="s">
        <v>2004</v>
      </c>
      <c r="C2144" s="209" t="s">
        <v>3508</v>
      </c>
      <c r="D2144" s="406" t="str">
        <f t="shared" si="88"/>
        <v>11-12</v>
      </c>
      <c r="E2144" s="273" t="e">
        <f ca="1">_xludf.IFNA(VLOOKUP('Comp X - Kilter'!B2144,'Kilter Holds'!$P$37:$AB$662,5,0),0)</f>
        <v>#NAME?</v>
      </c>
      <c r="F2144" s="274"/>
      <c r="G2144" s="274" t="e">
        <f t="shared" ca="1" si="81"/>
        <v>#NAME?</v>
      </c>
      <c r="H2144" s="274">
        <f t="shared" si="82"/>
        <v>0</v>
      </c>
      <c r="K2144" s="274"/>
    </row>
    <row r="2145" spans="2:11" ht="13.5" customHeight="1">
      <c r="B2145" s="209" t="s">
        <v>2004</v>
      </c>
      <c r="C2145" s="209" t="s">
        <v>3508</v>
      </c>
      <c r="D2145" s="408" t="str">
        <f t="shared" si="88"/>
        <v>14-01</v>
      </c>
      <c r="E2145" s="273" t="e">
        <f ca="1">_xludf.IFNA(VLOOKUP('Comp X - Kilter'!B2145,'Kilter Holds'!$P$37:$AB$662,6,0),0)</f>
        <v>#NAME?</v>
      </c>
      <c r="F2145" s="274"/>
      <c r="G2145" s="274" t="e">
        <f t="shared" ca="1" si="81"/>
        <v>#NAME?</v>
      </c>
      <c r="H2145" s="274">
        <f t="shared" si="82"/>
        <v>0</v>
      </c>
      <c r="K2145" s="274"/>
    </row>
    <row r="2146" spans="2:11" ht="13.5" customHeight="1">
      <c r="B2146" s="209" t="s">
        <v>2004</v>
      </c>
      <c r="C2146" s="209" t="s">
        <v>3508</v>
      </c>
      <c r="D2146" s="409" t="str">
        <f t="shared" si="88"/>
        <v>15-12</v>
      </c>
      <c r="E2146" s="273" t="e">
        <f ca="1">_xludf.IFNA(VLOOKUP('Comp X - Kilter'!B2146,'Kilter Holds'!$P$37:$AB$662,7,0),0)</f>
        <v>#NAME?</v>
      </c>
      <c r="F2146" s="274"/>
      <c r="G2146" s="274" t="e">
        <f t="shared" ca="1" si="81"/>
        <v>#NAME?</v>
      </c>
      <c r="H2146" s="274">
        <f t="shared" si="82"/>
        <v>0</v>
      </c>
      <c r="K2146" s="274"/>
    </row>
    <row r="2147" spans="2:11" ht="13.5" customHeight="1">
      <c r="B2147" s="209" t="s">
        <v>2004</v>
      </c>
      <c r="C2147" s="209" t="s">
        <v>3508</v>
      </c>
      <c r="D2147" s="410" t="str">
        <f t="shared" si="88"/>
        <v>16-16</v>
      </c>
      <c r="E2147" s="273" t="e">
        <f ca="1">_xludf.IFNA(VLOOKUP('Comp X - Kilter'!B2147,'Kilter Holds'!$P$37:$AB$662,8,0),0)</f>
        <v>#NAME?</v>
      </c>
      <c r="F2147" s="274"/>
      <c r="G2147" s="274" t="e">
        <f t="shared" ca="1" si="81"/>
        <v>#NAME?</v>
      </c>
      <c r="H2147" s="274">
        <f t="shared" si="82"/>
        <v>0</v>
      </c>
      <c r="K2147" s="274"/>
    </row>
    <row r="2148" spans="2:11" ht="13.5" customHeight="1">
      <c r="B2148" s="209" t="s">
        <v>2004</v>
      </c>
      <c r="C2148" s="209" t="s">
        <v>3508</v>
      </c>
      <c r="D2148" s="411" t="str">
        <f t="shared" si="88"/>
        <v>13-01</v>
      </c>
      <c r="E2148" s="273" t="e">
        <f ca="1">_xludf.IFNA(VLOOKUP('Comp X - Kilter'!B2148,'Kilter Holds'!$P$37:$AB$662,9,0),0)</f>
        <v>#NAME?</v>
      </c>
      <c r="F2148" s="274"/>
      <c r="G2148" s="274" t="e">
        <f t="shared" ca="1" si="81"/>
        <v>#NAME?</v>
      </c>
      <c r="H2148" s="274">
        <f t="shared" si="82"/>
        <v>0</v>
      </c>
      <c r="K2148" s="274"/>
    </row>
    <row r="2149" spans="2:11" ht="13.5" customHeight="1">
      <c r="B2149" s="209" t="s">
        <v>2004</v>
      </c>
      <c r="C2149" s="209" t="s">
        <v>3508</v>
      </c>
      <c r="D2149" s="413" t="str">
        <f t="shared" si="88"/>
        <v>07-13</v>
      </c>
      <c r="E2149" s="273" t="e">
        <f ca="1">_xludf.IFNA(VLOOKUP('Comp X - Kilter'!B2149,'Kilter Holds'!$P$37:$AB$662,10,0),0)</f>
        <v>#NAME?</v>
      </c>
      <c r="F2149" s="274"/>
      <c r="G2149" s="274" t="e">
        <f t="shared" ca="1" si="81"/>
        <v>#NAME?</v>
      </c>
      <c r="H2149" s="274">
        <f t="shared" si="82"/>
        <v>0</v>
      </c>
      <c r="K2149" s="274"/>
    </row>
    <row r="2150" spans="2:11" ht="13.5" customHeight="1">
      <c r="B2150" s="209" t="s">
        <v>2004</v>
      </c>
      <c r="C2150" s="209" t="s">
        <v>3508</v>
      </c>
      <c r="D2150" s="414" t="str">
        <f t="shared" si="88"/>
        <v>11-26</v>
      </c>
      <c r="E2150" s="273" t="e">
        <f ca="1">_xludf.IFNA(VLOOKUP('Comp X - Kilter'!B2150,'Kilter Holds'!$P$37:$AB$662,11,0),0)</f>
        <v>#NAME?</v>
      </c>
      <c r="F2150" s="274"/>
      <c r="G2150" s="274" t="e">
        <f t="shared" ca="1" si="81"/>
        <v>#NAME?</v>
      </c>
      <c r="H2150" s="274">
        <f t="shared" si="82"/>
        <v>0</v>
      </c>
      <c r="K2150" s="274"/>
    </row>
    <row r="2151" spans="2:11" ht="13.5" customHeight="1">
      <c r="B2151" s="209" t="s">
        <v>2004</v>
      </c>
      <c r="C2151" s="209" t="s">
        <v>3508</v>
      </c>
      <c r="D2151" s="415" t="str">
        <f t="shared" si="88"/>
        <v>18-01</v>
      </c>
      <c r="E2151" s="273" t="e">
        <f ca="1">_xludf.IFNA(VLOOKUP('Comp X - Kilter'!B2151,'Kilter Holds'!$P$37:$AB$662,12,0),0)</f>
        <v>#NAME?</v>
      </c>
      <c r="F2151" s="274"/>
      <c r="G2151" s="274" t="e">
        <f t="shared" ca="1" si="81"/>
        <v>#NAME?</v>
      </c>
      <c r="H2151" s="274">
        <f t="shared" si="82"/>
        <v>0</v>
      </c>
      <c r="K2151" s="274"/>
    </row>
    <row r="2152" spans="2:11" ht="13.5" customHeight="1">
      <c r="B2152" s="209" t="s">
        <v>2004</v>
      </c>
      <c r="C2152" s="209" t="s">
        <v>3508</v>
      </c>
      <c r="D2152" s="416" t="str">
        <f t="shared" si="88"/>
        <v>Color Code</v>
      </c>
      <c r="E2152" s="273" t="e">
        <f ca="1">_xludf.IFNA(VLOOKUP('Comp X - Kilter'!B2152,'Kilter Holds'!$P$37:$AB$662,13,0),0)</f>
        <v>#NAME?</v>
      </c>
      <c r="F2152" s="274"/>
      <c r="G2152" s="274" t="e">
        <f t="shared" ca="1" si="81"/>
        <v>#NAME?</v>
      </c>
      <c r="H2152" s="274">
        <f t="shared" si="82"/>
        <v>0</v>
      </c>
      <c r="K2152" s="274"/>
    </row>
    <row r="2153" spans="2:11" ht="13.5" customHeight="1">
      <c r="B2153" s="209" t="s">
        <v>2005</v>
      </c>
      <c r="C2153" s="209" t="s">
        <v>3509</v>
      </c>
      <c r="D2153" s="406" t="str">
        <f t="shared" si="88"/>
        <v>11-12</v>
      </c>
      <c r="E2153" s="273" t="e">
        <f ca="1">_xludf.IFNA(VLOOKUP('Comp X - Kilter'!B2153,'Kilter Holds'!$P$37:$AB$662,5,0),0)</f>
        <v>#NAME?</v>
      </c>
      <c r="F2153" s="274"/>
      <c r="G2153" s="274" t="e">
        <f t="shared" ca="1" si="81"/>
        <v>#NAME?</v>
      </c>
      <c r="H2153" s="274">
        <f t="shared" si="82"/>
        <v>0</v>
      </c>
      <c r="K2153" s="274"/>
    </row>
    <row r="2154" spans="2:11" ht="13.5" customHeight="1">
      <c r="B2154" s="209" t="s">
        <v>2005</v>
      </c>
      <c r="C2154" s="209" t="s">
        <v>3509</v>
      </c>
      <c r="D2154" s="408" t="str">
        <f t="shared" si="88"/>
        <v>14-01</v>
      </c>
      <c r="E2154" s="273" t="e">
        <f ca="1">_xludf.IFNA(VLOOKUP('Comp X - Kilter'!B2154,'Kilter Holds'!$P$37:$AB$662,6,0),0)</f>
        <v>#NAME?</v>
      </c>
      <c r="F2154" s="274"/>
      <c r="G2154" s="274" t="e">
        <f t="shared" ca="1" si="81"/>
        <v>#NAME?</v>
      </c>
      <c r="H2154" s="274">
        <f t="shared" si="82"/>
        <v>0</v>
      </c>
      <c r="K2154" s="274"/>
    </row>
    <row r="2155" spans="2:11" ht="13.5" customHeight="1">
      <c r="B2155" s="209" t="s">
        <v>2005</v>
      </c>
      <c r="C2155" s="209" t="s">
        <v>3509</v>
      </c>
      <c r="D2155" s="409" t="str">
        <f t="shared" si="88"/>
        <v>15-12</v>
      </c>
      <c r="E2155" s="273" t="e">
        <f ca="1">_xludf.IFNA(VLOOKUP('Comp X - Kilter'!B2155,'Kilter Holds'!$P$37:$AB$662,7,0),0)</f>
        <v>#NAME?</v>
      </c>
      <c r="F2155" s="274"/>
      <c r="G2155" s="274" t="e">
        <f t="shared" ca="1" si="81"/>
        <v>#NAME?</v>
      </c>
      <c r="H2155" s="274">
        <f t="shared" si="82"/>
        <v>0</v>
      </c>
      <c r="K2155" s="274"/>
    </row>
    <row r="2156" spans="2:11" ht="13.5" customHeight="1">
      <c r="B2156" s="209" t="s">
        <v>2005</v>
      </c>
      <c r="C2156" s="209" t="s">
        <v>3509</v>
      </c>
      <c r="D2156" s="410" t="str">
        <f t="shared" si="88"/>
        <v>16-16</v>
      </c>
      <c r="E2156" s="273" t="e">
        <f ca="1">_xludf.IFNA(VLOOKUP('Comp X - Kilter'!B2156,'Kilter Holds'!$P$37:$AB$662,8,0),0)</f>
        <v>#NAME?</v>
      </c>
      <c r="F2156" s="274"/>
      <c r="G2156" s="274" t="e">
        <f t="shared" ca="1" si="81"/>
        <v>#NAME?</v>
      </c>
      <c r="H2156" s="274">
        <f t="shared" si="82"/>
        <v>0</v>
      </c>
      <c r="K2156" s="274"/>
    </row>
    <row r="2157" spans="2:11" ht="13.5" customHeight="1">
      <c r="B2157" s="209" t="s">
        <v>2005</v>
      </c>
      <c r="C2157" s="209" t="s">
        <v>3509</v>
      </c>
      <c r="D2157" s="411" t="str">
        <f t="shared" si="88"/>
        <v>13-01</v>
      </c>
      <c r="E2157" s="273" t="e">
        <f ca="1">_xludf.IFNA(VLOOKUP('Comp X - Kilter'!B2157,'Kilter Holds'!$P$37:$AB$662,9,0),0)</f>
        <v>#NAME?</v>
      </c>
      <c r="F2157" s="274"/>
      <c r="G2157" s="274" t="e">
        <f t="shared" ca="1" si="81"/>
        <v>#NAME?</v>
      </c>
      <c r="H2157" s="274">
        <f t="shared" si="82"/>
        <v>0</v>
      </c>
      <c r="K2157" s="274"/>
    </row>
    <row r="2158" spans="2:11" ht="13.5" customHeight="1">
      <c r="B2158" s="209" t="s">
        <v>2005</v>
      </c>
      <c r="C2158" s="209" t="s">
        <v>3509</v>
      </c>
      <c r="D2158" s="413" t="str">
        <f t="shared" si="88"/>
        <v>07-13</v>
      </c>
      <c r="E2158" s="273" t="e">
        <f ca="1">_xludf.IFNA(VLOOKUP('Comp X - Kilter'!B2158,'Kilter Holds'!$P$37:$AB$662,10,0),0)</f>
        <v>#NAME?</v>
      </c>
      <c r="F2158" s="274"/>
      <c r="G2158" s="274" t="e">
        <f t="shared" ca="1" si="81"/>
        <v>#NAME?</v>
      </c>
      <c r="H2158" s="274">
        <f t="shared" si="82"/>
        <v>0</v>
      </c>
      <c r="K2158" s="274"/>
    </row>
    <row r="2159" spans="2:11" ht="13.5" customHeight="1">
      <c r="B2159" s="209" t="s">
        <v>2005</v>
      </c>
      <c r="C2159" s="209" t="s">
        <v>3509</v>
      </c>
      <c r="D2159" s="414" t="str">
        <f t="shared" si="88"/>
        <v>11-26</v>
      </c>
      <c r="E2159" s="273" t="e">
        <f ca="1">_xludf.IFNA(VLOOKUP('Comp X - Kilter'!B2159,'Kilter Holds'!$P$37:$AB$662,11,0),0)</f>
        <v>#NAME?</v>
      </c>
      <c r="F2159" s="274"/>
      <c r="G2159" s="274" t="e">
        <f t="shared" ca="1" si="81"/>
        <v>#NAME?</v>
      </c>
      <c r="H2159" s="274">
        <f t="shared" si="82"/>
        <v>0</v>
      </c>
      <c r="K2159" s="274"/>
    </row>
    <row r="2160" spans="2:11" ht="13.5" customHeight="1">
      <c r="B2160" s="209" t="s">
        <v>2005</v>
      </c>
      <c r="C2160" s="209" t="s">
        <v>3509</v>
      </c>
      <c r="D2160" s="415" t="str">
        <f t="shared" si="88"/>
        <v>18-01</v>
      </c>
      <c r="E2160" s="273" t="e">
        <f ca="1">_xludf.IFNA(VLOOKUP('Comp X - Kilter'!B2160,'Kilter Holds'!$P$37:$AB$662,12,0),0)</f>
        <v>#NAME?</v>
      </c>
      <c r="F2160" s="274"/>
      <c r="G2160" s="274" t="e">
        <f t="shared" ca="1" si="81"/>
        <v>#NAME?</v>
      </c>
      <c r="H2160" s="274">
        <f t="shared" si="82"/>
        <v>0</v>
      </c>
      <c r="K2160" s="274"/>
    </row>
    <row r="2161" spans="2:11" ht="13.5" customHeight="1">
      <c r="B2161" s="209" t="s">
        <v>2005</v>
      </c>
      <c r="C2161" s="209" t="s">
        <v>3509</v>
      </c>
      <c r="D2161" s="416" t="str">
        <f t="shared" si="88"/>
        <v>Color Code</v>
      </c>
      <c r="E2161" s="273" t="e">
        <f ca="1">_xludf.IFNA(VLOOKUP('Comp X - Kilter'!B2161,'Kilter Holds'!$P$37:$AB$662,13,0),0)</f>
        <v>#NAME?</v>
      </c>
      <c r="F2161" s="274"/>
      <c r="G2161" s="274" t="e">
        <f t="shared" ca="1" si="81"/>
        <v>#NAME?</v>
      </c>
      <c r="H2161" s="274">
        <f t="shared" si="82"/>
        <v>0</v>
      </c>
      <c r="K2161" s="274"/>
    </row>
    <row r="2162" spans="2:11" ht="13.5" customHeight="1">
      <c r="B2162" s="209" t="s">
        <v>2000</v>
      </c>
      <c r="C2162" s="209" t="s">
        <v>3510</v>
      </c>
      <c r="D2162" s="406" t="str">
        <f t="shared" ref="D2162:D2170" si="89">D2135</f>
        <v>11-12</v>
      </c>
      <c r="E2162" s="273" t="e">
        <f ca="1">_xludf.IFNA(VLOOKUP('Comp X - Kilter'!B2162,'Kilter Holds'!$P$37:$AB$662,5,0),0)</f>
        <v>#NAME?</v>
      </c>
      <c r="F2162" s="274"/>
      <c r="G2162" s="274" t="e">
        <f t="shared" ca="1" si="81"/>
        <v>#NAME?</v>
      </c>
      <c r="H2162" s="274">
        <f t="shared" si="82"/>
        <v>0</v>
      </c>
      <c r="K2162" s="274"/>
    </row>
    <row r="2163" spans="2:11" ht="13.5" customHeight="1">
      <c r="B2163" s="209" t="s">
        <v>2000</v>
      </c>
      <c r="C2163" s="209" t="s">
        <v>3510</v>
      </c>
      <c r="D2163" s="408" t="str">
        <f t="shared" si="89"/>
        <v>14-01</v>
      </c>
      <c r="E2163" s="273" t="e">
        <f ca="1">_xludf.IFNA(VLOOKUP('Comp X - Kilter'!B2163,'Kilter Holds'!$P$37:$AB$662,6,0),0)</f>
        <v>#NAME?</v>
      </c>
      <c r="F2163" s="274"/>
      <c r="G2163" s="274" t="e">
        <f t="shared" ca="1" si="81"/>
        <v>#NAME?</v>
      </c>
      <c r="H2163" s="274">
        <f t="shared" si="82"/>
        <v>0</v>
      </c>
      <c r="K2163" s="274"/>
    </row>
    <row r="2164" spans="2:11" ht="13.5" customHeight="1">
      <c r="B2164" s="209" t="s">
        <v>2000</v>
      </c>
      <c r="C2164" s="209" t="s">
        <v>3510</v>
      </c>
      <c r="D2164" s="409" t="str">
        <f t="shared" si="89"/>
        <v>15-12</v>
      </c>
      <c r="E2164" s="273" t="e">
        <f ca="1">_xludf.IFNA(VLOOKUP('Comp X - Kilter'!B2164,'Kilter Holds'!$P$37:$AB$662,7,0),0)</f>
        <v>#NAME?</v>
      </c>
      <c r="F2164" s="274"/>
      <c r="G2164" s="274" t="e">
        <f t="shared" ca="1" si="81"/>
        <v>#NAME?</v>
      </c>
      <c r="H2164" s="274">
        <f t="shared" si="82"/>
        <v>0</v>
      </c>
      <c r="K2164" s="274"/>
    </row>
    <row r="2165" spans="2:11" ht="13.5" customHeight="1">
      <c r="B2165" s="209" t="s">
        <v>2000</v>
      </c>
      <c r="C2165" s="209" t="s">
        <v>3510</v>
      </c>
      <c r="D2165" s="410" t="str">
        <f t="shared" si="89"/>
        <v>16-16</v>
      </c>
      <c r="E2165" s="273" t="e">
        <f ca="1">_xludf.IFNA(VLOOKUP('Comp X - Kilter'!B2165,'Kilter Holds'!$P$37:$AB$662,8,0),0)</f>
        <v>#NAME?</v>
      </c>
      <c r="F2165" s="274"/>
      <c r="G2165" s="274" t="e">
        <f t="shared" ca="1" si="81"/>
        <v>#NAME?</v>
      </c>
      <c r="H2165" s="274">
        <f t="shared" si="82"/>
        <v>0</v>
      </c>
      <c r="K2165" s="274"/>
    </row>
    <row r="2166" spans="2:11" ht="13.5" customHeight="1">
      <c r="B2166" s="209" t="s">
        <v>2000</v>
      </c>
      <c r="C2166" s="209" t="s">
        <v>3510</v>
      </c>
      <c r="D2166" s="411" t="str">
        <f t="shared" si="89"/>
        <v>13-01</v>
      </c>
      <c r="E2166" s="273" t="e">
        <f ca="1">_xludf.IFNA(VLOOKUP('Comp X - Kilter'!B2166,'Kilter Holds'!$P$37:$AB$662,9,0),0)</f>
        <v>#NAME?</v>
      </c>
      <c r="F2166" s="274"/>
      <c r="G2166" s="274" t="e">
        <f t="shared" ca="1" si="81"/>
        <v>#NAME?</v>
      </c>
      <c r="H2166" s="274">
        <f t="shared" si="82"/>
        <v>0</v>
      </c>
      <c r="K2166" s="274"/>
    </row>
    <row r="2167" spans="2:11" ht="13.5" customHeight="1">
      <c r="B2167" s="209" t="s">
        <v>2000</v>
      </c>
      <c r="C2167" s="209" t="s">
        <v>3510</v>
      </c>
      <c r="D2167" s="413" t="str">
        <f t="shared" si="89"/>
        <v>07-13</v>
      </c>
      <c r="E2167" s="273" t="e">
        <f ca="1">_xludf.IFNA(VLOOKUP('Comp X - Kilter'!B2167,'Kilter Holds'!$P$37:$AB$662,10,0),0)</f>
        <v>#NAME?</v>
      </c>
      <c r="F2167" s="274"/>
      <c r="G2167" s="274" t="e">
        <f t="shared" ca="1" si="81"/>
        <v>#NAME?</v>
      </c>
      <c r="H2167" s="274">
        <f t="shared" si="82"/>
        <v>0</v>
      </c>
      <c r="K2167" s="274"/>
    </row>
    <row r="2168" spans="2:11" ht="13.5" customHeight="1">
      <c r="B2168" s="209" t="s">
        <v>2000</v>
      </c>
      <c r="C2168" s="209" t="s">
        <v>3510</v>
      </c>
      <c r="D2168" s="414" t="str">
        <f t="shared" si="89"/>
        <v>11-26</v>
      </c>
      <c r="E2168" s="273" t="e">
        <f ca="1">_xludf.IFNA(VLOOKUP('Comp X - Kilter'!B2168,'Kilter Holds'!$P$37:$AB$662,11,0),0)</f>
        <v>#NAME?</v>
      </c>
      <c r="F2168" s="274"/>
      <c r="G2168" s="274" t="e">
        <f t="shared" ca="1" si="81"/>
        <v>#NAME?</v>
      </c>
      <c r="H2168" s="274">
        <f t="shared" si="82"/>
        <v>0</v>
      </c>
      <c r="K2168" s="274"/>
    </row>
    <row r="2169" spans="2:11" ht="13.5" customHeight="1">
      <c r="B2169" s="209" t="s">
        <v>2000</v>
      </c>
      <c r="C2169" s="209" t="s">
        <v>3510</v>
      </c>
      <c r="D2169" s="415" t="str">
        <f t="shared" si="89"/>
        <v>18-01</v>
      </c>
      <c r="E2169" s="273" t="e">
        <f ca="1">_xludf.IFNA(VLOOKUP('Comp X - Kilter'!B2169,'Kilter Holds'!$P$37:$AB$662,12,0),0)</f>
        <v>#NAME?</v>
      </c>
      <c r="F2169" s="274"/>
      <c r="G2169" s="274" t="e">
        <f t="shared" ca="1" si="81"/>
        <v>#NAME?</v>
      </c>
      <c r="H2169" s="274">
        <f t="shared" si="82"/>
        <v>0</v>
      </c>
      <c r="K2169" s="274"/>
    </row>
    <row r="2170" spans="2:11" ht="13.5" customHeight="1">
      <c r="B2170" s="209" t="s">
        <v>2000</v>
      </c>
      <c r="C2170" s="209" t="s">
        <v>3510</v>
      </c>
      <c r="D2170" s="416" t="str">
        <f t="shared" si="89"/>
        <v>Color Code</v>
      </c>
      <c r="E2170" s="273" t="e">
        <f ca="1">_xludf.IFNA(VLOOKUP('Comp X - Kilter'!B2170,'Kilter Holds'!$P$37:$AB$662,13,0),0)</f>
        <v>#NAME?</v>
      </c>
      <c r="F2170" s="274"/>
      <c r="G2170" s="274" t="e">
        <f t="shared" ca="1" si="81"/>
        <v>#NAME?</v>
      </c>
      <c r="H2170" s="274">
        <f t="shared" si="82"/>
        <v>0</v>
      </c>
      <c r="K2170" s="274"/>
    </row>
    <row r="2171" spans="2:11" ht="13.5" customHeight="1">
      <c r="B2171" s="209" t="s">
        <v>2006</v>
      </c>
      <c r="C2171" s="209" t="s">
        <v>3511</v>
      </c>
      <c r="D2171" s="406" t="str">
        <f t="shared" ref="D2171:D2197" si="90">D2126</f>
        <v>11-12</v>
      </c>
      <c r="E2171" s="273" t="e">
        <f ca="1">_xludf.IFNA(VLOOKUP('Comp X - Kilter'!B2171,'Kilter Holds'!$P$37:$AB$662,5,0),0)</f>
        <v>#NAME?</v>
      </c>
      <c r="F2171" s="274"/>
      <c r="G2171" s="274" t="e">
        <f t="shared" ca="1" si="81"/>
        <v>#NAME?</v>
      </c>
      <c r="H2171" s="274">
        <f t="shared" si="82"/>
        <v>0</v>
      </c>
      <c r="K2171" s="274"/>
    </row>
    <row r="2172" spans="2:11" ht="13.5" customHeight="1">
      <c r="B2172" s="209" t="s">
        <v>2006</v>
      </c>
      <c r="C2172" s="209" t="s">
        <v>3511</v>
      </c>
      <c r="D2172" s="408" t="str">
        <f t="shared" si="90"/>
        <v>14-01</v>
      </c>
      <c r="E2172" s="273" t="e">
        <f ca="1">_xludf.IFNA(VLOOKUP('Comp X - Kilter'!B2172,'Kilter Holds'!$P$37:$AB$662,6,0),0)</f>
        <v>#NAME?</v>
      </c>
      <c r="F2172" s="274"/>
      <c r="G2172" s="274" t="e">
        <f t="shared" ca="1" si="81"/>
        <v>#NAME?</v>
      </c>
      <c r="H2172" s="274">
        <f t="shared" si="82"/>
        <v>0</v>
      </c>
      <c r="K2172" s="274"/>
    </row>
    <row r="2173" spans="2:11" ht="13.5" customHeight="1">
      <c r="B2173" s="209" t="s">
        <v>2006</v>
      </c>
      <c r="C2173" s="209" t="s">
        <v>3511</v>
      </c>
      <c r="D2173" s="409" t="str">
        <f t="shared" si="90"/>
        <v>15-12</v>
      </c>
      <c r="E2173" s="273" t="e">
        <f ca="1">_xludf.IFNA(VLOOKUP('Comp X - Kilter'!B2173,'Kilter Holds'!$P$37:$AB$662,7,0),0)</f>
        <v>#NAME?</v>
      </c>
      <c r="F2173" s="274"/>
      <c r="G2173" s="274" t="e">
        <f t="shared" ca="1" si="81"/>
        <v>#NAME?</v>
      </c>
      <c r="H2173" s="274">
        <f t="shared" si="82"/>
        <v>0</v>
      </c>
      <c r="K2173" s="274"/>
    </row>
    <row r="2174" spans="2:11" ht="13.5" customHeight="1">
      <c r="B2174" s="209" t="s">
        <v>2006</v>
      </c>
      <c r="C2174" s="209" t="s">
        <v>3511</v>
      </c>
      <c r="D2174" s="410" t="str">
        <f t="shared" si="90"/>
        <v>16-16</v>
      </c>
      <c r="E2174" s="273" t="e">
        <f ca="1">_xludf.IFNA(VLOOKUP('Comp X - Kilter'!B2174,'Kilter Holds'!$P$37:$AB$662,8,0),0)</f>
        <v>#NAME?</v>
      </c>
      <c r="F2174" s="274"/>
      <c r="G2174" s="274" t="e">
        <f t="shared" ca="1" si="81"/>
        <v>#NAME?</v>
      </c>
      <c r="H2174" s="274">
        <f t="shared" si="82"/>
        <v>0</v>
      </c>
      <c r="K2174" s="274"/>
    </row>
    <row r="2175" spans="2:11" ht="13.5" customHeight="1">
      <c r="B2175" s="209" t="s">
        <v>2006</v>
      </c>
      <c r="C2175" s="209" t="s">
        <v>3511</v>
      </c>
      <c r="D2175" s="411" t="str">
        <f t="shared" si="90"/>
        <v>13-01</v>
      </c>
      <c r="E2175" s="273" t="e">
        <f ca="1">_xludf.IFNA(VLOOKUP('Comp X - Kilter'!B2175,'Kilter Holds'!$P$37:$AB$662,9,0),0)</f>
        <v>#NAME?</v>
      </c>
      <c r="F2175" s="274"/>
      <c r="G2175" s="274" t="e">
        <f t="shared" ca="1" si="81"/>
        <v>#NAME?</v>
      </c>
      <c r="H2175" s="274">
        <f t="shared" si="82"/>
        <v>0</v>
      </c>
      <c r="K2175" s="274"/>
    </row>
    <row r="2176" spans="2:11" ht="13.5" customHeight="1">
      <c r="B2176" s="209" t="s">
        <v>2006</v>
      </c>
      <c r="C2176" s="209" t="s">
        <v>3511</v>
      </c>
      <c r="D2176" s="413" t="str">
        <f t="shared" si="90"/>
        <v>07-13</v>
      </c>
      <c r="E2176" s="273" t="e">
        <f ca="1">_xludf.IFNA(VLOOKUP('Comp X - Kilter'!B2176,'Kilter Holds'!$P$37:$AB$662,10,0),0)</f>
        <v>#NAME?</v>
      </c>
      <c r="F2176" s="274"/>
      <c r="G2176" s="274" t="e">
        <f t="shared" ca="1" si="81"/>
        <v>#NAME?</v>
      </c>
      <c r="H2176" s="274">
        <f t="shared" si="82"/>
        <v>0</v>
      </c>
      <c r="K2176" s="274"/>
    </row>
    <row r="2177" spans="2:11" ht="13.5" customHeight="1">
      <c r="B2177" s="209" t="s">
        <v>2006</v>
      </c>
      <c r="C2177" s="209" t="s">
        <v>3511</v>
      </c>
      <c r="D2177" s="414" t="str">
        <f t="shared" si="90"/>
        <v>11-26</v>
      </c>
      <c r="E2177" s="273" t="e">
        <f ca="1">_xludf.IFNA(VLOOKUP('Comp X - Kilter'!B2177,'Kilter Holds'!$P$37:$AB$662,11,0),0)</f>
        <v>#NAME?</v>
      </c>
      <c r="F2177" s="274"/>
      <c r="G2177" s="274" t="e">
        <f t="shared" ca="1" si="81"/>
        <v>#NAME?</v>
      </c>
      <c r="H2177" s="274">
        <f t="shared" si="82"/>
        <v>0</v>
      </c>
      <c r="K2177" s="274"/>
    </row>
    <row r="2178" spans="2:11" ht="13.5" customHeight="1">
      <c r="B2178" s="209" t="s">
        <v>2006</v>
      </c>
      <c r="C2178" s="209" t="s">
        <v>3511</v>
      </c>
      <c r="D2178" s="415" t="str">
        <f t="shared" si="90"/>
        <v>18-01</v>
      </c>
      <c r="E2178" s="273" t="e">
        <f ca="1">_xludf.IFNA(VLOOKUP('Comp X - Kilter'!B2178,'Kilter Holds'!$P$37:$AB$662,12,0),0)</f>
        <v>#NAME?</v>
      </c>
      <c r="F2178" s="274"/>
      <c r="G2178" s="274" t="e">
        <f t="shared" ca="1" si="81"/>
        <v>#NAME?</v>
      </c>
      <c r="H2178" s="274">
        <f t="shared" si="82"/>
        <v>0</v>
      </c>
      <c r="K2178" s="274"/>
    </row>
    <row r="2179" spans="2:11" ht="13.5" customHeight="1">
      <c r="B2179" s="209" t="s">
        <v>2006</v>
      </c>
      <c r="C2179" s="209" t="s">
        <v>3511</v>
      </c>
      <c r="D2179" s="416" t="str">
        <f t="shared" si="90"/>
        <v>Color Code</v>
      </c>
      <c r="E2179" s="273" t="e">
        <f ca="1">_xludf.IFNA(VLOOKUP('Comp X - Kilter'!B2179,'Kilter Holds'!$P$37:$AB$662,13,0),0)</f>
        <v>#NAME?</v>
      </c>
      <c r="F2179" s="274"/>
      <c r="G2179" s="274" t="e">
        <f t="shared" ca="1" si="81"/>
        <v>#NAME?</v>
      </c>
      <c r="H2179" s="274">
        <f t="shared" si="82"/>
        <v>0</v>
      </c>
      <c r="K2179" s="274"/>
    </row>
    <row r="2180" spans="2:11" ht="13.5" customHeight="1">
      <c r="B2180" s="209" t="s">
        <v>1996</v>
      </c>
      <c r="C2180" s="209" t="s">
        <v>3512</v>
      </c>
      <c r="D2180" s="406" t="str">
        <f t="shared" si="90"/>
        <v>11-12</v>
      </c>
      <c r="E2180" s="273" t="e">
        <f ca="1">_xludf.IFNA(VLOOKUP('Comp X - Kilter'!B2180,'Kilter Holds'!$P$37:$AB$662,5,0),0)</f>
        <v>#NAME?</v>
      </c>
      <c r="F2180" s="274"/>
      <c r="G2180" s="274" t="e">
        <f t="shared" ca="1" si="81"/>
        <v>#NAME?</v>
      </c>
      <c r="H2180" s="274">
        <f t="shared" si="82"/>
        <v>0</v>
      </c>
      <c r="K2180" s="274"/>
    </row>
    <row r="2181" spans="2:11" ht="13.5" customHeight="1">
      <c r="B2181" s="209" t="s">
        <v>1996</v>
      </c>
      <c r="C2181" s="209" t="s">
        <v>3512</v>
      </c>
      <c r="D2181" s="408" t="str">
        <f t="shared" si="90"/>
        <v>14-01</v>
      </c>
      <c r="E2181" s="273" t="e">
        <f ca="1">_xludf.IFNA(VLOOKUP('Comp X - Kilter'!B2181,'Kilter Holds'!$P$37:$AB$662,6,0),0)</f>
        <v>#NAME?</v>
      </c>
      <c r="F2181" s="274"/>
      <c r="G2181" s="274" t="e">
        <f t="shared" ca="1" si="81"/>
        <v>#NAME?</v>
      </c>
      <c r="H2181" s="274">
        <f t="shared" si="82"/>
        <v>0</v>
      </c>
      <c r="K2181" s="274"/>
    </row>
    <row r="2182" spans="2:11" ht="13.5" customHeight="1">
      <c r="B2182" s="209" t="s">
        <v>1996</v>
      </c>
      <c r="C2182" s="209" t="s">
        <v>3512</v>
      </c>
      <c r="D2182" s="409" t="str">
        <f t="shared" si="90"/>
        <v>15-12</v>
      </c>
      <c r="E2182" s="273" t="e">
        <f ca="1">_xludf.IFNA(VLOOKUP('Comp X - Kilter'!B2182,'Kilter Holds'!$P$37:$AB$662,7,0),0)</f>
        <v>#NAME?</v>
      </c>
      <c r="F2182" s="274"/>
      <c r="G2182" s="274" t="e">
        <f t="shared" ca="1" si="81"/>
        <v>#NAME?</v>
      </c>
      <c r="H2182" s="274">
        <f t="shared" si="82"/>
        <v>0</v>
      </c>
      <c r="K2182" s="274"/>
    </row>
    <row r="2183" spans="2:11" ht="13.5" customHeight="1">
      <c r="B2183" s="209" t="s">
        <v>1996</v>
      </c>
      <c r="C2183" s="209" t="s">
        <v>3512</v>
      </c>
      <c r="D2183" s="410" t="str">
        <f t="shared" si="90"/>
        <v>16-16</v>
      </c>
      <c r="E2183" s="273" t="e">
        <f ca="1">_xludf.IFNA(VLOOKUP('Comp X - Kilter'!B2183,'Kilter Holds'!$P$37:$AB$662,8,0),0)</f>
        <v>#NAME?</v>
      </c>
      <c r="F2183" s="274"/>
      <c r="G2183" s="274" t="e">
        <f t="shared" ca="1" si="81"/>
        <v>#NAME?</v>
      </c>
      <c r="H2183" s="274">
        <f t="shared" si="82"/>
        <v>0</v>
      </c>
      <c r="K2183" s="274"/>
    </row>
    <row r="2184" spans="2:11" ht="13.5" customHeight="1">
      <c r="B2184" s="209" t="s">
        <v>1996</v>
      </c>
      <c r="C2184" s="209" t="s">
        <v>3512</v>
      </c>
      <c r="D2184" s="411" t="str">
        <f t="shared" si="90"/>
        <v>13-01</v>
      </c>
      <c r="E2184" s="273" t="e">
        <f ca="1">_xludf.IFNA(VLOOKUP('Comp X - Kilter'!B2184,'Kilter Holds'!$P$37:$AB$662,9,0),0)</f>
        <v>#NAME?</v>
      </c>
      <c r="F2184" s="274"/>
      <c r="G2184" s="274" t="e">
        <f t="shared" ca="1" si="81"/>
        <v>#NAME?</v>
      </c>
      <c r="H2184" s="274">
        <f t="shared" si="82"/>
        <v>0</v>
      </c>
      <c r="K2184" s="274"/>
    </row>
    <row r="2185" spans="2:11" ht="13.5" customHeight="1">
      <c r="B2185" s="209" t="s">
        <v>1996</v>
      </c>
      <c r="C2185" s="209" t="s">
        <v>3512</v>
      </c>
      <c r="D2185" s="413" t="str">
        <f t="shared" si="90"/>
        <v>07-13</v>
      </c>
      <c r="E2185" s="273" t="e">
        <f ca="1">_xludf.IFNA(VLOOKUP('Comp X - Kilter'!B2185,'Kilter Holds'!$P$37:$AB$662,10,0),0)</f>
        <v>#NAME?</v>
      </c>
      <c r="F2185" s="274"/>
      <c r="G2185" s="274" t="e">
        <f t="shared" ca="1" si="81"/>
        <v>#NAME?</v>
      </c>
      <c r="H2185" s="274">
        <f t="shared" si="82"/>
        <v>0</v>
      </c>
      <c r="K2185" s="274"/>
    </row>
    <row r="2186" spans="2:11" ht="13.5" customHeight="1">
      <c r="B2186" s="209" t="s">
        <v>1996</v>
      </c>
      <c r="C2186" s="209" t="s">
        <v>3512</v>
      </c>
      <c r="D2186" s="414" t="str">
        <f t="shared" si="90"/>
        <v>11-26</v>
      </c>
      <c r="E2186" s="273" t="e">
        <f ca="1">_xludf.IFNA(VLOOKUP('Comp X - Kilter'!B2186,'Kilter Holds'!$P$37:$AB$662,11,0),0)</f>
        <v>#NAME?</v>
      </c>
      <c r="F2186" s="274"/>
      <c r="G2186" s="274" t="e">
        <f t="shared" ca="1" si="81"/>
        <v>#NAME?</v>
      </c>
      <c r="H2186" s="274">
        <f t="shared" si="82"/>
        <v>0</v>
      </c>
      <c r="K2186" s="274"/>
    </row>
    <row r="2187" spans="2:11" ht="13.5" customHeight="1">
      <c r="B2187" s="209" t="s">
        <v>1996</v>
      </c>
      <c r="C2187" s="209" t="s">
        <v>3512</v>
      </c>
      <c r="D2187" s="415" t="str">
        <f t="shared" si="90"/>
        <v>18-01</v>
      </c>
      <c r="E2187" s="273" t="e">
        <f ca="1">_xludf.IFNA(VLOOKUP('Comp X - Kilter'!B2187,'Kilter Holds'!$P$37:$AB$662,12,0),0)</f>
        <v>#NAME?</v>
      </c>
      <c r="F2187" s="274"/>
      <c r="G2187" s="274" t="e">
        <f t="shared" ca="1" si="81"/>
        <v>#NAME?</v>
      </c>
      <c r="H2187" s="274">
        <f t="shared" si="82"/>
        <v>0</v>
      </c>
      <c r="K2187" s="274"/>
    </row>
    <row r="2188" spans="2:11" ht="13.5" customHeight="1">
      <c r="B2188" s="209" t="s">
        <v>1996</v>
      </c>
      <c r="C2188" s="209" t="s">
        <v>3512</v>
      </c>
      <c r="D2188" s="416" t="str">
        <f t="shared" si="90"/>
        <v>Color Code</v>
      </c>
      <c r="E2188" s="273" t="e">
        <f ca="1">_xludf.IFNA(VLOOKUP('Comp X - Kilter'!B2188,'Kilter Holds'!$P$37:$AB$662,13,0),0)</f>
        <v>#NAME?</v>
      </c>
      <c r="F2188" s="274"/>
      <c r="G2188" s="274" t="e">
        <f t="shared" ca="1" si="81"/>
        <v>#NAME?</v>
      </c>
      <c r="H2188" s="274">
        <f t="shared" si="82"/>
        <v>0</v>
      </c>
      <c r="K2188" s="274"/>
    </row>
    <row r="2189" spans="2:11" ht="13.5" customHeight="1">
      <c r="B2189" s="209" t="s">
        <v>1968</v>
      </c>
      <c r="C2189" s="209" t="s">
        <v>3513</v>
      </c>
      <c r="D2189" s="406" t="str">
        <f t="shared" si="90"/>
        <v>11-12</v>
      </c>
      <c r="E2189" s="273" t="e">
        <f ca="1">_xludf.IFNA(VLOOKUP('Comp X - Kilter'!B2189,'Kilter Holds'!$P$37:$AB$662,5,0),0)</f>
        <v>#NAME?</v>
      </c>
      <c r="F2189" s="274"/>
      <c r="G2189" s="274" t="e">
        <f t="shared" ca="1" si="81"/>
        <v>#NAME?</v>
      </c>
      <c r="H2189" s="274">
        <f t="shared" si="82"/>
        <v>0</v>
      </c>
      <c r="K2189" s="274"/>
    </row>
    <row r="2190" spans="2:11" ht="13.5" customHeight="1">
      <c r="B2190" s="209" t="s">
        <v>1968</v>
      </c>
      <c r="C2190" s="209" t="s">
        <v>3513</v>
      </c>
      <c r="D2190" s="408" t="str">
        <f t="shared" si="90"/>
        <v>14-01</v>
      </c>
      <c r="E2190" s="273" t="e">
        <f ca="1">_xludf.IFNA(VLOOKUP('Comp X - Kilter'!B2190,'Kilter Holds'!$P$37:$AB$662,6,0),0)</f>
        <v>#NAME?</v>
      </c>
      <c r="F2190" s="274"/>
      <c r="G2190" s="274" t="e">
        <f t="shared" ca="1" si="81"/>
        <v>#NAME?</v>
      </c>
      <c r="H2190" s="274">
        <f t="shared" si="82"/>
        <v>0</v>
      </c>
      <c r="K2190" s="274"/>
    </row>
    <row r="2191" spans="2:11" ht="13.5" customHeight="1">
      <c r="B2191" s="209" t="s">
        <v>1968</v>
      </c>
      <c r="C2191" s="209" t="s">
        <v>3513</v>
      </c>
      <c r="D2191" s="409" t="str">
        <f t="shared" si="90"/>
        <v>15-12</v>
      </c>
      <c r="E2191" s="273" t="e">
        <f ca="1">_xludf.IFNA(VLOOKUP('Comp X - Kilter'!B2191,'Kilter Holds'!$P$37:$AB$662,7,0),0)</f>
        <v>#NAME?</v>
      </c>
      <c r="F2191" s="274"/>
      <c r="G2191" s="274" t="e">
        <f t="shared" ca="1" si="81"/>
        <v>#NAME?</v>
      </c>
      <c r="H2191" s="274">
        <f t="shared" si="82"/>
        <v>0</v>
      </c>
      <c r="K2191" s="274"/>
    </row>
    <row r="2192" spans="2:11" ht="13.5" customHeight="1">
      <c r="B2192" s="209" t="s">
        <v>1968</v>
      </c>
      <c r="C2192" s="209" t="s">
        <v>3513</v>
      </c>
      <c r="D2192" s="410" t="str">
        <f t="shared" si="90"/>
        <v>16-16</v>
      </c>
      <c r="E2192" s="273" t="e">
        <f ca="1">_xludf.IFNA(VLOOKUP('Comp X - Kilter'!B2192,'Kilter Holds'!$P$37:$AB$662,8,0),0)</f>
        <v>#NAME?</v>
      </c>
      <c r="F2192" s="274"/>
      <c r="G2192" s="274" t="e">
        <f t="shared" ca="1" si="81"/>
        <v>#NAME?</v>
      </c>
      <c r="H2192" s="274">
        <f t="shared" si="82"/>
        <v>0</v>
      </c>
      <c r="K2192" s="274"/>
    </row>
    <row r="2193" spans="2:11" ht="13.5" customHeight="1">
      <c r="B2193" s="209" t="s">
        <v>1968</v>
      </c>
      <c r="C2193" s="209" t="s">
        <v>3513</v>
      </c>
      <c r="D2193" s="411" t="str">
        <f t="shared" si="90"/>
        <v>13-01</v>
      </c>
      <c r="E2193" s="273" t="e">
        <f ca="1">_xludf.IFNA(VLOOKUP('Comp X - Kilter'!B2193,'Kilter Holds'!$P$37:$AB$662,9,0),0)</f>
        <v>#NAME?</v>
      </c>
      <c r="F2193" s="274"/>
      <c r="G2193" s="274" t="e">
        <f t="shared" ca="1" si="81"/>
        <v>#NAME?</v>
      </c>
      <c r="H2193" s="274">
        <f t="shared" si="82"/>
        <v>0</v>
      </c>
      <c r="K2193" s="274"/>
    </row>
    <row r="2194" spans="2:11" ht="13.5" customHeight="1">
      <c r="B2194" s="209" t="s">
        <v>1968</v>
      </c>
      <c r="C2194" s="209" t="s">
        <v>3513</v>
      </c>
      <c r="D2194" s="413" t="str">
        <f t="shared" si="90"/>
        <v>07-13</v>
      </c>
      <c r="E2194" s="273" t="e">
        <f ca="1">_xludf.IFNA(VLOOKUP('Comp X - Kilter'!B2194,'Kilter Holds'!$P$37:$AB$662,10,0),0)</f>
        <v>#NAME?</v>
      </c>
      <c r="F2194" s="274"/>
      <c r="G2194" s="274" t="e">
        <f t="shared" ca="1" si="81"/>
        <v>#NAME?</v>
      </c>
      <c r="H2194" s="274">
        <f t="shared" si="82"/>
        <v>0</v>
      </c>
      <c r="K2194" s="274"/>
    </row>
    <row r="2195" spans="2:11" ht="13.5" customHeight="1">
      <c r="B2195" s="209" t="s">
        <v>1968</v>
      </c>
      <c r="C2195" s="209" t="s">
        <v>3513</v>
      </c>
      <c r="D2195" s="414" t="str">
        <f t="shared" si="90"/>
        <v>11-26</v>
      </c>
      <c r="E2195" s="273" t="e">
        <f ca="1">_xludf.IFNA(VLOOKUP('Comp X - Kilter'!B2195,'Kilter Holds'!$P$37:$AB$662,11,0),0)</f>
        <v>#NAME?</v>
      </c>
      <c r="F2195" s="274"/>
      <c r="G2195" s="274" t="e">
        <f t="shared" ca="1" si="81"/>
        <v>#NAME?</v>
      </c>
      <c r="H2195" s="274">
        <f t="shared" si="82"/>
        <v>0</v>
      </c>
      <c r="K2195" s="274"/>
    </row>
    <row r="2196" spans="2:11" ht="13.5" customHeight="1">
      <c r="B2196" s="209" t="s">
        <v>1968</v>
      </c>
      <c r="C2196" s="209" t="s">
        <v>3513</v>
      </c>
      <c r="D2196" s="415" t="str">
        <f t="shared" si="90"/>
        <v>18-01</v>
      </c>
      <c r="E2196" s="273" t="e">
        <f ca="1">_xludf.IFNA(VLOOKUP('Comp X - Kilter'!B2196,'Kilter Holds'!$P$37:$AB$662,12,0),0)</f>
        <v>#NAME?</v>
      </c>
      <c r="F2196" s="274"/>
      <c r="G2196" s="274" t="e">
        <f t="shared" ca="1" si="81"/>
        <v>#NAME?</v>
      </c>
      <c r="H2196" s="274">
        <f t="shared" si="82"/>
        <v>0</v>
      </c>
      <c r="K2196" s="274"/>
    </row>
    <row r="2197" spans="2:11" ht="13.5" customHeight="1">
      <c r="B2197" s="209" t="s">
        <v>1968</v>
      </c>
      <c r="C2197" s="209" t="s">
        <v>3513</v>
      </c>
      <c r="D2197" s="416" t="str">
        <f t="shared" si="90"/>
        <v>Color Code</v>
      </c>
      <c r="E2197" s="273" t="e">
        <f ca="1">_xludf.IFNA(VLOOKUP('Comp X - Kilter'!B2197,'Kilter Holds'!$P$37:$AB$662,13,0),0)</f>
        <v>#NAME?</v>
      </c>
      <c r="F2197" s="274"/>
      <c r="G2197" s="274" t="e">
        <f t="shared" ca="1" si="81"/>
        <v>#NAME?</v>
      </c>
      <c r="H2197" s="274">
        <f t="shared" si="82"/>
        <v>0</v>
      </c>
      <c r="K2197" s="274"/>
    </row>
    <row r="2198" spans="2:11" ht="13.5" customHeight="1">
      <c r="B2198" s="209" t="s">
        <v>1969</v>
      </c>
      <c r="C2198" s="209" t="s">
        <v>3514</v>
      </c>
      <c r="D2198" s="406" t="str">
        <f t="shared" ref="D2198:D2215" si="91">D2162</f>
        <v>11-12</v>
      </c>
      <c r="E2198" s="273" t="e">
        <f ca="1">_xludf.IFNA(VLOOKUP('Comp X - Kilter'!B2198,'Kilter Holds'!$P$37:$AB$662,5,0),0)</f>
        <v>#NAME?</v>
      </c>
      <c r="F2198" s="274"/>
      <c r="G2198" s="274" t="e">
        <f t="shared" ca="1" si="81"/>
        <v>#NAME?</v>
      </c>
      <c r="H2198" s="274">
        <f t="shared" si="82"/>
        <v>0</v>
      </c>
      <c r="K2198" s="274"/>
    </row>
    <row r="2199" spans="2:11" ht="13.5" customHeight="1">
      <c r="B2199" s="209" t="s">
        <v>1969</v>
      </c>
      <c r="C2199" s="209" t="s">
        <v>3514</v>
      </c>
      <c r="D2199" s="408" t="str">
        <f t="shared" si="91"/>
        <v>14-01</v>
      </c>
      <c r="E2199" s="273" t="e">
        <f ca="1">_xludf.IFNA(VLOOKUP('Comp X - Kilter'!B2199,'Kilter Holds'!$P$37:$AB$662,6,0),0)</f>
        <v>#NAME?</v>
      </c>
      <c r="F2199" s="274"/>
      <c r="G2199" s="274" t="e">
        <f t="shared" ca="1" si="81"/>
        <v>#NAME?</v>
      </c>
      <c r="H2199" s="274">
        <f t="shared" si="82"/>
        <v>0</v>
      </c>
      <c r="K2199" s="274"/>
    </row>
    <row r="2200" spans="2:11" ht="13.5" customHeight="1">
      <c r="B2200" s="209" t="s">
        <v>1969</v>
      </c>
      <c r="C2200" s="209" t="s">
        <v>3514</v>
      </c>
      <c r="D2200" s="409" t="str">
        <f t="shared" si="91"/>
        <v>15-12</v>
      </c>
      <c r="E2200" s="273" t="e">
        <f ca="1">_xludf.IFNA(VLOOKUP('Comp X - Kilter'!B2200,'Kilter Holds'!$P$37:$AB$662,7,0),0)</f>
        <v>#NAME?</v>
      </c>
      <c r="F2200" s="274"/>
      <c r="G2200" s="274" t="e">
        <f t="shared" ca="1" si="81"/>
        <v>#NAME?</v>
      </c>
      <c r="H2200" s="274">
        <f t="shared" si="82"/>
        <v>0</v>
      </c>
      <c r="K2200" s="274"/>
    </row>
    <row r="2201" spans="2:11" ht="13.5" customHeight="1">
      <c r="B2201" s="209" t="s">
        <v>1969</v>
      </c>
      <c r="C2201" s="209" t="s">
        <v>3514</v>
      </c>
      <c r="D2201" s="410" t="str">
        <f t="shared" si="91"/>
        <v>16-16</v>
      </c>
      <c r="E2201" s="273" t="e">
        <f ca="1">_xludf.IFNA(VLOOKUP('Comp X - Kilter'!B2201,'Kilter Holds'!$P$37:$AB$662,8,0),0)</f>
        <v>#NAME?</v>
      </c>
      <c r="F2201" s="274"/>
      <c r="G2201" s="274" t="e">
        <f t="shared" ca="1" si="81"/>
        <v>#NAME?</v>
      </c>
      <c r="H2201" s="274">
        <f t="shared" si="82"/>
        <v>0</v>
      </c>
      <c r="K2201" s="274"/>
    </row>
    <row r="2202" spans="2:11" ht="13.5" customHeight="1">
      <c r="B2202" s="209" t="s">
        <v>1969</v>
      </c>
      <c r="C2202" s="209" t="s">
        <v>3514</v>
      </c>
      <c r="D2202" s="411" t="str">
        <f t="shared" si="91"/>
        <v>13-01</v>
      </c>
      <c r="E2202" s="273" t="e">
        <f ca="1">_xludf.IFNA(VLOOKUP('Comp X - Kilter'!B2202,'Kilter Holds'!$P$37:$AB$662,9,0),0)</f>
        <v>#NAME?</v>
      </c>
      <c r="F2202" s="274"/>
      <c r="G2202" s="274" t="e">
        <f t="shared" ca="1" si="81"/>
        <v>#NAME?</v>
      </c>
      <c r="H2202" s="274">
        <f t="shared" si="82"/>
        <v>0</v>
      </c>
      <c r="K2202" s="274"/>
    </row>
    <row r="2203" spans="2:11" ht="13.5" customHeight="1">
      <c r="B2203" s="209" t="s">
        <v>1969</v>
      </c>
      <c r="C2203" s="209" t="s">
        <v>3514</v>
      </c>
      <c r="D2203" s="413" t="str">
        <f t="shared" si="91"/>
        <v>07-13</v>
      </c>
      <c r="E2203" s="273" t="e">
        <f ca="1">_xludf.IFNA(VLOOKUP('Comp X - Kilter'!B2203,'Kilter Holds'!$P$37:$AB$662,10,0),0)</f>
        <v>#NAME?</v>
      </c>
      <c r="F2203" s="274"/>
      <c r="G2203" s="274" t="e">
        <f t="shared" ca="1" si="81"/>
        <v>#NAME?</v>
      </c>
      <c r="H2203" s="274">
        <f t="shared" si="82"/>
        <v>0</v>
      </c>
      <c r="K2203" s="274"/>
    </row>
    <row r="2204" spans="2:11" ht="13.5" customHeight="1">
      <c r="B2204" s="209" t="s">
        <v>1969</v>
      </c>
      <c r="C2204" s="209" t="s">
        <v>3514</v>
      </c>
      <c r="D2204" s="414" t="str">
        <f t="shared" si="91"/>
        <v>11-26</v>
      </c>
      <c r="E2204" s="273" t="e">
        <f ca="1">_xludf.IFNA(VLOOKUP('Comp X - Kilter'!B2204,'Kilter Holds'!$P$37:$AB$662,11,0),0)</f>
        <v>#NAME?</v>
      </c>
      <c r="F2204" s="274"/>
      <c r="G2204" s="274" t="e">
        <f t="shared" ca="1" si="81"/>
        <v>#NAME?</v>
      </c>
      <c r="H2204" s="274">
        <f t="shared" si="82"/>
        <v>0</v>
      </c>
      <c r="K2204" s="274"/>
    </row>
    <row r="2205" spans="2:11" ht="13.5" customHeight="1">
      <c r="B2205" s="209" t="s">
        <v>1969</v>
      </c>
      <c r="C2205" s="209" t="s">
        <v>3514</v>
      </c>
      <c r="D2205" s="415" t="str">
        <f t="shared" si="91"/>
        <v>18-01</v>
      </c>
      <c r="E2205" s="273" t="e">
        <f ca="1">_xludf.IFNA(VLOOKUP('Comp X - Kilter'!B2205,'Kilter Holds'!$P$37:$AB$662,12,0),0)</f>
        <v>#NAME?</v>
      </c>
      <c r="F2205" s="274"/>
      <c r="G2205" s="274" t="e">
        <f t="shared" ca="1" si="81"/>
        <v>#NAME?</v>
      </c>
      <c r="H2205" s="274">
        <f t="shared" si="82"/>
        <v>0</v>
      </c>
      <c r="K2205" s="274"/>
    </row>
    <row r="2206" spans="2:11" ht="13.5" customHeight="1">
      <c r="B2206" s="209" t="s">
        <v>1969</v>
      </c>
      <c r="C2206" s="209" t="s">
        <v>3514</v>
      </c>
      <c r="D2206" s="416" t="str">
        <f t="shared" si="91"/>
        <v>Color Code</v>
      </c>
      <c r="E2206" s="273" t="e">
        <f ca="1">_xludf.IFNA(VLOOKUP('Comp X - Kilter'!B2206,'Kilter Holds'!$P$37:$AB$662,13,0),0)</f>
        <v>#NAME?</v>
      </c>
      <c r="F2206" s="274"/>
      <c r="G2206" s="274" t="e">
        <f t="shared" ca="1" si="81"/>
        <v>#NAME?</v>
      </c>
      <c r="H2206" s="274">
        <f t="shared" si="82"/>
        <v>0</v>
      </c>
      <c r="K2206" s="274"/>
    </row>
    <row r="2207" spans="2:11" ht="13.5" customHeight="1">
      <c r="B2207" s="1" t="s">
        <v>2108</v>
      </c>
      <c r="C2207" s="1" t="s">
        <v>3515</v>
      </c>
      <c r="D2207" s="406" t="str">
        <f t="shared" si="91"/>
        <v>11-12</v>
      </c>
      <c r="E2207" s="273" t="e">
        <f ca="1">_xludf.IFNA(VLOOKUP('Comp X - Kilter'!B2207,'Kilter Holds'!$P$37:$AB$662,5,0),0)</f>
        <v>#NAME?</v>
      </c>
      <c r="F2207" s="274"/>
      <c r="G2207" s="274" t="e">
        <f t="shared" ca="1" si="81"/>
        <v>#NAME?</v>
      </c>
      <c r="H2207" s="274">
        <f t="shared" si="82"/>
        <v>0</v>
      </c>
      <c r="K2207" s="274"/>
    </row>
    <row r="2208" spans="2:11" ht="13.5" customHeight="1">
      <c r="B2208" s="1" t="s">
        <v>2108</v>
      </c>
      <c r="C2208" s="1" t="s">
        <v>3515</v>
      </c>
      <c r="D2208" s="408" t="str">
        <f t="shared" si="91"/>
        <v>14-01</v>
      </c>
      <c r="E2208" s="273" t="e">
        <f ca="1">_xludf.IFNA(VLOOKUP('Comp X - Kilter'!B2208,'Kilter Holds'!$P$37:$AB$662,6,0),0)</f>
        <v>#NAME?</v>
      </c>
      <c r="F2208" s="274"/>
      <c r="G2208" s="274" t="e">
        <f t="shared" ca="1" si="81"/>
        <v>#NAME?</v>
      </c>
      <c r="H2208" s="274">
        <f t="shared" si="82"/>
        <v>0</v>
      </c>
      <c r="K2208" s="274"/>
    </row>
    <row r="2209" spans="2:11" ht="13.5" customHeight="1">
      <c r="B2209" s="1" t="s">
        <v>2108</v>
      </c>
      <c r="C2209" s="1" t="s">
        <v>3515</v>
      </c>
      <c r="D2209" s="409" t="str">
        <f t="shared" si="91"/>
        <v>15-12</v>
      </c>
      <c r="E2209" s="273" t="e">
        <f ca="1">_xludf.IFNA(VLOOKUP('Comp X - Kilter'!B2209,'Kilter Holds'!$P$37:$AB$662,7,0),0)</f>
        <v>#NAME?</v>
      </c>
      <c r="F2209" s="274"/>
      <c r="G2209" s="274" t="e">
        <f t="shared" ca="1" si="81"/>
        <v>#NAME?</v>
      </c>
      <c r="H2209" s="274">
        <f t="shared" si="82"/>
        <v>0</v>
      </c>
      <c r="K2209" s="274"/>
    </row>
    <row r="2210" spans="2:11" ht="13.5" customHeight="1">
      <c r="B2210" s="1" t="s">
        <v>2108</v>
      </c>
      <c r="C2210" s="1" t="s">
        <v>3515</v>
      </c>
      <c r="D2210" s="410" t="str">
        <f t="shared" si="91"/>
        <v>16-16</v>
      </c>
      <c r="E2210" s="273" t="e">
        <f ca="1">_xludf.IFNA(VLOOKUP('Comp X - Kilter'!B2210,'Kilter Holds'!$P$37:$AB$662,8,0),0)</f>
        <v>#NAME?</v>
      </c>
      <c r="F2210" s="274"/>
      <c r="G2210" s="274" t="e">
        <f t="shared" ca="1" si="81"/>
        <v>#NAME?</v>
      </c>
      <c r="H2210" s="274">
        <f t="shared" si="82"/>
        <v>0</v>
      </c>
      <c r="K2210" s="274"/>
    </row>
    <row r="2211" spans="2:11" ht="13.5" customHeight="1">
      <c r="B2211" s="1" t="s">
        <v>2108</v>
      </c>
      <c r="C2211" s="1" t="s">
        <v>3515</v>
      </c>
      <c r="D2211" s="411" t="str">
        <f t="shared" si="91"/>
        <v>13-01</v>
      </c>
      <c r="E2211" s="273" t="e">
        <f ca="1">_xludf.IFNA(VLOOKUP('Comp X - Kilter'!B2211,'Kilter Holds'!$P$37:$AB$662,9,0),0)</f>
        <v>#NAME?</v>
      </c>
      <c r="F2211" s="274"/>
      <c r="G2211" s="274" t="e">
        <f t="shared" ca="1" si="81"/>
        <v>#NAME?</v>
      </c>
      <c r="H2211" s="274">
        <f t="shared" si="82"/>
        <v>0</v>
      </c>
      <c r="K2211" s="274"/>
    </row>
    <row r="2212" spans="2:11" ht="13.5" customHeight="1">
      <c r="B2212" s="1" t="s">
        <v>2108</v>
      </c>
      <c r="C2212" s="1" t="s">
        <v>3515</v>
      </c>
      <c r="D2212" s="413" t="str">
        <f t="shared" si="91"/>
        <v>07-13</v>
      </c>
      <c r="E2212" s="273" t="e">
        <f ca="1">_xludf.IFNA(VLOOKUP('Comp X - Kilter'!B2212,'Kilter Holds'!$P$37:$AB$662,10,0),0)</f>
        <v>#NAME?</v>
      </c>
      <c r="F2212" s="274"/>
      <c r="G2212" s="274" t="e">
        <f t="shared" ca="1" si="81"/>
        <v>#NAME?</v>
      </c>
      <c r="H2212" s="274">
        <f t="shared" si="82"/>
        <v>0</v>
      </c>
      <c r="K2212" s="274"/>
    </row>
    <row r="2213" spans="2:11" ht="13.5" customHeight="1">
      <c r="B2213" s="1" t="s">
        <v>2108</v>
      </c>
      <c r="C2213" s="1" t="s">
        <v>3515</v>
      </c>
      <c r="D2213" s="414" t="str">
        <f t="shared" si="91"/>
        <v>11-26</v>
      </c>
      <c r="E2213" s="273" t="e">
        <f ca="1">_xludf.IFNA(VLOOKUP('Comp X - Kilter'!B2213,'Kilter Holds'!$P$37:$AB$662,11,0),0)</f>
        <v>#NAME?</v>
      </c>
      <c r="F2213" s="274"/>
      <c r="G2213" s="274" t="e">
        <f t="shared" ca="1" si="81"/>
        <v>#NAME?</v>
      </c>
      <c r="H2213" s="274">
        <f t="shared" si="82"/>
        <v>0</v>
      </c>
      <c r="K2213" s="274"/>
    </row>
    <row r="2214" spans="2:11" ht="13.5" customHeight="1">
      <c r="B2214" s="1" t="s">
        <v>2108</v>
      </c>
      <c r="C2214" s="1" t="s">
        <v>3515</v>
      </c>
      <c r="D2214" s="415" t="str">
        <f t="shared" si="91"/>
        <v>18-01</v>
      </c>
      <c r="E2214" s="273" t="e">
        <f ca="1">_xludf.IFNA(VLOOKUP('Comp X - Kilter'!B2214,'Kilter Holds'!$P$37:$AB$662,12,0),0)</f>
        <v>#NAME?</v>
      </c>
      <c r="F2214" s="274"/>
      <c r="G2214" s="274" t="e">
        <f t="shared" ca="1" si="81"/>
        <v>#NAME?</v>
      </c>
      <c r="H2214" s="274">
        <f t="shared" si="82"/>
        <v>0</v>
      </c>
      <c r="K2214" s="274"/>
    </row>
    <row r="2215" spans="2:11" ht="13.5" customHeight="1">
      <c r="B2215" s="1" t="s">
        <v>2108</v>
      </c>
      <c r="C2215" s="1" t="s">
        <v>3515</v>
      </c>
      <c r="D2215" s="416" t="str">
        <f t="shared" si="91"/>
        <v>Color Code</v>
      </c>
      <c r="E2215" s="273" t="e">
        <f ca="1">_xludf.IFNA(VLOOKUP('Comp X - Kilter'!B2215,'Kilter Holds'!$P$37:$AB$662,13,0),0)</f>
        <v>#NAME?</v>
      </c>
      <c r="F2215" s="274"/>
      <c r="G2215" s="274" t="e">
        <f t="shared" ca="1" si="81"/>
        <v>#NAME?</v>
      </c>
      <c r="H2215" s="274">
        <f t="shared" si="82"/>
        <v>0</v>
      </c>
      <c r="K2215" s="274"/>
    </row>
    <row r="2216" spans="2:11" ht="13.5" customHeight="1">
      <c r="B2216" s="209" t="s">
        <v>1997</v>
      </c>
      <c r="C2216" s="209" t="s">
        <v>3516</v>
      </c>
      <c r="D2216" s="406" t="str">
        <f t="shared" ref="D2216:D2233" si="92">D2171</f>
        <v>11-12</v>
      </c>
      <c r="E2216" s="273" t="e">
        <f ca="1">_xludf.IFNA(VLOOKUP('Comp X - Kilter'!B2216,'Kilter Holds'!$P$37:$AB$662,5,0),0)</f>
        <v>#NAME?</v>
      </c>
      <c r="F2216" s="274"/>
      <c r="G2216" s="274" t="e">
        <f t="shared" ca="1" si="81"/>
        <v>#NAME?</v>
      </c>
      <c r="H2216" s="274">
        <f t="shared" si="82"/>
        <v>0</v>
      </c>
      <c r="K2216" s="274"/>
    </row>
    <row r="2217" spans="2:11" ht="13.5" customHeight="1">
      <c r="B2217" s="209" t="s">
        <v>1997</v>
      </c>
      <c r="C2217" s="209" t="s">
        <v>3516</v>
      </c>
      <c r="D2217" s="408" t="str">
        <f t="shared" si="92"/>
        <v>14-01</v>
      </c>
      <c r="E2217" s="273" t="e">
        <f ca="1">_xludf.IFNA(VLOOKUP('Comp X - Kilter'!B2217,'Kilter Holds'!$P$37:$AB$662,6,0),0)</f>
        <v>#NAME?</v>
      </c>
      <c r="F2217" s="274"/>
      <c r="G2217" s="274" t="e">
        <f t="shared" ca="1" si="81"/>
        <v>#NAME?</v>
      </c>
      <c r="H2217" s="274">
        <f t="shared" si="82"/>
        <v>0</v>
      </c>
      <c r="K2217" s="274"/>
    </row>
    <row r="2218" spans="2:11" ht="13.5" customHeight="1">
      <c r="B2218" s="209" t="s">
        <v>1997</v>
      </c>
      <c r="C2218" s="209" t="s">
        <v>3516</v>
      </c>
      <c r="D2218" s="409" t="str">
        <f t="shared" si="92"/>
        <v>15-12</v>
      </c>
      <c r="E2218" s="273" t="e">
        <f ca="1">_xludf.IFNA(VLOOKUP('Comp X - Kilter'!B2218,'Kilter Holds'!$P$37:$AB$662,7,0),0)</f>
        <v>#NAME?</v>
      </c>
      <c r="F2218" s="274"/>
      <c r="G2218" s="274" t="e">
        <f t="shared" ca="1" si="81"/>
        <v>#NAME?</v>
      </c>
      <c r="H2218" s="274">
        <f t="shared" si="82"/>
        <v>0</v>
      </c>
      <c r="K2218" s="274"/>
    </row>
    <row r="2219" spans="2:11" ht="13.5" customHeight="1">
      <c r="B2219" s="209" t="s">
        <v>1997</v>
      </c>
      <c r="C2219" s="209" t="s">
        <v>3516</v>
      </c>
      <c r="D2219" s="410" t="str">
        <f t="shared" si="92"/>
        <v>16-16</v>
      </c>
      <c r="E2219" s="273" t="e">
        <f ca="1">_xludf.IFNA(VLOOKUP('Comp X - Kilter'!B2219,'Kilter Holds'!$P$37:$AB$662,8,0),0)</f>
        <v>#NAME?</v>
      </c>
      <c r="F2219" s="274"/>
      <c r="G2219" s="274" t="e">
        <f t="shared" ca="1" si="81"/>
        <v>#NAME?</v>
      </c>
      <c r="H2219" s="274">
        <f t="shared" si="82"/>
        <v>0</v>
      </c>
      <c r="K2219" s="274"/>
    </row>
    <row r="2220" spans="2:11" ht="13.5" customHeight="1">
      <c r="B2220" s="209" t="s">
        <v>1997</v>
      </c>
      <c r="C2220" s="209" t="s">
        <v>3516</v>
      </c>
      <c r="D2220" s="411" t="str">
        <f t="shared" si="92"/>
        <v>13-01</v>
      </c>
      <c r="E2220" s="273" t="e">
        <f ca="1">_xludf.IFNA(VLOOKUP('Comp X - Kilter'!B2220,'Kilter Holds'!$P$37:$AB$662,9,0),0)</f>
        <v>#NAME?</v>
      </c>
      <c r="F2220" s="274"/>
      <c r="G2220" s="274" t="e">
        <f t="shared" ca="1" si="81"/>
        <v>#NAME?</v>
      </c>
      <c r="H2220" s="274">
        <f t="shared" si="82"/>
        <v>0</v>
      </c>
      <c r="K2220" s="274"/>
    </row>
    <row r="2221" spans="2:11" ht="13.5" customHeight="1">
      <c r="B2221" s="209" t="s">
        <v>1997</v>
      </c>
      <c r="C2221" s="209" t="s">
        <v>3516</v>
      </c>
      <c r="D2221" s="413" t="str">
        <f t="shared" si="92"/>
        <v>07-13</v>
      </c>
      <c r="E2221" s="273" t="e">
        <f ca="1">_xludf.IFNA(VLOOKUP('Comp X - Kilter'!B2221,'Kilter Holds'!$P$37:$AB$662,10,0),0)</f>
        <v>#NAME?</v>
      </c>
      <c r="F2221" s="274"/>
      <c r="G2221" s="274" t="e">
        <f t="shared" ca="1" si="81"/>
        <v>#NAME?</v>
      </c>
      <c r="H2221" s="274">
        <f t="shared" si="82"/>
        <v>0</v>
      </c>
      <c r="K2221" s="274"/>
    </row>
    <row r="2222" spans="2:11" ht="13.5" customHeight="1">
      <c r="B2222" s="209" t="s">
        <v>1997</v>
      </c>
      <c r="C2222" s="209" t="s">
        <v>3516</v>
      </c>
      <c r="D2222" s="414" t="str">
        <f t="shared" si="92"/>
        <v>11-26</v>
      </c>
      <c r="E2222" s="273" t="e">
        <f ca="1">_xludf.IFNA(VLOOKUP('Comp X - Kilter'!B2222,'Kilter Holds'!$P$37:$AB$662,11,0),0)</f>
        <v>#NAME?</v>
      </c>
      <c r="F2222" s="274"/>
      <c r="G2222" s="274" t="e">
        <f t="shared" ca="1" si="81"/>
        <v>#NAME?</v>
      </c>
      <c r="H2222" s="274">
        <f t="shared" si="82"/>
        <v>0</v>
      </c>
      <c r="K2222" s="274"/>
    </row>
    <row r="2223" spans="2:11" ht="13.5" customHeight="1">
      <c r="B2223" s="209" t="s">
        <v>1997</v>
      </c>
      <c r="C2223" s="209" t="s">
        <v>3516</v>
      </c>
      <c r="D2223" s="415" t="str">
        <f t="shared" si="92"/>
        <v>18-01</v>
      </c>
      <c r="E2223" s="273" t="e">
        <f ca="1">_xludf.IFNA(VLOOKUP('Comp X - Kilter'!B2223,'Kilter Holds'!$P$37:$AB$662,12,0),0)</f>
        <v>#NAME?</v>
      </c>
      <c r="F2223" s="274"/>
      <c r="G2223" s="274" t="e">
        <f t="shared" ca="1" si="81"/>
        <v>#NAME?</v>
      </c>
      <c r="H2223" s="274">
        <f t="shared" si="82"/>
        <v>0</v>
      </c>
      <c r="K2223" s="274"/>
    </row>
    <row r="2224" spans="2:11" ht="13.5" customHeight="1">
      <c r="B2224" s="209" t="s">
        <v>1997</v>
      </c>
      <c r="C2224" s="209" t="s">
        <v>3516</v>
      </c>
      <c r="D2224" s="416" t="str">
        <f t="shared" si="92"/>
        <v>Color Code</v>
      </c>
      <c r="E2224" s="273" t="e">
        <f ca="1">_xludf.IFNA(VLOOKUP('Comp X - Kilter'!B2224,'Kilter Holds'!$P$37:$AB$662,13,0),0)</f>
        <v>#NAME?</v>
      </c>
      <c r="F2224" s="274"/>
      <c r="G2224" s="274" t="e">
        <f t="shared" ca="1" si="81"/>
        <v>#NAME?</v>
      </c>
      <c r="H2224" s="274">
        <f t="shared" si="82"/>
        <v>0</v>
      </c>
      <c r="K2224" s="274"/>
    </row>
    <row r="2225" spans="2:11" ht="13.5" customHeight="1">
      <c r="B2225" s="209" t="s">
        <v>1971</v>
      </c>
      <c r="C2225" s="209" t="s">
        <v>3517</v>
      </c>
      <c r="D2225" s="406" t="str">
        <f t="shared" si="92"/>
        <v>11-12</v>
      </c>
      <c r="E2225" s="273" t="e">
        <f ca="1">_xludf.IFNA(VLOOKUP('Comp X - Kilter'!B2225,'Kilter Holds'!$P$37:$AB$662,5,0),0)</f>
        <v>#NAME?</v>
      </c>
      <c r="F2225" s="274"/>
      <c r="G2225" s="274" t="e">
        <f t="shared" ca="1" si="81"/>
        <v>#NAME?</v>
      </c>
      <c r="H2225" s="274">
        <f t="shared" si="82"/>
        <v>0</v>
      </c>
      <c r="K2225" s="274"/>
    </row>
    <row r="2226" spans="2:11" ht="13.5" customHeight="1">
      <c r="B2226" s="209" t="s">
        <v>1971</v>
      </c>
      <c r="C2226" s="209" t="s">
        <v>3517</v>
      </c>
      <c r="D2226" s="408" t="str">
        <f t="shared" si="92"/>
        <v>14-01</v>
      </c>
      <c r="E2226" s="273" t="e">
        <f ca="1">_xludf.IFNA(VLOOKUP('Comp X - Kilter'!B2226,'Kilter Holds'!$P$37:$AB$662,6,0),0)</f>
        <v>#NAME?</v>
      </c>
      <c r="F2226" s="274"/>
      <c r="G2226" s="274" t="e">
        <f t="shared" ca="1" si="81"/>
        <v>#NAME?</v>
      </c>
      <c r="H2226" s="274">
        <f t="shared" si="82"/>
        <v>0</v>
      </c>
      <c r="K2226" s="274"/>
    </row>
    <row r="2227" spans="2:11" ht="13.5" customHeight="1">
      <c r="B2227" s="209" t="s">
        <v>1971</v>
      </c>
      <c r="C2227" s="209" t="s">
        <v>3517</v>
      </c>
      <c r="D2227" s="409" t="str">
        <f t="shared" si="92"/>
        <v>15-12</v>
      </c>
      <c r="E2227" s="273" t="e">
        <f ca="1">_xludf.IFNA(VLOOKUP('Comp X - Kilter'!B2227,'Kilter Holds'!$P$37:$AB$662,7,0),0)</f>
        <v>#NAME?</v>
      </c>
      <c r="F2227" s="274"/>
      <c r="G2227" s="274" t="e">
        <f t="shared" ca="1" si="81"/>
        <v>#NAME?</v>
      </c>
      <c r="H2227" s="274">
        <f t="shared" si="82"/>
        <v>0</v>
      </c>
      <c r="K2227" s="274"/>
    </row>
    <row r="2228" spans="2:11" ht="13.5" customHeight="1">
      <c r="B2228" s="209" t="s">
        <v>1971</v>
      </c>
      <c r="C2228" s="209" t="s">
        <v>3517</v>
      </c>
      <c r="D2228" s="410" t="str">
        <f t="shared" si="92"/>
        <v>16-16</v>
      </c>
      <c r="E2228" s="273" t="e">
        <f ca="1">_xludf.IFNA(VLOOKUP('Comp X - Kilter'!B2228,'Kilter Holds'!$P$37:$AB$662,8,0),0)</f>
        <v>#NAME?</v>
      </c>
      <c r="F2228" s="274"/>
      <c r="G2228" s="274" t="e">
        <f t="shared" ca="1" si="81"/>
        <v>#NAME?</v>
      </c>
      <c r="H2228" s="274">
        <f t="shared" si="82"/>
        <v>0</v>
      </c>
      <c r="K2228" s="274"/>
    </row>
    <row r="2229" spans="2:11" ht="13.5" customHeight="1">
      <c r="B2229" s="209" t="s">
        <v>1971</v>
      </c>
      <c r="C2229" s="209" t="s">
        <v>3517</v>
      </c>
      <c r="D2229" s="411" t="str">
        <f t="shared" si="92"/>
        <v>13-01</v>
      </c>
      <c r="E2229" s="273" t="e">
        <f ca="1">_xludf.IFNA(VLOOKUP('Comp X - Kilter'!B2229,'Kilter Holds'!$P$37:$AB$662,9,0),0)</f>
        <v>#NAME?</v>
      </c>
      <c r="F2229" s="274"/>
      <c r="G2229" s="274" t="e">
        <f t="shared" ca="1" si="81"/>
        <v>#NAME?</v>
      </c>
      <c r="H2229" s="274">
        <f t="shared" si="82"/>
        <v>0</v>
      </c>
      <c r="K2229" s="274"/>
    </row>
    <row r="2230" spans="2:11" ht="13.5" customHeight="1">
      <c r="B2230" s="209" t="s">
        <v>1971</v>
      </c>
      <c r="C2230" s="209" t="s">
        <v>3517</v>
      </c>
      <c r="D2230" s="413" t="str">
        <f t="shared" si="92"/>
        <v>07-13</v>
      </c>
      <c r="E2230" s="273" t="e">
        <f ca="1">_xludf.IFNA(VLOOKUP('Comp X - Kilter'!B2230,'Kilter Holds'!$P$37:$AB$662,10,0),0)</f>
        <v>#NAME?</v>
      </c>
      <c r="F2230" s="274"/>
      <c r="G2230" s="274" t="e">
        <f t="shared" ca="1" si="81"/>
        <v>#NAME?</v>
      </c>
      <c r="H2230" s="274">
        <f t="shared" si="82"/>
        <v>0</v>
      </c>
      <c r="K2230" s="274"/>
    </row>
    <row r="2231" spans="2:11" ht="13.5" customHeight="1">
      <c r="B2231" s="209" t="s">
        <v>1971</v>
      </c>
      <c r="C2231" s="209" t="s">
        <v>3517</v>
      </c>
      <c r="D2231" s="414" t="str">
        <f t="shared" si="92"/>
        <v>11-26</v>
      </c>
      <c r="E2231" s="273" t="e">
        <f ca="1">_xludf.IFNA(VLOOKUP('Comp X - Kilter'!B2231,'Kilter Holds'!$P$37:$AB$662,11,0),0)</f>
        <v>#NAME?</v>
      </c>
      <c r="F2231" s="274"/>
      <c r="G2231" s="274" t="e">
        <f t="shared" ca="1" si="81"/>
        <v>#NAME?</v>
      </c>
      <c r="H2231" s="274">
        <f t="shared" si="82"/>
        <v>0</v>
      </c>
      <c r="K2231" s="274"/>
    </row>
    <row r="2232" spans="2:11" ht="13.5" customHeight="1">
      <c r="B2232" s="209" t="s">
        <v>1971</v>
      </c>
      <c r="C2232" s="209" t="s">
        <v>3517</v>
      </c>
      <c r="D2232" s="415" t="str">
        <f t="shared" si="92"/>
        <v>18-01</v>
      </c>
      <c r="E2232" s="273" t="e">
        <f ca="1">_xludf.IFNA(VLOOKUP('Comp X - Kilter'!B2232,'Kilter Holds'!$P$37:$AB$662,12,0),0)</f>
        <v>#NAME?</v>
      </c>
      <c r="F2232" s="274"/>
      <c r="G2232" s="274" t="e">
        <f t="shared" ca="1" si="81"/>
        <v>#NAME?</v>
      </c>
      <c r="H2232" s="274">
        <f t="shared" si="82"/>
        <v>0</v>
      </c>
      <c r="K2232" s="274"/>
    </row>
    <row r="2233" spans="2:11" ht="13.5" customHeight="1">
      <c r="B2233" s="209" t="s">
        <v>1971</v>
      </c>
      <c r="C2233" s="209" t="s">
        <v>3517</v>
      </c>
      <c r="D2233" s="416" t="str">
        <f t="shared" si="92"/>
        <v>Color Code</v>
      </c>
      <c r="E2233" s="273" t="e">
        <f ca="1">_xludf.IFNA(VLOOKUP('Comp X - Kilter'!B2233,'Kilter Holds'!$P$37:$AB$662,13,0),0)</f>
        <v>#NAME?</v>
      </c>
      <c r="F2233" s="274"/>
      <c r="G2233" s="274" t="e">
        <f t="shared" ca="1" si="81"/>
        <v>#NAME?</v>
      </c>
      <c r="H2233" s="274">
        <f t="shared" si="82"/>
        <v>0</v>
      </c>
      <c r="K2233" s="274"/>
    </row>
    <row r="2234" spans="2:11" ht="13.5" customHeight="1">
      <c r="B2234" s="1" t="s">
        <v>2102</v>
      </c>
      <c r="C2234" s="1" t="s">
        <v>3518</v>
      </c>
      <c r="D2234" s="406" t="str">
        <f t="shared" ref="D2234:D2242" si="93">D2180</f>
        <v>11-12</v>
      </c>
      <c r="E2234" s="273" t="e">
        <f ca="1">_xludf.IFNA(VLOOKUP('Comp X - Kilter'!B2234,'Kilter Holds'!$P$37:$AB$662,5,0),0)</f>
        <v>#NAME?</v>
      </c>
      <c r="F2234" s="274"/>
      <c r="G2234" s="274" t="e">
        <f t="shared" ca="1" si="81"/>
        <v>#NAME?</v>
      </c>
      <c r="H2234" s="274">
        <f t="shared" si="82"/>
        <v>0</v>
      </c>
      <c r="K2234" s="274"/>
    </row>
    <row r="2235" spans="2:11" ht="13.5" customHeight="1">
      <c r="B2235" s="1" t="s">
        <v>2102</v>
      </c>
      <c r="C2235" s="1" t="s">
        <v>3518</v>
      </c>
      <c r="D2235" s="408" t="str">
        <f t="shared" si="93"/>
        <v>14-01</v>
      </c>
      <c r="E2235" s="273" t="e">
        <f ca="1">_xludf.IFNA(VLOOKUP('Comp X - Kilter'!B2235,'Kilter Holds'!$P$37:$AB$662,6,0),0)</f>
        <v>#NAME?</v>
      </c>
      <c r="F2235" s="274"/>
      <c r="G2235" s="274" t="e">
        <f t="shared" ca="1" si="81"/>
        <v>#NAME?</v>
      </c>
      <c r="H2235" s="274">
        <f t="shared" si="82"/>
        <v>0</v>
      </c>
      <c r="K2235" s="274"/>
    </row>
    <row r="2236" spans="2:11" ht="13.5" customHeight="1">
      <c r="B2236" s="1" t="s">
        <v>2102</v>
      </c>
      <c r="C2236" s="1" t="s">
        <v>3518</v>
      </c>
      <c r="D2236" s="409" t="str">
        <f t="shared" si="93"/>
        <v>15-12</v>
      </c>
      <c r="E2236" s="273" t="e">
        <f ca="1">_xludf.IFNA(VLOOKUP('Comp X - Kilter'!B2236,'Kilter Holds'!$P$37:$AB$662,7,0),0)</f>
        <v>#NAME?</v>
      </c>
      <c r="F2236" s="274"/>
      <c r="G2236" s="274" t="e">
        <f t="shared" ca="1" si="81"/>
        <v>#NAME?</v>
      </c>
      <c r="H2236" s="274">
        <f t="shared" si="82"/>
        <v>0</v>
      </c>
      <c r="K2236" s="274"/>
    </row>
    <row r="2237" spans="2:11" ht="13.5" customHeight="1">
      <c r="B2237" s="1" t="s">
        <v>2102</v>
      </c>
      <c r="C2237" s="1" t="s">
        <v>3518</v>
      </c>
      <c r="D2237" s="410" t="str">
        <f t="shared" si="93"/>
        <v>16-16</v>
      </c>
      <c r="E2237" s="273" t="e">
        <f ca="1">_xludf.IFNA(VLOOKUP('Comp X - Kilter'!B2237,'Kilter Holds'!$P$37:$AB$662,8,0),0)</f>
        <v>#NAME?</v>
      </c>
      <c r="F2237" s="274"/>
      <c r="G2237" s="274" t="e">
        <f t="shared" ca="1" si="81"/>
        <v>#NAME?</v>
      </c>
      <c r="H2237" s="274">
        <f t="shared" si="82"/>
        <v>0</v>
      </c>
      <c r="K2237" s="274"/>
    </row>
    <row r="2238" spans="2:11" ht="13.5" customHeight="1">
      <c r="B2238" s="1" t="s">
        <v>2102</v>
      </c>
      <c r="C2238" s="1" t="s">
        <v>3518</v>
      </c>
      <c r="D2238" s="411" t="str">
        <f t="shared" si="93"/>
        <v>13-01</v>
      </c>
      <c r="E2238" s="273" t="e">
        <f ca="1">_xludf.IFNA(VLOOKUP('Comp X - Kilter'!B2238,'Kilter Holds'!$P$37:$AB$662,9,0),0)</f>
        <v>#NAME?</v>
      </c>
      <c r="F2238" s="274"/>
      <c r="G2238" s="274" t="e">
        <f t="shared" ca="1" si="81"/>
        <v>#NAME?</v>
      </c>
      <c r="H2238" s="274">
        <f t="shared" si="82"/>
        <v>0</v>
      </c>
      <c r="K2238" s="274"/>
    </row>
    <row r="2239" spans="2:11" ht="13.5" customHeight="1">
      <c r="B2239" s="1" t="s">
        <v>2102</v>
      </c>
      <c r="C2239" s="1" t="s">
        <v>3518</v>
      </c>
      <c r="D2239" s="413" t="str">
        <f t="shared" si="93"/>
        <v>07-13</v>
      </c>
      <c r="E2239" s="273" t="e">
        <f ca="1">_xludf.IFNA(VLOOKUP('Comp X - Kilter'!B2239,'Kilter Holds'!$P$37:$AB$662,10,0),0)</f>
        <v>#NAME?</v>
      </c>
      <c r="F2239" s="274"/>
      <c r="G2239" s="274" t="e">
        <f t="shared" ca="1" si="81"/>
        <v>#NAME?</v>
      </c>
      <c r="H2239" s="274">
        <f t="shared" si="82"/>
        <v>0</v>
      </c>
      <c r="K2239" s="274"/>
    </row>
    <row r="2240" spans="2:11" ht="13.5" customHeight="1">
      <c r="B2240" s="1" t="s">
        <v>2102</v>
      </c>
      <c r="C2240" s="1" t="s">
        <v>3518</v>
      </c>
      <c r="D2240" s="414" t="str">
        <f t="shared" si="93"/>
        <v>11-26</v>
      </c>
      <c r="E2240" s="273" t="e">
        <f ca="1">_xludf.IFNA(VLOOKUP('Comp X - Kilter'!B2240,'Kilter Holds'!$P$37:$AB$662,11,0),0)</f>
        <v>#NAME?</v>
      </c>
      <c r="F2240" s="274"/>
      <c r="G2240" s="274" t="e">
        <f t="shared" ca="1" si="81"/>
        <v>#NAME?</v>
      </c>
      <c r="H2240" s="274">
        <f t="shared" si="82"/>
        <v>0</v>
      </c>
      <c r="K2240" s="274"/>
    </row>
    <row r="2241" spans="2:11" ht="13.5" customHeight="1">
      <c r="B2241" s="1" t="s">
        <v>2102</v>
      </c>
      <c r="C2241" s="1" t="s">
        <v>3518</v>
      </c>
      <c r="D2241" s="415" t="str">
        <f t="shared" si="93"/>
        <v>18-01</v>
      </c>
      <c r="E2241" s="273" t="e">
        <f ca="1">_xludf.IFNA(VLOOKUP('Comp X - Kilter'!B2241,'Kilter Holds'!$P$37:$AB$662,12,0),0)</f>
        <v>#NAME?</v>
      </c>
      <c r="F2241" s="274"/>
      <c r="G2241" s="274" t="e">
        <f t="shared" ca="1" si="81"/>
        <v>#NAME?</v>
      </c>
      <c r="H2241" s="274">
        <f t="shared" si="82"/>
        <v>0</v>
      </c>
      <c r="K2241" s="274"/>
    </row>
    <row r="2242" spans="2:11" ht="13.5" customHeight="1">
      <c r="B2242" s="1" t="s">
        <v>2102</v>
      </c>
      <c r="C2242" s="1" t="s">
        <v>3518</v>
      </c>
      <c r="D2242" s="416" t="str">
        <f t="shared" si="93"/>
        <v>Color Code</v>
      </c>
      <c r="E2242" s="273" t="e">
        <f ca="1">_xludf.IFNA(VLOOKUP('Comp X - Kilter'!B2242,'Kilter Holds'!$P$37:$AB$662,13,0),0)</f>
        <v>#NAME?</v>
      </c>
      <c r="F2242" s="274"/>
      <c r="G2242" s="274" t="e">
        <f t="shared" ca="1" si="81"/>
        <v>#NAME?</v>
      </c>
      <c r="H2242" s="274">
        <f t="shared" si="82"/>
        <v>0</v>
      </c>
      <c r="K2242" s="274"/>
    </row>
    <row r="2243" spans="2:11" ht="13.5" customHeight="1">
      <c r="B2243" s="1" t="s">
        <v>1970</v>
      </c>
      <c r="C2243" s="1" t="s">
        <v>3519</v>
      </c>
      <c r="D2243" s="406" t="str">
        <f t="shared" ref="D2243:D2278" si="94">D2144</f>
        <v>11-12</v>
      </c>
      <c r="E2243" s="273" t="e">
        <f ca="1">_xludf.IFNA(VLOOKUP('Comp X - Kilter'!B2243,'Kilter Holds'!$P$37:$AB$662,5,0),0)</f>
        <v>#NAME?</v>
      </c>
      <c r="F2243" s="274"/>
      <c r="G2243" s="274" t="e">
        <f t="shared" ca="1" si="81"/>
        <v>#NAME?</v>
      </c>
      <c r="H2243" s="274">
        <f t="shared" si="82"/>
        <v>0</v>
      </c>
      <c r="K2243" s="274"/>
    </row>
    <row r="2244" spans="2:11" ht="13.5" customHeight="1">
      <c r="B2244" s="1" t="s">
        <v>1970</v>
      </c>
      <c r="C2244" s="1" t="s">
        <v>3519</v>
      </c>
      <c r="D2244" s="408" t="str">
        <f t="shared" si="94"/>
        <v>14-01</v>
      </c>
      <c r="E2244" s="273" t="e">
        <f ca="1">_xludf.IFNA(VLOOKUP('Comp X - Kilter'!B2244,'Kilter Holds'!$P$37:$AB$662,6,0),0)</f>
        <v>#NAME?</v>
      </c>
      <c r="F2244" s="274"/>
      <c r="G2244" s="274" t="e">
        <f t="shared" ca="1" si="81"/>
        <v>#NAME?</v>
      </c>
      <c r="H2244" s="274">
        <f t="shared" si="82"/>
        <v>0</v>
      </c>
      <c r="K2244" s="274"/>
    </row>
    <row r="2245" spans="2:11" ht="13.5" customHeight="1">
      <c r="B2245" s="1" t="s">
        <v>1970</v>
      </c>
      <c r="C2245" s="1" t="s">
        <v>3519</v>
      </c>
      <c r="D2245" s="409" t="str">
        <f t="shared" si="94"/>
        <v>15-12</v>
      </c>
      <c r="E2245" s="273" t="e">
        <f ca="1">_xludf.IFNA(VLOOKUP('Comp X - Kilter'!B2245,'Kilter Holds'!$P$37:$AB$662,7,0),0)</f>
        <v>#NAME?</v>
      </c>
      <c r="F2245" s="274"/>
      <c r="G2245" s="274" t="e">
        <f t="shared" ca="1" si="81"/>
        <v>#NAME?</v>
      </c>
      <c r="H2245" s="274">
        <f t="shared" si="82"/>
        <v>0</v>
      </c>
      <c r="K2245" s="274"/>
    </row>
    <row r="2246" spans="2:11" ht="13.5" customHeight="1">
      <c r="B2246" s="1" t="s">
        <v>1970</v>
      </c>
      <c r="C2246" s="1" t="s">
        <v>3519</v>
      </c>
      <c r="D2246" s="410" t="str">
        <f t="shared" si="94"/>
        <v>16-16</v>
      </c>
      <c r="E2246" s="273" t="e">
        <f ca="1">_xludf.IFNA(VLOOKUP('Comp X - Kilter'!B2246,'Kilter Holds'!$P$37:$AB$662,8,0),0)</f>
        <v>#NAME?</v>
      </c>
      <c r="F2246" s="274"/>
      <c r="G2246" s="274" t="e">
        <f t="shared" ca="1" si="81"/>
        <v>#NAME?</v>
      </c>
      <c r="H2246" s="274">
        <f t="shared" si="82"/>
        <v>0</v>
      </c>
      <c r="K2246" s="274"/>
    </row>
    <row r="2247" spans="2:11" ht="13.5" customHeight="1">
      <c r="B2247" s="1" t="s">
        <v>1970</v>
      </c>
      <c r="C2247" s="1" t="s">
        <v>3519</v>
      </c>
      <c r="D2247" s="411" t="str">
        <f t="shared" si="94"/>
        <v>13-01</v>
      </c>
      <c r="E2247" s="273" t="e">
        <f ca="1">_xludf.IFNA(VLOOKUP('Comp X - Kilter'!B2247,'Kilter Holds'!$P$37:$AB$662,9,0),0)</f>
        <v>#NAME?</v>
      </c>
      <c r="F2247" s="274"/>
      <c r="G2247" s="274" t="e">
        <f t="shared" ca="1" si="81"/>
        <v>#NAME?</v>
      </c>
      <c r="H2247" s="274">
        <f t="shared" si="82"/>
        <v>0</v>
      </c>
      <c r="K2247" s="274"/>
    </row>
    <row r="2248" spans="2:11" ht="13.5" customHeight="1">
      <c r="B2248" s="1" t="s">
        <v>1970</v>
      </c>
      <c r="C2248" s="1" t="s">
        <v>3519</v>
      </c>
      <c r="D2248" s="413" t="str">
        <f t="shared" si="94"/>
        <v>07-13</v>
      </c>
      <c r="E2248" s="273" t="e">
        <f ca="1">_xludf.IFNA(VLOOKUP('Comp X - Kilter'!B2248,'Kilter Holds'!$P$37:$AB$662,10,0),0)</f>
        <v>#NAME?</v>
      </c>
      <c r="F2248" s="274"/>
      <c r="G2248" s="274" t="e">
        <f t="shared" ca="1" si="81"/>
        <v>#NAME?</v>
      </c>
      <c r="H2248" s="274">
        <f t="shared" si="82"/>
        <v>0</v>
      </c>
      <c r="K2248" s="274"/>
    </row>
    <row r="2249" spans="2:11" ht="13.5" customHeight="1">
      <c r="B2249" s="1" t="s">
        <v>1970</v>
      </c>
      <c r="C2249" s="1" t="s">
        <v>3519</v>
      </c>
      <c r="D2249" s="414" t="str">
        <f t="shared" si="94"/>
        <v>11-26</v>
      </c>
      <c r="E2249" s="273" t="e">
        <f ca="1">_xludf.IFNA(VLOOKUP('Comp X - Kilter'!B2249,'Kilter Holds'!$P$37:$AB$662,11,0),0)</f>
        <v>#NAME?</v>
      </c>
      <c r="F2249" s="274"/>
      <c r="G2249" s="274" t="e">
        <f t="shared" ca="1" si="81"/>
        <v>#NAME?</v>
      </c>
      <c r="H2249" s="274">
        <f t="shared" si="82"/>
        <v>0</v>
      </c>
      <c r="K2249" s="274"/>
    </row>
    <row r="2250" spans="2:11" ht="13.5" customHeight="1">
      <c r="B2250" s="1" t="s">
        <v>1970</v>
      </c>
      <c r="C2250" s="1" t="s">
        <v>3519</v>
      </c>
      <c r="D2250" s="415" t="str">
        <f t="shared" si="94"/>
        <v>18-01</v>
      </c>
      <c r="E2250" s="273" t="e">
        <f ca="1">_xludf.IFNA(VLOOKUP('Comp X - Kilter'!B2250,'Kilter Holds'!$P$37:$AB$662,12,0),0)</f>
        <v>#NAME?</v>
      </c>
      <c r="F2250" s="274"/>
      <c r="G2250" s="274" t="e">
        <f t="shared" ca="1" si="81"/>
        <v>#NAME?</v>
      </c>
      <c r="H2250" s="274">
        <f t="shared" si="82"/>
        <v>0</v>
      </c>
      <c r="K2250" s="274"/>
    </row>
    <row r="2251" spans="2:11" ht="13.5" customHeight="1">
      <c r="B2251" s="1" t="s">
        <v>1970</v>
      </c>
      <c r="C2251" s="1" t="s">
        <v>3519</v>
      </c>
      <c r="D2251" s="416" t="str">
        <f t="shared" si="94"/>
        <v>Color Code</v>
      </c>
      <c r="E2251" s="273" t="e">
        <f ca="1">_xludf.IFNA(VLOOKUP('Comp X - Kilter'!B2251,'Kilter Holds'!$P$37:$AB$662,13,0),0)</f>
        <v>#NAME?</v>
      </c>
      <c r="F2251" s="274"/>
      <c r="G2251" s="274" t="e">
        <f t="shared" ca="1" si="81"/>
        <v>#NAME?</v>
      </c>
      <c r="H2251" s="274">
        <f t="shared" si="82"/>
        <v>0</v>
      </c>
      <c r="K2251" s="274"/>
    </row>
    <row r="2252" spans="2:11" ht="13.5" customHeight="1">
      <c r="B2252" s="1" t="s">
        <v>1972</v>
      </c>
      <c r="C2252" s="1" t="s">
        <v>3520</v>
      </c>
      <c r="D2252" s="406" t="str">
        <f t="shared" si="94"/>
        <v>11-12</v>
      </c>
      <c r="E2252" s="273" t="e">
        <f ca="1">_xludf.IFNA(VLOOKUP('Comp X - Kilter'!B2252,'Kilter Holds'!$P$37:$AB$662,5,0),0)</f>
        <v>#NAME?</v>
      </c>
      <c r="F2252" s="274"/>
      <c r="G2252" s="274" t="e">
        <f t="shared" ca="1" si="81"/>
        <v>#NAME?</v>
      </c>
      <c r="H2252" s="274">
        <f t="shared" si="82"/>
        <v>0</v>
      </c>
      <c r="K2252" s="274"/>
    </row>
    <row r="2253" spans="2:11" ht="13.5" customHeight="1">
      <c r="B2253" s="1" t="s">
        <v>1972</v>
      </c>
      <c r="C2253" s="1" t="s">
        <v>3520</v>
      </c>
      <c r="D2253" s="408" t="str">
        <f t="shared" si="94"/>
        <v>14-01</v>
      </c>
      <c r="E2253" s="273" t="e">
        <f ca="1">_xludf.IFNA(VLOOKUP('Comp X - Kilter'!B2253,'Kilter Holds'!$P$37:$AB$662,6,0),0)</f>
        <v>#NAME?</v>
      </c>
      <c r="F2253" s="274"/>
      <c r="G2253" s="274" t="e">
        <f t="shared" ca="1" si="81"/>
        <v>#NAME?</v>
      </c>
      <c r="H2253" s="274">
        <f t="shared" si="82"/>
        <v>0</v>
      </c>
      <c r="K2253" s="274"/>
    </row>
    <row r="2254" spans="2:11" ht="13.5" customHeight="1">
      <c r="B2254" s="1" t="s">
        <v>1972</v>
      </c>
      <c r="C2254" s="1" t="s">
        <v>3520</v>
      </c>
      <c r="D2254" s="409" t="str">
        <f t="shared" si="94"/>
        <v>15-12</v>
      </c>
      <c r="E2254" s="273" t="e">
        <f ca="1">_xludf.IFNA(VLOOKUP('Comp X - Kilter'!B2254,'Kilter Holds'!$P$37:$AB$662,7,0),0)</f>
        <v>#NAME?</v>
      </c>
      <c r="F2254" s="274"/>
      <c r="G2254" s="274" t="e">
        <f t="shared" ca="1" si="81"/>
        <v>#NAME?</v>
      </c>
      <c r="H2254" s="274">
        <f t="shared" si="82"/>
        <v>0</v>
      </c>
      <c r="K2254" s="274"/>
    </row>
    <row r="2255" spans="2:11" ht="13.5" customHeight="1">
      <c r="B2255" s="1" t="s">
        <v>1972</v>
      </c>
      <c r="C2255" s="1" t="s">
        <v>3520</v>
      </c>
      <c r="D2255" s="410" t="str">
        <f t="shared" si="94"/>
        <v>16-16</v>
      </c>
      <c r="E2255" s="273" t="e">
        <f ca="1">_xludf.IFNA(VLOOKUP('Comp X - Kilter'!B2255,'Kilter Holds'!$P$37:$AB$662,8,0),0)</f>
        <v>#NAME?</v>
      </c>
      <c r="F2255" s="274"/>
      <c r="G2255" s="274" t="e">
        <f t="shared" ca="1" si="81"/>
        <v>#NAME?</v>
      </c>
      <c r="H2255" s="274">
        <f t="shared" si="82"/>
        <v>0</v>
      </c>
      <c r="K2255" s="274"/>
    </row>
    <row r="2256" spans="2:11" ht="13.5" customHeight="1">
      <c r="B2256" s="1" t="s">
        <v>1972</v>
      </c>
      <c r="C2256" s="1" t="s">
        <v>3520</v>
      </c>
      <c r="D2256" s="411" t="str">
        <f t="shared" si="94"/>
        <v>13-01</v>
      </c>
      <c r="E2256" s="273" t="e">
        <f ca="1">_xludf.IFNA(VLOOKUP('Comp X - Kilter'!B2256,'Kilter Holds'!$P$37:$AB$662,9,0),0)</f>
        <v>#NAME?</v>
      </c>
      <c r="F2256" s="274"/>
      <c r="G2256" s="274" t="e">
        <f t="shared" ca="1" si="81"/>
        <v>#NAME?</v>
      </c>
      <c r="H2256" s="274">
        <f t="shared" si="82"/>
        <v>0</v>
      </c>
      <c r="K2256" s="274"/>
    </row>
    <row r="2257" spans="2:11" ht="13.5" customHeight="1">
      <c r="B2257" s="1" t="s">
        <v>1972</v>
      </c>
      <c r="C2257" s="1" t="s">
        <v>3520</v>
      </c>
      <c r="D2257" s="413" t="str">
        <f t="shared" si="94"/>
        <v>07-13</v>
      </c>
      <c r="E2257" s="273" t="e">
        <f ca="1">_xludf.IFNA(VLOOKUP('Comp X - Kilter'!B2257,'Kilter Holds'!$P$37:$AB$662,10,0),0)</f>
        <v>#NAME?</v>
      </c>
      <c r="F2257" s="274"/>
      <c r="G2257" s="274" t="e">
        <f t="shared" ca="1" si="81"/>
        <v>#NAME?</v>
      </c>
      <c r="H2257" s="274">
        <f t="shared" si="82"/>
        <v>0</v>
      </c>
      <c r="K2257" s="274"/>
    </row>
    <row r="2258" spans="2:11" ht="13.5" customHeight="1">
      <c r="B2258" s="1" t="s">
        <v>1972</v>
      </c>
      <c r="C2258" s="1" t="s">
        <v>3520</v>
      </c>
      <c r="D2258" s="414" t="str">
        <f t="shared" si="94"/>
        <v>11-26</v>
      </c>
      <c r="E2258" s="273" t="e">
        <f ca="1">_xludf.IFNA(VLOOKUP('Comp X - Kilter'!B2258,'Kilter Holds'!$P$37:$AB$662,11,0),0)</f>
        <v>#NAME?</v>
      </c>
      <c r="F2258" s="274"/>
      <c r="G2258" s="274" t="e">
        <f t="shared" ca="1" si="81"/>
        <v>#NAME?</v>
      </c>
      <c r="H2258" s="274">
        <f t="shared" si="82"/>
        <v>0</v>
      </c>
      <c r="K2258" s="274"/>
    </row>
    <row r="2259" spans="2:11" ht="13.5" customHeight="1">
      <c r="B2259" s="1" t="s">
        <v>1972</v>
      </c>
      <c r="C2259" s="1" t="s">
        <v>3520</v>
      </c>
      <c r="D2259" s="415" t="str">
        <f t="shared" si="94"/>
        <v>18-01</v>
      </c>
      <c r="E2259" s="273" t="e">
        <f ca="1">_xludf.IFNA(VLOOKUP('Comp X - Kilter'!B2259,'Kilter Holds'!$P$37:$AB$662,12,0),0)</f>
        <v>#NAME?</v>
      </c>
      <c r="F2259" s="274"/>
      <c r="G2259" s="274" t="e">
        <f t="shared" ca="1" si="81"/>
        <v>#NAME?</v>
      </c>
      <c r="H2259" s="274">
        <f t="shared" si="82"/>
        <v>0</v>
      </c>
      <c r="K2259" s="274"/>
    </row>
    <row r="2260" spans="2:11" ht="13.5" customHeight="1">
      <c r="B2260" s="1" t="s">
        <v>1972</v>
      </c>
      <c r="C2260" s="1" t="s">
        <v>3520</v>
      </c>
      <c r="D2260" s="416" t="str">
        <f t="shared" si="94"/>
        <v>Color Code</v>
      </c>
      <c r="E2260" s="273" t="e">
        <f ca="1">_xludf.IFNA(VLOOKUP('Comp X - Kilter'!B2260,'Kilter Holds'!$P$37:$AB$662,13,0),0)</f>
        <v>#NAME?</v>
      </c>
      <c r="F2260" s="274"/>
      <c r="G2260" s="274" t="e">
        <f t="shared" ca="1" si="81"/>
        <v>#NAME?</v>
      </c>
      <c r="H2260" s="274">
        <f t="shared" si="82"/>
        <v>0</v>
      </c>
      <c r="K2260" s="274"/>
    </row>
    <row r="2261" spans="2:11" ht="13.5" customHeight="1">
      <c r="B2261" s="1" t="s">
        <v>1999</v>
      </c>
      <c r="C2261" s="1" t="s">
        <v>3521</v>
      </c>
      <c r="D2261" s="406" t="str">
        <f t="shared" si="94"/>
        <v>11-12</v>
      </c>
      <c r="E2261" s="273" t="e">
        <f ca="1">_xludf.IFNA(VLOOKUP('Comp X - Kilter'!B2261,'Kilter Holds'!$P$37:$AB$662,5,0),0)</f>
        <v>#NAME?</v>
      </c>
      <c r="F2261" s="274"/>
      <c r="G2261" s="274" t="e">
        <f t="shared" ca="1" si="81"/>
        <v>#NAME?</v>
      </c>
      <c r="H2261" s="274">
        <f t="shared" si="82"/>
        <v>0</v>
      </c>
      <c r="K2261" s="274"/>
    </row>
    <row r="2262" spans="2:11" ht="13.5" customHeight="1">
      <c r="B2262" s="1" t="s">
        <v>1999</v>
      </c>
      <c r="C2262" s="1" t="s">
        <v>3521</v>
      </c>
      <c r="D2262" s="408" t="str">
        <f t="shared" si="94"/>
        <v>14-01</v>
      </c>
      <c r="E2262" s="273" t="e">
        <f ca="1">_xludf.IFNA(VLOOKUP('Comp X - Kilter'!B2262,'Kilter Holds'!$P$37:$AB$662,6,0),0)</f>
        <v>#NAME?</v>
      </c>
      <c r="F2262" s="274"/>
      <c r="G2262" s="274" t="e">
        <f t="shared" ca="1" si="81"/>
        <v>#NAME?</v>
      </c>
      <c r="H2262" s="274">
        <f t="shared" si="82"/>
        <v>0</v>
      </c>
      <c r="K2262" s="274"/>
    </row>
    <row r="2263" spans="2:11" ht="13.5" customHeight="1">
      <c r="B2263" s="1" t="s">
        <v>1999</v>
      </c>
      <c r="C2263" s="1" t="s">
        <v>3521</v>
      </c>
      <c r="D2263" s="409" t="str">
        <f t="shared" si="94"/>
        <v>15-12</v>
      </c>
      <c r="E2263" s="273" t="e">
        <f ca="1">_xludf.IFNA(VLOOKUP('Comp X - Kilter'!B2263,'Kilter Holds'!$P$37:$AB$662,7,0),0)</f>
        <v>#NAME?</v>
      </c>
      <c r="F2263" s="274"/>
      <c r="G2263" s="274" t="e">
        <f t="shared" ca="1" si="81"/>
        <v>#NAME?</v>
      </c>
      <c r="H2263" s="274">
        <f t="shared" si="82"/>
        <v>0</v>
      </c>
      <c r="K2263" s="274"/>
    </row>
    <row r="2264" spans="2:11" ht="13.5" customHeight="1">
      <c r="B2264" s="1" t="s">
        <v>1999</v>
      </c>
      <c r="C2264" s="1" t="s">
        <v>3521</v>
      </c>
      <c r="D2264" s="410" t="str">
        <f t="shared" si="94"/>
        <v>16-16</v>
      </c>
      <c r="E2264" s="273" t="e">
        <f ca="1">_xludf.IFNA(VLOOKUP('Comp X - Kilter'!B2264,'Kilter Holds'!$P$37:$AB$662,8,0),0)</f>
        <v>#NAME?</v>
      </c>
      <c r="F2264" s="274"/>
      <c r="G2264" s="274" t="e">
        <f t="shared" ca="1" si="81"/>
        <v>#NAME?</v>
      </c>
      <c r="H2264" s="274">
        <f t="shared" si="82"/>
        <v>0</v>
      </c>
      <c r="K2264" s="274"/>
    </row>
    <row r="2265" spans="2:11" ht="13.5" customHeight="1">
      <c r="B2265" s="1" t="s">
        <v>1999</v>
      </c>
      <c r="C2265" s="1" t="s">
        <v>3521</v>
      </c>
      <c r="D2265" s="411" t="str">
        <f t="shared" si="94"/>
        <v>13-01</v>
      </c>
      <c r="E2265" s="273" t="e">
        <f ca="1">_xludf.IFNA(VLOOKUP('Comp X - Kilter'!B2265,'Kilter Holds'!$P$37:$AB$662,9,0),0)</f>
        <v>#NAME?</v>
      </c>
      <c r="F2265" s="274"/>
      <c r="G2265" s="274" t="e">
        <f t="shared" ca="1" si="81"/>
        <v>#NAME?</v>
      </c>
      <c r="H2265" s="274">
        <f t="shared" si="82"/>
        <v>0</v>
      </c>
      <c r="K2265" s="274"/>
    </row>
    <row r="2266" spans="2:11" ht="13.5" customHeight="1">
      <c r="B2266" s="1" t="s">
        <v>1999</v>
      </c>
      <c r="C2266" s="1" t="s">
        <v>3521</v>
      </c>
      <c r="D2266" s="413" t="str">
        <f t="shared" si="94"/>
        <v>07-13</v>
      </c>
      <c r="E2266" s="273" t="e">
        <f ca="1">_xludf.IFNA(VLOOKUP('Comp X - Kilter'!B2266,'Kilter Holds'!$P$37:$AB$662,10,0),0)</f>
        <v>#NAME?</v>
      </c>
      <c r="F2266" s="274"/>
      <c r="G2266" s="274" t="e">
        <f t="shared" ca="1" si="81"/>
        <v>#NAME?</v>
      </c>
      <c r="H2266" s="274">
        <f t="shared" si="82"/>
        <v>0</v>
      </c>
      <c r="K2266" s="274"/>
    </row>
    <row r="2267" spans="2:11" ht="13.5" customHeight="1">
      <c r="B2267" s="1" t="s">
        <v>1999</v>
      </c>
      <c r="C2267" s="1" t="s">
        <v>3521</v>
      </c>
      <c r="D2267" s="414" t="str">
        <f t="shared" si="94"/>
        <v>11-26</v>
      </c>
      <c r="E2267" s="273" t="e">
        <f ca="1">_xludf.IFNA(VLOOKUP('Comp X - Kilter'!B2267,'Kilter Holds'!$P$37:$AB$662,11,0),0)</f>
        <v>#NAME?</v>
      </c>
      <c r="F2267" s="274"/>
      <c r="G2267" s="274" t="e">
        <f t="shared" ca="1" si="81"/>
        <v>#NAME?</v>
      </c>
      <c r="H2267" s="274">
        <f t="shared" si="82"/>
        <v>0</v>
      </c>
      <c r="K2267" s="274"/>
    </row>
    <row r="2268" spans="2:11" ht="13.5" customHeight="1">
      <c r="B2268" s="1" t="s">
        <v>1999</v>
      </c>
      <c r="C2268" s="1" t="s">
        <v>3521</v>
      </c>
      <c r="D2268" s="415" t="str">
        <f t="shared" si="94"/>
        <v>18-01</v>
      </c>
      <c r="E2268" s="273" t="e">
        <f ca="1">_xludf.IFNA(VLOOKUP('Comp X - Kilter'!B2268,'Kilter Holds'!$P$37:$AB$662,12,0),0)</f>
        <v>#NAME?</v>
      </c>
      <c r="F2268" s="274"/>
      <c r="G2268" s="274" t="e">
        <f t="shared" ca="1" si="81"/>
        <v>#NAME?</v>
      </c>
      <c r="H2268" s="274">
        <f t="shared" si="82"/>
        <v>0</v>
      </c>
      <c r="K2268" s="274"/>
    </row>
    <row r="2269" spans="2:11" ht="13.5" customHeight="1">
      <c r="B2269" s="1" t="s">
        <v>1999</v>
      </c>
      <c r="C2269" s="1" t="s">
        <v>3521</v>
      </c>
      <c r="D2269" s="416" t="str">
        <f t="shared" si="94"/>
        <v>Color Code</v>
      </c>
      <c r="E2269" s="273" t="e">
        <f ca="1">_xludf.IFNA(VLOOKUP('Comp X - Kilter'!B2269,'Kilter Holds'!$P$37:$AB$662,13,0),0)</f>
        <v>#NAME?</v>
      </c>
      <c r="F2269" s="274"/>
      <c r="G2269" s="274" t="e">
        <f t="shared" ca="1" si="81"/>
        <v>#NAME?</v>
      </c>
      <c r="H2269" s="274">
        <f t="shared" si="82"/>
        <v>0</v>
      </c>
      <c r="K2269" s="274"/>
    </row>
    <row r="2270" spans="2:11" ht="13.5" customHeight="1">
      <c r="B2270" s="1" t="s">
        <v>1986</v>
      </c>
      <c r="C2270" s="1" t="s">
        <v>3522</v>
      </c>
      <c r="D2270" s="406" t="str">
        <f t="shared" si="94"/>
        <v>11-12</v>
      </c>
      <c r="E2270" s="273" t="e">
        <f ca="1">_xludf.IFNA(VLOOKUP('Comp X - Kilter'!B2270,'Kilter Holds'!$P$37:$AB$662,5,0),0)</f>
        <v>#NAME?</v>
      </c>
      <c r="F2270" s="274"/>
      <c r="G2270" s="274" t="e">
        <f t="shared" ca="1" si="81"/>
        <v>#NAME?</v>
      </c>
      <c r="H2270" s="274">
        <f t="shared" si="82"/>
        <v>0</v>
      </c>
      <c r="K2270" s="274"/>
    </row>
    <row r="2271" spans="2:11" ht="13.5" customHeight="1">
      <c r="B2271" s="1" t="s">
        <v>1986</v>
      </c>
      <c r="C2271" s="1" t="s">
        <v>3522</v>
      </c>
      <c r="D2271" s="408" t="str">
        <f t="shared" si="94"/>
        <v>14-01</v>
      </c>
      <c r="E2271" s="273" t="e">
        <f ca="1">_xludf.IFNA(VLOOKUP('Comp X - Kilter'!B2271,'Kilter Holds'!$P$37:$AB$662,6,0),0)</f>
        <v>#NAME?</v>
      </c>
      <c r="F2271" s="274"/>
      <c r="G2271" s="274" t="e">
        <f t="shared" ca="1" si="81"/>
        <v>#NAME?</v>
      </c>
      <c r="H2271" s="274">
        <f t="shared" si="82"/>
        <v>0</v>
      </c>
      <c r="K2271" s="274"/>
    </row>
    <row r="2272" spans="2:11" ht="13.5" customHeight="1">
      <c r="B2272" s="1" t="s">
        <v>1986</v>
      </c>
      <c r="C2272" s="1" t="s">
        <v>3522</v>
      </c>
      <c r="D2272" s="409" t="str">
        <f t="shared" si="94"/>
        <v>15-12</v>
      </c>
      <c r="E2272" s="273" t="e">
        <f ca="1">_xludf.IFNA(VLOOKUP('Comp X - Kilter'!B2272,'Kilter Holds'!$P$37:$AB$662,7,0),0)</f>
        <v>#NAME?</v>
      </c>
      <c r="F2272" s="274"/>
      <c r="G2272" s="274" t="e">
        <f t="shared" ca="1" si="81"/>
        <v>#NAME?</v>
      </c>
      <c r="H2272" s="274">
        <f t="shared" si="82"/>
        <v>0</v>
      </c>
      <c r="K2272" s="274"/>
    </row>
    <row r="2273" spans="2:11" ht="13.5" customHeight="1">
      <c r="B2273" s="1" t="s">
        <v>1986</v>
      </c>
      <c r="C2273" s="1" t="s">
        <v>3522</v>
      </c>
      <c r="D2273" s="410" t="str">
        <f t="shared" si="94"/>
        <v>16-16</v>
      </c>
      <c r="E2273" s="273" t="e">
        <f ca="1">_xludf.IFNA(VLOOKUP('Comp X - Kilter'!B2273,'Kilter Holds'!$P$37:$AB$662,8,0),0)</f>
        <v>#NAME?</v>
      </c>
      <c r="F2273" s="274"/>
      <c r="G2273" s="274" t="e">
        <f t="shared" ca="1" si="81"/>
        <v>#NAME?</v>
      </c>
      <c r="H2273" s="274">
        <f t="shared" si="82"/>
        <v>0</v>
      </c>
      <c r="K2273" s="274"/>
    </row>
    <row r="2274" spans="2:11" ht="13.5" customHeight="1">
      <c r="B2274" s="1" t="s">
        <v>1986</v>
      </c>
      <c r="C2274" s="1" t="s">
        <v>3522</v>
      </c>
      <c r="D2274" s="411" t="str">
        <f t="shared" si="94"/>
        <v>13-01</v>
      </c>
      <c r="E2274" s="273" t="e">
        <f ca="1">_xludf.IFNA(VLOOKUP('Comp X - Kilter'!B2274,'Kilter Holds'!$P$37:$AB$662,9,0),0)</f>
        <v>#NAME?</v>
      </c>
      <c r="F2274" s="274"/>
      <c r="G2274" s="274" t="e">
        <f t="shared" ca="1" si="81"/>
        <v>#NAME?</v>
      </c>
      <c r="H2274" s="274">
        <f t="shared" si="82"/>
        <v>0</v>
      </c>
      <c r="K2274" s="274"/>
    </row>
    <row r="2275" spans="2:11" ht="13.5" customHeight="1">
      <c r="B2275" s="1" t="s">
        <v>1986</v>
      </c>
      <c r="C2275" s="1" t="s">
        <v>3522</v>
      </c>
      <c r="D2275" s="413" t="str">
        <f t="shared" si="94"/>
        <v>07-13</v>
      </c>
      <c r="E2275" s="273" t="e">
        <f ca="1">_xludf.IFNA(VLOOKUP('Comp X - Kilter'!B2275,'Kilter Holds'!$P$37:$AB$662,10,0),0)</f>
        <v>#NAME?</v>
      </c>
      <c r="F2275" s="274"/>
      <c r="G2275" s="274" t="e">
        <f t="shared" ca="1" si="81"/>
        <v>#NAME?</v>
      </c>
      <c r="H2275" s="274">
        <f t="shared" si="82"/>
        <v>0</v>
      </c>
      <c r="K2275" s="274"/>
    </row>
    <row r="2276" spans="2:11" ht="13.5" customHeight="1">
      <c r="B2276" s="1" t="s">
        <v>1986</v>
      </c>
      <c r="C2276" s="1" t="s">
        <v>3522</v>
      </c>
      <c r="D2276" s="414" t="str">
        <f t="shared" si="94"/>
        <v>11-26</v>
      </c>
      <c r="E2276" s="273" t="e">
        <f ca="1">_xludf.IFNA(VLOOKUP('Comp X - Kilter'!B2276,'Kilter Holds'!$P$37:$AB$662,11,0),0)</f>
        <v>#NAME?</v>
      </c>
      <c r="F2276" s="274"/>
      <c r="G2276" s="274" t="e">
        <f t="shared" ca="1" si="81"/>
        <v>#NAME?</v>
      </c>
      <c r="H2276" s="274">
        <f t="shared" si="82"/>
        <v>0</v>
      </c>
      <c r="K2276" s="274"/>
    </row>
    <row r="2277" spans="2:11" ht="13.5" customHeight="1">
      <c r="B2277" s="1" t="s">
        <v>1986</v>
      </c>
      <c r="C2277" s="1" t="s">
        <v>3522</v>
      </c>
      <c r="D2277" s="415" t="str">
        <f t="shared" si="94"/>
        <v>18-01</v>
      </c>
      <c r="E2277" s="273" t="e">
        <f ca="1">_xludf.IFNA(VLOOKUP('Comp X - Kilter'!B2277,'Kilter Holds'!$P$37:$AB$662,12,0),0)</f>
        <v>#NAME?</v>
      </c>
      <c r="F2277" s="274"/>
      <c r="G2277" s="274" t="e">
        <f t="shared" ca="1" si="81"/>
        <v>#NAME?</v>
      </c>
      <c r="H2277" s="274">
        <f t="shared" si="82"/>
        <v>0</v>
      </c>
      <c r="K2277" s="274"/>
    </row>
    <row r="2278" spans="2:11" ht="13.5" customHeight="1">
      <c r="B2278" s="1" t="s">
        <v>1986</v>
      </c>
      <c r="C2278" s="1" t="s">
        <v>3522</v>
      </c>
      <c r="D2278" s="416" t="str">
        <f t="shared" si="94"/>
        <v>Color Code</v>
      </c>
      <c r="E2278" s="273" t="e">
        <f ca="1">_xludf.IFNA(VLOOKUP('Comp X - Kilter'!B2278,'Kilter Holds'!$P$37:$AB$662,13,0),0)</f>
        <v>#NAME?</v>
      </c>
      <c r="F2278" s="274"/>
      <c r="G2278" s="274" t="e">
        <f t="shared" ca="1" si="81"/>
        <v>#NAME?</v>
      </c>
      <c r="H2278" s="274">
        <f t="shared" si="82"/>
        <v>0</v>
      </c>
      <c r="K2278" s="274"/>
    </row>
    <row r="2279" spans="2:11" ht="13.5" customHeight="1">
      <c r="B2279" s="1" t="s">
        <v>1974</v>
      </c>
      <c r="C2279" s="1" t="s">
        <v>3523</v>
      </c>
      <c r="D2279" s="406" t="str">
        <f t="shared" ref="D2279:D2296" si="95">D2171</f>
        <v>11-12</v>
      </c>
      <c r="E2279" s="273" t="e">
        <f ca="1">_xludf.IFNA(VLOOKUP('Comp X - Kilter'!B2279,'Kilter Holds'!$P$37:$AB$662,5,0),0)</f>
        <v>#NAME?</v>
      </c>
      <c r="F2279" s="274"/>
      <c r="G2279" s="274" t="e">
        <f t="shared" ca="1" si="81"/>
        <v>#NAME?</v>
      </c>
      <c r="H2279" s="274">
        <f t="shared" si="82"/>
        <v>0</v>
      </c>
      <c r="K2279" s="274"/>
    </row>
    <row r="2280" spans="2:11" ht="13.5" customHeight="1">
      <c r="B2280" s="1" t="s">
        <v>1974</v>
      </c>
      <c r="C2280" s="1" t="s">
        <v>3523</v>
      </c>
      <c r="D2280" s="408" t="str">
        <f t="shared" si="95"/>
        <v>14-01</v>
      </c>
      <c r="E2280" s="273" t="e">
        <f ca="1">_xludf.IFNA(VLOOKUP('Comp X - Kilter'!B2280,'Kilter Holds'!$P$37:$AB$662,6,0),0)</f>
        <v>#NAME?</v>
      </c>
      <c r="F2280" s="274"/>
      <c r="G2280" s="274" t="e">
        <f t="shared" ca="1" si="81"/>
        <v>#NAME?</v>
      </c>
      <c r="H2280" s="274">
        <f t="shared" si="82"/>
        <v>0</v>
      </c>
      <c r="K2280" s="274"/>
    </row>
    <row r="2281" spans="2:11" ht="13.5" customHeight="1">
      <c r="B2281" s="1" t="s">
        <v>1974</v>
      </c>
      <c r="C2281" s="1" t="s">
        <v>3523</v>
      </c>
      <c r="D2281" s="409" t="str">
        <f t="shared" si="95"/>
        <v>15-12</v>
      </c>
      <c r="E2281" s="273" t="e">
        <f ca="1">_xludf.IFNA(VLOOKUP('Comp X - Kilter'!B2281,'Kilter Holds'!$P$37:$AB$662,7,0),0)</f>
        <v>#NAME?</v>
      </c>
      <c r="F2281" s="274"/>
      <c r="G2281" s="274" t="e">
        <f t="shared" ca="1" si="81"/>
        <v>#NAME?</v>
      </c>
      <c r="H2281" s="274">
        <f t="shared" si="82"/>
        <v>0</v>
      </c>
      <c r="K2281" s="274"/>
    </row>
    <row r="2282" spans="2:11" ht="13.5" customHeight="1">
      <c r="B2282" s="1" t="s">
        <v>1974</v>
      </c>
      <c r="C2282" s="1" t="s">
        <v>3523</v>
      </c>
      <c r="D2282" s="410" t="str">
        <f t="shared" si="95"/>
        <v>16-16</v>
      </c>
      <c r="E2282" s="273" t="e">
        <f ca="1">_xludf.IFNA(VLOOKUP('Comp X - Kilter'!B2282,'Kilter Holds'!$P$37:$AB$662,8,0),0)</f>
        <v>#NAME?</v>
      </c>
      <c r="F2282" s="274"/>
      <c r="G2282" s="274" t="e">
        <f t="shared" ca="1" si="81"/>
        <v>#NAME?</v>
      </c>
      <c r="H2282" s="274">
        <f t="shared" si="82"/>
        <v>0</v>
      </c>
      <c r="K2282" s="274"/>
    </row>
    <row r="2283" spans="2:11" ht="13.5" customHeight="1">
      <c r="B2283" s="1" t="s">
        <v>1974</v>
      </c>
      <c r="C2283" s="1" t="s">
        <v>3523</v>
      </c>
      <c r="D2283" s="411" t="str">
        <f t="shared" si="95"/>
        <v>13-01</v>
      </c>
      <c r="E2283" s="273" t="e">
        <f ca="1">_xludf.IFNA(VLOOKUP('Comp X - Kilter'!B2283,'Kilter Holds'!$P$37:$AB$662,9,0),0)</f>
        <v>#NAME?</v>
      </c>
      <c r="F2283" s="274"/>
      <c r="G2283" s="274" t="e">
        <f t="shared" ca="1" si="81"/>
        <v>#NAME?</v>
      </c>
      <c r="H2283" s="274">
        <f t="shared" si="82"/>
        <v>0</v>
      </c>
      <c r="K2283" s="274"/>
    </row>
    <row r="2284" spans="2:11" ht="13.5" customHeight="1">
      <c r="B2284" s="1" t="s">
        <v>1974</v>
      </c>
      <c r="C2284" s="1" t="s">
        <v>3523</v>
      </c>
      <c r="D2284" s="413" t="str">
        <f t="shared" si="95"/>
        <v>07-13</v>
      </c>
      <c r="E2284" s="273" t="e">
        <f ca="1">_xludf.IFNA(VLOOKUP('Comp X - Kilter'!B2284,'Kilter Holds'!$P$37:$AB$662,10,0),0)</f>
        <v>#NAME?</v>
      </c>
      <c r="F2284" s="274"/>
      <c r="G2284" s="274" t="e">
        <f t="shared" ca="1" si="81"/>
        <v>#NAME?</v>
      </c>
      <c r="H2284" s="274">
        <f t="shared" si="82"/>
        <v>0</v>
      </c>
      <c r="K2284" s="274"/>
    </row>
    <row r="2285" spans="2:11" ht="13.5" customHeight="1">
      <c r="B2285" s="1" t="s">
        <v>1974</v>
      </c>
      <c r="C2285" s="1" t="s">
        <v>3523</v>
      </c>
      <c r="D2285" s="414" t="str">
        <f t="shared" si="95"/>
        <v>11-26</v>
      </c>
      <c r="E2285" s="273" t="e">
        <f ca="1">_xludf.IFNA(VLOOKUP('Comp X - Kilter'!B2285,'Kilter Holds'!$P$37:$AB$662,11,0),0)</f>
        <v>#NAME?</v>
      </c>
      <c r="F2285" s="274"/>
      <c r="G2285" s="274" t="e">
        <f t="shared" ca="1" si="81"/>
        <v>#NAME?</v>
      </c>
      <c r="H2285" s="274">
        <f t="shared" si="82"/>
        <v>0</v>
      </c>
      <c r="K2285" s="274"/>
    </row>
    <row r="2286" spans="2:11" ht="13.5" customHeight="1">
      <c r="B2286" s="1" t="s">
        <v>1974</v>
      </c>
      <c r="C2286" s="1" t="s">
        <v>3523</v>
      </c>
      <c r="D2286" s="415" t="str">
        <f t="shared" si="95"/>
        <v>18-01</v>
      </c>
      <c r="E2286" s="273" t="e">
        <f ca="1">_xludf.IFNA(VLOOKUP('Comp X - Kilter'!B2286,'Kilter Holds'!$P$37:$AB$662,12,0),0)</f>
        <v>#NAME?</v>
      </c>
      <c r="F2286" s="274"/>
      <c r="G2286" s="274" t="e">
        <f t="shared" ca="1" si="81"/>
        <v>#NAME?</v>
      </c>
      <c r="H2286" s="274">
        <f t="shared" si="82"/>
        <v>0</v>
      </c>
      <c r="K2286" s="274"/>
    </row>
    <row r="2287" spans="2:11" ht="13.5" customHeight="1">
      <c r="B2287" s="1" t="s">
        <v>1974</v>
      </c>
      <c r="C2287" s="1" t="s">
        <v>3523</v>
      </c>
      <c r="D2287" s="416" t="str">
        <f t="shared" si="95"/>
        <v>Color Code</v>
      </c>
      <c r="E2287" s="273" t="e">
        <f ca="1">_xludf.IFNA(VLOOKUP('Comp X - Kilter'!B2287,'Kilter Holds'!$P$37:$AB$662,13,0),0)</f>
        <v>#NAME?</v>
      </c>
      <c r="F2287" s="274"/>
      <c r="G2287" s="274" t="e">
        <f t="shared" ca="1" si="81"/>
        <v>#NAME?</v>
      </c>
      <c r="H2287" s="274">
        <f t="shared" si="82"/>
        <v>0</v>
      </c>
      <c r="K2287" s="274"/>
    </row>
    <row r="2288" spans="2:11" ht="13.5" customHeight="1">
      <c r="B2288" s="1" t="s">
        <v>1973</v>
      </c>
      <c r="C2288" s="1" t="s">
        <v>3524</v>
      </c>
      <c r="D2288" s="406" t="str">
        <f t="shared" si="95"/>
        <v>11-12</v>
      </c>
      <c r="E2288" s="273" t="e">
        <f ca="1">_xludf.IFNA(VLOOKUP('Comp X - Kilter'!B2288,'Kilter Holds'!$P$37:$AB$662,5,0),0)</f>
        <v>#NAME?</v>
      </c>
      <c r="F2288" s="274"/>
      <c r="G2288" s="274" t="e">
        <f t="shared" ca="1" si="81"/>
        <v>#NAME?</v>
      </c>
      <c r="H2288" s="274">
        <f t="shared" si="82"/>
        <v>0</v>
      </c>
      <c r="K2288" s="274"/>
    </row>
    <row r="2289" spans="2:11" ht="13.5" customHeight="1">
      <c r="B2289" s="1" t="s">
        <v>1973</v>
      </c>
      <c r="C2289" s="1" t="s">
        <v>3524</v>
      </c>
      <c r="D2289" s="408" t="str">
        <f t="shared" si="95"/>
        <v>14-01</v>
      </c>
      <c r="E2289" s="273" t="e">
        <f ca="1">_xludf.IFNA(VLOOKUP('Comp X - Kilter'!B2289,'Kilter Holds'!$P$37:$AB$662,6,0),0)</f>
        <v>#NAME?</v>
      </c>
      <c r="F2289" s="274"/>
      <c r="G2289" s="274" t="e">
        <f t="shared" ca="1" si="81"/>
        <v>#NAME?</v>
      </c>
      <c r="H2289" s="274">
        <f t="shared" si="82"/>
        <v>0</v>
      </c>
      <c r="K2289" s="274"/>
    </row>
    <row r="2290" spans="2:11" ht="13.5" customHeight="1">
      <c r="B2290" s="1" t="s">
        <v>1973</v>
      </c>
      <c r="C2290" s="1" t="s">
        <v>3524</v>
      </c>
      <c r="D2290" s="409" t="str">
        <f t="shared" si="95"/>
        <v>15-12</v>
      </c>
      <c r="E2290" s="273" t="e">
        <f ca="1">_xludf.IFNA(VLOOKUP('Comp X - Kilter'!B2290,'Kilter Holds'!$P$37:$AB$662,7,0),0)</f>
        <v>#NAME?</v>
      </c>
      <c r="F2290" s="274"/>
      <c r="G2290" s="274" t="e">
        <f t="shared" ca="1" si="81"/>
        <v>#NAME?</v>
      </c>
      <c r="H2290" s="274">
        <f t="shared" si="82"/>
        <v>0</v>
      </c>
      <c r="K2290" s="274"/>
    </row>
    <row r="2291" spans="2:11" ht="13.5" customHeight="1">
      <c r="B2291" s="1" t="s">
        <v>1973</v>
      </c>
      <c r="C2291" s="1" t="s">
        <v>3524</v>
      </c>
      <c r="D2291" s="410" t="str">
        <f t="shared" si="95"/>
        <v>16-16</v>
      </c>
      <c r="E2291" s="273" t="e">
        <f ca="1">_xludf.IFNA(VLOOKUP('Comp X - Kilter'!B2291,'Kilter Holds'!$P$37:$AB$662,8,0),0)</f>
        <v>#NAME?</v>
      </c>
      <c r="F2291" s="274"/>
      <c r="G2291" s="274" t="e">
        <f t="shared" ca="1" si="81"/>
        <v>#NAME?</v>
      </c>
      <c r="H2291" s="274">
        <f t="shared" si="82"/>
        <v>0</v>
      </c>
      <c r="K2291" s="274"/>
    </row>
    <row r="2292" spans="2:11" ht="13.5" customHeight="1">
      <c r="B2292" s="1" t="s">
        <v>1973</v>
      </c>
      <c r="C2292" s="1" t="s">
        <v>3524</v>
      </c>
      <c r="D2292" s="411" t="str">
        <f t="shared" si="95"/>
        <v>13-01</v>
      </c>
      <c r="E2292" s="273" t="e">
        <f ca="1">_xludf.IFNA(VLOOKUP('Comp X - Kilter'!B2292,'Kilter Holds'!$P$37:$AB$662,9,0),0)</f>
        <v>#NAME?</v>
      </c>
      <c r="F2292" s="274"/>
      <c r="G2292" s="274" t="e">
        <f t="shared" ca="1" si="81"/>
        <v>#NAME?</v>
      </c>
      <c r="H2292" s="274">
        <f t="shared" si="82"/>
        <v>0</v>
      </c>
      <c r="K2292" s="274"/>
    </row>
    <row r="2293" spans="2:11" ht="13.5" customHeight="1">
      <c r="B2293" s="1" t="s">
        <v>1973</v>
      </c>
      <c r="C2293" s="1" t="s">
        <v>3524</v>
      </c>
      <c r="D2293" s="413" t="str">
        <f t="shared" si="95"/>
        <v>07-13</v>
      </c>
      <c r="E2293" s="273" t="e">
        <f ca="1">_xludf.IFNA(VLOOKUP('Comp X - Kilter'!B2293,'Kilter Holds'!$P$37:$AB$662,10,0),0)</f>
        <v>#NAME?</v>
      </c>
      <c r="F2293" s="274"/>
      <c r="G2293" s="274" t="e">
        <f t="shared" ca="1" si="81"/>
        <v>#NAME?</v>
      </c>
      <c r="H2293" s="274">
        <f t="shared" si="82"/>
        <v>0</v>
      </c>
      <c r="K2293" s="274"/>
    </row>
    <row r="2294" spans="2:11" ht="13.5" customHeight="1">
      <c r="B2294" s="1" t="s">
        <v>1973</v>
      </c>
      <c r="C2294" s="1" t="s">
        <v>3524</v>
      </c>
      <c r="D2294" s="414" t="str">
        <f t="shared" si="95"/>
        <v>11-26</v>
      </c>
      <c r="E2294" s="273" t="e">
        <f ca="1">_xludf.IFNA(VLOOKUP('Comp X - Kilter'!B2294,'Kilter Holds'!$P$37:$AB$662,11,0),0)</f>
        <v>#NAME?</v>
      </c>
      <c r="F2294" s="274"/>
      <c r="G2294" s="274" t="e">
        <f t="shared" ca="1" si="81"/>
        <v>#NAME?</v>
      </c>
      <c r="H2294" s="274">
        <f t="shared" si="82"/>
        <v>0</v>
      </c>
      <c r="K2294" s="274"/>
    </row>
    <row r="2295" spans="2:11" ht="13.5" customHeight="1">
      <c r="B2295" s="1" t="s">
        <v>1973</v>
      </c>
      <c r="C2295" s="1" t="s">
        <v>3524</v>
      </c>
      <c r="D2295" s="415" t="str">
        <f t="shared" si="95"/>
        <v>18-01</v>
      </c>
      <c r="E2295" s="273" t="e">
        <f ca="1">_xludf.IFNA(VLOOKUP('Comp X - Kilter'!B2295,'Kilter Holds'!$P$37:$AB$662,12,0),0)</f>
        <v>#NAME?</v>
      </c>
      <c r="F2295" s="274"/>
      <c r="G2295" s="274" t="e">
        <f t="shared" ca="1" si="81"/>
        <v>#NAME?</v>
      </c>
      <c r="H2295" s="274">
        <f t="shared" si="82"/>
        <v>0</v>
      </c>
      <c r="K2295" s="274"/>
    </row>
    <row r="2296" spans="2:11" ht="13.5" customHeight="1">
      <c r="B2296" s="1" t="s">
        <v>1973</v>
      </c>
      <c r="C2296" s="1" t="s">
        <v>3524</v>
      </c>
      <c r="D2296" s="416" t="str">
        <f t="shared" si="95"/>
        <v>Color Code</v>
      </c>
      <c r="E2296" s="273" t="e">
        <f ca="1">_xludf.IFNA(VLOOKUP('Comp X - Kilter'!B2296,'Kilter Holds'!$P$37:$AB$662,13,0),0)</f>
        <v>#NAME?</v>
      </c>
      <c r="F2296" s="274"/>
      <c r="G2296" s="274" t="e">
        <f t="shared" ca="1" si="81"/>
        <v>#NAME?</v>
      </c>
      <c r="H2296" s="274">
        <f t="shared" si="82"/>
        <v>0</v>
      </c>
      <c r="K2296" s="274"/>
    </row>
    <row r="2297" spans="2:11" ht="13.5" customHeight="1">
      <c r="B2297" s="1" t="s">
        <v>1998</v>
      </c>
      <c r="C2297" s="1" t="s">
        <v>3525</v>
      </c>
      <c r="D2297" s="406" t="str">
        <f t="shared" ref="D2297:D2314" si="96">D2171</f>
        <v>11-12</v>
      </c>
      <c r="E2297" s="273" t="e">
        <f ca="1">_xludf.IFNA(VLOOKUP('Comp X - Kilter'!B2297,'Kilter Holds'!$P$37:$AB$662,5,0),0)</f>
        <v>#NAME?</v>
      </c>
      <c r="F2297" s="274"/>
      <c r="G2297" s="274" t="e">
        <f t="shared" ref="G2297:G2341" ca="1" si="97">E2297*F2297</f>
        <v>#NAME?</v>
      </c>
      <c r="H2297" s="274">
        <f t="shared" ref="H2297:H2341" si="98">IF($S$11="Y",G2297*0.15,0)</f>
        <v>0</v>
      </c>
      <c r="K2297" s="274"/>
    </row>
    <row r="2298" spans="2:11" ht="13.5" customHeight="1">
      <c r="B2298" s="1" t="s">
        <v>1998</v>
      </c>
      <c r="C2298" s="1" t="s">
        <v>3525</v>
      </c>
      <c r="D2298" s="408" t="str">
        <f t="shared" si="96"/>
        <v>14-01</v>
      </c>
      <c r="E2298" s="273" t="e">
        <f ca="1">_xludf.IFNA(VLOOKUP('Comp X - Kilter'!B2298,'Kilter Holds'!$P$37:$AB$662,6,0),0)</f>
        <v>#NAME?</v>
      </c>
      <c r="F2298" s="274"/>
      <c r="G2298" s="274" t="e">
        <f t="shared" ca="1" si="97"/>
        <v>#NAME?</v>
      </c>
      <c r="H2298" s="274">
        <f t="shared" si="98"/>
        <v>0</v>
      </c>
      <c r="K2298" s="274"/>
    </row>
    <row r="2299" spans="2:11" ht="13.5" customHeight="1">
      <c r="B2299" s="1" t="s">
        <v>1998</v>
      </c>
      <c r="C2299" s="1" t="s">
        <v>3525</v>
      </c>
      <c r="D2299" s="409" t="str">
        <f t="shared" si="96"/>
        <v>15-12</v>
      </c>
      <c r="E2299" s="273" t="e">
        <f ca="1">_xludf.IFNA(VLOOKUP('Comp X - Kilter'!B2299,'Kilter Holds'!$P$37:$AB$662,7,0),0)</f>
        <v>#NAME?</v>
      </c>
      <c r="F2299" s="274"/>
      <c r="G2299" s="274" t="e">
        <f t="shared" ca="1" si="97"/>
        <v>#NAME?</v>
      </c>
      <c r="H2299" s="274">
        <f t="shared" si="98"/>
        <v>0</v>
      </c>
      <c r="K2299" s="274"/>
    </row>
    <row r="2300" spans="2:11" ht="13.5" customHeight="1">
      <c r="B2300" s="1" t="s">
        <v>1998</v>
      </c>
      <c r="C2300" s="1" t="s">
        <v>3525</v>
      </c>
      <c r="D2300" s="410" t="str">
        <f t="shared" si="96"/>
        <v>16-16</v>
      </c>
      <c r="E2300" s="273" t="e">
        <f ca="1">_xludf.IFNA(VLOOKUP('Comp X - Kilter'!B2300,'Kilter Holds'!$P$37:$AB$662,8,0),0)</f>
        <v>#NAME?</v>
      </c>
      <c r="F2300" s="274"/>
      <c r="G2300" s="274" t="e">
        <f t="shared" ca="1" si="97"/>
        <v>#NAME?</v>
      </c>
      <c r="H2300" s="274">
        <f t="shared" si="98"/>
        <v>0</v>
      </c>
      <c r="K2300" s="274"/>
    </row>
    <row r="2301" spans="2:11" ht="13.5" customHeight="1">
      <c r="B2301" s="1" t="s">
        <v>1998</v>
      </c>
      <c r="C2301" s="1" t="s">
        <v>3525</v>
      </c>
      <c r="D2301" s="411" t="str">
        <f t="shared" si="96"/>
        <v>13-01</v>
      </c>
      <c r="E2301" s="273" t="e">
        <f ca="1">_xludf.IFNA(VLOOKUP('Comp X - Kilter'!B2301,'Kilter Holds'!$P$37:$AB$662,9,0),0)</f>
        <v>#NAME?</v>
      </c>
      <c r="F2301" s="274"/>
      <c r="G2301" s="274" t="e">
        <f t="shared" ca="1" si="97"/>
        <v>#NAME?</v>
      </c>
      <c r="H2301" s="274">
        <f t="shared" si="98"/>
        <v>0</v>
      </c>
      <c r="K2301" s="274"/>
    </row>
    <row r="2302" spans="2:11" ht="13.5" customHeight="1">
      <c r="B2302" s="1" t="s">
        <v>1998</v>
      </c>
      <c r="C2302" s="1" t="s">
        <v>3525</v>
      </c>
      <c r="D2302" s="413" t="str">
        <f t="shared" si="96"/>
        <v>07-13</v>
      </c>
      <c r="E2302" s="273" t="e">
        <f ca="1">_xludf.IFNA(VLOOKUP('Comp X - Kilter'!B2302,'Kilter Holds'!$P$37:$AB$662,10,0),0)</f>
        <v>#NAME?</v>
      </c>
      <c r="F2302" s="274"/>
      <c r="G2302" s="274" t="e">
        <f t="shared" ca="1" si="97"/>
        <v>#NAME?</v>
      </c>
      <c r="H2302" s="274">
        <f t="shared" si="98"/>
        <v>0</v>
      </c>
      <c r="K2302" s="274"/>
    </row>
    <row r="2303" spans="2:11" ht="13.5" customHeight="1">
      <c r="B2303" s="1" t="s">
        <v>1998</v>
      </c>
      <c r="C2303" s="1" t="s">
        <v>3525</v>
      </c>
      <c r="D2303" s="414" t="str">
        <f t="shared" si="96"/>
        <v>11-26</v>
      </c>
      <c r="E2303" s="273" t="e">
        <f ca="1">_xludf.IFNA(VLOOKUP('Comp X - Kilter'!B2303,'Kilter Holds'!$P$37:$AB$662,11,0),0)</f>
        <v>#NAME?</v>
      </c>
      <c r="F2303" s="274"/>
      <c r="G2303" s="274" t="e">
        <f t="shared" ca="1" si="97"/>
        <v>#NAME?</v>
      </c>
      <c r="H2303" s="274">
        <f t="shared" si="98"/>
        <v>0</v>
      </c>
      <c r="K2303" s="274"/>
    </row>
    <row r="2304" spans="2:11" ht="13.5" customHeight="1">
      <c r="B2304" s="1" t="s">
        <v>1998</v>
      </c>
      <c r="C2304" s="1" t="s">
        <v>3525</v>
      </c>
      <c r="D2304" s="415" t="str">
        <f t="shared" si="96"/>
        <v>18-01</v>
      </c>
      <c r="E2304" s="273" t="e">
        <f ca="1">_xludf.IFNA(VLOOKUP('Comp X - Kilter'!B2304,'Kilter Holds'!$P$37:$AB$662,12,0),0)</f>
        <v>#NAME?</v>
      </c>
      <c r="F2304" s="274"/>
      <c r="G2304" s="274" t="e">
        <f t="shared" ca="1" si="97"/>
        <v>#NAME?</v>
      </c>
      <c r="H2304" s="274">
        <f t="shared" si="98"/>
        <v>0</v>
      </c>
      <c r="K2304" s="274"/>
    </row>
    <row r="2305" spans="2:11" ht="13.5" customHeight="1">
      <c r="B2305" s="1" t="s">
        <v>1998</v>
      </c>
      <c r="C2305" s="1" t="s">
        <v>3525</v>
      </c>
      <c r="D2305" s="416" t="str">
        <f t="shared" si="96"/>
        <v>Color Code</v>
      </c>
      <c r="E2305" s="273" t="e">
        <f ca="1">_xludf.IFNA(VLOOKUP('Comp X - Kilter'!B2305,'Kilter Holds'!$P$37:$AB$662,13,0),0)</f>
        <v>#NAME?</v>
      </c>
      <c r="F2305" s="274"/>
      <c r="G2305" s="274" t="e">
        <f t="shared" ca="1" si="97"/>
        <v>#NAME?</v>
      </c>
      <c r="H2305" s="274">
        <f t="shared" si="98"/>
        <v>0</v>
      </c>
      <c r="K2305" s="274"/>
    </row>
    <row r="2306" spans="2:11" ht="13.5" customHeight="1">
      <c r="B2306" s="1" t="s">
        <v>2104</v>
      </c>
      <c r="C2306" s="1" t="s">
        <v>3526</v>
      </c>
      <c r="D2306" s="406" t="str">
        <f t="shared" si="96"/>
        <v>11-12</v>
      </c>
      <c r="E2306" s="273" t="e">
        <f ca="1">_xludf.IFNA(VLOOKUP('Comp X - Kilter'!B2306,'Kilter Holds'!$P$37:$AB$662,5,0),0)</f>
        <v>#NAME?</v>
      </c>
      <c r="F2306" s="274"/>
      <c r="G2306" s="274" t="e">
        <f t="shared" ca="1" si="97"/>
        <v>#NAME?</v>
      </c>
      <c r="H2306" s="274">
        <f t="shared" si="98"/>
        <v>0</v>
      </c>
      <c r="K2306" s="274"/>
    </row>
    <row r="2307" spans="2:11" ht="13.5" customHeight="1">
      <c r="B2307" s="1" t="s">
        <v>2104</v>
      </c>
      <c r="C2307" s="1" t="s">
        <v>3526</v>
      </c>
      <c r="D2307" s="408" t="str">
        <f t="shared" si="96"/>
        <v>14-01</v>
      </c>
      <c r="E2307" s="273" t="e">
        <f ca="1">_xludf.IFNA(VLOOKUP('Comp X - Kilter'!B2307,'Kilter Holds'!$P$37:$AB$662,6,0),0)</f>
        <v>#NAME?</v>
      </c>
      <c r="F2307" s="274"/>
      <c r="G2307" s="274" t="e">
        <f t="shared" ca="1" si="97"/>
        <v>#NAME?</v>
      </c>
      <c r="H2307" s="274">
        <f t="shared" si="98"/>
        <v>0</v>
      </c>
      <c r="K2307" s="274"/>
    </row>
    <row r="2308" spans="2:11" ht="13.5" customHeight="1">
      <c r="B2308" s="1" t="s">
        <v>2104</v>
      </c>
      <c r="C2308" s="1" t="s">
        <v>3526</v>
      </c>
      <c r="D2308" s="409" t="str">
        <f t="shared" si="96"/>
        <v>15-12</v>
      </c>
      <c r="E2308" s="273" t="e">
        <f ca="1">_xludf.IFNA(VLOOKUP('Comp X - Kilter'!B2308,'Kilter Holds'!$P$37:$AB$662,7,0),0)</f>
        <v>#NAME?</v>
      </c>
      <c r="F2308" s="274"/>
      <c r="G2308" s="274" t="e">
        <f t="shared" ca="1" si="97"/>
        <v>#NAME?</v>
      </c>
      <c r="H2308" s="274">
        <f t="shared" si="98"/>
        <v>0</v>
      </c>
      <c r="K2308" s="274"/>
    </row>
    <row r="2309" spans="2:11" ht="13.5" customHeight="1">
      <c r="B2309" s="1" t="s">
        <v>2104</v>
      </c>
      <c r="C2309" s="1" t="s">
        <v>3526</v>
      </c>
      <c r="D2309" s="410" t="str">
        <f t="shared" si="96"/>
        <v>16-16</v>
      </c>
      <c r="E2309" s="273" t="e">
        <f ca="1">_xludf.IFNA(VLOOKUP('Comp X - Kilter'!B2309,'Kilter Holds'!$P$37:$AB$662,8,0),0)</f>
        <v>#NAME?</v>
      </c>
      <c r="F2309" s="274"/>
      <c r="G2309" s="274" t="e">
        <f t="shared" ca="1" si="97"/>
        <v>#NAME?</v>
      </c>
      <c r="H2309" s="274">
        <f t="shared" si="98"/>
        <v>0</v>
      </c>
      <c r="K2309" s="274"/>
    </row>
    <row r="2310" spans="2:11" ht="13.5" customHeight="1">
      <c r="B2310" s="1" t="s">
        <v>2104</v>
      </c>
      <c r="C2310" s="1" t="s">
        <v>3526</v>
      </c>
      <c r="D2310" s="411" t="str">
        <f t="shared" si="96"/>
        <v>13-01</v>
      </c>
      <c r="E2310" s="273" t="e">
        <f ca="1">_xludf.IFNA(VLOOKUP('Comp X - Kilter'!B2310,'Kilter Holds'!$P$37:$AB$662,9,0),0)</f>
        <v>#NAME?</v>
      </c>
      <c r="F2310" s="274"/>
      <c r="G2310" s="274" t="e">
        <f t="shared" ca="1" si="97"/>
        <v>#NAME?</v>
      </c>
      <c r="H2310" s="274">
        <f t="shared" si="98"/>
        <v>0</v>
      </c>
      <c r="K2310" s="274"/>
    </row>
    <row r="2311" spans="2:11" ht="13.5" customHeight="1">
      <c r="B2311" s="1" t="s">
        <v>2104</v>
      </c>
      <c r="C2311" s="1" t="s">
        <v>3526</v>
      </c>
      <c r="D2311" s="413" t="str">
        <f t="shared" si="96"/>
        <v>07-13</v>
      </c>
      <c r="E2311" s="273" t="e">
        <f ca="1">_xludf.IFNA(VLOOKUP('Comp X - Kilter'!B2311,'Kilter Holds'!$P$37:$AB$662,10,0),0)</f>
        <v>#NAME?</v>
      </c>
      <c r="F2311" s="274"/>
      <c r="G2311" s="274" t="e">
        <f t="shared" ca="1" si="97"/>
        <v>#NAME?</v>
      </c>
      <c r="H2311" s="274">
        <f t="shared" si="98"/>
        <v>0</v>
      </c>
      <c r="K2311" s="274"/>
    </row>
    <row r="2312" spans="2:11" ht="13.5" customHeight="1">
      <c r="B2312" s="1" t="s">
        <v>2104</v>
      </c>
      <c r="C2312" s="1" t="s">
        <v>3526</v>
      </c>
      <c r="D2312" s="414" t="str">
        <f t="shared" si="96"/>
        <v>11-26</v>
      </c>
      <c r="E2312" s="273" t="e">
        <f ca="1">_xludf.IFNA(VLOOKUP('Comp X - Kilter'!B2312,'Kilter Holds'!$P$37:$AB$662,11,0),0)</f>
        <v>#NAME?</v>
      </c>
      <c r="F2312" s="274"/>
      <c r="G2312" s="274" t="e">
        <f t="shared" ca="1" si="97"/>
        <v>#NAME?</v>
      </c>
      <c r="H2312" s="274">
        <f t="shared" si="98"/>
        <v>0</v>
      </c>
      <c r="K2312" s="274"/>
    </row>
    <row r="2313" spans="2:11" ht="13.5" customHeight="1">
      <c r="B2313" s="1" t="s">
        <v>2104</v>
      </c>
      <c r="C2313" s="1" t="s">
        <v>3526</v>
      </c>
      <c r="D2313" s="415" t="str">
        <f t="shared" si="96"/>
        <v>18-01</v>
      </c>
      <c r="E2313" s="273" t="e">
        <f ca="1">_xludf.IFNA(VLOOKUP('Comp X - Kilter'!B2313,'Kilter Holds'!$P$37:$AB$662,12,0),0)</f>
        <v>#NAME?</v>
      </c>
      <c r="F2313" s="274"/>
      <c r="G2313" s="274" t="e">
        <f t="shared" ca="1" si="97"/>
        <v>#NAME?</v>
      </c>
      <c r="H2313" s="274">
        <f t="shared" si="98"/>
        <v>0</v>
      </c>
      <c r="K2313" s="274"/>
    </row>
    <row r="2314" spans="2:11" ht="13.5" customHeight="1">
      <c r="B2314" s="1" t="s">
        <v>2104</v>
      </c>
      <c r="C2314" s="1" t="s">
        <v>3526</v>
      </c>
      <c r="D2314" s="416" t="str">
        <f t="shared" si="96"/>
        <v>Color Code</v>
      </c>
      <c r="E2314" s="273" t="e">
        <f ca="1">_xludf.IFNA(VLOOKUP('Comp X - Kilter'!B2314,'Kilter Holds'!$P$37:$AB$662,13,0),0)</f>
        <v>#NAME?</v>
      </c>
      <c r="F2314" s="274"/>
      <c r="G2314" s="274" t="e">
        <f t="shared" ca="1" si="97"/>
        <v>#NAME?</v>
      </c>
      <c r="H2314" s="274">
        <f t="shared" si="98"/>
        <v>0</v>
      </c>
      <c r="K2314" s="274"/>
    </row>
    <row r="2315" spans="2:11" ht="13.5" customHeight="1">
      <c r="B2315" s="1" t="s">
        <v>3527</v>
      </c>
      <c r="C2315" s="1" t="s">
        <v>3528</v>
      </c>
      <c r="D2315" s="406" t="str">
        <f t="shared" ref="D2315:D2323" si="99">D2180</f>
        <v>11-12</v>
      </c>
      <c r="E2315" s="273" t="e">
        <f ca="1">_xludf.IFNA(VLOOKUP('Comp X - Kilter'!B2315,'Kilter Holds'!$P$37:$AB$662,5,0),0)</f>
        <v>#NAME?</v>
      </c>
      <c r="F2315" s="274"/>
      <c r="G2315" s="274" t="e">
        <f t="shared" ca="1" si="97"/>
        <v>#NAME?</v>
      </c>
      <c r="H2315" s="274">
        <f t="shared" si="98"/>
        <v>0</v>
      </c>
      <c r="K2315" s="274"/>
    </row>
    <row r="2316" spans="2:11" ht="13.5" customHeight="1">
      <c r="B2316" s="1" t="s">
        <v>3527</v>
      </c>
      <c r="C2316" s="1" t="s">
        <v>3528</v>
      </c>
      <c r="D2316" s="408" t="str">
        <f t="shared" si="99"/>
        <v>14-01</v>
      </c>
      <c r="E2316" s="273" t="e">
        <f ca="1">_xludf.IFNA(VLOOKUP('Comp X - Kilter'!B2316,'Kilter Holds'!$P$37:$AB$662,6,0),0)</f>
        <v>#NAME?</v>
      </c>
      <c r="F2316" s="274"/>
      <c r="G2316" s="274" t="e">
        <f t="shared" ca="1" si="97"/>
        <v>#NAME?</v>
      </c>
      <c r="H2316" s="274">
        <f t="shared" si="98"/>
        <v>0</v>
      </c>
      <c r="K2316" s="274"/>
    </row>
    <row r="2317" spans="2:11" ht="13.5" customHeight="1">
      <c r="B2317" s="1" t="s">
        <v>3527</v>
      </c>
      <c r="C2317" s="1" t="s">
        <v>3528</v>
      </c>
      <c r="D2317" s="409" t="str">
        <f t="shared" si="99"/>
        <v>15-12</v>
      </c>
      <c r="E2317" s="273" t="e">
        <f ca="1">_xludf.IFNA(VLOOKUP('Comp X - Kilter'!B2317,'Kilter Holds'!$P$37:$AB$662,7,0),0)</f>
        <v>#NAME?</v>
      </c>
      <c r="F2317" s="274"/>
      <c r="G2317" s="274" t="e">
        <f t="shared" ca="1" si="97"/>
        <v>#NAME?</v>
      </c>
      <c r="H2317" s="274">
        <f t="shared" si="98"/>
        <v>0</v>
      </c>
      <c r="K2317" s="274"/>
    </row>
    <row r="2318" spans="2:11" ht="13.5" customHeight="1">
      <c r="B2318" s="1" t="s">
        <v>3527</v>
      </c>
      <c r="C2318" s="1" t="s">
        <v>3528</v>
      </c>
      <c r="D2318" s="410" t="str">
        <f t="shared" si="99"/>
        <v>16-16</v>
      </c>
      <c r="E2318" s="273" t="e">
        <f ca="1">_xludf.IFNA(VLOOKUP('Comp X - Kilter'!B2318,'Kilter Holds'!$P$37:$AB$662,8,0),0)</f>
        <v>#NAME?</v>
      </c>
      <c r="F2318" s="274"/>
      <c r="G2318" s="274" t="e">
        <f t="shared" ca="1" si="97"/>
        <v>#NAME?</v>
      </c>
      <c r="H2318" s="274">
        <f t="shared" si="98"/>
        <v>0</v>
      </c>
      <c r="K2318" s="274"/>
    </row>
    <row r="2319" spans="2:11" ht="13.5" customHeight="1">
      <c r="B2319" s="1" t="s">
        <v>3527</v>
      </c>
      <c r="C2319" s="1" t="s">
        <v>3528</v>
      </c>
      <c r="D2319" s="411" t="str">
        <f t="shared" si="99"/>
        <v>13-01</v>
      </c>
      <c r="E2319" s="273" t="e">
        <f ca="1">_xludf.IFNA(VLOOKUP('Comp X - Kilter'!B2319,'Kilter Holds'!$P$37:$AB$662,9,0),0)</f>
        <v>#NAME?</v>
      </c>
      <c r="F2319" s="274"/>
      <c r="G2319" s="274" t="e">
        <f t="shared" ca="1" si="97"/>
        <v>#NAME?</v>
      </c>
      <c r="H2319" s="274">
        <f t="shared" si="98"/>
        <v>0</v>
      </c>
      <c r="K2319" s="274"/>
    </row>
    <row r="2320" spans="2:11" ht="13.5" customHeight="1">
      <c r="B2320" s="1" t="s">
        <v>3527</v>
      </c>
      <c r="C2320" s="1" t="s">
        <v>3528</v>
      </c>
      <c r="D2320" s="413" t="str">
        <f t="shared" si="99"/>
        <v>07-13</v>
      </c>
      <c r="E2320" s="273" t="e">
        <f ca="1">_xludf.IFNA(VLOOKUP('Comp X - Kilter'!B2320,'Kilter Holds'!$P$37:$AB$662,10,0),0)</f>
        <v>#NAME?</v>
      </c>
      <c r="F2320" s="274"/>
      <c r="G2320" s="274" t="e">
        <f t="shared" ca="1" si="97"/>
        <v>#NAME?</v>
      </c>
      <c r="H2320" s="274">
        <f t="shared" si="98"/>
        <v>0</v>
      </c>
      <c r="K2320" s="274"/>
    </row>
    <row r="2321" spans="2:11" ht="13.5" customHeight="1">
      <c r="B2321" s="1" t="s">
        <v>3527</v>
      </c>
      <c r="C2321" s="1" t="s">
        <v>3528</v>
      </c>
      <c r="D2321" s="414" t="str">
        <f t="shared" si="99"/>
        <v>11-26</v>
      </c>
      <c r="E2321" s="273" t="e">
        <f ca="1">_xludf.IFNA(VLOOKUP('Comp X - Kilter'!B2321,'Kilter Holds'!$P$37:$AB$662,11,0),0)</f>
        <v>#NAME?</v>
      </c>
      <c r="F2321" s="274"/>
      <c r="G2321" s="274" t="e">
        <f t="shared" ca="1" si="97"/>
        <v>#NAME?</v>
      </c>
      <c r="H2321" s="274">
        <f t="shared" si="98"/>
        <v>0</v>
      </c>
      <c r="K2321" s="274"/>
    </row>
    <row r="2322" spans="2:11" ht="13.5" customHeight="1">
      <c r="B2322" s="1" t="s">
        <v>3527</v>
      </c>
      <c r="C2322" s="1" t="s">
        <v>3528</v>
      </c>
      <c r="D2322" s="415" t="str">
        <f t="shared" si="99"/>
        <v>18-01</v>
      </c>
      <c r="E2322" s="273" t="e">
        <f ca="1">_xludf.IFNA(VLOOKUP('Comp X - Kilter'!B2322,'Kilter Holds'!$P$37:$AB$662,12,0),0)</f>
        <v>#NAME?</v>
      </c>
      <c r="F2322" s="274"/>
      <c r="G2322" s="274" t="e">
        <f t="shared" ca="1" si="97"/>
        <v>#NAME?</v>
      </c>
      <c r="H2322" s="274">
        <f t="shared" si="98"/>
        <v>0</v>
      </c>
      <c r="K2322" s="274"/>
    </row>
    <row r="2323" spans="2:11" ht="13.5" customHeight="1">
      <c r="B2323" s="1" t="s">
        <v>3527</v>
      </c>
      <c r="C2323" s="1" t="s">
        <v>3528</v>
      </c>
      <c r="D2323" s="416" t="str">
        <f t="shared" si="99"/>
        <v>Color Code</v>
      </c>
      <c r="E2323" s="273" t="e">
        <f ca="1">_xludf.IFNA(VLOOKUP('Comp X - Kilter'!B2323,'Kilter Holds'!$P$37:$AB$662,13,0),0)</f>
        <v>#NAME?</v>
      </c>
      <c r="F2323" s="274"/>
      <c r="G2323" s="274" t="e">
        <f t="shared" ca="1" si="97"/>
        <v>#NAME?</v>
      </c>
      <c r="H2323" s="274">
        <f t="shared" si="98"/>
        <v>0</v>
      </c>
      <c r="K2323" s="274"/>
    </row>
    <row r="2324" spans="2:11" ht="13.5" customHeight="1">
      <c r="B2324" s="1" t="s">
        <v>1975</v>
      </c>
      <c r="C2324" s="1" t="s">
        <v>3529</v>
      </c>
      <c r="D2324" s="406" t="str">
        <f t="shared" ref="D2324:D2332" si="100">D2180</f>
        <v>11-12</v>
      </c>
      <c r="E2324" s="273" t="e">
        <f ca="1">_xludf.IFNA(VLOOKUP('Comp X - Kilter'!B2324,'Kilter Holds'!$P$37:$AB$662,5,0),0)</f>
        <v>#NAME?</v>
      </c>
      <c r="F2324" s="274"/>
      <c r="G2324" s="274" t="e">
        <f t="shared" ca="1" si="97"/>
        <v>#NAME?</v>
      </c>
      <c r="H2324" s="274">
        <f t="shared" si="98"/>
        <v>0</v>
      </c>
      <c r="K2324" s="274"/>
    </row>
    <row r="2325" spans="2:11" ht="13.5" customHeight="1">
      <c r="B2325" s="1" t="s">
        <v>1975</v>
      </c>
      <c r="C2325" s="1" t="s">
        <v>3529</v>
      </c>
      <c r="D2325" s="408" t="str">
        <f t="shared" si="100"/>
        <v>14-01</v>
      </c>
      <c r="E2325" s="273" t="e">
        <f ca="1">_xludf.IFNA(VLOOKUP('Comp X - Kilter'!B2325,'Kilter Holds'!$P$37:$AB$662,6,0),0)</f>
        <v>#NAME?</v>
      </c>
      <c r="F2325" s="274"/>
      <c r="G2325" s="274" t="e">
        <f t="shared" ca="1" si="97"/>
        <v>#NAME?</v>
      </c>
      <c r="H2325" s="274">
        <f t="shared" si="98"/>
        <v>0</v>
      </c>
      <c r="K2325" s="274"/>
    </row>
    <row r="2326" spans="2:11" ht="13.5" customHeight="1">
      <c r="B2326" s="1" t="s">
        <v>1975</v>
      </c>
      <c r="C2326" s="1" t="s">
        <v>3529</v>
      </c>
      <c r="D2326" s="409" t="str">
        <f t="shared" si="100"/>
        <v>15-12</v>
      </c>
      <c r="E2326" s="273" t="e">
        <f ca="1">_xludf.IFNA(VLOOKUP('Comp X - Kilter'!B2326,'Kilter Holds'!$P$37:$AB$662,7,0),0)</f>
        <v>#NAME?</v>
      </c>
      <c r="F2326" s="274"/>
      <c r="G2326" s="274" t="e">
        <f t="shared" ca="1" si="97"/>
        <v>#NAME?</v>
      </c>
      <c r="H2326" s="274">
        <f t="shared" si="98"/>
        <v>0</v>
      </c>
      <c r="K2326" s="274"/>
    </row>
    <row r="2327" spans="2:11" ht="13.5" customHeight="1">
      <c r="B2327" s="1" t="s">
        <v>1975</v>
      </c>
      <c r="C2327" s="1" t="s">
        <v>3529</v>
      </c>
      <c r="D2327" s="410" t="str">
        <f t="shared" si="100"/>
        <v>16-16</v>
      </c>
      <c r="E2327" s="273" t="e">
        <f ca="1">_xludf.IFNA(VLOOKUP('Comp X - Kilter'!B2327,'Kilter Holds'!$P$37:$AB$662,8,0),0)</f>
        <v>#NAME?</v>
      </c>
      <c r="F2327" s="274"/>
      <c r="G2327" s="274" t="e">
        <f t="shared" ca="1" si="97"/>
        <v>#NAME?</v>
      </c>
      <c r="H2327" s="274">
        <f t="shared" si="98"/>
        <v>0</v>
      </c>
      <c r="K2327" s="274"/>
    </row>
    <row r="2328" spans="2:11" ht="13.5" customHeight="1">
      <c r="B2328" s="1" t="s">
        <v>1975</v>
      </c>
      <c r="C2328" s="1" t="s">
        <v>3529</v>
      </c>
      <c r="D2328" s="411" t="str">
        <f t="shared" si="100"/>
        <v>13-01</v>
      </c>
      <c r="E2328" s="273" t="e">
        <f ca="1">_xludf.IFNA(VLOOKUP('Comp X - Kilter'!B2328,'Kilter Holds'!$P$37:$AB$662,9,0),0)</f>
        <v>#NAME?</v>
      </c>
      <c r="F2328" s="274"/>
      <c r="G2328" s="274" t="e">
        <f t="shared" ca="1" si="97"/>
        <v>#NAME?</v>
      </c>
      <c r="H2328" s="274">
        <f t="shared" si="98"/>
        <v>0</v>
      </c>
      <c r="K2328" s="274"/>
    </row>
    <row r="2329" spans="2:11" ht="13.5" customHeight="1">
      <c r="B2329" s="1" t="s">
        <v>1975</v>
      </c>
      <c r="C2329" s="1" t="s">
        <v>3529</v>
      </c>
      <c r="D2329" s="413" t="str">
        <f t="shared" si="100"/>
        <v>07-13</v>
      </c>
      <c r="E2329" s="273" t="e">
        <f ca="1">_xludf.IFNA(VLOOKUP('Comp X - Kilter'!B2329,'Kilter Holds'!$P$37:$AB$662,10,0),0)</f>
        <v>#NAME?</v>
      </c>
      <c r="F2329" s="274"/>
      <c r="G2329" s="274" t="e">
        <f t="shared" ca="1" si="97"/>
        <v>#NAME?</v>
      </c>
      <c r="H2329" s="274">
        <f t="shared" si="98"/>
        <v>0</v>
      </c>
      <c r="K2329" s="274"/>
    </row>
    <row r="2330" spans="2:11" ht="13.5" customHeight="1">
      <c r="B2330" s="1" t="s">
        <v>1975</v>
      </c>
      <c r="C2330" s="1" t="s">
        <v>3529</v>
      </c>
      <c r="D2330" s="414" t="str">
        <f t="shared" si="100"/>
        <v>11-26</v>
      </c>
      <c r="E2330" s="273" t="e">
        <f ca="1">_xludf.IFNA(VLOOKUP('Comp X - Kilter'!B2330,'Kilter Holds'!$P$37:$AB$662,11,0),0)</f>
        <v>#NAME?</v>
      </c>
      <c r="F2330" s="274"/>
      <c r="G2330" s="274" t="e">
        <f t="shared" ca="1" si="97"/>
        <v>#NAME?</v>
      </c>
      <c r="H2330" s="274">
        <f t="shared" si="98"/>
        <v>0</v>
      </c>
      <c r="K2330" s="274"/>
    </row>
    <row r="2331" spans="2:11" ht="13.5" customHeight="1">
      <c r="B2331" s="1" t="s">
        <v>1975</v>
      </c>
      <c r="C2331" s="1" t="s">
        <v>3529</v>
      </c>
      <c r="D2331" s="415" t="str">
        <f t="shared" si="100"/>
        <v>18-01</v>
      </c>
      <c r="E2331" s="273" t="e">
        <f ca="1">_xludf.IFNA(VLOOKUP('Comp X - Kilter'!B2331,'Kilter Holds'!$P$37:$AB$662,12,0),0)</f>
        <v>#NAME?</v>
      </c>
      <c r="F2331" s="274"/>
      <c r="G2331" s="274" t="e">
        <f t="shared" ca="1" si="97"/>
        <v>#NAME?</v>
      </c>
      <c r="H2331" s="274">
        <f t="shared" si="98"/>
        <v>0</v>
      </c>
      <c r="K2331" s="274"/>
    </row>
    <row r="2332" spans="2:11" ht="13.5" customHeight="1">
      <c r="B2332" s="1" t="s">
        <v>1975</v>
      </c>
      <c r="C2332" s="1" t="s">
        <v>3529</v>
      </c>
      <c r="D2332" s="416" t="str">
        <f t="shared" si="100"/>
        <v>Color Code</v>
      </c>
      <c r="E2332" s="273" t="e">
        <f ca="1">_xludf.IFNA(VLOOKUP('Comp X - Kilter'!B2332,'Kilter Holds'!$P$37:$AB$662,13,0),0)</f>
        <v>#NAME?</v>
      </c>
      <c r="F2332" s="274"/>
      <c r="G2332" s="274" t="e">
        <f t="shared" ca="1" si="97"/>
        <v>#NAME?</v>
      </c>
      <c r="H2332" s="274">
        <f t="shared" si="98"/>
        <v>0</v>
      </c>
      <c r="K2332" s="274"/>
    </row>
    <row r="2333" spans="2:11" ht="13.5" customHeight="1">
      <c r="B2333" s="1" t="s">
        <v>1977</v>
      </c>
      <c r="C2333" s="1" t="s">
        <v>3530</v>
      </c>
      <c r="D2333" s="406" t="str">
        <f t="shared" ref="D2333:D2341" si="101">D2171</f>
        <v>11-12</v>
      </c>
      <c r="E2333" s="273" t="e">
        <f ca="1">_xludf.IFNA(VLOOKUP('Comp X - Kilter'!B2333,'Kilter Holds'!$P$37:$AB$662,5,0),0)</f>
        <v>#NAME?</v>
      </c>
      <c r="F2333" s="274"/>
      <c r="G2333" s="274" t="e">
        <f t="shared" ca="1" si="97"/>
        <v>#NAME?</v>
      </c>
      <c r="H2333" s="274">
        <f t="shared" si="98"/>
        <v>0</v>
      </c>
      <c r="K2333" s="274"/>
    </row>
    <row r="2334" spans="2:11" ht="13.5" customHeight="1">
      <c r="B2334" s="1" t="s">
        <v>1977</v>
      </c>
      <c r="C2334" s="1" t="s">
        <v>3530</v>
      </c>
      <c r="D2334" s="408" t="str">
        <f t="shared" si="101"/>
        <v>14-01</v>
      </c>
      <c r="E2334" s="273" t="e">
        <f ca="1">_xludf.IFNA(VLOOKUP('Comp X - Kilter'!B2334,'Kilter Holds'!$P$37:$AB$662,6,0),0)</f>
        <v>#NAME?</v>
      </c>
      <c r="F2334" s="274"/>
      <c r="G2334" s="274" t="e">
        <f t="shared" ca="1" si="97"/>
        <v>#NAME?</v>
      </c>
      <c r="H2334" s="274">
        <f t="shared" si="98"/>
        <v>0</v>
      </c>
      <c r="K2334" s="274"/>
    </row>
    <row r="2335" spans="2:11" ht="13.5" customHeight="1">
      <c r="B2335" s="1" t="s">
        <v>1977</v>
      </c>
      <c r="C2335" s="1" t="s">
        <v>3530</v>
      </c>
      <c r="D2335" s="409" t="str">
        <f t="shared" si="101"/>
        <v>15-12</v>
      </c>
      <c r="E2335" s="273" t="e">
        <f ca="1">_xludf.IFNA(VLOOKUP('Comp X - Kilter'!B2335,'Kilter Holds'!$P$37:$AB$662,7,0),0)</f>
        <v>#NAME?</v>
      </c>
      <c r="F2335" s="274"/>
      <c r="G2335" s="274" t="e">
        <f t="shared" ca="1" si="97"/>
        <v>#NAME?</v>
      </c>
      <c r="H2335" s="274">
        <f t="shared" si="98"/>
        <v>0</v>
      </c>
      <c r="K2335" s="274"/>
    </row>
    <row r="2336" spans="2:11" ht="13.5" customHeight="1">
      <c r="B2336" s="1" t="s">
        <v>1977</v>
      </c>
      <c r="C2336" s="1" t="s">
        <v>3530</v>
      </c>
      <c r="D2336" s="410" t="str">
        <f t="shared" si="101"/>
        <v>16-16</v>
      </c>
      <c r="E2336" s="273" t="e">
        <f ca="1">_xludf.IFNA(VLOOKUP('Comp X - Kilter'!B2336,'Kilter Holds'!$P$37:$AB$662,8,0),0)</f>
        <v>#NAME?</v>
      </c>
      <c r="F2336" s="274"/>
      <c r="G2336" s="274" t="e">
        <f t="shared" ca="1" si="97"/>
        <v>#NAME?</v>
      </c>
      <c r="H2336" s="274">
        <f t="shared" si="98"/>
        <v>0</v>
      </c>
      <c r="K2336" s="274"/>
    </row>
    <row r="2337" spans="2:11" ht="13.5" customHeight="1">
      <c r="B2337" s="1" t="s">
        <v>1977</v>
      </c>
      <c r="C2337" s="1" t="s">
        <v>3530</v>
      </c>
      <c r="D2337" s="411" t="str">
        <f t="shared" si="101"/>
        <v>13-01</v>
      </c>
      <c r="E2337" s="273" t="e">
        <f ca="1">_xludf.IFNA(VLOOKUP('Comp X - Kilter'!B2337,'Kilter Holds'!$P$37:$AB$662,9,0),0)</f>
        <v>#NAME?</v>
      </c>
      <c r="F2337" s="274"/>
      <c r="G2337" s="274" t="e">
        <f t="shared" ca="1" si="97"/>
        <v>#NAME?</v>
      </c>
      <c r="H2337" s="274">
        <f t="shared" si="98"/>
        <v>0</v>
      </c>
      <c r="K2337" s="274"/>
    </row>
    <row r="2338" spans="2:11" ht="13.5" customHeight="1">
      <c r="B2338" s="1" t="s">
        <v>1977</v>
      </c>
      <c r="C2338" s="1" t="s">
        <v>3530</v>
      </c>
      <c r="D2338" s="413" t="str">
        <f t="shared" si="101"/>
        <v>07-13</v>
      </c>
      <c r="E2338" s="273" t="e">
        <f ca="1">_xludf.IFNA(VLOOKUP('Comp X - Kilter'!B2338,'Kilter Holds'!$P$37:$AB$662,10,0),0)</f>
        <v>#NAME?</v>
      </c>
      <c r="F2338" s="274"/>
      <c r="G2338" s="274" t="e">
        <f t="shared" ca="1" si="97"/>
        <v>#NAME?</v>
      </c>
      <c r="H2338" s="274">
        <f t="shared" si="98"/>
        <v>0</v>
      </c>
      <c r="K2338" s="274"/>
    </row>
    <row r="2339" spans="2:11" ht="13.5" customHeight="1">
      <c r="B2339" s="1" t="s">
        <v>1977</v>
      </c>
      <c r="C2339" s="1" t="s">
        <v>3530</v>
      </c>
      <c r="D2339" s="414" t="str">
        <f t="shared" si="101"/>
        <v>11-26</v>
      </c>
      <c r="E2339" s="273" t="e">
        <f ca="1">_xludf.IFNA(VLOOKUP('Comp X - Kilter'!B2339,'Kilter Holds'!$P$37:$AB$662,11,0),0)</f>
        <v>#NAME?</v>
      </c>
      <c r="F2339" s="274"/>
      <c r="G2339" s="274" t="e">
        <f t="shared" ca="1" si="97"/>
        <v>#NAME?</v>
      </c>
      <c r="H2339" s="274">
        <f t="shared" si="98"/>
        <v>0</v>
      </c>
      <c r="K2339" s="274"/>
    </row>
    <row r="2340" spans="2:11" ht="13.5" customHeight="1">
      <c r="B2340" s="1" t="s">
        <v>1977</v>
      </c>
      <c r="C2340" s="1" t="s">
        <v>3530</v>
      </c>
      <c r="D2340" s="415" t="str">
        <f t="shared" si="101"/>
        <v>18-01</v>
      </c>
      <c r="E2340" s="273" t="e">
        <f ca="1">_xludf.IFNA(VLOOKUP('Comp X - Kilter'!B2340,'Kilter Holds'!$P$37:$AB$662,12,0),0)</f>
        <v>#NAME?</v>
      </c>
      <c r="F2340" s="274"/>
      <c r="G2340" s="274" t="e">
        <f t="shared" ca="1" si="97"/>
        <v>#NAME?</v>
      </c>
      <c r="H2340" s="274">
        <f t="shared" si="98"/>
        <v>0</v>
      </c>
      <c r="K2340" s="274"/>
    </row>
    <row r="2341" spans="2:11" ht="13.5" customHeight="1">
      <c r="B2341" s="1" t="s">
        <v>1977</v>
      </c>
      <c r="C2341" s="1" t="s">
        <v>3530</v>
      </c>
      <c r="D2341" s="416" t="str">
        <f t="shared" si="101"/>
        <v>Color Code</v>
      </c>
      <c r="E2341" s="273" t="e">
        <f ca="1">_xludf.IFNA(VLOOKUP('Comp X - Kilter'!B2341,'Kilter Holds'!$P$37:$AB$662,13,0),0)</f>
        <v>#NAME?</v>
      </c>
      <c r="F2341" s="274"/>
      <c r="G2341" s="274" t="e">
        <f t="shared" ca="1" si="97"/>
        <v>#NAME?</v>
      </c>
      <c r="H2341" s="274">
        <f t="shared" si="98"/>
        <v>0</v>
      </c>
      <c r="K2341" s="274"/>
    </row>
  </sheetData>
  <autoFilter ref="B1:K1" xr:uid="{00000000-0009-0000-0000-000009000000}"/>
  <conditionalFormatting sqref="N19:N88">
    <cfRule type="cellIs" dxfId="3" priority="1" operator="lessThan">
      <formula>0</formula>
    </cfRule>
    <cfRule type="cellIs" dxfId="2" priority="2" operator="greaterThan">
      <formula>0</formula>
    </cfRule>
  </conditionalFormatting>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4384"/>
  <sheetViews>
    <sheetView topLeftCell="B1" workbookViewId="0"/>
  </sheetViews>
  <sheetFormatPr baseColWidth="10" defaultColWidth="11.1640625" defaultRowHeight="15" customHeight="1"/>
  <cols>
    <col min="1" max="1" width="13" hidden="1" customWidth="1"/>
    <col min="2" max="2" width="13.83203125" customWidth="1"/>
    <col min="3" max="3" width="34.5" customWidth="1"/>
    <col min="4" max="4" width="10.1640625" customWidth="1"/>
    <col min="5" max="5" width="8" customWidth="1"/>
    <col min="6" max="7" width="9" customWidth="1"/>
    <col min="8" max="8" width="12.1640625" customWidth="1"/>
    <col min="9" max="9" width="8.6640625" customWidth="1"/>
    <col min="10" max="10" width="6.6640625" customWidth="1"/>
    <col min="11" max="11" width="8.83203125" customWidth="1"/>
    <col min="12" max="13" width="13.33203125" customWidth="1"/>
    <col min="14" max="14" width="11.6640625" customWidth="1"/>
    <col min="15" max="17" width="8.83203125" customWidth="1"/>
    <col min="18" max="18" width="11.33203125" customWidth="1"/>
    <col min="19" max="19" width="8.83203125" customWidth="1"/>
  </cols>
  <sheetData>
    <row r="1" spans="2:19" ht="13.5" customHeight="1">
      <c r="B1" s="1" t="s">
        <v>129</v>
      </c>
      <c r="C1" s="1" t="s">
        <v>2365</v>
      </c>
      <c r="D1" s="1" t="s">
        <v>2366</v>
      </c>
      <c r="E1" s="273" t="s">
        <v>2367</v>
      </c>
      <c r="F1" s="274" t="s">
        <v>2295</v>
      </c>
      <c r="G1" s="274" t="s">
        <v>2368</v>
      </c>
      <c r="H1" s="274" t="s">
        <v>2369</v>
      </c>
      <c r="I1" s="1" t="s">
        <v>2370</v>
      </c>
      <c r="J1" s="1" t="s">
        <v>2371</v>
      </c>
      <c r="K1" s="274" t="s">
        <v>2306</v>
      </c>
      <c r="M1" s="404" t="s">
        <v>2372</v>
      </c>
      <c r="N1" s="405">
        <f>SUM(G2:G4339)</f>
        <v>0</v>
      </c>
      <c r="R1" s="1" t="s">
        <v>2373</v>
      </c>
      <c r="S1" s="1" t="s">
        <v>2374</v>
      </c>
    </row>
    <row r="2" spans="2:19" ht="13.5" customHeight="1">
      <c r="B2" s="209" t="s">
        <v>946</v>
      </c>
      <c r="C2" s="209" t="s">
        <v>2375</v>
      </c>
      <c r="D2" s="446" t="s">
        <v>133</v>
      </c>
      <c r="E2" s="273">
        <v>0</v>
      </c>
      <c r="F2" s="274"/>
      <c r="G2" s="274">
        <f t="shared" ref="G2:G256" si="0">E2*F2</f>
        <v>0</v>
      </c>
      <c r="H2" s="274">
        <v>0</v>
      </c>
      <c r="K2" s="274"/>
      <c r="M2" s="17" t="s">
        <v>1251</v>
      </c>
      <c r="N2" s="407" t="e">
        <f ca="1">_xludf.IFS((N1)&lt;11999.99,0,AND((N1)&gt;11999.99,(N1)&lt;25000),N1*-0.04,(N1)&gt;24999.99,N1*-0.08)</f>
        <v>#NAME?</v>
      </c>
      <c r="R2" s="406" t="str">
        <f>'Kilter Holds'!T36</f>
        <v>11-12</v>
      </c>
      <c r="S2" s="1" t="s">
        <v>2376</v>
      </c>
    </row>
    <row r="3" spans="2:19" ht="13.5" customHeight="1">
      <c r="B3" s="209" t="s">
        <v>946</v>
      </c>
      <c r="C3" s="209" t="s">
        <v>2375</v>
      </c>
      <c r="D3" s="447" t="s">
        <v>134</v>
      </c>
      <c r="E3" s="273">
        <v>0</v>
      </c>
      <c r="F3" s="274"/>
      <c r="G3" s="274">
        <f t="shared" si="0"/>
        <v>0</v>
      </c>
      <c r="H3" s="274">
        <v>0</v>
      </c>
      <c r="K3" s="274"/>
      <c r="M3" s="17" t="s">
        <v>2369</v>
      </c>
      <c r="N3" s="407">
        <f>SUM(H2:H4339)</f>
        <v>0</v>
      </c>
      <c r="R3" s="408" t="str">
        <f>'Kilter Holds'!U36</f>
        <v>14-01</v>
      </c>
      <c r="S3" s="1" t="s">
        <v>2376</v>
      </c>
    </row>
    <row r="4" spans="2:19" ht="13.5" customHeight="1">
      <c r="B4" s="209" t="s">
        <v>946</v>
      </c>
      <c r="C4" s="209" t="s">
        <v>2375</v>
      </c>
      <c r="D4" s="448" t="s">
        <v>135</v>
      </c>
      <c r="E4" s="273">
        <v>0</v>
      </c>
      <c r="F4" s="274"/>
      <c r="G4" s="274">
        <f t="shared" si="0"/>
        <v>0</v>
      </c>
      <c r="H4" s="274">
        <v>0</v>
      </c>
      <c r="K4" s="274"/>
      <c r="M4" s="17" t="s">
        <v>2377</v>
      </c>
      <c r="N4" s="407">
        <v>0</v>
      </c>
      <c r="R4" s="409" t="str">
        <f>'Kilter Holds'!V36</f>
        <v>15-12</v>
      </c>
      <c r="S4" s="1" t="s">
        <v>2376</v>
      </c>
    </row>
    <row r="5" spans="2:19" ht="13.5" customHeight="1">
      <c r="B5" s="209" t="s">
        <v>946</v>
      </c>
      <c r="C5" s="209" t="s">
        <v>2375</v>
      </c>
      <c r="D5" s="449" t="s">
        <v>136</v>
      </c>
      <c r="E5" s="273">
        <v>0</v>
      </c>
      <c r="F5" s="274"/>
      <c r="G5" s="274">
        <f t="shared" si="0"/>
        <v>0</v>
      </c>
      <c r="H5" s="274">
        <v>0</v>
      </c>
      <c r="K5" s="274"/>
      <c r="M5" s="17" t="s">
        <v>6</v>
      </c>
      <c r="N5" s="407">
        <f>Bolts!B1185</f>
        <v>3</v>
      </c>
      <c r="R5" s="410" t="str">
        <f>'Kilter Holds'!W36</f>
        <v>16-16</v>
      </c>
      <c r="S5" s="1" t="s">
        <v>2376</v>
      </c>
    </row>
    <row r="6" spans="2:19" ht="13.5" customHeight="1">
      <c r="B6" s="209" t="s">
        <v>946</v>
      </c>
      <c r="C6" s="209" t="s">
        <v>2375</v>
      </c>
      <c r="D6" s="450" t="s">
        <v>137</v>
      </c>
      <c r="E6" s="273">
        <v>0</v>
      </c>
      <c r="F6" s="274"/>
      <c r="G6" s="274">
        <f t="shared" si="0"/>
        <v>0</v>
      </c>
      <c r="H6" s="274">
        <v>0</v>
      </c>
      <c r="K6" s="274"/>
      <c r="M6" s="17" t="s">
        <v>2378</v>
      </c>
      <c r="N6" s="407"/>
      <c r="R6" s="411" t="str">
        <f>'Kilter Holds'!X36</f>
        <v>13-01</v>
      </c>
      <c r="S6" s="1" t="s">
        <v>2376</v>
      </c>
    </row>
    <row r="7" spans="2:19" ht="13.5" customHeight="1">
      <c r="B7" s="209" t="s">
        <v>946</v>
      </c>
      <c r="C7" s="209" t="s">
        <v>2375</v>
      </c>
      <c r="D7" s="451" t="s">
        <v>138</v>
      </c>
      <c r="E7" s="273">
        <v>0</v>
      </c>
      <c r="F7" s="274"/>
      <c r="G7" s="274">
        <f t="shared" si="0"/>
        <v>0</v>
      </c>
      <c r="H7" s="274">
        <v>0</v>
      </c>
      <c r="K7" s="274"/>
      <c r="M7" s="35" t="s">
        <v>15</v>
      </c>
      <c r="N7" s="412" t="e">
        <f ca="1">SUM(N1:N6)</f>
        <v>#NAME?</v>
      </c>
      <c r="R7" s="413" t="str">
        <f>'Kilter Holds'!Y36</f>
        <v>07-13</v>
      </c>
      <c r="S7" s="1" t="s">
        <v>2376</v>
      </c>
    </row>
    <row r="8" spans="2:19" ht="13.5" customHeight="1">
      <c r="B8" s="209" t="s">
        <v>946</v>
      </c>
      <c r="C8" s="209" t="s">
        <v>2375</v>
      </c>
      <c r="D8" s="452" t="s">
        <v>139</v>
      </c>
      <c r="E8" s="273">
        <v>0</v>
      </c>
      <c r="F8" s="274"/>
      <c r="G8" s="274">
        <f t="shared" si="0"/>
        <v>0</v>
      </c>
      <c r="H8" s="274">
        <v>0</v>
      </c>
      <c r="K8" s="274"/>
      <c r="R8" s="414" t="str">
        <f>'Kilter Holds'!Z36</f>
        <v>11-26</v>
      </c>
      <c r="S8" s="1" t="s">
        <v>2376</v>
      </c>
    </row>
    <row r="9" spans="2:19" ht="13.5" customHeight="1">
      <c r="B9" s="209" t="s">
        <v>946</v>
      </c>
      <c r="C9" s="209" t="s">
        <v>2375</v>
      </c>
      <c r="D9" s="216" t="s">
        <v>140</v>
      </c>
      <c r="E9" s="273">
        <v>0</v>
      </c>
      <c r="F9" s="274"/>
      <c r="G9" s="274">
        <f t="shared" si="0"/>
        <v>0</v>
      </c>
      <c r="H9" s="274">
        <v>0</v>
      </c>
      <c r="K9" s="274"/>
      <c r="R9" s="415" t="str">
        <f>'Kilter Holds'!AA36</f>
        <v>18-01</v>
      </c>
      <c r="S9" s="1" t="s">
        <v>2376</v>
      </c>
    </row>
    <row r="10" spans="2:19" ht="13.5" customHeight="1">
      <c r="B10" s="209" t="s">
        <v>946</v>
      </c>
      <c r="C10" s="209" t="s">
        <v>2375</v>
      </c>
      <c r="D10" s="453" t="s">
        <v>141</v>
      </c>
      <c r="E10" s="273">
        <v>0</v>
      </c>
      <c r="F10" s="274"/>
      <c r="G10" s="274">
        <f t="shared" si="0"/>
        <v>0</v>
      </c>
      <c r="H10" s="274">
        <v>0</v>
      </c>
      <c r="K10" s="274"/>
      <c r="R10" s="416" t="str">
        <f>'Kilter Holds'!AB36</f>
        <v>Color Code</v>
      </c>
      <c r="S10" s="1" t="s">
        <v>2379</v>
      </c>
    </row>
    <row r="11" spans="2:19" ht="13.5" customHeight="1">
      <c r="B11" s="209" t="s">
        <v>286</v>
      </c>
      <c r="C11" s="209" t="s">
        <v>2380</v>
      </c>
      <c r="D11" s="446" t="s">
        <v>133</v>
      </c>
      <c r="E11" s="273">
        <v>0</v>
      </c>
      <c r="F11" s="274"/>
      <c r="G11" s="274">
        <f t="shared" si="0"/>
        <v>0</v>
      </c>
      <c r="H11" s="274">
        <v>0</v>
      </c>
      <c r="K11" s="274"/>
      <c r="R11" s="209" t="s">
        <v>2381</v>
      </c>
      <c r="S11" s="1" t="s">
        <v>2376</v>
      </c>
    </row>
    <row r="12" spans="2:19" ht="13.5" customHeight="1">
      <c r="B12" s="209" t="s">
        <v>286</v>
      </c>
      <c r="C12" s="209" t="s">
        <v>2380</v>
      </c>
      <c r="D12" s="447" t="s">
        <v>134</v>
      </c>
      <c r="E12" s="273">
        <v>0</v>
      </c>
      <c r="F12" s="274"/>
      <c r="G12" s="274">
        <f t="shared" si="0"/>
        <v>0</v>
      </c>
      <c r="H12" s="274">
        <v>0</v>
      </c>
      <c r="K12" s="274"/>
      <c r="S12" s="1"/>
    </row>
    <row r="13" spans="2:19" ht="13.5" customHeight="1">
      <c r="B13" s="209" t="s">
        <v>286</v>
      </c>
      <c r="C13" s="209" t="s">
        <v>2380</v>
      </c>
      <c r="D13" s="448" t="s">
        <v>135</v>
      </c>
      <c r="E13" s="273">
        <v>0</v>
      </c>
      <c r="F13" s="274"/>
      <c r="G13" s="274">
        <f t="shared" si="0"/>
        <v>0</v>
      </c>
      <c r="H13" s="274">
        <v>0</v>
      </c>
      <c r="K13" s="274"/>
    </row>
    <row r="14" spans="2:19" ht="13.5" customHeight="1">
      <c r="B14" s="209" t="s">
        <v>286</v>
      </c>
      <c r="C14" s="209" t="s">
        <v>2380</v>
      </c>
      <c r="D14" s="449" t="s">
        <v>136</v>
      </c>
      <c r="E14" s="273">
        <v>0</v>
      </c>
      <c r="F14" s="274"/>
      <c r="G14" s="274">
        <f t="shared" si="0"/>
        <v>0</v>
      </c>
      <c r="H14" s="274">
        <v>0</v>
      </c>
      <c r="K14" s="274"/>
    </row>
    <row r="15" spans="2:19" ht="13.5" customHeight="1">
      <c r="B15" s="209" t="s">
        <v>286</v>
      </c>
      <c r="C15" s="209" t="s">
        <v>2380</v>
      </c>
      <c r="D15" s="450" t="s">
        <v>137</v>
      </c>
      <c r="E15" s="273">
        <v>0</v>
      </c>
      <c r="F15" s="274"/>
      <c r="G15" s="274">
        <f t="shared" si="0"/>
        <v>0</v>
      </c>
      <c r="H15" s="274">
        <v>0</v>
      </c>
      <c r="K15" s="274"/>
    </row>
    <row r="16" spans="2:19" ht="13.5" customHeight="1">
      <c r="B16" s="209" t="s">
        <v>286</v>
      </c>
      <c r="C16" s="209" t="s">
        <v>2380</v>
      </c>
      <c r="D16" s="451" t="s">
        <v>138</v>
      </c>
      <c r="E16" s="273">
        <v>0</v>
      </c>
      <c r="F16" s="274"/>
      <c r="G16" s="274">
        <f t="shared" si="0"/>
        <v>0</v>
      </c>
      <c r="H16" s="274">
        <v>0</v>
      </c>
      <c r="K16" s="274"/>
    </row>
    <row r="17" spans="2:13" ht="13.5" customHeight="1">
      <c r="B17" s="209" t="s">
        <v>286</v>
      </c>
      <c r="C17" s="209" t="s">
        <v>2380</v>
      </c>
      <c r="D17" s="452" t="s">
        <v>139</v>
      </c>
      <c r="E17" s="273">
        <v>0</v>
      </c>
      <c r="F17" s="274"/>
      <c r="G17" s="274">
        <f t="shared" si="0"/>
        <v>0</v>
      </c>
      <c r="H17" s="274">
        <v>0</v>
      </c>
      <c r="K17" s="274"/>
    </row>
    <row r="18" spans="2:13" ht="13.5" customHeight="1">
      <c r="B18" s="209" t="s">
        <v>286</v>
      </c>
      <c r="C18" s="209" t="s">
        <v>2380</v>
      </c>
      <c r="D18" s="216" t="s">
        <v>140</v>
      </c>
      <c r="E18" s="273">
        <v>0</v>
      </c>
      <c r="F18" s="274"/>
      <c r="G18" s="274">
        <f t="shared" si="0"/>
        <v>0</v>
      </c>
      <c r="H18" s="274">
        <v>0</v>
      </c>
      <c r="K18" s="274"/>
    </row>
    <row r="19" spans="2:13" ht="13.5" customHeight="1">
      <c r="B19" s="209" t="s">
        <v>286</v>
      </c>
      <c r="C19" s="209" t="s">
        <v>2380</v>
      </c>
      <c r="D19" s="453" t="s">
        <v>141</v>
      </c>
      <c r="E19" s="273">
        <v>0</v>
      </c>
      <c r="F19" s="274"/>
      <c r="G19" s="274">
        <f t="shared" si="0"/>
        <v>0</v>
      </c>
      <c r="H19" s="274">
        <v>0</v>
      </c>
      <c r="K19" s="274"/>
    </row>
    <row r="20" spans="2:13" ht="13.5" customHeight="1">
      <c r="B20" s="209" t="s">
        <v>964</v>
      </c>
      <c r="C20" s="209" t="s">
        <v>2382</v>
      </c>
      <c r="D20" s="446" t="s">
        <v>133</v>
      </c>
      <c r="E20" s="273">
        <v>0</v>
      </c>
      <c r="F20" s="274"/>
      <c r="G20" s="274">
        <f t="shared" si="0"/>
        <v>0</v>
      </c>
      <c r="H20" s="274">
        <v>0</v>
      </c>
      <c r="K20" s="274"/>
    </row>
    <row r="21" spans="2:13" ht="13.5" customHeight="1">
      <c r="B21" s="209" t="s">
        <v>964</v>
      </c>
      <c r="C21" s="209" t="s">
        <v>2382</v>
      </c>
      <c r="D21" s="447" t="s">
        <v>134</v>
      </c>
      <c r="E21" s="273">
        <v>0</v>
      </c>
      <c r="F21" s="274"/>
      <c r="G21" s="274">
        <f t="shared" si="0"/>
        <v>0</v>
      </c>
      <c r="H21" s="274">
        <v>0</v>
      </c>
      <c r="K21" s="274"/>
    </row>
    <row r="22" spans="2:13" ht="13.5" customHeight="1">
      <c r="B22" s="209" t="s">
        <v>964</v>
      </c>
      <c r="C22" s="209" t="s">
        <v>2382</v>
      </c>
      <c r="D22" s="448" t="s">
        <v>135</v>
      </c>
      <c r="E22" s="273">
        <v>0</v>
      </c>
      <c r="F22" s="274"/>
      <c r="G22" s="274">
        <f t="shared" si="0"/>
        <v>0</v>
      </c>
      <c r="H22" s="274">
        <v>0</v>
      </c>
      <c r="K22" s="274"/>
    </row>
    <row r="23" spans="2:13" ht="13.5" customHeight="1">
      <c r="B23" s="209" t="s">
        <v>964</v>
      </c>
      <c r="C23" s="209" t="s">
        <v>2382</v>
      </c>
      <c r="D23" s="449" t="s">
        <v>136</v>
      </c>
      <c r="E23" s="273">
        <v>0</v>
      </c>
      <c r="F23" s="274"/>
      <c r="G23" s="274">
        <f t="shared" si="0"/>
        <v>0</v>
      </c>
      <c r="H23" s="274">
        <v>0</v>
      </c>
      <c r="K23" s="274"/>
    </row>
    <row r="24" spans="2:13" ht="13.5" customHeight="1">
      <c r="B24" s="209" t="s">
        <v>964</v>
      </c>
      <c r="C24" s="209" t="s">
        <v>2382</v>
      </c>
      <c r="D24" s="450" t="s">
        <v>137</v>
      </c>
      <c r="E24" s="273">
        <v>0</v>
      </c>
      <c r="F24" s="274"/>
      <c r="G24" s="274">
        <f t="shared" si="0"/>
        <v>0</v>
      </c>
      <c r="H24" s="274">
        <v>0</v>
      </c>
      <c r="K24" s="274"/>
    </row>
    <row r="25" spans="2:13" ht="13.5" customHeight="1">
      <c r="B25" s="209" t="s">
        <v>964</v>
      </c>
      <c r="C25" s="209" t="s">
        <v>2382</v>
      </c>
      <c r="D25" s="451" t="s">
        <v>138</v>
      </c>
      <c r="E25" s="273">
        <v>0</v>
      </c>
      <c r="F25" s="274"/>
      <c r="G25" s="274">
        <f t="shared" si="0"/>
        <v>0</v>
      </c>
      <c r="H25" s="274">
        <v>0</v>
      </c>
      <c r="K25" s="274"/>
      <c r="M25" s="1"/>
    </row>
    <row r="26" spans="2:13" ht="13.5" customHeight="1">
      <c r="B26" s="209" t="s">
        <v>964</v>
      </c>
      <c r="C26" s="209" t="s">
        <v>2382</v>
      </c>
      <c r="D26" s="452" t="s">
        <v>139</v>
      </c>
      <c r="E26" s="273">
        <v>0</v>
      </c>
      <c r="F26" s="274"/>
      <c r="G26" s="274">
        <f t="shared" si="0"/>
        <v>0</v>
      </c>
      <c r="H26" s="274">
        <v>0</v>
      </c>
      <c r="K26" s="274"/>
      <c r="L26" s="1"/>
    </row>
    <row r="27" spans="2:13" ht="13.5" customHeight="1">
      <c r="B27" s="209" t="s">
        <v>964</v>
      </c>
      <c r="C27" s="209" t="s">
        <v>2382</v>
      </c>
      <c r="D27" s="216" t="s">
        <v>140</v>
      </c>
      <c r="E27" s="273">
        <v>0</v>
      </c>
      <c r="F27" s="274"/>
      <c r="G27" s="274">
        <f t="shared" si="0"/>
        <v>0</v>
      </c>
      <c r="H27" s="274">
        <v>0</v>
      </c>
      <c r="K27" s="274"/>
    </row>
    <row r="28" spans="2:13" ht="13.5" customHeight="1">
      <c r="B28" s="209" t="s">
        <v>964</v>
      </c>
      <c r="C28" s="209" t="s">
        <v>2382</v>
      </c>
      <c r="D28" s="453" t="s">
        <v>141</v>
      </c>
      <c r="E28" s="273">
        <v>0</v>
      </c>
      <c r="F28" s="274"/>
      <c r="G28" s="274">
        <f t="shared" si="0"/>
        <v>0</v>
      </c>
      <c r="H28" s="274">
        <v>0</v>
      </c>
      <c r="K28" s="274"/>
    </row>
    <row r="29" spans="2:13" ht="13.5" customHeight="1">
      <c r="B29" s="209" t="s">
        <v>1157</v>
      </c>
      <c r="C29" s="209" t="s">
        <v>2383</v>
      </c>
      <c r="D29" s="446" t="s">
        <v>133</v>
      </c>
      <c r="E29" s="273">
        <v>0</v>
      </c>
      <c r="F29" s="274"/>
      <c r="G29" s="274">
        <f t="shared" si="0"/>
        <v>0</v>
      </c>
      <c r="H29" s="274">
        <v>0</v>
      </c>
      <c r="K29" s="274"/>
    </row>
    <row r="30" spans="2:13" ht="13.5" customHeight="1">
      <c r="B30" s="209" t="s">
        <v>1157</v>
      </c>
      <c r="C30" s="209" t="s">
        <v>2383</v>
      </c>
      <c r="D30" s="447" t="s">
        <v>134</v>
      </c>
      <c r="E30" s="273">
        <v>0</v>
      </c>
      <c r="F30" s="274"/>
      <c r="G30" s="274">
        <f t="shared" si="0"/>
        <v>0</v>
      </c>
      <c r="H30" s="274">
        <v>0</v>
      </c>
      <c r="K30" s="274"/>
    </row>
    <row r="31" spans="2:13" ht="13.5" customHeight="1">
      <c r="B31" s="209" t="s">
        <v>1157</v>
      </c>
      <c r="C31" s="209" t="s">
        <v>2383</v>
      </c>
      <c r="D31" s="448" t="s">
        <v>135</v>
      </c>
      <c r="E31" s="273">
        <v>0</v>
      </c>
      <c r="F31" s="274"/>
      <c r="G31" s="274">
        <f t="shared" si="0"/>
        <v>0</v>
      </c>
      <c r="H31" s="274">
        <v>0</v>
      </c>
      <c r="K31" s="274"/>
    </row>
    <row r="32" spans="2:13" ht="13.5" customHeight="1">
      <c r="B32" s="209" t="s">
        <v>1157</v>
      </c>
      <c r="C32" s="209" t="s">
        <v>2383</v>
      </c>
      <c r="D32" s="449" t="s">
        <v>136</v>
      </c>
      <c r="E32" s="273">
        <v>0</v>
      </c>
      <c r="F32" s="274"/>
      <c r="G32" s="274">
        <f t="shared" si="0"/>
        <v>0</v>
      </c>
      <c r="H32" s="274">
        <v>0</v>
      </c>
      <c r="K32" s="274"/>
    </row>
    <row r="33" spans="2:11" ht="13.5" customHeight="1">
      <c r="B33" s="209" t="s">
        <v>1157</v>
      </c>
      <c r="C33" s="209" t="s">
        <v>2383</v>
      </c>
      <c r="D33" s="450" t="s">
        <v>137</v>
      </c>
      <c r="E33" s="273">
        <v>0</v>
      </c>
      <c r="F33" s="274"/>
      <c r="G33" s="274">
        <f t="shared" si="0"/>
        <v>0</v>
      </c>
      <c r="H33" s="274">
        <v>0</v>
      </c>
      <c r="K33" s="274"/>
    </row>
    <row r="34" spans="2:11" ht="13.5" customHeight="1">
      <c r="B34" s="209" t="s">
        <v>1157</v>
      </c>
      <c r="C34" s="209" t="s">
        <v>2383</v>
      </c>
      <c r="D34" s="451" t="s">
        <v>138</v>
      </c>
      <c r="E34" s="273">
        <v>0</v>
      </c>
      <c r="F34" s="274"/>
      <c r="G34" s="274">
        <f t="shared" si="0"/>
        <v>0</v>
      </c>
      <c r="H34" s="274">
        <v>0</v>
      </c>
      <c r="K34" s="274"/>
    </row>
    <row r="35" spans="2:11" ht="13.5" customHeight="1">
      <c r="B35" s="209" t="s">
        <v>1157</v>
      </c>
      <c r="C35" s="209" t="s">
        <v>2383</v>
      </c>
      <c r="D35" s="452" t="s">
        <v>139</v>
      </c>
      <c r="E35" s="273">
        <v>0</v>
      </c>
      <c r="F35" s="274"/>
      <c r="G35" s="274">
        <f t="shared" si="0"/>
        <v>0</v>
      </c>
      <c r="H35" s="274">
        <v>0</v>
      </c>
      <c r="K35" s="274"/>
    </row>
    <row r="36" spans="2:11" ht="13.5" customHeight="1">
      <c r="B36" s="209" t="s">
        <v>1157</v>
      </c>
      <c r="C36" s="209" t="s">
        <v>2383</v>
      </c>
      <c r="D36" s="216" t="s">
        <v>140</v>
      </c>
      <c r="E36" s="273">
        <v>0</v>
      </c>
      <c r="F36" s="274"/>
      <c r="G36" s="274">
        <f t="shared" si="0"/>
        <v>0</v>
      </c>
      <c r="H36" s="274">
        <v>0</v>
      </c>
      <c r="K36" s="274"/>
    </row>
    <row r="37" spans="2:11" ht="13.5" customHeight="1">
      <c r="B37" s="209" t="s">
        <v>1157</v>
      </c>
      <c r="C37" s="209" t="s">
        <v>2383</v>
      </c>
      <c r="D37" s="453" t="s">
        <v>141</v>
      </c>
      <c r="E37" s="273">
        <v>0</v>
      </c>
      <c r="F37" s="274"/>
      <c r="G37" s="274">
        <f t="shared" si="0"/>
        <v>0</v>
      </c>
      <c r="H37" s="274">
        <v>0</v>
      </c>
      <c r="K37" s="274"/>
    </row>
    <row r="38" spans="2:11" ht="13.5" customHeight="1">
      <c r="B38" s="209" t="s">
        <v>1095</v>
      </c>
      <c r="C38" s="209" t="s">
        <v>2384</v>
      </c>
      <c r="D38" s="446" t="s">
        <v>133</v>
      </c>
      <c r="E38" s="273">
        <v>0</v>
      </c>
      <c r="F38" s="274"/>
      <c r="G38" s="274">
        <f t="shared" si="0"/>
        <v>0</v>
      </c>
      <c r="H38" s="274">
        <v>0</v>
      </c>
      <c r="K38" s="274"/>
    </row>
    <row r="39" spans="2:11" ht="13.5" customHeight="1">
      <c r="B39" s="209" t="s">
        <v>1095</v>
      </c>
      <c r="C39" s="209" t="s">
        <v>2384</v>
      </c>
      <c r="D39" s="447" t="s">
        <v>134</v>
      </c>
      <c r="E39" s="273">
        <v>0</v>
      </c>
      <c r="F39" s="274"/>
      <c r="G39" s="274">
        <f t="shared" si="0"/>
        <v>0</v>
      </c>
      <c r="H39" s="274">
        <v>0</v>
      </c>
      <c r="K39" s="274"/>
    </row>
    <row r="40" spans="2:11" ht="13.5" customHeight="1">
      <c r="B40" s="209" t="s">
        <v>1095</v>
      </c>
      <c r="C40" s="209" t="s">
        <v>2384</v>
      </c>
      <c r="D40" s="448" t="s">
        <v>135</v>
      </c>
      <c r="E40" s="273">
        <v>0</v>
      </c>
      <c r="F40" s="274"/>
      <c r="G40" s="274">
        <f t="shared" si="0"/>
        <v>0</v>
      </c>
      <c r="H40" s="274">
        <v>0</v>
      </c>
      <c r="K40" s="274"/>
    </row>
    <row r="41" spans="2:11" ht="13.5" customHeight="1">
      <c r="B41" s="209" t="s">
        <v>1095</v>
      </c>
      <c r="C41" s="209" t="s">
        <v>2384</v>
      </c>
      <c r="D41" s="449" t="s">
        <v>136</v>
      </c>
      <c r="E41" s="273">
        <v>0</v>
      </c>
      <c r="F41" s="274"/>
      <c r="G41" s="274">
        <f t="shared" si="0"/>
        <v>0</v>
      </c>
      <c r="H41" s="274">
        <v>0</v>
      </c>
      <c r="K41" s="274"/>
    </row>
    <row r="42" spans="2:11" ht="13.5" customHeight="1">
      <c r="B42" s="209" t="s">
        <v>1095</v>
      </c>
      <c r="C42" s="209" t="s">
        <v>2384</v>
      </c>
      <c r="D42" s="450" t="s">
        <v>137</v>
      </c>
      <c r="E42" s="273">
        <v>0</v>
      </c>
      <c r="F42" s="274"/>
      <c r="G42" s="274">
        <f t="shared" si="0"/>
        <v>0</v>
      </c>
      <c r="H42" s="274">
        <v>0</v>
      </c>
      <c r="K42" s="274"/>
    </row>
    <row r="43" spans="2:11" ht="13.5" customHeight="1">
      <c r="B43" s="209" t="s">
        <v>1095</v>
      </c>
      <c r="C43" s="209" t="s">
        <v>2384</v>
      </c>
      <c r="D43" s="451" t="s">
        <v>138</v>
      </c>
      <c r="E43" s="273">
        <v>0</v>
      </c>
      <c r="F43" s="274"/>
      <c r="G43" s="274">
        <f t="shared" si="0"/>
        <v>0</v>
      </c>
      <c r="H43" s="274">
        <v>0</v>
      </c>
      <c r="K43" s="274"/>
    </row>
    <row r="44" spans="2:11" ht="13.5" customHeight="1">
      <c r="B44" s="209" t="s">
        <v>1095</v>
      </c>
      <c r="C44" s="209" t="s">
        <v>2384</v>
      </c>
      <c r="D44" s="452" t="s">
        <v>139</v>
      </c>
      <c r="E44" s="273">
        <v>0</v>
      </c>
      <c r="F44" s="274"/>
      <c r="G44" s="274">
        <f t="shared" si="0"/>
        <v>0</v>
      </c>
      <c r="H44" s="274">
        <v>0</v>
      </c>
      <c r="K44" s="274"/>
    </row>
    <row r="45" spans="2:11" ht="13.5" customHeight="1">
      <c r="B45" s="209" t="s">
        <v>1095</v>
      </c>
      <c r="C45" s="209" t="s">
        <v>2384</v>
      </c>
      <c r="D45" s="216" t="s">
        <v>140</v>
      </c>
      <c r="E45" s="273">
        <v>0</v>
      </c>
      <c r="F45" s="274"/>
      <c r="G45" s="274">
        <f t="shared" si="0"/>
        <v>0</v>
      </c>
      <c r="H45" s="274">
        <v>0</v>
      </c>
      <c r="K45" s="274"/>
    </row>
    <row r="46" spans="2:11" ht="13.5" customHeight="1">
      <c r="B46" s="209" t="s">
        <v>1095</v>
      </c>
      <c r="C46" s="209" t="s">
        <v>2384</v>
      </c>
      <c r="D46" s="453" t="s">
        <v>141</v>
      </c>
      <c r="E46" s="273">
        <v>0</v>
      </c>
      <c r="F46" s="274"/>
      <c r="G46" s="274">
        <f t="shared" si="0"/>
        <v>0</v>
      </c>
      <c r="H46" s="274">
        <v>0</v>
      </c>
      <c r="K46" s="274"/>
    </row>
    <row r="47" spans="2:11" ht="13.5" customHeight="1">
      <c r="B47" s="209" t="s">
        <v>1097</v>
      </c>
      <c r="C47" s="209" t="s">
        <v>2385</v>
      </c>
      <c r="D47" s="446" t="s">
        <v>133</v>
      </c>
      <c r="E47" s="273">
        <v>0</v>
      </c>
      <c r="F47" s="274"/>
      <c r="G47" s="274">
        <f t="shared" si="0"/>
        <v>0</v>
      </c>
      <c r="H47" s="274">
        <v>0</v>
      </c>
      <c r="K47" s="274"/>
    </row>
    <row r="48" spans="2:11" ht="13.5" customHeight="1">
      <c r="B48" s="209" t="s">
        <v>1097</v>
      </c>
      <c r="C48" s="209" t="s">
        <v>2385</v>
      </c>
      <c r="D48" s="447" t="s">
        <v>134</v>
      </c>
      <c r="E48" s="273">
        <v>0</v>
      </c>
      <c r="F48" s="274"/>
      <c r="G48" s="274">
        <f t="shared" si="0"/>
        <v>0</v>
      </c>
      <c r="H48" s="274">
        <v>0</v>
      </c>
      <c r="K48" s="274"/>
    </row>
    <row r="49" spans="2:11" ht="13.5" customHeight="1">
      <c r="B49" s="209" t="s">
        <v>1097</v>
      </c>
      <c r="C49" s="209" t="s">
        <v>2385</v>
      </c>
      <c r="D49" s="448" t="s">
        <v>135</v>
      </c>
      <c r="E49" s="273">
        <v>0</v>
      </c>
      <c r="F49" s="274"/>
      <c r="G49" s="274">
        <f t="shared" si="0"/>
        <v>0</v>
      </c>
      <c r="H49" s="274">
        <v>0</v>
      </c>
      <c r="K49" s="274"/>
    </row>
    <row r="50" spans="2:11" ht="13.5" customHeight="1">
      <c r="B50" s="209" t="s">
        <v>1097</v>
      </c>
      <c r="C50" s="209" t="s">
        <v>2385</v>
      </c>
      <c r="D50" s="449" t="s">
        <v>136</v>
      </c>
      <c r="E50" s="273">
        <v>0</v>
      </c>
      <c r="F50" s="274"/>
      <c r="G50" s="274">
        <f t="shared" si="0"/>
        <v>0</v>
      </c>
      <c r="H50" s="274">
        <v>0</v>
      </c>
      <c r="K50" s="274"/>
    </row>
    <row r="51" spans="2:11" ht="13.5" customHeight="1">
      <c r="B51" s="209" t="s">
        <v>1097</v>
      </c>
      <c r="C51" s="209" t="s">
        <v>2385</v>
      </c>
      <c r="D51" s="450" t="s">
        <v>137</v>
      </c>
      <c r="E51" s="273">
        <v>0</v>
      </c>
      <c r="F51" s="274"/>
      <c r="G51" s="274">
        <f t="shared" si="0"/>
        <v>0</v>
      </c>
      <c r="H51" s="274">
        <v>0</v>
      </c>
      <c r="K51" s="274"/>
    </row>
    <row r="52" spans="2:11" ht="13.5" customHeight="1">
      <c r="B52" s="209" t="s">
        <v>1097</v>
      </c>
      <c r="C52" s="209" t="s">
        <v>2385</v>
      </c>
      <c r="D52" s="451" t="s">
        <v>138</v>
      </c>
      <c r="E52" s="273">
        <v>0</v>
      </c>
      <c r="F52" s="274"/>
      <c r="G52" s="274">
        <f t="shared" si="0"/>
        <v>0</v>
      </c>
      <c r="H52" s="274">
        <v>0</v>
      </c>
      <c r="K52" s="274"/>
    </row>
    <row r="53" spans="2:11" ht="13.5" customHeight="1">
      <c r="B53" s="209" t="s">
        <v>1097</v>
      </c>
      <c r="C53" s="209" t="s">
        <v>2385</v>
      </c>
      <c r="D53" s="452" t="s">
        <v>139</v>
      </c>
      <c r="E53" s="273">
        <v>0</v>
      </c>
      <c r="F53" s="274"/>
      <c r="G53" s="274">
        <f t="shared" si="0"/>
        <v>0</v>
      </c>
      <c r="H53" s="274">
        <v>0</v>
      </c>
      <c r="K53" s="274"/>
    </row>
    <row r="54" spans="2:11" ht="13.5" customHeight="1">
      <c r="B54" s="209" t="s">
        <v>1097</v>
      </c>
      <c r="C54" s="209" t="s">
        <v>2385</v>
      </c>
      <c r="D54" s="216" t="s">
        <v>140</v>
      </c>
      <c r="E54" s="273">
        <v>0</v>
      </c>
      <c r="F54" s="274"/>
      <c r="G54" s="274">
        <f t="shared" si="0"/>
        <v>0</v>
      </c>
      <c r="H54" s="274">
        <v>0</v>
      </c>
      <c r="K54" s="274"/>
    </row>
    <row r="55" spans="2:11" ht="13.5" customHeight="1">
      <c r="B55" s="209" t="s">
        <v>1097</v>
      </c>
      <c r="C55" s="209" t="s">
        <v>2385</v>
      </c>
      <c r="D55" s="453" t="s">
        <v>141</v>
      </c>
      <c r="E55" s="273">
        <v>0</v>
      </c>
      <c r="F55" s="274"/>
      <c r="G55" s="274">
        <f t="shared" si="0"/>
        <v>0</v>
      </c>
      <c r="H55" s="274">
        <v>0</v>
      </c>
      <c r="K55" s="274"/>
    </row>
    <row r="56" spans="2:11" ht="13.5" customHeight="1">
      <c r="B56" s="209" t="s">
        <v>948</v>
      </c>
      <c r="C56" s="209" t="s">
        <v>2386</v>
      </c>
      <c r="D56" s="446" t="s">
        <v>133</v>
      </c>
      <c r="E56" s="273">
        <v>0</v>
      </c>
      <c r="F56" s="274"/>
      <c r="G56" s="274">
        <f t="shared" si="0"/>
        <v>0</v>
      </c>
      <c r="H56" s="274">
        <v>0</v>
      </c>
      <c r="K56" s="274"/>
    </row>
    <row r="57" spans="2:11" ht="13.5" customHeight="1">
      <c r="B57" s="209" t="s">
        <v>948</v>
      </c>
      <c r="C57" s="209" t="s">
        <v>2386</v>
      </c>
      <c r="D57" s="447" t="s">
        <v>134</v>
      </c>
      <c r="E57" s="273">
        <v>0</v>
      </c>
      <c r="F57" s="274"/>
      <c r="G57" s="274">
        <f t="shared" si="0"/>
        <v>0</v>
      </c>
      <c r="H57" s="274">
        <v>0</v>
      </c>
      <c r="K57" s="274"/>
    </row>
    <row r="58" spans="2:11" ht="13.5" customHeight="1">
      <c r="B58" s="209" t="s">
        <v>948</v>
      </c>
      <c r="C58" s="209" t="s">
        <v>2386</v>
      </c>
      <c r="D58" s="448" t="s">
        <v>135</v>
      </c>
      <c r="E58" s="273">
        <v>0</v>
      </c>
      <c r="F58" s="274"/>
      <c r="G58" s="274">
        <f t="shared" si="0"/>
        <v>0</v>
      </c>
      <c r="H58" s="274">
        <v>0</v>
      </c>
      <c r="K58" s="274"/>
    </row>
    <row r="59" spans="2:11" ht="13.5" customHeight="1">
      <c r="B59" s="209" t="s">
        <v>948</v>
      </c>
      <c r="C59" s="209" t="s">
        <v>2386</v>
      </c>
      <c r="D59" s="449" t="s">
        <v>136</v>
      </c>
      <c r="E59" s="273">
        <v>0</v>
      </c>
      <c r="F59" s="274"/>
      <c r="G59" s="274">
        <f t="shared" si="0"/>
        <v>0</v>
      </c>
      <c r="H59" s="274">
        <v>0</v>
      </c>
      <c r="K59" s="274"/>
    </row>
    <row r="60" spans="2:11" ht="13.5" customHeight="1">
      <c r="B60" s="209" t="s">
        <v>948</v>
      </c>
      <c r="C60" s="209" t="s">
        <v>2386</v>
      </c>
      <c r="D60" s="450" t="s">
        <v>137</v>
      </c>
      <c r="E60" s="273">
        <v>0</v>
      </c>
      <c r="F60" s="274"/>
      <c r="G60" s="274">
        <f t="shared" si="0"/>
        <v>0</v>
      </c>
      <c r="H60" s="274">
        <v>0</v>
      </c>
      <c r="K60" s="274"/>
    </row>
    <row r="61" spans="2:11" ht="13.5" customHeight="1">
      <c r="B61" s="209" t="s">
        <v>948</v>
      </c>
      <c r="C61" s="209" t="s">
        <v>2386</v>
      </c>
      <c r="D61" s="451" t="s">
        <v>138</v>
      </c>
      <c r="E61" s="273">
        <v>0</v>
      </c>
      <c r="F61" s="274"/>
      <c r="G61" s="274">
        <f t="shared" si="0"/>
        <v>0</v>
      </c>
      <c r="H61" s="274">
        <v>0</v>
      </c>
      <c r="K61" s="274"/>
    </row>
    <row r="62" spans="2:11" ht="13.5" customHeight="1">
      <c r="B62" s="209" t="s">
        <v>948</v>
      </c>
      <c r="C62" s="209" t="s">
        <v>2386</v>
      </c>
      <c r="D62" s="452" t="s">
        <v>139</v>
      </c>
      <c r="E62" s="273">
        <v>0</v>
      </c>
      <c r="F62" s="274"/>
      <c r="G62" s="274">
        <f t="shared" si="0"/>
        <v>0</v>
      </c>
      <c r="H62" s="274">
        <v>0</v>
      </c>
      <c r="K62" s="274"/>
    </row>
    <row r="63" spans="2:11" ht="13.5" customHeight="1">
      <c r="B63" s="209" t="s">
        <v>948</v>
      </c>
      <c r="C63" s="209" t="s">
        <v>2386</v>
      </c>
      <c r="D63" s="216" t="s">
        <v>140</v>
      </c>
      <c r="E63" s="273">
        <v>0</v>
      </c>
      <c r="F63" s="274"/>
      <c r="G63" s="274">
        <f t="shared" si="0"/>
        <v>0</v>
      </c>
      <c r="H63" s="274">
        <v>0</v>
      </c>
      <c r="K63" s="274"/>
    </row>
    <row r="64" spans="2:11" ht="13.5" customHeight="1">
      <c r="B64" s="209" t="s">
        <v>948</v>
      </c>
      <c r="C64" s="209" t="s">
        <v>2386</v>
      </c>
      <c r="D64" s="453" t="s">
        <v>141</v>
      </c>
      <c r="E64" s="273">
        <v>0</v>
      </c>
      <c r="F64" s="274"/>
      <c r="G64" s="274">
        <f t="shared" si="0"/>
        <v>0</v>
      </c>
      <c r="H64" s="274">
        <v>0</v>
      </c>
      <c r="K64" s="274"/>
    </row>
    <row r="65" spans="2:11" ht="13.5" customHeight="1">
      <c r="B65" s="209" t="s">
        <v>950</v>
      </c>
      <c r="C65" s="209" t="s">
        <v>2387</v>
      </c>
      <c r="D65" s="446" t="s">
        <v>133</v>
      </c>
      <c r="E65" s="273">
        <v>0</v>
      </c>
      <c r="F65" s="274"/>
      <c r="G65" s="274">
        <f t="shared" si="0"/>
        <v>0</v>
      </c>
      <c r="H65" s="274">
        <v>0</v>
      </c>
      <c r="K65" s="274"/>
    </row>
    <row r="66" spans="2:11" ht="13.5" customHeight="1">
      <c r="B66" s="209" t="s">
        <v>950</v>
      </c>
      <c r="C66" s="209" t="s">
        <v>2387</v>
      </c>
      <c r="D66" s="447" t="s">
        <v>134</v>
      </c>
      <c r="E66" s="273">
        <v>0</v>
      </c>
      <c r="F66" s="274"/>
      <c r="G66" s="274">
        <f t="shared" si="0"/>
        <v>0</v>
      </c>
      <c r="H66" s="274">
        <v>0</v>
      </c>
      <c r="K66" s="274"/>
    </row>
    <row r="67" spans="2:11" ht="13.5" customHeight="1">
      <c r="B67" s="209" t="s">
        <v>950</v>
      </c>
      <c r="C67" s="209" t="s">
        <v>2387</v>
      </c>
      <c r="D67" s="448" t="s">
        <v>135</v>
      </c>
      <c r="E67" s="273">
        <v>0</v>
      </c>
      <c r="F67" s="274"/>
      <c r="G67" s="274">
        <f t="shared" si="0"/>
        <v>0</v>
      </c>
      <c r="H67" s="274">
        <v>0</v>
      </c>
      <c r="K67" s="274"/>
    </row>
    <row r="68" spans="2:11" ht="13.5" customHeight="1">
      <c r="B68" s="209" t="s">
        <v>950</v>
      </c>
      <c r="C68" s="209" t="s">
        <v>2387</v>
      </c>
      <c r="D68" s="449" t="s">
        <v>136</v>
      </c>
      <c r="E68" s="273">
        <v>0</v>
      </c>
      <c r="F68" s="274"/>
      <c r="G68" s="274">
        <f t="shared" si="0"/>
        <v>0</v>
      </c>
      <c r="H68" s="274">
        <v>0</v>
      </c>
      <c r="K68" s="274"/>
    </row>
    <row r="69" spans="2:11" ht="13.5" customHeight="1">
      <c r="B69" s="209" t="s">
        <v>950</v>
      </c>
      <c r="C69" s="209" t="s">
        <v>2387</v>
      </c>
      <c r="D69" s="450" t="s">
        <v>137</v>
      </c>
      <c r="E69" s="273">
        <v>0</v>
      </c>
      <c r="F69" s="274"/>
      <c r="G69" s="274">
        <f t="shared" si="0"/>
        <v>0</v>
      </c>
      <c r="H69" s="274">
        <v>0</v>
      </c>
      <c r="K69" s="274"/>
    </row>
    <row r="70" spans="2:11" ht="13.5" customHeight="1">
      <c r="B70" s="209" t="s">
        <v>950</v>
      </c>
      <c r="C70" s="209" t="s">
        <v>2387</v>
      </c>
      <c r="D70" s="451" t="s">
        <v>138</v>
      </c>
      <c r="E70" s="273">
        <v>0</v>
      </c>
      <c r="F70" s="274"/>
      <c r="G70" s="274">
        <f t="shared" si="0"/>
        <v>0</v>
      </c>
      <c r="H70" s="274">
        <v>0</v>
      </c>
      <c r="K70" s="274"/>
    </row>
    <row r="71" spans="2:11" ht="13.5" customHeight="1">
      <c r="B71" s="209" t="s">
        <v>950</v>
      </c>
      <c r="C71" s="209" t="s">
        <v>2387</v>
      </c>
      <c r="D71" s="452" t="s">
        <v>139</v>
      </c>
      <c r="E71" s="273">
        <v>0</v>
      </c>
      <c r="F71" s="274"/>
      <c r="G71" s="274">
        <f t="shared" si="0"/>
        <v>0</v>
      </c>
      <c r="H71" s="274">
        <v>0</v>
      </c>
      <c r="K71" s="274"/>
    </row>
    <row r="72" spans="2:11" ht="13.5" customHeight="1">
      <c r="B72" s="209" t="s">
        <v>950</v>
      </c>
      <c r="C72" s="209" t="s">
        <v>2387</v>
      </c>
      <c r="D72" s="216" t="s">
        <v>140</v>
      </c>
      <c r="E72" s="273">
        <v>0</v>
      </c>
      <c r="F72" s="274"/>
      <c r="G72" s="274">
        <f t="shared" si="0"/>
        <v>0</v>
      </c>
      <c r="H72" s="274">
        <v>0</v>
      </c>
      <c r="K72" s="274"/>
    </row>
    <row r="73" spans="2:11" ht="13.5" customHeight="1">
      <c r="B73" s="209" t="s">
        <v>950</v>
      </c>
      <c r="C73" s="209" t="s">
        <v>2387</v>
      </c>
      <c r="D73" s="453" t="s">
        <v>141</v>
      </c>
      <c r="E73" s="273">
        <v>0</v>
      </c>
      <c r="F73" s="274"/>
      <c r="G73" s="274">
        <f t="shared" si="0"/>
        <v>0</v>
      </c>
      <c r="H73" s="274">
        <v>0</v>
      </c>
      <c r="K73" s="274"/>
    </row>
    <row r="74" spans="2:11" ht="13.5" customHeight="1">
      <c r="B74" s="209" t="s">
        <v>966</v>
      </c>
      <c r="C74" s="209" t="s">
        <v>2388</v>
      </c>
      <c r="D74" s="446" t="s">
        <v>133</v>
      </c>
      <c r="E74" s="273">
        <v>0</v>
      </c>
      <c r="F74" s="274"/>
      <c r="G74" s="274">
        <f t="shared" si="0"/>
        <v>0</v>
      </c>
      <c r="H74" s="274">
        <v>0</v>
      </c>
      <c r="K74" s="274"/>
    </row>
    <row r="75" spans="2:11" ht="13.5" customHeight="1">
      <c r="B75" s="209" t="s">
        <v>966</v>
      </c>
      <c r="C75" s="209" t="s">
        <v>2388</v>
      </c>
      <c r="D75" s="447" t="s">
        <v>134</v>
      </c>
      <c r="E75" s="273">
        <v>0</v>
      </c>
      <c r="F75" s="274"/>
      <c r="G75" s="274">
        <f t="shared" si="0"/>
        <v>0</v>
      </c>
      <c r="H75" s="274">
        <v>0</v>
      </c>
      <c r="K75" s="274"/>
    </row>
    <row r="76" spans="2:11" ht="13.5" customHeight="1">
      <c r="B76" s="209" t="s">
        <v>966</v>
      </c>
      <c r="C76" s="209" t="s">
        <v>2388</v>
      </c>
      <c r="D76" s="448" t="s">
        <v>135</v>
      </c>
      <c r="E76" s="273">
        <v>0</v>
      </c>
      <c r="F76" s="274"/>
      <c r="G76" s="274">
        <f t="shared" si="0"/>
        <v>0</v>
      </c>
      <c r="H76" s="274">
        <v>0</v>
      </c>
      <c r="K76" s="274"/>
    </row>
    <row r="77" spans="2:11" ht="13.5" customHeight="1">
      <c r="B77" s="209" t="s">
        <v>966</v>
      </c>
      <c r="C77" s="209" t="s">
        <v>2388</v>
      </c>
      <c r="D77" s="449" t="s">
        <v>136</v>
      </c>
      <c r="E77" s="273">
        <v>0</v>
      </c>
      <c r="F77" s="274"/>
      <c r="G77" s="274">
        <f t="shared" si="0"/>
        <v>0</v>
      </c>
      <c r="H77" s="274">
        <v>0</v>
      </c>
      <c r="K77" s="274"/>
    </row>
    <row r="78" spans="2:11" ht="13.5" customHeight="1">
      <c r="B78" s="209" t="s">
        <v>966</v>
      </c>
      <c r="C78" s="209" t="s">
        <v>2388</v>
      </c>
      <c r="D78" s="450" t="s">
        <v>137</v>
      </c>
      <c r="E78" s="273">
        <v>0</v>
      </c>
      <c r="F78" s="274"/>
      <c r="G78" s="274">
        <f t="shared" si="0"/>
        <v>0</v>
      </c>
      <c r="H78" s="274">
        <v>0</v>
      </c>
      <c r="K78" s="274"/>
    </row>
    <row r="79" spans="2:11" ht="13.5" customHeight="1">
      <c r="B79" s="209" t="s">
        <v>966</v>
      </c>
      <c r="C79" s="209" t="s">
        <v>2388</v>
      </c>
      <c r="D79" s="451" t="s">
        <v>138</v>
      </c>
      <c r="E79" s="273">
        <v>0</v>
      </c>
      <c r="F79" s="274"/>
      <c r="G79" s="274">
        <f t="shared" si="0"/>
        <v>0</v>
      </c>
      <c r="H79" s="274">
        <v>0</v>
      </c>
      <c r="K79" s="274"/>
    </row>
    <row r="80" spans="2:11" ht="13.5" customHeight="1">
      <c r="B80" s="209" t="s">
        <v>966</v>
      </c>
      <c r="C80" s="209" t="s">
        <v>2388</v>
      </c>
      <c r="D80" s="452" t="s">
        <v>139</v>
      </c>
      <c r="E80" s="273">
        <v>0</v>
      </c>
      <c r="F80" s="274"/>
      <c r="G80" s="274">
        <f t="shared" si="0"/>
        <v>0</v>
      </c>
      <c r="H80" s="274">
        <v>0</v>
      </c>
      <c r="K80" s="274"/>
    </row>
    <row r="81" spans="2:11" ht="13.5" customHeight="1">
      <c r="B81" s="209" t="s">
        <v>966</v>
      </c>
      <c r="C81" s="209" t="s">
        <v>2388</v>
      </c>
      <c r="D81" s="216" t="s">
        <v>140</v>
      </c>
      <c r="E81" s="273">
        <v>0</v>
      </c>
      <c r="F81" s="274"/>
      <c r="G81" s="274">
        <f t="shared" si="0"/>
        <v>0</v>
      </c>
      <c r="H81" s="274">
        <v>0</v>
      </c>
      <c r="K81" s="274"/>
    </row>
    <row r="82" spans="2:11" ht="13.5" customHeight="1">
      <c r="B82" s="209" t="s">
        <v>966</v>
      </c>
      <c r="C82" s="209" t="s">
        <v>2388</v>
      </c>
      <c r="D82" s="453" t="s">
        <v>141</v>
      </c>
      <c r="E82" s="273">
        <v>0</v>
      </c>
      <c r="F82" s="274"/>
      <c r="G82" s="274">
        <f t="shared" si="0"/>
        <v>0</v>
      </c>
      <c r="H82" s="274">
        <v>0</v>
      </c>
      <c r="K82" s="274"/>
    </row>
    <row r="83" spans="2:11" ht="13.5" customHeight="1">
      <c r="B83" s="209" t="s">
        <v>1119</v>
      </c>
      <c r="C83" s="209" t="s">
        <v>2389</v>
      </c>
      <c r="D83" s="446" t="s">
        <v>133</v>
      </c>
      <c r="E83" s="273">
        <v>0</v>
      </c>
      <c r="F83" s="274"/>
      <c r="G83" s="274">
        <f t="shared" si="0"/>
        <v>0</v>
      </c>
      <c r="H83" s="274">
        <v>0</v>
      </c>
      <c r="K83" s="274"/>
    </row>
    <row r="84" spans="2:11" ht="13.5" customHeight="1">
      <c r="B84" s="209" t="s">
        <v>1119</v>
      </c>
      <c r="C84" s="209" t="s">
        <v>2389</v>
      </c>
      <c r="D84" s="447" t="s">
        <v>134</v>
      </c>
      <c r="E84" s="273">
        <v>0</v>
      </c>
      <c r="F84" s="274"/>
      <c r="G84" s="274">
        <f t="shared" si="0"/>
        <v>0</v>
      </c>
      <c r="H84" s="274">
        <v>0</v>
      </c>
      <c r="K84" s="274"/>
    </row>
    <row r="85" spans="2:11" ht="13.5" customHeight="1">
      <c r="B85" s="209" t="s">
        <v>1119</v>
      </c>
      <c r="C85" s="209" t="s">
        <v>2389</v>
      </c>
      <c r="D85" s="448" t="s">
        <v>135</v>
      </c>
      <c r="E85" s="273">
        <v>0</v>
      </c>
      <c r="F85" s="274"/>
      <c r="G85" s="274">
        <f t="shared" si="0"/>
        <v>0</v>
      </c>
      <c r="H85" s="274">
        <v>0</v>
      </c>
      <c r="K85" s="274"/>
    </row>
    <row r="86" spans="2:11" ht="13.5" customHeight="1">
      <c r="B86" s="209" t="s">
        <v>1119</v>
      </c>
      <c r="C86" s="209" t="s">
        <v>2389</v>
      </c>
      <c r="D86" s="449" t="s">
        <v>136</v>
      </c>
      <c r="E86" s="273">
        <v>0</v>
      </c>
      <c r="F86" s="274"/>
      <c r="G86" s="274">
        <f t="shared" si="0"/>
        <v>0</v>
      </c>
      <c r="H86" s="274">
        <v>0</v>
      </c>
      <c r="K86" s="274"/>
    </row>
    <row r="87" spans="2:11" ht="13.5" customHeight="1">
      <c r="B87" s="209" t="s">
        <v>1119</v>
      </c>
      <c r="C87" s="209" t="s">
        <v>2389</v>
      </c>
      <c r="D87" s="450" t="s">
        <v>137</v>
      </c>
      <c r="E87" s="273">
        <v>0</v>
      </c>
      <c r="F87" s="274"/>
      <c r="G87" s="274">
        <f t="shared" si="0"/>
        <v>0</v>
      </c>
      <c r="H87" s="274">
        <v>0</v>
      </c>
      <c r="K87" s="274"/>
    </row>
    <row r="88" spans="2:11" ht="13.5" customHeight="1">
      <c r="B88" s="209" t="s">
        <v>1119</v>
      </c>
      <c r="C88" s="209" t="s">
        <v>2389</v>
      </c>
      <c r="D88" s="451" t="s">
        <v>138</v>
      </c>
      <c r="E88" s="273">
        <v>0</v>
      </c>
      <c r="F88" s="274"/>
      <c r="G88" s="274">
        <f t="shared" si="0"/>
        <v>0</v>
      </c>
      <c r="H88" s="274">
        <v>0</v>
      </c>
      <c r="K88" s="274"/>
    </row>
    <row r="89" spans="2:11" ht="13.5" customHeight="1">
      <c r="B89" s="209" t="s">
        <v>1119</v>
      </c>
      <c r="C89" s="209" t="s">
        <v>2389</v>
      </c>
      <c r="D89" s="452" t="s">
        <v>139</v>
      </c>
      <c r="E89" s="273">
        <v>0</v>
      </c>
      <c r="F89" s="274"/>
      <c r="G89" s="274">
        <f t="shared" si="0"/>
        <v>0</v>
      </c>
      <c r="H89" s="274">
        <v>0</v>
      </c>
      <c r="K89" s="274"/>
    </row>
    <row r="90" spans="2:11" ht="13.5" customHeight="1">
      <c r="B90" s="209" t="s">
        <v>1119</v>
      </c>
      <c r="C90" s="209" t="s">
        <v>2389</v>
      </c>
      <c r="D90" s="216" t="s">
        <v>140</v>
      </c>
      <c r="E90" s="273">
        <v>0</v>
      </c>
      <c r="F90" s="274"/>
      <c r="G90" s="274">
        <f t="shared" si="0"/>
        <v>0</v>
      </c>
      <c r="H90" s="274">
        <v>0</v>
      </c>
      <c r="K90" s="274"/>
    </row>
    <row r="91" spans="2:11" ht="13.5" customHeight="1">
      <c r="B91" s="209" t="s">
        <v>1119</v>
      </c>
      <c r="C91" s="209" t="s">
        <v>2389</v>
      </c>
      <c r="D91" s="453" t="s">
        <v>141</v>
      </c>
      <c r="E91" s="273">
        <v>0</v>
      </c>
      <c r="F91" s="274"/>
      <c r="G91" s="274">
        <f t="shared" si="0"/>
        <v>0</v>
      </c>
      <c r="H91" s="274">
        <v>0</v>
      </c>
      <c r="K91" s="274"/>
    </row>
    <row r="92" spans="2:11" ht="13.5" customHeight="1">
      <c r="B92" s="209" t="s">
        <v>952</v>
      </c>
      <c r="C92" s="209" t="s">
        <v>2390</v>
      </c>
      <c r="D92" s="446" t="s">
        <v>133</v>
      </c>
      <c r="E92" s="273">
        <v>0</v>
      </c>
      <c r="F92" s="274"/>
      <c r="G92" s="274">
        <f t="shared" si="0"/>
        <v>0</v>
      </c>
      <c r="H92" s="274">
        <v>0</v>
      </c>
      <c r="K92" s="274"/>
    </row>
    <row r="93" spans="2:11" ht="13.5" customHeight="1">
      <c r="B93" s="209" t="s">
        <v>952</v>
      </c>
      <c r="C93" s="209" t="s">
        <v>2390</v>
      </c>
      <c r="D93" s="447" t="s">
        <v>134</v>
      </c>
      <c r="E93" s="273">
        <v>0</v>
      </c>
      <c r="F93" s="274"/>
      <c r="G93" s="274">
        <f t="shared" si="0"/>
        <v>0</v>
      </c>
      <c r="H93" s="274">
        <v>0</v>
      </c>
      <c r="K93" s="274"/>
    </row>
    <row r="94" spans="2:11" ht="13.5" customHeight="1">
      <c r="B94" s="209" t="s">
        <v>952</v>
      </c>
      <c r="C94" s="209" t="s">
        <v>2390</v>
      </c>
      <c r="D94" s="448" t="s">
        <v>135</v>
      </c>
      <c r="E94" s="273">
        <v>0</v>
      </c>
      <c r="F94" s="274"/>
      <c r="G94" s="274">
        <f t="shared" si="0"/>
        <v>0</v>
      </c>
      <c r="H94" s="274">
        <v>0</v>
      </c>
      <c r="K94" s="274"/>
    </row>
    <row r="95" spans="2:11" ht="13.5" customHeight="1">
      <c r="B95" s="209" t="s">
        <v>952</v>
      </c>
      <c r="C95" s="209" t="s">
        <v>2390</v>
      </c>
      <c r="D95" s="449" t="s">
        <v>136</v>
      </c>
      <c r="E95" s="273">
        <v>0</v>
      </c>
      <c r="F95" s="274"/>
      <c r="G95" s="274">
        <f t="shared" si="0"/>
        <v>0</v>
      </c>
      <c r="H95" s="274">
        <v>0</v>
      </c>
      <c r="K95" s="274"/>
    </row>
    <row r="96" spans="2:11" ht="13.5" customHeight="1">
      <c r="B96" s="209" t="s">
        <v>952</v>
      </c>
      <c r="C96" s="209" t="s">
        <v>2390</v>
      </c>
      <c r="D96" s="450" t="s">
        <v>137</v>
      </c>
      <c r="E96" s="273">
        <v>0</v>
      </c>
      <c r="F96" s="274"/>
      <c r="G96" s="274">
        <f t="shared" si="0"/>
        <v>0</v>
      </c>
      <c r="H96" s="274">
        <v>0</v>
      </c>
      <c r="K96" s="274"/>
    </row>
    <row r="97" spans="2:11" ht="13.5" customHeight="1">
      <c r="B97" s="209" t="s">
        <v>952</v>
      </c>
      <c r="C97" s="209" t="s">
        <v>2390</v>
      </c>
      <c r="D97" s="451" t="s">
        <v>138</v>
      </c>
      <c r="E97" s="273">
        <v>0</v>
      </c>
      <c r="F97" s="274"/>
      <c r="G97" s="274">
        <f t="shared" si="0"/>
        <v>0</v>
      </c>
      <c r="H97" s="274">
        <v>0</v>
      </c>
      <c r="K97" s="274"/>
    </row>
    <row r="98" spans="2:11" ht="13.5" customHeight="1">
      <c r="B98" s="209" t="s">
        <v>952</v>
      </c>
      <c r="C98" s="209" t="s">
        <v>2390</v>
      </c>
      <c r="D98" s="452" t="s">
        <v>139</v>
      </c>
      <c r="E98" s="273">
        <v>0</v>
      </c>
      <c r="F98" s="274"/>
      <c r="G98" s="274">
        <f t="shared" si="0"/>
        <v>0</v>
      </c>
      <c r="H98" s="274">
        <v>0</v>
      </c>
      <c r="K98" s="274"/>
    </row>
    <row r="99" spans="2:11" ht="13.5" customHeight="1">
      <c r="B99" s="209" t="s">
        <v>952</v>
      </c>
      <c r="C99" s="209" t="s">
        <v>2390</v>
      </c>
      <c r="D99" s="216" t="s">
        <v>140</v>
      </c>
      <c r="E99" s="273">
        <v>0</v>
      </c>
      <c r="F99" s="274"/>
      <c r="G99" s="274">
        <f t="shared" si="0"/>
        <v>0</v>
      </c>
      <c r="H99" s="274">
        <v>0</v>
      </c>
      <c r="K99" s="274"/>
    </row>
    <row r="100" spans="2:11" ht="13.5" customHeight="1">
      <c r="B100" s="209" t="s">
        <v>952</v>
      </c>
      <c r="C100" s="209" t="s">
        <v>2390</v>
      </c>
      <c r="D100" s="453" t="s">
        <v>141</v>
      </c>
      <c r="E100" s="273">
        <v>0</v>
      </c>
      <c r="F100" s="274"/>
      <c r="G100" s="274">
        <f t="shared" si="0"/>
        <v>0</v>
      </c>
      <c r="H100" s="274">
        <v>0</v>
      </c>
      <c r="K100" s="274"/>
    </row>
    <row r="101" spans="2:11" ht="13.5" customHeight="1">
      <c r="B101" s="209" t="s">
        <v>968</v>
      </c>
      <c r="C101" s="209" t="s">
        <v>2391</v>
      </c>
      <c r="D101" s="446" t="s">
        <v>133</v>
      </c>
      <c r="E101" s="273">
        <v>0</v>
      </c>
      <c r="F101" s="274"/>
      <c r="G101" s="274">
        <f t="shared" si="0"/>
        <v>0</v>
      </c>
      <c r="H101" s="274">
        <v>0</v>
      </c>
      <c r="K101" s="274"/>
    </row>
    <row r="102" spans="2:11" ht="13.5" customHeight="1">
      <c r="B102" s="209" t="s">
        <v>968</v>
      </c>
      <c r="C102" s="209" t="s">
        <v>2391</v>
      </c>
      <c r="D102" s="447" t="s">
        <v>134</v>
      </c>
      <c r="E102" s="273">
        <v>0</v>
      </c>
      <c r="F102" s="274"/>
      <c r="G102" s="274">
        <f t="shared" si="0"/>
        <v>0</v>
      </c>
      <c r="H102" s="274">
        <v>0</v>
      </c>
      <c r="K102" s="274"/>
    </row>
    <row r="103" spans="2:11" ht="13.5" customHeight="1">
      <c r="B103" s="209" t="s">
        <v>968</v>
      </c>
      <c r="C103" s="209" t="s">
        <v>2391</v>
      </c>
      <c r="D103" s="448" t="s">
        <v>135</v>
      </c>
      <c r="E103" s="273">
        <v>0</v>
      </c>
      <c r="F103" s="274"/>
      <c r="G103" s="274">
        <f t="shared" si="0"/>
        <v>0</v>
      </c>
      <c r="H103" s="274">
        <v>0</v>
      </c>
      <c r="K103" s="274"/>
    </row>
    <row r="104" spans="2:11" ht="13.5" customHeight="1">
      <c r="B104" s="209" t="s">
        <v>968</v>
      </c>
      <c r="C104" s="209" t="s">
        <v>2391</v>
      </c>
      <c r="D104" s="449" t="s">
        <v>136</v>
      </c>
      <c r="E104" s="273">
        <v>0</v>
      </c>
      <c r="F104" s="274"/>
      <c r="G104" s="274">
        <f t="shared" si="0"/>
        <v>0</v>
      </c>
      <c r="H104" s="274">
        <v>0</v>
      </c>
      <c r="K104" s="274"/>
    </row>
    <row r="105" spans="2:11" ht="13.5" customHeight="1">
      <c r="B105" s="209" t="s">
        <v>968</v>
      </c>
      <c r="C105" s="209" t="s">
        <v>2391</v>
      </c>
      <c r="D105" s="450" t="s">
        <v>137</v>
      </c>
      <c r="E105" s="273">
        <v>0</v>
      </c>
      <c r="F105" s="274"/>
      <c r="G105" s="274">
        <f t="shared" si="0"/>
        <v>0</v>
      </c>
      <c r="H105" s="274">
        <v>0</v>
      </c>
      <c r="K105" s="274"/>
    </row>
    <row r="106" spans="2:11" ht="13.5" customHeight="1">
      <c r="B106" s="209" t="s">
        <v>968</v>
      </c>
      <c r="C106" s="209" t="s">
        <v>2391</v>
      </c>
      <c r="D106" s="451" t="s">
        <v>138</v>
      </c>
      <c r="E106" s="273">
        <v>0</v>
      </c>
      <c r="F106" s="274"/>
      <c r="G106" s="274">
        <f t="shared" si="0"/>
        <v>0</v>
      </c>
      <c r="H106" s="274">
        <v>0</v>
      </c>
      <c r="K106" s="274"/>
    </row>
    <row r="107" spans="2:11" ht="13.5" customHeight="1">
      <c r="B107" s="209" t="s">
        <v>968</v>
      </c>
      <c r="C107" s="209" t="s">
        <v>2391</v>
      </c>
      <c r="D107" s="452" t="s">
        <v>139</v>
      </c>
      <c r="E107" s="273">
        <v>0</v>
      </c>
      <c r="F107" s="274"/>
      <c r="G107" s="274">
        <f t="shared" si="0"/>
        <v>0</v>
      </c>
      <c r="H107" s="274">
        <v>0</v>
      </c>
      <c r="K107" s="274"/>
    </row>
    <row r="108" spans="2:11" ht="13.5" customHeight="1">
      <c r="B108" s="209" t="s">
        <v>968</v>
      </c>
      <c r="C108" s="209" t="s">
        <v>2391</v>
      </c>
      <c r="D108" s="216" t="s">
        <v>140</v>
      </c>
      <c r="E108" s="273">
        <v>0</v>
      </c>
      <c r="F108" s="274"/>
      <c r="G108" s="274">
        <f t="shared" si="0"/>
        <v>0</v>
      </c>
      <c r="H108" s="274">
        <v>0</v>
      </c>
      <c r="K108" s="274"/>
    </row>
    <row r="109" spans="2:11" ht="13.5" customHeight="1">
      <c r="B109" s="209" t="s">
        <v>968</v>
      </c>
      <c r="C109" s="209" t="s">
        <v>2391</v>
      </c>
      <c r="D109" s="453" t="s">
        <v>141</v>
      </c>
      <c r="E109" s="273">
        <v>0</v>
      </c>
      <c r="F109" s="274"/>
      <c r="G109" s="274">
        <f t="shared" si="0"/>
        <v>0</v>
      </c>
      <c r="H109" s="274">
        <v>0</v>
      </c>
      <c r="K109" s="274"/>
    </row>
    <row r="110" spans="2:11" ht="13.5" customHeight="1">
      <c r="B110" s="209" t="s">
        <v>743</v>
      </c>
      <c r="C110" s="209" t="s">
        <v>2392</v>
      </c>
      <c r="D110" s="446" t="s">
        <v>133</v>
      </c>
      <c r="E110" s="273">
        <v>0</v>
      </c>
      <c r="F110" s="274"/>
      <c r="G110" s="274">
        <f t="shared" si="0"/>
        <v>0</v>
      </c>
      <c r="H110" s="274">
        <v>0</v>
      </c>
      <c r="K110" s="274"/>
    </row>
    <row r="111" spans="2:11" ht="13.5" customHeight="1">
      <c r="B111" s="209" t="s">
        <v>743</v>
      </c>
      <c r="C111" s="209" t="s">
        <v>2392</v>
      </c>
      <c r="D111" s="447" t="s">
        <v>134</v>
      </c>
      <c r="E111" s="273">
        <v>0</v>
      </c>
      <c r="F111" s="274"/>
      <c r="G111" s="274">
        <f t="shared" si="0"/>
        <v>0</v>
      </c>
      <c r="H111" s="274">
        <v>0</v>
      </c>
      <c r="K111" s="274"/>
    </row>
    <row r="112" spans="2:11" ht="13.5" customHeight="1">
      <c r="B112" s="209" t="s">
        <v>743</v>
      </c>
      <c r="C112" s="209" t="s">
        <v>2392</v>
      </c>
      <c r="D112" s="448" t="s">
        <v>135</v>
      </c>
      <c r="E112" s="273">
        <v>0</v>
      </c>
      <c r="F112" s="274"/>
      <c r="G112" s="274">
        <f t="shared" si="0"/>
        <v>0</v>
      </c>
      <c r="H112" s="274">
        <v>0</v>
      </c>
      <c r="K112" s="274"/>
    </row>
    <row r="113" spans="2:11" ht="13.5" customHeight="1">
      <c r="B113" s="209" t="s">
        <v>743</v>
      </c>
      <c r="C113" s="209" t="s">
        <v>2392</v>
      </c>
      <c r="D113" s="449" t="s">
        <v>136</v>
      </c>
      <c r="E113" s="273">
        <v>0</v>
      </c>
      <c r="F113" s="274"/>
      <c r="G113" s="274">
        <f t="shared" si="0"/>
        <v>0</v>
      </c>
      <c r="H113" s="274">
        <v>0</v>
      </c>
      <c r="K113" s="274"/>
    </row>
    <row r="114" spans="2:11" ht="13.5" customHeight="1">
      <c r="B114" s="209" t="s">
        <v>743</v>
      </c>
      <c r="C114" s="209" t="s">
        <v>2392</v>
      </c>
      <c r="D114" s="450" t="s">
        <v>137</v>
      </c>
      <c r="E114" s="273">
        <v>0</v>
      </c>
      <c r="F114" s="274"/>
      <c r="G114" s="274">
        <f t="shared" si="0"/>
        <v>0</v>
      </c>
      <c r="H114" s="274">
        <v>0</v>
      </c>
      <c r="K114" s="274"/>
    </row>
    <row r="115" spans="2:11" ht="13.5" customHeight="1">
      <c r="B115" s="209" t="s">
        <v>743</v>
      </c>
      <c r="C115" s="209" t="s">
        <v>2392</v>
      </c>
      <c r="D115" s="451" t="s">
        <v>138</v>
      </c>
      <c r="E115" s="273">
        <v>0</v>
      </c>
      <c r="F115" s="274"/>
      <c r="G115" s="274">
        <f t="shared" si="0"/>
        <v>0</v>
      </c>
      <c r="H115" s="274">
        <v>0</v>
      </c>
      <c r="K115" s="274"/>
    </row>
    <row r="116" spans="2:11" ht="13.5" customHeight="1">
      <c r="B116" s="209" t="s">
        <v>743</v>
      </c>
      <c r="C116" s="209" t="s">
        <v>2392</v>
      </c>
      <c r="D116" s="452" t="s">
        <v>139</v>
      </c>
      <c r="E116" s="273">
        <v>0</v>
      </c>
      <c r="F116" s="274"/>
      <c r="G116" s="274">
        <f t="shared" si="0"/>
        <v>0</v>
      </c>
      <c r="H116" s="274">
        <v>0</v>
      </c>
      <c r="K116" s="274"/>
    </row>
    <row r="117" spans="2:11" ht="13.5" customHeight="1">
      <c r="B117" s="209" t="s">
        <v>743</v>
      </c>
      <c r="C117" s="209" t="s">
        <v>2392</v>
      </c>
      <c r="D117" s="216" t="s">
        <v>140</v>
      </c>
      <c r="E117" s="273">
        <v>0</v>
      </c>
      <c r="F117" s="274"/>
      <c r="G117" s="274">
        <f t="shared" si="0"/>
        <v>0</v>
      </c>
      <c r="H117" s="274">
        <v>0</v>
      </c>
      <c r="K117" s="274"/>
    </row>
    <row r="118" spans="2:11" ht="13.5" customHeight="1">
      <c r="B118" s="209" t="s">
        <v>743</v>
      </c>
      <c r="C118" s="209" t="s">
        <v>2392</v>
      </c>
      <c r="D118" s="453" t="s">
        <v>141</v>
      </c>
      <c r="E118" s="273">
        <v>0</v>
      </c>
      <c r="F118" s="274"/>
      <c r="G118" s="274">
        <f t="shared" si="0"/>
        <v>0</v>
      </c>
      <c r="H118" s="274">
        <v>0</v>
      </c>
      <c r="K118" s="274"/>
    </row>
    <row r="119" spans="2:11" ht="13.5" customHeight="1">
      <c r="B119" s="209" t="s">
        <v>970</v>
      </c>
      <c r="C119" s="209" t="s">
        <v>2393</v>
      </c>
      <c r="D119" s="446" t="s">
        <v>133</v>
      </c>
      <c r="E119" s="273">
        <v>0</v>
      </c>
      <c r="F119" s="274"/>
      <c r="G119" s="274">
        <f t="shared" si="0"/>
        <v>0</v>
      </c>
      <c r="H119" s="274">
        <v>0</v>
      </c>
      <c r="K119" s="274"/>
    </row>
    <row r="120" spans="2:11" ht="13.5" customHeight="1">
      <c r="B120" s="209" t="s">
        <v>970</v>
      </c>
      <c r="C120" s="209" t="s">
        <v>2393</v>
      </c>
      <c r="D120" s="447" t="s">
        <v>134</v>
      </c>
      <c r="E120" s="273">
        <v>0</v>
      </c>
      <c r="F120" s="274"/>
      <c r="G120" s="274">
        <f t="shared" si="0"/>
        <v>0</v>
      </c>
      <c r="H120" s="274">
        <v>0</v>
      </c>
      <c r="K120" s="274"/>
    </row>
    <row r="121" spans="2:11" ht="13.5" customHeight="1">
      <c r="B121" s="209" t="s">
        <v>970</v>
      </c>
      <c r="C121" s="209" t="s">
        <v>2393</v>
      </c>
      <c r="D121" s="448" t="s">
        <v>135</v>
      </c>
      <c r="E121" s="273">
        <v>0</v>
      </c>
      <c r="F121" s="274"/>
      <c r="G121" s="274">
        <f t="shared" si="0"/>
        <v>0</v>
      </c>
      <c r="H121" s="274">
        <v>0</v>
      </c>
      <c r="K121" s="274"/>
    </row>
    <row r="122" spans="2:11" ht="13.5" customHeight="1">
      <c r="B122" s="209" t="s">
        <v>970</v>
      </c>
      <c r="C122" s="209" t="s">
        <v>2393</v>
      </c>
      <c r="D122" s="449" t="s">
        <v>136</v>
      </c>
      <c r="E122" s="273">
        <v>0</v>
      </c>
      <c r="F122" s="274"/>
      <c r="G122" s="274">
        <f t="shared" si="0"/>
        <v>0</v>
      </c>
      <c r="H122" s="274">
        <v>0</v>
      </c>
      <c r="K122" s="274"/>
    </row>
    <row r="123" spans="2:11" ht="13.5" customHeight="1">
      <c r="B123" s="209" t="s">
        <v>970</v>
      </c>
      <c r="C123" s="209" t="s">
        <v>2393</v>
      </c>
      <c r="D123" s="450" t="s">
        <v>137</v>
      </c>
      <c r="E123" s="273">
        <v>0</v>
      </c>
      <c r="F123" s="274"/>
      <c r="G123" s="274">
        <f t="shared" si="0"/>
        <v>0</v>
      </c>
      <c r="H123" s="274">
        <v>0</v>
      </c>
      <c r="K123" s="274"/>
    </row>
    <row r="124" spans="2:11" ht="13.5" customHeight="1">
      <c r="B124" s="209" t="s">
        <v>970</v>
      </c>
      <c r="C124" s="209" t="s">
        <v>2393</v>
      </c>
      <c r="D124" s="451" t="s">
        <v>138</v>
      </c>
      <c r="E124" s="273">
        <v>0</v>
      </c>
      <c r="F124" s="274"/>
      <c r="G124" s="274">
        <f t="shared" si="0"/>
        <v>0</v>
      </c>
      <c r="H124" s="274">
        <v>0</v>
      </c>
      <c r="K124" s="274"/>
    </row>
    <row r="125" spans="2:11" ht="13.5" customHeight="1">
      <c r="B125" s="209" t="s">
        <v>970</v>
      </c>
      <c r="C125" s="209" t="s">
        <v>2393</v>
      </c>
      <c r="D125" s="452" t="s">
        <v>139</v>
      </c>
      <c r="E125" s="273">
        <v>0</v>
      </c>
      <c r="F125" s="274"/>
      <c r="G125" s="274">
        <f t="shared" si="0"/>
        <v>0</v>
      </c>
      <c r="H125" s="274">
        <v>0</v>
      </c>
      <c r="K125" s="274"/>
    </row>
    <row r="126" spans="2:11" ht="13.5" customHeight="1">
      <c r="B126" s="209" t="s">
        <v>970</v>
      </c>
      <c r="C126" s="209" t="s">
        <v>2393</v>
      </c>
      <c r="D126" s="216" t="s">
        <v>140</v>
      </c>
      <c r="E126" s="273">
        <v>0</v>
      </c>
      <c r="F126" s="274"/>
      <c r="G126" s="274">
        <f t="shared" si="0"/>
        <v>0</v>
      </c>
      <c r="H126" s="274">
        <v>0</v>
      </c>
      <c r="K126" s="274"/>
    </row>
    <row r="127" spans="2:11" ht="13.5" customHeight="1">
      <c r="B127" s="209" t="s">
        <v>970</v>
      </c>
      <c r="C127" s="209" t="s">
        <v>2393</v>
      </c>
      <c r="D127" s="453" t="s">
        <v>141</v>
      </c>
      <c r="E127" s="273">
        <v>0</v>
      </c>
      <c r="F127" s="274"/>
      <c r="G127" s="274">
        <f t="shared" si="0"/>
        <v>0</v>
      </c>
      <c r="H127" s="274">
        <v>0</v>
      </c>
      <c r="K127" s="274"/>
    </row>
    <row r="128" spans="2:11" ht="13.5" customHeight="1">
      <c r="B128" s="209" t="s">
        <v>1121</v>
      </c>
      <c r="C128" s="209" t="s">
        <v>2394</v>
      </c>
      <c r="D128" s="446" t="s">
        <v>133</v>
      </c>
      <c r="E128" s="273">
        <v>0</v>
      </c>
      <c r="F128" s="274"/>
      <c r="G128" s="274">
        <f t="shared" si="0"/>
        <v>0</v>
      </c>
      <c r="H128" s="274">
        <v>0</v>
      </c>
      <c r="K128" s="274"/>
    </row>
    <row r="129" spans="2:11" ht="13.5" customHeight="1">
      <c r="B129" s="209" t="s">
        <v>1121</v>
      </c>
      <c r="C129" s="209" t="s">
        <v>2394</v>
      </c>
      <c r="D129" s="447" t="s">
        <v>134</v>
      </c>
      <c r="E129" s="273">
        <v>0</v>
      </c>
      <c r="F129" s="274"/>
      <c r="G129" s="274">
        <f t="shared" si="0"/>
        <v>0</v>
      </c>
      <c r="H129" s="274">
        <v>0</v>
      </c>
      <c r="K129" s="274"/>
    </row>
    <row r="130" spans="2:11" ht="13.5" customHeight="1">
      <c r="B130" s="209" t="s">
        <v>1121</v>
      </c>
      <c r="C130" s="209" t="s">
        <v>2394</v>
      </c>
      <c r="D130" s="448" t="s">
        <v>135</v>
      </c>
      <c r="E130" s="273">
        <v>0</v>
      </c>
      <c r="F130" s="274"/>
      <c r="G130" s="274">
        <f t="shared" si="0"/>
        <v>0</v>
      </c>
      <c r="H130" s="274">
        <v>0</v>
      </c>
      <c r="K130" s="274"/>
    </row>
    <row r="131" spans="2:11" ht="13.5" customHeight="1">
      <c r="B131" s="209" t="s">
        <v>1121</v>
      </c>
      <c r="C131" s="209" t="s">
        <v>2394</v>
      </c>
      <c r="D131" s="449" t="s">
        <v>136</v>
      </c>
      <c r="E131" s="273">
        <v>0</v>
      </c>
      <c r="F131" s="274"/>
      <c r="G131" s="274">
        <f t="shared" si="0"/>
        <v>0</v>
      </c>
      <c r="H131" s="274">
        <v>0</v>
      </c>
      <c r="K131" s="274"/>
    </row>
    <row r="132" spans="2:11" ht="13.5" customHeight="1">
      <c r="B132" s="209" t="s">
        <v>1121</v>
      </c>
      <c r="C132" s="209" t="s">
        <v>2394</v>
      </c>
      <c r="D132" s="450" t="s">
        <v>137</v>
      </c>
      <c r="E132" s="273">
        <v>0</v>
      </c>
      <c r="F132" s="274"/>
      <c r="G132" s="274">
        <f t="shared" si="0"/>
        <v>0</v>
      </c>
      <c r="H132" s="274">
        <v>0</v>
      </c>
      <c r="K132" s="274"/>
    </row>
    <row r="133" spans="2:11" ht="13.5" customHeight="1">
      <c r="B133" s="209" t="s">
        <v>1121</v>
      </c>
      <c r="C133" s="209" t="s">
        <v>2394</v>
      </c>
      <c r="D133" s="451" t="s">
        <v>138</v>
      </c>
      <c r="E133" s="273">
        <v>0</v>
      </c>
      <c r="F133" s="274"/>
      <c r="G133" s="274">
        <f t="shared" si="0"/>
        <v>0</v>
      </c>
      <c r="H133" s="274">
        <v>0</v>
      </c>
      <c r="K133" s="274"/>
    </row>
    <row r="134" spans="2:11" ht="13.5" customHeight="1">
      <c r="B134" s="209" t="s">
        <v>1121</v>
      </c>
      <c r="C134" s="209" t="s">
        <v>2394</v>
      </c>
      <c r="D134" s="452" t="s">
        <v>139</v>
      </c>
      <c r="E134" s="273">
        <v>0</v>
      </c>
      <c r="F134" s="274"/>
      <c r="G134" s="274">
        <f t="shared" si="0"/>
        <v>0</v>
      </c>
      <c r="H134" s="274">
        <v>0</v>
      </c>
      <c r="K134" s="274"/>
    </row>
    <row r="135" spans="2:11" ht="13.5" customHeight="1">
      <c r="B135" s="209" t="s">
        <v>1121</v>
      </c>
      <c r="C135" s="209" t="s">
        <v>2394</v>
      </c>
      <c r="D135" s="216" t="s">
        <v>140</v>
      </c>
      <c r="E135" s="273">
        <v>0</v>
      </c>
      <c r="F135" s="274"/>
      <c r="G135" s="274">
        <f t="shared" si="0"/>
        <v>0</v>
      </c>
      <c r="H135" s="274">
        <v>0</v>
      </c>
      <c r="K135" s="274"/>
    </row>
    <row r="136" spans="2:11" ht="13.5" customHeight="1">
      <c r="B136" s="209" t="s">
        <v>1121</v>
      </c>
      <c r="C136" s="209" t="s">
        <v>2394</v>
      </c>
      <c r="D136" s="453" t="s">
        <v>141</v>
      </c>
      <c r="E136" s="273">
        <v>0</v>
      </c>
      <c r="F136" s="274"/>
      <c r="G136" s="274">
        <f t="shared" si="0"/>
        <v>0</v>
      </c>
      <c r="H136" s="274">
        <v>0</v>
      </c>
      <c r="K136" s="274"/>
    </row>
    <row r="137" spans="2:11" ht="13.5" customHeight="1">
      <c r="B137" s="209" t="s">
        <v>1159</v>
      </c>
      <c r="C137" s="209" t="s">
        <v>2395</v>
      </c>
      <c r="D137" s="446" t="s">
        <v>133</v>
      </c>
      <c r="E137" s="273">
        <v>0</v>
      </c>
      <c r="F137" s="274"/>
      <c r="G137" s="274">
        <f t="shared" si="0"/>
        <v>0</v>
      </c>
      <c r="H137" s="274">
        <v>0</v>
      </c>
      <c r="K137" s="274"/>
    </row>
    <row r="138" spans="2:11" ht="13.5" customHeight="1">
      <c r="B138" s="209" t="s">
        <v>1159</v>
      </c>
      <c r="C138" s="209" t="s">
        <v>2395</v>
      </c>
      <c r="D138" s="447" t="s">
        <v>134</v>
      </c>
      <c r="E138" s="273">
        <v>0</v>
      </c>
      <c r="F138" s="274"/>
      <c r="G138" s="274">
        <f t="shared" si="0"/>
        <v>0</v>
      </c>
      <c r="H138" s="274">
        <v>0</v>
      </c>
      <c r="K138" s="274"/>
    </row>
    <row r="139" spans="2:11" ht="13.5" customHeight="1">
      <c r="B139" s="209" t="s">
        <v>1159</v>
      </c>
      <c r="C139" s="209" t="s">
        <v>2395</v>
      </c>
      <c r="D139" s="448" t="s">
        <v>135</v>
      </c>
      <c r="E139" s="273">
        <v>0</v>
      </c>
      <c r="F139" s="274"/>
      <c r="G139" s="274">
        <f t="shared" si="0"/>
        <v>0</v>
      </c>
      <c r="H139" s="274">
        <v>0</v>
      </c>
      <c r="K139" s="274"/>
    </row>
    <row r="140" spans="2:11" ht="13.5" customHeight="1">
      <c r="B140" s="209" t="s">
        <v>1159</v>
      </c>
      <c r="C140" s="209" t="s">
        <v>2395</v>
      </c>
      <c r="D140" s="449" t="s">
        <v>136</v>
      </c>
      <c r="E140" s="273">
        <v>0</v>
      </c>
      <c r="F140" s="274"/>
      <c r="G140" s="274">
        <f t="shared" si="0"/>
        <v>0</v>
      </c>
      <c r="H140" s="274">
        <v>0</v>
      </c>
      <c r="K140" s="274"/>
    </row>
    <row r="141" spans="2:11" ht="13.5" customHeight="1">
      <c r="B141" s="209" t="s">
        <v>1159</v>
      </c>
      <c r="C141" s="209" t="s">
        <v>2395</v>
      </c>
      <c r="D141" s="450" t="s">
        <v>137</v>
      </c>
      <c r="E141" s="273">
        <v>0</v>
      </c>
      <c r="F141" s="274"/>
      <c r="G141" s="274">
        <f t="shared" si="0"/>
        <v>0</v>
      </c>
      <c r="H141" s="274">
        <v>0</v>
      </c>
      <c r="K141" s="274"/>
    </row>
    <row r="142" spans="2:11" ht="13.5" customHeight="1">
      <c r="B142" s="209" t="s">
        <v>1159</v>
      </c>
      <c r="C142" s="209" t="s">
        <v>2395</v>
      </c>
      <c r="D142" s="451" t="s">
        <v>138</v>
      </c>
      <c r="E142" s="273">
        <v>0</v>
      </c>
      <c r="F142" s="274"/>
      <c r="G142" s="274">
        <f t="shared" si="0"/>
        <v>0</v>
      </c>
      <c r="H142" s="274">
        <v>0</v>
      </c>
      <c r="K142" s="274"/>
    </row>
    <row r="143" spans="2:11" ht="13.5" customHeight="1">
      <c r="B143" s="209" t="s">
        <v>1159</v>
      </c>
      <c r="C143" s="209" t="s">
        <v>2395</v>
      </c>
      <c r="D143" s="452" t="s">
        <v>139</v>
      </c>
      <c r="E143" s="273">
        <v>0</v>
      </c>
      <c r="F143" s="274"/>
      <c r="G143" s="274">
        <f t="shared" si="0"/>
        <v>0</v>
      </c>
      <c r="H143" s="274">
        <v>0</v>
      </c>
      <c r="K143" s="274"/>
    </row>
    <row r="144" spans="2:11" ht="13.5" customHeight="1">
      <c r="B144" s="209" t="s">
        <v>1159</v>
      </c>
      <c r="C144" s="209" t="s">
        <v>2395</v>
      </c>
      <c r="D144" s="216" t="s">
        <v>140</v>
      </c>
      <c r="E144" s="273">
        <v>0</v>
      </c>
      <c r="F144" s="274"/>
      <c r="G144" s="274">
        <f t="shared" si="0"/>
        <v>0</v>
      </c>
      <c r="H144" s="274">
        <v>0</v>
      </c>
      <c r="K144" s="274"/>
    </row>
    <row r="145" spans="2:11" ht="13.5" customHeight="1">
      <c r="B145" s="209" t="s">
        <v>1159</v>
      </c>
      <c r="C145" s="209" t="s">
        <v>2395</v>
      </c>
      <c r="D145" s="453" t="s">
        <v>141</v>
      </c>
      <c r="E145" s="273">
        <v>0</v>
      </c>
      <c r="F145" s="274"/>
      <c r="G145" s="274">
        <f t="shared" si="0"/>
        <v>0</v>
      </c>
      <c r="H145" s="274">
        <v>0</v>
      </c>
      <c r="K145" s="274"/>
    </row>
    <row r="146" spans="2:11" ht="13.5" customHeight="1">
      <c r="B146" s="209" t="s">
        <v>1161</v>
      </c>
      <c r="C146" s="209" t="s">
        <v>2396</v>
      </c>
      <c r="D146" s="446" t="s">
        <v>133</v>
      </c>
      <c r="E146" s="273">
        <v>0</v>
      </c>
      <c r="F146" s="274"/>
      <c r="G146" s="274">
        <f t="shared" si="0"/>
        <v>0</v>
      </c>
      <c r="H146" s="274">
        <v>0</v>
      </c>
      <c r="K146" s="274"/>
    </row>
    <row r="147" spans="2:11" ht="13.5" customHeight="1">
      <c r="B147" s="209" t="s">
        <v>1161</v>
      </c>
      <c r="C147" s="209" t="s">
        <v>2396</v>
      </c>
      <c r="D147" s="447" t="s">
        <v>134</v>
      </c>
      <c r="E147" s="273">
        <v>0</v>
      </c>
      <c r="F147" s="274"/>
      <c r="G147" s="274">
        <f t="shared" si="0"/>
        <v>0</v>
      </c>
      <c r="H147" s="274">
        <v>0</v>
      </c>
      <c r="K147" s="274"/>
    </row>
    <row r="148" spans="2:11" ht="13.5" customHeight="1">
      <c r="B148" s="209" t="s">
        <v>1161</v>
      </c>
      <c r="C148" s="209" t="s">
        <v>2396</v>
      </c>
      <c r="D148" s="448" t="s">
        <v>135</v>
      </c>
      <c r="E148" s="273">
        <v>0</v>
      </c>
      <c r="F148" s="274"/>
      <c r="G148" s="274">
        <f t="shared" si="0"/>
        <v>0</v>
      </c>
      <c r="H148" s="274">
        <v>0</v>
      </c>
      <c r="K148" s="274"/>
    </row>
    <row r="149" spans="2:11" ht="13.5" customHeight="1">
      <c r="B149" s="209" t="s">
        <v>1161</v>
      </c>
      <c r="C149" s="209" t="s">
        <v>2396</v>
      </c>
      <c r="D149" s="449" t="s">
        <v>136</v>
      </c>
      <c r="E149" s="273">
        <v>0</v>
      </c>
      <c r="F149" s="274"/>
      <c r="G149" s="274">
        <f t="shared" si="0"/>
        <v>0</v>
      </c>
      <c r="H149" s="274">
        <v>0</v>
      </c>
      <c r="K149" s="274"/>
    </row>
    <row r="150" spans="2:11" ht="13.5" customHeight="1">
      <c r="B150" s="209" t="s">
        <v>1161</v>
      </c>
      <c r="C150" s="209" t="s">
        <v>2396</v>
      </c>
      <c r="D150" s="450" t="s">
        <v>137</v>
      </c>
      <c r="E150" s="273">
        <v>0</v>
      </c>
      <c r="F150" s="274"/>
      <c r="G150" s="274">
        <f t="shared" si="0"/>
        <v>0</v>
      </c>
      <c r="H150" s="274">
        <v>0</v>
      </c>
      <c r="K150" s="274"/>
    </row>
    <row r="151" spans="2:11" ht="13.5" customHeight="1">
      <c r="B151" s="209" t="s">
        <v>1161</v>
      </c>
      <c r="C151" s="209" t="s">
        <v>2396</v>
      </c>
      <c r="D151" s="451" t="s">
        <v>138</v>
      </c>
      <c r="E151" s="273">
        <v>0</v>
      </c>
      <c r="F151" s="274"/>
      <c r="G151" s="274">
        <f t="shared" si="0"/>
        <v>0</v>
      </c>
      <c r="H151" s="274">
        <v>0</v>
      </c>
      <c r="K151" s="274"/>
    </row>
    <row r="152" spans="2:11" ht="13.5" customHeight="1">
      <c r="B152" s="209" t="s">
        <v>1161</v>
      </c>
      <c r="C152" s="209" t="s">
        <v>2396</v>
      </c>
      <c r="D152" s="452" t="s">
        <v>139</v>
      </c>
      <c r="E152" s="273">
        <v>0</v>
      </c>
      <c r="F152" s="274"/>
      <c r="G152" s="274">
        <f t="shared" si="0"/>
        <v>0</v>
      </c>
      <c r="H152" s="274">
        <v>0</v>
      </c>
      <c r="K152" s="274"/>
    </row>
    <row r="153" spans="2:11" ht="13.5" customHeight="1">
      <c r="B153" s="209" t="s">
        <v>1161</v>
      </c>
      <c r="C153" s="209" t="s">
        <v>2396</v>
      </c>
      <c r="D153" s="216" t="s">
        <v>140</v>
      </c>
      <c r="E153" s="273">
        <v>0</v>
      </c>
      <c r="F153" s="274"/>
      <c r="G153" s="274">
        <f t="shared" si="0"/>
        <v>0</v>
      </c>
      <c r="H153" s="274">
        <v>0</v>
      </c>
      <c r="K153" s="274"/>
    </row>
    <row r="154" spans="2:11" ht="13.5" customHeight="1">
      <c r="B154" s="209" t="s">
        <v>1161</v>
      </c>
      <c r="C154" s="209" t="s">
        <v>2396</v>
      </c>
      <c r="D154" s="453" t="s">
        <v>141</v>
      </c>
      <c r="E154" s="273">
        <v>0</v>
      </c>
      <c r="F154" s="274"/>
      <c r="G154" s="274">
        <f t="shared" si="0"/>
        <v>0</v>
      </c>
      <c r="H154" s="274">
        <v>0</v>
      </c>
      <c r="K154" s="274"/>
    </row>
    <row r="155" spans="2:11" ht="13.5" customHeight="1">
      <c r="B155" s="209" t="s">
        <v>755</v>
      </c>
      <c r="C155" s="209" t="s">
        <v>2397</v>
      </c>
      <c r="D155" s="446" t="s">
        <v>133</v>
      </c>
      <c r="E155" s="273">
        <v>0</v>
      </c>
      <c r="F155" s="274"/>
      <c r="G155" s="274">
        <f t="shared" si="0"/>
        <v>0</v>
      </c>
      <c r="H155" s="274">
        <v>0</v>
      </c>
      <c r="K155" s="274"/>
    </row>
    <row r="156" spans="2:11" ht="13.5" customHeight="1">
      <c r="B156" s="209" t="s">
        <v>755</v>
      </c>
      <c r="C156" s="209" t="s">
        <v>2397</v>
      </c>
      <c r="D156" s="447" t="s">
        <v>134</v>
      </c>
      <c r="E156" s="273">
        <v>0</v>
      </c>
      <c r="F156" s="274"/>
      <c r="G156" s="274">
        <f t="shared" si="0"/>
        <v>0</v>
      </c>
      <c r="H156" s="274">
        <v>0</v>
      </c>
      <c r="K156" s="274"/>
    </row>
    <row r="157" spans="2:11" ht="13.5" customHeight="1">
      <c r="B157" s="209" t="s">
        <v>755</v>
      </c>
      <c r="C157" s="209" t="s">
        <v>2397</v>
      </c>
      <c r="D157" s="448" t="s">
        <v>135</v>
      </c>
      <c r="E157" s="273">
        <v>0</v>
      </c>
      <c r="F157" s="274"/>
      <c r="G157" s="274">
        <f t="shared" si="0"/>
        <v>0</v>
      </c>
      <c r="H157" s="274">
        <v>0</v>
      </c>
      <c r="K157" s="274"/>
    </row>
    <row r="158" spans="2:11" ht="13.5" customHeight="1">
      <c r="B158" s="209" t="s">
        <v>755</v>
      </c>
      <c r="C158" s="209" t="s">
        <v>2397</v>
      </c>
      <c r="D158" s="449" t="s">
        <v>136</v>
      </c>
      <c r="E158" s="273">
        <v>0</v>
      </c>
      <c r="F158" s="274"/>
      <c r="G158" s="274">
        <f t="shared" si="0"/>
        <v>0</v>
      </c>
      <c r="H158" s="274">
        <v>0</v>
      </c>
      <c r="K158" s="274"/>
    </row>
    <row r="159" spans="2:11" ht="13.5" customHeight="1">
      <c r="B159" s="209" t="s">
        <v>755</v>
      </c>
      <c r="C159" s="209" t="s">
        <v>2397</v>
      </c>
      <c r="D159" s="450" t="s">
        <v>137</v>
      </c>
      <c r="E159" s="273">
        <v>0</v>
      </c>
      <c r="F159" s="274"/>
      <c r="G159" s="274">
        <f t="shared" si="0"/>
        <v>0</v>
      </c>
      <c r="H159" s="274">
        <v>0</v>
      </c>
      <c r="K159" s="274"/>
    </row>
    <row r="160" spans="2:11" ht="13.5" customHeight="1">
      <c r="B160" s="209" t="s">
        <v>755</v>
      </c>
      <c r="C160" s="209" t="s">
        <v>2397</v>
      </c>
      <c r="D160" s="451" t="s">
        <v>138</v>
      </c>
      <c r="E160" s="273">
        <v>0</v>
      </c>
      <c r="F160" s="274"/>
      <c r="G160" s="274">
        <f t="shared" si="0"/>
        <v>0</v>
      </c>
      <c r="H160" s="274">
        <v>0</v>
      </c>
      <c r="K160" s="274"/>
    </row>
    <row r="161" spans="2:11" ht="13.5" customHeight="1">
      <c r="B161" s="209" t="s">
        <v>755</v>
      </c>
      <c r="C161" s="209" t="s">
        <v>2397</v>
      </c>
      <c r="D161" s="452" t="s">
        <v>139</v>
      </c>
      <c r="E161" s="273">
        <v>0</v>
      </c>
      <c r="F161" s="274"/>
      <c r="G161" s="274">
        <f t="shared" si="0"/>
        <v>0</v>
      </c>
      <c r="H161" s="274">
        <v>0</v>
      </c>
      <c r="K161" s="274"/>
    </row>
    <row r="162" spans="2:11" ht="13.5" customHeight="1">
      <c r="B162" s="209" t="s">
        <v>755</v>
      </c>
      <c r="C162" s="209" t="s">
        <v>2397</v>
      </c>
      <c r="D162" s="216" t="s">
        <v>140</v>
      </c>
      <c r="E162" s="273">
        <v>0</v>
      </c>
      <c r="F162" s="274"/>
      <c r="G162" s="274">
        <f t="shared" si="0"/>
        <v>0</v>
      </c>
      <c r="H162" s="274">
        <v>0</v>
      </c>
      <c r="K162" s="274"/>
    </row>
    <row r="163" spans="2:11" ht="13.5" customHeight="1">
      <c r="B163" s="209" t="s">
        <v>755</v>
      </c>
      <c r="C163" s="209" t="s">
        <v>2397</v>
      </c>
      <c r="D163" s="453" t="s">
        <v>141</v>
      </c>
      <c r="E163" s="273">
        <v>0</v>
      </c>
      <c r="F163" s="274"/>
      <c r="G163" s="274">
        <f t="shared" si="0"/>
        <v>0</v>
      </c>
      <c r="H163" s="274">
        <v>0</v>
      </c>
      <c r="K163" s="274"/>
    </row>
    <row r="164" spans="2:11" ht="13.5" customHeight="1">
      <c r="B164" s="209" t="s">
        <v>757</v>
      </c>
      <c r="C164" s="209" t="s">
        <v>2398</v>
      </c>
      <c r="D164" s="446" t="s">
        <v>133</v>
      </c>
      <c r="E164" s="273">
        <v>0</v>
      </c>
      <c r="F164" s="274"/>
      <c r="G164" s="274">
        <f t="shared" si="0"/>
        <v>0</v>
      </c>
      <c r="H164" s="274">
        <v>0</v>
      </c>
      <c r="K164" s="274"/>
    </row>
    <row r="165" spans="2:11" ht="13.5" customHeight="1">
      <c r="B165" s="209" t="s">
        <v>757</v>
      </c>
      <c r="C165" s="209" t="s">
        <v>2398</v>
      </c>
      <c r="D165" s="447" t="s">
        <v>134</v>
      </c>
      <c r="E165" s="273">
        <v>0</v>
      </c>
      <c r="F165" s="274"/>
      <c r="G165" s="274">
        <f t="shared" si="0"/>
        <v>0</v>
      </c>
      <c r="H165" s="274">
        <v>0</v>
      </c>
      <c r="K165" s="274"/>
    </row>
    <row r="166" spans="2:11" ht="13.5" customHeight="1">
      <c r="B166" s="209" t="s">
        <v>757</v>
      </c>
      <c r="C166" s="209" t="s">
        <v>2398</v>
      </c>
      <c r="D166" s="448" t="s">
        <v>135</v>
      </c>
      <c r="E166" s="273">
        <v>0</v>
      </c>
      <c r="F166" s="274"/>
      <c r="G166" s="274">
        <f t="shared" si="0"/>
        <v>0</v>
      </c>
      <c r="H166" s="274">
        <v>0</v>
      </c>
      <c r="K166" s="274"/>
    </row>
    <row r="167" spans="2:11" ht="13.5" customHeight="1">
      <c r="B167" s="209" t="s">
        <v>757</v>
      </c>
      <c r="C167" s="209" t="s">
        <v>2398</v>
      </c>
      <c r="D167" s="449" t="s">
        <v>136</v>
      </c>
      <c r="E167" s="273">
        <v>0</v>
      </c>
      <c r="F167" s="274"/>
      <c r="G167" s="274">
        <f t="shared" si="0"/>
        <v>0</v>
      </c>
      <c r="H167" s="274">
        <v>0</v>
      </c>
      <c r="K167" s="274"/>
    </row>
    <row r="168" spans="2:11" ht="13.5" customHeight="1">
      <c r="B168" s="209" t="s">
        <v>757</v>
      </c>
      <c r="C168" s="209" t="s">
        <v>2398</v>
      </c>
      <c r="D168" s="450" t="s">
        <v>137</v>
      </c>
      <c r="E168" s="273">
        <v>0</v>
      </c>
      <c r="F168" s="274"/>
      <c r="G168" s="274">
        <f t="shared" si="0"/>
        <v>0</v>
      </c>
      <c r="H168" s="274">
        <v>0</v>
      </c>
      <c r="K168" s="274"/>
    </row>
    <row r="169" spans="2:11" ht="13.5" customHeight="1">
      <c r="B169" s="209" t="s">
        <v>757</v>
      </c>
      <c r="C169" s="209" t="s">
        <v>2398</v>
      </c>
      <c r="D169" s="451" t="s">
        <v>138</v>
      </c>
      <c r="E169" s="273">
        <v>0</v>
      </c>
      <c r="F169" s="274"/>
      <c r="G169" s="274">
        <f t="shared" si="0"/>
        <v>0</v>
      </c>
      <c r="H169" s="274">
        <v>0</v>
      </c>
      <c r="K169" s="274"/>
    </row>
    <row r="170" spans="2:11" ht="13.5" customHeight="1">
      <c r="B170" s="209" t="s">
        <v>757</v>
      </c>
      <c r="C170" s="209" t="s">
        <v>2398</v>
      </c>
      <c r="D170" s="452" t="s">
        <v>139</v>
      </c>
      <c r="E170" s="273">
        <v>0</v>
      </c>
      <c r="F170" s="274"/>
      <c r="G170" s="274">
        <f t="shared" si="0"/>
        <v>0</v>
      </c>
      <c r="H170" s="274">
        <v>0</v>
      </c>
      <c r="K170" s="274"/>
    </row>
    <row r="171" spans="2:11" ht="13.5" customHeight="1">
      <c r="B171" s="209" t="s">
        <v>757</v>
      </c>
      <c r="C171" s="209" t="s">
        <v>2398</v>
      </c>
      <c r="D171" s="216" t="s">
        <v>140</v>
      </c>
      <c r="E171" s="273">
        <v>0</v>
      </c>
      <c r="F171" s="274"/>
      <c r="G171" s="274">
        <f t="shared" si="0"/>
        <v>0</v>
      </c>
      <c r="H171" s="274">
        <v>0</v>
      </c>
      <c r="K171" s="274"/>
    </row>
    <row r="172" spans="2:11" ht="13.5" customHeight="1">
      <c r="B172" s="209" t="s">
        <v>757</v>
      </c>
      <c r="C172" s="209" t="s">
        <v>2398</v>
      </c>
      <c r="D172" s="453" t="s">
        <v>141</v>
      </c>
      <c r="E172" s="273">
        <v>0</v>
      </c>
      <c r="F172" s="274"/>
      <c r="G172" s="274">
        <f t="shared" si="0"/>
        <v>0</v>
      </c>
      <c r="H172" s="274">
        <v>0</v>
      </c>
      <c r="K172" s="274"/>
    </row>
    <row r="173" spans="2:11" ht="13.5" customHeight="1">
      <c r="B173" s="209" t="s">
        <v>1048</v>
      </c>
      <c r="C173" s="209" t="s">
        <v>2399</v>
      </c>
      <c r="D173" s="446" t="s">
        <v>133</v>
      </c>
      <c r="E173" s="273">
        <v>0</v>
      </c>
      <c r="F173" s="274"/>
      <c r="G173" s="274">
        <f t="shared" si="0"/>
        <v>0</v>
      </c>
      <c r="H173" s="274">
        <v>0</v>
      </c>
      <c r="K173" s="274"/>
    </row>
    <row r="174" spans="2:11" ht="13.5" customHeight="1">
      <c r="B174" s="209" t="s">
        <v>1048</v>
      </c>
      <c r="C174" s="209" t="s">
        <v>2399</v>
      </c>
      <c r="D174" s="447" t="s">
        <v>134</v>
      </c>
      <c r="E174" s="273">
        <v>0</v>
      </c>
      <c r="F174" s="274"/>
      <c r="G174" s="274">
        <f t="shared" si="0"/>
        <v>0</v>
      </c>
      <c r="H174" s="274">
        <v>0</v>
      </c>
      <c r="K174" s="274"/>
    </row>
    <row r="175" spans="2:11" ht="13.5" customHeight="1">
      <c r="B175" s="209" t="s">
        <v>1048</v>
      </c>
      <c r="C175" s="209" t="s">
        <v>2399</v>
      </c>
      <c r="D175" s="448" t="s">
        <v>135</v>
      </c>
      <c r="E175" s="273">
        <v>0</v>
      </c>
      <c r="F175" s="274"/>
      <c r="G175" s="274">
        <f t="shared" si="0"/>
        <v>0</v>
      </c>
      <c r="H175" s="274">
        <v>0</v>
      </c>
      <c r="K175" s="274"/>
    </row>
    <row r="176" spans="2:11" ht="13.5" customHeight="1">
      <c r="B176" s="209" t="s">
        <v>1048</v>
      </c>
      <c r="C176" s="209" t="s">
        <v>2399</v>
      </c>
      <c r="D176" s="449" t="s">
        <v>136</v>
      </c>
      <c r="E176" s="273">
        <v>0</v>
      </c>
      <c r="F176" s="274"/>
      <c r="G176" s="274">
        <f t="shared" si="0"/>
        <v>0</v>
      </c>
      <c r="H176" s="274">
        <v>0</v>
      </c>
      <c r="K176" s="274"/>
    </row>
    <row r="177" spans="2:11" ht="13.5" customHeight="1">
      <c r="B177" s="209" t="s">
        <v>1048</v>
      </c>
      <c r="C177" s="209" t="s">
        <v>2399</v>
      </c>
      <c r="D177" s="450" t="s">
        <v>137</v>
      </c>
      <c r="E177" s="273">
        <v>0</v>
      </c>
      <c r="F177" s="274"/>
      <c r="G177" s="274">
        <f t="shared" si="0"/>
        <v>0</v>
      </c>
      <c r="H177" s="274">
        <v>0</v>
      </c>
      <c r="K177" s="274"/>
    </row>
    <row r="178" spans="2:11" ht="13.5" customHeight="1">
      <c r="B178" s="209" t="s">
        <v>1048</v>
      </c>
      <c r="C178" s="209" t="s">
        <v>2399</v>
      </c>
      <c r="D178" s="451" t="s">
        <v>138</v>
      </c>
      <c r="E178" s="273">
        <v>0</v>
      </c>
      <c r="F178" s="274"/>
      <c r="G178" s="274">
        <f t="shared" si="0"/>
        <v>0</v>
      </c>
      <c r="H178" s="274">
        <v>0</v>
      </c>
      <c r="K178" s="274"/>
    </row>
    <row r="179" spans="2:11" ht="13.5" customHeight="1">
      <c r="B179" s="209" t="s">
        <v>1048</v>
      </c>
      <c r="C179" s="209" t="s">
        <v>2399</v>
      </c>
      <c r="D179" s="452" t="s">
        <v>139</v>
      </c>
      <c r="E179" s="273">
        <v>0</v>
      </c>
      <c r="F179" s="274"/>
      <c r="G179" s="274">
        <f t="shared" si="0"/>
        <v>0</v>
      </c>
      <c r="H179" s="274">
        <v>0</v>
      </c>
      <c r="K179" s="274"/>
    </row>
    <row r="180" spans="2:11" ht="13.5" customHeight="1">
      <c r="B180" s="209" t="s">
        <v>1048</v>
      </c>
      <c r="C180" s="209" t="s">
        <v>2399</v>
      </c>
      <c r="D180" s="216" t="s">
        <v>140</v>
      </c>
      <c r="E180" s="273">
        <v>0</v>
      </c>
      <c r="F180" s="274"/>
      <c r="G180" s="274">
        <f t="shared" si="0"/>
        <v>0</v>
      </c>
      <c r="H180" s="274">
        <v>0</v>
      </c>
      <c r="K180" s="274"/>
    </row>
    <row r="181" spans="2:11" ht="13.5" customHeight="1">
      <c r="B181" s="209" t="s">
        <v>1048</v>
      </c>
      <c r="C181" s="209" t="s">
        <v>2399</v>
      </c>
      <c r="D181" s="453" t="s">
        <v>141</v>
      </c>
      <c r="E181" s="273">
        <v>0</v>
      </c>
      <c r="F181" s="274"/>
      <c r="G181" s="274">
        <f t="shared" si="0"/>
        <v>0</v>
      </c>
      <c r="H181" s="274">
        <v>0</v>
      </c>
      <c r="K181" s="274"/>
    </row>
    <row r="182" spans="2:11" ht="13.5" customHeight="1">
      <c r="B182" s="209" t="s">
        <v>1050</v>
      </c>
      <c r="C182" s="209" t="s">
        <v>2400</v>
      </c>
      <c r="D182" s="446" t="s">
        <v>133</v>
      </c>
      <c r="E182" s="273">
        <v>0</v>
      </c>
      <c r="F182" s="274"/>
      <c r="G182" s="274">
        <f t="shared" si="0"/>
        <v>0</v>
      </c>
      <c r="H182" s="274">
        <v>0</v>
      </c>
      <c r="K182" s="274"/>
    </row>
    <row r="183" spans="2:11" ht="13.5" customHeight="1">
      <c r="B183" s="209" t="s">
        <v>1050</v>
      </c>
      <c r="C183" s="209" t="s">
        <v>2400</v>
      </c>
      <c r="D183" s="447" t="s">
        <v>134</v>
      </c>
      <c r="E183" s="273">
        <v>0</v>
      </c>
      <c r="F183" s="274"/>
      <c r="G183" s="274">
        <f t="shared" si="0"/>
        <v>0</v>
      </c>
      <c r="H183" s="274">
        <v>0</v>
      </c>
      <c r="K183" s="274"/>
    </row>
    <row r="184" spans="2:11" ht="13.5" customHeight="1">
      <c r="B184" s="209" t="s">
        <v>1050</v>
      </c>
      <c r="C184" s="209" t="s">
        <v>2400</v>
      </c>
      <c r="D184" s="448" t="s">
        <v>135</v>
      </c>
      <c r="E184" s="273">
        <v>0</v>
      </c>
      <c r="F184" s="274"/>
      <c r="G184" s="274">
        <f t="shared" si="0"/>
        <v>0</v>
      </c>
      <c r="H184" s="274">
        <v>0</v>
      </c>
      <c r="K184" s="274"/>
    </row>
    <row r="185" spans="2:11" ht="13.5" customHeight="1">
      <c r="B185" s="209" t="s">
        <v>1050</v>
      </c>
      <c r="C185" s="209" t="s">
        <v>2400</v>
      </c>
      <c r="D185" s="449" t="s">
        <v>136</v>
      </c>
      <c r="E185" s="273">
        <v>0</v>
      </c>
      <c r="F185" s="274"/>
      <c r="G185" s="274">
        <f t="shared" si="0"/>
        <v>0</v>
      </c>
      <c r="H185" s="274">
        <v>0</v>
      </c>
      <c r="K185" s="274"/>
    </row>
    <row r="186" spans="2:11" ht="13.5" customHeight="1">
      <c r="B186" s="209" t="s">
        <v>1050</v>
      </c>
      <c r="C186" s="209" t="s">
        <v>2400</v>
      </c>
      <c r="D186" s="450" t="s">
        <v>137</v>
      </c>
      <c r="E186" s="273">
        <v>0</v>
      </c>
      <c r="F186" s="274"/>
      <c r="G186" s="274">
        <f t="shared" si="0"/>
        <v>0</v>
      </c>
      <c r="H186" s="274">
        <v>0</v>
      </c>
      <c r="K186" s="274"/>
    </row>
    <row r="187" spans="2:11" ht="13.5" customHeight="1">
      <c r="B187" s="209" t="s">
        <v>1050</v>
      </c>
      <c r="C187" s="209" t="s">
        <v>2400</v>
      </c>
      <c r="D187" s="451" t="s">
        <v>138</v>
      </c>
      <c r="E187" s="273">
        <v>0</v>
      </c>
      <c r="F187" s="274"/>
      <c r="G187" s="274">
        <f t="shared" si="0"/>
        <v>0</v>
      </c>
      <c r="H187" s="274">
        <v>0</v>
      </c>
      <c r="K187" s="274"/>
    </row>
    <row r="188" spans="2:11" ht="13.5" customHeight="1">
      <c r="B188" s="209" t="s">
        <v>1050</v>
      </c>
      <c r="C188" s="209" t="s">
        <v>2400</v>
      </c>
      <c r="D188" s="452" t="s">
        <v>139</v>
      </c>
      <c r="E188" s="273">
        <v>0</v>
      </c>
      <c r="F188" s="274"/>
      <c r="G188" s="274">
        <f t="shared" si="0"/>
        <v>0</v>
      </c>
      <c r="H188" s="274">
        <v>0</v>
      </c>
      <c r="K188" s="274"/>
    </row>
    <row r="189" spans="2:11" ht="13.5" customHeight="1">
      <c r="B189" s="209" t="s">
        <v>1050</v>
      </c>
      <c r="C189" s="209" t="s">
        <v>2400</v>
      </c>
      <c r="D189" s="216" t="s">
        <v>140</v>
      </c>
      <c r="E189" s="273">
        <v>0</v>
      </c>
      <c r="F189" s="274"/>
      <c r="G189" s="274">
        <f t="shared" si="0"/>
        <v>0</v>
      </c>
      <c r="H189" s="274">
        <v>0</v>
      </c>
      <c r="K189" s="274"/>
    </row>
    <row r="190" spans="2:11" ht="13.5" customHeight="1">
      <c r="B190" s="209" t="s">
        <v>1050</v>
      </c>
      <c r="C190" s="209" t="s">
        <v>2400</v>
      </c>
      <c r="D190" s="453" t="s">
        <v>141</v>
      </c>
      <c r="E190" s="273">
        <v>0</v>
      </c>
      <c r="F190" s="274"/>
      <c r="G190" s="274">
        <f t="shared" si="0"/>
        <v>0</v>
      </c>
      <c r="H190" s="274">
        <v>0</v>
      </c>
      <c r="K190" s="274"/>
    </row>
    <row r="191" spans="2:11" ht="13.5" customHeight="1">
      <c r="B191" s="209" t="s">
        <v>745</v>
      </c>
      <c r="C191" s="209" t="s">
        <v>2401</v>
      </c>
      <c r="D191" s="446" t="s">
        <v>133</v>
      </c>
      <c r="E191" s="273">
        <v>0</v>
      </c>
      <c r="F191" s="274"/>
      <c r="G191" s="274">
        <f t="shared" si="0"/>
        <v>0</v>
      </c>
      <c r="H191" s="274">
        <v>0</v>
      </c>
      <c r="K191" s="274"/>
    </row>
    <row r="192" spans="2:11" ht="13.5" customHeight="1">
      <c r="B192" s="209" t="s">
        <v>745</v>
      </c>
      <c r="C192" s="209" t="s">
        <v>2401</v>
      </c>
      <c r="D192" s="447" t="s">
        <v>134</v>
      </c>
      <c r="E192" s="273">
        <v>0</v>
      </c>
      <c r="F192" s="274"/>
      <c r="G192" s="274">
        <f t="shared" si="0"/>
        <v>0</v>
      </c>
      <c r="H192" s="274">
        <v>0</v>
      </c>
      <c r="K192" s="274"/>
    </row>
    <row r="193" spans="2:11" ht="13.5" customHeight="1">
      <c r="B193" s="209" t="s">
        <v>745</v>
      </c>
      <c r="C193" s="209" t="s">
        <v>2401</v>
      </c>
      <c r="D193" s="448" t="s">
        <v>135</v>
      </c>
      <c r="E193" s="273">
        <v>0</v>
      </c>
      <c r="F193" s="274"/>
      <c r="G193" s="274">
        <f t="shared" si="0"/>
        <v>0</v>
      </c>
      <c r="H193" s="274">
        <v>0</v>
      </c>
      <c r="K193" s="274"/>
    </row>
    <row r="194" spans="2:11" ht="13.5" customHeight="1">
      <c r="B194" s="209" t="s">
        <v>745</v>
      </c>
      <c r="C194" s="209" t="s">
        <v>2401</v>
      </c>
      <c r="D194" s="449" t="s">
        <v>136</v>
      </c>
      <c r="E194" s="273">
        <v>0</v>
      </c>
      <c r="F194" s="274"/>
      <c r="G194" s="274">
        <f t="shared" si="0"/>
        <v>0</v>
      </c>
      <c r="H194" s="274">
        <v>0</v>
      </c>
      <c r="K194" s="274"/>
    </row>
    <row r="195" spans="2:11" ht="13.5" customHeight="1">
      <c r="B195" s="209" t="s">
        <v>745</v>
      </c>
      <c r="C195" s="209" t="s">
        <v>2401</v>
      </c>
      <c r="D195" s="450" t="s">
        <v>137</v>
      </c>
      <c r="E195" s="273">
        <v>0</v>
      </c>
      <c r="F195" s="274"/>
      <c r="G195" s="274">
        <f t="shared" si="0"/>
        <v>0</v>
      </c>
      <c r="H195" s="274">
        <v>0</v>
      </c>
      <c r="K195" s="274"/>
    </row>
    <row r="196" spans="2:11" ht="13.5" customHeight="1">
      <c r="B196" s="209" t="s">
        <v>745</v>
      </c>
      <c r="C196" s="209" t="s">
        <v>2401</v>
      </c>
      <c r="D196" s="451" t="s">
        <v>138</v>
      </c>
      <c r="E196" s="273">
        <v>0</v>
      </c>
      <c r="F196" s="274"/>
      <c r="G196" s="274">
        <f t="shared" si="0"/>
        <v>0</v>
      </c>
      <c r="H196" s="274">
        <v>0</v>
      </c>
      <c r="K196" s="274"/>
    </row>
    <row r="197" spans="2:11" ht="13.5" customHeight="1">
      <c r="B197" s="209" t="s">
        <v>745</v>
      </c>
      <c r="C197" s="209" t="s">
        <v>2401</v>
      </c>
      <c r="D197" s="452" t="s">
        <v>139</v>
      </c>
      <c r="E197" s="273">
        <v>0</v>
      </c>
      <c r="F197" s="274"/>
      <c r="G197" s="274">
        <f t="shared" si="0"/>
        <v>0</v>
      </c>
      <c r="H197" s="274">
        <v>0</v>
      </c>
      <c r="K197" s="274"/>
    </row>
    <row r="198" spans="2:11" ht="13.5" customHeight="1">
      <c r="B198" s="209" t="s">
        <v>745</v>
      </c>
      <c r="C198" s="209" t="s">
        <v>2401</v>
      </c>
      <c r="D198" s="216" t="s">
        <v>140</v>
      </c>
      <c r="E198" s="273">
        <v>0</v>
      </c>
      <c r="F198" s="274"/>
      <c r="G198" s="274">
        <f t="shared" si="0"/>
        <v>0</v>
      </c>
      <c r="H198" s="274">
        <v>0</v>
      </c>
      <c r="K198" s="274"/>
    </row>
    <row r="199" spans="2:11" ht="13.5" customHeight="1">
      <c r="B199" s="209" t="s">
        <v>745</v>
      </c>
      <c r="C199" s="209" t="s">
        <v>2401</v>
      </c>
      <c r="D199" s="453" t="s">
        <v>141</v>
      </c>
      <c r="E199" s="273">
        <v>0</v>
      </c>
      <c r="F199" s="274"/>
      <c r="G199" s="274">
        <f t="shared" si="0"/>
        <v>0</v>
      </c>
      <c r="H199" s="274">
        <v>0</v>
      </c>
      <c r="K199" s="274"/>
    </row>
    <row r="200" spans="2:11" ht="13.5" customHeight="1">
      <c r="B200" s="209" t="s">
        <v>1123</v>
      </c>
      <c r="C200" s="209" t="s">
        <v>2402</v>
      </c>
      <c r="D200" s="446" t="s">
        <v>133</v>
      </c>
      <c r="E200" s="273">
        <v>0</v>
      </c>
      <c r="F200" s="274"/>
      <c r="G200" s="274">
        <f t="shared" si="0"/>
        <v>0</v>
      </c>
      <c r="H200" s="274">
        <v>0</v>
      </c>
      <c r="K200" s="274"/>
    </row>
    <row r="201" spans="2:11" ht="13.5" customHeight="1">
      <c r="B201" s="209" t="s">
        <v>1123</v>
      </c>
      <c r="C201" s="209" t="s">
        <v>2402</v>
      </c>
      <c r="D201" s="447" t="s">
        <v>134</v>
      </c>
      <c r="E201" s="273">
        <v>0</v>
      </c>
      <c r="F201" s="274"/>
      <c r="G201" s="274">
        <f t="shared" si="0"/>
        <v>0</v>
      </c>
      <c r="H201" s="274">
        <v>0</v>
      </c>
      <c r="K201" s="274"/>
    </row>
    <row r="202" spans="2:11" ht="13.5" customHeight="1">
      <c r="B202" s="209" t="s">
        <v>1123</v>
      </c>
      <c r="C202" s="209" t="s">
        <v>2402</v>
      </c>
      <c r="D202" s="448" t="s">
        <v>135</v>
      </c>
      <c r="E202" s="273">
        <v>0</v>
      </c>
      <c r="F202" s="274"/>
      <c r="G202" s="274">
        <f t="shared" si="0"/>
        <v>0</v>
      </c>
      <c r="H202" s="274">
        <v>0</v>
      </c>
      <c r="K202" s="274"/>
    </row>
    <row r="203" spans="2:11" ht="13.5" customHeight="1">
      <c r="B203" s="209" t="s">
        <v>1123</v>
      </c>
      <c r="C203" s="209" t="s">
        <v>2402</v>
      </c>
      <c r="D203" s="449" t="s">
        <v>136</v>
      </c>
      <c r="E203" s="273">
        <v>0</v>
      </c>
      <c r="F203" s="274"/>
      <c r="G203" s="274">
        <f t="shared" si="0"/>
        <v>0</v>
      </c>
      <c r="H203" s="274">
        <v>0</v>
      </c>
      <c r="K203" s="274"/>
    </row>
    <row r="204" spans="2:11" ht="13.5" customHeight="1">
      <c r="B204" s="209" t="s">
        <v>1123</v>
      </c>
      <c r="C204" s="209" t="s">
        <v>2402</v>
      </c>
      <c r="D204" s="450" t="s">
        <v>137</v>
      </c>
      <c r="E204" s="273">
        <v>0</v>
      </c>
      <c r="F204" s="274"/>
      <c r="G204" s="274">
        <f t="shared" si="0"/>
        <v>0</v>
      </c>
      <c r="H204" s="274">
        <v>0</v>
      </c>
      <c r="K204" s="274"/>
    </row>
    <row r="205" spans="2:11" ht="13.5" customHeight="1">
      <c r="B205" s="209" t="s">
        <v>1123</v>
      </c>
      <c r="C205" s="209" t="s">
        <v>2402</v>
      </c>
      <c r="D205" s="451" t="s">
        <v>138</v>
      </c>
      <c r="E205" s="273">
        <v>0</v>
      </c>
      <c r="F205" s="274"/>
      <c r="G205" s="274">
        <f t="shared" si="0"/>
        <v>0</v>
      </c>
      <c r="H205" s="274">
        <v>0</v>
      </c>
      <c r="K205" s="274"/>
    </row>
    <row r="206" spans="2:11" ht="13.5" customHeight="1">
      <c r="B206" s="209" t="s">
        <v>1123</v>
      </c>
      <c r="C206" s="209" t="s">
        <v>2402</v>
      </c>
      <c r="D206" s="452" t="s">
        <v>139</v>
      </c>
      <c r="E206" s="273">
        <v>0</v>
      </c>
      <c r="F206" s="274"/>
      <c r="G206" s="274">
        <f t="shared" si="0"/>
        <v>0</v>
      </c>
      <c r="H206" s="274">
        <v>0</v>
      </c>
      <c r="K206" s="274"/>
    </row>
    <row r="207" spans="2:11" ht="13.5" customHeight="1">
      <c r="B207" s="209" t="s">
        <v>1123</v>
      </c>
      <c r="C207" s="209" t="s">
        <v>2402</v>
      </c>
      <c r="D207" s="216" t="s">
        <v>140</v>
      </c>
      <c r="E207" s="273">
        <v>0</v>
      </c>
      <c r="F207" s="274"/>
      <c r="G207" s="274">
        <f t="shared" si="0"/>
        <v>0</v>
      </c>
      <c r="H207" s="274">
        <v>0</v>
      </c>
      <c r="K207" s="274"/>
    </row>
    <row r="208" spans="2:11" ht="13.5" customHeight="1">
      <c r="B208" s="209" t="s">
        <v>1123</v>
      </c>
      <c r="C208" s="209" t="s">
        <v>2402</v>
      </c>
      <c r="D208" s="453" t="s">
        <v>141</v>
      </c>
      <c r="E208" s="273">
        <v>0</v>
      </c>
      <c r="F208" s="274"/>
      <c r="G208" s="274">
        <f t="shared" si="0"/>
        <v>0</v>
      </c>
      <c r="H208" s="274">
        <v>0</v>
      </c>
      <c r="K208" s="274"/>
    </row>
    <row r="209" spans="2:11" ht="13.5" customHeight="1">
      <c r="B209" s="209" t="s">
        <v>1020</v>
      </c>
      <c r="C209" s="209" t="s">
        <v>2403</v>
      </c>
      <c r="D209" s="446" t="s">
        <v>133</v>
      </c>
      <c r="E209" s="273">
        <v>0</v>
      </c>
      <c r="F209" s="274"/>
      <c r="G209" s="274">
        <f t="shared" si="0"/>
        <v>0</v>
      </c>
      <c r="H209" s="274">
        <v>0</v>
      </c>
      <c r="K209" s="274"/>
    </row>
    <row r="210" spans="2:11" ht="13.5" customHeight="1">
      <c r="B210" s="209" t="s">
        <v>1020</v>
      </c>
      <c r="C210" s="209" t="s">
        <v>2403</v>
      </c>
      <c r="D210" s="447" t="s">
        <v>134</v>
      </c>
      <c r="E210" s="273">
        <v>0</v>
      </c>
      <c r="F210" s="274"/>
      <c r="G210" s="274">
        <f t="shared" si="0"/>
        <v>0</v>
      </c>
      <c r="H210" s="274">
        <v>0</v>
      </c>
      <c r="K210" s="274"/>
    </row>
    <row r="211" spans="2:11" ht="13.5" customHeight="1">
      <c r="B211" s="209" t="s">
        <v>1020</v>
      </c>
      <c r="C211" s="209" t="s">
        <v>2403</v>
      </c>
      <c r="D211" s="448" t="s">
        <v>135</v>
      </c>
      <c r="E211" s="273">
        <v>0</v>
      </c>
      <c r="F211" s="274"/>
      <c r="G211" s="274">
        <f t="shared" si="0"/>
        <v>0</v>
      </c>
      <c r="H211" s="274">
        <v>0</v>
      </c>
      <c r="K211" s="274"/>
    </row>
    <row r="212" spans="2:11" ht="13.5" customHeight="1">
      <c r="B212" s="209" t="s">
        <v>1020</v>
      </c>
      <c r="C212" s="209" t="s">
        <v>2403</v>
      </c>
      <c r="D212" s="449" t="s">
        <v>136</v>
      </c>
      <c r="E212" s="273">
        <v>0</v>
      </c>
      <c r="F212" s="274"/>
      <c r="G212" s="274">
        <f t="shared" si="0"/>
        <v>0</v>
      </c>
      <c r="H212" s="274">
        <v>0</v>
      </c>
      <c r="K212" s="274"/>
    </row>
    <row r="213" spans="2:11" ht="13.5" customHeight="1">
      <c r="B213" s="209" t="s">
        <v>1020</v>
      </c>
      <c r="C213" s="209" t="s">
        <v>2403</v>
      </c>
      <c r="D213" s="450" t="s">
        <v>137</v>
      </c>
      <c r="E213" s="273">
        <v>0</v>
      </c>
      <c r="F213" s="274"/>
      <c r="G213" s="274">
        <f t="shared" si="0"/>
        <v>0</v>
      </c>
      <c r="H213" s="274">
        <v>0</v>
      </c>
      <c r="K213" s="274"/>
    </row>
    <row r="214" spans="2:11" ht="13.5" customHeight="1">
      <c r="B214" s="209" t="s">
        <v>1020</v>
      </c>
      <c r="C214" s="209" t="s">
        <v>2403</v>
      </c>
      <c r="D214" s="451" t="s">
        <v>138</v>
      </c>
      <c r="E214" s="273">
        <v>0</v>
      </c>
      <c r="F214" s="274"/>
      <c r="G214" s="274">
        <f t="shared" si="0"/>
        <v>0</v>
      </c>
      <c r="H214" s="274">
        <v>0</v>
      </c>
      <c r="K214" s="274"/>
    </row>
    <row r="215" spans="2:11" ht="13.5" customHeight="1">
      <c r="B215" s="209" t="s">
        <v>1020</v>
      </c>
      <c r="C215" s="209" t="s">
        <v>2403</v>
      </c>
      <c r="D215" s="452" t="s">
        <v>139</v>
      </c>
      <c r="E215" s="273">
        <v>0</v>
      </c>
      <c r="F215" s="274"/>
      <c r="G215" s="274">
        <f t="shared" si="0"/>
        <v>0</v>
      </c>
      <c r="H215" s="274">
        <v>0</v>
      </c>
      <c r="K215" s="274"/>
    </row>
    <row r="216" spans="2:11" ht="13.5" customHeight="1">
      <c r="B216" s="209" t="s">
        <v>1020</v>
      </c>
      <c r="C216" s="209" t="s">
        <v>2403</v>
      </c>
      <c r="D216" s="216" t="s">
        <v>140</v>
      </c>
      <c r="E216" s="273">
        <v>0</v>
      </c>
      <c r="F216" s="274"/>
      <c r="G216" s="274">
        <f t="shared" si="0"/>
        <v>0</v>
      </c>
      <c r="H216" s="274">
        <v>0</v>
      </c>
      <c r="K216" s="274"/>
    </row>
    <row r="217" spans="2:11" ht="13.5" customHeight="1">
      <c r="B217" s="209" t="s">
        <v>1020</v>
      </c>
      <c r="C217" s="209" t="s">
        <v>2403</v>
      </c>
      <c r="D217" s="453" t="s">
        <v>141</v>
      </c>
      <c r="E217" s="273">
        <v>0</v>
      </c>
      <c r="F217" s="274"/>
      <c r="G217" s="274">
        <f t="shared" si="0"/>
        <v>0</v>
      </c>
      <c r="H217" s="274">
        <v>0</v>
      </c>
      <c r="K217" s="274"/>
    </row>
    <row r="218" spans="2:11" ht="13.5" customHeight="1">
      <c r="B218" s="209" t="s">
        <v>1022</v>
      </c>
      <c r="C218" s="209" t="s">
        <v>2404</v>
      </c>
      <c r="D218" s="446" t="s">
        <v>133</v>
      </c>
      <c r="E218" s="273">
        <v>0</v>
      </c>
      <c r="F218" s="274"/>
      <c r="G218" s="274">
        <f t="shared" si="0"/>
        <v>0</v>
      </c>
      <c r="H218" s="274">
        <v>0</v>
      </c>
      <c r="K218" s="274"/>
    </row>
    <row r="219" spans="2:11" ht="13.5" customHeight="1">
      <c r="B219" s="209" t="s">
        <v>1022</v>
      </c>
      <c r="C219" s="209" t="s">
        <v>2404</v>
      </c>
      <c r="D219" s="447" t="s">
        <v>134</v>
      </c>
      <c r="E219" s="273">
        <v>0</v>
      </c>
      <c r="F219" s="274"/>
      <c r="G219" s="274">
        <f t="shared" si="0"/>
        <v>0</v>
      </c>
      <c r="H219" s="274">
        <v>0</v>
      </c>
      <c r="K219" s="274"/>
    </row>
    <row r="220" spans="2:11" ht="13.5" customHeight="1">
      <c r="B220" s="209" t="s">
        <v>1022</v>
      </c>
      <c r="C220" s="209" t="s">
        <v>2404</v>
      </c>
      <c r="D220" s="448" t="s">
        <v>135</v>
      </c>
      <c r="E220" s="273">
        <v>0</v>
      </c>
      <c r="F220" s="274"/>
      <c r="G220" s="274">
        <f t="shared" si="0"/>
        <v>0</v>
      </c>
      <c r="H220" s="274">
        <v>0</v>
      </c>
      <c r="K220" s="274"/>
    </row>
    <row r="221" spans="2:11" ht="13.5" customHeight="1">
      <c r="B221" s="209" t="s">
        <v>1022</v>
      </c>
      <c r="C221" s="209" t="s">
        <v>2404</v>
      </c>
      <c r="D221" s="449" t="s">
        <v>136</v>
      </c>
      <c r="E221" s="273">
        <v>0</v>
      </c>
      <c r="F221" s="274"/>
      <c r="G221" s="274">
        <f t="shared" si="0"/>
        <v>0</v>
      </c>
      <c r="H221" s="274">
        <v>0</v>
      </c>
      <c r="K221" s="274"/>
    </row>
    <row r="222" spans="2:11" ht="13.5" customHeight="1">
      <c r="B222" s="209" t="s">
        <v>1022</v>
      </c>
      <c r="C222" s="209" t="s">
        <v>2404</v>
      </c>
      <c r="D222" s="450" t="s">
        <v>137</v>
      </c>
      <c r="E222" s="273">
        <v>0</v>
      </c>
      <c r="F222" s="274"/>
      <c r="G222" s="274">
        <f t="shared" si="0"/>
        <v>0</v>
      </c>
      <c r="H222" s="274">
        <v>0</v>
      </c>
      <c r="K222" s="274"/>
    </row>
    <row r="223" spans="2:11" ht="13.5" customHeight="1">
      <c r="B223" s="209" t="s">
        <v>1022</v>
      </c>
      <c r="C223" s="209" t="s">
        <v>2404</v>
      </c>
      <c r="D223" s="451" t="s">
        <v>138</v>
      </c>
      <c r="E223" s="273">
        <v>0</v>
      </c>
      <c r="F223" s="274"/>
      <c r="G223" s="274">
        <f t="shared" si="0"/>
        <v>0</v>
      </c>
      <c r="H223" s="274">
        <v>0</v>
      </c>
      <c r="K223" s="274"/>
    </row>
    <row r="224" spans="2:11" ht="13.5" customHeight="1">
      <c r="B224" s="209" t="s">
        <v>1022</v>
      </c>
      <c r="C224" s="209" t="s">
        <v>2404</v>
      </c>
      <c r="D224" s="452" t="s">
        <v>139</v>
      </c>
      <c r="E224" s="273">
        <v>0</v>
      </c>
      <c r="F224" s="274"/>
      <c r="G224" s="274">
        <f t="shared" si="0"/>
        <v>0</v>
      </c>
      <c r="H224" s="274">
        <v>0</v>
      </c>
      <c r="K224" s="274"/>
    </row>
    <row r="225" spans="2:11" ht="13.5" customHeight="1">
      <c r="B225" s="209" t="s">
        <v>1022</v>
      </c>
      <c r="C225" s="209" t="s">
        <v>2404</v>
      </c>
      <c r="D225" s="216" t="s">
        <v>140</v>
      </c>
      <c r="E225" s="273">
        <v>0</v>
      </c>
      <c r="F225" s="274"/>
      <c r="G225" s="274">
        <f t="shared" si="0"/>
        <v>0</v>
      </c>
      <c r="H225" s="274">
        <v>0</v>
      </c>
      <c r="K225" s="274"/>
    </row>
    <row r="226" spans="2:11" ht="13.5" customHeight="1">
      <c r="B226" s="209" t="s">
        <v>1022</v>
      </c>
      <c r="C226" s="209" t="s">
        <v>2404</v>
      </c>
      <c r="D226" s="453" t="s">
        <v>141</v>
      </c>
      <c r="E226" s="273">
        <v>0</v>
      </c>
      <c r="F226" s="274"/>
      <c r="G226" s="274">
        <f t="shared" si="0"/>
        <v>0</v>
      </c>
      <c r="H226" s="274">
        <v>0</v>
      </c>
      <c r="K226" s="274"/>
    </row>
    <row r="227" spans="2:11" ht="13.5" customHeight="1">
      <c r="B227" s="209" t="s">
        <v>747</v>
      </c>
      <c r="C227" s="209" t="s">
        <v>2405</v>
      </c>
      <c r="D227" s="446" t="s">
        <v>133</v>
      </c>
      <c r="E227" s="273">
        <v>0</v>
      </c>
      <c r="F227" s="274"/>
      <c r="G227" s="274">
        <f t="shared" si="0"/>
        <v>0</v>
      </c>
      <c r="H227" s="274">
        <v>0</v>
      </c>
      <c r="K227" s="274"/>
    </row>
    <row r="228" spans="2:11" ht="13.5" customHeight="1">
      <c r="B228" s="209" t="s">
        <v>747</v>
      </c>
      <c r="C228" s="209" t="s">
        <v>2405</v>
      </c>
      <c r="D228" s="447" t="s">
        <v>134</v>
      </c>
      <c r="E228" s="273">
        <v>0</v>
      </c>
      <c r="F228" s="274"/>
      <c r="G228" s="274">
        <f t="shared" si="0"/>
        <v>0</v>
      </c>
      <c r="H228" s="274">
        <v>0</v>
      </c>
      <c r="K228" s="274"/>
    </row>
    <row r="229" spans="2:11" ht="13.5" customHeight="1">
      <c r="B229" s="209" t="s">
        <v>747</v>
      </c>
      <c r="C229" s="209" t="s">
        <v>2405</v>
      </c>
      <c r="D229" s="448" t="s">
        <v>135</v>
      </c>
      <c r="E229" s="273">
        <v>0</v>
      </c>
      <c r="F229" s="274"/>
      <c r="G229" s="274">
        <f t="shared" si="0"/>
        <v>0</v>
      </c>
      <c r="H229" s="274">
        <v>0</v>
      </c>
      <c r="K229" s="274"/>
    </row>
    <row r="230" spans="2:11" ht="13.5" customHeight="1">
      <c r="B230" s="209" t="s">
        <v>747</v>
      </c>
      <c r="C230" s="209" t="s">
        <v>2405</v>
      </c>
      <c r="D230" s="449" t="s">
        <v>136</v>
      </c>
      <c r="E230" s="273">
        <v>0</v>
      </c>
      <c r="F230" s="274"/>
      <c r="G230" s="274">
        <f t="shared" si="0"/>
        <v>0</v>
      </c>
      <c r="H230" s="274">
        <v>0</v>
      </c>
      <c r="K230" s="274"/>
    </row>
    <row r="231" spans="2:11" ht="13.5" customHeight="1">
      <c r="B231" s="209" t="s">
        <v>747</v>
      </c>
      <c r="C231" s="209" t="s">
        <v>2405</v>
      </c>
      <c r="D231" s="450" t="s">
        <v>137</v>
      </c>
      <c r="E231" s="273">
        <v>0</v>
      </c>
      <c r="F231" s="274"/>
      <c r="G231" s="274">
        <f t="shared" si="0"/>
        <v>0</v>
      </c>
      <c r="H231" s="274">
        <v>0</v>
      </c>
      <c r="K231" s="274"/>
    </row>
    <row r="232" spans="2:11" ht="13.5" customHeight="1">
      <c r="B232" s="209" t="s">
        <v>747</v>
      </c>
      <c r="C232" s="209" t="s">
        <v>2405</v>
      </c>
      <c r="D232" s="451" t="s">
        <v>138</v>
      </c>
      <c r="E232" s="273">
        <v>0</v>
      </c>
      <c r="F232" s="274"/>
      <c r="G232" s="274">
        <f t="shared" si="0"/>
        <v>0</v>
      </c>
      <c r="H232" s="274">
        <v>0</v>
      </c>
      <c r="K232" s="274"/>
    </row>
    <row r="233" spans="2:11" ht="13.5" customHeight="1">
      <c r="B233" s="209" t="s">
        <v>747</v>
      </c>
      <c r="C233" s="209" t="s">
        <v>2405</v>
      </c>
      <c r="D233" s="452" t="s">
        <v>139</v>
      </c>
      <c r="E233" s="273">
        <v>0</v>
      </c>
      <c r="F233" s="274"/>
      <c r="G233" s="274">
        <f t="shared" si="0"/>
        <v>0</v>
      </c>
      <c r="H233" s="274">
        <v>0</v>
      </c>
      <c r="K233" s="274"/>
    </row>
    <row r="234" spans="2:11" ht="13.5" customHeight="1">
      <c r="B234" s="209" t="s">
        <v>747</v>
      </c>
      <c r="C234" s="209" t="s">
        <v>2405</v>
      </c>
      <c r="D234" s="216" t="s">
        <v>140</v>
      </c>
      <c r="E234" s="273">
        <v>0</v>
      </c>
      <c r="F234" s="274"/>
      <c r="G234" s="274">
        <f t="shared" si="0"/>
        <v>0</v>
      </c>
      <c r="H234" s="274">
        <v>0</v>
      </c>
      <c r="K234" s="274"/>
    </row>
    <row r="235" spans="2:11" ht="13.5" customHeight="1">
      <c r="B235" s="209" t="s">
        <v>747</v>
      </c>
      <c r="C235" s="209" t="s">
        <v>2405</v>
      </c>
      <c r="D235" s="453" t="s">
        <v>141</v>
      </c>
      <c r="E235" s="273">
        <v>0</v>
      </c>
      <c r="F235" s="274"/>
      <c r="G235" s="274">
        <f t="shared" si="0"/>
        <v>0</v>
      </c>
      <c r="H235" s="274">
        <v>0</v>
      </c>
      <c r="K235" s="274"/>
    </row>
    <row r="236" spans="2:11" ht="13.5" customHeight="1">
      <c r="B236" s="209" t="s">
        <v>1175</v>
      </c>
      <c r="C236" s="209" t="s">
        <v>2406</v>
      </c>
      <c r="D236" s="446" t="s">
        <v>133</v>
      </c>
      <c r="E236" s="273">
        <v>0</v>
      </c>
      <c r="F236" s="274"/>
      <c r="G236" s="274">
        <f t="shared" si="0"/>
        <v>0</v>
      </c>
      <c r="H236" s="274">
        <v>0</v>
      </c>
      <c r="K236" s="274"/>
    </row>
    <row r="237" spans="2:11" ht="13.5" customHeight="1">
      <c r="B237" s="209" t="s">
        <v>1175</v>
      </c>
      <c r="C237" s="209" t="s">
        <v>2406</v>
      </c>
      <c r="D237" s="447" t="s">
        <v>134</v>
      </c>
      <c r="E237" s="273">
        <v>0</v>
      </c>
      <c r="F237" s="274"/>
      <c r="G237" s="274">
        <f t="shared" si="0"/>
        <v>0</v>
      </c>
      <c r="H237" s="274">
        <v>0</v>
      </c>
      <c r="K237" s="274"/>
    </row>
    <row r="238" spans="2:11" ht="13.5" customHeight="1">
      <c r="B238" s="209" t="s">
        <v>1175</v>
      </c>
      <c r="C238" s="209" t="s">
        <v>2406</v>
      </c>
      <c r="D238" s="448" t="s">
        <v>135</v>
      </c>
      <c r="E238" s="273">
        <v>0</v>
      </c>
      <c r="F238" s="274"/>
      <c r="G238" s="274">
        <f t="shared" si="0"/>
        <v>0</v>
      </c>
      <c r="H238" s="274">
        <v>0</v>
      </c>
      <c r="K238" s="274"/>
    </row>
    <row r="239" spans="2:11" ht="13.5" customHeight="1">
      <c r="B239" s="209" t="s">
        <v>1175</v>
      </c>
      <c r="C239" s="209" t="s">
        <v>2406</v>
      </c>
      <c r="D239" s="449" t="s">
        <v>136</v>
      </c>
      <c r="E239" s="273">
        <v>0</v>
      </c>
      <c r="F239" s="274"/>
      <c r="G239" s="274">
        <f t="shared" si="0"/>
        <v>0</v>
      </c>
      <c r="H239" s="274">
        <v>0</v>
      </c>
      <c r="K239" s="274"/>
    </row>
    <row r="240" spans="2:11" ht="13.5" customHeight="1">
      <c r="B240" s="209" t="s">
        <v>1175</v>
      </c>
      <c r="C240" s="209" t="s">
        <v>2406</v>
      </c>
      <c r="D240" s="450" t="s">
        <v>137</v>
      </c>
      <c r="E240" s="273">
        <v>0</v>
      </c>
      <c r="F240" s="274"/>
      <c r="G240" s="274">
        <f t="shared" si="0"/>
        <v>0</v>
      </c>
      <c r="H240" s="274">
        <v>0</v>
      </c>
      <c r="K240" s="274"/>
    </row>
    <row r="241" spans="2:11" ht="13.5" customHeight="1">
      <c r="B241" s="209" t="s">
        <v>1175</v>
      </c>
      <c r="C241" s="209" t="s">
        <v>2406</v>
      </c>
      <c r="D241" s="451" t="s">
        <v>138</v>
      </c>
      <c r="E241" s="273">
        <v>0</v>
      </c>
      <c r="F241" s="274"/>
      <c r="G241" s="274">
        <f t="shared" si="0"/>
        <v>0</v>
      </c>
      <c r="H241" s="274">
        <v>0</v>
      </c>
      <c r="K241" s="274"/>
    </row>
    <row r="242" spans="2:11" ht="13.5" customHeight="1">
      <c r="B242" s="209" t="s">
        <v>1175</v>
      </c>
      <c r="C242" s="209" t="s">
        <v>2406</v>
      </c>
      <c r="D242" s="452" t="s">
        <v>139</v>
      </c>
      <c r="E242" s="273">
        <v>0</v>
      </c>
      <c r="F242" s="274"/>
      <c r="G242" s="274">
        <f t="shared" si="0"/>
        <v>0</v>
      </c>
      <c r="H242" s="274">
        <v>0</v>
      </c>
      <c r="K242" s="274"/>
    </row>
    <row r="243" spans="2:11" ht="13.5" customHeight="1">
      <c r="B243" s="209" t="s">
        <v>1175</v>
      </c>
      <c r="C243" s="209" t="s">
        <v>2406</v>
      </c>
      <c r="D243" s="216" t="s">
        <v>140</v>
      </c>
      <c r="E243" s="273">
        <v>0</v>
      </c>
      <c r="F243" s="274"/>
      <c r="G243" s="274">
        <f t="shared" si="0"/>
        <v>0</v>
      </c>
      <c r="H243" s="274">
        <v>0</v>
      </c>
      <c r="K243" s="274"/>
    </row>
    <row r="244" spans="2:11" ht="13.5" customHeight="1">
      <c r="B244" s="209" t="s">
        <v>1175</v>
      </c>
      <c r="C244" s="209" t="s">
        <v>2406</v>
      </c>
      <c r="D244" s="453" t="s">
        <v>141</v>
      </c>
      <c r="E244" s="273">
        <v>0</v>
      </c>
      <c r="F244" s="274"/>
      <c r="G244" s="274">
        <f t="shared" si="0"/>
        <v>0</v>
      </c>
      <c r="H244" s="274">
        <v>0</v>
      </c>
      <c r="K244" s="274"/>
    </row>
    <row r="245" spans="2:11" ht="13.5" customHeight="1">
      <c r="B245" s="209" t="s">
        <v>1177</v>
      </c>
      <c r="C245" s="209" t="s">
        <v>2407</v>
      </c>
      <c r="D245" s="446" t="s">
        <v>133</v>
      </c>
      <c r="E245" s="273">
        <v>0</v>
      </c>
      <c r="F245" s="274"/>
      <c r="G245" s="274">
        <f t="shared" si="0"/>
        <v>0</v>
      </c>
      <c r="H245" s="274">
        <v>0</v>
      </c>
      <c r="K245" s="274"/>
    </row>
    <row r="246" spans="2:11" ht="13.5" customHeight="1">
      <c r="B246" s="209" t="s">
        <v>1177</v>
      </c>
      <c r="C246" s="209" t="s">
        <v>2407</v>
      </c>
      <c r="D246" s="447" t="s">
        <v>134</v>
      </c>
      <c r="E246" s="273">
        <v>0</v>
      </c>
      <c r="F246" s="274"/>
      <c r="G246" s="274">
        <f t="shared" si="0"/>
        <v>0</v>
      </c>
      <c r="H246" s="274">
        <v>0</v>
      </c>
      <c r="K246" s="274"/>
    </row>
    <row r="247" spans="2:11" ht="13.5" customHeight="1">
      <c r="B247" s="209" t="s">
        <v>1177</v>
      </c>
      <c r="C247" s="209" t="s">
        <v>2407</v>
      </c>
      <c r="D247" s="448" t="s">
        <v>135</v>
      </c>
      <c r="E247" s="273">
        <v>0</v>
      </c>
      <c r="F247" s="274"/>
      <c r="G247" s="274">
        <f t="shared" si="0"/>
        <v>0</v>
      </c>
      <c r="H247" s="274">
        <v>0</v>
      </c>
      <c r="K247" s="274"/>
    </row>
    <row r="248" spans="2:11" ht="13.5" customHeight="1">
      <c r="B248" s="209" t="s">
        <v>1177</v>
      </c>
      <c r="C248" s="209" t="s">
        <v>2407</v>
      </c>
      <c r="D248" s="449" t="s">
        <v>136</v>
      </c>
      <c r="E248" s="273">
        <v>0</v>
      </c>
      <c r="F248" s="274"/>
      <c r="G248" s="274">
        <f t="shared" si="0"/>
        <v>0</v>
      </c>
      <c r="H248" s="274">
        <v>0</v>
      </c>
      <c r="K248" s="274"/>
    </row>
    <row r="249" spans="2:11" ht="13.5" customHeight="1">
      <c r="B249" s="209" t="s">
        <v>1177</v>
      </c>
      <c r="C249" s="209" t="s">
        <v>2407</v>
      </c>
      <c r="D249" s="450" t="s">
        <v>137</v>
      </c>
      <c r="E249" s="273">
        <v>0</v>
      </c>
      <c r="F249" s="274"/>
      <c r="G249" s="274">
        <f t="shared" si="0"/>
        <v>0</v>
      </c>
      <c r="H249" s="274">
        <v>0</v>
      </c>
      <c r="K249" s="274"/>
    </row>
    <row r="250" spans="2:11" ht="13.5" customHeight="1">
      <c r="B250" s="209" t="s">
        <v>1177</v>
      </c>
      <c r="C250" s="209" t="s">
        <v>2407</v>
      </c>
      <c r="D250" s="451" t="s">
        <v>138</v>
      </c>
      <c r="E250" s="273">
        <v>0</v>
      </c>
      <c r="F250" s="274"/>
      <c r="G250" s="274">
        <f t="shared" si="0"/>
        <v>0</v>
      </c>
      <c r="H250" s="274">
        <v>0</v>
      </c>
      <c r="K250" s="274"/>
    </row>
    <row r="251" spans="2:11" ht="13.5" customHeight="1">
      <c r="B251" s="209" t="s">
        <v>1177</v>
      </c>
      <c r="C251" s="209" t="s">
        <v>2407</v>
      </c>
      <c r="D251" s="452" t="s">
        <v>139</v>
      </c>
      <c r="E251" s="273">
        <v>0</v>
      </c>
      <c r="F251" s="274"/>
      <c r="G251" s="274">
        <f t="shared" si="0"/>
        <v>0</v>
      </c>
      <c r="H251" s="274">
        <v>0</v>
      </c>
      <c r="K251" s="274"/>
    </row>
    <row r="252" spans="2:11" ht="13.5" customHeight="1">
      <c r="B252" s="209" t="s">
        <v>1177</v>
      </c>
      <c r="C252" s="209" t="s">
        <v>2407</v>
      </c>
      <c r="D252" s="216" t="s">
        <v>140</v>
      </c>
      <c r="E252" s="273">
        <v>0</v>
      </c>
      <c r="F252" s="274"/>
      <c r="G252" s="274">
        <f t="shared" si="0"/>
        <v>0</v>
      </c>
      <c r="H252" s="274">
        <v>0</v>
      </c>
      <c r="K252" s="274"/>
    </row>
    <row r="253" spans="2:11" ht="13.5" customHeight="1">
      <c r="B253" s="209" t="s">
        <v>1177</v>
      </c>
      <c r="C253" s="209" t="s">
        <v>2407</v>
      </c>
      <c r="D253" s="453" t="s">
        <v>141</v>
      </c>
      <c r="E253" s="273">
        <v>0</v>
      </c>
      <c r="F253" s="274"/>
      <c r="G253" s="274">
        <f t="shared" si="0"/>
        <v>0</v>
      </c>
      <c r="H253" s="274">
        <v>0</v>
      </c>
      <c r="K253" s="274"/>
    </row>
    <row r="254" spans="2:11" ht="13.5" customHeight="1">
      <c r="B254" s="209" t="s">
        <v>1099</v>
      </c>
      <c r="C254" s="209" t="s">
        <v>2408</v>
      </c>
      <c r="D254" s="446" t="s">
        <v>133</v>
      </c>
      <c r="E254" s="273">
        <v>0</v>
      </c>
      <c r="F254" s="274"/>
      <c r="G254" s="274">
        <f t="shared" si="0"/>
        <v>0</v>
      </c>
      <c r="H254" s="274">
        <v>0</v>
      </c>
      <c r="K254" s="274"/>
    </row>
    <row r="255" spans="2:11" ht="13.5" customHeight="1">
      <c r="B255" s="209" t="s">
        <v>1099</v>
      </c>
      <c r="C255" s="209" t="s">
        <v>2408</v>
      </c>
      <c r="D255" s="447" t="s">
        <v>134</v>
      </c>
      <c r="E255" s="273">
        <v>0</v>
      </c>
      <c r="F255" s="274"/>
      <c r="G255" s="274">
        <f t="shared" si="0"/>
        <v>0</v>
      </c>
      <c r="H255" s="274">
        <v>0</v>
      </c>
      <c r="K255" s="274"/>
    </row>
    <row r="256" spans="2:11" ht="13.5" customHeight="1">
      <c r="B256" s="209" t="s">
        <v>1099</v>
      </c>
      <c r="C256" s="209" t="s">
        <v>2408</v>
      </c>
      <c r="D256" s="448" t="s">
        <v>135</v>
      </c>
      <c r="E256" s="273">
        <v>0</v>
      </c>
      <c r="F256" s="274"/>
      <c r="G256" s="274">
        <f t="shared" si="0"/>
        <v>0</v>
      </c>
      <c r="H256" s="274">
        <v>0</v>
      </c>
      <c r="K256" s="274"/>
    </row>
    <row r="257" spans="2:11" ht="13.5" customHeight="1">
      <c r="B257" s="209" t="s">
        <v>1099</v>
      </c>
      <c r="C257" s="209" t="s">
        <v>2408</v>
      </c>
      <c r="D257" s="449" t="s">
        <v>136</v>
      </c>
      <c r="E257" s="273">
        <v>0</v>
      </c>
      <c r="F257" s="274"/>
      <c r="G257" s="274">
        <f t="shared" ref="G257:G511" si="1">E257*F257</f>
        <v>0</v>
      </c>
      <c r="H257" s="274">
        <v>0</v>
      </c>
      <c r="K257" s="274"/>
    </row>
    <row r="258" spans="2:11" ht="13.5" customHeight="1">
      <c r="B258" s="209" t="s">
        <v>1099</v>
      </c>
      <c r="C258" s="209" t="s">
        <v>2408</v>
      </c>
      <c r="D258" s="450" t="s">
        <v>137</v>
      </c>
      <c r="E258" s="273">
        <v>0</v>
      </c>
      <c r="F258" s="274"/>
      <c r="G258" s="274">
        <f t="shared" si="1"/>
        <v>0</v>
      </c>
      <c r="H258" s="274">
        <v>0</v>
      </c>
      <c r="K258" s="274"/>
    </row>
    <row r="259" spans="2:11" ht="13.5" customHeight="1">
      <c r="B259" s="209" t="s">
        <v>1099</v>
      </c>
      <c r="C259" s="209" t="s">
        <v>2408</v>
      </c>
      <c r="D259" s="451" t="s">
        <v>138</v>
      </c>
      <c r="E259" s="273">
        <v>0</v>
      </c>
      <c r="F259" s="274"/>
      <c r="G259" s="274">
        <f t="shared" si="1"/>
        <v>0</v>
      </c>
      <c r="H259" s="274">
        <v>0</v>
      </c>
      <c r="K259" s="274"/>
    </row>
    <row r="260" spans="2:11" ht="13.5" customHeight="1">
      <c r="B260" s="209" t="s">
        <v>1099</v>
      </c>
      <c r="C260" s="209" t="s">
        <v>2408</v>
      </c>
      <c r="D260" s="452" t="s">
        <v>139</v>
      </c>
      <c r="E260" s="273">
        <v>0</v>
      </c>
      <c r="F260" s="274"/>
      <c r="G260" s="274">
        <f t="shared" si="1"/>
        <v>0</v>
      </c>
      <c r="H260" s="274">
        <v>0</v>
      </c>
      <c r="K260" s="274"/>
    </row>
    <row r="261" spans="2:11" ht="13.5" customHeight="1">
      <c r="B261" s="209" t="s">
        <v>1099</v>
      </c>
      <c r="C261" s="209" t="s">
        <v>2408</v>
      </c>
      <c r="D261" s="216" t="s">
        <v>140</v>
      </c>
      <c r="E261" s="273">
        <v>0</v>
      </c>
      <c r="F261" s="274"/>
      <c r="G261" s="274">
        <f t="shared" si="1"/>
        <v>0</v>
      </c>
      <c r="H261" s="274">
        <v>0</v>
      </c>
      <c r="K261" s="274"/>
    </row>
    <row r="262" spans="2:11" ht="13.5" customHeight="1">
      <c r="B262" s="209" t="s">
        <v>1099</v>
      </c>
      <c r="C262" s="209" t="s">
        <v>2408</v>
      </c>
      <c r="D262" s="453" t="s">
        <v>141</v>
      </c>
      <c r="E262" s="273">
        <v>0</v>
      </c>
      <c r="F262" s="274"/>
      <c r="G262" s="274">
        <f t="shared" si="1"/>
        <v>0</v>
      </c>
      <c r="H262" s="274">
        <v>0</v>
      </c>
      <c r="K262" s="274"/>
    </row>
    <row r="263" spans="2:11" ht="13.5" customHeight="1">
      <c r="B263" s="209" t="s">
        <v>1101</v>
      </c>
      <c r="C263" s="209" t="s">
        <v>2409</v>
      </c>
      <c r="D263" s="446" t="s">
        <v>133</v>
      </c>
      <c r="E263" s="273">
        <v>0</v>
      </c>
      <c r="F263" s="274"/>
      <c r="G263" s="274">
        <f t="shared" si="1"/>
        <v>0</v>
      </c>
      <c r="H263" s="274">
        <v>0</v>
      </c>
      <c r="K263" s="274"/>
    </row>
    <row r="264" spans="2:11" ht="13.5" customHeight="1">
      <c r="B264" s="209" t="s">
        <v>1101</v>
      </c>
      <c r="C264" s="209" t="s">
        <v>2409</v>
      </c>
      <c r="D264" s="447" t="s">
        <v>134</v>
      </c>
      <c r="E264" s="273">
        <v>0</v>
      </c>
      <c r="F264" s="274"/>
      <c r="G264" s="274">
        <f t="shared" si="1"/>
        <v>0</v>
      </c>
      <c r="H264" s="274">
        <v>0</v>
      </c>
      <c r="K264" s="274"/>
    </row>
    <row r="265" spans="2:11" ht="13.5" customHeight="1">
      <c r="B265" s="209" t="s">
        <v>1101</v>
      </c>
      <c r="C265" s="209" t="s">
        <v>2409</v>
      </c>
      <c r="D265" s="448" t="s">
        <v>135</v>
      </c>
      <c r="E265" s="273">
        <v>0</v>
      </c>
      <c r="F265" s="274"/>
      <c r="G265" s="274">
        <f t="shared" si="1"/>
        <v>0</v>
      </c>
      <c r="H265" s="274">
        <v>0</v>
      </c>
      <c r="K265" s="274"/>
    </row>
    <row r="266" spans="2:11" ht="13.5" customHeight="1">
      <c r="B266" s="209" t="s">
        <v>1101</v>
      </c>
      <c r="C266" s="209" t="s">
        <v>2409</v>
      </c>
      <c r="D266" s="449" t="s">
        <v>136</v>
      </c>
      <c r="E266" s="273">
        <v>0</v>
      </c>
      <c r="F266" s="274"/>
      <c r="G266" s="274">
        <f t="shared" si="1"/>
        <v>0</v>
      </c>
      <c r="H266" s="274">
        <v>0</v>
      </c>
      <c r="K266" s="274"/>
    </row>
    <row r="267" spans="2:11" ht="13.5" customHeight="1">
      <c r="B267" s="209" t="s">
        <v>1101</v>
      </c>
      <c r="C267" s="209" t="s">
        <v>2409</v>
      </c>
      <c r="D267" s="450" t="s">
        <v>137</v>
      </c>
      <c r="E267" s="273">
        <v>0</v>
      </c>
      <c r="F267" s="274"/>
      <c r="G267" s="274">
        <f t="shared" si="1"/>
        <v>0</v>
      </c>
      <c r="H267" s="274">
        <v>0</v>
      </c>
      <c r="K267" s="274"/>
    </row>
    <row r="268" spans="2:11" ht="13.5" customHeight="1">
      <c r="B268" s="209" t="s">
        <v>1101</v>
      </c>
      <c r="C268" s="209" t="s">
        <v>2409</v>
      </c>
      <c r="D268" s="451" t="s">
        <v>138</v>
      </c>
      <c r="E268" s="273">
        <v>0</v>
      </c>
      <c r="F268" s="274"/>
      <c r="G268" s="274">
        <f t="shared" si="1"/>
        <v>0</v>
      </c>
      <c r="H268" s="274">
        <v>0</v>
      </c>
      <c r="K268" s="274"/>
    </row>
    <row r="269" spans="2:11" ht="13.5" customHeight="1">
      <c r="B269" s="209" t="s">
        <v>1101</v>
      </c>
      <c r="C269" s="209" t="s">
        <v>2409</v>
      </c>
      <c r="D269" s="452" t="s">
        <v>139</v>
      </c>
      <c r="E269" s="273">
        <v>0</v>
      </c>
      <c r="F269" s="274"/>
      <c r="G269" s="274">
        <f t="shared" si="1"/>
        <v>0</v>
      </c>
      <c r="H269" s="274">
        <v>0</v>
      </c>
      <c r="K269" s="274"/>
    </row>
    <row r="270" spans="2:11" ht="13.5" customHeight="1">
      <c r="B270" s="209" t="s">
        <v>1101</v>
      </c>
      <c r="C270" s="209" t="s">
        <v>2409</v>
      </c>
      <c r="D270" s="216" t="s">
        <v>140</v>
      </c>
      <c r="E270" s="273">
        <v>0</v>
      </c>
      <c r="F270" s="274"/>
      <c r="G270" s="274">
        <f t="shared" si="1"/>
        <v>0</v>
      </c>
      <c r="H270" s="274">
        <v>0</v>
      </c>
      <c r="K270" s="274"/>
    </row>
    <row r="271" spans="2:11" ht="13.5" customHeight="1">
      <c r="B271" s="209" t="s">
        <v>1101</v>
      </c>
      <c r="C271" s="209" t="s">
        <v>2409</v>
      </c>
      <c r="D271" s="453" t="s">
        <v>141</v>
      </c>
      <c r="E271" s="273">
        <v>0</v>
      </c>
      <c r="F271" s="274"/>
      <c r="G271" s="274">
        <f t="shared" si="1"/>
        <v>0</v>
      </c>
      <c r="H271" s="274">
        <v>0</v>
      </c>
      <c r="K271" s="274"/>
    </row>
    <row r="272" spans="2:11" ht="13.5" customHeight="1">
      <c r="B272" s="209" t="s">
        <v>289</v>
      </c>
      <c r="C272" s="209" t="s">
        <v>2410</v>
      </c>
      <c r="D272" s="446" t="s">
        <v>133</v>
      </c>
      <c r="E272" s="273">
        <v>0</v>
      </c>
      <c r="F272" s="274"/>
      <c r="G272" s="274">
        <f t="shared" si="1"/>
        <v>0</v>
      </c>
      <c r="H272" s="274">
        <v>0</v>
      </c>
      <c r="K272" s="274"/>
    </row>
    <row r="273" spans="2:11" ht="13.5" customHeight="1">
      <c r="B273" s="209" t="s">
        <v>289</v>
      </c>
      <c r="C273" s="209" t="s">
        <v>2410</v>
      </c>
      <c r="D273" s="447" t="s">
        <v>134</v>
      </c>
      <c r="E273" s="273">
        <v>0</v>
      </c>
      <c r="F273" s="274"/>
      <c r="G273" s="274">
        <f t="shared" si="1"/>
        <v>0</v>
      </c>
      <c r="H273" s="274">
        <v>0</v>
      </c>
      <c r="K273" s="274"/>
    </row>
    <row r="274" spans="2:11" ht="13.5" customHeight="1">
      <c r="B274" s="209" t="s">
        <v>289</v>
      </c>
      <c r="C274" s="209" t="s">
        <v>2410</v>
      </c>
      <c r="D274" s="448" t="s">
        <v>135</v>
      </c>
      <c r="E274" s="273">
        <v>0</v>
      </c>
      <c r="F274" s="274"/>
      <c r="G274" s="274">
        <f t="shared" si="1"/>
        <v>0</v>
      </c>
      <c r="H274" s="274">
        <v>0</v>
      </c>
      <c r="K274" s="274"/>
    </row>
    <row r="275" spans="2:11" ht="13.5" customHeight="1">
      <c r="B275" s="209" t="s">
        <v>289</v>
      </c>
      <c r="C275" s="209" t="s">
        <v>2410</v>
      </c>
      <c r="D275" s="449" t="s">
        <v>136</v>
      </c>
      <c r="E275" s="273">
        <v>0</v>
      </c>
      <c r="F275" s="274"/>
      <c r="G275" s="274">
        <f t="shared" si="1"/>
        <v>0</v>
      </c>
      <c r="H275" s="274">
        <v>0</v>
      </c>
      <c r="K275" s="274"/>
    </row>
    <row r="276" spans="2:11" ht="13.5" customHeight="1">
      <c r="B276" s="209" t="s">
        <v>289</v>
      </c>
      <c r="C276" s="209" t="s">
        <v>2410</v>
      </c>
      <c r="D276" s="450" t="s">
        <v>137</v>
      </c>
      <c r="E276" s="273">
        <v>0</v>
      </c>
      <c r="F276" s="274"/>
      <c r="G276" s="274">
        <f t="shared" si="1"/>
        <v>0</v>
      </c>
      <c r="H276" s="274">
        <v>0</v>
      </c>
      <c r="K276" s="274"/>
    </row>
    <row r="277" spans="2:11" ht="13.5" customHeight="1">
      <c r="B277" s="209" t="s">
        <v>289</v>
      </c>
      <c r="C277" s="209" t="s">
        <v>2410</v>
      </c>
      <c r="D277" s="451" t="s">
        <v>138</v>
      </c>
      <c r="E277" s="273">
        <v>0</v>
      </c>
      <c r="F277" s="274"/>
      <c r="G277" s="274">
        <f t="shared" si="1"/>
        <v>0</v>
      </c>
      <c r="H277" s="274">
        <v>0</v>
      </c>
      <c r="K277" s="274"/>
    </row>
    <row r="278" spans="2:11" ht="13.5" customHeight="1">
      <c r="B278" s="209" t="s">
        <v>289</v>
      </c>
      <c r="C278" s="209" t="s">
        <v>2410</v>
      </c>
      <c r="D278" s="452" t="s">
        <v>139</v>
      </c>
      <c r="E278" s="273">
        <v>0</v>
      </c>
      <c r="F278" s="274"/>
      <c r="G278" s="274">
        <f t="shared" si="1"/>
        <v>0</v>
      </c>
      <c r="H278" s="274">
        <v>0</v>
      </c>
      <c r="K278" s="274"/>
    </row>
    <row r="279" spans="2:11" ht="13.5" customHeight="1">
      <c r="B279" s="209" t="s">
        <v>289</v>
      </c>
      <c r="C279" s="209" t="s">
        <v>2410</v>
      </c>
      <c r="D279" s="216" t="s">
        <v>140</v>
      </c>
      <c r="E279" s="273">
        <v>0</v>
      </c>
      <c r="F279" s="274"/>
      <c r="G279" s="274">
        <f t="shared" si="1"/>
        <v>0</v>
      </c>
      <c r="H279" s="274">
        <v>0</v>
      </c>
      <c r="K279" s="274"/>
    </row>
    <row r="280" spans="2:11" ht="13.5" customHeight="1">
      <c r="B280" s="209" t="s">
        <v>289</v>
      </c>
      <c r="C280" s="209" t="s">
        <v>2410</v>
      </c>
      <c r="D280" s="453" t="s">
        <v>141</v>
      </c>
      <c r="E280" s="273">
        <v>0</v>
      </c>
      <c r="F280" s="274"/>
      <c r="G280" s="274">
        <f t="shared" si="1"/>
        <v>0</v>
      </c>
      <c r="H280" s="274">
        <v>0</v>
      </c>
      <c r="K280" s="274"/>
    </row>
    <row r="281" spans="2:11" ht="13.5" customHeight="1">
      <c r="B281" s="209" t="s">
        <v>257</v>
      </c>
      <c r="C281" s="209" t="s">
        <v>2411</v>
      </c>
      <c r="D281" s="446" t="s">
        <v>133</v>
      </c>
      <c r="E281" s="273">
        <v>0</v>
      </c>
      <c r="F281" s="274"/>
      <c r="G281" s="274">
        <f t="shared" si="1"/>
        <v>0</v>
      </c>
      <c r="H281" s="274">
        <v>0</v>
      </c>
      <c r="K281" s="274"/>
    </row>
    <row r="282" spans="2:11" ht="13.5" customHeight="1">
      <c r="B282" s="209" t="s">
        <v>257</v>
      </c>
      <c r="C282" s="209" t="s">
        <v>2411</v>
      </c>
      <c r="D282" s="447" t="s">
        <v>134</v>
      </c>
      <c r="E282" s="273">
        <v>0</v>
      </c>
      <c r="F282" s="274"/>
      <c r="G282" s="274">
        <f t="shared" si="1"/>
        <v>0</v>
      </c>
      <c r="H282" s="274">
        <v>0</v>
      </c>
      <c r="K282" s="274"/>
    </row>
    <row r="283" spans="2:11" ht="13.5" customHeight="1">
      <c r="B283" s="209" t="s">
        <v>257</v>
      </c>
      <c r="C283" s="209" t="s">
        <v>2411</v>
      </c>
      <c r="D283" s="448" t="s">
        <v>135</v>
      </c>
      <c r="E283" s="273">
        <v>0</v>
      </c>
      <c r="F283" s="274"/>
      <c r="G283" s="274">
        <f t="shared" si="1"/>
        <v>0</v>
      </c>
      <c r="H283" s="274">
        <v>0</v>
      </c>
      <c r="K283" s="274"/>
    </row>
    <row r="284" spans="2:11" ht="13.5" customHeight="1">
      <c r="B284" s="209" t="s">
        <v>257</v>
      </c>
      <c r="C284" s="209" t="s">
        <v>2411</v>
      </c>
      <c r="D284" s="449" t="s">
        <v>136</v>
      </c>
      <c r="E284" s="273">
        <v>0</v>
      </c>
      <c r="F284" s="274"/>
      <c r="G284" s="274">
        <f t="shared" si="1"/>
        <v>0</v>
      </c>
      <c r="H284" s="274">
        <v>0</v>
      </c>
      <c r="K284" s="274"/>
    </row>
    <row r="285" spans="2:11" ht="13.5" customHeight="1">
      <c r="B285" s="209" t="s">
        <v>257</v>
      </c>
      <c r="C285" s="209" t="s">
        <v>2411</v>
      </c>
      <c r="D285" s="450" t="s">
        <v>137</v>
      </c>
      <c r="E285" s="273">
        <v>0</v>
      </c>
      <c r="F285" s="274"/>
      <c r="G285" s="274">
        <f t="shared" si="1"/>
        <v>0</v>
      </c>
      <c r="H285" s="274">
        <v>0</v>
      </c>
      <c r="K285" s="274"/>
    </row>
    <row r="286" spans="2:11" ht="13.5" customHeight="1">
      <c r="B286" s="209" t="s">
        <v>257</v>
      </c>
      <c r="C286" s="209" t="s">
        <v>2411</v>
      </c>
      <c r="D286" s="451" t="s">
        <v>138</v>
      </c>
      <c r="E286" s="273">
        <v>0</v>
      </c>
      <c r="F286" s="274"/>
      <c r="G286" s="274">
        <f t="shared" si="1"/>
        <v>0</v>
      </c>
      <c r="H286" s="274">
        <v>0</v>
      </c>
      <c r="K286" s="274"/>
    </row>
    <row r="287" spans="2:11" ht="13.5" customHeight="1">
      <c r="B287" s="209" t="s">
        <v>257</v>
      </c>
      <c r="C287" s="209" t="s">
        <v>2411</v>
      </c>
      <c r="D287" s="452" t="s">
        <v>139</v>
      </c>
      <c r="E287" s="273">
        <v>0</v>
      </c>
      <c r="F287" s="274"/>
      <c r="G287" s="274">
        <f t="shared" si="1"/>
        <v>0</v>
      </c>
      <c r="H287" s="274">
        <v>0</v>
      </c>
      <c r="K287" s="274"/>
    </row>
    <row r="288" spans="2:11" ht="13.5" customHeight="1">
      <c r="B288" s="209" t="s">
        <v>257</v>
      </c>
      <c r="C288" s="209" t="s">
        <v>2411</v>
      </c>
      <c r="D288" s="216" t="s">
        <v>140</v>
      </c>
      <c r="E288" s="273">
        <v>0</v>
      </c>
      <c r="F288" s="274"/>
      <c r="G288" s="274">
        <f t="shared" si="1"/>
        <v>0</v>
      </c>
      <c r="H288" s="274">
        <v>0</v>
      </c>
      <c r="K288" s="274"/>
    </row>
    <row r="289" spans="2:11" ht="13.5" customHeight="1">
      <c r="B289" s="209" t="s">
        <v>257</v>
      </c>
      <c r="C289" s="209" t="s">
        <v>2411</v>
      </c>
      <c r="D289" s="453" t="s">
        <v>141</v>
      </c>
      <c r="E289" s="273">
        <v>0</v>
      </c>
      <c r="F289" s="274"/>
      <c r="G289" s="274">
        <f t="shared" si="1"/>
        <v>0</v>
      </c>
      <c r="H289" s="274">
        <v>0</v>
      </c>
      <c r="K289" s="274"/>
    </row>
    <row r="290" spans="2:11" ht="13.5" customHeight="1">
      <c r="B290" s="209" t="s">
        <v>737</v>
      </c>
      <c r="C290" s="209" t="s">
        <v>2412</v>
      </c>
      <c r="D290" s="446" t="s">
        <v>133</v>
      </c>
      <c r="E290" s="273">
        <v>0</v>
      </c>
      <c r="F290" s="274"/>
      <c r="G290" s="274">
        <f t="shared" si="1"/>
        <v>0</v>
      </c>
      <c r="H290" s="274">
        <v>0</v>
      </c>
      <c r="K290" s="274"/>
    </row>
    <row r="291" spans="2:11" ht="13.5" customHeight="1">
      <c r="B291" s="209" t="s">
        <v>737</v>
      </c>
      <c r="C291" s="209" t="s">
        <v>2412</v>
      </c>
      <c r="D291" s="447" t="s">
        <v>134</v>
      </c>
      <c r="E291" s="273">
        <v>0</v>
      </c>
      <c r="F291" s="274"/>
      <c r="G291" s="274">
        <f t="shared" si="1"/>
        <v>0</v>
      </c>
      <c r="H291" s="274">
        <v>0</v>
      </c>
      <c r="K291" s="274"/>
    </row>
    <row r="292" spans="2:11" ht="13.5" customHeight="1">
      <c r="B292" s="209" t="s">
        <v>737</v>
      </c>
      <c r="C292" s="209" t="s">
        <v>2412</v>
      </c>
      <c r="D292" s="448" t="s">
        <v>135</v>
      </c>
      <c r="E292" s="273">
        <v>0</v>
      </c>
      <c r="F292" s="274"/>
      <c r="G292" s="274">
        <f t="shared" si="1"/>
        <v>0</v>
      </c>
      <c r="H292" s="274">
        <v>0</v>
      </c>
      <c r="K292" s="274"/>
    </row>
    <row r="293" spans="2:11" ht="13.5" customHeight="1">
      <c r="B293" s="209" t="s">
        <v>737</v>
      </c>
      <c r="C293" s="209" t="s">
        <v>2412</v>
      </c>
      <c r="D293" s="449" t="s">
        <v>136</v>
      </c>
      <c r="E293" s="273">
        <v>0</v>
      </c>
      <c r="F293" s="274"/>
      <c r="G293" s="274">
        <f t="shared" si="1"/>
        <v>0</v>
      </c>
      <c r="H293" s="274">
        <v>0</v>
      </c>
      <c r="K293" s="274"/>
    </row>
    <row r="294" spans="2:11" ht="13.5" customHeight="1">
      <c r="B294" s="209" t="s">
        <v>737</v>
      </c>
      <c r="C294" s="209" t="s">
        <v>2412</v>
      </c>
      <c r="D294" s="450" t="s">
        <v>137</v>
      </c>
      <c r="E294" s="273">
        <v>0</v>
      </c>
      <c r="F294" s="274"/>
      <c r="G294" s="274">
        <f t="shared" si="1"/>
        <v>0</v>
      </c>
      <c r="H294" s="274">
        <v>0</v>
      </c>
      <c r="K294" s="274"/>
    </row>
    <row r="295" spans="2:11" ht="13.5" customHeight="1">
      <c r="B295" s="209" t="s">
        <v>737</v>
      </c>
      <c r="C295" s="209" t="s">
        <v>2412</v>
      </c>
      <c r="D295" s="451" t="s">
        <v>138</v>
      </c>
      <c r="E295" s="273">
        <v>0</v>
      </c>
      <c r="F295" s="274"/>
      <c r="G295" s="274">
        <f t="shared" si="1"/>
        <v>0</v>
      </c>
      <c r="H295" s="274">
        <v>0</v>
      </c>
      <c r="K295" s="274"/>
    </row>
    <row r="296" spans="2:11" ht="13.5" customHeight="1">
      <c r="B296" s="209" t="s">
        <v>737</v>
      </c>
      <c r="C296" s="209" t="s">
        <v>2412</v>
      </c>
      <c r="D296" s="452" t="s">
        <v>139</v>
      </c>
      <c r="E296" s="273">
        <v>0</v>
      </c>
      <c r="F296" s="274"/>
      <c r="G296" s="274">
        <f t="shared" si="1"/>
        <v>0</v>
      </c>
      <c r="H296" s="274">
        <v>0</v>
      </c>
      <c r="K296" s="274"/>
    </row>
    <row r="297" spans="2:11" ht="13.5" customHeight="1">
      <c r="B297" s="209" t="s">
        <v>737</v>
      </c>
      <c r="C297" s="209" t="s">
        <v>2412</v>
      </c>
      <c r="D297" s="216" t="s">
        <v>140</v>
      </c>
      <c r="E297" s="273">
        <v>0</v>
      </c>
      <c r="F297" s="274"/>
      <c r="G297" s="274">
        <f t="shared" si="1"/>
        <v>0</v>
      </c>
      <c r="H297" s="274">
        <v>0</v>
      </c>
      <c r="K297" s="274"/>
    </row>
    <row r="298" spans="2:11" ht="13.5" customHeight="1">
      <c r="B298" s="209" t="s">
        <v>737</v>
      </c>
      <c r="C298" s="209" t="s">
        <v>2412</v>
      </c>
      <c r="D298" s="453" t="s">
        <v>141</v>
      </c>
      <c r="E298" s="273">
        <v>0</v>
      </c>
      <c r="F298" s="274"/>
      <c r="G298" s="274">
        <f t="shared" si="1"/>
        <v>0</v>
      </c>
      <c r="H298" s="274">
        <v>0</v>
      </c>
      <c r="K298" s="274"/>
    </row>
    <row r="299" spans="2:11" ht="13.5" customHeight="1">
      <c r="B299" s="209" t="s">
        <v>259</v>
      </c>
      <c r="C299" s="209" t="s">
        <v>2413</v>
      </c>
      <c r="D299" s="446" t="s">
        <v>133</v>
      </c>
      <c r="E299" s="273">
        <v>0</v>
      </c>
      <c r="F299" s="274"/>
      <c r="G299" s="274">
        <f t="shared" si="1"/>
        <v>0</v>
      </c>
      <c r="H299" s="274">
        <v>0</v>
      </c>
      <c r="K299" s="274"/>
    </row>
    <row r="300" spans="2:11" ht="13.5" customHeight="1">
      <c r="B300" s="209" t="s">
        <v>259</v>
      </c>
      <c r="C300" s="209" t="s">
        <v>2413</v>
      </c>
      <c r="D300" s="447" t="s">
        <v>134</v>
      </c>
      <c r="E300" s="273">
        <v>0</v>
      </c>
      <c r="F300" s="274"/>
      <c r="G300" s="274">
        <f t="shared" si="1"/>
        <v>0</v>
      </c>
      <c r="H300" s="274">
        <v>0</v>
      </c>
      <c r="K300" s="274"/>
    </row>
    <row r="301" spans="2:11" ht="13.5" customHeight="1">
      <c r="B301" s="209" t="s">
        <v>259</v>
      </c>
      <c r="C301" s="209" t="s">
        <v>2413</v>
      </c>
      <c r="D301" s="448" t="s">
        <v>135</v>
      </c>
      <c r="E301" s="273">
        <v>0</v>
      </c>
      <c r="F301" s="274"/>
      <c r="G301" s="274">
        <f t="shared" si="1"/>
        <v>0</v>
      </c>
      <c r="H301" s="274">
        <v>0</v>
      </c>
      <c r="K301" s="274"/>
    </row>
    <row r="302" spans="2:11" ht="13.5" customHeight="1">
      <c r="B302" s="209" t="s">
        <v>259</v>
      </c>
      <c r="C302" s="209" t="s">
        <v>2413</v>
      </c>
      <c r="D302" s="449" t="s">
        <v>136</v>
      </c>
      <c r="E302" s="273">
        <v>0</v>
      </c>
      <c r="F302" s="274"/>
      <c r="G302" s="274">
        <f t="shared" si="1"/>
        <v>0</v>
      </c>
      <c r="H302" s="274">
        <v>0</v>
      </c>
      <c r="K302" s="274"/>
    </row>
    <row r="303" spans="2:11" ht="13.5" customHeight="1">
      <c r="B303" s="209" t="s">
        <v>259</v>
      </c>
      <c r="C303" s="209" t="s">
        <v>2413</v>
      </c>
      <c r="D303" s="450" t="s">
        <v>137</v>
      </c>
      <c r="E303" s="273">
        <v>0</v>
      </c>
      <c r="F303" s="274"/>
      <c r="G303" s="274">
        <f t="shared" si="1"/>
        <v>0</v>
      </c>
      <c r="H303" s="274">
        <v>0</v>
      </c>
      <c r="K303" s="274"/>
    </row>
    <row r="304" spans="2:11" ht="13.5" customHeight="1">
      <c r="B304" s="209" t="s">
        <v>259</v>
      </c>
      <c r="C304" s="209" t="s">
        <v>2413</v>
      </c>
      <c r="D304" s="451" t="s">
        <v>138</v>
      </c>
      <c r="E304" s="273">
        <v>0</v>
      </c>
      <c r="F304" s="274"/>
      <c r="G304" s="274">
        <f t="shared" si="1"/>
        <v>0</v>
      </c>
      <c r="H304" s="274">
        <v>0</v>
      </c>
      <c r="K304" s="274"/>
    </row>
    <row r="305" spans="2:11" ht="13.5" customHeight="1">
      <c r="B305" s="209" t="s">
        <v>259</v>
      </c>
      <c r="C305" s="209" t="s">
        <v>2413</v>
      </c>
      <c r="D305" s="452" t="s">
        <v>139</v>
      </c>
      <c r="E305" s="273">
        <v>0</v>
      </c>
      <c r="F305" s="274"/>
      <c r="G305" s="274">
        <f t="shared" si="1"/>
        <v>0</v>
      </c>
      <c r="H305" s="274">
        <v>0</v>
      </c>
      <c r="K305" s="274"/>
    </row>
    <row r="306" spans="2:11" ht="13.5" customHeight="1">
      <c r="B306" s="209" t="s">
        <v>259</v>
      </c>
      <c r="C306" s="209" t="s">
        <v>2413</v>
      </c>
      <c r="D306" s="216" t="s">
        <v>140</v>
      </c>
      <c r="E306" s="273">
        <v>0</v>
      </c>
      <c r="F306" s="274"/>
      <c r="G306" s="274">
        <f t="shared" si="1"/>
        <v>0</v>
      </c>
      <c r="H306" s="274">
        <v>0</v>
      </c>
      <c r="K306" s="274"/>
    </row>
    <row r="307" spans="2:11" ht="13.5" customHeight="1">
      <c r="B307" s="209" t="s">
        <v>259</v>
      </c>
      <c r="C307" s="209" t="s">
        <v>2413</v>
      </c>
      <c r="D307" s="453" t="s">
        <v>141</v>
      </c>
      <c r="E307" s="273">
        <v>0</v>
      </c>
      <c r="F307" s="274"/>
      <c r="G307" s="274">
        <f t="shared" si="1"/>
        <v>0</v>
      </c>
      <c r="H307" s="274">
        <v>0</v>
      </c>
      <c r="K307" s="274"/>
    </row>
    <row r="308" spans="2:11" ht="13.5" customHeight="1">
      <c r="B308" s="209" t="s">
        <v>739</v>
      </c>
      <c r="C308" s="209" t="s">
        <v>2414</v>
      </c>
      <c r="D308" s="446" t="s">
        <v>133</v>
      </c>
      <c r="E308" s="273">
        <v>0</v>
      </c>
      <c r="F308" s="274"/>
      <c r="G308" s="274">
        <f t="shared" si="1"/>
        <v>0</v>
      </c>
      <c r="H308" s="274">
        <v>0</v>
      </c>
      <c r="K308" s="274"/>
    </row>
    <row r="309" spans="2:11" ht="13.5" customHeight="1">
      <c r="B309" s="209" t="s">
        <v>739</v>
      </c>
      <c r="C309" s="209" t="s">
        <v>2414</v>
      </c>
      <c r="D309" s="447" t="s">
        <v>134</v>
      </c>
      <c r="E309" s="273">
        <v>0</v>
      </c>
      <c r="F309" s="274"/>
      <c r="G309" s="274">
        <f t="shared" si="1"/>
        <v>0</v>
      </c>
      <c r="H309" s="274">
        <v>0</v>
      </c>
      <c r="K309" s="274"/>
    </row>
    <row r="310" spans="2:11" ht="13.5" customHeight="1">
      <c r="B310" s="209" t="s">
        <v>739</v>
      </c>
      <c r="C310" s="209" t="s">
        <v>2414</v>
      </c>
      <c r="D310" s="448" t="s">
        <v>135</v>
      </c>
      <c r="E310" s="273">
        <v>0</v>
      </c>
      <c r="F310" s="274"/>
      <c r="G310" s="274">
        <f t="shared" si="1"/>
        <v>0</v>
      </c>
      <c r="H310" s="274">
        <v>0</v>
      </c>
      <c r="K310" s="274"/>
    </row>
    <row r="311" spans="2:11" ht="13.5" customHeight="1">
      <c r="B311" s="209" t="s">
        <v>739</v>
      </c>
      <c r="C311" s="209" t="s">
        <v>2414</v>
      </c>
      <c r="D311" s="449" t="s">
        <v>136</v>
      </c>
      <c r="E311" s="273">
        <v>0</v>
      </c>
      <c r="F311" s="274"/>
      <c r="G311" s="274">
        <f t="shared" si="1"/>
        <v>0</v>
      </c>
      <c r="H311" s="274">
        <v>0</v>
      </c>
      <c r="K311" s="274"/>
    </row>
    <row r="312" spans="2:11" ht="13.5" customHeight="1">
      <c r="B312" s="209" t="s">
        <v>739</v>
      </c>
      <c r="C312" s="209" t="s">
        <v>2414</v>
      </c>
      <c r="D312" s="450" t="s">
        <v>137</v>
      </c>
      <c r="E312" s="273">
        <v>0</v>
      </c>
      <c r="F312" s="274"/>
      <c r="G312" s="274">
        <f t="shared" si="1"/>
        <v>0</v>
      </c>
      <c r="H312" s="274">
        <v>0</v>
      </c>
      <c r="K312" s="274"/>
    </row>
    <row r="313" spans="2:11" ht="13.5" customHeight="1">
      <c r="B313" s="209" t="s">
        <v>739</v>
      </c>
      <c r="C313" s="209" t="s">
        <v>2414</v>
      </c>
      <c r="D313" s="451" t="s">
        <v>138</v>
      </c>
      <c r="E313" s="273">
        <v>0</v>
      </c>
      <c r="F313" s="274"/>
      <c r="G313" s="274">
        <f t="shared" si="1"/>
        <v>0</v>
      </c>
      <c r="H313" s="274">
        <v>0</v>
      </c>
      <c r="K313" s="274"/>
    </row>
    <row r="314" spans="2:11" ht="13.5" customHeight="1">
      <c r="B314" s="209" t="s">
        <v>739</v>
      </c>
      <c r="C314" s="209" t="s">
        <v>2414</v>
      </c>
      <c r="D314" s="452" t="s">
        <v>139</v>
      </c>
      <c r="E314" s="273">
        <v>0</v>
      </c>
      <c r="F314" s="274"/>
      <c r="G314" s="274">
        <f t="shared" si="1"/>
        <v>0</v>
      </c>
      <c r="H314" s="274">
        <v>0</v>
      </c>
      <c r="K314" s="274"/>
    </row>
    <row r="315" spans="2:11" ht="13.5" customHeight="1">
      <c r="B315" s="209" t="s">
        <v>739</v>
      </c>
      <c r="C315" s="209" t="s">
        <v>2414</v>
      </c>
      <c r="D315" s="216" t="s">
        <v>140</v>
      </c>
      <c r="E315" s="273">
        <v>0</v>
      </c>
      <c r="F315" s="274"/>
      <c r="G315" s="274">
        <f t="shared" si="1"/>
        <v>0</v>
      </c>
      <c r="H315" s="274">
        <v>0</v>
      </c>
      <c r="K315" s="274"/>
    </row>
    <row r="316" spans="2:11" ht="13.5" customHeight="1">
      <c r="B316" s="209" t="s">
        <v>739</v>
      </c>
      <c r="C316" s="209" t="s">
        <v>2414</v>
      </c>
      <c r="D316" s="453" t="s">
        <v>141</v>
      </c>
      <c r="E316" s="273">
        <v>0</v>
      </c>
      <c r="F316" s="274"/>
      <c r="G316" s="274">
        <f t="shared" si="1"/>
        <v>0</v>
      </c>
      <c r="H316" s="274">
        <v>0</v>
      </c>
      <c r="K316" s="274"/>
    </row>
    <row r="317" spans="2:11" ht="13.5" customHeight="1">
      <c r="B317" s="209" t="s">
        <v>972</v>
      </c>
      <c r="C317" s="209" t="s">
        <v>2415</v>
      </c>
      <c r="D317" s="446" t="s">
        <v>133</v>
      </c>
      <c r="E317" s="273">
        <v>0</v>
      </c>
      <c r="F317" s="274"/>
      <c r="G317" s="274">
        <f t="shared" si="1"/>
        <v>0</v>
      </c>
      <c r="H317" s="274">
        <v>0</v>
      </c>
      <c r="K317" s="274"/>
    </row>
    <row r="318" spans="2:11" ht="13.5" customHeight="1">
      <c r="B318" s="209" t="s">
        <v>972</v>
      </c>
      <c r="C318" s="209" t="s">
        <v>2415</v>
      </c>
      <c r="D318" s="447" t="s">
        <v>134</v>
      </c>
      <c r="E318" s="273">
        <v>0</v>
      </c>
      <c r="F318" s="274"/>
      <c r="G318" s="274">
        <f t="shared" si="1"/>
        <v>0</v>
      </c>
      <c r="H318" s="274">
        <v>0</v>
      </c>
      <c r="K318" s="274"/>
    </row>
    <row r="319" spans="2:11" ht="13.5" customHeight="1">
      <c r="B319" s="209" t="s">
        <v>972</v>
      </c>
      <c r="C319" s="209" t="s">
        <v>2415</v>
      </c>
      <c r="D319" s="448" t="s">
        <v>135</v>
      </c>
      <c r="E319" s="273">
        <v>0</v>
      </c>
      <c r="F319" s="274"/>
      <c r="G319" s="274">
        <f t="shared" si="1"/>
        <v>0</v>
      </c>
      <c r="H319" s="274">
        <v>0</v>
      </c>
      <c r="K319" s="274"/>
    </row>
    <row r="320" spans="2:11" ht="13.5" customHeight="1">
      <c r="B320" s="209" t="s">
        <v>972</v>
      </c>
      <c r="C320" s="209" t="s">
        <v>2415</v>
      </c>
      <c r="D320" s="449" t="s">
        <v>136</v>
      </c>
      <c r="E320" s="273">
        <v>0</v>
      </c>
      <c r="F320" s="274"/>
      <c r="G320" s="274">
        <f t="shared" si="1"/>
        <v>0</v>
      </c>
      <c r="H320" s="274">
        <v>0</v>
      </c>
      <c r="K320" s="274"/>
    </row>
    <row r="321" spans="2:11" ht="13.5" customHeight="1">
      <c r="B321" s="209" t="s">
        <v>972</v>
      </c>
      <c r="C321" s="209" t="s">
        <v>2415</v>
      </c>
      <c r="D321" s="450" t="s">
        <v>137</v>
      </c>
      <c r="E321" s="273">
        <v>0</v>
      </c>
      <c r="F321" s="274"/>
      <c r="G321" s="274">
        <f t="shared" si="1"/>
        <v>0</v>
      </c>
      <c r="H321" s="274">
        <v>0</v>
      </c>
      <c r="K321" s="274"/>
    </row>
    <row r="322" spans="2:11" ht="13.5" customHeight="1">
      <c r="B322" s="209" t="s">
        <v>972</v>
      </c>
      <c r="C322" s="209" t="s">
        <v>2415</v>
      </c>
      <c r="D322" s="451" t="s">
        <v>138</v>
      </c>
      <c r="E322" s="273">
        <v>0</v>
      </c>
      <c r="F322" s="274"/>
      <c r="G322" s="274">
        <f t="shared" si="1"/>
        <v>0</v>
      </c>
      <c r="H322" s="274">
        <v>0</v>
      </c>
      <c r="K322" s="274"/>
    </row>
    <row r="323" spans="2:11" ht="13.5" customHeight="1">
      <c r="B323" s="209" t="s">
        <v>972</v>
      </c>
      <c r="C323" s="209" t="s">
        <v>2415</v>
      </c>
      <c r="D323" s="452" t="s">
        <v>139</v>
      </c>
      <c r="E323" s="273">
        <v>0</v>
      </c>
      <c r="F323" s="274"/>
      <c r="G323" s="274">
        <f t="shared" si="1"/>
        <v>0</v>
      </c>
      <c r="H323" s="274">
        <v>0</v>
      </c>
      <c r="K323" s="274"/>
    </row>
    <row r="324" spans="2:11" ht="13.5" customHeight="1">
      <c r="B324" s="209" t="s">
        <v>972</v>
      </c>
      <c r="C324" s="209" t="s">
        <v>2415</v>
      </c>
      <c r="D324" s="216" t="s">
        <v>140</v>
      </c>
      <c r="E324" s="273">
        <v>0</v>
      </c>
      <c r="F324" s="274"/>
      <c r="G324" s="274">
        <f t="shared" si="1"/>
        <v>0</v>
      </c>
      <c r="H324" s="274">
        <v>0</v>
      </c>
      <c r="K324" s="274"/>
    </row>
    <row r="325" spans="2:11" ht="13.5" customHeight="1">
      <c r="B325" s="209" t="s">
        <v>972</v>
      </c>
      <c r="C325" s="209" t="s">
        <v>2415</v>
      </c>
      <c r="D325" s="453" t="s">
        <v>141</v>
      </c>
      <c r="E325" s="273">
        <v>0</v>
      </c>
      <c r="F325" s="274"/>
      <c r="G325" s="274">
        <f t="shared" si="1"/>
        <v>0</v>
      </c>
      <c r="H325" s="274">
        <v>0</v>
      </c>
      <c r="K325" s="274"/>
    </row>
    <row r="326" spans="2:11" ht="13.5" customHeight="1">
      <c r="B326" s="209" t="s">
        <v>974</v>
      </c>
      <c r="C326" s="209" t="s">
        <v>2416</v>
      </c>
      <c r="D326" s="446" t="s">
        <v>133</v>
      </c>
      <c r="E326" s="273">
        <v>0</v>
      </c>
      <c r="F326" s="274"/>
      <c r="G326" s="274">
        <f t="shared" si="1"/>
        <v>0</v>
      </c>
      <c r="H326" s="274">
        <v>0</v>
      </c>
      <c r="K326" s="274"/>
    </row>
    <row r="327" spans="2:11" ht="13.5" customHeight="1">
      <c r="B327" s="209" t="s">
        <v>974</v>
      </c>
      <c r="C327" s="209" t="s">
        <v>2416</v>
      </c>
      <c r="D327" s="447" t="s">
        <v>134</v>
      </c>
      <c r="E327" s="273">
        <v>0</v>
      </c>
      <c r="F327" s="274"/>
      <c r="G327" s="274">
        <f t="shared" si="1"/>
        <v>0</v>
      </c>
      <c r="H327" s="274">
        <v>0</v>
      </c>
      <c r="K327" s="274"/>
    </row>
    <row r="328" spans="2:11" ht="13.5" customHeight="1">
      <c r="B328" s="209" t="s">
        <v>974</v>
      </c>
      <c r="C328" s="209" t="s">
        <v>2416</v>
      </c>
      <c r="D328" s="448" t="s">
        <v>135</v>
      </c>
      <c r="E328" s="273">
        <v>0</v>
      </c>
      <c r="F328" s="274"/>
      <c r="G328" s="274">
        <f t="shared" si="1"/>
        <v>0</v>
      </c>
      <c r="H328" s="274">
        <v>0</v>
      </c>
      <c r="K328" s="274"/>
    </row>
    <row r="329" spans="2:11" ht="13.5" customHeight="1">
      <c r="B329" s="209" t="s">
        <v>974</v>
      </c>
      <c r="C329" s="209" t="s">
        <v>2416</v>
      </c>
      <c r="D329" s="449" t="s">
        <v>136</v>
      </c>
      <c r="E329" s="273">
        <v>0</v>
      </c>
      <c r="F329" s="274"/>
      <c r="G329" s="274">
        <f t="shared" si="1"/>
        <v>0</v>
      </c>
      <c r="H329" s="274">
        <v>0</v>
      </c>
      <c r="K329" s="274"/>
    </row>
    <row r="330" spans="2:11" ht="13.5" customHeight="1">
      <c r="B330" s="209" t="s">
        <v>974</v>
      </c>
      <c r="C330" s="209" t="s">
        <v>2416</v>
      </c>
      <c r="D330" s="450" t="s">
        <v>137</v>
      </c>
      <c r="E330" s="273">
        <v>0</v>
      </c>
      <c r="F330" s="274"/>
      <c r="G330" s="274">
        <f t="shared" si="1"/>
        <v>0</v>
      </c>
      <c r="H330" s="274">
        <v>0</v>
      </c>
      <c r="K330" s="274"/>
    </row>
    <row r="331" spans="2:11" ht="13.5" customHeight="1">
      <c r="B331" s="209" t="s">
        <v>974</v>
      </c>
      <c r="C331" s="209" t="s">
        <v>2416</v>
      </c>
      <c r="D331" s="451" t="s">
        <v>138</v>
      </c>
      <c r="E331" s="273">
        <v>0</v>
      </c>
      <c r="F331" s="274"/>
      <c r="G331" s="274">
        <f t="shared" si="1"/>
        <v>0</v>
      </c>
      <c r="H331" s="274">
        <v>0</v>
      </c>
      <c r="K331" s="274"/>
    </row>
    <row r="332" spans="2:11" ht="13.5" customHeight="1">
      <c r="B332" s="209" t="s">
        <v>974</v>
      </c>
      <c r="C332" s="209" t="s">
        <v>2416</v>
      </c>
      <c r="D332" s="452" t="s">
        <v>139</v>
      </c>
      <c r="E332" s="273">
        <v>0</v>
      </c>
      <c r="F332" s="274"/>
      <c r="G332" s="274">
        <f t="shared" si="1"/>
        <v>0</v>
      </c>
      <c r="H332" s="274">
        <v>0</v>
      </c>
      <c r="K332" s="274"/>
    </row>
    <row r="333" spans="2:11" ht="13.5" customHeight="1">
      <c r="B333" s="209" t="s">
        <v>974</v>
      </c>
      <c r="C333" s="209" t="s">
        <v>2416</v>
      </c>
      <c r="D333" s="216" t="s">
        <v>140</v>
      </c>
      <c r="E333" s="273">
        <v>0</v>
      </c>
      <c r="F333" s="274"/>
      <c r="G333" s="274">
        <f t="shared" si="1"/>
        <v>0</v>
      </c>
      <c r="H333" s="274">
        <v>0</v>
      </c>
      <c r="K333" s="274"/>
    </row>
    <row r="334" spans="2:11" ht="13.5" customHeight="1">
      <c r="B334" s="209" t="s">
        <v>974</v>
      </c>
      <c r="C334" s="209" t="s">
        <v>2416</v>
      </c>
      <c r="D334" s="453" t="s">
        <v>141</v>
      </c>
      <c r="E334" s="273">
        <v>0</v>
      </c>
      <c r="F334" s="274"/>
      <c r="G334" s="274">
        <f t="shared" si="1"/>
        <v>0</v>
      </c>
      <c r="H334" s="274">
        <v>0</v>
      </c>
      <c r="K334" s="274"/>
    </row>
    <row r="335" spans="2:11" ht="13.5" customHeight="1">
      <c r="B335" s="209" t="s">
        <v>1163</v>
      </c>
      <c r="C335" s="209" t="s">
        <v>2417</v>
      </c>
      <c r="D335" s="446" t="s">
        <v>133</v>
      </c>
      <c r="E335" s="273">
        <v>0</v>
      </c>
      <c r="F335" s="274"/>
      <c r="G335" s="274">
        <f t="shared" si="1"/>
        <v>0</v>
      </c>
      <c r="H335" s="274">
        <v>0</v>
      </c>
      <c r="K335" s="274"/>
    </row>
    <row r="336" spans="2:11" ht="13.5" customHeight="1">
      <c r="B336" s="209" t="s">
        <v>1163</v>
      </c>
      <c r="C336" s="209" t="s">
        <v>2417</v>
      </c>
      <c r="D336" s="447" t="s">
        <v>134</v>
      </c>
      <c r="E336" s="273">
        <v>0</v>
      </c>
      <c r="F336" s="274"/>
      <c r="G336" s="274">
        <f t="shared" si="1"/>
        <v>0</v>
      </c>
      <c r="H336" s="274">
        <v>0</v>
      </c>
      <c r="K336" s="274"/>
    </row>
    <row r="337" spans="2:11" ht="13.5" customHeight="1">
      <c r="B337" s="209" t="s">
        <v>1163</v>
      </c>
      <c r="C337" s="209" t="s">
        <v>2417</v>
      </c>
      <c r="D337" s="448" t="s">
        <v>135</v>
      </c>
      <c r="E337" s="273">
        <v>0</v>
      </c>
      <c r="F337" s="274"/>
      <c r="G337" s="274">
        <f t="shared" si="1"/>
        <v>0</v>
      </c>
      <c r="H337" s="274">
        <v>0</v>
      </c>
      <c r="K337" s="274"/>
    </row>
    <row r="338" spans="2:11" ht="13.5" customHeight="1">
      <c r="B338" s="209" t="s">
        <v>1163</v>
      </c>
      <c r="C338" s="209" t="s">
        <v>2417</v>
      </c>
      <c r="D338" s="449" t="s">
        <v>136</v>
      </c>
      <c r="E338" s="273">
        <v>0</v>
      </c>
      <c r="F338" s="274"/>
      <c r="G338" s="274">
        <f t="shared" si="1"/>
        <v>0</v>
      </c>
      <c r="H338" s="274">
        <v>0</v>
      </c>
      <c r="K338" s="274"/>
    </row>
    <row r="339" spans="2:11" ht="13.5" customHeight="1">
      <c r="B339" s="209" t="s">
        <v>1163</v>
      </c>
      <c r="C339" s="209" t="s">
        <v>2417</v>
      </c>
      <c r="D339" s="450" t="s">
        <v>137</v>
      </c>
      <c r="E339" s="273">
        <v>0</v>
      </c>
      <c r="F339" s="274"/>
      <c r="G339" s="274">
        <f t="shared" si="1"/>
        <v>0</v>
      </c>
      <c r="H339" s="274">
        <v>0</v>
      </c>
      <c r="K339" s="274"/>
    </row>
    <row r="340" spans="2:11" ht="13.5" customHeight="1">
      <c r="B340" s="209" t="s">
        <v>1163</v>
      </c>
      <c r="C340" s="209" t="s">
        <v>2417</v>
      </c>
      <c r="D340" s="451" t="s">
        <v>138</v>
      </c>
      <c r="E340" s="273">
        <v>0</v>
      </c>
      <c r="F340" s="274"/>
      <c r="G340" s="274">
        <f t="shared" si="1"/>
        <v>0</v>
      </c>
      <c r="H340" s="274">
        <v>0</v>
      </c>
      <c r="K340" s="274"/>
    </row>
    <row r="341" spans="2:11" ht="13.5" customHeight="1">
      <c r="B341" s="209" t="s">
        <v>1163</v>
      </c>
      <c r="C341" s="209" t="s">
        <v>2417</v>
      </c>
      <c r="D341" s="452" t="s">
        <v>139</v>
      </c>
      <c r="E341" s="273">
        <v>0</v>
      </c>
      <c r="F341" s="274"/>
      <c r="G341" s="274">
        <f t="shared" si="1"/>
        <v>0</v>
      </c>
      <c r="H341" s="274">
        <v>0</v>
      </c>
      <c r="K341" s="274"/>
    </row>
    <row r="342" spans="2:11" ht="13.5" customHeight="1">
      <c r="B342" s="209" t="s">
        <v>1163</v>
      </c>
      <c r="C342" s="209" t="s">
        <v>2417</v>
      </c>
      <c r="D342" s="216" t="s">
        <v>140</v>
      </c>
      <c r="E342" s="273">
        <v>0</v>
      </c>
      <c r="F342" s="274"/>
      <c r="G342" s="274">
        <f t="shared" si="1"/>
        <v>0</v>
      </c>
      <c r="H342" s="274">
        <v>0</v>
      </c>
      <c r="K342" s="274"/>
    </row>
    <row r="343" spans="2:11" ht="13.5" customHeight="1">
      <c r="B343" s="209" t="s">
        <v>1163</v>
      </c>
      <c r="C343" s="209" t="s">
        <v>2417</v>
      </c>
      <c r="D343" s="453" t="s">
        <v>141</v>
      </c>
      <c r="E343" s="273">
        <v>0</v>
      </c>
      <c r="F343" s="274"/>
      <c r="G343" s="274">
        <f t="shared" si="1"/>
        <v>0</v>
      </c>
      <c r="H343" s="274">
        <v>0</v>
      </c>
      <c r="K343" s="274"/>
    </row>
    <row r="344" spans="2:11" ht="13.5" customHeight="1">
      <c r="B344" s="209" t="s">
        <v>1052</v>
      </c>
      <c r="C344" s="209" t="s">
        <v>2418</v>
      </c>
      <c r="D344" s="446" t="s">
        <v>133</v>
      </c>
      <c r="E344" s="273">
        <v>0</v>
      </c>
      <c r="F344" s="274"/>
      <c r="G344" s="274">
        <f t="shared" si="1"/>
        <v>0</v>
      </c>
      <c r="H344" s="274">
        <v>0</v>
      </c>
      <c r="K344" s="274"/>
    </row>
    <row r="345" spans="2:11" ht="13.5" customHeight="1">
      <c r="B345" s="209" t="s">
        <v>1052</v>
      </c>
      <c r="C345" s="209" t="s">
        <v>2418</v>
      </c>
      <c r="D345" s="447" t="s">
        <v>134</v>
      </c>
      <c r="E345" s="273">
        <v>0</v>
      </c>
      <c r="F345" s="274"/>
      <c r="G345" s="274">
        <f t="shared" si="1"/>
        <v>0</v>
      </c>
      <c r="H345" s="274">
        <v>0</v>
      </c>
      <c r="K345" s="274"/>
    </row>
    <row r="346" spans="2:11" ht="13.5" customHeight="1">
      <c r="B346" s="209" t="s">
        <v>1052</v>
      </c>
      <c r="C346" s="209" t="s">
        <v>2418</v>
      </c>
      <c r="D346" s="448" t="s">
        <v>135</v>
      </c>
      <c r="E346" s="273">
        <v>0</v>
      </c>
      <c r="F346" s="274"/>
      <c r="G346" s="274">
        <f t="shared" si="1"/>
        <v>0</v>
      </c>
      <c r="H346" s="274">
        <v>0</v>
      </c>
      <c r="K346" s="274"/>
    </row>
    <row r="347" spans="2:11" ht="13.5" customHeight="1">
      <c r="B347" s="209" t="s">
        <v>1052</v>
      </c>
      <c r="C347" s="209" t="s">
        <v>2418</v>
      </c>
      <c r="D347" s="449" t="s">
        <v>136</v>
      </c>
      <c r="E347" s="273">
        <v>0</v>
      </c>
      <c r="F347" s="274"/>
      <c r="G347" s="274">
        <f t="shared" si="1"/>
        <v>0</v>
      </c>
      <c r="H347" s="274">
        <v>0</v>
      </c>
      <c r="K347" s="274"/>
    </row>
    <row r="348" spans="2:11" ht="13.5" customHeight="1">
      <c r="B348" s="209" t="s">
        <v>1052</v>
      </c>
      <c r="C348" s="209" t="s">
        <v>2418</v>
      </c>
      <c r="D348" s="450" t="s">
        <v>137</v>
      </c>
      <c r="E348" s="273">
        <v>0</v>
      </c>
      <c r="F348" s="274"/>
      <c r="G348" s="274">
        <f t="shared" si="1"/>
        <v>0</v>
      </c>
      <c r="H348" s="274">
        <v>0</v>
      </c>
      <c r="K348" s="274"/>
    </row>
    <row r="349" spans="2:11" ht="13.5" customHeight="1">
      <c r="B349" s="209" t="s">
        <v>1052</v>
      </c>
      <c r="C349" s="209" t="s">
        <v>2418</v>
      </c>
      <c r="D349" s="451" t="s">
        <v>138</v>
      </c>
      <c r="E349" s="273">
        <v>0</v>
      </c>
      <c r="F349" s="274"/>
      <c r="G349" s="274">
        <f t="shared" si="1"/>
        <v>0</v>
      </c>
      <c r="H349" s="274">
        <v>0</v>
      </c>
      <c r="K349" s="274"/>
    </row>
    <row r="350" spans="2:11" ht="13.5" customHeight="1">
      <c r="B350" s="209" t="s">
        <v>1052</v>
      </c>
      <c r="C350" s="209" t="s">
        <v>2418</v>
      </c>
      <c r="D350" s="452" t="s">
        <v>139</v>
      </c>
      <c r="E350" s="273">
        <v>0</v>
      </c>
      <c r="F350" s="274"/>
      <c r="G350" s="274">
        <f t="shared" si="1"/>
        <v>0</v>
      </c>
      <c r="H350" s="274">
        <v>0</v>
      </c>
      <c r="K350" s="274"/>
    </row>
    <row r="351" spans="2:11" ht="13.5" customHeight="1">
      <c r="B351" s="209" t="s">
        <v>1052</v>
      </c>
      <c r="C351" s="209" t="s">
        <v>2418</v>
      </c>
      <c r="D351" s="216" t="s">
        <v>140</v>
      </c>
      <c r="E351" s="273">
        <v>0</v>
      </c>
      <c r="F351" s="274"/>
      <c r="G351" s="274">
        <f t="shared" si="1"/>
        <v>0</v>
      </c>
      <c r="H351" s="274">
        <v>0</v>
      </c>
      <c r="K351" s="274"/>
    </row>
    <row r="352" spans="2:11" ht="13.5" customHeight="1">
      <c r="B352" s="209" t="s">
        <v>1052</v>
      </c>
      <c r="C352" s="209" t="s">
        <v>2418</v>
      </c>
      <c r="D352" s="453" t="s">
        <v>141</v>
      </c>
      <c r="E352" s="273">
        <v>0</v>
      </c>
      <c r="F352" s="274"/>
      <c r="G352" s="274">
        <f t="shared" si="1"/>
        <v>0</v>
      </c>
      <c r="H352" s="274">
        <v>0</v>
      </c>
      <c r="K352" s="274"/>
    </row>
    <row r="353" spans="2:11" ht="13.5" customHeight="1">
      <c r="B353" s="209" t="s">
        <v>749</v>
      </c>
      <c r="C353" s="209" t="s">
        <v>2419</v>
      </c>
      <c r="D353" s="446" t="s">
        <v>133</v>
      </c>
      <c r="E353" s="273">
        <v>0</v>
      </c>
      <c r="F353" s="274"/>
      <c r="G353" s="274">
        <f t="shared" si="1"/>
        <v>0</v>
      </c>
      <c r="H353" s="274">
        <v>0</v>
      </c>
      <c r="K353" s="274"/>
    </row>
    <row r="354" spans="2:11" ht="13.5" customHeight="1">
      <c r="B354" s="209" t="s">
        <v>749</v>
      </c>
      <c r="C354" s="209" t="s">
        <v>2419</v>
      </c>
      <c r="D354" s="447" t="s">
        <v>134</v>
      </c>
      <c r="E354" s="273">
        <v>0</v>
      </c>
      <c r="F354" s="274"/>
      <c r="G354" s="274">
        <f t="shared" si="1"/>
        <v>0</v>
      </c>
      <c r="H354" s="274">
        <v>0</v>
      </c>
      <c r="K354" s="274"/>
    </row>
    <row r="355" spans="2:11" ht="13.5" customHeight="1">
      <c r="B355" s="209" t="s">
        <v>749</v>
      </c>
      <c r="C355" s="209" t="s">
        <v>2419</v>
      </c>
      <c r="D355" s="448" t="s">
        <v>135</v>
      </c>
      <c r="E355" s="273">
        <v>0</v>
      </c>
      <c r="F355" s="274"/>
      <c r="G355" s="274">
        <f t="shared" si="1"/>
        <v>0</v>
      </c>
      <c r="H355" s="274">
        <v>0</v>
      </c>
      <c r="K355" s="274"/>
    </row>
    <row r="356" spans="2:11" ht="13.5" customHeight="1">
      <c r="B356" s="209" t="s">
        <v>749</v>
      </c>
      <c r="C356" s="209" t="s">
        <v>2419</v>
      </c>
      <c r="D356" s="449" t="s">
        <v>136</v>
      </c>
      <c r="E356" s="273">
        <v>0</v>
      </c>
      <c r="F356" s="274"/>
      <c r="G356" s="274">
        <f t="shared" si="1"/>
        <v>0</v>
      </c>
      <c r="H356" s="274">
        <v>0</v>
      </c>
      <c r="K356" s="274"/>
    </row>
    <row r="357" spans="2:11" ht="13.5" customHeight="1">
      <c r="B357" s="209" t="s">
        <v>749</v>
      </c>
      <c r="C357" s="209" t="s">
        <v>2419</v>
      </c>
      <c r="D357" s="450" t="s">
        <v>137</v>
      </c>
      <c r="E357" s="273">
        <v>0</v>
      </c>
      <c r="F357" s="274"/>
      <c r="G357" s="274">
        <f t="shared" si="1"/>
        <v>0</v>
      </c>
      <c r="H357" s="274">
        <v>0</v>
      </c>
      <c r="K357" s="274"/>
    </row>
    <row r="358" spans="2:11" ht="13.5" customHeight="1">
      <c r="B358" s="209" t="s">
        <v>749</v>
      </c>
      <c r="C358" s="209" t="s">
        <v>2419</v>
      </c>
      <c r="D358" s="451" t="s">
        <v>138</v>
      </c>
      <c r="E358" s="273">
        <v>0</v>
      </c>
      <c r="F358" s="274"/>
      <c r="G358" s="274">
        <f t="shared" si="1"/>
        <v>0</v>
      </c>
      <c r="H358" s="274">
        <v>0</v>
      </c>
      <c r="K358" s="274"/>
    </row>
    <row r="359" spans="2:11" ht="13.5" customHeight="1">
      <c r="B359" s="209" t="s">
        <v>749</v>
      </c>
      <c r="C359" s="209" t="s">
        <v>2419</v>
      </c>
      <c r="D359" s="452" t="s">
        <v>139</v>
      </c>
      <c r="E359" s="273">
        <v>0</v>
      </c>
      <c r="F359" s="274"/>
      <c r="G359" s="274">
        <f t="shared" si="1"/>
        <v>0</v>
      </c>
      <c r="H359" s="274">
        <v>0</v>
      </c>
      <c r="K359" s="274"/>
    </row>
    <row r="360" spans="2:11" ht="13.5" customHeight="1">
      <c r="B360" s="209" t="s">
        <v>749</v>
      </c>
      <c r="C360" s="209" t="s">
        <v>2419</v>
      </c>
      <c r="D360" s="216" t="s">
        <v>140</v>
      </c>
      <c r="E360" s="273">
        <v>0</v>
      </c>
      <c r="F360" s="274"/>
      <c r="G360" s="274">
        <f t="shared" si="1"/>
        <v>0</v>
      </c>
      <c r="H360" s="274">
        <v>0</v>
      </c>
      <c r="K360" s="274"/>
    </row>
    <row r="361" spans="2:11" ht="13.5" customHeight="1">
      <c r="B361" s="209" t="s">
        <v>749</v>
      </c>
      <c r="C361" s="209" t="s">
        <v>2419</v>
      </c>
      <c r="D361" s="453" t="s">
        <v>141</v>
      </c>
      <c r="E361" s="273">
        <v>0</v>
      </c>
      <c r="F361" s="274"/>
      <c r="G361" s="274">
        <f t="shared" si="1"/>
        <v>0</v>
      </c>
      <c r="H361" s="274">
        <v>0</v>
      </c>
      <c r="K361" s="274"/>
    </row>
    <row r="362" spans="2:11" ht="13.5" customHeight="1">
      <c r="B362" s="209" t="s">
        <v>976</v>
      </c>
      <c r="C362" s="209" t="s">
        <v>2420</v>
      </c>
      <c r="D362" s="446" t="s">
        <v>133</v>
      </c>
      <c r="E362" s="273">
        <v>0</v>
      </c>
      <c r="F362" s="274"/>
      <c r="G362" s="274">
        <f t="shared" si="1"/>
        <v>0</v>
      </c>
      <c r="H362" s="274">
        <v>0</v>
      </c>
      <c r="K362" s="274"/>
    </row>
    <row r="363" spans="2:11" ht="13.5" customHeight="1">
      <c r="B363" s="209" t="s">
        <v>976</v>
      </c>
      <c r="C363" s="209" t="s">
        <v>2420</v>
      </c>
      <c r="D363" s="447" t="s">
        <v>134</v>
      </c>
      <c r="E363" s="273">
        <v>0</v>
      </c>
      <c r="F363" s="274"/>
      <c r="G363" s="274">
        <f t="shared" si="1"/>
        <v>0</v>
      </c>
      <c r="H363" s="274">
        <v>0</v>
      </c>
      <c r="K363" s="274"/>
    </row>
    <row r="364" spans="2:11" ht="13.5" customHeight="1">
      <c r="B364" s="209" t="s">
        <v>976</v>
      </c>
      <c r="C364" s="209" t="s">
        <v>2420</v>
      </c>
      <c r="D364" s="448" t="s">
        <v>135</v>
      </c>
      <c r="E364" s="273">
        <v>0</v>
      </c>
      <c r="F364" s="274"/>
      <c r="G364" s="274">
        <f t="shared" si="1"/>
        <v>0</v>
      </c>
      <c r="H364" s="274">
        <v>0</v>
      </c>
      <c r="K364" s="274"/>
    </row>
    <row r="365" spans="2:11" ht="13.5" customHeight="1">
      <c r="B365" s="209" t="s">
        <v>976</v>
      </c>
      <c r="C365" s="209" t="s">
        <v>2420</v>
      </c>
      <c r="D365" s="449" t="s">
        <v>136</v>
      </c>
      <c r="E365" s="273">
        <v>0</v>
      </c>
      <c r="F365" s="274"/>
      <c r="G365" s="274">
        <f t="shared" si="1"/>
        <v>0</v>
      </c>
      <c r="H365" s="274">
        <v>0</v>
      </c>
      <c r="K365" s="274"/>
    </row>
    <row r="366" spans="2:11" ht="13.5" customHeight="1">
      <c r="B366" s="209" t="s">
        <v>976</v>
      </c>
      <c r="C366" s="209" t="s">
        <v>2420</v>
      </c>
      <c r="D366" s="450" t="s">
        <v>137</v>
      </c>
      <c r="E366" s="273">
        <v>0</v>
      </c>
      <c r="F366" s="274"/>
      <c r="G366" s="274">
        <f t="shared" si="1"/>
        <v>0</v>
      </c>
      <c r="H366" s="274">
        <v>0</v>
      </c>
      <c r="K366" s="274"/>
    </row>
    <row r="367" spans="2:11" ht="13.5" customHeight="1">
      <c r="B367" s="209" t="s">
        <v>976</v>
      </c>
      <c r="C367" s="209" t="s">
        <v>2420</v>
      </c>
      <c r="D367" s="451" t="s">
        <v>138</v>
      </c>
      <c r="E367" s="273">
        <v>0</v>
      </c>
      <c r="F367" s="274"/>
      <c r="G367" s="274">
        <f t="shared" si="1"/>
        <v>0</v>
      </c>
      <c r="H367" s="274">
        <v>0</v>
      </c>
      <c r="K367" s="274"/>
    </row>
    <row r="368" spans="2:11" ht="13.5" customHeight="1">
      <c r="B368" s="209" t="s">
        <v>976</v>
      </c>
      <c r="C368" s="209" t="s">
        <v>2420</v>
      </c>
      <c r="D368" s="452" t="s">
        <v>139</v>
      </c>
      <c r="E368" s="273">
        <v>0</v>
      </c>
      <c r="F368" s="274"/>
      <c r="G368" s="274">
        <f t="shared" si="1"/>
        <v>0</v>
      </c>
      <c r="H368" s="274">
        <v>0</v>
      </c>
      <c r="K368" s="274"/>
    </row>
    <row r="369" spans="2:11" ht="13.5" customHeight="1">
      <c r="B369" s="209" t="s">
        <v>976</v>
      </c>
      <c r="C369" s="209" t="s">
        <v>2420</v>
      </c>
      <c r="D369" s="216" t="s">
        <v>140</v>
      </c>
      <c r="E369" s="273">
        <v>0</v>
      </c>
      <c r="F369" s="274"/>
      <c r="G369" s="274">
        <f t="shared" si="1"/>
        <v>0</v>
      </c>
      <c r="H369" s="274">
        <v>0</v>
      </c>
      <c r="K369" s="274"/>
    </row>
    <row r="370" spans="2:11" ht="13.5" customHeight="1">
      <c r="B370" s="209" t="s">
        <v>976</v>
      </c>
      <c r="C370" s="209" t="s">
        <v>2420</v>
      </c>
      <c r="D370" s="453" t="s">
        <v>141</v>
      </c>
      <c r="E370" s="273">
        <v>0</v>
      </c>
      <c r="F370" s="274"/>
      <c r="G370" s="274">
        <f t="shared" si="1"/>
        <v>0</v>
      </c>
      <c r="H370" s="274">
        <v>0</v>
      </c>
      <c r="K370" s="274"/>
    </row>
    <row r="371" spans="2:11" ht="13.5" customHeight="1">
      <c r="B371" s="209" t="s">
        <v>751</v>
      </c>
      <c r="C371" s="209" t="s">
        <v>2421</v>
      </c>
      <c r="D371" s="446" t="s">
        <v>133</v>
      </c>
      <c r="E371" s="273">
        <v>0</v>
      </c>
      <c r="F371" s="274"/>
      <c r="G371" s="274">
        <f t="shared" si="1"/>
        <v>0</v>
      </c>
      <c r="H371" s="274">
        <v>0</v>
      </c>
      <c r="K371" s="274"/>
    </row>
    <row r="372" spans="2:11" ht="13.5" customHeight="1">
      <c r="B372" s="209" t="s">
        <v>751</v>
      </c>
      <c r="C372" s="209" t="s">
        <v>2421</v>
      </c>
      <c r="D372" s="447" t="s">
        <v>134</v>
      </c>
      <c r="E372" s="273">
        <v>0</v>
      </c>
      <c r="F372" s="274"/>
      <c r="G372" s="274">
        <f t="shared" si="1"/>
        <v>0</v>
      </c>
      <c r="H372" s="274">
        <v>0</v>
      </c>
      <c r="K372" s="274"/>
    </row>
    <row r="373" spans="2:11" ht="13.5" customHeight="1">
      <c r="B373" s="209" t="s">
        <v>751</v>
      </c>
      <c r="C373" s="209" t="s">
        <v>2421</v>
      </c>
      <c r="D373" s="448" t="s">
        <v>135</v>
      </c>
      <c r="E373" s="273">
        <v>0</v>
      </c>
      <c r="F373" s="274"/>
      <c r="G373" s="274">
        <f t="shared" si="1"/>
        <v>0</v>
      </c>
      <c r="H373" s="274">
        <v>0</v>
      </c>
      <c r="K373" s="274"/>
    </row>
    <row r="374" spans="2:11" ht="13.5" customHeight="1">
      <c r="B374" s="209" t="s">
        <v>751</v>
      </c>
      <c r="C374" s="209" t="s">
        <v>2421</v>
      </c>
      <c r="D374" s="449" t="s">
        <v>136</v>
      </c>
      <c r="E374" s="273">
        <v>0</v>
      </c>
      <c r="F374" s="274"/>
      <c r="G374" s="274">
        <f t="shared" si="1"/>
        <v>0</v>
      </c>
      <c r="H374" s="274">
        <v>0</v>
      </c>
      <c r="K374" s="274"/>
    </row>
    <row r="375" spans="2:11" ht="13.5" customHeight="1">
      <c r="B375" s="209" t="s">
        <v>751</v>
      </c>
      <c r="C375" s="209" t="s">
        <v>2421</v>
      </c>
      <c r="D375" s="450" t="s">
        <v>137</v>
      </c>
      <c r="E375" s="273">
        <v>0</v>
      </c>
      <c r="F375" s="274"/>
      <c r="G375" s="274">
        <f t="shared" si="1"/>
        <v>0</v>
      </c>
      <c r="H375" s="274">
        <v>0</v>
      </c>
      <c r="K375" s="274"/>
    </row>
    <row r="376" spans="2:11" ht="13.5" customHeight="1">
      <c r="B376" s="209" t="s">
        <v>751</v>
      </c>
      <c r="C376" s="209" t="s">
        <v>2421</v>
      </c>
      <c r="D376" s="451" t="s">
        <v>138</v>
      </c>
      <c r="E376" s="273">
        <v>0</v>
      </c>
      <c r="F376" s="274"/>
      <c r="G376" s="274">
        <f t="shared" si="1"/>
        <v>0</v>
      </c>
      <c r="H376" s="274">
        <v>0</v>
      </c>
      <c r="K376" s="274"/>
    </row>
    <row r="377" spans="2:11" ht="13.5" customHeight="1">
      <c r="B377" s="209" t="s">
        <v>751</v>
      </c>
      <c r="C377" s="209" t="s">
        <v>2421</v>
      </c>
      <c r="D377" s="452" t="s">
        <v>139</v>
      </c>
      <c r="E377" s="273">
        <v>0</v>
      </c>
      <c r="F377" s="274"/>
      <c r="G377" s="274">
        <f t="shared" si="1"/>
        <v>0</v>
      </c>
      <c r="H377" s="274">
        <v>0</v>
      </c>
      <c r="K377" s="274"/>
    </row>
    <row r="378" spans="2:11" ht="13.5" customHeight="1">
      <c r="B378" s="209" t="s">
        <v>751</v>
      </c>
      <c r="C378" s="209" t="s">
        <v>2421</v>
      </c>
      <c r="D378" s="216" t="s">
        <v>140</v>
      </c>
      <c r="E378" s="273">
        <v>0</v>
      </c>
      <c r="F378" s="274"/>
      <c r="G378" s="274">
        <f t="shared" si="1"/>
        <v>0</v>
      </c>
      <c r="H378" s="274">
        <v>0</v>
      </c>
      <c r="K378" s="274"/>
    </row>
    <row r="379" spans="2:11" ht="13.5" customHeight="1">
      <c r="B379" s="209" t="s">
        <v>751</v>
      </c>
      <c r="C379" s="209" t="s">
        <v>2421</v>
      </c>
      <c r="D379" s="453" t="s">
        <v>141</v>
      </c>
      <c r="E379" s="273">
        <v>0</v>
      </c>
      <c r="F379" s="274"/>
      <c r="G379" s="274">
        <f t="shared" si="1"/>
        <v>0</v>
      </c>
      <c r="H379" s="274">
        <v>0</v>
      </c>
      <c r="K379" s="274"/>
    </row>
    <row r="380" spans="2:11" ht="13.5" customHeight="1">
      <c r="B380" s="209" t="s">
        <v>978</v>
      </c>
      <c r="C380" s="209" t="s">
        <v>2422</v>
      </c>
      <c r="D380" s="446" t="s">
        <v>133</v>
      </c>
      <c r="E380" s="273">
        <v>0</v>
      </c>
      <c r="F380" s="274"/>
      <c r="G380" s="274">
        <f t="shared" si="1"/>
        <v>0</v>
      </c>
      <c r="H380" s="274">
        <v>0</v>
      </c>
      <c r="K380" s="274"/>
    </row>
    <row r="381" spans="2:11" ht="13.5" customHeight="1">
      <c r="B381" s="209" t="s">
        <v>978</v>
      </c>
      <c r="C381" s="209" t="s">
        <v>2422</v>
      </c>
      <c r="D381" s="447" t="s">
        <v>134</v>
      </c>
      <c r="E381" s="273">
        <v>0</v>
      </c>
      <c r="F381" s="274"/>
      <c r="G381" s="274">
        <f t="shared" si="1"/>
        <v>0</v>
      </c>
      <c r="H381" s="274">
        <v>0</v>
      </c>
      <c r="K381" s="274"/>
    </row>
    <row r="382" spans="2:11" ht="13.5" customHeight="1">
      <c r="B382" s="209" t="s">
        <v>978</v>
      </c>
      <c r="C382" s="209" t="s">
        <v>2422</v>
      </c>
      <c r="D382" s="448" t="s">
        <v>135</v>
      </c>
      <c r="E382" s="273">
        <v>0</v>
      </c>
      <c r="F382" s="274"/>
      <c r="G382" s="274">
        <f t="shared" si="1"/>
        <v>0</v>
      </c>
      <c r="H382" s="274">
        <v>0</v>
      </c>
      <c r="K382" s="274"/>
    </row>
    <row r="383" spans="2:11" ht="13.5" customHeight="1">
      <c r="B383" s="209" t="s">
        <v>978</v>
      </c>
      <c r="C383" s="209" t="s">
        <v>2422</v>
      </c>
      <c r="D383" s="449" t="s">
        <v>136</v>
      </c>
      <c r="E383" s="273">
        <v>0</v>
      </c>
      <c r="F383" s="274"/>
      <c r="G383" s="274">
        <f t="shared" si="1"/>
        <v>0</v>
      </c>
      <c r="H383" s="274">
        <v>0</v>
      </c>
      <c r="K383" s="274"/>
    </row>
    <row r="384" spans="2:11" ht="13.5" customHeight="1">
      <c r="B384" s="209" t="s">
        <v>978</v>
      </c>
      <c r="C384" s="209" t="s">
        <v>2422</v>
      </c>
      <c r="D384" s="450" t="s">
        <v>137</v>
      </c>
      <c r="E384" s="273">
        <v>0</v>
      </c>
      <c r="F384" s="274"/>
      <c r="G384" s="274">
        <f t="shared" si="1"/>
        <v>0</v>
      </c>
      <c r="H384" s="274">
        <v>0</v>
      </c>
      <c r="K384" s="274"/>
    </row>
    <row r="385" spans="2:11" ht="13.5" customHeight="1">
      <c r="B385" s="209" t="s">
        <v>978</v>
      </c>
      <c r="C385" s="209" t="s">
        <v>2422</v>
      </c>
      <c r="D385" s="451" t="s">
        <v>138</v>
      </c>
      <c r="E385" s="273">
        <v>0</v>
      </c>
      <c r="F385" s="274"/>
      <c r="G385" s="274">
        <f t="shared" si="1"/>
        <v>0</v>
      </c>
      <c r="H385" s="274">
        <v>0</v>
      </c>
      <c r="K385" s="274"/>
    </row>
    <row r="386" spans="2:11" ht="13.5" customHeight="1">
      <c r="B386" s="209" t="s">
        <v>978</v>
      </c>
      <c r="C386" s="209" t="s">
        <v>2422</v>
      </c>
      <c r="D386" s="452" t="s">
        <v>139</v>
      </c>
      <c r="E386" s="273">
        <v>0</v>
      </c>
      <c r="F386" s="274"/>
      <c r="G386" s="274">
        <f t="shared" si="1"/>
        <v>0</v>
      </c>
      <c r="H386" s="274">
        <v>0</v>
      </c>
      <c r="K386" s="274"/>
    </row>
    <row r="387" spans="2:11" ht="13.5" customHeight="1">
      <c r="B387" s="209" t="s">
        <v>978</v>
      </c>
      <c r="C387" s="209" t="s">
        <v>2422</v>
      </c>
      <c r="D387" s="216" t="s">
        <v>140</v>
      </c>
      <c r="E387" s="273">
        <v>0</v>
      </c>
      <c r="F387" s="274"/>
      <c r="G387" s="274">
        <f t="shared" si="1"/>
        <v>0</v>
      </c>
      <c r="H387" s="274">
        <v>0</v>
      </c>
      <c r="K387" s="274"/>
    </row>
    <row r="388" spans="2:11" ht="13.5" customHeight="1">
      <c r="B388" s="209" t="s">
        <v>978</v>
      </c>
      <c r="C388" s="209" t="s">
        <v>2422</v>
      </c>
      <c r="D388" s="453" t="s">
        <v>141</v>
      </c>
      <c r="E388" s="273">
        <v>0</v>
      </c>
      <c r="F388" s="274"/>
      <c r="G388" s="274">
        <f t="shared" si="1"/>
        <v>0</v>
      </c>
      <c r="H388" s="274">
        <v>0</v>
      </c>
      <c r="K388" s="274"/>
    </row>
    <row r="389" spans="2:11" ht="13.5" customHeight="1">
      <c r="B389" s="209" t="s">
        <v>753</v>
      </c>
      <c r="C389" s="209" t="s">
        <v>2423</v>
      </c>
      <c r="D389" s="446" t="s">
        <v>133</v>
      </c>
      <c r="E389" s="273">
        <v>0</v>
      </c>
      <c r="F389" s="274"/>
      <c r="G389" s="274">
        <f t="shared" si="1"/>
        <v>0</v>
      </c>
      <c r="H389" s="274">
        <v>0</v>
      </c>
      <c r="K389" s="274"/>
    </row>
    <row r="390" spans="2:11" ht="13.5" customHeight="1">
      <c r="B390" s="209" t="s">
        <v>753</v>
      </c>
      <c r="C390" s="209" t="s">
        <v>2423</v>
      </c>
      <c r="D390" s="447" t="s">
        <v>134</v>
      </c>
      <c r="E390" s="273">
        <v>0</v>
      </c>
      <c r="F390" s="274"/>
      <c r="G390" s="274">
        <f t="shared" si="1"/>
        <v>0</v>
      </c>
      <c r="H390" s="274">
        <v>0</v>
      </c>
      <c r="K390" s="274"/>
    </row>
    <row r="391" spans="2:11" ht="13.5" customHeight="1">
      <c r="B391" s="209" t="s">
        <v>753</v>
      </c>
      <c r="C391" s="209" t="s">
        <v>2423</v>
      </c>
      <c r="D391" s="448" t="s">
        <v>135</v>
      </c>
      <c r="E391" s="273">
        <v>0</v>
      </c>
      <c r="F391" s="274"/>
      <c r="G391" s="274">
        <f t="shared" si="1"/>
        <v>0</v>
      </c>
      <c r="H391" s="274">
        <v>0</v>
      </c>
      <c r="K391" s="274"/>
    </row>
    <row r="392" spans="2:11" ht="13.5" customHeight="1">
      <c r="B392" s="209" t="s">
        <v>753</v>
      </c>
      <c r="C392" s="209" t="s">
        <v>2423</v>
      </c>
      <c r="D392" s="449" t="s">
        <v>136</v>
      </c>
      <c r="E392" s="273">
        <v>0</v>
      </c>
      <c r="F392" s="274"/>
      <c r="G392" s="274">
        <f t="shared" si="1"/>
        <v>0</v>
      </c>
      <c r="H392" s="274">
        <v>0</v>
      </c>
      <c r="K392" s="274"/>
    </row>
    <row r="393" spans="2:11" ht="13.5" customHeight="1">
      <c r="B393" s="209" t="s">
        <v>753</v>
      </c>
      <c r="C393" s="209" t="s">
        <v>2423</v>
      </c>
      <c r="D393" s="450" t="s">
        <v>137</v>
      </c>
      <c r="E393" s="273">
        <v>0</v>
      </c>
      <c r="F393" s="274"/>
      <c r="G393" s="274">
        <f t="shared" si="1"/>
        <v>0</v>
      </c>
      <c r="H393" s="274">
        <v>0</v>
      </c>
      <c r="K393" s="274"/>
    </row>
    <row r="394" spans="2:11" ht="13.5" customHeight="1">
      <c r="B394" s="209" t="s">
        <v>753</v>
      </c>
      <c r="C394" s="209" t="s">
        <v>2423</v>
      </c>
      <c r="D394" s="451" t="s">
        <v>138</v>
      </c>
      <c r="E394" s="273">
        <v>0</v>
      </c>
      <c r="F394" s="274"/>
      <c r="G394" s="274">
        <f t="shared" si="1"/>
        <v>0</v>
      </c>
      <c r="H394" s="274">
        <v>0</v>
      </c>
      <c r="K394" s="274"/>
    </row>
    <row r="395" spans="2:11" ht="13.5" customHeight="1">
      <c r="B395" s="209" t="s">
        <v>753</v>
      </c>
      <c r="C395" s="209" t="s">
        <v>2423</v>
      </c>
      <c r="D395" s="452" t="s">
        <v>139</v>
      </c>
      <c r="E395" s="273">
        <v>0</v>
      </c>
      <c r="F395" s="274"/>
      <c r="G395" s="274">
        <f t="shared" si="1"/>
        <v>0</v>
      </c>
      <c r="H395" s="274">
        <v>0</v>
      </c>
      <c r="K395" s="274"/>
    </row>
    <row r="396" spans="2:11" ht="13.5" customHeight="1">
      <c r="B396" s="209" t="s">
        <v>753</v>
      </c>
      <c r="C396" s="209" t="s">
        <v>2423</v>
      </c>
      <c r="D396" s="216" t="s">
        <v>140</v>
      </c>
      <c r="E396" s="273">
        <v>0</v>
      </c>
      <c r="F396" s="274"/>
      <c r="G396" s="274">
        <f t="shared" si="1"/>
        <v>0</v>
      </c>
      <c r="H396" s="274">
        <v>0</v>
      </c>
      <c r="K396" s="274"/>
    </row>
    <row r="397" spans="2:11" ht="13.5" customHeight="1">
      <c r="B397" s="209" t="s">
        <v>753</v>
      </c>
      <c r="C397" s="209" t="s">
        <v>2423</v>
      </c>
      <c r="D397" s="453" t="s">
        <v>141</v>
      </c>
      <c r="E397" s="273">
        <v>0</v>
      </c>
      <c r="F397" s="274"/>
      <c r="G397" s="274">
        <f t="shared" si="1"/>
        <v>0</v>
      </c>
      <c r="H397" s="274">
        <v>0</v>
      </c>
      <c r="K397" s="274"/>
    </row>
    <row r="398" spans="2:11" ht="13.5" customHeight="1">
      <c r="B398" s="209" t="s">
        <v>1165</v>
      </c>
      <c r="C398" s="209" t="s">
        <v>2424</v>
      </c>
      <c r="D398" s="446" t="s">
        <v>133</v>
      </c>
      <c r="E398" s="273">
        <v>0</v>
      </c>
      <c r="F398" s="274"/>
      <c r="G398" s="274">
        <f t="shared" si="1"/>
        <v>0</v>
      </c>
      <c r="H398" s="274">
        <v>0</v>
      </c>
      <c r="K398" s="274"/>
    </row>
    <row r="399" spans="2:11" ht="13.5" customHeight="1">
      <c r="B399" s="209" t="s">
        <v>1165</v>
      </c>
      <c r="C399" s="209" t="s">
        <v>2424</v>
      </c>
      <c r="D399" s="447" t="s">
        <v>134</v>
      </c>
      <c r="E399" s="273">
        <v>0</v>
      </c>
      <c r="F399" s="274"/>
      <c r="G399" s="274">
        <f t="shared" si="1"/>
        <v>0</v>
      </c>
      <c r="H399" s="274">
        <v>0</v>
      </c>
      <c r="K399" s="274"/>
    </row>
    <row r="400" spans="2:11" ht="13.5" customHeight="1">
      <c r="B400" s="209" t="s">
        <v>1165</v>
      </c>
      <c r="C400" s="209" t="s">
        <v>2424</v>
      </c>
      <c r="D400" s="448" t="s">
        <v>135</v>
      </c>
      <c r="E400" s="273">
        <v>0</v>
      </c>
      <c r="F400" s="274"/>
      <c r="G400" s="274">
        <f t="shared" si="1"/>
        <v>0</v>
      </c>
      <c r="H400" s="274">
        <v>0</v>
      </c>
      <c r="K400" s="274"/>
    </row>
    <row r="401" spans="2:11" ht="13.5" customHeight="1">
      <c r="B401" s="209" t="s">
        <v>1165</v>
      </c>
      <c r="C401" s="209" t="s">
        <v>2424</v>
      </c>
      <c r="D401" s="449" t="s">
        <v>136</v>
      </c>
      <c r="E401" s="273">
        <v>0</v>
      </c>
      <c r="F401" s="274"/>
      <c r="G401" s="274">
        <f t="shared" si="1"/>
        <v>0</v>
      </c>
      <c r="H401" s="274">
        <v>0</v>
      </c>
      <c r="K401" s="274"/>
    </row>
    <row r="402" spans="2:11" ht="13.5" customHeight="1">
      <c r="B402" s="209" t="s">
        <v>1165</v>
      </c>
      <c r="C402" s="209" t="s">
        <v>2424</v>
      </c>
      <c r="D402" s="450" t="s">
        <v>137</v>
      </c>
      <c r="E402" s="273">
        <v>0</v>
      </c>
      <c r="F402" s="274"/>
      <c r="G402" s="274">
        <f t="shared" si="1"/>
        <v>0</v>
      </c>
      <c r="H402" s="274">
        <v>0</v>
      </c>
      <c r="K402" s="274"/>
    </row>
    <row r="403" spans="2:11" ht="13.5" customHeight="1">
      <c r="B403" s="209" t="s">
        <v>1165</v>
      </c>
      <c r="C403" s="209" t="s">
        <v>2424</v>
      </c>
      <c r="D403" s="451" t="s">
        <v>138</v>
      </c>
      <c r="E403" s="273">
        <v>0</v>
      </c>
      <c r="F403" s="274"/>
      <c r="G403" s="274">
        <f t="shared" si="1"/>
        <v>0</v>
      </c>
      <c r="H403" s="274">
        <v>0</v>
      </c>
      <c r="K403" s="274"/>
    </row>
    <row r="404" spans="2:11" ht="13.5" customHeight="1">
      <c r="B404" s="209" t="s">
        <v>1165</v>
      </c>
      <c r="C404" s="209" t="s">
        <v>2424</v>
      </c>
      <c r="D404" s="452" t="s">
        <v>139</v>
      </c>
      <c r="E404" s="273">
        <v>0</v>
      </c>
      <c r="F404" s="274"/>
      <c r="G404" s="274">
        <f t="shared" si="1"/>
        <v>0</v>
      </c>
      <c r="H404" s="274">
        <v>0</v>
      </c>
      <c r="K404" s="274"/>
    </row>
    <row r="405" spans="2:11" ht="13.5" customHeight="1">
      <c r="B405" s="209" t="s">
        <v>1165</v>
      </c>
      <c r="C405" s="209" t="s">
        <v>2424</v>
      </c>
      <c r="D405" s="216" t="s">
        <v>140</v>
      </c>
      <c r="E405" s="273">
        <v>0</v>
      </c>
      <c r="F405" s="274"/>
      <c r="G405" s="274">
        <f t="shared" si="1"/>
        <v>0</v>
      </c>
      <c r="H405" s="274">
        <v>0</v>
      </c>
      <c r="K405" s="274"/>
    </row>
    <row r="406" spans="2:11" ht="13.5" customHeight="1">
      <c r="B406" s="209" t="s">
        <v>1165</v>
      </c>
      <c r="C406" s="209" t="s">
        <v>2424</v>
      </c>
      <c r="D406" s="453" t="s">
        <v>141</v>
      </c>
      <c r="E406" s="273">
        <v>0</v>
      </c>
      <c r="F406" s="274"/>
      <c r="G406" s="274">
        <f t="shared" si="1"/>
        <v>0</v>
      </c>
      <c r="H406" s="274">
        <v>0</v>
      </c>
      <c r="K406" s="274"/>
    </row>
    <row r="407" spans="2:11" ht="13.5" customHeight="1">
      <c r="B407" s="209" t="s">
        <v>727</v>
      </c>
      <c r="C407" s="209" t="s">
        <v>2425</v>
      </c>
      <c r="D407" s="446" t="s">
        <v>133</v>
      </c>
      <c r="E407" s="273">
        <v>0</v>
      </c>
      <c r="F407" s="274"/>
      <c r="G407" s="274">
        <f t="shared" si="1"/>
        <v>0</v>
      </c>
      <c r="H407" s="274">
        <v>0</v>
      </c>
      <c r="K407" s="274"/>
    </row>
    <row r="408" spans="2:11" ht="13.5" customHeight="1">
      <c r="B408" s="209" t="s">
        <v>727</v>
      </c>
      <c r="C408" s="209" t="s">
        <v>2425</v>
      </c>
      <c r="D408" s="447" t="s">
        <v>134</v>
      </c>
      <c r="E408" s="273">
        <v>0</v>
      </c>
      <c r="F408" s="274"/>
      <c r="G408" s="274">
        <f t="shared" si="1"/>
        <v>0</v>
      </c>
      <c r="H408" s="274">
        <v>0</v>
      </c>
      <c r="K408" s="274"/>
    </row>
    <row r="409" spans="2:11" ht="13.5" customHeight="1">
      <c r="B409" s="209" t="s">
        <v>727</v>
      </c>
      <c r="C409" s="209" t="s">
        <v>2425</v>
      </c>
      <c r="D409" s="448" t="s">
        <v>135</v>
      </c>
      <c r="E409" s="273">
        <v>0</v>
      </c>
      <c r="F409" s="274"/>
      <c r="G409" s="274">
        <f t="shared" si="1"/>
        <v>0</v>
      </c>
      <c r="H409" s="274">
        <v>0</v>
      </c>
      <c r="K409" s="274"/>
    </row>
    <row r="410" spans="2:11" ht="13.5" customHeight="1">
      <c r="B410" s="209" t="s">
        <v>727</v>
      </c>
      <c r="C410" s="209" t="s">
        <v>2425</v>
      </c>
      <c r="D410" s="449" t="s">
        <v>136</v>
      </c>
      <c r="E410" s="273">
        <v>0</v>
      </c>
      <c r="F410" s="274"/>
      <c r="G410" s="274">
        <f t="shared" si="1"/>
        <v>0</v>
      </c>
      <c r="H410" s="274">
        <v>0</v>
      </c>
      <c r="K410" s="274"/>
    </row>
    <row r="411" spans="2:11" ht="13.5" customHeight="1">
      <c r="B411" s="209" t="s">
        <v>727</v>
      </c>
      <c r="C411" s="209" t="s">
        <v>2425</v>
      </c>
      <c r="D411" s="450" t="s">
        <v>137</v>
      </c>
      <c r="E411" s="273">
        <v>0</v>
      </c>
      <c r="F411" s="274"/>
      <c r="G411" s="274">
        <f t="shared" si="1"/>
        <v>0</v>
      </c>
      <c r="H411" s="274">
        <v>0</v>
      </c>
      <c r="K411" s="274"/>
    </row>
    <row r="412" spans="2:11" ht="13.5" customHeight="1">
      <c r="B412" s="209" t="s">
        <v>727</v>
      </c>
      <c r="C412" s="209" t="s">
        <v>2425</v>
      </c>
      <c r="D412" s="451" t="s">
        <v>138</v>
      </c>
      <c r="E412" s="273">
        <v>0</v>
      </c>
      <c r="F412" s="274"/>
      <c r="G412" s="274">
        <f t="shared" si="1"/>
        <v>0</v>
      </c>
      <c r="H412" s="274">
        <v>0</v>
      </c>
      <c r="K412" s="274"/>
    </row>
    <row r="413" spans="2:11" ht="13.5" customHeight="1">
      <c r="B413" s="209" t="s">
        <v>727</v>
      </c>
      <c r="C413" s="209" t="s">
        <v>2425</v>
      </c>
      <c r="D413" s="452" t="s">
        <v>139</v>
      </c>
      <c r="E413" s="273">
        <v>0</v>
      </c>
      <c r="F413" s="274"/>
      <c r="G413" s="274">
        <f t="shared" si="1"/>
        <v>0</v>
      </c>
      <c r="H413" s="274">
        <v>0</v>
      </c>
      <c r="K413" s="274"/>
    </row>
    <row r="414" spans="2:11" ht="13.5" customHeight="1">
      <c r="B414" s="209" t="s">
        <v>727</v>
      </c>
      <c r="C414" s="209" t="s">
        <v>2425</v>
      </c>
      <c r="D414" s="216" t="s">
        <v>140</v>
      </c>
      <c r="E414" s="273">
        <v>0</v>
      </c>
      <c r="F414" s="274"/>
      <c r="G414" s="274">
        <f t="shared" si="1"/>
        <v>0</v>
      </c>
      <c r="H414" s="274">
        <v>0</v>
      </c>
      <c r="K414" s="274"/>
    </row>
    <row r="415" spans="2:11" ht="13.5" customHeight="1">
      <c r="B415" s="209" t="s">
        <v>727</v>
      </c>
      <c r="C415" s="209" t="s">
        <v>2425</v>
      </c>
      <c r="D415" s="453" t="s">
        <v>141</v>
      </c>
      <c r="E415" s="273">
        <v>0</v>
      </c>
      <c r="F415" s="274"/>
      <c r="G415" s="274">
        <f t="shared" si="1"/>
        <v>0</v>
      </c>
      <c r="H415" s="274">
        <v>0</v>
      </c>
      <c r="K415" s="274"/>
    </row>
    <row r="416" spans="2:11" ht="13.5" customHeight="1">
      <c r="B416" s="209" t="s">
        <v>729</v>
      </c>
      <c r="C416" s="209" t="s">
        <v>2426</v>
      </c>
      <c r="D416" s="446" t="s">
        <v>133</v>
      </c>
      <c r="E416" s="273">
        <v>0</v>
      </c>
      <c r="F416" s="274"/>
      <c r="G416" s="274">
        <f t="shared" si="1"/>
        <v>0</v>
      </c>
      <c r="H416" s="274">
        <v>0</v>
      </c>
      <c r="K416" s="274"/>
    </row>
    <row r="417" spans="2:11" ht="13.5" customHeight="1">
      <c r="B417" s="209" t="s">
        <v>729</v>
      </c>
      <c r="C417" s="209" t="s">
        <v>2426</v>
      </c>
      <c r="D417" s="447" t="s">
        <v>134</v>
      </c>
      <c r="E417" s="273">
        <v>0</v>
      </c>
      <c r="F417" s="274"/>
      <c r="G417" s="274">
        <f t="shared" si="1"/>
        <v>0</v>
      </c>
      <c r="H417" s="274">
        <v>0</v>
      </c>
      <c r="K417" s="274"/>
    </row>
    <row r="418" spans="2:11" ht="13.5" customHeight="1">
      <c r="B418" s="209" t="s">
        <v>729</v>
      </c>
      <c r="C418" s="209" t="s">
        <v>2426</v>
      </c>
      <c r="D418" s="448" t="s">
        <v>135</v>
      </c>
      <c r="E418" s="273">
        <v>0</v>
      </c>
      <c r="F418" s="274"/>
      <c r="G418" s="274">
        <f t="shared" si="1"/>
        <v>0</v>
      </c>
      <c r="H418" s="274">
        <v>0</v>
      </c>
      <c r="K418" s="274"/>
    </row>
    <row r="419" spans="2:11" ht="13.5" customHeight="1">
      <c r="B419" s="209" t="s">
        <v>729</v>
      </c>
      <c r="C419" s="209" t="s">
        <v>2426</v>
      </c>
      <c r="D419" s="449" t="s">
        <v>136</v>
      </c>
      <c r="E419" s="273">
        <v>0</v>
      </c>
      <c r="F419" s="274"/>
      <c r="G419" s="274">
        <f t="shared" si="1"/>
        <v>0</v>
      </c>
      <c r="H419" s="274">
        <v>0</v>
      </c>
      <c r="K419" s="274"/>
    </row>
    <row r="420" spans="2:11" ht="13.5" customHeight="1">
      <c r="B420" s="209" t="s">
        <v>729</v>
      </c>
      <c r="C420" s="209" t="s">
        <v>2426</v>
      </c>
      <c r="D420" s="450" t="s">
        <v>137</v>
      </c>
      <c r="E420" s="273">
        <v>0</v>
      </c>
      <c r="F420" s="274"/>
      <c r="G420" s="274">
        <f t="shared" si="1"/>
        <v>0</v>
      </c>
      <c r="H420" s="274">
        <v>0</v>
      </c>
      <c r="K420" s="274"/>
    </row>
    <row r="421" spans="2:11" ht="13.5" customHeight="1">
      <c r="B421" s="209" t="s">
        <v>729</v>
      </c>
      <c r="C421" s="209" t="s">
        <v>2426</v>
      </c>
      <c r="D421" s="451" t="s">
        <v>138</v>
      </c>
      <c r="E421" s="273">
        <v>0</v>
      </c>
      <c r="F421" s="274"/>
      <c r="G421" s="274">
        <f t="shared" si="1"/>
        <v>0</v>
      </c>
      <c r="H421" s="274">
        <v>0</v>
      </c>
      <c r="K421" s="274"/>
    </row>
    <row r="422" spans="2:11" ht="13.5" customHeight="1">
      <c r="B422" s="209" t="s">
        <v>729</v>
      </c>
      <c r="C422" s="209" t="s">
        <v>2426</v>
      </c>
      <c r="D422" s="452" t="s">
        <v>139</v>
      </c>
      <c r="E422" s="273">
        <v>0</v>
      </c>
      <c r="F422" s="274"/>
      <c r="G422" s="274">
        <f t="shared" si="1"/>
        <v>0</v>
      </c>
      <c r="H422" s="274">
        <v>0</v>
      </c>
      <c r="K422" s="274"/>
    </row>
    <row r="423" spans="2:11" ht="13.5" customHeight="1">
      <c r="B423" s="209" t="s">
        <v>729</v>
      </c>
      <c r="C423" s="209" t="s">
        <v>2426</v>
      </c>
      <c r="D423" s="216" t="s">
        <v>140</v>
      </c>
      <c r="E423" s="273">
        <v>0</v>
      </c>
      <c r="F423" s="274"/>
      <c r="G423" s="274">
        <f t="shared" si="1"/>
        <v>0</v>
      </c>
      <c r="H423" s="274">
        <v>0</v>
      </c>
      <c r="K423" s="274"/>
    </row>
    <row r="424" spans="2:11" ht="13.5" customHeight="1">
      <c r="B424" s="209" t="s">
        <v>729</v>
      </c>
      <c r="C424" s="209" t="s">
        <v>2426</v>
      </c>
      <c r="D424" s="453" t="s">
        <v>141</v>
      </c>
      <c r="E424" s="273">
        <v>0</v>
      </c>
      <c r="F424" s="274"/>
      <c r="G424" s="274">
        <f t="shared" si="1"/>
        <v>0</v>
      </c>
      <c r="H424" s="274">
        <v>0</v>
      </c>
      <c r="K424" s="274"/>
    </row>
    <row r="425" spans="2:11" ht="13.5" customHeight="1">
      <c r="B425" s="209" t="s">
        <v>731</v>
      </c>
      <c r="C425" s="209" t="s">
        <v>2427</v>
      </c>
      <c r="D425" s="446" t="s">
        <v>133</v>
      </c>
      <c r="E425" s="273">
        <v>0</v>
      </c>
      <c r="F425" s="274"/>
      <c r="G425" s="274">
        <f t="shared" si="1"/>
        <v>0</v>
      </c>
      <c r="H425" s="274">
        <v>0</v>
      </c>
      <c r="K425" s="274"/>
    </row>
    <row r="426" spans="2:11" ht="13.5" customHeight="1">
      <c r="B426" s="209" t="s">
        <v>731</v>
      </c>
      <c r="C426" s="209" t="s">
        <v>2427</v>
      </c>
      <c r="D426" s="447" t="s">
        <v>134</v>
      </c>
      <c r="E426" s="273">
        <v>0</v>
      </c>
      <c r="F426" s="274"/>
      <c r="G426" s="274">
        <f t="shared" si="1"/>
        <v>0</v>
      </c>
      <c r="H426" s="274">
        <v>0</v>
      </c>
      <c r="K426" s="274"/>
    </row>
    <row r="427" spans="2:11" ht="13.5" customHeight="1">
      <c r="B427" s="209" t="s">
        <v>731</v>
      </c>
      <c r="C427" s="209" t="s">
        <v>2427</v>
      </c>
      <c r="D427" s="448" t="s">
        <v>135</v>
      </c>
      <c r="E427" s="273">
        <v>0</v>
      </c>
      <c r="F427" s="274"/>
      <c r="G427" s="274">
        <f t="shared" si="1"/>
        <v>0</v>
      </c>
      <c r="H427" s="274">
        <v>0</v>
      </c>
      <c r="K427" s="274"/>
    </row>
    <row r="428" spans="2:11" ht="13.5" customHeight="1">
      <c r="B428" s="209" t="s">
        <v>731</v>
      </c>
      <c r="C428" s="209" t="s">
        <v>2427</v>
      </c>
      <c r="D428" s="449" t="s">
        <v>136</v>
      </c>
      <c r="E428" s="273">
        <v>0</v>
      </c>
      <c r="F428" s="274"/>
      <c r="G428" s="274">
        <f t="shared" si="1"/>
        <v>0</v>
      </c>
      <c r="H428" s="274">
        <v>0</v>
      </c>
      <c r="K428" s="274"/>
    </row>
    <row r="429" spans="2:11" ht="13.5" customHeight="1">
      <c r="B429" s="209" t="s">
        <v>731</v>
      </c>
      <c r="C429" s="209" t="s">
        <v>2427</v>
      </c>
      <c r="D429" s="450" t="s">
        <v>137</v>
      </c>
      <c r="E429" s="273">
        <v>0</v>
      </c>
      <c r="F429" s="274"/>
      <c r="G429" s="274">
        <f t="shared" si="1"/>
        <v>0</v>
      </c>
      <c r="H429" s="274">
        <v>0</v>
      </c>
      <c r="K429" s="274"/>
    </row>
    <row r="430" spans="2:11" ht="13.5" customHeight="1">
      <c r="B430" s="209" t="s">
        <v>731</v>
      </c>
      <c r="C430" s="209" t="s">
        <v>2427</v>
      </c>
      <c r="D430" s="451" t="s">
        <v>138</v>
      </c>
      <c r="E430" s="273">
        <v>0</v>
      </c>
      <c r="F430" s="274"/>
      <c r="G430" s="274">
        <f t="shared" si="1"/>
        <v>0</v>
      </c>
      <c r="H430" s="274">
        <v>0</v>
      </c>
      <c r="K430" s="274"/>
    </row>
    <row r="431" spans="2:11" ht="13.5" customHeight="1">
      <c r="B431" s="209" t="s">
        <v>731</v>
      </c>
      <c r="C431" s="209" t="s">
        <v>2427</v>
      </c>
      <c r="D431" s="452" t="s">
        <v>139</v>
      </c>
      <c r="E431" s="273">
        <v>0</v>
      </c>
      <c r="F431" s="274"/>
      <c r="G431" s="274">
        <f t="shared" si="1"/>
        <v>0</v>
      </c>
      <c r="H431" s="274">
        <v>0</v>
      </c>
      <c r="K431" s="274"/>
    </row>
    <row r="432" spans="2:11" ht="13.5" customHeight="1">
      <c r="B432" s="209" t="s">
        <v>731</v>
      </c>
      <c r="C432" s="209" t="s">
        <v>2427</v>
      </c>
      <c r="D432" s="216" t="s">
        <v>140</v>
      </c>
      <c r="E432" s="273">
        <v>0</v>
      </c>
      <c r="F432" s="274"/>
      <c r="G432" s="274">
        <f t="shared" si="1"/>
        <v>0</v>
      </c>
      <c r="H432" s="274">
        <v>0</v>
      </c>
      <c r="K432" s="274"/>
    </row>
    <row r="433" spans="2:11" ht="13.5" customHeight="1">
      <c r="B433" s="209" t="s">
        <v>731</v>
      </c>
      <c r="C433" s="209" t="s">
        <v>2427</v>
      </c>
      <c r="D433" s="453" t="s">
        <v>141</v>
      </c>
      <c r="E433" s="273">
        <v>0</v>
      </c>
      <c r="F433" s="274"/>
      <c r="G433" s="274">
        <f t="shared" si="1"/>
        <v>0</v>
      </c>
      <c r="H433" s="274">
        <v>0</v>
      </c>
      <c r="K433" s="274"/>
    </row>
    <row r="434" spans="2:11" ht="13.5" customHeight="1">
      <c r="B434" s="209" t="s">
        <v>733</v>
      </c>
      <c r="C434" s="209" t="s">
        <v>2428</v>
      </c>
      <c r="D434" s="446" t="s">
        <v>133</v>
      </c>
      <c r="E434" s="273">
        <v>0</v>
      </c>
      <c r="F434" s="274"/>
      <c r="G434" s="274">
        <f t="shared" si="1"/>
        <v>0</v>
      </c>
      <c r="H434" s="274">
        <v>0</v>
      </c>
      <c r="K434" s="274"/>
    </row>
    <row r="435" spans="2:11" ht="13.5" customHeight="1">
      <c r="B435" s="209" t="s">
        <v>733</v>
      </c>
      <c r="C435" s="209" t="s">
        <v>2428</v>
      </c>
      <c r="D435" s="447" t="s">
        <v>134</v>
      </c>
      <c r="E435" s="273">
        <v>0</v>
      </c>
      <c r="F435" s="274"/>
      <c r="G435" s="274">
        <f t="shared" si="1"/>
        <v>0</v>
      </c>
      <c r="H435" s="274">
        <v>0</v>
      </c>
      <c r="K435" s="274"/>
    </row>
    <row r="436" spans="2:11" ht="13.5" customHeight="1">
      <c r="B436" s="209" t="s">
        <v>733</v>
      </c>
      <c r="C436" s="209" t="s">
        <v>2428</v>
      </c>
      <c r="D436" s="448" t="s">
        <v>135</v>
      </c>
      <c r="E436" s="273">
        <v>0</v>
      </c>
      <c r="F436" s="274"/>
      <c r="G436" s="274">
        <f t="shared" si="1"/>
        <v>0</v>
      </c>
      <c r="H436" s="274">
        <v>0</v>
      </c>
      <c r="K436" s="274"/>
    </row>
    <row r="437" spans="2:11" ht="13.5" customHeight="1">
      <c r="B437" s="209" t="s">
        <v>733</v>
      </c>
      <c r="C437" s="209" t="s">
        <v>2428</v>
      </c>
      <c r="D437" s="449" t="s">
        <v>136</v>
      </c>
      <c r="E437" s="273">
        <v>0</v>
      </c>
      <c r="F437" s="274"/>
      <c r="G437" s="274">
        <f t="shared" si="1"/>
        <v>0</v>
      </c>
      <c r="H437" s="274">
        <v>0</v>
      </c>
      <c r="K437" s="274"/>
    </row>
    <row r="438" spans="2:11" ht="13.5" customHeight="1">
      <c r="B438" s="209" t="s">
        <v>733</v>
      </c>
      <c r="C438" s="209" t="s">
        <v>2428</v>
      </c>
      <c r="D438" s="450" t="s">
        <v>137</v>
      </c>
      <c r="E438" s="273">
        <v>0</v>
      </c>
      <c r="F438" s="274"/>
      <c r="G438" s="274">
        <f t="shared" si="1"/>
        <v>0</v>
      </c>
      <c r="H438" s="274">
        <v>0</v>
      </c>
      <c r="K438" s="274"/>
    </row>
    <row r="439" spans="2:11" ht="13.5" customHeight="1">
      <c r="B439" s="209" t="s">
        <v>733</v>
      </c>
      <c r="C439" s="209" t="s">
        <v>2428</v>
      </c>
      <c r="D439" s="451" t="s">
        <v>138</v>
      </c>
      <c r="E439" s="273">
        <v>0</v>
      </c>
      <c r="F439" s="274"/>
      <c r="G439" s="274">
        <f t="shared" si="1"/>
        <v>0</v>
      </c>
      <c r="H439" s="274">
        <v>0</v>
      </c>
      <c r="K439" s="274"/>
    </row>
    <row r="440" spans="2:11" ht="13.5" customHeight="1">
      <c r="B440" s="209" t="s">
        <v>733</v>
      </c>
      <c r="C440" s="209" t="s">
        <v>2428</v>
      </c>
      <c r="D440" s="452" t="s">
        <v>139</v>
      </c>
      <c r="E440" s="273">
        <v>0</v>
      </c>
      <c r="F440" s="274"/>
      <c r="G440" s="274">
        <f t="shared" si="1"/>
        <v>0</v>
      </c>
      <c r="H440" s="274">
        <v>0</v>
      </c>
      <c r="K440" s="274"/>
    </row>
    <row r="441" spans="2:11" ht="13.5" customHeight="1">
      <c r="B441" s="209" t="s">
        <v>733</v>
      </c>
      <c r="C441" s="209" t="s">
        <v>2428</v>
      </c>
      <c r="D441" s="216" t="s">
        <v>140</v>
      </c>
      <c r="E441" s="273">
        <v>0</v>
      </c>
      <c r="F441" s="274"/>
      <c r="G441" s="274">
        <f t="shared" si="1"/>
        <v>0</v>
      </c>
      <c r="H441" s="274">
        <v>0</v>
      </c>
      <c r="K441" s="274"/>
    </row>
    <row r="442" spans="2:11" ht="13.5" customHeight="1">
      <c r="B442" s="209" t="s">
        <v>733</v>
      </c>
      <c r="C442" s="209" t="s">
        <v>2428</v>
      </c>
      <c r="D442" s="453" t="s">
        <v>141</v>
      </c>
      <c r="E442" s="273">
        <v>0</v>
      </c>
      <c r="F442" s="274"/>
      <c r="G442" s="274">
        <f t="shared" si="1"/>
        <v>0</v>
      </c>
      <c r="H442" s="274">
        <v>0</v>
      </c>
      <c r="K442" s="274"/>
    </row>
    <row r="443" spans="2:11" ht="13.5" customHeight="1">
      <c r="B443" s="209" t="s">
        <v>1059</v>
      </c>
      <c r="C443" s="209" t="s">
        <v>2429</v>
      </c>
      <c r="D443" s="446" t="s">
        <v>133</v>
      </c>
      <c r="E443" s="273">
        <v>0</v>
      </c>
      <c r="F443" s="274"/>
      <c r="G443" s="274">
        <f t="shared" si="1"/>
        <v>0</v>
      </c>
      <c r="H443" s="274">
        <v>0</v>
      </c>
      <c r="K443" s="274"/>
    </row>
    <row r="444" spans="2:11" ht="13.5" customHeight="1">
      <c r="B444" s="209" t="s">
        <v>1059</v>
      </c>
      <c r="C444" s="209" t="s">
        <v>2429</v>
      </c>
      <c r="D444" s="447" t="s">
        <v>134</v>
      </c>
      <c r="E444" s="273">
        <v>0</v>
      </c>
      <c r="F444" s="274"/>
      <c r="G444" s="274">
        <f t="shared" si="1"/>
        <v>0</v>
      </c>
      <c r="H444" s="274">
        <v>0</v>
      </c>
      <c r="K444" s="274"/>
    </row>
    <row r="445" spans="2:11" ht="13.5" customHeight="1">
      <c r="B445" s="209" t="s">
        <v>1059</v>
      </c>
      <c r="C445" s="209" t="s">
        <v>2429</v>
      </c>
      <c r="D445" s="448" t="s">
        <v>135</v>
      </c>
      <c r="E445" s="273">
        <v>0</v>
      </c>
      <c r="F445" s="274"/>
      <c r="G445" s="274">
        <f t="shared" si="1"/>
        <v>0</v>
      </c>
      <c r="H445" s="274">
        <v>0</v>
      </c>
      <c r="K445" s="274"/>
    </row>
    <row r="446" spans="2:11" ht="13.5" customHeight="1">
      <c r="B446" s="209" t="s">
        <v>1059</v>
      </c>
      <c r="C446" s="209" t="s">
        <v>2429</v>
      </c>
      <c r="D446" s="449" t="s">
        <v>136</v>
      </c>
      <c r="E446" s="273">
        <v>0</v>
      </c>
      <c r="F446" s="274"/>
      <c r="G446" s="274">
        <f t="shared" si="1"/>
        <v>0</v>
      </c>
      <c r="H446" s="274">
        <v>0</v>
      </c>
      <c r="K446" s="274"/>
    </row>
    <row r="447" spans="2:11" ht="13.5" customHeight="1">
      <c r="B447" s="209" t="s">
        <v>1059</v>
      </c>
      <c r="C447" s="209" t="s">
        <v>2429</v>
      </c>
      <c r="D447" s="450" t="s">
        <v>137</v>
      </c>
      <c r="E447" s="273">
        <v>0</v>
      </c>
      <c r="F447" s="274"/>
      <c r="G447" s="274">
        <f t="shared" si="1"/>
        <v>0</v>
      </c>
      <c r="H447" s="274">
        <v>0</v>
      </c>
      <c r="K447" s="274"/>
    </row>
    <row r="448" spans="2:11" ht="13.5" customHeight="1">
      <c r="B448" s="209" t="s">
        <v>1059</v>
      </c>
      <c r="C448" s="209" t="s">
        <v>2429</v>
      </c>
      <c r="D448" s="451" t="s">
        <v>138</v>
      </c>
      <c r="E448" s="273">
        <v>0</v>
      </c>
      <c r="F448" s="274"/>
      <c r="G448" s="274">
        <f t="shared" si="1"/>
        <v>0</v>
      </c>
      <c r="H448" s="274">
        <v>0</v>
      </c>
      <c r="K448" s="274"/>
    </row>
    <row r="449" spans="2:11" ht="13.5" customHeight="1">
      <c r="B449" s="209" t="s">
        <v>1059</v>
      </c>
      <c r="C449" s="209" t="s">
        <v>2429</v>
      </c>
      <c r="D449" s="452" t="s">
        <v>139</v>
      </c>
      <c r="E449" s="273">
        <v>0</v>
      </c>
      <c r="F449" s="274"/>
      <c r="G449" s="274">
        <f t="shared" si="1"/>
        <v>0</v>
      </c>
      <c r="H449" s="274">
        <v>0</v>
      </c>
      <c r="K449" s="274"/>
    </row>
    <row r="450" spans="2:11" ht="13.5" customHeight="1">
      <c r="B450" s="209" t="s">
        <v>1059</v>
      </c>
      <c r="C450" s="209" t="s">
        <v>2429</v>
      </c>
      <c r="D450" s="216" t="s">
        <v>140</v>
      </c>
      <c r="E450" s="273">
        <v>0</v>
      </c>
      <c r="F450" s="274"/>
      <c r="G450" s="274">
        <f t="shared" si="1"/>
        <v>0</v>
      </c>
      <c r="H450" s="274">
        <v>0</v>
      </c>
      <c r="K450" s="274"/>
    </row>
    <row r="451" spans="2:11" ht="13.5" customHeight="1">
      <c r="B451" s="209" t="s">
        <v>1059</v>
      </c>
      <c r="C451" s="209" t="s">
        <v>2429</v>
      </c>
      <c r="D451" s="453" t="s">
        <v>141</v>
      </c>
      <c r="E451" s="273">
        <v>0</v>
      </c>
      <c r="F451" s="274"/>
      <c r="G451" s="274">
        <f t="shared" si="1"/>
        <v>0</v>
      </c>
      <c r="H451" s="274">
        <v>0</v>
      </c>
      <c r="K451" s="274"/>
    </row>
    <row r="452" spans="2:11" ht="13.5" customHeight="1">
      <c r="B452" s="209" t="s">
        <v>1061</v>
      </c>
      <c r="C452" s="209" t="s">
        <v>2430</v>
      </c>
      <c r="D452" s="446" t="s">
        <v>133</v>
      </c>
      <c r="E452" s="273">
        <v>0</v>
      </c>
      <c r="F452" s="274"/>
      <c r="G452" s="274">
        <f t="shared" si="1"/>
        <v>0</v>
      </c>
      <c r="H452" s="274">
        <v>0</v>
      </c>
      <c r="K452" s="274"/>
    </row>
    <row r="453" spans="2:11" ht="13.5" customHeight="1">
      <c r="B453" s="209" t="s">
        <v>1061</v>
      </c>
      <c r="C453" s="209" t="s">
        <v>2430</v>
      </c>
      <c r="D453" s="447" t="s">
        <v>134</v>
      </c>
      <c r="E453" s="273">
        <v>0</v>
      </c>
      <c r="F453" s="274"/>
      <c r="G453" s="274">
        <f t="shared" si="1"/>
        <v>0</v>
      </c>
      <c r="H453" s="274">
        <v>0</v>
      </c>
      <c r="K453" s="274"/>
    </row>
    <row r="454" spans="2:11" ht="13.5" customHeight="1">
      <c r="B454" s="209" t="s">
        <v>1061</v>
      </c>
      <c r="C454" s="209" t="s">
        <v>2430</v>
      </c>
      <c r="D454" s="448" t="s">
        <v>135</v>
      </c>
      <c r="E454" s="273">
        <v>0</v>
      </c>
      <c r="F454" s="274"/>
      <c r="G454" s="274">
        <f t="shared" si="1"/>
        <v>0</v>
      </c>
      <c r="H454" s="274">
        <v>0</v>
      </c>
      <c r="K454" s="274"/>
    </row>
    <row r="455" spans="2:11" ht="13.5" customHeight="1">
      <c r="B455" s="209" t="s">
        <v>1061</v>
      </c>
      <c r="C455" s="209" t="s">
        <v>2430</v>
      </c>
      <c r="D455" s="449" t="s">
        <v>136</v>
      </c>
      <c r="E455" s="273">
        <v>0</v>
      </c>
      <c r="F455" s="274"/>
      <c r="G455" s="274">
        <f t="shared" si="1"/>
        <v>0</v>
      </c>
      <c r="H455" s="274">
        <v>0</v>
      </c>
      <c r="K455" s="274"/>
    </row>
    <row r="456" spans="2:11" ht="13.5" customHeight="1">
      <c r="B456" s="209" t="s">
        <v>1061</v>
      </c>
      <c r="C456" s="209" t="s">
        <v>2430</v>
      </c>
      <c r="D456" s="450" t="s">
        <v>137</v>
      </c>
      <c r="E456" s="273">
        <v>0</v>
      </c>
      <c r="F456" s="274"/>
      <c r="G456" s="274">
        <f t="shared" si="1"/>
        <v>0</v>
      </c>
      <c r="H456" s="274">
        <v>0</v>
      </c>
      <c r="K456" s="274"/>
    </row>
    <row r="457" spans="2:11" ht="13.5" customHeight="1">
      <c r="B457" s="209" t="s">
        <v>1061</v>
      </c>
      <c r="C457" s="209" t="s">
        <v>2430</v>
      </c>
      <c r="D457" s="451" t="s">
        <v>138</v>
      </c>
      <c r="E457" s="273">
        <v>0</v>
      </c>
      <c r="F457" s="274"/>
      <c r="G457" s="274">
        <f t="shared" si="1"/>
        <v>0</v>
      </c>
      <c r="H457" s="274">
        <v>0</v>
      </c>
      <c r="K457" s="274"/>
    </row>
    <row r="458" spans="2:11" ht="13.5" customHeight="1">
      <c r="B458" s="209" t="s">
        <v>1061</v>
      </c>
      <c r="C458" s="209" t="s">
        <v>2430</v>
      </c>
      <c r="D458" s="452" t="s">
        <v>139</v>
      </c>
      <c r="E458" s="273">
        <v>0</v>
      </c>
      <c r="F458" s="274"/>
      <c r="G458" s="274">
        <f t="shared" si="1"/>
        <v>0</v>
      </c>
      <c r="H458" s="274">
        <v>0</v>
      </c>
      <c r="K458" s="274"/>
    </row>
    <row r="459" spans="2:11" ht="13.5" customHeight="1">
      <c r="B459" s="209" t="s">
        <v>1061</v>
      </c>
      <c r="C459" s="209" t="s">
        <v>2430</v>
      </c>
      <c r="D459" s="216" t="s">
        <v>140</v>
      </c>
      <c r="E459" s="273">
        <v>0</v>
      </c>
      <c r="F459" s="274"/>
      <c r="G459" s="274">
        <f t="shared" si="1"/>
        <v>0</v>
      </c>
      <c r="H459" s="274">
        <v>0</v>
      </c>
      <c r="K459" s="274"/>
    </row>
    <row r="460" spans="2:11" ht="13.5" customHeight="1">
      <c r="B460" s="209" t="s">
        <v>1061</v>
      </c>
      <c r="C460" s="209" t="s">
        <v>2430</v>
      </c>
      <c r="D460" s="453" t="s">
        <v>141</v>
      </c>
      <c r="E460" s="273">
        <v>0</v>
      </c>
      <c r="F460" s="274"/>
      <c r="G460" s="274">
        <f t="shared" si="1"/>
        <v>0</v>
      </c>
      <c r="H460" s="274">
        <v>0</v>
      </c>
      <c r="K460" s="274"/>
    </row>
    <row r="461" spans="2:11" ht="13.5" customHeight="1">
      <c r="B461" s="209" t="s">
        <v>1063</v>
      </c>
      <c r="C461" s="209" t="s">
        <v>2431</v>
      </c>
      <c r="D461" s="446" t="s">
        <v>133</v>
      </c>
      <c r="E461" s="273">
        <v>0</v>
      </c>
      <c r="F461" s="274"/>
      <c r="G461" s="274">
        <f t="shared" si="1"/>
        <v>0</v>
      </c>
      <c r="H461" s="274">
        <v>0</v>
      </c>
      <c r="K461" s="274"/>
    </row>
    <row r="462" spans="2:11" ht="13.5" customHeight="1">
      <c r="B462" s="209" t="s">
        <v>1063</v>
      </c>
      <c r="C462" s="209" t="s">
        <v>2431</v>
      </c>
      <c r="D462" s="447" t="s">
        <v>134</v>
      </c>
      <c r="E462" s="273">
        <v>0</v>
      </c>
      <c r="F462" s="274"/>
      <c r="G462" s="274">
        <f t="shared" si="1"/>
        <v>0</v>
      </c>
      <c r="H462" s="274">
        <v>0</v>
      </c>
      <c r="K462" s="274"/>
    </row>
    <row r="463" spans="2:11" ht="13.5" customHeight="1">
      <c r="B463" s="209" t="s">
        <v>1063</v>
      </c>
      <c r="C463" s="209" t="s">
        <v>2431</v>
      </c>
      <c r="D463" s="448" t="s">
        <v>135</v>
      </c>
      <c r="E463" s="273">
        <v>0</v>
      </c>
      <c r="F463" s="274"/>
      <c r="G463" s="274">
        <f t="shared" si="1"/>
        <v>0</v>
      </c>
      <c r="H463" s="274">
        <v>0</v>
      </c>
      <c r="K463" s="274"/>
    </row>
    <row r="464" spans="2:11" ht="13.5" customHeight="1">
      <c r="B464" s="209" t="s">
        <v>1063</v>
      </c>
      <c r="C464" s="209" t="s">
        <v>2431</v>
      </c>
      <c r="D464" s="449" t="s">
        <v>136</v>
      </c>
      <c r="E464" s="273">
        <v>0</v>
      </c>
      <c r="F464" s="274"/>
      <c r="G464" s="274">
        <f t="shared" si="1"/>
        <v>0</v>
      </c>
      <c r="H464" s="274">
        <v>0</v>
      </c>
      <c r="K464" s="274"/>
    </row>
    <row r="465" spans="2:11" ht="13.5" customHeight="1">
      <c r="B465" s="209" t="s">
        <v>1063</v>
      </c>
      <c r="C465" s="209" t="s">
        <v>2431</v>
      </c>
      <c r="D465" s="450" t="s">
        <v>137</v>
      </c>
      <c r="E465" s="273">
        <v>0</v>
      </c>
      <c r="F465" s="274"/>
      <c r="G465" s="274">
        <f t="shared" si="1"/>
        <v>0</v>
      </c>
      <c r="H465" s="274">
        <v>0</v>
      </c>
      <c r="K465" s="274"/>
    </row>
    <row r="466" spans="2:11" ht="13.5" customHeight="1">
      <c r="B466" s="209" t="s">
        <v>1063</v>
      </c>
      <c r="C466" s="209" t="s">
        <v>2431</v>
      </c>
      <c r="D466" s="451" t="s">
        <v>138</v>
      </c>
      <c r="E466" s="273">
        <v>0</v>
      </c>
      <c r="F466" s="274"/>
      <c r="G466" s="274">
        <f t="shared" si="1"/>
        <v>0</v>
      </c>
      <c r="H466" s="274">
        <v>0</v>
      </c>
      <c r="K466" s="274"/>
    </row>
    <row r="467" spans="2:11" ht="13.5" customHeight="1">
      <c r="B467" s="209" t="s">
        <v>1063</v>
      </c>
      <c r="C467" s="209" t="s">
        <v>2431</v>
      </c>
      <c r="D467" s="452" t="s">
        <v>139</v>
      </c>
      <c r="E467" s="273">
        <v>0</v>
      </c>
      <c r="F467" s="274"/>
      <c r="G467" s="274">
        <f t="shared" si="1"/>
        <v>0</v>
      </c>
      <c r="H467" s="274">
        <v>0</v>
      </c>
      <c r="K467" s="274"/>
    </row>
    <row r="468" spans="2:11" ht="13.5" customHeight="1">
      <c r="B468" s="209" t="s">
        <v>1063</v>
      </c>
      <c r="C468" s="209" t="s">
        <v>2431</v>
      </c>
      <c r="D468" s="216" t="s">
        <v>140</v>
      </c>
      <c r="E468" s="273">
        <v>0</v>
      </c>
      <c r="F468" s="274"/>
      <c r="G468" s="274">
        <f t="shared" si="1"/>
        <v>0</v>
      </c>
      <c r="H468" s="274">
        <v>0</v>
      </c>
      <c r="K468" s="274"/>
    </row>
    <row r="469" spans="2:11" ht="13.5" customHeight="1">
      <c r="B469" s="209" t="s">
        <v>1063</v>
      </c>
      <c r="C469" s="209" t="s">
        <v>2431</v>
      </c>
      <c r="D469" s="453" t="s">
        <v>141</v>
      </c>
      <c r="E469" s="273">
        <v>0</v>
      </c>
      <c r="F469" s="274"/>
      <c r="G469" s="274">
        <f t="shared" si="1"/>
        <v>0</v>
      </c>
      <c r="H469" s="274">
        <v>0</v>
      </c>
      <c r="K469" s="274"/>
    </row>
    <row r="470" spans="2:11" ht="13.5" customHeight="1">
      <c r="B470" s="209" t="s">
        <v>1065</v>
      </c>
      <c r="C470" s="209" t="s">
        <v>2432</v>
      </c>
      <c r="D470" s="446" t="s">
        <v>133</v>
      </c>
      <c r="E470" s="273">
        <v>0</v>
      </c>
      <c r="F470" s="274"/>
      <c r="G470" s="274">
        <f t="shared" si="1"/>
        <v>0</v>
      </c>
      <c r="H470" s="274">
        <v>0</v>
      </c>
      <c r="K470" s="274"/>
    </row>
    <row r="471" spans="2:11" ht="13.5" customHeight="1">
      <c r="B471" s="209" t="s">
        <v>1065</v>
      </c>
      <c r="C471" s="209" t="s">
        <v>2432</v>
      </c>
      <c r="D471" s="447" t="s">
        <v>134</v>
      </c>
      <c r="E471" s="273">
        <v>0</v>
      </c>
      <c r="F471" s="274"/>
      <c r="G471" s="274">
        <f t="shared" si="1"/>
        <v>0</v>
      </c>
      <c r="H471" s="274">
        <v>0</v>
      </c>
      <c r="K471" s="274"/>
    </row>
    <row r="472" spans="2:11" ht="13.5" customHeight="1">
      <c r="B472" s="209" t="s">
        <v>1065</v>
      </c>
      <c r="C472" s="209" t="s">
        <v>2432</v>
      </c>
      <c r="D472" s="448" t="s">
        <v>135</v>
      </c>
      <c r="E472" s="273">
        <v>0</v>
      </c>
      <c r="F472" s="274"/>
      <c r="G472" s="274">
        <f t="shared" si="1"/>
        <v>0</v>
      </c>
      <c r="H472" s="274">
        <v>0</v>
      </c>
      <c r="K472" s="274"/>
    </row>
    <row r="473" spans="2:11" ht="13.5" customHeight="1">
      <c r="B473" s="209" t="s">
        <v>1065</v>
      </c>
      <c r="C473" s="209" t="s">
        <v>2432</v>
      </c>
      <c r="D473" s="449" t="s">
        <v>136</v>
      </c>
      <c r="E473" s="273">
        <v>0</v>
      </c>
      <c r="F473" s="274"/>
      <c r="G473" s="274">
        <f t="shared" si="1"/>
        <v>0</v>
      </c>
      <c r="H473" s="274">
        <v>0</v>
      </c>
      <c r="K473" s="274"/>
    </row>
    <row r="474" spans="2:11" ht="13.5" customHeight="1">
      <c r="B474" s="209" t="s">
        <v>1065</v>
      </c>
      <c r="C474" s="209" t="s">
        <v>2432</v>
      </c>
      <c r="D474" s="450" t="s">
        <v>137</v>
      </c>
      <c r="E474" s="273">
        <v>0</v>
      </c>
      <c r="F474" s="274"/>
      <c r="G474" s="274">
        <f t="shared" si="1"/>
        <v>0</v>
      </c>
      <c r="H474" s="274">
        <v>0</v>
      </c>
      <c r="K474" s="274"/>
    </row>
    <row r="475" spans="2:11" ht="13.5" customHeight="1">
      <c r="B475" s="209" t="s">
        <v>1065</v>
      </c>
      <c r="C475" s="209" t="s">
        <v>2432</v>
      </c>
      <c r="D475" s="451" t="s">
        <v>138</v>
      </c>
      <c r="E475" s="273">
        <v>0</v>
      </c>
      <c r="F475" s="274"/>
      <c r="G475" s="274">
        <f t="shared" si="1"/>
        <v>0</v>
      </c>
      <c r="H475" s="274">
        <v>0</v>
      </c>
      <c r="K475" s="274"/>
    </row>
    <row r="476" spans="2:11" ht="13.5" customHeight="1">
      <c r="B476" s="209" t="s">
        <v>1065</v>
      </c>
      <c r="C476" s="209" t="s">
        <v>2432</v>
      </c>
      <c r="D476" s="452" t="s">
        <v>139</v>
      </c>
      <c r="E476" s="273">
        <v>0</v>
      </c>
      <c r="F476" s="274"/>
      <c r="G476" s="274">
        <f t="shared" si="1"/>
        <v>0</v>
      </c>
      <c r="H476" s="274">
        <v>0</v>
      </c>
      <c r="K476" s="274"/>
    </row>
    <row r="477" spans="2:11" ht="13.5" customHeight="1">
      <c r="B477" s="209" t="s">
        <v>1065</v>
      </c>
      <c r="C477" s="209" t="s">
        <v>2432</v>
      </c>
      <c r="D477" s="216" t="s">
        <v>140</v>
      </c>
      <c r="E477" s="273">
        <v>0</v>
      </c>
      <c r="F477" s="274"/>
      <c r="G477" s="274">
        <f t="shared" si="1"/>
        <v>0</v>
      </c>
      <c r="H477" s="274">
        <v>0</v>
      </c>
      <c r="K477" s="274"/>
    </row>
    <row r="478" spans="2:11" ht="13.5" customHeight="1">
      <c r="B478" s="209" t="s">
        <v>1065</v>
      </c>
      <c r="C478" s="209" t="s">
        <v>2432</v>
      </c>
      <c r="D478" s="453" t="s">
        <v>141</v>
      </c>
      <c r="E478" s="273">
        <v>0</v>
      </c>
      <c r="F478" s="274"/>
      <c r="G478" s="274">
        <f t="shared" si="1"/>
        <v>0</v>
      </c>
      <c r="H478" s="274">
        <v>0</v>
      </c>
      <c r="K478" s="274"/>
    </row>
    <row r="479" spans="2:11" ht="13.5" customHeight="1">
      <c r="B479" s="209" t="s">
        <v>890</v>
      </c>
      <c r="C479" s="209" t="s">
        <v>2433</v>
      </c>
      <c r="D479" s="446" t="s">
        <v>133</v>
      </c>
      <c r="E479" s="273">
        <v>0</v>
      </c>
      <c r="F479" s="274"/>
      <c r="G479" s="274">
        <f t="shared" si="1"/>
        <v>0</v>
      </c>
      <c r="H479" s="274">
        <v>0</v>
      </c>
      <c r="K479" s="274"/>
    </row>
    <row r="480" spans="2:11" ht="13.5" customHeight="1">
      <c r="B480" s="209" t="s">
        <v>890</v>
      </c>
      <c r="C480" s="209" t="s">
        <v>2433</v>
      </c>
      <c r="D480" s="447" t="s">
        <v>134</v>
      </c>
      <c r="E480" s="273">
        <v>0</v>
      </c>
      <c r="F480" s="274"/>
      <c r="G480" s="274">
        <f t="shared" si="1"/>
        <v>0</v>
      </c>
      <c r="H480" s="274">
        <v>0</v>
      </c>
      <c r="K480" s="274"/>
    </row>
    <row r="481" spans="2:11" ht="13.5" customHeight="1">
      <c r="B481" s="209" t="s">
        <v>890</v>
      </c>
      <c r="C481" s="209" t="s">
        <v>2433</v>
      </c>
      <c r="D481" s="448" t="s">
        <v>135</v>
      </c>
      <c r="E481" s="273">
        <v>0</v>
      </c>
      <c r="F481" s="274"/>
      <c r="G481" s="274">
        <f t="shared" si="1"/>
        <v>0</v>
      </c>
      <c r="H481" s="274">
        <v>0</v>
      </c>
      <c r="K481" s="274"/>
    </row>
    <row r="482" spans="2:11" ht="13.5" customHeight="1">
      <c r="B482" s="209" t="s">
        <v>890</v>
      </c>
      <c r="C482" s="209" t="s">
        <v>2433</v>
      </c>
      <c r="D482" s="449" t="s">
        <v>136</v>
      </c>
      <c r="E482" s="273">
        <v>0</v>
      </c>
      <c r="F482" s="274"/>
      <c r="G482" s="274">
        <f t="shared" si="1"/>
        <v>0</v>
      </c>
      <c r="H482" s="274">
        <v>0</v>
      </c>
      <c r="K482" s="274"/>
    </row>
    <row r="483" spans="2:11" ht="13.5" customHeight="1">
      <c r="B483" s="209" t="s">
        <v>890</v>
      </c>
      <c r="C483" s="209" t="s">
        <v>2433</v>
      </c>
      <c r="D483" s="450" t="s">
        <v>137</v>
      </c>
      <c r="E483" s="273">
        <v>0</v>
      </c>
      <c r="F483" s="274"/>
      <c r="G483" s="274">
        <f t="shared" si="1"/>
        <v>0</v>
      </c>
      <c r="H483" s="274">
        <v>0</v>
      </c>
      <c r="K483" s="274"/>
    </row>
    <row r="484" spans="2:11" ht="13.5" customHeight="1">
      <c r="B484" s="209" t="s">
        <v>890</v>
      </c>
      <c r="C484" s="209" t="s">
        <v>2433</v>
      </c>
      <c r="D484" s="451" t="s">
        <v>138</v>
      </c>
      <c r="E484" s="273">
        <v>0</v>
      </c>
      <c r="F484" s="274"/>
      <c r="G484" s="274">
        <f t="shared" si="1"/>
        <v>0</v>
      </c>
      <c r="H484" s="274">
        <v>0</v>
      </c>
      <c r="K484" s="274"/>
    </row>
    <row r="485" spans="2:11" ht="13.5" customHeight="1">
      <c r="B485" s="209" t="s">
        <v>890</v>
      </c>
      <c r="C485" s="209" t="s">
        <v>2433</v>
      </c>
      <c r="D485" s="452" t="s">
        <v>139</v>
      </c>
      <c r="E485" s="273">
        <v>0</v>
      </c>
      <c r="F485" s="274"/>
      <c r="G485" s="274">
        <f t="shared" si="1"/>
        <v>0</v>
      </c>
      <c r="H485" s="274">
        <v>0</v>
      </c>
      <c r="K485" s="274"/>
    </row>
    <row r="486" spans="2:11" ht="13.5" customHeight="1">
      <c r="B486" s="209" t="s">
        <v>890</v>
      </c>
      <c r="C486" s="209" t="s">
        <v>2433</v>
      </c>
      <c r="D486" s="216" t="s">
        <v>140</v>
      </c>
      <c r="E486" s="273">
        <v>0</v>
      </c>
      <c r="F486" s="274"/>
      <c r="G486" s="274">
        <f t="shared" si="1"/>
        <v>0</v>
      </c>
      <c r="H486" s="274">
        <v>0</v>
      </c>
      <c r="K486" s="274"/>
    </row>
    <row r="487" spans="2:11" ht="13.5" customHeight="1">
      <c r="B487" s="209" t="s">
        <v>890</v>
      </c>
      <c r="C487" s="209" t="s">
        <v>2433</v>
      </c>
      <c r="D487" s="453" t="s">
        <v>141</v>
      </c>
      <c r="E487" s="273">
        <v>0</v>
      </c>
      <c r="F487" s="274"/>
      <c r="G487" s="274">
        <f t="shared" si="1"/>
        <v>0</v>
      </c>
      <c r="H487" s="274">
        <v>0</v>
      </c>
      <c r="K487" s="274"/>
    </row>
    <row r="488" spans="2:11" ht="13.5" customHeight="1">
      <c r="B488" s="209" t="s">
        <v>892</v>
      </c>
      <c r="C488" s="209" t="s">
        <v>2434</v>
      </c>
      <c r="D488" s="446" t="s">
        <v>133</v>
      </c>
      <c r="E488" s="273">
        <v>0</v>
      </c>
      <c r="F488" s="274"/>
      <c r="G488" s="274">
        <f t="shared" si="1"/>
        <v>0</v>
      </c>
      <c r="H488" s="274">
        <v>0</v>
      </c>
      <c r="K488" s="274"/>
    </row>
    <row r="489" spans="2:11" ht="13.5" customHeight="1">
      <c r="B489" s="209" t="s">
        <v>892</v>
      </c>
      <c r="C489" s="209" t="s">
        <v>2434</v>
      </c>
      <c r="D489" s="447" t="s">
        <v>134</v>
      </c>
      <c r="E489" s="273">
        <v>0</v>
      </c>
      <c r="F489" s="274"/>
      <c r="G489" s="274">
        <f t="shared" si="1"/>
        <v>0</v>
      </c>
      <c r="H489" s="274">
        <v>0</v>
      </c>
      <c r="K489" s="274"/>
    </row>
    <row r="490" spans="2:11" ht="13.5" customHeight="1">
      <c r="B490" s="209" t="s">
        <v>892</v>
      </c>
      <c r="C490" s="209" t="s">
        <v>2434</v>
      </c>
      <c r="D490" s="448" t="s">
        <v>135</v>
      </c>
      <c r="E490" s="273">
        <v>0</v>
      </c>
      <c r="F490" s="274"/>
      <c r="G490" s="274">
        <f t="shared" si="1"/>
        <v>0</v>
      </c>
      <c r="H490" s="274">
        <v>0</v>
      </c>
      <c r="K490" s="274"/>
    </row>
    <row r="491" spans="2:11" ht="13.5" customHeight="1">
      <c r="B491" s="209" t="s">
        <v>892</v>
      </c>
      <c r="C491" s="209" t="s">
        <v>2434</v>
      </c>
      <c r="D491" s="449" t="s">
        <v>136</v>
      </c>
      <c r="E491" s="273">
        <v>0</v>
      </c>
      <c r="F491" s="274"/>
      <c r="G491" s="274">
        <f t="shared" si="1"/>
        <v>0</v>
      </c>
      <c r="H491" s="274">
        <v>0</v>
      </c>
      <c r="K491" s="274"/>
    </row>
    <row r="492" spans="2:11" ht="13.5" customHeight="1">
      <c r="B492" s="209" t="s">
        <v>892</v>
      </c>
      <c r="C492" s="209" t="s">
        <v>2434</v>
      </c>
      <c r="D492" s="450" t="s">
        <v>137</v>
      </c>
      <c r="E492" s="273">
        <v>0</v>
      </c>
      <c r="F492" s="274"/>
      <c r="G492" s="274">
        <f t="shared" si="1"/>
        <v>0</v>
      </c>
      <c r="H492" s="274">
        <v>0</v>
      </c>
      <c r="K492" s="274"/>
    </row>
    <row r="493" spans="2:11" ht="13.5" customHeight="1">
      <c r="B493" s="209" t="s">
        <v>892</v>
      </c>
      <c r="C493" s="209" t="s">
        <v>2434</v>
      </c>
      <c r="D493" s="451" t="s">
        <v>138</v>
      </c>
      <c r="E493" s="273">
        <v>0</v>
      </c>
      <c r="F493" s="274"/>
      <c r="G493" s="274">
        <f t="shared" si="1"/>
        <v>0</v>
      </c>
      <c r="H493" s="274">
        <v>0</v>
      </c>
      <c r="K493" s="274"/>
    </row>
    <row r="494" spans="2:11" ht="13.5" customHeight="1">
      <c r="B494" s="209" t="s">
        <v>892</v>
      </c>
      <c r="C494" s="209" t="s">
        <v>2434</v>
      </c>
      <c r="D494" s="452" t="s">
        <v>139</v>
      </c>
      <c r="E494" s="273">
        <v>0</v>
      </c>
      <c r="F494" s="274"/>
      <c r="G494" s="274">
        <f t="shared" si="1"/>
        <v>0</v>
      </c>
      <c r="H494" s="274">
        <v>0</v>
      </c>
      <c r="K494" s="274"/>
    </row>
    <row r="495" spans="2:11" ht="13.5" customHeight="1">
      <c r="B495" s="209" t="s">
        <v>892</v>
      </c>
      <c r="C495" s="209" t="s">
        <v>2434</v>
      </c>
      <c r="D495" s="216" t="s">
        <v>140</v>
      </c>
      <c r="E495" s="273">
        <v>0</v>
      </c>
      <c r="F495" s="274"/>
      <c r="G495" s="274">
        <f t="shared" si="1"/>
        <v>0</v>
      </c>
      <c r="H495" s="274">
        <v>0</v>
      </c>
      <c r="K495" s="274"/>
    </row>
    <row r="496" spans="2:11" ht="13.5" customHeight="1">
      <c r="B496" s="209" t="s">
        <v>892</v>
      </c>
      <c r="C496" s="209" t="s">
        <v>2434</v>
      </c>
      <c r="D496" s="453" t="s">
        <v>141</v>
      </c>
      <c r="E496" s="273">
        <v>0</v>
      </c>
      <c r="F496" s="274"/>
      <c r="G496" s="274">
        <f t="shared" si="1"/>
        <v>0</v>
      </c>
      <c r="H496" s="274">
        <v>0</v>
      </c>
      <c r="K496" s="274"/>
    </row>
    <row r="497" spans="2:11" ht="13.5" customHeight="1">
      <c r="B497" s="209" t="s">
        <v>894</v>
      </c>
      <c r="C497" s="209" t="s">
        <v>2435</v>
      </c>
      <c r="D497" s="446" t="s">
        <v>133</v>
      </c>
      <c r="E497" s="273">
        <v>0</v>
      </c>
      <c r="F497" s="274"/>
      <c r="G497" s="274">
        <f t="shared" si="1"/>
        <v>0</v>
      </c>
      <c r="H497" s="274">
        <v>0</v>
      </c>
      <c r="K497" s="274"/>
    </row>
    <row r="498" spans="2:11" ht="13.5" customHeight="1">
      <c r="B498" s="209" t="s">
        <v>894</v>
      </c>
      <c r="C498" s="209" t="s">
        <v>2435</v>
      </c>
      <c r="D498" s="447" t="s">
        <v>134</v>
      </c>
      <c r="E498" s="273">
        <v>0</v>
      </c>
      <c r="F498" s="274"/>
      <c r="G498" s="274">
        <f t="shared" si="1"/>
        <v>0</v>
      </c>
      <c r="H498" s="274">
        <v>0</v>
      </c>
      <c r="K498" s="274"/>
    </row>
    <row r="499" spans="2:11" ht="13.5" customHeight="1">
      <c r="B499" s="209" t="s">
        <v>894</v>
      </c>
      <c r="C499" s="209" t="s">
        <v>2435</v>
      </c>
      <c r="D499" s="448" t="s">
        <v>135</v>
      </c>
      <c r="E499" s="273">
        <v>0</v>
      </c>
      <c r="F499" s="274"/>
      <c r="G499" s="274">
        <f t="shared" si="1"/>
        <v>0</v>
      </c>
      <c r="H499" s="274">
        <v>0</v>
      </c>
      <c r="K499" s="274"/>
    </row>
    <row r="500" spans="2:11" ht="13.5" customHeight="1">
      <c r="B500" s="209" t="s">
        <v>894</v>
      </c>
      <c r="C500" s="209" t="s">
        <v>2435</v>
      </c>
      <c r="D500" s="449" t="s">
        <v>136</v>
      </c>
      <c r="E500" s="273">
        <v>0</v>
      </c>
      <c r="F500" s="274"/>
      <c r="G500" s="274">
        <f t="shared" si="1"/>
        <v>0</v>
      </c>
      <c r="H500" s="274">
        <v>0</v>
      </c>
      <c r="K500" s="274"/>
    </row>
    <row r="501" spans="2:11" ht="13.5" customHeight="1">
      <c r="B501" s="209" t="s">
        <v>894</v>
      </c>
      <c r="C501" s="209" t="s">
        <v>2435</v>
      </c>
      <c r="D501" s="450" t="s">
        <v>137</v>
      </c>
      <c r="E501" s="273">
        <v>0</v>
      </c>
      <c r="F501" s="274"/>
      <c r="G501" s="274">
        <f t="shared" si="1"/>
        <v>0</v>
      </c>
      <c r="H501" s="274">
        <v>0</v>
      </c>
      <c r="K501" s="274"/>
    </row>
    <row r="502" spans="2:11" ht="13.5" customHeight="1">
      <c r="B502" s="209" t="s">
        <v>894</v>
      </c>
      <c r="C502" s="209" t="s">
        <v>2435</v>
      </c>
      <c r="D502" s="451" t="s">
        <v>138</v>
      </c>
      <c r="E502" s="273">
        <v>0</v>
      </c>
      <c r="F502" s="274"/>
      <c r="G502" s="274">
        <f t="shared" si="1"/>
        <v>0</v>
      </c>
      <c r="H502" s="274">
        <v>0</v>
      </c>
      <c r="K502" s="274"/>
    </row>
    <row r="503" spans="2:11" ht="13.5" customHeight="1">
      <c r="B503" s="209" t="s">
        <v>894</v>
      </c>
      <c r="C503" s="209" t="s">
        <v>2435</v>
      </c>
      <c r="D503" s="452" t="s">
        <v>139</v>
      </c>
      <c r="E503" s="273">
        <v>0</v>
      </c>
      <c r="F503" s="274"/>
      <c r="G503" s="274">
        <f t="shared" si="1"/>
        <v>0</v>
      </c>
      <c r="H503" s="274">
        <v>0</v>
      </c>
      <c r="K503" s="274"/>
    </row>
    <row r="504" spans="2:11" ht="13.5" customHeight="1">
      <c r="B504" s="209" t="s">
        <v>894</v>
      </c>
      <c r="C504" s="209" t="s">
        <v>2435</v>
      </c>
      <c r="D504" s="216" t="s">
        <v>140</v>
      </c>
      <c r="E504" s="273">
        <v>0</v>
      </c>
      <c r="F504" s="274"/>
      <c r="G504" s="274">
        <f t="shared" si="1"/>
        <v>0</v>
      </c>
      <c r="H504" s="274">
        <v>0</v>
      </c>
      <c r="K504" s="274"/>
    </row>
    <row r="505" spans="2:11" ht="13.5" customHeight="1">
      <c r="B505" s="209" t="s">
        <v>894</v>
      </c>
      <c r="C505" s="209" t="s">
        <v>2435</v>
      </c>
      <c r="D505" s="453" t="s">
        <v>141</v>
      </c>
      <c r="E505" s="273">
        <v>0</v>
      </c>
      <c r="F505" s="274"/>
      <c r="G505" s="274">
        <f t="shared" si="1"/>
        <v>0</v>
      </c>
      <c r="H505" s="274">
        <v>0</v>
      </c>
      <c r="K505" s="274"/>
    </row>
    <row r="506" spans="2:11" ht="13.5" customHeight="1">
      <c r="B506" s="209" t="s">
        <v>896</v>
      </c>
      <c r="C506" s="209" t="s">
        <v>2436</v>
      </c>
      <c r="D506" s="446" t="s">
        <v>133</v>
      </c>
      <c r="E506" s="273">
        <v>0</v>
      </c>
      <c r="F506" s="274"/>
      <c r="G506" s="274">
        <f t="shared" si="1"/>
        <v>0</v>
      </c>
      <c r="H506" s="274">
        <v>0</v>
      </c>
      <c r="K506" s="274"/>
    </row>
    <row r="507" spans="2:11" ht="13.5" customHeight="1">
      <c r="B507" s="209" t="s">
        <v>896</v>
      </c>
      <c r="C507" s="209" t="s">
        <v>2436</v>
      </c>
      <c r="D507" s="447" t="s">
        <v>134</v>
      </c>
      <c r="E507" s="273">
        <v>0</v>
      </c>
      <c r="F507" s="274"/>
      <c r="G507" s="274">
        <f t="shared" si="1"/>
        <v>0</v>
      </c>
      <c r="H507" s="274">
        <v>0</v>
      </c>
      <c r="K507" s="274"/>
    </row>
    <row r="508" spans="2:11" ht="13.5" customHeight="1">
      <c r="B508" s="209" t="s">
        <v>896</v>
      </c>
      <c r="C508" s="209" t="s">
        <v>2436</v>
      </c>
      <c r="D508" s="448" t="s">
        <v>135</v>
      </c>
      <c r="E508" s="273">
        <v>0</v>
      </c>
      <c r="F508" s="274"/>
      <c r="G508" s="274">
        <f t="shared" si="1"/>
        <v>0</v>
      </c>
      <c r="H508" s="274">
        <v>0</v>
      </c>
      <c r="K508" s="274"/>
    </row>
    <row r="509" spans="2:11" ht="13.5" customHeight="1">
      <c r="B509" s="209" t="s">
        <v>896</v>
      </c>
      <c r="C509" s="209" t="s">
        <v>2436</v>
      </c>
      <c r="D509" s="449" t="s">
        <v>136</v>
      </c>
      <c r="E509" s="273">
        <v>0</v>
      </c>
      <c r="F509" s="274"/>
      <c r="G509" s="274">
        <f t="shared" si="1"/>
        <v>0</v>
      </c>
      <c r="H509" s="274">
        <v>0</v>
      </c>
      <c r="K509" s="274"/>
    </row>
    <row r="510" spans="2:11" ht="13.5" customHeight="1">
      <c r="B510" s="209" t="s">
        <v>896</v>
      </c>
      <c r="C510" s="209" t="s">
        <v>2436</v>
      </c>
      <c r="D510" s="450" t="s">
        <v>137</v>
      </c>
      <c r="E510" s="273">
        <v>0</v>
      </c>
      <c r="F510" s="274"/>
      <c r="G510" s="274">
        <f t="shared" si="1"/>
        <v>0</v>
      </c>
      <c r="H510" s="274">
        <v>0</v>
      </c>
      <c r="K510" s="274"/>
    </row>
    <row r="511" spans="2:11" ht="13.5" customHeight="1">
      <c r="B511" s="209" t="s">
        <v>896</v>
      </c>
      <c r="C511" s="209" t="s">
        <v>2436</v>
      </c>
      <c r="D511" s="451" t="s">
        <v>138</v>
      </c>
      <c r="E511" s="273">
        <v>0</v>
      </c>
      <c r="F511" s="274"/>
      <c r="G511" s="274">
        <f t="shared" si="1"/>
        <v>0</v>
      </c>
      <c r="H511" s="274">
        <v>0</v>
      </c>
      <c r="K511" s="274"/>
    </row>
    <row r="512" spans="2:11" ht="13.5" customHeight="1">
      <c r="B512" s="209" t="s">
        <v>896</v>
      </c>
      <c r="C512" s="209" t="s">
        <v>2436</v>
      </c>
      <c r="D512" s="452" t="s">
        <v>139</v>
      </c>
      <c r="E512" s="273">
        <v>0</v>
      </c>
      <c r="F512" s="274"/>
      <c r="G512" s="274">
        <f t="shared" ref="G512:G766" si="2">E512*F512</f>
        <v>0</v>
      </c>
      <c r="H512" s="274">
        <v>0</v>
      </c>
      <c r="K512" s="274"/>
    </row>
    <row r="513" spans="2:11" ht="13.5" customHeight="1">
      <c r="B513" s="209" t="s">
        <v>896</v>
      </c>
      <c r="C513" s="209" t="s">
        <v>2436</v>
      </c>
      <c r="D513" s="216" t="s">
        <v>140</v>
      </c>
      <c r="E513" s="273">
        <v>0</v>
      </c>
      <c r="F513" s="274"/>
      <c r="G513" s="274">
        <f t="shared" si="2"/>
        <v>0</v>
      </c>
      <c r="H513" s="274">
        <v>0</v>
      </c>
      <c r="K513" s="274"/>
    </row>
    <row r="514" spans="2:11" ht="13.5" customHeight="1">
      <c r="B514" s="209" t="s">
        <v>896</v>
      </c>
      <c r="C514" s="209" t="s">
        <v>2436</v>
      </c>
      <c r="D514" s="453" t="s">
        <v>141</v>
      </c>
      <c r="E514" s="273">
        <v>0</v>
      </c>
      <c r="F514" s="274"/>
      <c r="G514" s="274">
        <f t="shared" si="2"/>
        <v>0</v>
      </c>
      <c r="H514" s="274">
        <v>0</v>
      </c>
      <c r="K514" s="274"/>
    </row>
    <row r="515" spans="2:11" ht="13.5" customHeight="1">
      <c r="B515" s="209" t="s">
        <v>1125</v>
      </c>
      <c r="C515" s="209" t="s">
        <v>2437</v>
      </c>
      <c r="D515" s="446" t="s">
        <v>133</v>
      </c>
      <c r="E515" s="273">
        <v>0</v>
      </c>
      <c r="F515" s="274"/>
      <c r="G515" s="274">
        <f t="shared" si="2"/>
        <v>0</v>
      </c>
      <c r="H515" s="274">
        <v>0</v>
      </c>
      <c r="K515" s="274"/>
    </row>
    <row r="516" spans="2:11" ht="13.5" customHeight="1">
      <c r="B516" s="209" t="s">
        <v>1125</v>
      </c>
      <c r="C516" s="209" t="s">
        <v>2437</v>
      </c>
      <c r="D516" s="447" t="s">
        <v>134</v>
      </c>
      <c r="E516" s="273">
        <v>0</v>
      </c>
      <c r="F516" s="274"/>
      <c r="G516" s="274">
        <f t="shared" si="2"/>
        <v>0</v>
      </c>
      <c r="H516" s="274">
        <v>0</v>
      </c>
      <c r="K516" s="274"/>
    </row>
    <row r="517" spans="2:11" ht="13.5" customHeight="1">
      <c r="B517" s="209" t="s">
        <v>1125</v>
      </c>
      <c r="C517" s="209" t="s">
        <v>2437</v>
      </c>
      <c r="D517" s="448" t="s">
        <v>135</v>
      </c>
      <c r="E517" s="273">
        <v>0</v>
      </c>
      <c r="F517" s="274"/>
      <c r="G517" s="274">
        <f t="shared" si="2"/>
        <v>0</v>
      </c>
      <c r="H517" s="274">
        <v>0</v>
      </c>
      <c r="K517" s="274"/>
    </row>
    <row r="518" spans="2:11" ht="13.5" customHeight="1">
      <c r="B518" s="209" t="s">
        <v>1125</v>
      </c>
      <c r="C518" s="209" t="s">
        <v>2437</v>
      </c>
      <c r="D518" s="449" t="s">
        <v>136</v>
      </c>
      <c r="E518" s="273">
        <v>0</v>
      </c>
      <c r="F518" s="274"/>
      <c r="G518" s="274">
        <f t="shared" si="2"/>
        <v>0</v>
      </c>
      <c r="H518" s="274">
        <v>0</v>
      </c>
      <c r="K518" s="274"/>
    </row>
    <row r="519" spans="2:11" ht="13.5" customHeight="1">
      <c r="B519" s="209" t="s">
        <v>1125</v>
      </c>
      <c r="C519" s="209" t="s">
        <v>2437</v>
      </c>
      <c r="D519" s="450" t="s">
        <v>137</v>
      </c>
      <c r="E519" s="273">
        <v>0</v>
      </c>
      <c r="F519" s="274"/>
      <c r="G519" s="274">
        <f t="shared" si="2"/>
        <v>0</v>
      </c>
      <c r="H519" s="274">
        <v>0</v>
      </c>
      <c r="K519" s="274"/>
    </row>
    <row r="520" spans="2:11" ht="13.5" customHeight="1">
      <c r="B520" s="209" t="s">
        <v>1125</v>
      </c>
      <c r="C520" s="209" t="s">
        <v>2437</v>
      </c>
      <c r="D520" s="451" t="s">
        <v>138</v>
      </c>
      <c r="E520" s="273">
        <v>0</v>
      </c>
      <c r="F520" s="274"/>
      <c r="G520" s="274">
        <f t="shared" si="2"/>
        <v>0</v>
      </c>
      <c r="H520" s="274">
        <v>0</v>
      </c>
      <c r="K520" s="274"/>
    </row>
    <row r="521" spans="2:11" ht="13.5" customHeight="1">
      <c r="B521" s="209" t="s">
        <v>1125</v>
      </c>
      <c r="C521" s="209" t="s">
        <v>2437</v>
      </c>
      <c r="D521" s="452" t="s">
        <v>139</v>
      </c>
      <c r="E521" s="273">
        <v>0</v>
      </c>
      <c r="F521" s="274"/>
      <c r="G521" s="274">
        <f t="shared" si="2"/>
        <v>0</v>
      </c>
      <c r="H521" s="274">
        <v>0</v>
      </c>
      <c r="K521" s="274"/>
    </row>
    <row r="522" spans="2:11" ht="13.5" customHeight="1">
      <c r="B522" s="209" t="s">
        <v>1125</v>
      </c>
      <c r="C522" s="209" t="s">
        <v>2437</v>
      </c>
      <c r="D522" s="216" t="s">
        <v>140</v>
      </c>
      <c r="E522" s="273">
        <v>0</v>
      </c>
      <c r="F522" s="274"/>
      <c r="G522" s="274">
        <f t="shared" si="2"/>
        <v>0</v>
      </c>
      <c r="H522" s="274">
        <v>0</v>
      </c>
      <c r="K522" s="274"/>
    </row>
    <row r="523" spans="2:11" ht="13.5" customHeight="1">
      <c r="B523" s="209" t="s">
        <v>1125</v>
      </c>
      <c r="C523" s="209" t="s">
        <v>2437</v>
      </c>
      <c r="D523" s="453" t="s">
        <v>141</v>
      </c>
      <c r="E523" s="273">
        <v>0</v>
      </c>
      <c r="F523" s="274"/>
      <c r="G523" s="274">
        <f t="shared" si="2"/>
        <v>0</v>
      </c>
      <c r="H523" s="274">
        <v>0</v>
      </c>
      <c r="K523" s="274"/>
    </row>
    <row r="524" spans="2:11" ht="13.5" customHeight="1">
      <c r="B524" s="209" t="s">
        <v>1103</v>
      </c>
      <c r="C524" s="209" t="s">
        <v>2438</v>
      </c>
      <c r="D524" s="446" t="s">
        <v>133</v>
      </c>
      <c r="E524" s="273">
        <v>0</v>
      </c>
      <c r="F524" s="274"/>
      <c r="G524" s="274">
        <f t="shared" si="2"/>
        <v>0</v>
      </c>
      <c r="H524" s="274">
        <v>0</v>
      </c>
      <c r="K524" s="274"/>
    </row>
    <row r="525" spans="2:11" ht="13.5" customHeight="1">
      <c r="B525" s="209" t="s">
        <v>1103</v>
      </c>
      <c r="C525" s="209" t="s">
        <v>2438</v>
      </c>
      <c r="D525" s="447" t="s">
        <v>134</v>
      </c>
      <c r="E525" s="273">
        <v>0</v>
      </c>
      <c r="F525" s="274"/>
      <c r="G525" s="274">
        <f t="shared" si="2"/>
        <v>0</v>
      </c>
      <c r="H525" s="274">
        <v>0</v>
      </c>
      <c r="K525" s="274"/>
    </row>
    <row r="526" spans="2:11" ht="13.5" customHeight="1">
      <c r="B526" s="209" t="s">
        <v>1103</v>
      </c>
      <c r="C526" s="209" t="s">
        <v>2438</v>
      </c>
      <c r="D526" s="448" t="s">
        <v>135</v>
      </c>
      <c r="E526" s="273">
        <v>0</v>
      </c>
      <c r="F526" s="274"/>
      <c r="G526" s="274">
        <f t="shared" si="2"/>
        <v>0</v>
      </c>
      <c r="H526" s="274">
        <v>0</v>
      </c>
      <c r="K526" s="274"/>
    </row>
    <row r="527" spans="2:11" ht="13.5" customHeight="1">
      <c r="B527" s="209" t="s">
        <v>1103</v>
      </c>
      <c r="C527" s="209" t="s">
        <v>2438</v>
      </c>
      <c r="D527" s="449" t="s">
        <v>136</v>
      </c>
      <c r="E527" s="273">
        <v>0</v>
      </c>
      <c r="F527" s="274"/>
      <c r="G527" s="274">
        <f t="shared" si="2"/>
        <v>0</v>
      </c>
      <c r="H527" s="274">
        <v>0</v>
      </c>
      <c r="K527" s="274"/>
    </row>
    <row r="528" spans="2:11" ht="13.5" customHeight="1">
      <c r="B528" s="209" t="s">
        <v>1103</v>
      </c>
      <c r="C528" s="209" t="s">
        <v>2438</v>
      </c>
      <c r="D528" s="450" t="s">
        <v>137</v>
      </c>
      <c r="E528" s="273">
        <v>0</v>
      </c>
      <c r="F528" s="274"/>
      <c r="G528" s="274">
        <f t="shared" si="2"/>
        <v>0</v>
      </c>
      <c r="H528" s="274">
        <v>0</v>
      </c>
      <c r="K528" s="274"/>
    </row>
    <row r="529" spans="2:11" ht="13.5" customHeight="1">
      <c r="B529" s="209" t="s">
        <v>1103</v>
      </c>
      <c r="C529" s="209" t="s">
        <v>2438</v>
      </c>
      <c r="D529" s="451" t="s">
        <v>138</v>
      </c>
      <c r="E529" s="273">
        <v>0</v>
      </c>
      <c r="F529" s="274"/>
      <c r="G529" s="274">
        <f t="shared" si="2"/>
        <v>0</v>
      </c>
      <c r="H529" s="274">
        <v>0</v>
      </c>
      <c r="K529" s="274"/>
    </row>
    <row r="530" spans="2:11" ht="13.5" customHeight="1">
      <c r="B530" s="209" t="s">
        <v>1103</v>
      </c>
      <c r="C530" s="209" t="s">
        <v>2438</v>
      </c>
      <c r="D530" s="452" t="s">
        <v>139</v>
      </c>
      <c r="E530" s="273">
        <v>0</v>
      </c>
      <c r="F530" s="274"/>
      <c r="G530" s="274">
        <f t="shared" si="2"/>
        <v>0</v>
      </c>
      <c r="H530" s="274">
        <v>0</v>
      </c>
      <c r="K530" s="274"/>
    </row>
    <row r="531" spans="2:11" ht="13.5" customHeight="1">
      <c r="B531" s="209" t="s">
        <v>1103</v>
      </c>
      <c r="C531" s="209" t="s">
        <v>2438</v>
      </c>
      <c r="D531" s="216" t="s">
        <v>140</v>
      </c>
      <c r="E531" s="273">
        <v>0</v>
      </c>
      <c r="F531" s="274"/>
      <c r="G531" s="274">
        <f t="shared" si="2"/>
        <v>0</v>
      </c>
      <c r="H531" s="274">
        <v>0</v>
      </c>
      <c r="K531" s="274"/>
    </row>
    <row r="532" spans="2:11" ht="13.5" customHeight="1">
      <c r="B532" s="209" t="s">
        <v>1103</v>
      </c>
      <c r="C532" s="209" t="s">
        <v>2438</v>
      </c>
      <c r="D532" s="453" t="s">
        <v>141</v>
      </c>
      <c r="E532" s="273">
        <v>0</v>
      </c>
      <c r="F532" s="274"/>
      <c r="G532" s="274">
        <f t="shared" si="2"/>
        <v>0</v>
      </c>
      <c r="H532" s="274">
        <v>0</v>
      </c>
      <c r="K532" s="274"/>
    </row>
    <row r="533" spans="2:11" ht="13.5" customHeight="1">
      <c r="B533" s="209" t="s">
        <v>980</v>
      </c>
      <c r="C533" s="209" t="s">
        <v>2439</v>
      </c>
      <c r="D533" s="446" t="s">
        <v>133</v>
      </c>
      <c r="E533" s="273">
        <v>0</v>
      </c>
      <c r="F533" s="274"/>
      <c r="G533" s="274">
        <f t="shared" si="2"/>
        <v>0</v>
      </c>
      <c r="H533" s="274">
        <v>0</v>
      </c>
      <c r="K533" s="274"/>
    </row>
    <row r="534" spans="2:11" ht="13.5" customHeight="1">
      <c r="B534" s="209" t="s">
        <v>980</v>
      </c>
      <c r="C534" s="209" t="s">
        <v>2439</v>
      </c>
      <c r="D534" s="447" t="s">
        <v>134</v>
      </c>
      <c r="E534" s="273">
        <v>0</v>
      </c>
      <c r="F534" s="274"/>
      <c r="G534" s="274">
        <f t="shared" si="2"/>
        <v>0</v>
      </c>
      <c r="H534" s="274">
        <v>0</v>
      </c>
      <c r="K534" s="274"/>
    </row>
    <row r="535" spans="2:11" ht="13.5" customHeight="1">
      <c r="B535" s="209" t="s">
        <v>980</v>
      </c>
      <c r="C535" s="209" t="s">
        <v>2439</v>
      </c>
      <c r="D535" s="448" t="s">
        <v>135</v>
      </c>
      <c r="E535" s="273">
        <v>0</v>
      </c>
      <c r="F535" s="274"/>
      <c r="G535" s="274">
        <f t="shared" si="2"/>
        <v>0</v>
      </c>
      <c r="H535" s="274">
        <v>0</v>
      </c>
      <c r="K535" s="274"/>
    </row>
    <row r="536" spans="2:11" ht="13.5" customHeight="1">
      <c r="B536" s="209" t="s">
        <v>980</v>
      </c>
      <c r="C536" s="209" t="s">
        <v>2439</v>
      </c>
      <c r="D536" s="449" t="s">
        <v>136</v>
      </c>
      <c r="E536" s="273">
        <v>0</v>
      </c>
      <c r="F536" s="274"/>
      <c r="G536" s="274">
        <f t="shared" si="2"/>
        <v>0</v>
      </c>
      <c r="H536" s="274">
        <v>0</v>
      </c>
      <c r="K536" s="274"/>
    </row>
    <row r="537" spans="2:11" ht="13.5" customHeight="1">
      <c r="B537" s="209" t="s">
        <v>980</v>
      </c>
      <c r="C537" s="209" t="s">
        <v>2439</v>
      </c>
      <c r="D537" s="450" t="s">
        <v>137</v>
      </c>
      <c r="E537" s="273">
        <v>0</v>
      </c>
      <c r="F537" s="274"/>
      <c r="G537" s="274">
        <f t="shared" si="2"/>
        <v>0</v>
      </c>
      <c r="H537" s="274">
        <v>0</v>
      </c>
      <c r="K537" s="274"/>
    </row>
    <row r="538" spans="2:11" ht="13.5" customHeight="1">
      <c r="B538" s="209" t="s">
        <v>980</v>
      </c>
      <c r="C538" s="209" t="s">
        <v>2439</v>
      </c>
      <c r="D538" s="451" t="s">
        <v>138</v>
      </c>
      <c r="E538" s="273">
        <v>0</v>
      </c>
      <c r="F538" s="274"/>
      <c r="G538" s="274">
        <f t="shared" si="2"/>
        <v>0</v>
      </c>
      <c r="H538" s="274">
        <v>0</v>
      </c>
      <c r="K538" s="274"/>
    </row>
    <row r="539" spans="2:11" ht="13.5" customHeight="1">
      <c r="B539" s="209" t="s">
        <v>980</v>
      </c>
      <c r="C539" s="209" t="s">
        <v>2439</v>
      </c>
      <c r="D539" s="452" t="s">
        <v>139</v>
      </c>
      <c r="E539" s="273">
        <v>0</v>
      </c>
      <c r="F539" s="274"/>
      <c r="G539" s="274">
        <f t="shared" si="2"/>
        <v>0</v>
      </c>
      <c r="H539" s="274">
        <v>0</v>
      </c>
      <c r="K539" s="274"/>
    </row>
    <row r="540" spans="2:11" ht="13.5" customHeight="1">
      <c r="B540" s="209" t="s">
        <v>980</v>
      </c>
      <c r="C540" s="209" t="s">
        <v>2439</v>
      </c>
      <c r="D540" s="216" t="s">
        <v>140</v>
      </c>
      <c r="E540" s="273">
        <v>0</v>
      </c>
      <c r="F540" s="274"/>
      <c r="G540" s="274">
        <f t="shared" si="2"/>
        <v>0</v>
      </c>
      <c r="H540" s="274">
        <v>0</v>
      </c>
      <c r="K540" s="274"/>
    </row>
    <row r="541" spans="2:11" ht="13.5" customHeight="1">
      <c r="B541" s="209" t="s">
        <v>980</v>
      </c>
      <c r="C541" s="209" t="s">
        <v>2439</v>
      </c>
      <c r="D541" s="453" t="s">
        <v>141</v>
      </c>
      <c r="E541" s="273">
        <v>0</v>
      </c>
      <c r="F541" s="274"/>
      <c r="G541" s="274">
        <f t="shared" si="2"/>
        <v>0</v>
      </c>
      <c r="H541" s="274">
        <v>0</v>
      </c>
      <c r="K541" s="274"/>
    </row>
    <row r="542" spans="2:11" ht="13.5" customHeight="1">
      <c r="B542" s="209" t="s">
        <v>898</v>
      </c>
      <c r="C542" s="209" t="s">
        <v>2440</v>
      </c>
      <c r="D542" s="446" t="s">
        <v>133</v>
      </c>
      <c r="E542" s="273">
        <v>0</v>
      </c>
      <c r="F542" s="274"/>
      <c r="G542" s="274">
        <f t="shared" si="2"/>
        <v>0</v>
      </c>
      <c r="H542" s="274">
        <v>0</v>
      </c>
      <c r="K542" s="274"/>
    </row>
    <row r="543" spans="2:11" ht="13.5" customHeight="1">
      <c r="B543" s="209" t="s">
        <v>898</v>
      </c>
      <c r="C543" s="209" t="s">
        <v>2440</v>
      </c>
      <c r="D543" s="447" t="s">
        <v>134</v>
      </c>
      <c r="E543" s="273">
        <v>0</v>
      </c>
      <c r="F543" s="274"/>
      <c r="G543" s="274">
        <f t="shared" si="2"/>
        <v>0</v>
      </c>
      <c r="H543" s="274">
        <v>0</v>
      </c>
      <c r="K543" s="274"/>
    </row>
    <row r="544" spans="2:11" ht="13.5" customHeight="1">
      <c r="B544" s="209" t="s">
        <v>898</v>
      </c>
      <c r="C544" s="209" t="s">
        <v>2440</v>
      </c>
      <c r="D544" s="448" t="s">
        <v>135</v>
      </c>
      <c r="E544" s="273">
        <v>0</v>
      </c>
      <c r="F544" s="274"/>
      <c r="G544" s="274">
        <f t="shared" si="2"/>
        <v>0</v>
      </c>
      <c r="H544" s="274">
        <v>0</v>
      </c>
      <c r="K544" s="274"/>
    </row>
    <row r="545" spans="2:11" ht="13.5" customHeight="1">
      <c r="B545" s="209" t="s">
        <v>898</v>
      </c>
      <c r="C545" s="209" t="s">
        <v>2440</v>
      </c>
      <c r="D545" s="449" t="s">
        <v>136</v>
      </c>
      <c r="E545" s="273">
        <v>0</v>
      </c>
      <c r="F545" s="274"/>
      <c r="G545" s="274">
        <f t="shared" si="2"/>
        <v>0</v>
      </c>
      <c r="H545" s="274">
        <v>0</v>
      </c>
      <c r="K545" s="274"/>
    </row>
    <row r="546" spans="2:11" ht="13.5" customHeight="1">
      <c r="B546" s="209" t="s">
        <v>898</v>
      </c>
      <c r="C546" s="209" t="s">
        <v>2440</v>
      </c>
      <c r="D546" s="450" t="s">
        <v>137</v>
      </c>
      <c r="E546" s="273">
        <v>0</v>
      </c>
      <c r="F546" s="274"/>
      <c r="G546" s="274">
        <f t="shared" si="2"/>
        <v>0</v>
      </c>
      <c r="H546" s="274">
        <v>0</v>
      </c>
      <c r="K546" s="274"/>
    </row>
    <row r="547" spans="2:11" ht="13.5" customHeight="1">
      <c r="B547" s="209" t="s">
        <v>898</v>
      </c>
      <c r="C547" s="209" t="s">
        <v>2440</v>
      </c>
      <c r="D547" s="451" t="s">
        <v>138</v>
      </c>
      <c r="E547" s="273">
        <v>0</v>
      </c>
      <c r="F547" s="274"/>
      <c r="G547" s="274">
        <f t="shared" si="2"/>
        <v>0</v>
      </c>
      <c r="H547" s="274">
        <v>0</v>
      </c>
      <c r="K547" s="274"/>
    </row>
    <row r="548" spans="2:11" ht="13.5" customHeight="1">
      <c r="B548" s="209" t="s">
        <v>898</v>
      </c>
      <c r="C548" s="209" t="s">
        <v>2440</v>
      </c>
      <c r="D548" s="452" t="s">
        <v>139</v>
      </c>
      <c r="E548" s="273">
        <v>0</v>
      </c>
      <c r="F548" s="274"/>
      <c r="G548" s="274">
        <f t="shared" si="2"/>
        <v>0</v>
      </c>
      <c r="H548" s="274">
        <v>0</v>
      </c>
      <c r="K548" s="274"/>
    </row>
    <row r="549" spans="2:11" ht="13.5" customHeight="1">
      <c r="B549" s="209" t="s">
        <v>898</v>
      </c>
      <c r="C549" s="209" t="s">
        <v>2440</v>
      </c>
      <c r="D549" s="216" t="s">
        <v>140</v>
      </c>
      <c r="E549" s="273">
        <v>0</v>
      </c>
      <c r="F549" s="274"/>
      <c r="G549" s="274">
        <f t="shared" si="2"/>
        <v>0</v>
      </c>
      <c r="H549" s="274">
        <v>0</v>
      </c>
      <c r="K549" s="274"/>
    </row>
    <row r="550" spans="2:11" ht="13.5" customHeight="1">
      <c r="B550" s="209" t="s">
        <v>898</v>
      </c>
      <c r="C550" s="209" t="s">
        <v>2440</v>
      </c>
      <c r="D550" s="453" t="s">
        <v>141</v>
      </c>
      <c r="E550" s="273">
        <v>0</v>
      </c>
      <c r="F550" s="274"/>
      <c r="G550" s="274">
        <f t="shared" si="2"/>
        <v>0</v>
      </c>
      <c r="H550" s="274">
        <v>0</v>
      </c>
      <c r="K550" s="274"/>
    </row>
    <row r="551" spans="2:11" ht="13.5" customHeight="1">
      <c r="B551" s="209" t="s">
        <v>900</v>
      </c>
      <c r="C551" s="209" t="s">
        <v>2441</v>
      </c>
      <c r="D551" s="446" t="s">
        <v>133</v>
      </c>
      <c r="E551" s="273">
        <v>0</v>
      </c>
      <c r="F551" s="274"/>
      <c r="G551" s="274">
        <f t="shared" si="2"/>
        <v>0</v>
      </c>
      <c r="H551" s="274">
        <v>0</v>
      </c>
      <c r="K551" s="274"/>
    </row>
    <row r="552" spans="2:11" ht="13.5" customHeight="1">
      <c r="B552" s="209" t="s">
        <v>900</v>
      </c>
      <c r="C552" s="209" t="s">
        <v>2441</v>
      </c>
      <c r="D552" s="447" t="s">
        <v>134</v>
      </c>
      <c r="E552" s="273">
        <v>0</v>
      </c>
      <c r="F552" s="274"/>
      <c r="G552" s="274">
        <f t="shared" si="2"/>
        <v>0</v>
      </c>
      <c r="H552" s="274">
        <v>0</v>
      </c>
      <c r="K552" s="274"/>
    </row>
    <row r="553" spans="2:11" ht="13.5" customHeight="1">
      <c r="B553" s="209" t="s">
        <v>900</v>
      </c>
      <c r="C553" s="209" t="s">
        <v>2441</v>
      </c>
      <c r="D553" s="448" t="s">
        <v>135</v>
      </c>
      <c r="E553" s="273">
        <v>0</v>
      </c>
      <c r="F553" s="274"/>
      <c r="G553" s="274">
        <f t="shared" si="2"/>
        <v>0</v>
      </c>
      <c r="H553" s="274">
        <v>0</v>
      </c>
      <c r="K553" s="274"/>
    </row>
    <row r="554" spans="2:11" ht="13.5" customHeight="1">
      <c r="B554" s="209" t="s">
        <v>900</v>
      </c>
      <c r="C554" s="209" t="s">
        <v>2441</v>
      </c>
      <c r="D554" s="449" t="s">
        <v>136</v>
      </c>
      <c r="E554" s="273">
        <v>0</v>
      </c>
      <c r="F554" s="274"/>
      <c r="G554" s="274">
        <f t="shared" si="2"/>
        <v>0</v>
      </c>
      <c r="H554" s="274">
        <v>0</v>
      </c>
      <c r="K554" s="274"/>
    </row>
    <row r="555" spans="2:11" ht="13.5" customHeight="1">
      <c r="B555" s="209" t="s">
        <v>900</v>
      </c>
      <c r="C555" s="209" t="s">
        <v>2441</v>
      </c>
      <c r="D555" s="450" t="s">
        <v>137</v>
      </c>
      <c r="E555" s="273">
        <v>0</v>
      </c>
      <c r="F555" s="274"/>
      <c r="G555" s="274">
        <f t="shared" si="2"/>
        <v>0</v>
      </c>
      <c r="H555" s="274">
        <v>0</v>
      </c>
      <c r="K555" s="274"/>
    </row>
    <row r="556" spans="2:11" ht="13.5" customHeight="1">
      <c r="B556" s="209" t="s">
        <v>900</v>
      </c>
      <c r="C556" s="209" t="s">
        <v>2441</v>
      </c>
      <c r="D556" s="451" t="s">
        <v>138</v>
      </c>
      <c r="E556" s="273">
        <v>0</v>
      </c>
      <c r="F556" s="274"/>
      <c r="G556" s="274">
        <f t="shared" si="2"/>
        <v>0</v>
      </c>
      <c r="H556" s="274">
        <v>0</v>
      </c>
      <c r="K556" s="274"/>
    </row>
    <row r="557" spans="2:11" ht="13.5" customHeight="1">
      <c r="B557" s="209" t="s">
        <v>900</v>
      </c>
      <c r="C557" s="209" t="s">
        <v>2441</v>
      </c>
      <c r="D557" s="452" t="s">
        <v>139</v>
      </c>
      <c r="E557" s="273">
        <v>0</v>
      </c>
      <c r="F557" s="274"/>
      <c r="G557" s="274">
        <f t="shared" si="2"/>
        <v>0</v>
      </c>
      <c r="H557" s="274">
        <v>0</v>
      </c>
      <c r="K557" s="274"/>
    </row>
    <row r="558" spans="2:11" ht="13.5" customHeight="1">
      <c r="B558" s="209" t="s">
        <v>900</v>
      </c>
      <c r="C558" s="209" t="s">
        <v>2441</v>
      </c>
      <c r="D558" s="216" t="s">
        <v>140</v>
      </c>
      <c r="E558" s="273">
        <v>0</v>
      </c>
      <c r="F558" s="274"/>
      <c r="G558" s="274">
        <f t="shared" si="2"/>
        <v>0</v>
      </c>
      <c r="H558" s="274">
        <v>0</v>
      </c>
      <c r="K558" s="274"/>
    </row>
    <row r="559" spans="2:11" ht="13.5" customHeight="1">
      <c r="B559" s="209" t="s">
        <v>900</v>
      </c>
      <c r="C559" s="209" t="s">
        <v>2441</v>
      </c>
      <c r="D559" s="453" t="s">
        <v>141</v>
      </c>
      <c r="E559" s="273">
        <v>0</v>
      </c>
      <c r="F559" s="274"/>
      <c r="G559" s="274">
        <f t="shared" si="2"/>
        <v>0</v>
      </c>
      <c r="H559" s="274">
        <v>0</v>
      </c>
      <c r="K559" s="274"/>
    </row>
    <row r="560" spans="2:11" ht="13.5" customHeight="1">
      <c r="B560" s="209" t="s">
        <v>902</v>
      </c>
      <c r="C560" s="209" t="s">
        <v>2442</v>
      </c>
      <c r="D560" s="446" t="s">
        <v>133</v>
      </c>
      <c r="E560" s="273">
        <v>0</v>
      </c>
      <c r="F560" s="274"/>
      <c r="G560" s="274">
        <f t="shared" si="2"/>
        <v>0</v>
      </c>
      <c r="H560" s="274">
        <v>0</v>
      </c>
      <c r="K560" s="274"/>
    </row>
    <row r="561" spans="2:11" ht="13.5" customHeight="1">
      <c r="B561" s="209" t="s">
        <v>902</v>
      </c>
      <c r="C561" s="209" t="s">
        <v>2442</v>
      </c>
      <c r="D561" s="447" t="s">
        <v>134</v>
      </c>
      <c r="E561" s="273">
        <v>0</v>
      </c>
      <c r="F561" s="274"/>
      <c r="G561" s="274">
        <f t="shared" si="2"/>
        <v>0</v>
      </c>
      <c r="H561" s="274">
        <v>0</v>
      </c>
      <c r="K561" s="274"/>
    </row>
    <row r="562" spans="2:11" ht="13.5" customHeight="1">
      <c r="B562" s="209" t="s">
        <v>902</v>
      </c>
      <c r="C562" s="209" t="s">
        <v>2442</v>
      </c>
      <c r="D562" s="448" t="s">
        <v>135</v>
      </c>
      <c r="E562" s="273">
        <v>0</v>
      </c>
      <c r="F562" s="274"/>
      <c r="G562" s="274">
        <f t="shared" si="2"/>
        <v>0</v>
      </c>
      <c r="H562" s="274">
        <v>0</v>
      </c>
      <c r="K562" s="274"/>
    </row>
    <row r="563" spans="2:11" ht="13.5" customHeight="1">
      <c r="B563" s="209" t="s">
        <v>902</v>
      </c>
      <c r="C563" s="209" t="s">
        <v>2442</v>
      </c>
      <c r="D563" s="449" t="s">
        <v>136</v>
      </c>
      <c r="E563" s="273">
        <v>0</v>
      </c>
      <c r="F563" s="274"/>
      <c r="G563" s="274">
        <f t="shared" si="2"/>
        <v>0</v>
      </c>
      <c r="H563" s="274">
        <v>0</v>
      </c>
      <c r="K563" s="274"/>
    </row>
    <row r="564" spans="2:11" ht="13.5" customHeight="1">
      <c r="B564" s="209" t="s">
        <v>902</v>
      </c>
      <c r="C564" s="209" t="s">
        <v>2442</v>
      </c>
      <c r="D564" s="450" t="s">
        <v>137</v>
      </c>
      <c r="E564" s="273">
        <v>0</v>
      </c>
      <c r="F564" s="274"/>
      <c r="G564" s="274">
        <f t="shared" si="2"/>
        <v>0</v>
      </c>
      <c r="H564" s="274">
        <v>0</v>
      </c>
      <c r="K564" s="274"/>
    </row>
    <row r="565" spans="2:11" ht="13.5" customHeight="1">
      <c r="B565" s="209" t="s">
        <v>902</v>
      </c>
      <c r="C565" s="209" t="s">
        <v>2442</v>
      </c>
      <c r="D565" s="451" t="s">
        <v>138</v>
      </c>
      <c r="E565" s="273">
        <v>0</v>
      </c>
      <c r="F565" s="274"/>
      <c r="G565" s="274">
        <f t="shared" si="2"/>
        <v>0</v>
      </c>
      <c r="H565" s="274">
        <v>0</v>
      </c>
      <c r="K565" s="274"/>
    </row>
    <row r="566" spans="2:11" ht="13.5" customHeight="1">
      <c r="B566" s="209" t="s">
        <v>902</v>
      </c>
      <c r="C566" s="209" t="s">
        <v>2442</v>
      </c>
      <c r="D566" s="452" t="s">
        <v>139</v>
      </c>
      <c r="E566" s="273">
        <v>0</v>
      </c>
      <c r="F566" s="274"/>
      <c r="G566" s="274">
        <f t="shared" si="2"/>
        <v>0</v>
      </c>
      <c r="H566" s="274">
        <v>0</v>
      </c>
      <c r="K566" s="274"/>
    </row>
    <row r="567" spans="2:11" ht="13.5" customHeight="1">
      <c r="B567" s="209" t="s">
        <v>902</v>
      </c>
      <c r="C567" s="209" t="s">
        <v>2442</v>
      </c>
      <c r="D567" s="216" t="s">
        <v>140</v>
      </c>
      <c r="E567" s="273">
        <v>0</v>
      </c>
      <c r="F567" s="274"/>
      <c r="G567" s="274">
        <f t="shared" si="2"/>
        <v>0</v>
      </c>
      <c r="H567" s="274">
        <v>0</v>
      </c>
      <c r="K567" s="274"/>
    </row>
    <row r="568" spans="2:11" ht="13.5" customHeight="1">
      <c r="B568" s="209" t="s">
        <v>902</v>
      </c>
      <c r="C568" s="209" t="s">
        <v>2442</v>
      </c>
      <c r="D568" s="453" t="s">
        <v>141</v>
      </c>
      <c r="E568" s="273">
        <v>0</v>
      </c>
      <c r="F568" s="274"/>
      <c r="G568" s="274">
        <f t="shared" si="2"/>
        <v>0</v>
      </c>
      <c r="H568" s="274">
        <v>0</v>
      </c>
      <c r="K568" s="274"/>
    </row>
    <row r="569" spans="2:11" ht="13.5" customHeight="1">
      <c r="B569" s="209" t="s">
        <v>904</v>
      </c>
      <c r="C569" s="209" t="s">
        <v>2443</v>
      </c>
      <c r="D569" s="446" t="s">
        <v>133</v>
      </c>
      <c r="E569" s="273">
        <v>0</v>
      </c>
      <c r="F569" s="274"/>
      <c r="G569" s="274">
        <f t="shared" si="2"/>
        <v>0</v>
      </c>
      <c r="H569" s="274">
        <v>0</v>
      </c>
      <c r="K569" s="274"/>
    </row>
    <row r="570" spans="2:11" ht="13.5" customHeight="1">
      <c r="B570" s="209" t="s">
        <v>904</v>
      </c>
      <c r="C570" s="209" t="s">
        <v>2443</v>
      </c>
      <c r="D570" s="447" t="s">
        <v>134</v>
      </c>
      <c r="E570" s="273">
        <v>0</v>
      </c>
      <c r="F570" s="274"/>
      <c r="G570" s="274">
        <f t="shared" si="2"/>
        <v>0</v>
      </c>
      <c r="H570" s="274">
        <v>0</v>
      </c>
      <c r="K570" s="274"/>
    </row>
    <row r="571" spans="2:11" ht="13.5" customHeight="1">
      <c r="B571" s="209" t="s">
        <v>904</v>
      </c>
      <c r="C571" s="209" t="s">
        <v>2443</v>
      </c>
      <c r="D571" s="448" t="s">
        <v>135</v>
      </c>
      <c r="E571" s="273">
        <v>0</v>
      </c>
      <c r="F571" s="274"/>
      <c r="G571" s="274">
        <f t="shared" si="2"/>
        <v>0</v>
      </c>
      <c r="H571" s="274">
        <v>0</v>
      </c>
      <c r="K571" s="274"/>
    </row>
    <row r="572" spans="2:11" ht="13.5" customHeight="1">
      <c r="B572" s="209" t="s">
        <v>904</v>
      </c>
      <c r="C572" s="209" t="s">
        <v>2443</v>
      </c>
      <c r="D572" s="449" t="s">
        <v>136</v>
      </c>
      <c r="E572" s="273">
        <v>0</v>
      </c>
      <c r="F572" s="274"/>
      <c r="G572" s="274">
        <f t="shared" si="2"/>
        <v>0</v>
      </c>
      <c r="H572" s="274">
        <v>0</v>
      </c>
      <c r="K572" s="274"/>
    </row>
    <row r="573" spans="2:11" ht="13.5" customHeight="1">
      <c r="B573" s="209" t="s">
        <v>904</v>
      </c>
      <c r="C573" s="209" t="s">
        <v>2443</v>
      </c>
      <c r="D573" s="450" t="s">
        <v>137</v>
      </c>
      <c r="E573" s="273">
        <v>0</v>
      </c>
      <c r="F573" s="274"/>
      <c r="G573" s="274">
        <f t="shared" si="2"/>
        <v>0</v>
      </c>
      <c r="H573" s="274">
        <v>0</v>
      </c>
      <c r="K573" s="274"/>
    </row>
    <row r="574" spans="2:11" ht="13.5" customHeight="1">
      <c r="B574" s="209" t="s">
        <v>904</v>
      </c>
      <c r="C574" s="209" t="s">
        <v>2443</v>
      </c>
      <c r="D574" s="451" t="s">
        <v>138</v>
      </c>
      <c r="E574" s="273">
        <v>0</v>
      </c>
      <c r="F574" s="274"/>
      <c r="G574" s="274">
        <f t="shared" si="2"/>
        <v>0</v>
      </c>
      <c r="H574" s="274">
        <v>0</v>
      </c>
      <c r="K574" s="274"/>
    </row>
    <row r="575" spans="2:11" ht="13.5" customHeight="1">
      <c r="B575" s="209" t="s">
        <v>904</v>
      </c>
      <c r="C575" s="209" t="s">
        <v>2443</v>
      </c>
      <c r="D575" s="452" t="s">
        <v>139</v>
      </c>
      <c r="E575" s="273">
        <v>0</v>
      </c>
      <c r="F575" s="274"/>
      <c r="G575" s="274">
        <f t="shared" si="2"/>
        <v>0</v>
      </c>
      <c r="H575" s="274">
        <v>0</v>
      </c>
      <c r="K575" s="274"/>
    </row>
    <row r="576" spans="2:11" ht="13.5" customHeight="1">
      <c r="B576" s="209" t="s">
        <v>904</v>
      </c>
      <c r="C576" s="209" t="s">
        <v>2443</v>
      </c>
      <c r="D576" s="216" t="s">
        <v>140</v>
      </c>
      <c r="E576" s="273">
        <v>0</v>
      </c>
      <c r="F576" s="274"/>
      <c r="G576" s="274">
        <f t="shared" si="2"/>
        <v>0</v>
      </c>
      <c r="H576" s="274">
        <v>0</v>
      </c>
      <c r="K576" s="274"/>
    </row>
    <row r="577" spans="2:11" ht="13.5" customHeight="1">
      <c r="B577" s="209" t="s">
        <v>904</v>
      </c>
      <c r="C577" s="209" t="s">
        <v>2443</v>
      </c>
      <c r="D577" s="453" t="s">
        <v>141</v>
      </c>
      <c r="E577" s="273">
        <v>0</v>
      </c>
      <c r="F577" s="274"/>
      <c r="G577" s="274">
        <f t="shared" si="2"/>
        <v>0</v>
      </c>
      <c r="H577" s="274">
        <v>0</v>
      </c>
      <c r="K577" s="274"/>
    </row>
    <row r="578" spans="2:11" ht="13.5" customHeight="1">
      <c r="B578" s="209" t="s">
        <v>954</v>
      </c>
      <c r="C578" s="209" t="s">
        <v>2444</v>
      </c>
      <c r="D578" s="446" t="s">
        <v>133</v>
      </c>
      <c r="E578" s="273">
        <v>0</v>
      </c>
      <c r="F578" s="274"/>
      <c r="G578" s="274">
        <f t="shared" si="2"/>
        <v>0</v>
      </c>
      <c r="H578" s="274">
        <v>0</v>
      </c>
      <c r="K578" s="274"/>
    </row>
    <row r="579" spans="2:11" ht="13.5" customHeight="1">
      <c r="B579" s="209" t="s">
        <v>954</v>
      </c>
      <c r="C579" s="209" t="s">
        <v>2444</v>
      </c>
      <c r="D579" s="447" t="s">
        <v>134</v>
      </c>
      <c r="E579" s="273">
        <v>0</v>
      </c>
      <c r="F579" s="274"/>
      <c r="G579" s="274">
        <f t="shared" si="2"/>
        <v>0</v>
      </c>
      <c r="H579" s="274">
        <v>0</v>
      </c>
      <c r="K579" s="274"/>
    </row>
    <row r="580" spans="2:11" ht="13.5" customHeight="1">
      <c r="B580" s="209" t="s">
        <v>954</v>
      </c>
      <c r="C580" s="209" t="s">
        <v>2444</v>
      </c>
      <c r="D580" s="448" t="s">
        <v>135</v>
      </c>
      <c r="E580" s="273">
        <v>0</v>
      </c>
      <c r="F580" s="274"/>
      <c r="G580" s="274">
        <f t="shared" si="2"/>
        <v>0</v>
      </c>
      <c r="H580" s="274">
        <v>0</v>
      </c>
      <c r="K580" s="274"/>
    </row>
    <row r="581" spans="2:11" ht="13.5" customHeight="1">
      <c r="B581" s="209" t="s">
        <v>954</v>
      </c>
      <c r="C581" s="209" t="s">
        <v>2444</v>
      </c>
      <c r="D581" s="449" t="s">
        <v>136</v>
      </c>
      <c r="E581" s="273">
        <v>0</v>
      </c>
      <c r="F581" s="274"/>
      <c r="G581" s="274">
        <f t="shared" si="2"/>
        <v>0</v>
      </c>
      <c r="H581" s="274">
        <v>0</v>
      </c>
      <c r="K581" s="274"/>
    </row>
    <row r="582" spans="2:11" ht="13.5" customHeight="1">
      <c r="B582" s="209" t="s">
        <v>954</v>
      </c>
      <c r="C582" s="209" t="s">
        <v>2444</v>
      </c>
      <c r="D582" s="450" t="s">
        <v>137</v>
      </c>
      <c r="E582" s="273">
        <v>0</v>
      </c>
      <c r="F582" s="274"/>
      <c r="G582" s="274">
        <f t="shared" si="2"/>
        <v>0</v>
      </c>
      <c r="H582" s="274">
        <v>0</v>
      </c>
      <c r="K582" s="274"/>
    </row>
    <row r="583" spans="2:11" ht="13.5" customHeight="1">
      <c r="B583" s="209" t="s">
        <v>954</v>
      </c>
      <c r="C583" s="209" t="s">
        <v>2444</v>
      </c>
      <c r="D583" s="451" t="s">
        <v>138</v>
      </c>
      <c r="E583" s="273">
        <v>0</v>
      </c>
      <c r="F583" s="274"/>
      <c r="G583" s="274">
        <f t="shared" si="2"/>
        <v>0</v>
      </c>
      <c r="H583" s="274">
        <v>0</v>
      </c>
      <c r="K583" s="274"/>
    </row>
    <row r="584" spans="2:11" ht="13.5" customHeight="1">
      <c r="B584" s="209" t="s">
        <v>954</v>
      </c>
      <c r="C584" s="209" t="s">
        <v>2444</v>
      </c>
      <c r="D584" s="452" t="s">
        <v>139</v>
      </c>
      <c r="E584" s="273">
        <v>0</v>
      </c>
      <c r="F584" s="274"/>
      <c r="G584" s="274">
        <f t="shared" si="2"/>
        <v>0</v>
      </c>
      <c r="H584" s="274">
        <v>0</v>
      </c>
      <c r="K584" s="274"/>
    </row>
    <row r="585" spans="2:11" ht="13.5" customHeight="1">
      <c r="B585" s="209" t="s">
        <v>954</v>
      </c>
      <c r="C585" s="209" t="s">
        <v>2444</v>
      </c>
      <c r="D585" s="216" t="s">
        <v>140</v>
      </c>
      <c r="E585" s="273">
        <v>0</v>
      </c>
      <c r="F585" s="274"/>
      <c r="G585" s="274">
        <f t="shared" si="2"/>
        <v>0</v>
      </c>
      <c r="H585" s="274">
        <v>0</v>
      </c>
      <c r="K585" s="274"/>
    </row>
    <row r="586" spans="2:11" ht="13.5" customHeight="1">
      <c r="B586" s="209" t="s">
        <v>954</v>
      </c>
      <c r="C586" s="209" t="s">
        <v>2444</v>
      </c>
      <c r="D586" s="453" t="s">
        <v>141</v>
      </c>
      <c r="E586" s="273">
        <v>0</v>
      </c>
      <c r="F586" s="274"/>
      <c r="G586" s="274">
        <f t="shared" si="2"/>
        <v>0</v>
      </c>
      <c r="H586" s="274">
        <v>0</v>
      </c>
      <c r="K586" s="274"/>
    </row>
    <row r="587" spans="2:11" ht="13.5" customHeight="1">
      <c r="B587" s="209" t="s">
        <v>1127</v>
      </c>
      <c r="C587" s="209" t="s">
        <v>2445</v>
      </c>
      <c r="D587" s="446" t="s">
        <v>133</v>
      </c>
      <c r="E587" s="273">
        <v>0</v>
      </c>
      <c r="F587" s="274"/>
      <c r="G587" s="274">
        <f t="shared" si="2"/>
        <v>0</v>
      </c>
      <c r="H587" s="274">
        <v>0</v>
      </c>
      <c r="K587" s="274"/>
    </row>
    <row r="588" spans="2:11" ht="13.5" customHeight="1">
      <c r="B588" s="209" t="s">
        <v>1127</v>
      </c>
      <c r="C588" s="209" t="s">
        <v>2445</v>
      </c>
      <c r="D588" s="447" t="s">
        <v>134</v>
      </c>
      <c r="E588" s="273">
        <v>0</v>
      </c>
      <c r="F588" s="274"/>
      <c r="G588" s="274">
        <f t="shared" si="2"/>
        <v>0</v>
      </c>
      <c r="H588" s="274">
        <v>0</v>
      </c>
      <c r="K588" s="274"/>
    </row>
    <row r="589" spans="2:11" ht="13.5" customHeight="1">
      <c r="B589" s="209" t="s">
        <v>1127</v>
      </c>
      <c r="C589" s="209" t="s">
        <v>2445</v>
      </c>
      <c r="D589" s="448" t="s">
        <v>135</v>
      </c>
      <c r="E589" s="273">
        <v>0</v>
      </c>
      <c r="F589" s="274"/>
      <c r="G589" s="274">
        <f t="shared" si="2"/>
        <v>0</v>
      </c>
      <c r="H589" s="274">
        <v>0</v>
      </c>
      <c r="K589" s="274"/>
    </row>
    <row r="590" spans="2:11" ht="13.5" customHeight="1">
      <c r="B590" s="209" t="s">
        <v>1127</v>
      </c>
      <c r="C590" s="209" t="s">
        <v>2445</v>
      </c>
      <c r="D590" s="449" t="s">
        <v>136</v>
      </c>
      <c r="E590" s="273">
        <v>0</v>
      </c>
      <c r="F590" s="274"/>
      <c r="G590" s="274">
        <f t="shared" si="2"/>
        <v>0</v>
      </c>
      <c r="H590" s="274">
        <v>0</v>
      </c>
      <c r="K590" s="274"/>
    </row>
    <row r="591" spans="2:11" ht="13.5" customHeight="1">
      <c r="B591" s="209" t="s">
        <v>1127</v>
      </c>
      <c r="C591" s="209" t="s">
        <v>2445</v>
      </c>
      <c r="D591" s="450" t="s">
        <v>137</v>
      </c>
      <c r="E591" s="273">
        <v>0</v>
      </c>
      <c r="F591" s="274"/>
      <c r="G591" s="274">
        <f t="shared" si="2"/>
        <v>0</v>
      </c>
      <c r="H591" s="274">
        <v>0</v>
      </c>
      <c r="K591" s="274"/>
    </row>
    <row r="592" spans="2:11" ht="13.5" customHeight="1">
      <c r="B592" s="209" t="s">
        <v>1127</v>
      </c>
      <c r="C592" s="209" t="s">
        <v>2445</v>
      </c>
      <c r="D592" s="451" t="s">
        <v>138</v>
      </c>
      <c r="E592" s="273">
        <v>0</v>
      </c>
      <c r="F592" s="274"/>
      <c r="G592" s="274">
        <f t="shared" si="2"/>
        <v>0</v>
      </c>
      <c r="H592" s="274">
        <v>0</v>
      </c>
      <c r="K592" s="274"/>
    </row>
    <row r="593" spans="2:11" ht="13.5" customHeight="1">
      <c r="B593" s="209" t="s">
        <v>1127</v>
      </c>
      <c r="C593" s="209" t="s">
        <v>2445</v>
      </c>
      <c r="D593" s="452" t="s">
        <v>139</v>
      </c>
      <c r="E593" s="273">
        <v>0</v>
      </c>
      <c r="F593" s="274"/>
      <c r="G593" s="274">
        <f t="shared" si="2"/>
        <v>0</v>
      </c>
      <c r="H593" s="274">
        <v>0</v>
      </c>
      <c r="K593" s="274"/>
    </row>
    <row r="594" spans="2:11" ht="13.5" customHeight="1">
      <c r="B594" s="209" t="s">
        <v>1127</v>
      </c>
      <c r="C594" s="209" t="s">
        <v>2445</v>
      </c>
      <c r="D594" s="216" t="s">
        <v>140</v>
      </c>
      <c r="E594" s="273">
        <v>0</v>
      </c>
      <c r="F594" s="274"/>
      <c r="G594" s="274">
        <f t="shared" si="2"/>
        <v>0</v>
      </c>
      <c r="H594" s="274">
        <v>0</v>
      </c>
      <c r="K594" s="274"/>
    </row>
    <row r="595" spans="2:11" ht="13.5" customHeight="1">
      <c r="B595" s="209" t="s">
        <v>1127</v>
      </c>
      <c r="C595" s="209" t="s">
        <v>2445</v>
      </c>
      <c r="D595" s="453" t="s">
        <v>141</v>
      </c>
      <c r="E595" s="273">
        <v>0</v>
      </c>
      <c r="F595" s="274"/>
      <c r="G595" s="274">
        <f t="shared" si="2"/>
        <v>0</v>
      </c>
      <c r="H595" s="274">
        <v>0</v>
      </c>
      <c r="K595" s="274"/>
    </row>
    <row r="596" spans="2:11" ht="13.5" customHeight="1">
      <c r="B596" s="209" t="s">
        <v>1129</v>
      </c>
      <c r="C596" s="209" t="s">
        <v>2446</v>
      </c>
      <c r="D596" s="446" t="s">
        <v>133</v>
      </c>
      <c r="E596" s="273">
        <v>0</v>
      </c>
      <c r="F596" s="274"/>
      <c r="G596" s="274">
        <f t="shared" si="2"/>
        <v>0</v>
      </c>
      <c r="H596" s="274">
        <v>0</v>
      </c>
      <c r="K596" s="274"/>
    </row>
    <row r="597" spans="2:11" ht="13.5" customHeight="1">
      <c r="B597" s="209" t="s">
        <v>1129</v>
      </c>
      <c r="C597" s="209" t="s">
        <v>2446</v>
      </c>
      <c r="D597" s="447" t="s">
        <v>134</v>
      </c>
      <c r="E597" s="273">
        <v>0</v>
      </c>
      <c r="F597" s="274"/>
      <c r="G597" s="274">
        <f t="shared" si="2"/>
        <v>0</v>
      </c>
      <c r="H597" s="274">
        <v>0</v>
      </c>
      <c r="K597" s="274"/>
    </row>
    <row r="598" spans="2:11" ht="13.5" customHeight="1">
      <c r="B598" s="209" t="s">
        <v>1129</v>
      </c>
      <c r="C598" s="209" t="s">
        <v>2446</v>
      </c>
      <c r="D598" s="448" t="s">
        <v>135</v>
      </c>
      <c r="E598" s="273">
        <v>0</v>
      </c>
      <c r="F598" s="274"/>
      <c r="G598" s="274">
        <f t="shared" si="2"/>
        <v>0</v>
      </c>
      <c r="H598" s="274">
        <v>0</v>
      </c>
      <c r="K598" s="274"/>
    </row>
    <row r="599" spans="2:11" ht="13.5" customHeight="1">
      <c r="B599" s="209" t="s">
        <v>1129</v>
      </c>
      <c r="C599" s="209" t="s">
        <v>2446</v>
      </c>
      <c r="D599" s="449" t="s">
        <v>136</v>
      </c>
      <c r="E599" s="273">
        <v>0</v>
      </c>
      <c r="F599" s="274"/>
      <c r="G599" s="274">
        <f t="shared" si="2"/>
        <v>0</v>
      </c>
      <c r="H599" s="274">
        <v>0</v>
      </c>
      <c r="K599" s="274"/>
    </row>
    <row r="600" spans="2:11" ht="13.5" customHeight="1">
      <c r="B600" s="209" t="s">
        <v>1129</v>
      </c>
      <c r="C600" s="209" t="s">
        <v>2446</v>
      </c>
      <c r="D600" s="450" t="s">
        <v>137</v>
      </c>
      <c r="E600" s="273">
        <v>0</v>
      </c>
      <c r="F600" s="274"/>
      <c r="G600" s="274">
        <f t="shared" si="2"/>
        <v>0</v>
      </c>
      <c r="H600" s="274">
        <v>0</v>
      </c>
      <c r="K600" s="274"/>
    </row>
    <row r="601" spans="2:11" ht="13.5" customHeight="1">
      <c r="B601" s="209" t="s">
        <v>1129</v>
      </c>
      <c r="C601" s="209" t="s">
        <v>2446</v>
      </c>
      <c r="D601" s="451" t="s">
        <v>138</v>
      </c>
      <c r="E601" s="273">
        <v>0</v>
      </c>
      <c r="F601" s="274"/>
      <c r="G601" s="274">
        <f t="shared" si="2"/>
        <v>0</v>
      </c>
      <c r="H601" s="274">
        <v>0</v>
      </c>
      <c r="K601" s="274"/>
    </row>
    <row r="602" spans="2:11" ht="13.5" customHeight="1">
      <c r="B602" s="209" t="s">
        <v>1129</v>
      </c>
      <c r="C602" s="209" t="s">
        <v>2446</v>
      </c>
      <c r="D602" s="452" t="s">
        <v>139</v>
      </c>
      <c r="E602" s="273">
        <v>0</v>
      </c>
      <c r="F602" s="274"/>
      <c r="G602" s="274">
        <f t="shared" si="2"/>
        <v>0</v>
      </c>
      <c r="H602" s="274">
        <v>0</v>
      </c>
      <c r="K602" s="274"/>
    </row>
    <row r="603" spans="2:11" ht="13.5" customHeight="1">
      <c r="B603" s="209" t="s">
        <v>1129</v>
      </c>
      <c r="C603" s="209" t="s">
        <v>2446</v>
      </c>
      <c r="D603" s="216" t="s">
        <v>140</v>
      </c>
      <c r="E603" s="273">
        <v>0</v>
      </c>
      <c r="F603" s="274"/>
      <c r="G603" s="274">
        <f t="shared" si="2"/>
        <v>0</v>
      </c>
      <c r="H603" s="274">
        <v>0</v>
      </c>
      <c r="K603" s="274"/>
    </row>
    <row r="604" spans="2:11" ht="13.5" customHeight="1">
      <c r="B604" s="209" t="s">
        <v>1129</v>
      </c>
      <c r="C604" s="209" t="s">
        <v>2446</v>
      </c>
      <c r="D604" s="453" t="s">
        <v>141</v>
      </c>
      <c r="E604" s="273">
        <v>0</v>
      </c>
      <c r="F604" s="274"/>
      <c r="G604" s="274">
        <f t="shared" si="2"/>
        <v>0</v>
      </c>
      <c r="H604" s="274">
        <v>0</v>
      </c>
      <c r="K604" s="274"/>
    </row>
    <row r="605" spans="2:11" ht="13.5" customHeight="1">
      <c r="B605" s="209" t="s">
        <v>1131</v>
      </c>
      <c r="C605" s="209" t="s">
        <v>2447</v>
      </c>
      <c r="D605" s="446" t="s">
        <v>133</v>
      </c>
      <c r="E605" s="273">
        <v>0</v>
      </c>
      <c r="F605" s="274"/>
      <c r="G605" s="274">
        <f t="shared" si="2"/>
        <v>0</v>
      </c>
      <c r="H605" s="274">
        <v>0</v>
      </c>
      <c r="K605" s="274"/>
    </row>
    <row r="606" spans="2:11" ht="13.5" customHeight="1">
      <c r="B606" s="209" t="s">
        <v>1131</v>
      </c>
      <c r="C606" s="209" t="s">
        <v>2447</v>
      </c>
      <c r="D606" s="447" t="s">
        <v>134</v>
      </c>
      <c r="E606" s="273">
        <v>0</v>
      </c>
      <c r="F606" s="274"/>
      <c r="G606" s="274">
        <f t="shared" si="2"/>
        <v>0</v>
      </c>
      <c r="H606" s="274">
        <v>0</v>
      </c>
      <c r="K606" s="274"/>
    </row>
    <row r="607" spans="2:11" ht="13.5" customHeight="1">
      <c r="B607" s="209" t="s">
        <v>1131</v>
      </c>
      <c r="C607" s="209" t="s">
        <v>2447</v>
      </c>
      <c r="D607" s="448" t="s">
        <v>135</v>
      </c>
      <c r="E607" s="273">
        <v>0</v>
      </c>
      <c r="F607" s="274"/>
      <c r="G607" s="274">
        <f t="shared" si="2"/>
        <v>0</v>
      </c>
      <c r="H607" s="274">
        <v>0</v>
      </c>
      <c r="K607" s="274"/>
    </row>
    <row r="608" spans="2:11" ht="13.5" customHeight="1">
      <c r="B608" s="209" t="s">
        <v>1131</v>
      </c>
      <c r="C608" s="209" t="s">
        <v>2447</v>
      </c>
      <c r="D608" s="449" t="s">
        <v>136</v>
      </c>
      <c r="E608" s="273">
        <v>0</v>
      </c>
      <c r="F608" s="274"/>
      <c r="G608" s="274">
        <f t="shared" si="2"/>
        <v>0</v>
      </c>
      <c r="H608" s="274">
        <v>0</v>
      </c>
      <c r="K608" s="274"/>
    </row>
    <row r="609" spans="2:11" ht="13.5" customHeight="1">
      <c r="B609" s="209" t="s">
        <v>1131</v>
      </c>
      <c r="C609" s="209" t="s">
        <v>2447</v>
      </c>
      <c r="D609" s="450" t="s">
        <v>137</v>
      </c>
      <c r="E609" s="273">
        <v>0</v>
      </c>
      <c r="F609" s="274"/>
      <c r="G609" s="274">
        <f t="shared" si="2"/>
        <v>0</v>
      </c>
      <c r="H609" s="274">
        <v>0</v>
      </c>
      <c r="K609" s="274"/>
    </row>
    <row r="610" spans="2:11" ht="13.5" customHeight="1">
      <c r="B610" s="209" t="s">
        <v>1131</v>
      </c>
      <c r="C610" s="209" t="s">
        <v>2447</v>
      </c>
      <c r="D610" s="451" t="s">
        <v>138</v>
      </c>
      <c r="E610" s="273">
        <v>0</v>
      </c>
      <c r="F610" s="274"/>
      <c r="G610" s="274">
        <f t="shared" si="2"/>
        <v>0</v>
      </c>
      <c r="H610" s="274">
        <v>0</v>
      </c>
      <c r="K610" s="274"/>
    </row>
    <row r="611" spans="2:11" ht="13.5" customHeight="1">
      <c r="B611" s="209" t="s">
        <v>1131</v>
      </c>
      <c r="C611" s="209" t="s">
        <v>2447</v>
      </c>
      <c r="D611" s="452" t="s">
        <v>139</v>
      </c>
      <c r="E611" s="273">
        <v>0</v>
      </c>
      <c r="F611" s="274"/>
      <c r="G611" s="274">
        <f t="shared" si="2"/>
        <v>0</v>
      </c>
      <c r="H611" s="274">
        <v>0</v>
      </c>
      <c r="K611" s="274"/>
    </row>
    <row r="612" spans="2:11" ht="13.5" customHeight="1">
      <c r="B612" s="209" t="s">
        <v>1131</v>
      </c>
      <c r="C612" s="209" t="s">
        <v>2447</v>
      </c>
      <c r="D612" s="216" t="s">
        <v>140</v>
      </c>
      <c r="E612" s="273">
        <v>0</v>
      </c>
      <c r="F612" s="274"/>
      <c r="G612" s="274">
        <f t="shared" si="2"/>
        <v>0</v>
      </c>
      <c r="H612" s="274">
        <v>0</v>
      </c>
      <c r="K612" s="274"/>
    </row>
    <row r="613" spans="2:11" ht="13.5" customHeight="1">
      <c r="B613" s="209" t="s">
        <v>1131</v>
      </c>
      <c r="C613" s="209" t="s">
        <v>2447</v>
      </c>
      <c r="D613" s="453" t="s">
        <v>141</v>
      </c>
      <c r="E613" s="273">
        <v>0</v>
      </c>
      <c r="F613" s="274"/>
      <c r="G613" s="274">
        <f t="shared" si="2"/>
        <v>0</v>
      </c>
      <c r="H613" s="274">
        <v>0</v>
      </c>
      <c r="K613" s="274"/>
    </row>
    <row r="614" spans="2:11" ht="13.5" customHeight="1">
      <c r="B614" s="209" t="s">
        <v>1105</v>
      </c>
      <c r="C614" s="209" t="s">
        <v>2448</v>
      </c>
      <c r="D614" s="446" t="s">
        <v>133</v>
      </c>
      <c r="E614" s="273">
        <v>0</v>
      </c>
      <c r="F614" s="274"/>
      <c r="G614" s="274">
        <f t="shared" si="2"/>
        <v>0</v>
      </c>
      <c r="H614" s="274">
        <v>0</v>
      </c>
      <c r="K614" s="274"/>
    </row>
    <row r="615" spans="2:11" ht="13.5" customHeight="1">
      <c r="B615" s="209" t="s">
        <v>1105</v>
      </c>
      <c r="C615" s="209" t="s">
        <v>2448</v>
      </c>
      <c r="D615" s="447" t="s">
        <v>134</v>
      </c>
      <c r="E615" s="273">
        <v>0</v>
      </c>
      <c r="F615" s="274"/>
      <c r="G615" s="274">
        <f t="shared" si="2"/>
        <v>0</v>
      </c>
      <c r="H615" s="274">
        <v>0</v>
      </c>
      <c r="K615" s="274"/>
    </row>
    <row r="616" spans="2:11" ht="13.5" customHeight="1">
      <c r="B616" s="209" t="s">
        <v>1105</v>
      </c>
      <c r="C616" s="209" t="s">
        <v>2448</v>
      </c>
      <c r="D616" s="448" t="s">
        <v>135</v>
      </c>
      <c r="E616" s="273">
        <v>0</v>
      </c>
      <c r="F616" s="274"/>
      <c r="G616" s="274">
        <f t="shared" si="2"/>
        <v>0</v>
      </c>
      <c r="H616" s="274">
        <v>0</v>
      </c>
      <c r="K616" s="274"/>
    </row>
    <row r="617" spans="2:11" ht="13.5" customHeight="1">
      <c r="B617" s="209" t="s">
        <v>1105</v>
      </c>
      <c r="C617" s="209" t="s">
        <v>2448</v>
      </c>
      <c r="D617" s="449" t="s">
        <v>136</v>
      </c>
      <c r="E617" s="273">
        <v>0</v>
      </c>
      <c r="F617" s="274"/>
      <c r="G617" s="274">
        <f t="shared" si="2"/>
        <v>0</v>
      </c>
      <c r="H617" s="274">
        <v>0</v>
      </c>
      <c r="K617" s="274"/>
    </row>
    <row r="618" spans="2:11" ht="13.5" customHeight="1">
      <c r="B618" s="209" t="s">
        <v>1105</v>
      </c>
      <c r="C618" s="209" t="s">
        <v>2448</v>
      </c>
      <c r="D618" s="450" t="s">
        <v>137</v>
      </c>
      <c r="E618" s="273">
        <v>0</v>
      </c>
      <c r="F618" s="274"/>
      <c r="G618" s="274">
        <f t="shared" si="2"/>
        <v>0</v>
      </c>
      <c r="H618" s="274">
        <v>0</v>
      </c>
      <c r="K618" s="274"/>
    </row>
    <row r="619" spans="2:11" ht="13.5" customHeight="1">
      <c r="B619" s="209" t="s">
        <v>1105</v>
      </c>
      <c r="C619" s="209" t="s">
        <v>2448</v>
      </c>
      <c r="D619" s="451" t="s">
        <v>138</v>
      </c>
      <c r="E619" s="273">
        <v>0</v>
      </c>
      <c r="F619" s="274"/>
      <c r="G619" s="274">
        <f t="shared" si="2"/>
        <v>0</v>
      </c>
      <c r="H619" s="274">
        <v>0</v>
      </c>
      <c r="K619" s="274"/>
    </row>
    <row r="620" spans="2:11" ht="13.5" customHeight="1">
      <c r="B620" s="209" t="s">
        <v>1105</v>
      </c>
      <c r="C620" s="209" t="s">
        <v>2448</v>
      </c>
      <c r="D620" s="452" t="s">
        <v>139</v>
      </c>
      <c r="E620" s="273">
        <v>0</v>
      </c>
      <c r="F620" s="274"/>
      <c r="G620" s="274">
        <f t="shared" si="2"/>
        <v>0</v>
      </c>
      <c r="H620" s="274">
        <v>0</v>
      </c>
      <c r="K620" s="274"/>
    </row>
    <row r="621" spans="2:11" ht="13.5" customHeight="1">
      <c r="B621" s="209" t="s">
        <v>1105</v>
      </c>
      <c r="C621" s="209" t="s">
        <v>2448</v>
      </c>
      <c r="D621" s="216" t="s">
        <v>140</v>
      </c>
      <c r="E621" s="273">
        <v>0</v>
      </c>
      <c r="F621" s="274"/>
      <c r="G621" s="274">
        <f t="shared" si="2"/>
        <v>0</v>
      </c>
      <c r="H621" s="274">
        <v>0</v>
      </c>
      <c r="K621" s="274"/>
    </row>
    <row r="622" spans="2:11" ht="13.5" customHeight="1">
      <c r="B622" s="209" t="s">
        <v>1105</v>
      </c>
      <c r="C622" s="209" t="s">
        <v>2448</v>
      </c>
      <c r="D622" s="453" t="s">
        <v>141</v>
      </c>
      <c r="E622" s="273">
        <v>0</v>
      </c>
      <c r="F622" s="274"/>
      <c r="G622" s="274">
        <f t="shared" si="2"/>
        <v>0</v>
      </c>
      <c r="H622" s="274">
        <v>0</v>
      </c>
      <c r="K622" s="274"/>
    </row>
    <row r="623" spans="2:11" ht="13.5" customHeight="1">
      <c r="B623" s="209" t="s">
        <v>982</v>
      </c>
      <c r="C623" s="209" t="s">
        <v>2449</v>
      </c>
      <c r="D623" s="446" t="s">
        <v>133</v>
      </c>
      <c r="E623" s="273">
        <v>0</v>
      </c>
      <c r="F623" s="274"/>
      <c r="G623" s="274">
        <f t="shared" si="2"/>
        <v>0</v>
      </c>
      <c r="H623" s="274">
        <v>0</v>
      </c>
      <c r="K623" s="274"/>
    </row>
    <row r="624" spans="2:11" ht="13.5" customHeight="1">
      <c r="B624" s="209" t="s">
        <v>982</v>
      </c>
      <c r="C624" s="209" t="s">
        <v>2449</v>
      </c>
      <c r="D624" s="447" t="s">
        <v>134</v>
      </c>
      <c r="E624" s="273">
        <v>0</v>
      </c>
      <c r="F624" s="274"/>
      <c r="G624" s="274">
        <f t="shared" si="2"/>
        <v>0</v>
      </c>
      <c r="H624" s="274">
        <v>0</v>
      </c>
      <c r="K624" s="274"/>
    </row>
    <row r="625" spans="2:11" ht="13.5" customHeight="1">
      <c r="B625" s="209" t="s">
        <v>982</v>
      </c>
      <c r="C625" s="209" t="s">
        <v>2449</v>
      </c>
      <c r="D625" s="448" t="s">
        <v>135</v>
      </c>
      <c r="E625" s="273">
        <v>0</v>
      </c>
      <c r="F625" s="274"/>
      <c r="G625" s="274">
        <f t="shared" si="2"/>
        <v>0</v>
      </c>
      <c r="H625" s="274">
        <v>0</v>
      </c>
      <c r="K625" s="274"/>
    </row>
    <row r="626" spans="2:11" ht="13.5" customHeight="1">
      <c r="B626" s="209" t="s">
        <v>982</v>
      </c>
      <c r="C626" s="209" t="s">
        <v>2449</v>
      </c>
      <c r="D626" s="449" t="s">
        <v>136</v>
      </c>
      <c r="E626" s="273">
        <v>0</v>
      </c>
      <c r="F626" s="274"/>
      <c r="G626" s="274">
        <f t="shared" si="2"/>
        <v>0</v>
      </c>
      <c r="H626" s="274">
        <v>0</v>
      </c>
      <c r="K626" s="274"/>
    </row>
    <row r="627" spans="2:11" ht="13.5" customHeight="1">
      <c r="B627" s="209" t="s">
        <v>982</v>
      </c>
      <c r="C627" s="209" t="s">
        <v>2449</v>
      </c>
      <c r="D627" s="450" t="s">
        <v>137</v>
      </c>
      <c r="E627" s="273">
        <v>0</v>
      </c>
      <c r="F627" s="274"/>
      <c r="G627" s="274">
        <f t="shared" si="2"/>
        <v>0</v>
      </c>
      <c r="H627" s="274">
        <v>0</v>
      </c>
      <c r="K627" s="274"/>
    </row>
    <row r="628" spans="2:11" ht="13.5" customHeight="1">
      <c r="B628" s="209" t="s">
        <v>982</v>
      </c>
      <c r="C628" s="209" t="s">
        <v>2449</v>
      </c>
      <c r="D628" s="451" t="s">
        <v>138</v>
      </c>
      <c r="E628" s="273">
        <v>0</v>
      </c>
      <c r="F628" s="274"/>
      <c r="G628" s="274">
        <f t="shared" si="2"/>
        <v>0</v>
      </c>
      <c r="H628" s="274">
        <v>0</v>
      </c>
      <c r="K628" s="274"/>
    </row>
    <row r="629" spans="2:11" ht="13.5" customHeight="1">
      <c r="B629" s="209" t="s">
        <v>982</v>
      </c>
      <c r="C629" s="209" t="s">
        <v>2449</v>
      </c>
      <c r="D629" s="452" t="s">
        <v>139</v>
      </c>
      <c r="E629" s="273">
        <v>0</v>
      </c>
      <c r="F629" s="274"/>
      <c r="G629" s="274">
        <f t="shared" si="2"/>
        <v>0</v>
      </c>
      <c r="H629" s="274">
        <v>0</v>
      </c>
      <c r="K629" s="274"/>
    </row>
    <row r="630" spans="2:11" ht="13.5" customHeight="1">
      <c r="B630" s="209" t="s">
        <v>982</v>
      </c>
      <c r="C630" s="209" t="s">
        <v>2449</v>
      </c>
      <c r="D630" s="216" t="s">
        <v>140</v>
      </c>
      <c r="E630" s="273">
        <v>0</v>
      </c>
      <c r="F630" s="274"/>
      <c r="G630" s="274">
        <f t="shared" si="2"/>
        <v>0</v>
      </c>
      <c r="H630" s="274">
        <v>0</v>
      </c>
      <c r="K630" s="274"/>
    </row>
    <row r="631" spans="2:11" ht="13.5" customHeight="1">
      <c r="B631" s="209" t="s">
        <v>982</v>
      </c>
      <c r="C631" s="209" t="s">
        <v>2449</v>
      </c>
      <c r="D631" s="453" t="s">
        <v>141</v>
      </c>
      <c r="E631" s="273">
        <v>0</v>
      </c>
      <c r="F631" s="274"/>
      <c r="G631" s="274">
        <f t="shared" si="2"/>
        <v>0</v>
      </c>
      <c r="H631" s="274">
        <v>0</v>
      </c>
      <c r="K631" s="274"/>
    </row>
    <row r="632" spans="2:11" ht="13.5" customHeight="1">
      <c r="B632" s="209" t="s">
        <v>956</v>
      </c>
      <c r="C632" s="209" t="s">
        <v>2450</v>
      </c>
      <c r="D632" s="446" t="s">
        <v>133</v>
      </c>
      <c r="E632" s="273">
        <v>0</v>
      </c>
      <c r="F632" s="274"/>
      <c r="G632" s="274">
        <f t="shared" si="2"/>
        <v>0</v>
      </c>
      <c r="H632" s="274">
        <v>0</v>
      </c>
      <c r="K632" s="274"/>
    </row>
    <row r="633" spans="2:11" ht="13.5" customHeight="1">
      <c r="B633" s="209" t="s">
        <v>956</v>
      </c>
      <c r="C633" s="209" t="s">
        <v>2450</v>
      </c>
      <c r="D633" s="447" t="s">
        <v>134</v>
      </c>
      <c r="E633" s="273">
        <v>0</v>
      </c>
      <c r="F633" s="274"/>
      <c r="G633" s="274">
        <f t="shared" si="2"/>
        <v>0</v>
      </c>
      <c r="H633" s="274">
        <v>0</v>
      </c>
      <c r="K633" s="274"/>
    </row>
    <row r="634" spans="2:11" ht="13.5" customHeight="1">
      <c r="B634" s="209" t="s">
        <v>956</v>
      </c>
      <c r="C634" s="209" t="s">
        <v>2450</v>
      </c>
      <c r="D634" s="448" t="s">
        <v>135</v>
      </c>
      <c r="E634" s="273">
        <v>0</v>
      </c>
      <c r="F634" s="274"/>
      <c r="G634" s="274">
        <f t="shared" si="2"/>
        <v>0</v>
      </c>
      <c r="H634" s="274">
        <v>0</v>
      </c>
      <c r="K634" s="274"/>
    </row>
    <row r="635" spans="2:11" ht="13.5" customHeight="1">
      <c r="B635" s="209" t="s">
        <v>956</v>
      </c>
      <c r="C635" s="209" t="s">
        <v>2450</v>
      </c>
      <c r="D635" s="449" t="s">
        <v>136</v>
      </c>
      <c r="E635" s="273">
        <v>0</v>
      </c>
      <c r="F635" s="274"/>
      <c r="G635" s="274">
        <f t="shared" si="2"/>
        <v>0</v>
      </c>
      <c r="H635" s="274">
        <v>0</v>
      </c>
      <c r="K635" s="274"/>
    </row>
    <row r="636" spans="2:11" ht="13.5" customHeight="1">
      <c r="B636" s="209" t="s">
        <v>956</v>
      </c>
      <c r="C636" s="209" t="s">
        <v>2450</v>
      </c>
      <c r="D636" s="450" t="s">
        <v>137</v>
      </c>
      <c r="E636" s="273">
        <v>0</v>
      </c>
      <c r="F636" s="274"/>
      <c r="G636" s="274">
        <f t="shared" si="2"/>
        <v>0</v>
      </c>
      <c r="H636" s="274">
        <v>0</v>
      </c>
      <c r="K636" s="274"/>
    </row>
    <row r="637" spans="2:11" ht="13.5" customHeight="1">
      <c r="B637" s="209" t="s">
        <v>956</v>
      </c>
      <c r="C637" s="209" t="s">
        <v>2450</v>
      </c>
      <c r="D637" s="451" t="s">
        <v>138</v>
      </c>
      <c r="E637" s="273">
        <v>0</v>
      </c>
      <c r="F637" s="274"/>
      <c r="G637" s="274">
        <f t="shared" si="2"/>
        <v>0</v>
      </c>
      <c r="H637" s="274">
        <v>0</v>
      </c>
      <c r="K637" s="274"/>
    </row>
    <row r="638" spans="2:11" ht="13.5" customHeight="1">
      <c r="B638" s="209" t="s">
        <v>956</v>
      </c>
      <c r="C638" s="209" t="s">
        <v>2450</v>
      </c>
      <c r="D638" s="452" t="s">
        <v>139</v>
      </c>
      <c r="E638" s="273">
        <v>0</v>
      </c>
      <c r="F638" s="274"/>
      <c r="G638" s="274">
        <f t="shared" si="2"/>
        <v>0</v>
      </c>
      <c r="H638" s="274">
        <v>0</v>
      </c>
      <c r="K638" s="274"/>
    </row>
    <row r="639" spans="2:11" ht="13.5" customHeight="1">
      <c r="B639" s="209" t="s">
        <v>956</v>
      </c>
      <c r="C639" s="209" t="s">
        <v>2450</v>
      </c>
      <c r="D639" s="216" t="s">
        <v>140</v>
      </c>
      <c r="E639" s="273">
        <v>0</v>
      </c>
      <c r="F639" s="274"/>
      <c r="G639" s="274">
        <f t="shared" si="2"/>
        <v>0</v>
      </c>
      <c r="H639" s="274">
        <v>0</v>
      </c>
      <c r="K639" s="274"/>
    </row>
    <row r="640" spans="2:11" ht="13.5" customHeight="1">
      <c r="B640" s="209" t="s">
        <v>956</v>
      </c>
      <c r="C640" s="209" t="s">
        <v>2450</v>
      </c>
      <c r="D640" s="453" t="s">
        <v>141</v>
      </c>
      <c r="E640" s="273">
        <v>0</v>
      </c>
      <c r="F640" s="274"/>
      <c r="G640" s="274">
        <f t="shared" si="2"/>
        <v>0</v>
      </c>
      <c r="H640" s="274">
        <v>0</v>
      </c>
      <c r="K640" s="274"/>
    </row>
    <row r="641" spans="2:11" ht="13.5" customHeight="1">
      <c r="B641" s="209" t="s">
        <v>233</v>
      </c>
      <c r="C641" s="209" t="s">
        <v>2451</v>
      </c>
      <c r="D641" s="446" t="s">
        <v>133</v>
      </c>
      <c r="E641" s="273">
        <v>0</v>
      </c>
      <c r="F641" s="274"/>
      <c r="G641" s="274">
        <f t="shared" si="2"/>
        <v>0</v>
      </c>
      <c r="H641" s="274">
        <v>0</v>
      </c>
      <c r="K641" s="274"/>
    </row>
    <row r="642" spans="2:11" ht="13.5" customHeight="1">
      <c r="B642" s="209" t="s">
        <v>233</v>
      </c>
      <c r="C642" s="209" t="s">
        <v>2451</v>
      </c>
      <c r="D642" s="447" t="s">
        <v>134</v>
      </c>
      <c r="E642" s="273">
        <v>0</v>
      </c>
      <c r="F642" s="274"/>
      <c r="G642" s="274">
        <f t="shared" si="2"/>
        <v>0</v>
      </c>
      <c r="H642" s="274">
        <v>0</v>
      </c>
      <c r="K642" s="274"/>
    </row>
    <row r="643" spans="2:11" ht="13.5" customHeight="1">
      <c r="B643" s="209" t="s">
        <v>233</v>
      </c>
      <c r="C643" s="209" t="s">
        <v>2451</v>
      </c>
      <c r="D643" s="448" t="s">
        <v>135</v>
      </c>
      <c r="E643" s="273">
        <v>0</v>
      </c>
      <c r="F643" s="274"/>
      <c r="G643" s="274">
        <f t="shared" si="2"/>
        <v>0</v>
      </c>
      <c r="H643" s="274">
        <v>0</v>
      </c>
      <c r="K643" s="274"/>
    </row>
    <row r="644" spans="2:11" ht="13.5" customHeight="1">
      <c r="B644" s="209" t="s">
        <v>233</v>
      </c>
      <c r="C644" s="209" t="s">
        <v>2451</v>
      </c>
      <c r="D644" s="449" t="s">
        <v>136</v>
      </c>
      <c r="E644" s="273">
        <v>0</v>
      </c>
      <c r="F644" s="274"/>
      <c r="G644" s="274">
        <f t="shared" si="2"/>
        <v>0</v>
      </c>
      <c r="H644" s="274">
        <v>0</v>
      </c>
      <c r="K644" s="274"/>
    </row>
    <row r="645" spans="2:11" ht="13.5" customHeight="1">
      <c r="B645" s="209" t="s">
        <v>233</v>
      </c>
      <c r="C645" s="209" t="s">
        <v>2451</v>
      </c>
      <c r="D645" s="450" t="s">
        <v>137</v>
      </c>
      <c r="E645" s="273">
        <v>0</v>
      </c>
      <c r="F645" s="274"/>
      <c r="G645" s="274">
        <f t="shared" si="2"/>
        <v>0</v>
      </c>
      <c r="H645" s="274">
        <v>0</v>
      </c>
      <c r="K645" s="274"/>
    </row>
    <row r="646" spans="2:11" ht="13.5" customHeight="1">
      <c r="B646" s="209" t="s">
        <v>233</v>
      </c>
      <c r="C646" s="209" t="s">
        <v>2451</v>
      </c>
      <c r="D646" s="451" t="s">
        <v>138</v>
      </c>
      <c r="E646" s="273">
        <v>0</v>
      </c>
      <c r="F646" s="274"/>
      <c r="G646" s="274">
        <f t="shared" si="2"/>
        <v>0</v>
      </c>
      <c r="H646" s="274">
        <v>0</v>
      </c>
      <c r="K646" s="274"/>
    </row>
    <row r="647" spans="2:11" ht="13.5" customHeight="1">
      <c r="B647" s="209" t="s">
        <v>233</v>
      </c>
      <c r="C647" s="209" t="s">
        <v>2451</v>
      </c>
      <c r="D647" s="452" t="s">
        <v>139</v>
      </c>
      <c r="E647" s="273">
        <v>0</v>
      </c>
      <c r="F647" s="274"/>
      <c r="G647" s="274">
        <f t="shared" si="2"/>
        <v>0</v>
      </c>
      <c r="H647" s="274">
        <v>0</v>
      </c>
      <c r="K647" s="274"/>
    </row>
    <row r="648" spans="2:11" ht="13.5" customHeight="1">
      <c r="B648" s="209" t="s">
        <v>233</v>
      </c>
      <c r="C648" s="209" t="s">
        <v>2451</v>
      </c>
      <c r="D648" s="216" t="s">
        <v>140</v>
      </c>
      <c r="E648" s="273">
        <v>0</v>
      </c>
      <c r="F648" s="274"/>
      <c r="G648" s="274">
        <f t="shared" si="2"/>
        <v>0</v>
      </c>
      <c r="H648" s="274">
        <v>0</v>
      </c>
      <c r="K648" s="274"/>
    </row>
    <row r="649" spans="2:11" ht="13.5" customHeight="1">
      <c r="B649" s="209" t="s">
        <v>233</v>
      </c>
      <c r="C649" s="209" t="s">
        <v>2451</v>
      </c>
      <c r="D649" s="453" t="s">
        <v>141</v>
      </c>
      <c r="E649" s="273">
        <v>0</v>
      </c>
      <c r="F649" s="274"/>
      <c r="G649" s="274">
        <f t="shared" si="2"/>
        <v>0</v>
      </c>
      <c r="H649" s="274">
        <v>0</v>
      </c>
      <c r="K649" s="274"/>
    </row>
    <row r="650" spans="2:11" ht="13.5" customHeight="1">
      <c r="B650" s="209" t="s">
        <v>906</v>
      </c>
      <c r="C650" s="209" t="s">
        <v>2452</v>
      </c>
      <c r="D650" s="446" t="s">
        <v>133</v>
      </c>
      <c r="E650" s="273">
        <v>0</v>
      </c>
      <c r="F650" s="274"/>
      <c r="G650" s="274">
        <f t="shared" si="2"/>
        <v>0</v>
      </c>
      <c r="H650" s="274">
        <v>0</v>
      </c>
      <c r="K650" s="274"/>
    </row>
    <row r="651" spans="2:11" ht="13.5" customHeight="1">
      <c r="B651" s="209" t="s">
        <v>906</v>
      </c>
      <c r="C651" s="209" t="s">
        <v>2452</v>
      </c>
      <c r="D651" s="447" t="s">
        <v>134</v>
      </c>
      <c r="E651" s="273">
        <v>0</v>
      </c>
      <c r="F651" s="274"/>
      <c r="G651" s="274">
        <f t="shared" si="2"/>
        <v>0</v>
      </c>
      <c r="H651" s="274">
        <v>0</v>
      </c>
      <c r="K651" s="274"/>
    </row>
    <row r="652" spans="2:11" ht="13.5" customHeight="1">
      <c r="B652" s="209" t="s">
        <v>906</v>
      </c>
      <c r="C652" s="209" t="s">
        <v>2452</v>
      </c>
      <c r="D652" s="448" t="s">
        <v>135</v>
      </c>
      <c r="E652" s="273">
        <v>0</v>
      </c>
      <c r="F652" s="274"/>
      <c r="G652" s="274">
        <f t="shared" si="2"/>
        <v>0</v>
      </c>
      <c r="H652" s="274">
        <v>0</v>
      </c>
      <c r="K652" s="274"/>
    </row>
    <row r="653" spans="2:11" ht="13.5" customHeight="1">
      <c r="B653" s="209" t="s">
        <v>906</v>
      </c>
      <c r="C653" s="209" t="s">
        <v>2452</v>
      </c>
      <c r="D653" s="449" t="s">
        <v>136</v>
      </c>
      <c r="E653" s="273">
        <v>0</v>
      </c>
      <c r="F653" s="274"/>
      <c r="G653" s="274">
        <f t="shared" si="2"/>
        <v>0</v>
      </c>
      <c r="H653" s="274">
        <v>0</v>
      </c>
      <c r="K653" s="274"/>
    </row>
    <row r="654" spans="2:11" ht="13.5" customHeight="1">
      <c r="B654" s="209" t="s">
        <v>906</v>
      </c>
      <c r="C654" s="209" t="s">
        <v>2452</v>
      </c>
      <c r="D654" s="450" t="s">
        <v>137</v>
      </c>
      <c r="E654" s="273">
        <v>0</v>
      </c>
      <c r="F654" s="274"/>
      <c r="G654" s="274">
        <f t="shared" si="2"/>
        <v>0</v>
      </c>
      <c r="H654" s="274">
        <v>0</v>
      </c>
      <c r="K654" s="274"/>
    </row>
    <row r="655" spans="2:11" ht="13.5" customHeight="1">
      <c r="B655" s="209" t="s">
        <v>906</v>
      </c>
      <c r="C655" s="209" t="s">
        <v>2452</v>
      </c>
      <c r="D655" s="451" t="s">
        <v>138</v>
      </c>
      <c r="E655" s="273">
        <v>0</v>
      </c>
      <c r="F655" s="274"/>
      <c r="G655" s="274">
        <f t="shared" si="2"/>
        <v>0</v>
      </c>
      <c r="H655" s="274">
        <v>0</v>
      </c>
      <c r="K655" s="274"/>
    </row>
    <row r="656" spans="2:11" ht="13.5" customHeight="1">
      <c r="B656" s="209" t="s">
        <v>906</v>
      </c>
      <c r="C656" s="209" t="s">
        <v>2452</v>
      </c>
      <c r="D656" s="452" t="s">
        <v>139</v>
      </c>
      <c r="E656" s="273">
        <v>0</v>
      </c>
      <c r="F656" s="274"/>
      <c r="G656" s="274">
        <f t="shared" si="2"/>
        <v>0</v>
      </c>
      <c r="H656" s="274">
        <v>0</v>
      </c>
      <c r="K656" s="274"/>
    </row>
    <row r="657" spans="2:11" ht="13.5" customHeight="1">
      <c r="B657" s="209" t="s">
        <v>906</v>
      </c>
      <c r="C657" s="209" t="s">
        <v>2452</v>
      </c>
      <c r="D657" s="216" t="s">
        <v>140</v>
      </c>
      <c r="E657" s="273">
        <v>0</v>
      </c>
      <c r="F657" s="274"/>
      <c r="G657" s="274">
        <f t="shared" si="2"/>
        <v>0</v>
      </c>
      <c r="H657" s="274">
        <v>0</v>
      </c>
      <c r="K657" s="274"/>
    </row>
    <row r="658" spans="2:11" ht="13.5" customHeight="1">
      <c r="B658" s="209" t="s">
        <v>906</v>
      </c>
      <c r="C658" s="209" t="s">
        <v>2452</v>
      </c>
      <c r="D658" s="453" t="s">
        <v>141</v>
      </c>
      <c r="E658" s="273">
        <v>0</v>
      </c>
      <c r="F658" s="274"/>
      <c r="G658" s="274">
        <f t="shared" si="2"/>
        <v>0</v>
      </c>
      <c r="H658" s="274">
        <v>0</v>
      </c>
      <c r="K658" s="274"/>
    </row>
    <row r="659" spans="2:11" ht="13.5" customHeight="1">
      <c r="B659" s="209" t="s">
        <v>908</v>
      </c>
      <c r="C659" s="209" t="s">
        <v>2453</v>
      </c>
      <c r="D659" s="446" t="s">
        <v>133</v>
      </c>
      <c r="E659" s="273">
        <v>0</v>
      </c>
      <c r="F659" s="274"/>
      <c r="G659" s="274">
        <f t="shared" si="2"/>
        <v>0</v>
      </c>
      <c r="H659" s="274">
        <v>0</v>
      </c>
      <c r="K659" s="274"/>
    </row>
    <row r="660" spans="2:11" ht="13.5" customHeight="1">
      <c r="B660" s="209" t="s">
        <v>908</v>
      </c>
      <c r="C660" s="209" t="s">
        <v>2453</v>
      </c>
      <c r="D660" s="447" t="s">
        <v>134</v>
      </c>
      <c r="E660" s="273">
        <v>0</v>
      </c>
      <c r="F660" s="274"/>
      <c r="G660" s="274">
        <f t="shared" si="2"/>
        <v>0</v>
      </c>
      <c r="H660" s="274">
        <v>0</v>
      </c>
      <c r="K660" s="274"/>
    </row>
    <row r="661" spans="2:11" ht="13.5" customHeight="1">
      <c r="B661" s="209" t="s">
        <v>908</v>
      </c>
      <c r="C661" s="209" t="s">
        <v>2453</v>
      </c>
      <c r="D661" s="448" t="s">
        <v>135</v>
      </c>
      <c r="E661" s="273">
        <v>0</v>
      </c>
      <c r="F661" s="274"/>
      <c r="G661" s="274">
        <f t="shared" si="2"/>
        <v>0</v>
      </c>
      <c r="H661" s="274">
        <v>0</v>
      </c>
      <c r="K661" s="274"/>
    </row>
    <row r="662" spans="2:11" ht="13.5" customHeight="1">
      <c r="B662" s="209" t="s">
        <v>908</v>
      </c>
      <c r="C662" s="209" t="s">
        <v>2453</v>
      </c>
      <c r="D662" s="449" t="s">
        <v>136</v>
      </c>
      <c r="E662" s="273">
        <v>0</v>
      </c>
      <c r="F662" s="274"/>
      <c r="G662" s="274">
        <f t="shared" si="2"/>
        <v>0</v>
      </c>
      <c r="H662" s="274">
        <v>0</v>
      </c>
      <c r="K662" s="274"/>
    </row>
    <row r="663" spans="2:11" ht="13.5" customHeight="1">
      <c r="B663" s="209" t="s">
        <v>908</v>
      </c>
      <c r="C663" s="209" t="s">
        <v>2453</v>
      </c>
      <c r="D663" s="450" t="s">
        <v>137</v>
      </c>
      <c r="E663" s="273">
        <v>0</v>
      </c>
      <c r="F663" s="274"/>
      <c r="G663" s="274">
        <f t="shared" si="2"/>
        <v>0</v>
      </c>
      <c r="H663" s="274">
        <v>0</v>
      </c>
      <c r="K663" s="274"/>
    </row>
    <row r="664" spans="2:11" ht="13.5" customHeight="1">
      <c r="B664" s="209" t="s">
        <v>908</v>
      </c>
      <c r="C664" s="209" t="s">
        <v>2453</v>
      </c>
      <c r="D664" s="451" t="s">
        <v>138</v>
      </c>
      <c r="E664" s="273">
        <v>0</v>
      </c>
      <c r="F664" s="274"/>
      <c r="G664" s="274">
        <f t="shared" si="2"/>
        <v>0</v>
      </c>
      <c r="H664" s="274">
        <v>0</v>
      </c>
      <c r="K664" s="274"/>
    </row>
    <row r="665" spans="2:11" ht="13.5" customHeight="1">
      <c r="B665" s="209" t="s">
        <v>908</v>
      </c>
      <c r="C665" s="209" t="s">
        <v>2453</v>
      </c>
      <c r="D665" s="452" t="s">
        <v>139</v>
      </c>
      <c r="E665" s="273">
        <v>0</v>
      </c>
      <c r="F665" s="274"/>
      <c r="G665" s="274">
        <f t="shared" si="2"/>
        <v>0</v>
      </c>
      <c r="H665" s="274">
        <v>0</v>
      </c>
      <c r="K665" s="274"/>
    </row>
    <row r="666" spans="2:11" ht="13.5" customHeight="1">
      <c r="B666" s="209" t="s">
        <v>908</v>
      </c>
      <c r="C666" s="209" t="s">
        <v>2453</v>
      </c>
      <c r="D666" s="216" t="s">
        <v>140</v>
      </c>
      <c r="E666" s="273">
        <v>0</v>
      </c>
      <c r="F666" s="274"/>
      <c r="G666" s="274">
        <f t="shared" si="2"/>
        <v>0</v>
      </c>
      <c r="H666" s="274">
        <v>0</v>
      </c>
      <c r="K666" s="274"/>
    </row>
    <row r="667" spans="2:11" ht="13.5" customHeight="1">
      <c r="B667" s="209" t="s">
        <v>908</v>
      </c>
      <c r="C667" s="209" t="s">
        <v>2453</v>
      </c>
      <c r="D667" s="453" t="s">
        <v>141</v>
      </c>
      <c r="E667" s="273">
        <v>0</v>
      </c>
      <c r="F667" s="274"/>
      <c r="G667" s="274">
        <f t="shared" si="2"/>
        <v>0</v>
      </c>
      <c r="H667" s="274">
        <v>0</v>
      </c>
      <c r="K667" s="274"/>
    </row>
    <row r="668" spans="2:11" ht="13.5" customHeight="1">
      <c r="B668" s="209" t="s">
        <v>910</v>
      </c>
      <c r="C668" s="209" t="s">
        <v>2454</v>
      </c>
      <c r="D668" s="446" t="s">
        <v>133</v>
      </c>
      <c r="E668" s="273">
        <v>0</v>
      </c>
      <c r="F668" s="274"/>
      <c r="G668" s="274">
        <f t="shared" si="2"/>
        <v>0</v>
      </c>
      <c r="H668" s="274">
        <v>0</v>
      </c>
      <c r="K668" s="274"/>
    </row>
    <row r="669" spans="2:11" ht="13.5" customHeight="1">
      <c r="B669" s="209" t="s">
        <v>910</v>
      </c>
      <c r="C669" s="209" t="s">
        <v>2454</v>
      </c>
      <c r="D669" s="447" t="s">
        <v>134</v>
      </c>
      <c r="E669" s="273">
        <v>0</v>
      </c>
      <c r="F669" s="274"/>
      <c r="G669" s="274">
        <f t="shared" si="2"/>
        <v>0</v>
      </c>
      <c r="H669" s="274">
        <v>0</v>
      </c>
      <c r="K669" s="274"/>
    </row>
    <row r="670" spans="2:11" ht="13.5" customHeight="1">
      <c r="B670" s="209" t="s">
        <v>910</v>
      </c>
      <c r="C670" s="209" t="s">
        <v>2454</v>
      </c>
      <c r="D670" s="448" t="s">
        <v>135</v>
      </c>
      <c r="E670" s="273">
        <v>0</v>
      </c>
      <c r="F670" s="274"/>
      <c r="G670" s="274">
        <f t="shared" si="2"/>
        <v>0</v>
      </c>
      <c r="H670" s="274">
        <v>0</v>
      </c>
      <c r="K670" s="274"/>
    </row>
    <row r="671" spans="2:11" ht="13.5" customHeight="1">
      <c r="B671" s="209" t="s">
        <v>910</v>
      </c>
      <c r="C671" s="209" t="s">
        <v>2454</v>
      </c>
      <c r="D671" s="449" t="s">
        <v>136</v>
      </c>
      <c r="E671" s="273">
        <v>0</v>
      </c>
      <c r="F671" s="274"/>
      <c r="G671" s="274">
        <f t="shared" si="2"/>
        <v>0</v>
      </c>
      <c r="H671" s="274">
        <v>0</v>
      </c>
      <c r="K671" s="274"/>
    </row>
    <row r="672" spans="2:11" ht="13.5" customHeight="1">
      <c r="B672" s="209" t="s">
        <v>910</v>
      </c>
      <c r="C672" s="209" t="s">
        <v>2454</v>
      </c>
      <c r="D672" s="450" t="s">
        <v>137</v>
      </c>
      <c r="E672" s="273">
        <v>0</v>
      </c>
      <c r="F672" s="274"/>
      <c r="G672" s="274">
        <f t="shared" si="2"/>
        <v>0</v>
      </c>
      <c r="H672" s="274">
        <v>0</v>
      </c>
      <c r="K672" s="274"/>
    </row>
    <row r="673" spans="2:11" ht="13.5" customHeight="1">
      <c r="B673" s="209" t="s">
        <v>910</v>
      </c>
      <c r="C673" s="209" t="s">
        <v>2454</v>
      </c>
      <c r="D673" s="451" t="s">
        <v>138</v>
      </c>
      <c r="E673" s="273">
        <v>0</v>
      </c>
      <c r="F673" s="274"/>
      <c r="G673" s="274">
        <f t="shared" si="2"/>
        <v>0</v>
      </c>
      <c r="H673" s="274">
        <v>0</v>
      </c>
      <c r="K673" s="274"/>
    </row>
    <row r="674" spans="2:11" ht="13.5" customHeight="1">
      <c r="B674" s="209" t="s">
        <v>910</v>
      </c>
      <c r="C674" s="209" t="s">
        <v>2454</v>
      </c>
      <c r="D674" s="452" t="s">
        <v>139</v>
      </c>
      <c r="E674" s="273">
        <v>0</v>
      </c>
      <c r="F674" s="274"/>
      <c r="G674" s="274">
        <f t="shared" si="2"/>
        <v>0</v>
      </c>
      <c r="H674" s="274">
        <v>0</v>
      </c>
      <c r="K674" s="274"/>
    </row>
    <row r="675" spans="2:11" ht="13.5" customHeight="1">
      <c r="B675" s="209" t="s">
        <v>910</v>
      </c>
      <c r="C675" s="209" t="s">
        <v>2454</v>
      </c>
      <c r="D675" s="216" t="s">
        <v>140</v>
      </c>
      <c r="E675" s="273">
        <v>0</v>
      </c>
      <c r="F675" s="274"/>
      <c r="G675" s="274">
        <f t="shared" si="2"/>
        <v>0</v>
      </c>
      <c r="H675" s="274">
        <v>0</v>
      </c>
      <c r="K675" s="274"/>
    </row>
    <row r="676" spans="2:11" ht="13.5" customHeight="1">
      <c r="B676" s="209" t="s">
        <v>910</v>
      </c>
      <c r="C676" s="209" t="s">
        <v>2454</v>
      </c>
      <c r="D676" s="453" t="s">
        <v>141</v>
      </c>
      <c r="E676" s="273">
        <v>0</v>
      </c>
      <c r="F676" s="274"/>
      <c r="G676" s="274">
        <f t="shared" si="2"/>
        <v>0</v>
      </c>
      <c r="H676" s="274">
        <v>0</v>
      </c>
      <c r="K676" s="274"/>
    </row>
    <row r="677" spans="2:11" ht="13.5" customHeight="1">
      <c r="B677" s="209" t="s">
        <v>912</v>
      </c>
      <c r="C677" s="209" t="s">
        <v>2455</v>
      </c>
      <c r="D677" s="446" t="s">
        <v>133</v>
      </c>
      <c r="E677" s="273">
        <v>0</v>
      </c>
      <c r="F677" s="274"/>
      <c r="G677" s="274">
        <f t="shared" si="2"/>
        <v>0</v>
      </c>
      <c r="H677" s="274">
        <v>0</v>
      </c>
      <c r="K677" s="274"/>
    </row>
    <row r="678" spans="2:11" ht="13.5" customHeight="1">
      <c r="B678" s="209" t="s">
        <v>912</v>
      </c>
      <c r="C678" s="209" t="s">
        <v>2455</v>
      </c>
      <c r="D678" s="447" t="s">
        <v>134</v>
      </c>
      <c r="E678" s="273">
        <v>0</v>
      </c>
      <c r="F678" s="274"/>
      <c r="G678" s="274">
        <f t="shared" si="2"/>
        <v>0</v>
      </c>
      <c r="H678" s="274">
        <v>0</v>
      </c>
      <c r="K678" s="274"/>
    </row>
    <row r="679" spans="2:11" ht="13.5" customHeight="1">
      <c r="B679" s="209" t="s">
        <v>912</v>
      </c>
      <c r="C679" s="209" t="s">
        <v>2455</v>
      </c>
      <c r="D679" s="448" t="s">
        <v>135</v>
      </c>
      <c r="E679" s="273">
        <v>0</v>
      </c>
      <c r="F679" s="274"/>
      <c r="G679" s="274">
        <f t="shared" si="2"/>
        <v>0</v>
      </c>
      <c r="H679" s="274">
        <v>0</v>
      </c>
      <c r="K679" s="274"/>
    </row>
    <row r="680" spans="2:11" ht="13.5" customHeight="1">
      <c r="B680" s="209" t="s">
        <v>912</v>
      </c>
      <c r="C680" s="209" t="s">
        <v>2455</v>
      </c>
      <c r="D680" s="449" t="s">
        <v>136</v>
      </c>
      <c r="E680" s="273">
        <v>0</v>
      </c>
      <c r="F680" s="274"/>
      <c r="G680" s="274">
        <f t="shared" si="2"/>
        <v>0</v>
      </c>
      <c r="H680" s="274">
        <v>0</v>
      </c>
      <c r="K680" s="274"/>
    </row>
    <row r="681" spans="2:11" ht="13.5" customHeight="1">
      <c r="B681" s="209" t="s">
        <v>912</v>
      </c>
      <c r="C681" s="209" t="s">
        <v>2455</v>
      </c>
      <c r="D681" s="450" t="s">
        <v>137</v>
      </c>
      <c r="E681" s="273">
        <v>0</v>
      </c>
      <c r="F681" s="274"/>
      <c r="G681" s="274">
        <f t="shared" si="2"/>
        <v>0</v>
      </c>
      <c r="H681" s="274">
        <v>0</v>
      </c>
      <c r="K681" s="274"/>
    </row>
    <row r="682" spans="2:11" ht="13.5" customHeight="1">
      <c r="B682" s="209" t="s">
        <v>912</v>
      </c>
      <c r="C682" s="209" t="s">
        <v>2455</v>
      </c>
      <c r="D682" s="451" t="s">
        <v>138</v>
      </c>
      <c r="E682" s="273">
        <v>0</v>
      </c>
      <c r="F682" s="274"/>
      <c r="G682" s="274">
        <f t="shared" si="2"/>
        <v>0</v>
      </c>
      <c r="H682" s="274">
        <v>0</v>
      </c>
      <c r="K682" s="274"/>
    </row>
    <row r="683" spans="2:11" ht="13.5" customHeight="1">
      <c r="B683" s="209" t="s">
        <v>912</v>
      </c>
      <c r="C683" s="209" t="s">
        <v>2455</v>
      </c>
      <c r="D683" s="452" t="s">
        <v>139</v>
      </c>
      <c r="E683" s="273">
        <v>0</v>
      </c>
      <c r="F683" s="274"/>
      <c r="G683" s="274">
        <f t="shared" si="2"/>
        <v>0</v>
      </c>
      <c r="H683" s="274">
        <v>0</v>
      </c>
      <c r="K683" s="274"/>
    </row>
    <row r="684" spans="2:11" ht="13.5" customHeight="1">
      <c r="B684" s="209" t="s">
        <v>912</v>
      </c>
      <c r="C684" s="209" t="s">
        <v>2455</v>
      </c>
      <c r="D684" s="216" t="s">
        <v>140</v>
      </c>
      <c r="E684" s="273">
        <v>0</v>
      </c>
      <c r="F684" s="274"/>
      <c r="G684" s="274">
        <f t="shared" si="2"/>
        <v>0</v>
      </c>
      <c r="H684" s="274">
        <v>0</v>
      </c>
      <c r="K684" s="274"/>
    </row>
    <row r="685" spans="2:11" ht="13.5" customHeight="1">
      <c r="B685" s="209" t="s">
        <v>912</v>
      </c>
      <c r="C685" s="209" t="s">
        <v>2455</v>
      </c>
      <c r="D685" s="453" t="s">
        <v>141</v>
      </c>
      <c r="E685" s="273">
        <v>0</v>
      </c>
      <c r="F685" s="274"/>
      <c r="G685" s="274">
        <f t="shared" si="2"/>
        <v>0</v>
      </c>
      <c r="H685" s="274">
        <v>0</v>
      </c>
      <c r="K685" s="274"/>
    </row>
    <row r="686" spans="2:11" ht="13.5" customHeight="1">
      <c r="B686" s="209" t="s">
        <v>914</v>
      </c>
      <c r="C686" s="209" t="s">
        <v>2456</v>
      </c>
      <c r="D686" s="446" t="s">
        <v>133</v>
      </c>
      <c r="E686" s="273">
        <v>0</v>
      </c>
      <c r="F686" s="274"/>
      <c r="G686" s="274">
        <f t="shared" si="2"/>
        <v>0</v>
      </c>
      <c r="H686" s="274">
        <v>0</v>
      </c>
      <c r="K686" s="274"/>
    </row>
    <row r="687" spans="2:11" ht="13.5" customHeight="1">
      <c r="B687" s="209" t="s">
        <v>914</v>
      </c>
      <c r="C687" s="209" t="s">
        <v>2456</v>
      </c>
      <c r="D687" s="447" t="s">
        <v>134</v>
      </c>
      <c r="E687" s="273">
        <v>0</v>
      </c>
      <c r="F687" s="274"/>
      <c r="G687" s="274">
        <f t="shared" si="2"/>
        <v>0</v>
      </c>
      <c r="H687" s="274">
        <v>0</v>
      </c>
      <c r="K687" s="274"/>
    </row>
    <row r="688" spans="2:11" ht="13.5" customHeight="1">
      <c r="B688" s="209" t="s">
        <v>914</v>
      </c>
      <c r="C688" s="209" t="s">
        <v>2456</v>
      </c>
      <c r="D688" s="448" t="s">
        <v>135</v>
      </c>
      <c r="E688" s="273">
        <v>0</v>
      </c>
      <c r="F688" s="274"/>
      <c r="G688" s="274">
        <f t="shared" si="2"/>
        <v>0</v>
      </c>
      <c r="H688" s="274">
        <v>0</v>
      </c>
      <c r="K688" s="274"/>
    </row>
    <row r="689" spans="2:11" ht="13.5" customHeight="1">
      <c r="B689" s="209" t="s">
        <v>914</v>
      </c>
      <c r="C689" s="209" t="s">
        <v>2456</v>
      </c>
      <c r="D689" s="449" t="s">
        <v>136</v>
      </c>
      <c r="E689" s="273">
        <v>0</v>
      </c>
      <c r="F689" s="274"/>
      <c r="G689" s="274">
        <f t="shared" si="2"/>
        <v>0</v>
      </c>
      <c r="H689" s="274">
        <v>0</v>
      </c>
      <c r="K689" s="274"/>
    </row>
    <row r="690" spans="2:11" ht="13.5" customHeight="1">
      <c r="B690" s="209" t="s">
        <v>914</v>
      </c>
      <c r="C690" s="209" t="s">
        <v>2456</v>
      </c>
      <c r="D690" s="450" t="s">
        <v>137</v>
      </c>
      <c r="E690" s="273">
        <v>0</v>
      </c>
      <c r="F690" s="274"/>
      <c r="G690" s="274">
        <f t="shared" si="2"/>
        <v>0</v>
      </c>
      <c r="H690" s="274">
        <v>0</v>
      </c>
      <c r="K690" s="274"/>
    </row>
    <row r="691" spans="2:11" ht="13.5" customHeight="1">
      <c r="B691" s="209" t="s">
        <v>914</v>
      </c>
      <c r="C691" s="209" t="s">
        <v>2456</v>
      </c>
      <c r="D691" s="451" t="s">
        <v>138</v>
      </c>
      <c r="E691" s="273">
        <v>0</v>
      </c>
      <c r="F691" s="274"/>
      <c r="G691" s="274">
        <f t="shared" si="2"/>
        <v>0</v>
      </c>
      <c r="H691" s="274">
        <v>0</v>
      </c>
      <c r="K691" s="274"/>
    </row>
    <row r="692" spans="2:11" ht="13.5" customHeight="1">
      <c r="B692" s="209" t="s">
        <v>914</v>
      </c>
      <c r="C692" s="209" t="s">
        <v>2456</v>
      </c>
      <c r="D692" s="452" t="s">
        <v>139</v>
      </c>
      <c r="E692" s="273">
        <v>0</v>
      </c>
      <c r="F692" s="274"/>
      <c r="G692" s="274">
        <f t="shared" si="2"/>
        <v>0</v>
      </c>
      <c r="H692" s="274">
        <v>0</v>
      </c>
      <c r="K692" s="274"/>
    </row>
    <row r="693" spans="2:11" ht="13.5" customHeight="1">
      <c r="B693" s="209" t="s">
        <v>914</v>
      </c>
      <c r="C693" s="209" t="s">
        <v>2456</v>
      </c>
      <c r="D693" s="216" t="s">
        <v>140</v>
      </c>
      <c r="E693" s="273">
        <v>0</v>
      </c>
      <c r="F693" s="274"/>
      <c r="G693" s="274">
        <f t="shared" si="2"/>
        <v>0</v>
      </c>
      <c r="H693" s="274">
        <v>0</v>
      </c>
      <c r="K693" s="274"/>
    </row>
    <row r="694" spans="2:11" ht="13.5" customHeight="1">
      <c r="B694" s="209" t="s">
        <v>914</v>
      </c>
      <c r="C694" s="209" t="s">
        <v>2456</v>
      </c>
      <c r="D694" s="453" t="s">
        <v>141</v>
      </c>
      <c r="E694" s="273">
        <v>0</v>
      </c>
      <c r="F694" s="274"/>
      <c r="G694" s="274">
        <f t="shared" si="2"/>
        <v>0</v>
      </c>
      <c r="H694" s="274">
        <v>0</v>
      </c>
      <c r="K694" s="274"/>
    </row>
    <row r="695" spans="2:11" ht="13.5" customHeight="1">
      <c r="B695" s="209" t="s">
        <v>916</v>
      </c>
      <c r="C695" s="209" t="s">
        <v>2457</v>
      </c>
      <c r="D695" s="446" t="s">
        <v>133</v>
      </c>
      <c r="E695" s="273">
        <v>0</v>
      </c>
      <c r="F695" s="274"/>
      <c r="G695" s="274">
        <f t="shared" si="2"/>
        <v>0</v>
      </c>
      <c r="H695" s="274">
        <v>0</v>
      </c>
      <c r="K695" s="274"/>
    </row>
    <row r="696" spans="2:11" ht="13.5" customHeight="1">
      <c r="B696" s="209" t="s">
        <v>916</v>
      </c>
      <c r="C696" s="209" t="s">
        <v>2457</v>
      </c>
      <c r="D696" s="447" t="s">
        <v>134</v>
      </c>
      <c r="E696" s="273">
        <v>0</v>
      </c>
      <c r="F696" s="274"/>
      <c r="G696" s="274">
        <f t="shared" si="2"/>
        <v>0</v>
      </c>
      <c r="H696" s="274">
        <v>0</v>
      </c>
      <c r="K696" s="274"/>
    </row>
    <row r="697" spans="2:11" ht="13.5" customHeight="1">
      <c r="B697" s="209" t="s">
        <v>916</v>
      </c>
      <c r="C697" s="209" t="s">
        <v>2457</v>
      </c>
      <c r="D697" s="448" t="s">
        <v>135</v>
      </c>
      <c r="E697" s="273">
        <v>0</v>
      </c>
      <c r="F697" s="274"/>
      <c r="G697" s="274">
        <f t="shared" si="2"/>
        <v>0</v>
      </c>
      <c r="H697" s="274">
        <v>0</v>
      </c>
      <c r="K697" s="274"/>
    </row>
    <row r="698" spans="2:11" ht="13.5" customHeight="1">
      <c r="B698" s="209" t="s">
        <v>916</v>
      </c>
      <c r="C698" s="209" t="s">
        <v>2457</v>
      </c>
      <c r="D698" s="449" t="s">
        <v>136</v>
      </c>
      <c r="E698" s="273">
        <v>0</v>
      </c>
      <c r="F698" s="274"/>
      <c r="G698" s="274">
        <f t="shared" si="2"/>
        <v>0</v>
      </c>
      <c r="H698" s="274">
        <v>0</v>
      </c>
      <c r="K698" s="274"/>
    </row>
    <row r="699" spans="2:11" ht="13.5" customHeight="1">
      <c r="B699" s="209" t="s">
        <v>916</v>
      </c>
      <c r="C699" s="209" t="s">
        <v>2457</v>
      </c>
      <c r="D699" s="450" t="s">
        <v>137</v>
      </c>
      <c r="E699" s="273">
        <v>0</v>
      </c>
      <c r="F699" s="274"/>
      <c r="G699" s="274">
        <f t="shared" si="2"/>
        <v>0</v>
      </c>
      <c r="H699" s="274">
        <v>0</v>
      </c>
      <c r="K699" s="274"/>
    </row>
    <row r="700" spans="2:11" ht="13.5" customHeight="1">
      <c r="B700" s="209" t="s">
        <v>916</v>
      </c>
      <c r="C700" s="209" t="s">
        <v>2457</v>
      </c>
      <c r="D700" s="451" t="s">
        <v>138</v>
      </c>
      <c r="E700" s="273">
        <v>0</v>
      </c>
      <c r="F700" s="274"/>
      <c r="G700" s="274">
        <f t="shared" si="2"/>
        <v>0</v>
      </c>
      <c r="H700" s="274">
        <v>0</v>
      </c>
      <c r="K700" s="274"/>
    </row>
    <row r="701" spans="2:11" ht="13.5" customHeight="1">
      <c r="B701" s="209" t="s">
        <v>916</v>
      </c>
      <c r="C701" s="209" t="s">
        <v>2457</v>
      </c>
      <c r="D701" s="452" t="s">
        <v>139</v>
      </c>
      <c r="E701" s="273">
        <v>0</v>
      </c>
      <c r="F701" s="274"/>
      <c r="G701" s="274">
        <f t="shared" si="2"/>
        <v>0</v>
      </c>
      <c r="H701" s="274">
        <v>0</v>
      </c>
      <c r="K701" s="274"/>
    </row>
    <row r="702" spans="2:11" ht="13.5" customHeight="1">
      <c r="B702" s="209" t="s">
        <v>916</v>
      </c>
      <c r="C702" s="209" t="s">
        <v>2457</v>
      </c>
      <c r="D702" s="216" t="s">
        <v>140</v>
      </c>
      <c r="E702" s="273">
        <v>0</v>
      </c>
      <c r="F702" s="274"/>
      <c r="G702" s="274">
        <f t="shared" si="2"/>
        <v>0</v>
      </c>
      <c r="H702" s="274">
        <v>0</v>
      </c>
      <c r="K702" s="274"/>
    </row>
    <row r="703" spans="2:11" ht="13.5" customHeight="1">
      <c r="B703" s="209" t="s">
        <v>916</v>
      </c>
      <c r="C703" s="209" t="s">
        <v>2457</v>
      </c>
      <c r="D703" s="453" t="s">
        <v>141</v>
      </c>
      <c r="E703" s="273">
        <v>0</v>
      </c>
      <c r="F703" s="274"/>
      <c r="G703" s="274">
        <f t="shared" si="2"/>
        <v>0</v>
      </c>
      <c r="H703" s="274">
        <v>0</v>
      </c>
      <c r="K703" s="274"/>
    </row>
    <row r="704" spans="2:11" ht="13.5" customHeight="1">
      <c r="B704" s="209" t="s">
        <v>918</v>
      </c>
      <c r="C704" s="209" t="s">
        <v>2458</v>
      </c>
      <c r="D704" s="446" t="s">
        <v>133</v>
      </c>
      <c r="E704" s="273">
        <v>0</v>
      </c>
      <c r="F704" s="274"/>
      <c r="G704" s="274">
        <f t="shared" si="2"/>
        <v>0</v>
      </c>
      <c r="H704" s="274">
        <v>0</v>
      </c>
      <c r="K704" s="274"/>
    </row>
    <row r="705" spans="2:11" ht="13.5" customHeight="1">
      <c r="B705" s="209" t="s">
        <v>918</v>
      </c>
      <c r="C705" s="209" t="s">
        <v>2458</v>
      </c>
      <c r="D705" s="447" t="s">
        <v>134</v>
      </c>
      <c r="E705" s="273">
        <v>0</v>
      </c>
      <c r="F705" s="274"/>
      <c r="G705" s="274">
        <f t="shared" si="2"/>
        <v>0</v>
      </c>
      <c r="H705" s="274">
        <v>0</v>
      </c>
      <c r="K705" s="274"/>
    </row>
    <row r="706" spans="2:11" ht="13.5" customHeight="1">
      <c r="B706" s="209" t="s">
        <v>918</v>
      </c>
      <c r="C706" s="209" t="s">
        <v>2458</v>
      </c>
      <c r="D706" s="448" t="s">
        <v>135</v>
      </c>
      <c r="E706" s="273">
        <v>0</v>
      </c>
      <c r="F706" s="274"/>
      <c r="G706" s="274">
        <f t="shared" si="2"/>
        <v>0</v>
      </c>
      <c r="H706" s="274">
        <v>0</v>
      </c>
      <c r="K706" s="274"/>
    </row>
    <row r="707" spans="2:11" ht="13.5" customHeight="1">
      <c r="B707" s="209" t="s">
        <v>918</v>
      </c>
      <c r="C707" s="209" t="s">
        <v>2458</v>
      </c>
      <c r="D707" s="449" t="s">
        <v>136</v>
      </c>
      <c r="E707" s="273">
        <v>0</v>
      </c>
      <c r="F707" s="274"/>
      <c r="G707" s="274">
        <f t="shared" si="2"/>
        <v>0</v>
      </c>
      <c r="H707" s="274">
        <v>0</v>
      </c>
      <c r="K707" s="274"/>
    </row>
    <row r="708" spans="2:11" ht="13.5" customHeight="1">
      <c r="B708" s="209" t="s">
        <v>918</v>
      </c>
      <c r="C708" s="209" t="s">
        <v>2458</v>
      </c>
      <c r="D708" s="450" t="s">
        <v>137</v>
      </c>
      <c r="E708" s="273">
        <v>0</v>
      </c>
      <c r="F708" s="274"/>
      <c r="G708" s="274">
        <f t="shared" si="2"/>
        <v>0</v>
      </c>
      <c r="H708" s="274">
        <v>0</v>
      </c>
      <c r="K708" s="274"/>
    </row>
    <row r="709" spans="2:11" ht="13.5" customHeight="1">
      <c r="B709" s="209" t="s">
        <v>918</v>
      </c>
      <c r="C709" s="209" t="s">
        <v>2458</v>
      </c>
      <c r="D709" s="451" t="s">
        <v>138</v>
      </c>
      <c r="E709" s="273">
        <v>0</v>
      </c>
      <c r="F709" s="274"/>
      <c r="G709" s="274">
        <f t="shared" si="2"/>
        <v>0</v>
      </c>
      <c r="H709" s="274">
        <v>0</v>
      </c>
      <c r="K709" s="274"/>
    </row>
    <row r="710" spans="2:11" ht="13.5" customHeight="1">
      <c r="B710" s="209" t="s">
        <v>918</v>
      </c>
      <c r="C710" s="209" t="s">
        <v>2458</v>
      </c>
      <c r="D710" s="452" t="s">
        <v>139</v>
      </c>
      <c r="E710" s="273">
        <v>0</v>
      </c>
      <c r="F710" s="274"/>
      <c r="G710" s="274">
        <f t="shared" si="2"/>
        <v>0</v>
      </c>
      <c r="H710" s="274">
        <v>0</v>
      </c>
      <c r="K710" s="274"/>
    </row>
    <row r="711" spans="2:11" ht="13.5" customHeight="1">
      <c r="B711" s="209" t="s">
        <v>918</v>
      </c>
      <c r="C711" s="209" t="s">
        <v>2458</v>
      </c>
      <c r="D711" s="216" t="s">
        <v>140</v>
      </c>
      <c r="E711" s="273">
        <v>0</v>
      </c>
      <c r="F711" s="274"/>
      <c r="G711" s="274">
        <f t="shared" si="2"/>
        <v>0</v>
      </c>
      <c r="H711" s="274">
        <v>0</v>
      </c>
      <c r="K711" s="274"/>
    </row>
    <row r="712" spans="2:11" ht="13.5" customHeight="1">
      <c r="B712" s="209" t="s">
        <v>918</v>
      </c>
      <c r="C712" s="209" t="s">
        <v>2458</v>
      </c>
      <c r="D712" s="453" t="s">
        <v>141</v>
      </c>
      <c r="E712" s="273">
        <v>0</v>
      </c>
      <c r="F712" s="274"/>
      <c r="G712" s="274">
        <f t="shared" si="2"/>
        <v>0</v>
      </c>
      <c r="H712" s="274">
        <v>0</v>
      </c>
      <c r="K712" s="274"/>
    </row>
    <row r="713" spans="2:11" ht="13.5" customHeight="1">
      <c r="B713" s="209" t="s">
        <v>920</v>
      </c>
      <c r="C713" s="209" t="s">
        <v>2459</v>
      </c>
      <c r="D713" s="446" t="s">
        <v>133</v>
      </c>
      <c r="E713" s="273">
        <v>0</v>
      </c>
      <c r="F713" s="274"/>
      <c r="G713" s="274">
        <f t="shared" si="2"/>
        <v>0</v>
      </c>
      <c r="H713" s="274">
        <v>0</v>
      </c>
      <c r="K713" s="274"/>
    </row>
    <row r="714" spans="2:11" ht="13.5" customHeight="1">
      <c r="B714" s="209" t="s">
        <v>920</v>
      </c>
      <c r="C714" s="209" t="s">
        <v>2459</v>
      </c>
      <c r="D714" s="447" t="s">
        <v>134</v>
      </c>
      <c r="E714" s="273">
        <v>0</v>
      </c>
      <c r="F714" s="274"/>
      <c r="G714" s="274">
        <f t="shared" si="2"/>
        <v>0</v>
      </c>
      <c r="H714" s="274">
        <v>0</v>
      </c>
      <c r="K714" s="274"/>
    </row>
    <row r="715" spans="2:11" ht="13.5" customHeight="1">
      <c r="B715" s="209" t="s">
        <v>920</v>
      </c>
      <c r="C715" s="209" t="s">
        <v>2459</v>
      </c>
      <c r="D715" s="448" t="s">
        <v>135</v>
      </c>
      <c r="E715" s="273">
        <v>0</v>
      </c>
      <c r="F715" s="274"/>
      <c r="G715" s="274">
        <f t="shared" si="2"/>
        <v>0</v>
      </c>
      <c r="H715" s="274">
        <v>0</v>
      </c>
      <c r="K715" s="274"/>
    </row>
    <row r="716" spans="2:11" ht="13.5" customHeight="1">
      <c r="B716" s="209" t="s">
        <v>920</v>
      </c>
      <c r="C716" s="209" t="s">
        <v>2459</v>
      </c>
      <c r="D716" s="449" t="s">
        <v>136</v>
      </c>
      <c r="E716" s="273">
        <v>0</v>
      </c>
      <c r="F716" s="274"/>
      <c r="G716" s="274">
        <f t="shared" si="2"/>
        <v>0</v>
      </c>
      <c r="H716" s="274">
        <v>0</v>
      </c>
      <c r="K716" s="274"/>
    </row>
    <row r="717" spans="2:11" ht="13.5" customHeight="1">
      <c r="B717" s="209" t="s">
        <v>920</v>
      </c>
      <c r="C717" s="209" t="s">
        <v>2459</v>
      </c>
      <c r="D717" s="450" t="s">
        <v>137</v>
      </c>
      <c r="E717" s="273">
        <v>0</v>
      </c>
      <c r="F717" s="274"/>
      <c r="G717" s="274">
        <f t="shared" si="2"/>
        <v>0</v>
      </c>
      <c r="H717" s="274">
        <v>0</v>
      </c>
      <c r="K717" s="274"/>
    </row>
    <row r="718" spans="2:11" ht="13.5" customHeight="1">
      <c r="B718" s="209" t="s">
        <v>920</v>
      </c>
      <c r="C718" s="209" t="s">
        <v>2459</v>
      </c>
      <c r="D718" s="451" t="s">
        <v>138</v>
      </c>
      <c r="E718" s="273">
        <v>0</v>
      </c>
      <c r="F718" s="274"/>
      <c r="G718" s="274">
        <f t="shared" si="2"/>
        <v>0</v>
      </c>
      <c r="H718" s="274">
        <v>0</v>
      </c>
      <c r="K718" s="274"/>
    </row>
    <row r="719" spans="2:11" ht="13.5" customHeight="1">
      <c r="B719" s="209" t="s">
        <v>920</v>
      </c>
      <c r="C719" s="209" t="s">
        <v>2459</v>
      </c>
      <c r="D719" s="452" t="s">
        <v>139</v>
      </c>
      <c r="E719" s="273">
        <v>0</v>
      </c>
      <c r="F719" s="274"/>
      <c r="G719" s="274">
        <f t="shared" si="2"/>
        <v>0</v>
      </c>
      <c r="H719" s="274">
        <v>0</v>
      </c>
      <c r="K719" s="274"/>
    </row>
    <row r="720" spans="2:11" ht="13.5" customHeight="1">
      <c r="B720" s="209" t="s">
        <v>920</v>
      </c>
      <c r="C720" s="209" t="s">
        <v>2459</v>
      </c>
      <c r="D720" s="216" t="s">
        <v>140</v>
      </c>
      <c r="E720" s="273">
        <v>0</v>
      </c>
      <c r="F720" s="274"/>
      <c r="G720" s="274">
        <f t="shared" si="2"/>
        <v>0</v>
      </c>
      <c r="H720" s="274">
        <v>0</v>
      </c>
      <c r="K720" s="274"/>
    </row>
    <row r="721" spans="2:11" ht="13.5" customHeight="1">
      <c r="B721" s="209" t="s">
        <v>920</v>
      </c>
      <c r="C721" s="209" t="s">
        <v>2459</v>
      </c>
      <c r="D721" s="453" t="s">
        <v>141</v>
      </c>
      <c r="E721" s="273">
        <v>0</v>
      </c>
      <c r="F721" s="274"/>
      <c r="G721" s="274">
        <f t="shared" si="2"/>
        <v>0</v>
      </c>
      <c r="H721" s="274">
        <v>0</v>
      </c>
      <c r="K721" s="274"/>
    </row>
    <row r="722" spans="2:11" ht="13.5" customHeight="1">
      <c r="B722" s="209" t="s">
        <v>922</v>
      </c>
      <c r="C722" s="209" t="s">
        <v>2460</v>
      </c>
      <c r="D722" s="446" t="s">
        <v>133</v>
      </c>
      <c r="E722" s="273">
        <v>0</v>
      </c>
      <c r="F722" s="274"/>
      <c r="G722" s="274">
        <f t="shared" si="2"/>
        <v>0</v>
      </c>
      <c r="H722" s="274">
        <v>0</v>
      </c>
      <c r="K722" s="274"/>
    </row>
    <row r="723" spans="2:11" ht="13.5" customHeight="1">
      <c r="B723" s="209" t="s">
        <v>922</v>
      </c>
      <c r="C723" s="209" t="s">
        <v>2460</v>
      </c>
      <c r="D723" s="447" t="s">
        <v>134</v>
      </c>
      <c r="E723" s="273">
        <v>0</v>
      </c>
      <c r="F723" s="274"/>
      <c r="G723" s="274">
        <f t="shared" si="2"/>
        <v>0</v>
      </c>
      <c r="H723" s="274">
        <v>0</v>
      </c>
      <c r="K723" s="274"/>
    </row>
    <row r="724" spans="2:11" ht="13.5" customHeight="1">
      <c r="B724" s="209" t="s">
        <v>922</v>
      </c>
      <c r="C724" s="209" t="s">
        <v>2460</v>
      </c>
      <c r="D724" s="448" t="s">
        <v>135</v>
      </c>
      <c r="E724" s="273">
        <v>0</v>
      </c>
      <c r="F724" s="274"/>
      <c r="G724" s="274">
        <f t="shared" si="2"/>
        <v>0</v>
      </c>
      <c r="H724" s="274">
        <v>0</v>
      </c>
      <c r="K724" s="274"/>
    </row>
    <row r="725" spans="2:11" ht="13.5" customHeight="1">
      <c r="B725" s="209" t="s">
        <v>922</v>
      </c>
      <c r="C725" s="209" t="s">
        <v>2460</v>
      </c>
      <c r="D725" s="449" t="s">
        <v>136</v>
      </c>
      <c r="E725" s="273">
        <v>0</v>
      </c>
      <c r="F725" s="274"/>
      <c r="G725" s="274">
        <f t="shared" si="2"/>
        <v>0</v>
      </c>
      <c r="H725" s="274">
        <v>0</v>
      </c>
      <c r="K725" s="274"/>
    </row>
    <row r="726" spans="2:11" ht="13.5" customHeight="1">
      <c r="B726" s="209" t="s">
        <v>922</v>
      </c>
      <c r="C726" s="209" t="s">
        <v>2460</v>
      </c>
      <c r="D726" s="450" t="s">
        <v>137</v>
      </c>
      <c r="E726" s="273">
        <v>0</v>
      </c>
      <c r="F726" s="274"/>
      <c r="G726" s="274">
        <f t="shared" si="2"/>
        <v>0</v>
      </c>
      <c r="H726" s="274">
        <v>0</v>
      </c>
      <c r="K726" s="274"/>
    </row>
    <row r="727" spans="2:11" ht="13.5" customHeight="1">
      <c r="B727" s="209" t="s">
        <v>922</v>
      </c>
      <c r="C727" s="209" t="s">
        <v>2460</v>
      </c>
      <c r="D727" s="451" t="s">
        <v>138</v>
      </c>
      <c r="E727" s="273">
        <v>0</v>
      </c>
      <c r="F727" s="274"/>
      <c r="G727" s="274">
        <f t="shared" si="2"/>
        <v>0</v>
      </c>
      <c r="H727" s="274">
        <v>0</v>
      </c>
      <c r="K727" s="274"/>
    </row>
    <row r="728" spans="2:11" ht="13.5" customHeight="1">
      <c r="B728" s="209" t="s">
        <v>922</v>
      </c>
      <c r="C728" s="209" t="s">
        <v>2460</v>
      </c>
      <c r="D728" s="452" t="s">
        <v>139</v>
      </c>
      <c r="E728" s="273">
        <v>0</v>
      </c>
      <c r="F728" s="274"/>
      <c r="G728" s="274">
        <f t="shared" si="2"/>
        <v>0</v>
      </c>
      <c r="H728" s="274">
        <v>0</v>
      </c>
      <c r="K728" s="274"/>
    </row>
    <row r="729" spans="2:11" ht="13.5" customHeight="1">
      <c r="B729" s="209" t="s">
        <v>922</v>
      </c>
      <c r="C729" s="209" t="s">
        <v>2460</v>
      </c>
      <c r="D729" s="216" t="s">
        <v>140</v>
      </c>
      <c r="E729" s="273">
        <v>0</v>
      </c>
      <c r="F729" s="274"/>
      <c r="G729" s="274">
        <f t="shared" si="2"/>
        <v>0</v>
      </c>
      <c r="H729" s="274">
        <v>0</v>
      </c>
      <c r="K729" s="274"/>
    </row>
    <row r="730" spans="2:11" ht="13.5" customHeight="1">
      <c r="B730" s="209" t="s">
        <v>922</v>
      </c>
      <c r="C730" s="209" t="s">
        <v>2460</v>
      </c>
      <c r="D730" s="453" t="s">
        <v>141</v>
      </c>
      <c r="E730" s="273">
        <v>0</v>
      </c>
      <c r="F730" s="274"/>
      <c r="G730" s="274">
        <f t="shared" si="2"/>
        <v>0</v>
      </c>
      <c r="H730" s="274">
        <v>0</v>
      </c>
      <c r="K730" s="274"/>
    </row>
    <row r="731" spans="2:11" ht="13.5" customHeight="1">
      <c r="B731" s="209" t="s">
        <v>924</v>
      </c>
      <c r="C731" s="209" t="s">
        <v>2461</v>
      </c>
      <c r="D731" s="446" t="s">
        <v>133</v>
      </c>
      <c r="E731" s="273">
        <v>0</v>
      </c>
      <c r="F731" s="274"/>
      <c r="G731" s="274">
        <f t="shared" si="2"/>
        <v>0</v>
      </c>
      <c r="H731" s="274">
        <v>0</v>
      </c>
      <c r="K731" s="274"/>
    </row>
    <row r="732" spans="2:11" ht="13.5" customHeight="1">
      <c r="B732" s="209" t="s">
        <v>924</v>
      </c>
      <c r="C732" s="209" t="s">
        <v>2461</v>
      </c>
      <c r="D732" s="447" t="s">
        <v>134</v>
      </c>
      <c r="E732" s="273">
        <v>0</v>
      </c>
      <c r="F732" s="274"/>
      <c r="G732" s="274">
        <f t="shared" si="2"/>
        <v>0</v>
      </c>
      <c r="H732" s="274">
        <v>0</v>
      </c>
      <c r="K732" s="274"/>
    </row>
    <row r="733" spans="2:11" ht="13.5" customHeight="1">
      <c r="B733" s="209" t="s">
        <v>924</v>
      </c>
      <c r="C733" s="209" t="s">
        <v>2461</v>
      </c>
      <c r="D733" s="448" t="s">
        <v>135</v>
      </c>
      <c r="E733" s="273">
        <v>0</v>
      </c>
      <c r="F733" s="274"/>
      <c r="G733" s="274">
        <f t="shared" si="2"/>
        <v>0</v>
      </c>
      <c r="H733" s="274">
        <v>0</v>
      </c>
      <c r="K733" s="274"/>
    </row>
    <row r="734" spans="2:11" ht="13.5" customHeight="1">
      <c r="B734" s="209" t="s">
        <v>924</v>
      </c>
      <c r="C734" s="209" t="s">
        <v>2461</v>
      </c>
      <c r="D734" s="449" t="s">
        <v>136</v>
      </c>
      <c r="E734" s="273">
        <v>0</v>
      </c>
      <c r="F734" s="274"/>
      <c r="G734" s="274">
        <f t="shared" si="2"/>
        <v>0</v>
      </c>
      <c r="H734" s="274">
        <v>0</v>
      </c>
      <c r="K734" s="274"/>
    </row>
    <row r="735" spans="2:11" ht="13.5" customHeight="1">
      <c r="B735" s="209" t="s">
        <v>924</v>
      </c>
      <c r="C735" s="209" t="s">
        <v>2461</v>
      </c>
      <c r="D735" s="450" t="s">
        <v>137</v>
      </c>
      <c r="E735" s="273">
        <v>0</v>
      </c>
      <c r="F735" s="274"/>
      <c r="G735" s="274">
        <f t="shared" si="2"/>
        <v>0</v>
      </c>
      <c r="H735" s="274">
        <v>0</v>
      </c>
      <c r="K735" s="274"/>
    </row>
    <row r="736" spans="2:11" ht="13.5" customHeight="1">
      <c r="B736" s="209" t="s">
        <v>924</v>
      </c>
      <c r="C736" s="209" t="s">
        <v>2461</v>
      </c>
      <c r="D736" s="451" t="s">
        <v>138</v>
      </c>
      <c r="E736" s="273">
        <v>0</v>
      </c>
      <c r="F736" s="274"/>
      <c r="G736" s="274">
        <f t="shared" si="2"/>
        <v>0</v>
      </c>
      <c r="H736" s="274">
        <v>0</v>
      </c>
      <c r="K736" s="274"/>
    </row>
    <row r="737" spans="2:11" ht="13.5" customHeight="1">
      <c r="B737" s="209" t="s">
        <v>924</v>
      </c>
      <c r="C737" s="209" t="s">
        <v>2461</v>
      </c>
      <c r="D737" s="452" t="s">
        <v>139</v>
      </c>
      <c r="E737" s="273">
        <v>0</v>
      </c>
      <c r="F737" s="274"/>
      <c r="G737" s="274">
        <f t="shared" si="2"/>
        <v>0</v>
      </c>
      <c r="H737" s="274">
        <v>0</v>
      </c>
      <c r="K737" s="274"/>
    </row>
    <row r="738" spans="2:11" ht="13.5" customHeight="1">
      <c r="B738" s="209" t="s">
        <v>924</v>
      </c>
      <c r="C738" s="209" t="s">
        <v>2461</v>
      </c>
      <c r="D738" s="216" t="s">
        <v>140</v>
      </c>
      <c r="E738" s="273">
        <v>0</v>
      </c>
      <c r="F738" s="274"/>
      <c r="G738" s="274">
        <f t="shared" si="2"/>
        <v>0</v>
      </c>
      <c r="H738" s="274">
        <v>0</v>
      </c>
      <c r="K738" s="274"/>
    </row>
    <row r="739" spans="2:11" ht="13.5" customHeight="1">
      <c r="B739" s="209" t="s">
        <v>924</v>
      </c>
      <c r="C739" s="209" t="s">
        <v>2461</v>
      </c>
      <c r="D739" s="453" t="s">
        <v>141</v>
      </c>
      <c r="E739" s="273">
        <v>0</v>
      </c>
      <c r="F739" s="274"/>
      <c r="G739" s="274">
        <f t="shared" si="2"/>
        <v>0</v>
      </c>
      <c r="H739" s="274">
        <v>0</v>
      </c>
      <c r="K739" s="274"/>
    </row>
    <row r="740" spans="2:11" ht="13.5" customHeight="1">
      <c r="B740" s="209" t="s">
        <v>926</v>
      </c>
      <c r="C740" s="209" t="s">
        <v>2462</v>
      </c>
      <c r="D740" s="446" t="s">
        <v>133</v>
      </c>
      <c r="E740" s="273">
        <v>0</v>
      </c>
      <c r="F740" s="274"/>
      <c r="G740" s="274">
        <f t="shared" si="2"/>
        <v>0</v>
      </c>
      <c r="H740" s="274">
        <v>0</v>
      </c>
      <c r="K740" s="274"/>
    </row>
    <row r="741" spans="2:11" ht="13.5" customHeight="1">
      <c r="B741" s="209" t="s">
        <v>926</v>
      </c>
      <c r="C741" s="209" t="s">
        <v>2462</v>
      </c>
      <c r="D741" s="447" t="s">
        <v>134</v>
      </c>
      <c r="E741" s="273">
        <v>0</v>
      </c>
      <c r="F741" s="274"/>
      <c r="G741" s="274">
        <f t="shared" si="2"/>
        <v>0</v>
      </c>
      <c r="H741" s="274">
        <v>0</v>
      </c>
      <c r="K741" s="274"/>
    </row>
    <row r="742" spans="2:11" ht="13.5" customHeight="1">
      <c r="B742" s="209" t="s">
        <v>926</v>
      </c>
      <c r="C742" s="209" t="s">
        <v>2462</v>
      </c>
      <c r="D742" s="448" t="s">
        <v>135</v>
      </c>
      <c r="E742" s="273">
        <v>0</v>
      </c>
      <c r="F742" s="274"/>
      <c r="G742" s="274">
        <f t="shared" si="2"/>
        <v>0</v>
      </c>
      <c r="H742" s="274">
        <v>0</v>
      </c>
      <c r="K742" s="274"/>
    </row>
    <row r="743" spans="2:11" ht="13.5" customHeight="1">
      <c r="B743" s="209" t="s">
        <v>926</v>
      </c>
      <c r="C743" s="209" t="s">
        <v>2462</v>
      </c>
      <c r="D743" s="449" t="s">
        <v>136</v>
      </c>
      <c r="E743" s="273">
        <v>0</v>
      </c>
      <c r="F743" s="274"/>
      <c r="G743" s="274">
        <f t="shared" si="2"/>
        <v>0</v>
      </c>
      <c r="H743" s="274">
        <v>0</v>
      </c>
      <c r="K743" s="274"/>
    </row>
    <row r="744" spans="2:11" ht="13.5" customHeight="1">
      <c r="B744" s="209" t="s">
        <v>926</v>
      </c>
      <c r="C744" s="209" t="s">
        <v>2462</v>
      </c>
      <c r="D744" s="450" t="s">
        <v>137</v>
      </c>
      <c r="E744" s="273">
        <v>0</v>
      </c>
      <c r="F744" s="274"/>
      <c r="G744" s="274">
        <f t="shared" si="2"/>
        <v>0</v>
      </c>
      <c r="H744" s="274">
        <v>0</v>
      </c>
      <c r="K744" s="274"/>
    </row>
    <row r="745" spans="2:11" ht="13.5" customHeight="1">
      <c r="B745" s="209" t="s">
        <v>926</v>
      </c>
      <c r="C745" s="209" t="s">
        <v>2462</v>
      </c>
      <c r="D745" s="451" t="s">
        <v>138</v>
      </c>
      <c r="E745" s="273">
        <v>0</v>
      </c>
      <c r="F745" s="274"/>
      <c r="G745" s="274">
        <f t="shared" si="2"/>
        <v>0</v>
      </c>
      <c r="H745" s="274">
        <v>0</v>
      </c>
      <c r="K745" s="274"/>
    </row>
    <row r="746" spans="2:11" ht="13.5" customHeight="1">
      <c r="B746" s="209" t="s">
        <v>926</v>
      </c>
      <c r="C746" s="209" t="s">
        <v>2462</v>
      </c>
      <c r="D746" s="452" t="s">
        <v>139</v>
      </c>
      <c r="E746" s="273">
        <v>0</v>
      </c>
      <c r="F746" s="274"/>
      <c r="G746" s="274">
        <f t="shared" si="2"/>
        <v>0</v>
      </c>
      <c r="H746" s="274">
        <v>0</v>
      </c>
      <c r="K746" s="274"/>
    </row>
    <row r="747" spans="2:11" ht="13.5" customHeight="1">
      <c r="B747" s="209" t="s">
        <v>926</v>
      </c>
      <c r="C747" s="209" t="s">
        <v>2462</v>
      </c>
      <c r="D747" s="216" t="s">
        <v>140</v>
      </c>
      <c r="E747" s="273">
        <v>0</v>
      </c>
      <c r="F747" s="274"/>
      <c r="G747" s="274">
        <f t="shared" si="2"/>
        <v>0</v>
      </c>
      <c r="H747" s="274">
        <v>0</v>
      </c>
      <c r="K747" s="274"/>
    </row>
    <row r="748" spans="2:11" ht="13.5" customHeight="1">
      <c r="B748" s="209" t="s">
        <v>926</v>
      </c>
      <c r="C748" s="209" t="s">
        <v>2462</v>
      </c>
      <c r="D748" s="453" t="s">
        <v>141</v>
      </c>
      <c r="E748" s="273">
        <v>0</v>
      </c>
      <c r="F748" s="274"/>
      <c r="G748" s="274">
        <f t="shared" si="2"/>
        <v>0</v>
      </c>
      <c r="H748" s="274">
        <v>0</v>
      </c>
      <c r="K748" s="274"/>
    </row>
    <row r="749" spans="2:11" ht="13.5" customHeight="1">
      <c r="B749" s="209" t="s">
        <v>928</v>
      </c>
      <c r="C749" s="209" t="s">
        <v>2463</v>
      </c>
      <c r="D749" s="446" t="s">
        <v>133</v>
      </c>
      <c r="E749" s="273">
        <v>0</v>
      </c>
      <c r="F749" s="274"/>
      <c r="G749" s="274">
        <f t="shared" si="2"/>
        <v>0</v>
      </c>
      <c r="H749" s="274">
        <v>0</v>
      </c>
      <c r="K749" s="274"/>
    </row>
    <row r="750" spans="2:11" ht="13.5" customHeight="1">
      <c r="B750" s="209" t="s">
        <v>928</v>
      </c>
      <c r="C750" s="209" t="s">
        <v>2463</v>
      </c>
      <c r="D750" s="447" t="s">
        <v>134</v>
      </c>
      <c r="E750" s="273">
        <v>0</v>
      </c>
      <c r="F750" s="274"/>
      <c r="G750" s="274">
        <f t="shared" si="2"/>
        <v>0</v>
      </c>
      <c r="H750" s="274">
        <v>0</v>
      </c>
      <c r="K750" s="274"/>
    </row>
    <row r="751" spans="2:11" ht="13.5" customHeight="1">
      <c r="B751" s="209" t="s">
        <v>928</v>
      </c>
      <c r="C751" s="209" t="s">
        <v>2463</v>
      </c>
      <c r="D751" s="448" t="s">
        <v>135</v>
      </c>
      <c r="E751" s="273">
        <v>0</v>
      </c>
      <c r="F751" s="274"/>
      <c r="G751" s="274">
        <f t="shared" si="2"/>
        <v>0</v>
      </c>
      <c r="H751" s="274">
        <v>0</v>
      </c>
      <c r="K751" s="274"/>
    </row>
    <row r="752" spans="2:11" ht="13.5" customHeight="1">
      <c r="B752" s="209" t="s">
        <v>928</v>
      </c>
      <c r="C752" s="209" t="s">
        <v>2463</v>
      </c>
      <c r="D752" s="449" t="s">
        <v>136</v>
      </c>
      <c r="E752" s="273">
        <v>0</v>
      </c>
      <c r="F752" s="274"/>
      <c r="G752" s="274">
        <f t="shared" si="2"/>
        <v>0</v>
      </c>
      <c r="H752" s="274">
        <v>0</v>
      </c>
      <c r="K752" s="274"/>
    </row>
    <row r="753" spans="2:11" ht="13.5" customHeight="1">
      <c r="B753" s="209" t="s">
        <v>928</v>
      </c>
      <c r="C753" s="209" t="s">
        <v>2463</v>
      </c>
      <c r="D753" s="450" t="s">
        <v>137</v>
      </c>
      <c r="E753" s="273">
        <v>0</v>
      </c>
      <c r="F753" s="274"/>
      <c r="G753" s="274">
        <f t="shared" si="2"/>
        <v>0</v>
      </c>
      <c r="H753" s="274">
        <v>0</v>
      </c>
      <c r="K753" s="274"/>
    </row>
    <row r="754" spans="2:11" ht="13.5" customHeight="1">
      <c r="B754" s="209" t="s">
        <v>928</v>
      </c>
      <c r="C754" s="209" t="s">
        <v>2463</v>
      </c>
      <c r="D754" s="451" t="s">
        <v>138</v>
      </c>
      <c r="E754" s="273">
        <v>0</v>
      </c>
      <c r="F754" s="274"/>
      <c r="G754" s="274">
        <f t="shared" si="2"/>
        <v>0</v>
      </c>
      <c r="H754" s="274">
        <v>0</v>
      </c>
      <c r="K754" s="274"/>
    </row>
    <row r="755" spans="2:11" ht="13.5" customHeight="1">
      <c r="B755" s="209" t="s">
        <v>928</v>
      </c>
      <c r="C755" s="209" t="s">
        <v>2463</v>
      </c>
      <c r="D755" s="452" t="s">
        <v>139</v>
      </c>
      <c r="E755" s="273">
        <v>0</v>
      </c>
      <c r="F755" s="274"/>
      <c r="G755" s="274">
        <f t="shared" si="2"/>
        <v>0</v>
      </c>
      <c r="H755" s="274">
        <v>0</v>
      </c>
      <c r="K755" s="274"/>
    </row>
    <row r="756" spans="2:11" ht="13.5" customHeight="1">
      <c r="B756" s="209" t="s">
        <v>928</v>
      </c>
      <c r="C756" s="209" t="s">
        <v>2463</v>
      </c>
      <c r="D756" s="216" t="s">
        <v>140</v>
      </c>
      <c r="E756" s="273">
        <v>0</v>
      </c>
      <c r="F756" s="274"/>
      <c r="G756" s="274">
        <f t="shared" si="2"/>
        <v>0</v>
      </c>
      <c r="H756" s="274">
        <v>0</v>
      </c>
      <c r="K756" s="274"/>
    </row>
    <row r="757" spans="2:11" ht="13.5" customHeight="1">
      <c r="B757" s="209" t="s">
        <v>928</v>
      </c>
      <c r="C757" s="209" t="s">
        <v>2463</v>
      </c>
      <c r="D757" s="453" t="s">
        <v>141</v>
      </c>
      <c r="E757" s="273">
        <v>0</v>
      </c>
      <c r="F757" s="274"/>
      <c r="G757" s="274">
        <f t="shared" si="2"/>
        <v>0</v>
      </c>
      <c r="H757" s="274">
        <v>0</v>
      </c>
      <c r="K757" s="274"/>
    </row>
    <row r="758" spans="2:11" ht="13.5" customHeight="1">
      <c r="B758" s="209" t="s">
        <v>1075</v>
      </c>
      <c r="C758" s="209" t="s">
        <v>2464</v>
      </c>
      <c r="D758" s="446" t="s">
        <v>133</v>
      </c>
      <c r="E758" s="273">
        <v>0</v>
      </c>
      <c r="F758" s="274"/>
      <c r="G758" s="274">
        <f t="shared" si="2"/>
        <v>0</v>
      </c>
      <c r="H758" s="274">
        <v>0</v>
      </c>
      <c r="K758" s="274"/>
    </row>
    <row r="759" spans="2:11" ht="13.5" customHeight="1">
      <c r="B759" s="209" t="s">
        <v>1075</v>
      </c>
      <c r="C759" s="209" t="s">
        <v>2464</v>
      </c>
      <c r="D759" s="447" t="s">
        <v>134</v>
      </c>
      <c r="E759" s="273">
        <v>0</v>
      </c>
      <c r="F759" s="274"/>
      <c r="G759" s="274">
        <f t="shared" si="2"/>
        <v>0</v>
      </c>
      <c r="H759" s="274">
        <v>0</v>
      </c>
      <c r="K759" s="274"/>
    </row>
    <row r="760" spans="2:11" ht="13.5" customHeight="1">
      <c r="B760" s="209" t="s">
        <v>1075</v>
      </c>
      <c r="C760" s="209" t="s">
        <v>2464</v>
      </c>
      <c r="D760" s="448" t="s">
        <v>135</v>
      </c>
      <c r="E760" s="273">
        <v>0</v>
      </c>
      <c r="F760" s="274"/>
      <c r="G760" s="274">
        <f t="shared" si="2"/>
        <v>0</v>
      </c>
      <c r="H760" s="274">
        <v>0</v>
      </c>
      <c r="K760" s="274"/>
    </row>
    <row r="761" spans="2:11" ht="13.5" customHeight="1">
      <c r="B761" s="209" t="s">
        <v>1075</v>
      </c>
      <c r="C761" s="209" t="s">
        <v>2464</v>
      </c>
      <c r="D761" s="449" t="s">
        <v>136</v>
      </c>
      <c r="E761" s="273">
        <v>0</v>
      </c>
      <c r="F761" s="274"/>
      <c r="G761" s="274">
        <f t="shared" si="2"/>
        <v>0</v>
      </c>
      <c r="H761" s="274">
        <v>0</v>
      </c>
      <c r="K761" s="274"/>
    </row>
    <row r="762" spans="2:11" ht="13.5" customHeight="1">
      <c r="B762" s="209" t="s">
        <v>1075</v>
      </c>
      <c r="C762" s="209" t="s">
        <v>2464</v>
      </c>
      <c r="D762" s="450" t="s">
        <v>137</v>
      </c>
      <c r="E762" s="273">
        <v>0</v>
      </c>
      <c r="F762" s="274"/>
      <c r="G762" s="274">
        <f t="shared" si="2"/>
        <v>0</v>
      </c>
      <c r="H762" s="274">
        <v>0</v>
      </c>
      <c r="K762" s="274"/>
    </row>
    <row r="763" spans="2:11" ht="13.5" customHeight="1">
      <c r="B763" s="209" t="s">
        <v>1075</v>
      </c>
      <c r="C763" s="209" t="s">
        <v>2464</v>
      </c>
      <c r="D763" s="451" t="s">
        <v>138</v>
      </c>
      <c r="E763" s="273">
        <v>0</v>
      </c>
      <c r="F763" s="274"/>
      <c r="G763" s="274">
        <f t="shared" si="2"/>
        <v>0</v>
      </c>
      <c r="H763" s="274">
        <v>0</v>
      </c>
      <c r="K763" s="274"/>
    </row>
    <row r="764" spans="2:11" ht="13.5" customHeight="1">
      <c r="B764" s="209" t="s">
        <v>1075</v>
      </c>
      <c r="C764" s="209" t="s">
        <v>2464</v>
      </c>
      <c r="D764" s="452" t="s">
        <v>139</v>
      </c>
      <c r="E764" s="273">
        <v>0</v>
      </c>
      <c r="F764" s="274"/>
      <c r="G764" s="274">
        <f t="shared" si="2"/>
        <v>0</v>
      </c>
      <c r="H764" s="274">
        <v>0</v>
      </c>
      <c r="K764" s="274"/>
    </row>
    <row r="765" spans="2:11" ht="13.5" customHeight="1">
      <c r="B765" s="209" t="s">
        <v>1075</v>
      </c>
      <c r="C765" s="209" t="s">
        <v>2464</v>
      </c>
      <c r="D765" s="216" t="s">
        <v>140</v>
      </c>
      <c r="E765" s="273">
        <v>0</v>
      </c>
      <c r="F765" s="274"/>
      <c r="G765" s="274">
        <f t="shared" si="2"/>
        <v>0</v>
      </c>
      <c r="H765" s="274">
        <v>0</v>
      </c>
      <c r="K765" s="274"/>
    </row>
    <row r="766" spans="2:11" ht="13.5" customHeight="1">
      <c r="B766" s="209" t="s">
        <v>1075</v>
      </c>
      <c r="C766" s="209" t="s">
        <v>2464</v>
      </c>
      <c r="D766" s="453" t="s">
        <v>141</v>
      </c>
      <c r="E766" s="273">
        <v>0</v>
      </c>
      <c r="F766" s="274"/>
      <c r="G766" s="274">
        <f t="shared" si="2"/>
        <v>0</v>
      </c>
      <c r="H766" s="274">
        <v>0</v>
      </c>
      <c r="K766" s="274"/>
    </row>
    <row r="767" spans="2:11" ht="13.5" customHeight="1">
      <c r="B767" s="209" t="s">
        <v>1077</v>
      </c>
      <c r="C767" s="209" t="s">
        <v>2465</v>
      </c>
      <c r="D767" s="446" t="s">
        <v>133</v>
      </c>
      <c r="E767" s="273">
        <v>0</v>
      </c>
      <c r="F767" s="274"/>
      <c r="G767" s="274">
        <f t="shared" ref="G767:G1021" si="3">E767*F767</f>
        <v>0</v>
      </c>
      <c r="H767" s="274">
        <v>0</v>
      </c>
      <c r="K767" s="274"/>
    </row>
    <row r="768" spans="2:11" ht="13.5" customHeight="1">
      <c r="B768" s="209" t="s">
        <v>1077</v>
      </c>
      <c r="C768" s="209" t="s">
        <v>2465</v>
      </c>
      <c r="D768" s="447" t="s">
        <v>134</v>
      </c>
      <c r="E768" s="273">
        <v>0</v>
      </c>
      <c r="F768" s="274"/>
      <c r="G768" s="274">
        <f t="shared" si="3"/>
        <v>0</v>
      </c>
      <c r="H768" s="274">
        <v>0</v>
      </c>
      <c r="K768" s="274"/>
    </row>
    <row r="769" spans="2:11" ht="13.5" customHeight="1">
      <c r="B769" s="209" t="s">
        <v>1077</v>
      </c>
      <c r="C769" s="209" t="s">
        <v>2465</v>
      </c>
      <c r="D769" s="448" t="s">
        <v>135</v>
      </c>
      <c r="E769" s="273">
        <v>0</v>
      </c>
      <c r="F769" s="274"/>
      <c r="G769" s="274">
        <f t="shared" si="3"/>
        <v>0</v>
      </c>
      <c r="H769" s="274">
        <v>0</v>
      </c>
      <c r="K769" s="274"/>
    </row>
    <row r="770" spans="2:11" ht="13.5" customHeight="1">
      <c r="B770" s="209" t="s">
        <v>1077</v>
      </c>
      <c r="C770" s="209" t="s">
        <v>2465</v>
      </c>
      <c r="D770" s="449" t="s">
        <v>136</v>
      </c>
      <c r="E770" s="273">
        <v>0</v>
      </c>
      <c r="F770" s="274"/>
      <c r="G770" s="274">
        <f t="shared" si="3"/>
        <v>0</v>
      </c>
      <c r="H770" s="274">
        <v>0</v>
      </c>
      <c r="K770" s="274"/>
    </row>
    <row r="771" spans="2:11" ht="13.5" customHeight="1">
      <c r="B771" s="209" t="s">
        <v>1077</v>
      </c>
      <c r="C771" s="209" t="s">
        <v>2465</v>
      </c>
      <c r="D771" s="450" t="s">
        <v>137</v>
      </c>
      <c r="E771" s="273">
        <v>0</v>
      </c>
      <c r="F771" s="274"/>
      <c r="G771" s="274">
        <f t="shared" si="3"/>
        <v>0</v>
      </c>
      <c r="H771" s="274">
        <v>0</v>
      </c>
      <c r="K771" s="274"/>
    </row>
    <row r="772" spans="2:11" ht="13.5" customHeight="1">
      <c r="B772" s="209" t="s">
        <v>1077</v>
      </c>
      <c r="C772" s="209" t="s">
        <v>2465</v>
      </c>
      <c r="D772" s="451" t="s">
        <v>138</v>
      </c>
      <c r="E772" s="273">
        <v>0</v>
      </c>
      <c r="F772" s="274"/>
      <c r="G772" s="274">
        <f t="shared" si="3"/>
        <v>0</v>
      </c>
      <c r="H772" s="274">
        <v>0</v>
      </c>
      <c r="K772" s="274"/>
    </row>
    <row r="773" spans="2:11" ht="13.5" customHeight="1">
      <c r="B773" s="209" t="s">
        <v>1077</v>
      </c>
      <c r="C773" s="209" t="s">
        <v>2465</v>
      </c>
      <c r="D773" s="452" t="s">
        <v>139</v>
      </c>
      <c r="E773" s="273">
        <v>0</v>
      </c>
      <c r="F773" s="274"/>
      <c r="G773" s="274">
        <f t="shared" si="3"/>
        <v>0</v>
      </c>
      <c r="H773" s="274">
        <v>0</v>
      </c>
      <c r="K773" s="274"/>
    </row>
    <row r="774" spans="2:11" ht="13.5" customHeight="1">
      <c r="B774" s="209" t="s">
        <v>1077</v>
      </c>
      <c r="C774" s="209" t="s">
        <v>2465</v>
      </c>
      <c r="D774" s="216" t="s">
        <v>140</v>
      </c>
      <c r="E774" s="273">
        <v>0</v>
      </c>
      <c r="F774" s="274"/>
      <c r="G774" s="274">
        <f t="shared" si="3"/>
        <v>0</v>
      </c>
      <c r="H774" s="274">
        <v>0</v>
      </c>
      <c r="K774" s="274"/>
    </row>
    <row r="775" spans="2:11" ht="13.5" customHeight="1">
      <c r="B775" s="209" t="s">
        <v>1077</v>
      </c>
      <c r="C775" s="209" t="s">
        <v>2465</v>
      </c>
      <c r="D775" s="453" t="s">
        <v>141</v>
      </c>
      <c r="E775" s="273">
        <v>0</v>
      </c>
      <c r="F775" s="274"/>
      <c r="G775" s="274">
        <f t="shared" si="3"/>
        <v>0</v>
      </c>
      <c r="H775" s="274">
        <v>0</v>
      </c>
      <c r="K775" s="274"/>
    </row>
    <row r="776" spans="2:11" ht="13.5" customHeight="1">
      <c r="B776" s="209" t="s">
        <v>1079</v>
      </c>
      <c r="C776" s="209" t="s">
        <v>2466</v>
      </c>
      <c r="D776" s="446" t="s">
        <v>133</v>
      </c>
      <c r="E776" s="273">
        <v>0</v>
      </c>
      <c r="F776" s="274"/>
      <c r="G776" s="274">
        <f t="shared" si="3"/>
        <v>0</v>
      </c>
      <c r="H776" s="274">
        <v>0</v>
      </c>
      <c r="K776" s="274"/>
    </row>
    <row r="777" spans="2:11" ht="13.5" customHeight="1">
      <c r="B777" s="209" t="s">
        <v>1079</v>
      </c>
      <c r="C777" s="209" t="s">
        <v>2466</v>
      </c>
      <c r="D777" s="447" t="s">
        <v>134</v>
      </c>
      <c r="E777" s="273">
        <v>0</v>
      </c>
      <c r="F777" s="274"/>
      <c r="G777" s="274">
        <f t="shared" si="3"/>
        <v>0</v>
      </c>
      <c r="H777" s="274">
        <v>0</v>
      </c>
      <c r="K777" s="274"/>
    </row>
    <row r="778" spans="2:11" ht="13.5" customHeight="1">
      <c r="B778" s="209" t="s">
        <v>1079</v>
      </c>
      <c r="C778" s="209" t="s">
        <v>2466</v>
      </c>
      <c r="D778" s="448" t="s">
        <v>135</v>
      </c>
      <c r="E778" s="273">
        <v>0</v>
      </c>
      <c r="F778" s="274"/>
      <c r="G778" s="274">
        <f t="shared" si="3"/>
        <v>0</v>
      </c>
      <c r="H778" s="274">
        <v>0</v>
      </c>
      <c r="K778" s="274"/>
    </row>
    <row r="779" spans="2:11" ht="13.5" customHeight="1">
      <c r="B779" s="209" t="s">
        <v>1079</v>
      </c>
      <c r="C779" s="209" t="s">
        <v>2466</v>
      </c>
      <c r="D779" s="449" t="s">
        <v>136</v>
      </c>
      <c r="E779" s="273">
        <v>0</v>
      </c>
      <c r="F779" s="274"/>
      <c r="G779" s="274">
        <f t="shared" si="3"/>
        <v>0</v>
      </c>
      <c r="H779" s="274">
        <v>0</v>
      </c>
      <c r="K779" s="274"/>
    </row>
    <row r="780" spans="2:11" ht="13.5" customHeight="1">
      <c r="B780" s="209" t="s">
        <v>1079</v>
      </c>
      <c r="C780" s="209" t="s">
        <v>2466</v>
      </c>
      <c r="D780" s="450" t="s">
        <v>137</v>
      </c>
      <c r="E780" s="273">
        <v>0</v>
      </c>
      <c r="F780" s="274"/>
      <c r="G780" s="274">
        <f t="shared" si="3"/>
        <v>0</v>
      </c>
      <c r="H780" s="274">
        <v>0</v>
      </c>
      <c r="K780" s="274"/>
    </row>
    <row r="781" spans="2:11" ht="13.5" customHeight="1">
      <c r="B781" s="209" t="s">
        <v>1079</v>
      </c>
      <c r="C781" s="209" t="s">
        <v>2466</v>
      </c>
      <c r="D781" s="451" t="s">
        <v>138</v>
      </c>
      <c r="E781" s="273">
        <v>0</v>
      </c>
      <c r="F781" s="274"/>
      <c r="G781" s="274">
        <f t="shared" si="3"/>
        <v>0</v>
      </c>
      <c r="H781" s="274">
        <v>0</v>
      </c>
      <c r="K781" s="274"/>
    </row>
    <row r="782" spans="2:11" ht="13.5" customHeight="1">
      <c r="B782" s="209" t="s">
        <v>1079</v>
      </c>
      <c r="C782" s="209" t="s">
        <v>2466</v>
      </c>
      <c r="D782" s="452" t="s">
        <v>139</v>
      </c>
      <c r="E782" s="273">
        <v>0</v>
      </c>
      <c r="F782" s="274"/>
      <c r="G782" s="274">
        <f t="shared" si="3"/>
        <v>0</v>
      </c>
      <c r="H782" s="274">
        <v>0</v>
      </c>
      <c r="K782" s="274"/>
    </row>
    <row r="783" spans="2:11" ht="13.5" customHeight="1">
      <c r="B783" s="209" t="s">
        <v>1079</v>
      </c>
      <c r="C783" s="209" t="s">
        <v>2466</v>
      </c>
      <c r="D783" s="216" t="s">
        <v>140</v>
      </c>
      <c r="E783" s="273">
        <v>0</v>
      </c>
      <c r="F783" s="274"/>
      <c r="G783" s="274">
        <f t="shared" si="3"/>
        <v>0</v>
      </c>
      <c r="H783" s="274">
        <v>0</v>
      </c>
      <c r="K783" s="274"/>
    </row>
    <row r="784" spans="2:11" ht="13.5" customHeight="1">
      <c r="B784" s="209" t="s">
        <v>1079</v>
      </c>
      <c r="C784" s="209" t="s">
        <v>2466</v>
      </c>
      <c r="D784" s="453" t="s">
        <v>141</v>
      </c>
      <c r="E784" s="273">
        <v>0</v>
      </c>
      <c r="F784" s="274"/>
      <c r="G784" s="274">
        <f t="shared" si="3"/>
        <v>0</v>
      </c>
      <c r="H784" s="274">
        <v>0</v>
      </c>
      <c r="K784" s="274"/>
    </row>
    <row r="785" spans="2:11" ht="13.5" customHeight="1">
      <c r="B785" s="209" t="s">
        <v>1081</v>
      </c>
      <c r="C785" s="209" t="s">
        <v>2467</v>
      </c>
      <c r="D785" s="446" t="s">
        <v>133</v>
      </c>
      <c r="E785" s="273">
        <v>0</v>
      </c>
      <c r="F785" s="274"/>
      <c r="G785" s="274">
        <f t="shared" si="3"/>
        <v>0</v>
      </c>
      <c r="H785" s="274">
        <v>0</v>
      </c>
      <c r="K785" s="274"/>
    </row>
    <row r="786" spans="2:11" ht="13.5" customHeight="1">
      <c r="B786" s="209" t="s">
        <v>1081</v>
      </c>
      <c r="C786" s="209" t="s">
        <v>2467</v>
      </c>
      <c r="D786" s="447" t="s">
        <v>134</v>
      </c>
      <c r="E786" s="273">
        <v>0</v>
      </c>
      <c r="F786" s="274"/>
      <c r="G786" s="274">
        <f t="shared" si="3"/>
        <v>0</v>
      </c>
      <c r="H786" s="274">
        <v>0</v>
      </c>
      <c r="K786" s="274"/>
    </row>
    <row r="787" spans="2:11" ht="13.5" customHeight="1">
      <c r="B787" s="209" t="s">
        <v>1081</v>
      </c>
      <c r="C787" s="209" t="s">
        <v>2467</v>
      </c>
      <c r="D787" s="448" t="s">
        <v>135</v>
      </c>
      <c r="E787" s="273">
        <v>0</v>
      </c>
      <c r="F787" s="274"/>
      <c r="G787" s="274">
        <f t="shared" si="3"/>
        <v>0</v>
      </c>
      <c r="H787" s="274">
        <v>0</v>
      </c>
      <c r="K787" s="274"/>
    </row>
    <row r="788" spans="2:11" ht="13.5" customHeight="1">
      <c r="B788" s="209" t="s">
        <v>1081</v>
      </c>
      <c r="C788" s="209" t="s">
        <v>2467</v>
      </c>
      <c r="D788" s="449" t="s">
        <v>136</v>
      </c>
      <c r="E788" s="273">
        <v>0</v>
      </c>
      <c r="F788" s="274"/>
      <c r="G788" s="274">
        <f t="shared" si="3"/>
        <v>0</v>
      </c>
      <c r="H788" s="274">
        <v>0</v>
      </c>
      <c r="K788" s="274"/>
    </row>
    <row r="789" spans="2:11" ht="13.5" customHeight="1">
      <c r="B789" s="209" t="s">
        <v>1081</v>
      </c>
      <c r="C789" s="209" t="s">
        <v>2467</v>
      </c>
      <c r="D789" s="450" t="s">
        <v>137</v>
      </c>
      <c r="E789" s="273">
        <v>0</v>
      </c>
      <c r="F789" s="274"/>
      <c r="G789" s="274">
        <f t="shared" si="3"/>
        <v>0</v>
      </c>
      <c r="H789" s="274">
        <v>0</v>
      </c>
      <c r="K789" s="274"/>
    </row>
    <row r="790" spans="2:11" ht="13.5" customHeight="1">
      <c r="B790" s="209" t="s">
        <v>1081</v>
      </c>
      <c r="C790" s="209" t="s">
        <v>2467</v>
      </c>
      <c r="D790" s="451" t="s">
        <v>138</v>
      </c>
      <c r="E790" s="273">
        <v>0</v>
      </c>
      <c r="F790" s="274"/>
      <c r="G790" s="274">
        <f t="shared" si="3"/>
        <v>0</v>
      </c>
      <c r="H790" s="274">
        <v>0</v>
      </c>
      <c r="K790" s="274"/>
    </row>
    <row r="791" spans="2:11" ht="13.5" customHeight="1">
      <c r="B791" s="209" t="s">
        <v>1081</v>
      </c>
      <c r="C791" s="209" t="s">
        <v>2467</v>
      </c>
      <c r="D791" s="452" t="s">
        <v>139</v>
      </c>
      <c r="E791" s="273">
        <v>0</v>
      </c>
      <c r="F791" s="274"/>
      <c r="G791" s="274">
        <f t="shared" si="3"/>
        <v>0</v>
      </c>
      <c r="H791" s="274">
        <v>0</v>
      </c>
      <c r="K791" s="274"/>
    </row>
    <row r="792" spans="2:11" ht="13.5" customHeight="1">
      <c r="B792" s="209" t="s">
        <v>1081</v>
      </c>
      <c r="C792" s="209" t="s">
        <v>2467</v>
      </c>
      <c r="D792" s="216" t="s">
        <v>140</v>
      </c>
      <c r="E792" s="273">
        <v>0</v>
      </c>
      <c r="F792" s="274"/>
      <c r="G792" s="274">
        <f t="shared" si="3"/>
        <v>0</v>
      </c>
      <c r="H792" s="274">
        <v>0</v>
      </c>
      <c r="K792" s="274"/>
    </row>
    <row r="793" spans="2:11" ht="13.5" customHeight="1">
      <c r="B793" s="209" t="s">
        <v>1081</v>
      </c>
      <c r="C793" s="209" t="s">
        <v>2467</v>
      </c>
      <c r="D793" s="453" t="s">
        <v>141</v>
      </c>
      <c r="E793" s="273">
        <v>0</v>
      </c>
      <c r="F793" s="274"/>
      <c r="G793" s="274">
        <f t="shared" si="3"/>
        <v>0</v>
      </c>
      <c r="H793" s="274">
        <v>0</v>
      </c>
      <c r="K793" s="274"/>
    </row>
    <row r="794" spans="2:11" ht="13.5" customHeight="1">
      <c r="B794" s="209" t="s">
        <v>1083</v>
      </c>
      <c r="C794" s="209" t="s">
        <v>2468</v>
      </c>
      <c r="D794" s="446" t="s">
        <v>133</v>
      </c>
      <c r="E794" s="273">
        <v>0</v>
      </c>
      <c r="F794" s="274"/>
      <c r="G794" s="274">
        <f t="shared" si="3"/>
        <v>0</v>
      </c>
      <c r="H794" s="274">
        <v>0</v>
      </c>
      <c r="K794" s="274"/>
    </row>
    <row r="795" spans="2:11" ht="13.5" customHeight="1">
      <c r="B795" s="209" t="s">
        <v>1083</v>
      </c>
      <c r="C795" s="209" t="s">
        <v>2468</v>
      </c>
      <c r="D795" s="447" t="s">
        <v>134</v>
      </c>
      <c r="E795" s="273">
        <v>0</v>
      </c>
      <c r="F795" s="274"/>
      <c r="G795" s="274">
        <f t="shared" si="3"/>
        <v>0</v>
      </c>
      <c r="H795" s="274">
        <v>0</v>
      </c>
      <c r="K795" s="274"/>
    </row>
    <row r="796" spans="2:11" ht="13.5" customHeight="1">
      <c r="B796" s="209" t="s">
        <v>1083</v>
      </c>
      <c r="C796" s="209" t="s">
        <v>2468</v>
      </c>
      <c r="D796" s="448" t="s">
        <v>135</v>
      </c>
      <c r="E796" s="273">
        <v>0</v>
      </c>
      <c r="F796" s="274"/>
      <c r="G796" s="274">
        <f t="shared" si="3"/>
        <v>0</v>
      </c>
      <c r="H796" s="274">
        <v>0</v>
      </c>
      <c r="K796" s="274"/>
    </row>
    <row r="797" spans="2:11" ht="13.5" customHeight="1">
      <c r="B797" s="209" t="s">
        <v>1083</v>
      </c>
      <c r="C797" s="209" t="s">
        <v>2468</v>
      </c>
      <c r="D797" s="449" t="s">
        <v>136</v>
      </c>
      <c r="E797" s="273">
        <v>0</v>
      </c>
      <c r="F797" s="274"/>
      <c r="G797" s="274">
        <f t="shared" si="3"/>
        <v>0</v>
      </c>
      <c r="H797" s="274">
        <v>0</v>
      </c>
      <c r="K797" s="274"/>
    </row>
    <row r="798" spans="2:11" ht="13.5" customHeight="1">
      <c r="B798" s="209" t="s">
        <v>1083</v>
      </c>
      <c r="C798" s="209" t="s">
        <v>2468</v>
      </c>
      <c r="D798" s="450" t="s">
        <v>137</v>
      </c>
      <c r="E798" s="273">
        <v>0</v>
      </c>
      <c r="F798" s="274"/>
      <c r="G798" s="274">
        <f t="shared" si="3"/>
        <v>0</v>
      </c>
      <c r="H798" s="274">
        <v>0</v>
      </c>
      <c r="K798" s="274"/>
    </row>
    <row r="799" spans="2:11" ht="13.5" customHeight="1">
      <c r="B799" s="209" t="s">
        <v>1083</v>
      </c>
      <c r="C799" s="209" t="s">
        <v>2468</v>
      </c>
      <c r="D799" s="451" t="s">
        <v>138</v>
      </c>
      <c r="E799" s="273">
        <v>0</v>
      </c>
      <c r="F799" s="274"/>
      <c r="G799" s="274">
        <f t="shared" si="3"/>
        <v>0</v>
      </c>
      <c r="H799" s="274">
        <v>0</v>
      </c>
      <c r="K799" s="274"/>
    </row>
    <row r="800" spans="2:11" ht="13.5" customHeight="1">
      <c r="B800" s="209" t="s">
        <v>1083</v>
      </c>
      <c r="C800" s="209" t="s">
        <v>2468</v>
      </c>
      <c r="D800" s="452" t="s">
        <v>139</v>
      </c>
      <c r="E800" s="273">
        <v>0</v>
      </c>
      <c r="F800" s="274"/>
      <c r="G800" s="274">
        <f t="shared" si="3"/>
        <v>0</v>
      </c>
      <c r="H800" s="274">
        <v>0</v>
      </c>
      <c r="K800" s="274"/>
    </row>
    <row r="801" spans="2:11" ht="13.5" customHeight="1">
      <c r="B801" s="209" t="s">
        <v>1083</v>
      </c>
      <c r="C801" s="209" t="s">
        <v>2468</v>
      </c>
      <c r="D801" s="216" t="s">
        <v>140</v>
      </c>
      <c r="E801" s="273">
        <v>0</v>
      </c>
      <c r="F801" s="274"/>
      <c r="G801" s="274">
        <f t="shared" si="3"/>
        <v>0</v>
      </c>
      <c r="H801" s="274">
        <v>0</v>
      </c>
      <c r="K801" s="274"/>
    </row>
    <row r="802" spans="2:11" ht="13.5" customHeight="1">
      <c r="B802" s="209" t="s">
        <v>1083</v>
      </c>
      <c r="C802" s="209" t="s">
        <v>2468</v>
      </c>
      <c r="D802" s="453" t="s">
        <v>141</v>
      </c>
      <c r="E802" s="273">
        <v>0</v>
      </c>
      <c r="F802" s="274"/>
      <c r="G802" s="274">
        <f t="shared" si="3"/>
        <v>0</v>
      </c>
      <c r="H802" s="274">
        <v>0</v>
      </c>
      <c r="K802" s="274"/>
    </row>
    <row r="803" spans="2:11" ht="13.5" customHeight="1">
      <c r="B803" s="209" t="s">
        <v>1085</v>
      </c>
      <c r="C803" s="209" t="s">
        <v>2469</v>
      </c>
      <c r="D803" s="446" t="s">
        <v>133</v>
      </c>
      <c r="E803" s="273">
        <v>0</v>
      </c>
      <c r="F803" s="274"/>
      <c r="G803" s="274">
        <f t="shared" si="3"/>
        <v>0</v>
      </c>
      <c r="H803" s="274">
        <v>0</v>
      </c>
      <c r="K803" s="274"/>
    </row>
    <row r="804" spans="2:11" ht="13.5" customHeight="1">
      <c r="B804" s="209" t="s">
        <v>1085</v>
      </c>
      <c r="C804" s="209" t="s">
        <v>2469</v>
      </c>
      <c r="D804" s="447" t="s">
        <v>134</v>
      </c>
      <c r="E804" s="273">
        <v>0</v>
      </c>
      <c r="F804" s="274"/>
      <c r="G804" s="274">
        <f t="shared" si="3"/>
        <v>0</v>
      </c>
      <c r="H804" s="274">
        <v>0</v>
      </c>
      <c r="K804" s="274"/>
    </row>
    <row r="805" spans="2:11" ht="13.5" customHeight="1">
      <c r="B805" s="209" t="s">
        <v>1085</v>
      </c>
      <c r="C805" s="209" t="s">
        <v>2469</v>
      </c>
      <c r="D805" s="448" t="s">
        <v>135</v>
      </c>
      <c r="E805" s="273">
        <v>0</v>
      </c>
      <c r="F805" s="274"/>
      <c r="G805" s="274">
        <f t="shared" si="3"/>
        <v>0</v>
      </c>
      <c r="H805" s="274">
        <v>0</v>
      </c>
      <c r="K805" s="274"/>
    </row>
    <row r="806" spans="2:11" ht="13.5" customHeight="1">
      <c r="B806" s="209" t="s">
        <v>1085</v>
      </c>
      <c r="C806" s="209" t="s">
        <v>2469</v>
      </c>
      <c r="D806" s="449" t="s">
        <v>136</v>
      </c>
      <c r="E806" s="273">
        <v>0</v>
      </c>
      <c r="F806" s="274"/>
      <c r="G806" s="274">
        <f t="shared" si="3"/>
        <v>0</v>
      </c>
      <c r="H806" s="274">
        <v>0</v>
      </c>
      <c r="K806" s="274"/>
    </row>
    <row r="807" spans="2:11" ht="13.5" customHeight="1">
      <c r="B807" s="209" t="s">
        <v>1085</v>
      </c>
      <c r="C807" s="209" t="s">
        <v>2469</v>
      </c>
      <c r="D807" s="450" t="s">
        <v>137</v>
      </c>
      <c r="E807" s="273">
        <v>0</v>
      </c>
      <c r="F807" s="274"/>
      <c r="G807" s="274">
        <f t="shared" si="3"/>
        <v>0</v>
      </c>
      <c r="H807" s="274">
        <v>0</v>
      </c>
      <c r="K807" s="274"/>
    </row>
    <row r="808" spans="2:11" ht="13.5" customHeight="1">
      <c r="B808" s="209" t="s">
        <v>1085</v>
      </c>
      <c r="C808" s="209" t="s">
        <v>2469</v>
      </c>
      <c r="D808" s="451" t="s">
        <v>138</v>
      </c>
      <c r="E808" s="273">
        <v>0</v>
      </c>
      <c r="F808" s="274"/>
      <c r="G808" s="274">
        <f t="shared" si="3"/>
        <v>0</v>
      </c>
      <c r="H808" s="274">
        <v>0</v>
      </c>
      <c r="K808" s="274"/>
    </row>
    <row r="809" spans="2:11" ht="13.5" customHeight="1">
      <c r="B809" s="209" t="s">
        <v>1085</v>
      </c>
      <c r="C809" s="209" t="s">
        <v>2469</v>
      </c>
      <c r="D809" s="452" t="s">
        <v>139</v>
      </c>
      <c r="E809" s="273">
        <v>0</v>
      </c>
      <c r="F809" s="274"/>
      <c r="G809" s="274">
        <f t="shared" si="3"/>
        <v>0</v>
      </c>
      <c r="H809" s="274">
        <v>0</v>
      </c>
      <c r="K809" s="274"/>
    </row>
    <row r="810" spans="2:11" ht="13.5" customHeight="1">
      <c r="B810" s="209" t="s">
        <v>1085</v>
      </c>
      <c r="C810" s="209" t="s">
        <v>2469</v>
      </c>
      <c r="D810" s="216" t="s">
        <v>140</v>
      </c>
      <c r="E810" s="273">
        <v>0</v>
      </c>
      <c r="F810" s="274"/>
      <c r="G810" s="274">
        <f t="shared" si="3"/>
        <v>0</v>
      </c>
      <c r="H810" s="274">
        <v>0</v>
      </c>
      <c r="K810" s="274"/>
    </row>
    <row r="811" spans="2:11" ht="13.5" customHeight="1">
      <c r="B811" s="209" t="s">
        <v>1085</v>
      </c>
      <c r="C811" s="209" t="s">
        <v>2469</v>
      </c>
      <c r="D811" s="453" t="s">
        <v>141</v>
      </c>
      <c r="E811" s="273">
        <v>0</v>
      </c>
      <c r="F811" s="274"/>
      <c r="G811" s="274">
        <f t="shared" si="3"/>
        <v>0</v>
      </c>
      <c r="H811" s="274">
        <v>0</v>
      </c>
      <c r="K811" s="274"/>
    </row>
    <row r="812" spans="2:11" ht="13.5" customHeight="1">
      <c r="B812" s="209" t="s">
        <v>1087</v>
      </c>
      <c r="C812" s="209" t="s">
        <v>2470</v>
      </c>
      <c r="D812" s="446" t="s">
        <v>133</v>
      </c>
      <c r="E812" s="273">
        <v>0</v>
      </c>
      <c r="F812" s="274"/>
      <c r="G812" s="274">
        <f t="shared" si="3"/>
        <v>0</v>
      </c>
      <c r="H812" s="274">
        <v>0</v>
      </c>
      <c r="K812" s="274"/>
    </row>
    <row r="813" spans="2:11" ht="13.5" customHeight="1">
      <c r="B813" s="209" t="s">
        <v>1087</v>
      </c>
      <c r="C813" s="209" t="s">
        <v>2470</v>
      </c>
      <c r="D813" s="447" t="s">
        <v>134</v>
      </c>
      <c r="E813" s="273">
        <v>0</v>
      </c>
      <c r="F813" s="274"/>
      <c r="G813" s="274">
        <f t="shared" si="3"/>
        <v>0</v>
      </c>
      <c r="H813" s="274">
        <v>0</v>
      </c>
      <c r="K813" s="274"/>
    </row>
    <row r="814" spans="2:11" ht="13.5" customHeight="1">
      <c r="B814" s="209" t="s">
        <v>1087</v>
      </c>
      <c r="C814" s="209" t="s">
        <v>2470</v>
      </c>
      <c r="D814" s="448" t="s">
        <v>135</v>
      </c>
      <c r="E814" s="273">
        <v>0</v>
      </c>
      <c r="F814" s="274"/>
      <c r="G814" s="274">
        <f t="shared" si="3"/>
        <v>0</v>
      </c>
      <c r="H814" s="274">
        <v>0</v>
      </c>
      <c r="K814" s="274"/>
    </row>
    <row r="815" spans="2:11" ht="13.5" customHeight="1">
      <c r="B815" s="209" t="s">
        <v>1087</v>
      </c>
      <c r="C815" s="209" t="s">
        <v>2470</v>
      </c>
      <c r="D815" s="449" t="s">
        <v>136</v>
      </c>
      <c r="E815" s="273">
        <v>0</v>
      </c>
      <c r="F815" s="274"/>
      <c r="G815" s="274">
        <f t="shared" si="3"/>
        <v>0</v>
      </c>
      <c r="H815" s="274">
        <v>0</v>
      </c>
      <c r="K815" s="274"/>
    </row>
    <row r="816" spans="2:11" ht="13.5" customHeight="1">
      <c r="B816" s="209" t="s">
        <v>1087</v>
      </c>
      <c r="C816" s="209" t="s">
        <v>2470</v>
      </c>
      <c r="D816" s="450" t="s">
        <v>137</v>
      </c>
      <c r="E816" s="273">
        <v>0</v>
      </c>
      <c r="F816" s="274"/>
      <c r="G816" s="274">
        <f t="shared" si="3"/>
        <v>0</v>
      </c>
      <c r="H816" s="274">
        <v>0</v>
      </c>
      <c r="K816" s="274"/>
    </row>
    <row r="817" spans="2:11" ht="13.5" customHeight="1">
      <c r="B817" s="209" t="s">
        <v>1087</v>
      </c>
      <c r="C817" s="209" t="s">
        <v>2470</v>
      </c>
      <c r="D817" s="451" t="s">
        <v>138</v>
      </c>
      <c r="E817" s="273">
        <v>0</v>
      </c>
      <c r="F817" s="274"/>
      <c r="G817" s="274">
        <f t="shared" si="3"/>
        <v>0</v>
      </c>
      <c r="H817" s="274">
        <v>0</v>
      </c>
      <c r="K817" s="274"/>
    </row>
    <row r="818" spans="2:11" ht="13.5" customHeight="1">
      <c r="B818" s="209" t="s">
        <v>1087</v>
      </c>
      <c r="C818" s="209" t="s">
        <v>2470</v>
      </c>
      <c r="D818" s="452" t="s">
        <v>139</v>
      </c>
      <c r="E818" s="273">
        <v>0</v>
      </c>
      <c r="F818" s="274"/>
      <c r="G818" s="274">
        <f t="shared" si="3"/>
        <v>0</v>
      </c>
      <c r="H818" s="274">
        <v>0</v>
      </c>
      <c r="K818" s="274"/>
    </row>
    <row r="819" spans="2:11" ht="13.5" customHeight="1">
      <c r="B819" s="209" t="s">
        <v>1087</v>
      </c>
      <c r="C819" s="209" t="s">
        <v>2470</v>
      </c>
      <c r="D819" s="216" t="s">
        <v>140</v>
      </c>
      <c r="E819" s="273">
        <v>0</v>
      </c>
      <c r="F819" s="274"/>
      <c r="G819" s="274">
        <f t="shared" si="3"/>
        <v>0</v>
      </c>
      <c r="H819" s="274">
        <v>0</v>
      </c>
      <c r="K819" s="274"/>
    </row>
    <row r="820" spans="2:11" ht="13.5" customHeight="1">
      <c r="B820" s="209" t="s">
        <v>1087</v>
      </c>
      <c r="C820" s="209" t="s">
        <v>2470</v>
      </c>
      <c r="D820" s="453" t="s">
        <v>141</v>
      </c>
      <c r="E820" s="273">
        <v>0</v>
      </c>
      <c r="F820" s="274"/>
      <c r="G820" s="274">
        <f t="shared" si="3"/>
        <v>0</v>
      </c>
      <c r="H820" s="274">
        <v>0</v>
      </c>
      <c r="K820" s="274"/>
    </row>
    <row r="821" spans="2:11" ht="13.5" customHeight="1">
      <c r="B821" s="209" t="s">
        <v>1089</v>
      </c>
      <c r="C821" s="209" t="s">
        <v>2471</v>
      </c>
      <c r="D821" s="446" t="s">
        <v>133</v>
      </c>
      <c r="E821" s="273">
        <v>0</v>
      </c>
      <c r="F821" s="274"/>
      <c r="G821" s="274">
        <f t="shared" si="3"/>
        <v>0</v>
      </c>
      <c r="H821" s="274">
        <v>0</v>
      </c>
      <c r="K821" s="274"/>
    </row>
    <row r="822" spans="2:11" ht="13.5" customHeight="1">
      <c r="B822" s="209" t="s">
        <v>1089</v>
      </c>
      <c r="C822" s="209" t="s">
        <v>2471</v>
      </c>
      <c r="D822" s="447" t="s">
        <v>134</v>
      </c>
      <c r="E822" s="273">
        <v>0</v>
      </c>
      <c r="F822" s="274"/>
      <c r="G822" s="274">
        <f t="shared" si="3"/>
        <v>0</v>
      </c>
      <c r="H822" s="274">
        <v>0</v>
      </c>
      <c r="K822" s="274"/>
    </row>
    <row r="823" spans="2:11" ht="13.5" customHeight="1">
      <c r="B823" s="209" t="s">
        <v>1089</v>
      </c>
      <c r="C823" s="209" t="s">
        <v>2471</v>
      </c>
      <c r="D823" s="448" t="s">
        <v>135</v>
      </c>
      <c r="E823" s="273">
        <v>0</v>
      </c>
      <c r="F823" s="274"/>
      <c r="G823" s="274">
        <f t="shared" si="3"/>
        <v>0</v>
      </c>
      <c r="H823" s="274">
        <v>0</v>
      </c>
      <c r="K823" s="274"/>
    </row>
    <row r="824" spans="2:11" ht="13.5" customHeight="1">
      <c r="B824" s="209" t="s">
        <v>1089</v>
      </c>
      <c r="C824" s="209" t="s">
        <v>2471</v>
      </c>
      <c r="D824" s="449" t="s">
        <v>136</v>
      </c>
      <c r="E824" s="273">
        <v>0</v>
      </c>
      <c r="F824" s="274"/>
      <c r="G824" s="274">
        <f t="shared" si="3"/>
        <v>0</v>
      </c>
      <c r="H824" s="274">
        <v>0</v>
      </c>
      <c r="K824" s="274"/>
    </row>
    <row r="825" spans="2:11" ht="13.5" customHeight="1">
      <c r="B825" s="209" t="s">
        <v>1089</v>
      </c>
      <c r="C825" s="209" t="s">
        <v>2471</v>
      </c>
      <c r="D825" s="450" t="s">
        <v>137</v>
      </c>
      <c r="E825" s="273">
        <v>0</v>
      </c>
      <c r="F825" s="274"/>
      <c r="G825" s="274">
        <f t="shared" si="3"/>
        <v>0</v>
      </c>
      <c r="H825" s="274">
        <v>0</v>
      </c>
      <c r="K825" s="274"/>
    </row>
    <row r="826" spans="2:11" ht="13.5" customHeight="1">
      <c r="B826" s="209" t="s">
        <v>1089</v>
      </c>
      <c r="C826" s="209" t="s">
        <v>2471</v>
      </c>
      <c r="D826" s="451" t="s">
        <v>138</v>
      </c>
      <c r="E826" s="273">
        <v>0</v>
      </c>
      <c r="F826" s="274"/>
      <c r="G826" s="274">
        <f t="shared" si="3"/>
        <v>0</v>
      </c>
      <c r="H826" s="274">
        <v>0</v>
      </c>
      <c r="K826" s="274"/>
    </row>
    <row r="827" spans="2:11" ht="13.5" customHeight="1">
      <c r="B827" s="209" t="s">
        <v>1089</v>
      </c>
      <c r="C827" s="209" t="s">
        <v>2471</v>
      </c>
      <c r="D827" s="452" t="s">
        <v>139</v>
      </c>
      <c r="E827" s="273">
        <v>0</v>
      </c>
      <c r="F827" s="274"/>
      <c r="G827" s="274">
        <f t="shared" si="3"/>
        <v>0</v>
      </c>
      <c r="H827" s="274">
        <v>0</v>
      </c>
      <c r="K827" s="274"/>
    </row>
    <row r="828" spans="2:11" ht="13.5" customHeight="1">
      <c r="B828" s="209" t="s">
        <v>1089</v>
      </c>
      <c r="C828" s="209" t="s">
        <v>2471</v>
      </c>
      <c r="D828" s="216" t="s">
        <v>140</v>
      </c>
      <c r="E828" s="273">
        <v>0</v>
      </c>
      <c r="F828" s="274"/>
      <c r="G828" s="274">
        <f t="shared" si="3"/>
        <v>0</v>
      </c>
      <c r="H828" s="274">
        <v>0</v>
      </c>
      <c r="K828" s="274"/>
    </row>
    <row r="829" spans="2:11" ht="13.5" customHeight="1">
      <c r="B829" s="209" t="s">
        <v>1089</v>
      </c>
      <c r="C829" s="209" t="s">
        <v>2471</v>
      </c>
      <c r="D829" s="453" t="s">
        <v>141</v>
      </c>
      <c r="E829" s="273">
        <v>0</v>
      </c>
      <c r="F829" s="274"/>
      <c r="G829" s="274">
        <f t="shared" si="3"/>
        <v>0</v>
      </c>
      <c r="H829" s="274">
        <v>0</v>
      </c>
      <c r="K829" s="274"/>
    </row>
    <row r="830" spans="2:11" ht="13.5" customHeight="1">
      <c r="B830" s="209" t="s">
        <v>930</v>
      </c>
      <c r="C830" s="209" t="s">
        <v>2472</v>
      </c>
      <c r="D830" s="446" t="s">
        <v>133</v>
      </c>
      <c r="E830" s="273">
        <v>0</v>
      </c>
      <c r="F830" s="274"/>
      <c r="G830" s="274">
        <f t="shared" si="3"/>
        <v>0</v>
      </c>
      <c r="H830" s="274">
        <v>0</v>
      </c>
      <c r="K830" s="274"/>
    </row>
    <row r="831" spans="2:11" ht="13.5" customHeight="1">
      <c r="B831" s="209" t="s">
        <v>930</v>
      </c>
      <c r="C831" s="209" t="s">
        <v>2472</v>
      </c>
      <c r="D831" s="447" t="s">
        <v>134</v>
      </c>
      <c r="E831" s="273">
        <v>0</v>
      </c>
      <c r="F831" s="274"/>
      <c r="G831" s="274">
        <f t="shared" si="3"/>
        <v>0</v>
      </c>
      <c r="H831" s="274">
        <v>0</v>
      </c>
      <c r="K831" s="274"/>
    </row>
    <row r="832" spans="2:11" ht="13.5" customHeight="1">
      <c r="B832" s="209" t="s">
        <v>930</v>
      </c>
      <c r="C832" s="209" t="s">
        <v>2472</v>
      </c>
      <c r="D832" s="448" t="s">
        <v>135</v>
      </c>
      <c r="E832" s="273">
        <v>0</v>
      </c>
      <c r="F832" s="274"/>
      <c r="G832" s="274">
        <f t="shared" si="3"/>
        <v>0</v>
      </c>
      <c r="H832" s="274">
        <v>0</v>
      </c>
      <c r="K832" s="274"/>
    </row>
    <row r="833" spans="2:11" ht="13.5" customHeight="1">
      <c r="B833" s="209" t="s">
        <v>930</v>
      </c>
      <c r="C833" s="209" t="s">
        <v>2472</v>
      </c>
      <c r="D833" s="449" t="s">
        <v>136</v>
      </c>
      <c r="E833" s="273">
        <v>0</v>
      </c>
      <c r="F833" s="274"/>
      <c r="G833" s="274">
        <f t="shared" si="3"/>
        <v>0</v>
      </c>
      <c r="H833" s="274">
        <v>0</v>
      </c>
      <c r="K833" s="274"/>
    </row>
    <row r="834" spans="2:11" ht="13.5" customHeight="1">
      <c r="B834" s="209" t="s">
        <v>930</v>
      </c>
      <c r="C834" s="209" t="s">
        <v>2472</v>
      </c>
      <c r="D834" s="450" t="s">
        <v>137</v>
      </c>
      <c r="E834" s="273">
        <v>0</v>
      </c>
      <c r="F834" s="274"/>
      <c r="G834" s="274">
        <f t="shared" si="3"/>
        <v>0</v>
      </c>
      <c r="H834" s="274">
        <v>0</v>
      </c>
      <c r="K834" s="274"/>
    </row>
    <row r="835" spans="2:11" ht="13.5" customHeight="1">
      <c r="B835" s="209" t="s">
        <v>930</v>
      </c>
      <c r="C835" s="209" t="s">
        <v>2472</v>
      </c>
      <c r="D835" s="451" t="s">
        <v>138</v>
      </c>
      <c r="E835" s="273">
        <v>0</v>
      </c>
      <c r="F835" s="274"/>
      <c r="G835" s="274">
        <f t="shared" si="3"/>
        <v>0</v>
      </c>
      <c r="H835" s="274">
        <v>0</v>
      </c>
      <c r="K835" s="274"/>
    </row>
    <row r="836" spans="2:11" ht="13.5" customHeight="1">
      <c r="B836" s="209" t="s">
        <v>930</v>
      </c>
      <c r="C836" s="209" t="s">
        <v>2472</v>
      </c>
      <c r="D836" s="452" t="s">
        <v>139</v>
      </c>
      <c r="E836" s="273">
        <v>0</v>
      </c>
      <c r="F836" s="274"/>
      <c r="G836" s="274">
        <f t="shared" si="3"/>
        <v>0</v>
      </c>
      <c r="H836" s="274">
        <v>0</v>
      </c>
      <c r="K836" s="274"/>
    </row>
    <row r="837" spans="2:11" ht="13.5" customHeight="1">
      <c r="B837" s="209" t="s">
        <v>930</v>
      </c>
      <c r="C837" s="209" t="s">
        <v>2472</v>
      </c>
      <c r="D837" s="216" t="s">
        <v>140</v>
      </c>
      <c r="E837" s="273">
        <v>0</v>
      </c>
      <c r="F837" s="274"/>
      <c r="G837" s="274">
        <f t="shared" si="3"/>
        <v>0</v>
      </c>
      <c r="H837" s="274">
        <v>0</v>
      </c>
      <c r="K837" s="274"/>
    </row>
    <row r="838" spans="2:11" ht="13.5" customHeight="1">
      <c r="B838" s="209" t="s">
        <v>930</v>
      </c>
      <c r="C838" s="209" t="s">
        <v>2472</v>
      </c>
      <c r="D838" s="453" t="s">
        <v>141</v>
      </c>
      <c r="E838" s="273">
        <v>0</v>
      </c>
      <c r="F838" s="274"/>
      <c r="G838" s="274">
        <f t="shared" si="3"/>
        <v>0</v>
      </c>
      <c r="H838" s="274">
        <v>0</v>
      </c>
      <c r="K838" s="274"/>
    </row>
    <row r="839" spans="2:11" ht="13.5" customHeight="1">
      <c r="B839" s="209" t="s">
        <v>932</v>
      </c>
      <c r="C839" s="209" t="s">
        <v>2473</v>
      </c>
      <c r="D839" s="446" t="s">
        <v>133</v>
      </c>
      <c r="E839" s="273">
        <v>0</v>
      </c>
      <c r="F839" s="274"/>
      <c r="G839" s="274">
        <f t="shared" si="3"/>
        <v>0</v>
      </c>
      <c r="H839" s="274">
        <v>0</v>
      </c>
      <c r="K839" s="274"/>
    </row>
    <row r="840" spans="2:11" ht="13.5" customHeight="1">
      <c r="B840" s="209" t="s">
        <v>932</v>
      </c>
      <c r="C840" s="209" t="s">
        <v>2473</v>
      </c>
      <c r="D840" s="447" t="s">
        <v>134</v>
      </c>
      <c r="E840" s="273">
        <v>0</v>
      </c>
      <c r="F840" s="274"/>
      <c r="G840" s="274">
        <f t="shared" si="3"/>
        <v>0</v>
      </c>
      <c r="H840" s="274">
        <v>0</v>
      </c>
      <c r="K840" s="274"/>
    </row>
    <row r="841" spans="2:11" ht="13.5" customHeight="1">
      <c r="B841" s="209" t="s">
        <v>932</v>
      </c>
      <c r="C841" s="209" t="s">
        <v>2473</v>
      </c>
      <c r="D841" s="448" t="s">
        <v>135</v>
      </c>
      <c r="E841" s="273">
        <v>0</v>
      </c>
      <c r="F841" s="274"/>
      <c r="G841" s="274">
        <f t="shared" si="3"/>
        <v>0</v>
      </c>
      <c r="H841" s="274">
        <v>0</v>
      </c>
      <c r="K841" s="274"/>
    </row>
    <row r="842" spans="2:11" ht="13.5" customHeight="1">
      <c r="B842" s="209" t="s">
        <v>932</v>
      </c>
      <c r="C842" s="209" t="s">
        <v>2473</v>
      </c>
      <c r="D842" s="449" t="s">
        <v>136</v>
      </c>
      <c r="E842" s="273">
        <v>0</v>
      </c>
      <c r="F842" s="274"/>
      <c r="G842" s="274">
        <f t="shared" si="3"/>
        <v>0</v>
      </c>
      <c r="H842" s="274">
        <v>0</v>
      </c>
      <c r="K842" s="274"/>
    </row>
    <row r="843" spans="2:11" ht="13.5" customHeight="1">
      <c r="B843" s="209" t="s">
        <v>932</v>
      </c>
      <c r="C843" s="209" t="s">
        <v>2473</v>
      </c>
      <c r="D843" s="450" t="s">
        <v>137</v>
      </c>
      <c r="E843" s="273">
        <v>0</v>
      </c>
      <c r="F843" s="274"/>
      <c r="G843" s="274">
        <f t="shared" si="3"/>
        <v>0</v>
      </c>
      <c r="H843" s="274">
        <v>0</v>
      </c>
      <c r="K843" s="274"/>
    </row>
    <row r="844" spans="2:11" ht="13.5" customHeight="1">
      <c r="B844" s="209" t="s">
        <v>932</v>
      </c>
      <c r="C844" s="209" t="s">
        <v>2473</v>
      </c>
      <c r="D844" s="451" t="s">
        <v>138</v>
      </c>
      <c r="E844" s="273">
        <v>0</v>
      </c>
      <c r="F844" s="274"/>
      <c r="G844" s="274">
        <f t="shared" si="3"/>
        <v>0</v>
      </c>
      <c r="H844" s="274">
        <v>0</v>
      </c>
      <c r="K844" s="274"/>
    </row>
    <row r="845" spans="2:11" ht="13.5" customHeight="1">
      <c r="B845" s="209" t="s">
        <v>932</v>
      </c>
      <c r="C845" s="209" t="s">
        <v>2473</v>
      </c>
      <c r="D845" s="452" t="s">
        <v>139</v>
      </c>
      <c r="E845" s="273">
        <v>0</v>
      </c>
      <c r="F845" s="274"/>
      <c r="G845" s="274">
        <f t="shared" si="3"/>
        <v>0</v>
      </c>
      <c r="H845" s="274">
        <v>0</v>
      </c>
      <c r="K845" s="274"/>
    </row>
    <row r="846" spans="2:11" ht="13.5" customHeight="1">
      <c r="B846" s="209" t="s">
        <v>932</v>
      </c>
      <c r="C846" s="209" t="s">
        <v>2473</v>
      </c>
      <c r="D846" s="216" t="s">
        <v>140</v>
      </c>
      <c r="E846" s="273">
        <v>0</v>
      </c>
      <c r="F846" s="274"/>
      <c r="G846" s="274">
        <f t="shared" si="3"/>
        <v>0</v>
      </c>
      <c r="H846" s="274">
        <v>0</v>
      </c>
      <c r="K846" s="274"/>
    </row>
    <row r="847" spans="2:11" ht="13.5" customHeight="1">
      <c r="B847" s="209" t="s">
        <v>932</v>
      </c>
      <c r="C847" s="209" t="s">
        <v>2473</v>
      </c>
      <c r="D847" s="453" t="s">
        <v>141</v>
      </c>
      <c r="E847" s="273">
        <v>0</v>
      </c>
      <c r="F847" s="274"/>
      <c r="G847" s="274">
        <f t="shared" si="3"/>
        <v>0</v>
      </c>
      <c r="H847" s="274">
        <v>0</v>
      </c>
      <c r="K847" s="274"/>
    </row>
    <row r="848" spans="2:11" ht="13.5" customHeight="1">
      <c r="B848" s="209" t="s">
        <v>934</v>
      </c>
      <c r="C848" s="209" t="s">
        <v>2474</v>
      </c>
      <c r="D848" s="446" t="s">
        <v>133</v>
      </c>
      <c r="E848" s="273">
        <v>0</v>
      </c>
      <c r="F848" s="274"/>
      <c r="G848" s="274">
        <f t="shared" si="3"/>
        <v>0</v>
      </c>
      <c r="H848" s="274">
        <v>0</v>
      </c>
      <c r="K848" s="274"/>
    </row>
    <row r="849" spans="2:11" ht="13.5" customHeight="1">
      <c r="B849" s="209" t="s">
        <v>934</v>
      </c>
      <c r="C849" s="209" t="s">
        <v>2474</v>
      </c>
      <c r="D849" s="447" t="s">
        <v>134</v>
      </c>
      <c r="E849" s="273">
        <v>0</v>
      </c>
      <c r="F849" s="274"/>
      <c r="G849" s="274">
        <f t="shared" si="3"/>
        <v>0</v>
      </c>
      <c r="H849" s="274">
        <v>0</v>
      </c>
      <c r="K849" s="274"/>
    </row>
    <row r="850" spans="2:11" ht="13.5" customHeight="1">
      <c r="B850" s="209" t="s">
        <v>934</v>
      </c>
      <c r="C850" s="209" t="s">
        <v>2474</v>
      </c>
      <c r="D850" s="448" t="s">
        <v>135</v>
      </c>
      <c r="E850" s="273">
        <v>0</v>
      </c>
      <c r="F850" s="274"/>
      <c r="G850" s="274">
        <f t="shared" si="3"/>
        <v>0</v>
      </c>
      <c r="H850" s="274">
        <v>0</v>
      </c>
      <c r="K850" s="274"/>
    </row>
    <row r="851" spans="2:11" ht="13.5" customHeight="1">
      <c r="B851" s="209" t="s">
        <v>934</v>
      </c>
      <c r="C851" s="209" t="s">
        <v>2474</v>
      </c>
      <c r="D851" s="449" t="s">
        <v>136</v>
      </c>
      <c r="E851" s="273">
        <v>0</v>
      </c>
      <c r="F851" s="274"/>
      <c r="G851" s="274">
        <f t="shared" si="3"/>
        <v>0</v>
      </c>
      <c r="H851" s="274">
        <v>0</v>
      </c>
      <c r="K851" s="274"/>
    </row>
    <row r="852" spans="2:11" ht="13.5" customHeight="1">
      <c r="B852" s="209" t="s">
        <v>934</v>
      </c>
      <c r="C852" s="209" t="s">
        <v>2474</v>
      </c>
      <c r="D852" s="450" t="s">
        <v>137</v>
      </c>
      <c r="E852" s="273">
        <v>0</v>
      </c>
      <c r="F852" s="274"/>
      <c r="G852" s="274">
        <f t="shared" si="3"/>
        <v>0</v>
      </c>
      <c r="H852" s="274">
        <v>0</v>
      </c>
      <c r="K852" s="274"/>
    </row>
    <row r="853" spans="2:11" ht="13.5" customHeight="1">
      <c r="B853" s="209" t="s">
        <v>934</v>
      </c>
      <c r="C853" s="209" t="s">
        <v>2474</v>
      </c>
      <c r="D853" s="451" t="s">
        <v>138</v>
      </c>
      <c r="E853" s="273">
        <v>0</v>
      </c>
      <c r="F853" s="274"/>
      <c r="G853" s="274">
        <f t="shared" si="3"/>
        <v>0</v>
      </c>
      <c r="H853" s="274">
        <v>0</v>
      </c>
      <c r="K853" s="274"/>
    </row>
    <row r="854" spans="2:11" ht="13.5" customHeight="1">
      <c r="B854" s="209" t="s">
        <v>934</v>
      </c>
      <c r="C854" s="209" t="s">
        <v>2474</v>
      </c>
      <c r="D854" s="452" t="s">
        <v>139</v>
      </c>
      <c r="E854" s="273">
        <v>0</v>
      </c>
      <c r="F854" s="274"/>
      <c r="G854" s="274">
        <f t="shared" si="3"/>
        <v>0</v>
      </c>
      <c r="H854" s="274">
        <v>0</v>
      </c>
      <c r="K854" s="274"/>
    </row>
    <row r="855" spans="2:11" ht="13.5" customHeight="1">
      <c r="B855" s="209" t="s">
        <v>934</v>
      </c>
      <c r="C855" s="209" t="s">
        <v>2474</v>
      </c>
      <c r="D855" s="216" t="s">
        <v>140</v>
      </c>
      <c r="E855" s="273">
        <v>0</v>
      </c>
      <c r="F855" s="274"/>
      <c r="G855" s="274">
        <f t="shared" si="3"/>
        <v>0</v>
      </c>
      <c r="H855" s="274">
        <v>0</v>
      </c>
      <c r="K855" s="274"/>
    </row>
    <row r="856" spans="2:11" ht="13.5" customHeight="1">
      <c r="B856" s="209" t="s">
        <v>934</v>
      </c>
      <c r="C856" s="209" t="s">
        <v>2474</v>
      </c>
      <c r="D856" s="453" t="s">
        <v>141</v>
      </c>
      <c r="E856" s="273">
        <v>0</v>
      </c>
      <c r="F856" s="274"/>
      <c r="G856" s="274">
        <f t="shared" si="3"/>
        <v>0</v>
      </c>
      <c r="H856" s="274">
        <v>0</v>
      </c>
      <c r="K856" s="274"/>
    </row>
    <row r="857" spans="2:11" ht="13.5" customHeight="1">
      <c r="B857" s="209" t="s">
        <v>936</v>
      </c>
      <c r="C857" s="209" t="s">
        <v>2475</v>
      </c>
      <c r="D857" s="446" t="s">
        <v>133</v>
      </c>
      <c r="E857" s="273">
        <v>0</v>
      </c>
      <c r="F857" s="274"/>
      <c r="G857" s="274">
        <f t="shared" si="3"/>
        <v>0</v>
      </c>
      <c r="H857" s="274">
        <v>0</v>
      </c>
      <c r="K857" s="274"/>
    </row>
    <row r="858" spans="2:11" ht="13.5" customHeight="1">
      <c r="B858" s="209" t="s">
        <v>936</v>
      </c>
      <c r="C858" s="209" t="s">
        <v>2475</v>
      </c>
      <c r="D858" s="447" t="s">
        <v>134</v>
      </c>
      <c r="E858" s="273">
        <v>0</v>
      </c>
      <c r="F858" s="274"/>
      <c r="G858" s="274">
        <f t="shared" si="3"/>
        <v>0</v>
      </c>
      <c r="H858" s="274">
        <v>0</v>
      </c>
      <c r="K858" s="274"/>
    </row>
    <row r="859" spans="2:11" ht="13.5" customHeight="1">
      <c r="B859" s="209" t="s">
        <v>936</v>
      </c>
      <c r="C859" s="209" t="s">
        <v>2475</v>
      </c>
      <c r="D859" s="448" t="s">
        <v>135</v>
      </c>
      <c r="E859" s="273">
        <v>0</v>
      </c>
      <c r="F859" s="274"/>
      <c r="G859" s="274">
        <f t="shared" si="3"/>
        <v>0</v>
      </c>
      <c r="H859" s="274">
        <v>0</v>
      </c>
      <c r="K859" s="274"/>
    </row>
    <row r="860" spans="2:11" ht="13.5" customHeight="1">
      <c r="B860" s="209" t="s">
        <v>936</v>
      </c>
      <c r="C860" s="209" t="s">
        <v>2475</v>
      </c>
      <c r="D860" s="449" t="s">
        <v>136</v>
      </c>
      <c r="E860" s="273">
        <v>0</v>
      </c>
      <c r="F860" s="274"/>
      <c r="G860" s="274">
        <f t="shared" si="3"/>
        <v>0</v>
      </c>
      <c r="H860" s="274">
        <v>0</v>
      </c>
      <c r="K860" s="274"/>
    </row>
    <row r="861" spans="2:11" ht="13.5" customHeight="1">
      <c r="B861" s="209" t="s">
        <v>936</v>
      </c>
      <c r="C861" s="209" t="s">
        <v>2475</v>
      </c>
      <c r="D861" s="450" t="s">
        <v>137</v>
      </c>
      <c r="E861" s="273">
        <v>0</v>
      </c>
      <c r="F861" s="274"/>
      <c r="G861" s="274">
        <f t="shared" si="3"/>
        <v>0</v>
      </c>
      <c r="H861" s="274">
        <v>0</v>
      </c>
      <c r="K861" s="274"/>
    </row>
    <row r="862" spans="2:11" ht="13.5" customHeight="1">
      <c r="B862" s="209" t="s">
        <v>936</v>
      </c>
      <c r="C862" s="209" t="s">
        <v>2475</v>
      </c>
      <c r="D862" s="451" t="s">
        <v>138</v>
      </c>
      <c r="E862" s="273">
        <v>0</v>
      </c>
      <c r="F862" s="274"/>
      <c r="G862" s="274">
        <f t="shared" si="3"/>
        <v>0</v>
      </c>
      <c r="H862" s="274">
        <v>0</v>
      </c>
      <c r="K862" s="274"/>
    </row>
    <row r="863" spans="2:11" ht="13.5" customHeight="1">
      <c r="B863" s="209" t="s">
        <v>936</v>
      </c>
      <c r="C863" s="209" t="s">
        <v>2475</v>
      </c>
      <c r="D863" s="452" t="s">
        <v>139</v>
      </c>
      <c r="E863" s="273">
        <v>0</v>
      </c>
      <c r="F863" s="274"/>
      <c r="G863" s="274">
        <f t="shared" si="3"/>
        <v>0</v>
      </c>
      <c r="H863" s="274">
        <v>0</v>
      </c>
      <c r="K863" s="274"/>
    </row>
    <row r="864" spans="2:11" ht="13.5" customHeight="1">
      <c r="B864" s="209" t="s">
        <v>936</v>
      </c>
      <c r="C864" s="209" t="s">
        <v>2475</v>
      </c>
      <c r="D864" s="216" t="s">
        <v>140</v>
      </c>
      <c r="E864" s="273">
        <v>0</v>
      </c>
      <c r="F864" s="274"/>
      <c r="G864" s="274">
        <f t="shared" si="3"/>
        <v>0</v>
      </c>
      <c r="H864" s="274">
        <v>0</v>
      </c>
      <c r="K864" s="274"/>
    </row>
    <row r="865" spans="2:11" ht="13.5" customHeight="1">
      <c r="B865" s="209" t="s">
        <v>936</v>
      </c>
      <c r="C865" s="209" t="s">
        <v>2475</v>
      </c>
      <c r="D865" s="453" t="s">
        <v>141</v>
      </c>
      <c r="E865" s="273">
        <v>0</v>
      </c>
      <c r="F865" s="274"/>
      <c r="G865" s="274">
        <f t="shared" si="3"/>
        <v>0</v>
      </c>
      <c r="H865" s="274">
        <v>0</v>
      </c>
      <c r="K865" s="274"/>
    </row>
    <row r="866" spans="2:11" ht="13.5" customHeight="1">
      <c r="B866" s="209" t="s">
        <v>938</v>
      </c>
      <c r="C866" s="209" t="s">
        <v>2476</v>
      </c>
      <c r="D866" s="446" t="s">
        <v>133</v>
      </c>
      <c r="E866" s="273">
        <v>0</v>
      </c>
      <c r="F866" s="274"/>
      <c r="G866" s="274">
        <f t="shared" si="3"/>
        <v>0</v>
      </c>
      <c r="H866" s="274">
        <v>0</v>
      </c>
      <c r="K866" s="274"/>
    </row>
    <row r="867" spans="2:11" ht="13.5" customHeight="1">
      <c r="B867" s="209" t="s">
        <v>938</v>
      </c>
      <c r="C867" s="209" t="s">
        <v>2476</v>
      </c>
      <c r="D867" s="447" t="s">
        <v>134</v>
      </c>
      <c r="E867" s="273">
        <v>0</v>
      </c>
      <c r="F867" s="274"/>
      <c r="G867" s="274">
        <f t="shared" si="3"/>
        <v>0</v>
      </c>
      <c r="H867" s="274">
        <v>0</v>
      </c>
      <c r="K867" s="274"/>
    </row>
    <row r="868" spans="2:11" ht="13.5" customHeight="1">
      <c r="B868" s="209" t="s">
        <v>938</v>
      </c>
      <c r="C868" s="209" t="s">
        <v>2476</v>
      </c>
      <c r="D868" s="448" t="s">
        <v>135</v>
      </c>
      <c r="E868" s="273">
        <v>0</v>
      </c>
      <c r="F868" s="274"/>
      <c r="G868" s="274">
        <f t="shared" si="3"/>
        <v>0</v>
      </c>
      <c r="H868" s="274">
        <v>0</v>
      </c>
      <c r="K868" s="274"/>
    </row>
    <row r="869" spans="2:11" ht="13.5" customHeight="1">
      <c r="B869" s="209" t="s">
        <v>938</v>
      </c>
      <c r="C869" s="209" t="s">
        <v>2476</v>
      </c>
      <c r="D869" s="449" t="s">
        <v>136</v>
      </c>
      <c r="E869" s="273">
        <v>0</v>
      </c>
      <c r="F869" s="274"/>
      <c r="G869" s="274">
        <f t="shared" si="3"/>
        <v>0</v>
      </c>
      <c r="H869" s="274">
        <v>0</v>
      </c>
      <c r="K869" s="274"/>
    </row>
    <row r="870" spans="2:11" ht="13.5" customHeight="1">
      <c r="B870" s="209" t="s">
        <v>938</v>
      </c>
      <c r="C870" s="209" t="s">
        <v>2476</v>
      </c>
      <c r="D870" s="450" t="s">
        <v>137</v>
      </c>
      <c r="E870" s="273">
        <v>0</v>
      </c>
      <c r="F870" s="274"/>
      <c r="G870" s="274">
        <f t="shared" si="3"/>
        <v>0</v>
      </c>
      <c r="H870" s="274">
        <v>0</v>
      </c>
      <c r="K870" s="274"/>
    </row>
    <row r="871" spans="2:11" ht="13.5" customHeight="1">
      <c r="B871" s="209" t="s">
        <v>938</v>
      </c>
      <c r="C871" s="209" t="s">
        <v>2476</v>
      </c>
      <c r="D871" s="451" t="s">
        <v>138</v>
      </c>
      <c r="E871" s="273">
        <v>0</v>
      </c>
      <c r="F871" s="274"/>
      <c r="G871" s="274">
        <f t="shared" si="3"/>
        <v>0</v>
      </c>
      <c r="H871" s="274">
        <v>0</v>
      </c>
      <c r="K871" s="274"/>
    </row>
    <row r="872" spans="2:11" ht="13.5" customHeight="1">
      <c r="B872" s="209" t="s">
        <v>938</v>
      </c>
      <c r="C872" s="209" t="s">
        <v>2476</v>
      </c>
      <c r="D872" s="452" t="s">
        <v>139</v>
      </c>
      <c r="E872" s="273">
        <v>0</v>
      </c>
      <c r="F872" s="274"/>
      <c r="G872" s="274">
        <f t="shared" si="3"/>
        <v>0</v>
      </c>
      <c r="H872" s="274">
        <v>0</v>
      </c>
      <c r="K872" s="274"/>
    </row>
    <row r="873" spans="2:11" ht="13.5" customHeight="1">
      <c r="B873" s="209" t="s">
        <v>938</v>
      </c>
      <c r="C873" s="209" t="s">
        <v>2476</v>
      </c>
      <c r="D873" s="216" t="s">
        <v>140</v>
      </c>
      <c r="E873" s="273">
        <v>0</v>
      </c>
      <c r="F873" s="274"/>
      <c r="G873" s="274">
        <f t="shared" si="3"/>
        <v>0</v>
      </c>
      <c r="H873" s="274">
        <v>0</v>
      </c>
      <c r="K873" s="274"/>
    </row>
    <row r="874" spans="2:11" ht="13.5" customHeight="1">
      <c r="B874" s="209" t="s">
        <v>938</v>
      </c>
      <c r="C874" s="209" t="s">
        <v>2476</v>
      </c>
      <c r="D874" s="453" t="s">
        <v>141</v>
      </c>
      <c r="E874" s="273">
        <v>0</v>
      </c>
      <c r="F874" s="274"/>
      <c r="G874" s="274">
        <f t="shared" si="3"/>
        <v>0</v>
      </c>
      <c r="H874" s="274">
        <v>0</v>
      </c>
      <c r="K874" s="274"/>
    </row>
    <row r="875" spans="2:11" ht="13.5" customHeight="1">
      <c r="B875" s="209" t="s">
        <v>940</v>
      </c>
      <c r="C875" s="209" t="s">
        <v>2477</v>
      </c>
      <c r="D875" s="446" t="s">
        <v>133</v>
      </c>
      <c r="E875" s="273">
        <v>0</v>
      </c>
      <c r="F875" s="274"/>
      <c r="G875" s="274">
        <f t="shared" si="3"/>
        <v>0</v>
      </c>
      <c r="H875" s="274">
        <v>0</v>
      </c>
      <c r="K875" s="274"/>
    </row>
    <row r="876" spans="2:11" ht="13.5" customHeight="1">
      <c r="B876" s="209" t="s">
        <v>940</v>
      </c>
      <c r="C876" s="209" t="s">
        <v>2477</v>
      </c>
      <c r="D876" s="447" t="s">
        <v>134</v>
      </c>
      <c r="E876" s="273">
        <v>0</v>
      </c>
      <c r="F876" s="274"/>
      <c r="G876" s="274">
        <f t="shared" si="3"/>
        <v>0</v>
      </c>
      <c r="H876" s="274">
        <v>0</v>
      </c>
      <c r="K876" s="274"/>
    </row>
    <row r="877" spans="2:11" ht="13.5" customHeight="1">
      <c r="B877" s="209" t="s">
        <v>940</v>
      </c>
      <c r="C877" s="209" t="s">
        <v>2477</v>
      </c>
      <c r="D877" s="448" t="s">
        <v>135</v>
      </c>
      <c r="E877" s="273">
        <v>0</v>
      </c>
      <c r="F877" s="274"/>
      <c r="G877" s="274">
        <f t="shared" si="3"/>
        <v>0</v>
      </c>
      <c r="H877" s="274">
        <v>0</v>
      </c>
      <c r="K877" s="274"/>
    </row>
    <row r="878" spans="2:11" ht="13.5" customHeight="1">
      <c r="B878" s="209" t="s">
        <v>940</v>
      </c>
      <c r="C878" s="209" t="s">
        <v>2477</v>
      </c>
      <c r="D878" s="449" t="s">
        <v>136</v>
      </c>
      <c r="E878" s="273">
        <v>0</v>
      </c>
      <c r="F878" s="274"/>
      <c r="G878" s="274">
        <f t="shared" si="3"/>
        <v>0</v>
      </c>
      <c r="H878" s="274">
        <v>0</v>
      </c>
      <c r="K878" s="274"/>
    </row>
    <row r="879" spans="2:11" ht="13.5" customHeight="1">
      <c r="B879" s="209" t="s">
        <v>940</v>
      </c>
      <c r="C879" s="209" t="s">
        <v>2477</v>
      </c>
      <c r="D879" s="450" t="s">
        <v>137</v>
      </c>
      <c r="E879" s="273">
        <v>0</v>
      </c>
      <c r="F879" s="274"/>
      <c r="G879" s="274">
        <f t="shared" si="3"/>
        <v>0</v>
      </c>
      <c r="H879" s="274">
        <v>0</v>
      </c>
      <c r="K879" s="274"/>
    </row>
    <row r="880" spans="2:11" ht="13.5" customHeight="1">
      <c r="B880" s="209" t="s">
        <v>940</v>
      </c>
      <c r="C880" s="209" t="s">
        <v>2477</v>
      </c>
      <c r="D880" s="451" t="s">
        <v>138</v>
      </c>
      <c r="E880" s="273">
        <v>0</v>
      </c>
      <c r="F880" s="274"/>
      <c r="G880" s="274">
        <f t="shared" si="3"/>
        <v>0</v>
      </c>
      <c r="H880" s="274">
        <v>0</v>
      </c>
      <c r="K880" s="274"/>
    </row>
    <row r="881" spans="2:11" ht="13.5" customHeight="1">
      <c r="B881" s="209" t="s">
        <v>940</v>
      </c>
      <c r="C881" s="209" t="s">
        <v>2477</v>
      </c>
      <c r="D881" s="452" t="s">
        <v>139</v>
      </c>
      <c r="E881" s="273">
        <v>0</v>
      </c>
      <c r="F881" s="274"/>
      <c r="G881" s="274">
        <f t="shared" si="3"/>
        <v>0</v>
      </c>
      <c r="H881" s="274">
        <v>0</v>
      </c>
      <c r="K881" s="274"/>
    </row>
    <row r="882" spans="2:11" ht="13.5" customHeight="1">
      <c r="B882" s="209" t="s">
        <v>940</v>
      </c>
      <c r="C882" s="209" t="s">
        <v>2477</v>
      </c>
      <c r="D882" s="216" t="s">
        <v>140</v>
      </c>
      <c r="E882" s="273">
        <v>0</v>
      </c>
      <c r="F882" s="274"/>
      <c r="G882" s="274">
        <f t="shared" si="3"/>
        <v>0</v>
      </c>
      <c r="H882" s="274">
        <v>0</v>
      </c>
      <c r="K882" s="274"/>
    </row>
    <row r="883" spans="2:11" ht="13.5" customHeight="1">
      <c r="B883" s="209" t="s">
        <v>940</v>
      </c>
      <c r="C883" s="209" t="s">
        <v>2477</v>
      </c>
      <c r="D883" s="453" t="s">
        <v>141</v>
      </c>
      <c r="E883" s="273">
        <v>0</v>
      </c>
      <c r="F883" s="274"/>
      <c r="G883" s="274">
        <f t="shared" si="3"/>
        <v>0</v>
      </c>
      <c r="H883" s="274">
        <v>0</v>
      </c>
      <c r="K883" s="274"/>
    </row>
    <row r="884" spans="2:11" ht="13.5" customHeight="1">
      <c r="B884" s="209" t="s">
        <v>735</v>
      </c>
      <c r="C884" s="209" t="s">
        <v>2478</v>
      </c>
      <c r="D884" s="446" t="s">
        <v>133</v>
      </c>
      <c r="E884" s="273">
        <v>0</v>
      </c>
      <c r="F884" s="274"/>
      <c r="G884" s="274">
        <f t="shared" si="3"/>
        <v>0</v>
      </c>
      <c r="H884" s="274">
        <v>0</v>
      </c>
      <c r="K884" s="274"/>
    </row>
    <row r="885" spans="2:11" ht="13.5" customHeight="1">
      <c r="B885" s="209" t="s">
        <v>735</v>
      </c>
      <c r="C885" s="209" t="s">
        <v>2478</v>
      </c>
      <c r="D885" s="447" t="s">
        <v>134</v>
      </c>
      <c r="E885" s="273">
        <v>0</v>
      </c>
      <c r="F885" s="274"/>
      <c r="G885" s="274">
        <f t="shared" si="3"/>
        <v>0</v>
      </c>
      <c r="H885" s="274">
        <v>0</v>
      </c>
      <c r="K885" s="274"/>
    </row>
    <row r="886" spans="2:11" ht="13.5" customHeight="1">
      <c r="B886" s="209" t="s">
        <v>735</v>
      </c>
      <c r="C886" s="209" t="s">
        <v>2478</v>
      </c>
      <c r="D886" s="448" t="s">
        <v>135</v>
      </c>
      <c r="E886" s="273">
        <v>0</v>
      </c>
      <c r="F886" s="274"/>
      <c r="G886" s="274">
        <f t="shared" si="3"/>
        <v>0</v>
      </c>
      <c r="H886" s="274">
        <v>0</v>
      </c>
      <c r="K886" s="274"/>
    </row>
    <row r="887" spans="2:11" ht="13.5" customHeight="1">
      <c r="B887" s="209" t="s">
        <v>735</v>
      </c>
      <c r="C887" s="209" t="s">
        <v>2478</v>
      </c>
      <c r="D887" s="449" t="s">
        <v>136</v>
      </c>
      <c r="E887" s="273">
        <v>0</v>
      </c>
      <c r="F887" s="274"/>
      <c r="G887" s="274">
        <f t="shared" si="3"/>
        <v>0</v>
      </c>
      <c r="H887" s="274">
        <v>0</v>
      </c>
      <c r="K887" s="274"/>
    </row>
    <row r="888" spans="2:11" ht="13.5" customHeight="1">
      <c r="B888" s="209" t="s">
        <v>735</v>
      </c>
      <c r="C888" s="209" t="s">
        <v>2478</v>
      </c>
      <c r="D888" s="450" t="s">
        <v>137</v>
      </c>
      <c r="E888" s="273">
        <v>0</v>
      </c>
      <c r="F888" s="274"/>
      <c r="G888" s="274">
        <f t="shared" si="3"/>
        <v>0</v>
      </c>
      <c r="H888" s="274">
        <v>0</v>
      </c>
      <c r="K888" s="274"/>
    </row>
    <row r="889" spans="2:11" ht="13.5" customHeight="1">
      <c r="B889" s="209" t="s">
        <v>735</v>
      </c>
      <c r="C889" s="209" t="s">
        <v>2478</v>
      </c>
      <c r="D889" s="451" t="s">
        <v>138</v>
      </c>
      <c r="E889" s="273">
        <v>0</v>
      </c>
      <c r="F889" s="274"/>
      <c r="G889" s="274">
        <f t="shared" si="3"/>
        <v>0</v>
      </c>
      <c r="H889" s="274">
        <v>0</v>
      </c>
      <c r="K889" s="274"/>
    </row>
    <row r="890" spans="2:11" ht="13.5" customHeight="1">
      <c r="B890" s="209" t="s">
        <v>735</v>
      </c>
      <c r="C890" s="209" t="s">
        <v>2478</v>
      </c>
      <c r="D890" s="452" t="s">
        <v>139</v>
      </c>
      <c r="E890" s="273">
        <v>0</v>
      </c>
      <c r="F890" s="274"/>
      <c r="G890" s="274">
        <f t="shared" si="3"/>
        <v>0</v>
      </c>
      <c r="H890" s="274">
        <v>0</v>
      </c>
      <c r="K890" s="274"/>
    </row>
    <row r="891" spans="2:11" ht="13.5" customHeight="1">
      <c r="B891" s="209" t="s">
        <v>735</v>
      </c>
      <c r="C891" s="209" t="s">
        <v>2478</v>
      </c>
      <c r="D891" s="216" t="s">
        <v>140</v>
      </c>
      <c r="E891" s="273">
        <v>0</v>
      </c>
      <c r="F891" s="274"/>
      <c r="G891" s="274">
        <f t="shared" si="3"/>
        <v>0</v>
      </c>
      <c r="H891" s="274">
        <v>0</v>
      </c>
      <c r="K891" s="274"/>
    </row>
    <row r="892" spans="2:11" ht="13.5" customHeight="1">
      <c r="B892" s="209" t="s">
        <v>735</v>
      </c>
      <c r="C892" s="209" t="s">
        <v>2478</v>
      </c>
      <c r="D892" s="453" t="s">
        <v>141</v>
      </c>
      <c r="E892" s="273">
        <v>0</v>
      </c>
      <c r="F892" s="274"/>
      <c r="G892" s="274">
        <f t="shared" si="3"/>
        <v>0</v>
      </c>
      <c r="H892" s="274">
        <v>0</v>
      </c>
      <c r="K892" s="274"/>
    </row>
    <row r="893" spans="2:11" ht="13.5" customHeight="1">
      <c r="B893" s="209" t="s">
        <v>1093</v>
      </c>
      <c r="C893" s="209" t="s">
        <v>2479</v>
      </c>
      <c r="D893" s="446" t="s">
        <v>133</v>
      </c>
      <c r="E893" s="273">
        <v>0</v>
      </c>
      <c r="F893" s="274"/>
      <c r="G893" s="274">
        <f t="shared" si="3"/>
        <v>0</v>
      </c>
      <c r="H893" s="274">
        <v>0</v>
      </c>
      <c r="K893" s="274"/>
    </row>
    <row r="894" spans="2:11" ht="13.5" customHeight="1">
      <c r="B894" s="209" t="s">
        <v>1093</v>
      </c>
      <c r="C894" s="209" t="s">
        <v>2479</v>
      </c>
      <c r="D894" s="447" t="s">
        <v>134</v>
      </c>
      <c r="E894" s="273">
        <v>0</v>
      </c>
      <c r="F894" s="274"/>
      <c r="G894" s="274">
        <f t="shared" si="3"/>
        <v>0</v>
      </c>
      <c r="H894" s="274">
        <v>0</v>
      </c>
      <c r="K894" s="274"/>
    </row>
    <row r="895" spans="2:11" ht="13.5" customHeight="1">
      <c r="B895" s="209" t="s">
        <v>1093</v>
      </c>
      <c r="C895" s="209" t="s">
        <v>2479</v>
      </c>
      <c r="D895" s="448" t="s">
        <v>135</v>
      </c>
      <c r="E895" s="273">
        <v>0</v>
      </c>
      <c r="F895" s="274"/>
      <c r="G895" s="274">
        <f t="shared" si="3"/>
        <v>0</v>
      </c>
      <c r="H895" s="274">
        <v>0</v>
      </c>
      <c r="K895" s="274"/>
    </row>
    <row r="896" spans="2:11" ht="13.5" customHeight="1">
      <c r="B896" s="209" t="s">
        <v>1093</v>
      </c>
      <c r="C896" s="209" t="s">
        <v>2479</v>
      </c>
      <c r="D896" s="449" t="s">
        <v>136</v>
      </c>
      <c r="E896" s="273">
        <v>0</v>
      </c>
      <c r="F896" s="274"/>
      <c r="G896" s="274">
        <f t="shared" si="3"/>
        <v>0</v>
      </c>
      <c r="H896" s="274">
        <v>0</v>
      </c>
      <c r="K896" s="274"/>
    </row>
    <row r="897" spans="2:11" ht="13.5" customHeight="1">
      <c r="B897" s="209" t="s">
        <v>1093</v>
      </c>
      <c r="C897" s="209" t="s">
        <v>2479</v>
      </c>
      <c r="D897" s="450" t="s">
        <v>137</v>
      </c>
      <c r="E897" s="273">
        <v>0</v>
      </c>
      <c r="F897" s="274"/>
      <c r="G897" s="274">
        <f t="shared" si="3"/>
        <v>0</v>
      </c>
      <c r="H897" s="274">
        <v>0</v>
      </c>
      <c r="K897" s="274"/>
    </row>
    <row r="898" spans="2:11" ht="13.5" customHeight="1">
      <c r="B898" s="209" t="s">
        <v>1093</v>
      </c>
      <c r="C898" s="209" t="s">
        <v>2479</v>
      </c>
      <c r="D898" s="451" t="s">
        <v>138</v>
      </c>
      <c r="E898" s="273">
        <v>0</v>
      </c>
      <c r="F898" s="274"/>
      <c r="G898" s="274">
        <f t="shared" si="3"/>
        <v>0</v>
      </c>
      <c r="H898" s="274">
        <v>0</v>
      </c>
      <c r="K898" s="274"/>
    </row>
    <row r="899" spans="2:11" ht="13.5" customHeight="1">
      <c r="B899" s="209" t="s">
        <v>1093</v>
      </c>
      <c r="C899" s="209" t="s">
        <v>2479</v>
      </c>
      <c r="D899" s="452" t="s">
        <v>139</v>
      </c>
      <c r="E899" s="273">
        <v>0</v>
      </c>
      <c r="F899" s="274"/>
      <c r="G899" s="274">
        <f t="shared" si="3"/>
        <v>0</v>
      </c>
      <c r="H899" s="274">
        <v>0</v>
      </c>
      <c r="K899" s="274"/>
    </row>
    <row r="900" spans="2:11" ht="13.5" customHeight="1">
      <c r="B900" s="209" t="s">
        <v>1093</v>
      </c>
      <c r="C900" s="209" t="s">
        <v>2479</v>
      </c>
      <c r="D900" s="216" t="s">
        <v>140</v>
      </c>
      <c r="E900" s="273">
        <v>0</v>
      </c>
      <c r="F900" s="274"/>
      <c r="G900" s="274">
        <f t="shared" si="3"/>
        <v>0</v>
      </c>
      <c r="H900" s="274">
        <v>0</v>
      </c>
      <c r="K900" s="274"/>
    </row>
    <row r="901" spans="2:11" ht="13.5" customHeight="1">
      <c r="B901" s="209" t="s">
        <v>1093</v>
      </c>
      <c r="C901" s="209" t="s">
        <v>2479</v>
      </c>
      <c r="D901" s="453" t="s">
        <v>141</v>
      </c>
      <c r="E901" s="273">
        <v>0</v>
      </c>
      <c r="F901" s="274"/>
      <c r="G901" s="274">
        <f t="shared" si="3"/>
        <v>0</v>
      </c>
      <c r="H901" s="274">
        <v>0</v>
      </c>
      <c r="K901" s="274"/>
    </row>
    <row r="902" spans="2:11" ht="13.5" customHeight="1">
      <c r="B902" s="209" t="s">
        <v>1133</v>
      </c>
      <c r="C902" s="209" t="s">
        <v>2480</v>
      </c>
      <c r="D902" s="446" t="s">
        <v>133</v>
      </c>
      <c r="E902" s="273">
        <v>0</v>
      </c>
      <c r="F902" s="274"/>
      <c r="G902" s="274">
        <f t="shared" si="3"/>
        <v>0</v>
      </c>
      <c r="H902" s="274">
        <v>0</v>
      </c>
      <c r="K902" s="274"/>
    </row>
    <row r="903" spans="2:11" ht="13.5" customHeight="1">
      <c r="B903" s="209" t="s">
        <v>1133</v>
      </c>
      <c r="C903" s="209" t="s">
        <v>2480</v>
      </c>
      <c r="D903" s="447" t="s">
        <v>134</v>
      </c>
      <c r="E903" s="273">
        <v>0</v>
      </c>
      <c r="F903" s="274"/>
      <c r="G903" s="274">
        <f t="shared" si="3"/>
        <v>0</v>
      </c>
      <c r="H903" s="274">
        <v>0</v>
      </c>
      <c r="K903" s="274"/>
    </row>
    <row r="904" spans="2:11" ht="13.5" customHeight="1">
      <c r="B904" s="209" t="s">
        <v>1133</v>
      </c>
      <c r="C904" s="209" t="s">
        <v>2480</v>
      </c>
      <c r="D904" s="448" t="s">
        <v>135</v>
      </c>
      <c r="E904" s="273">
        <v>0</v>
      </c>
      <c r="F904" s="274"/>
      <c r="G904" s="274">
        <f t="shared" si="3"/>
        <v>0</v>
      </c>
      <c r="H904" s="274">
        <v>0</v>
      </c>
      <c r="K904" s="274"/>
    </row>
    <row r="905" spans="2:11" ht="13.5" customHeight="1">
      <c r="B905" s="209" t="s">
        <v>1133</v>
      </c>
      <c r="C905" s="209" t="s">
        <v>2480</v>
      </c>
      <c r="D905" s="449" t="s">
        <v>136</v>
      </c>
      <c r="E905" s="273">
        <v>0</v>
      </c>
      <c r="F905" s="274"/>
      <c r="G905" s="274">
        <f t="shared" si="3"/>
        <v>0</v>
      </c>
      <c r="H905" s="274">
        <v>0</v>
      </c>
      <c r="K905" s="274"/>
    </row>
    <row r="906" spans="2:11" ht="13.5" customHeight="1">
      <c r="B906" s="209" t="s">
        <v>1133</v>
      </c>
      <c r="C906" s="209" t="s">
        <v>2480</v>
      </c>
      <c r="D906" s="450" t="s">
        <v>137</v>
      </c>
      <c r="E906" s="273">
        <v>0</v>
      </c>
      <c r="F906" s="274"/>
      <c r="G906" s="274">
        <f t="shared" si="3"/>
        <v>0</v>
      </c>
      <c r="H906" s="274">
        <v>0</v>
      </c>
      <c r="K906" s="274"/>
    </row>
    <row r="907" spans="2:11" ht="13.5" customHeight="1">
      <c r="B907" s="209" t="s">
        <v>1133</v>
      </c>
      <c r="C907" s="209" t="s">
        <v>2480</v>
      </c>
      <c r="D907" s="451" t="s">
        <v>138</v>
      </c>
      <c r="E907" s="273">
        <v>0</v>
      </c>
      <c r="F907" s="274"/>
      <c r="G907" s="274">
        <f t="shared" si="3"/>
        <v>0</v>
      </c>
      <c r="H907" s="274">
        <v>0</v>
      </c>
      <c r="K907" s="274"/>
    </row>
    <row r="908" spans="2:11" ht="13.5" customHeight="1">
      <c r="B908" s="209" t="s">
        <v>1133</v>
      </c>
      <c r="C908" s="209" t="s">
        <v>2480</v>
      </c>
      <c r="D908" s="452" t="s">
        <v>139</v>
      </c>
      <c r="E908" s="273">
        <v>0</v>
      </c>
      <c r="F908" s="274"/>
      <c r="G908" s="274">
        <f t="shared" si="3"/>
        <v>0</v>
      </c>
      <c r="H908" s="274">
        <v>0</v>
      </c>
      <c r="K908" s="274"/>
    </row>
    <row r="909" spans="2:11" ht="13.5" customHeight="1">
      <c r="B909" s="209" t="s">
        <v>1133</v>
      </c>
      <c r="C909" s="209" t="s">
        <v>2480</v>
      </c>
      <c r="D909" s="216" t="s">
        <v>140</v>
      </c>
      <c r="E909" s="273">
        <v>0</v>
      </c>
      <c r="F909" s="274"/>
      <c r="G909" s="274">
        <f t="shared" si="3"/>
        <v>0</v>
      </c>
      <c r="H909" s="274">
        <v>0</v>
      </c>
      <c r="K909" s="274"/>
    </row>
    <row r="910" spans="2:11" ht="13.5" customHeight="1">
      <c r="B910" s="209" t="s">
        <v>1133</v>
      </c>
      <c r="C910" s="209" t="s">
        <v>2480</v>
      </c>
      <c r="D910" s="453" t="s">
        <v>141</v>
      </c>
      <c r="E910" s="273">
        <v>0</v>
      </c>
      <c r="F910" s="274"/>
      <c r="G910" s="274">
        <f t="shared" si="3"/>
        <v>0</v>
      </c>
      <c r="H910" s="274">
        <v>0</v>
      </c>
      <c r="K910" s="274"/>
    </row>
    <row r="911" spans="2:11" ht="13.5" customHeight="1">
      <c r="B911" s="209" t="s">
        <v>984</v>
      </c>
      <c r="C911" s="209" t="s">
        <v>2481</v>
      </c>
      <c r="D911" s="446" t="s">
        <v>133</v>
      </c>
      <c r="E911" s="273">
        <v>0</v>
      </c>
      <c r="F911" s="274"/>
      <c r="G911" s="274">
        <f t="shared" si="3"/>
        <v>0</v>
      </c>
      <c r="H911" s="274">
        <v>0</v>
      </c>
      <c r="K911" s="274"/>
    </row>
    <row r="912" spans="2:11" ht="13.5" customHeight="1">
      <c r="B912" s="209" t="s">
        <v>984</v>
      </c>
      <c r="C912" s="209" t="s">
        <v>2481</v>
      </c>
      <c r="D912" s="447" t="s">
        <v>134</v>
      </c>
      <c r="E912" s="273">
        <v>0</v>
      </c>
      <c r="F912" s="274"/>
      <c r="G912" s="274">
        <f t="shared" si="3"/>
        <v>0</v>
      </c>
      <c r="H912" s="274">
        <v>0</v>
      </c>
      <c r="K912" s="274"/>
    </row>
    <row r="913" spans="2:11" ht="13.5" customHeight="1">
      <c r="B913" s="209" t="s">
        <v>984</v>
      </c>
      <c r="C913" s="209" t="s">
        <v>2481</v>
      </c>
      <c r="D913" s="448" t="s">
        <v>135</v>
      </c>
      <c r="E913" s="273">
        <v>0</v>
      </c>
      <c r="F913" s="274"/>
      <c r="G913" s="274">
        <f t="shared" si="3"/>
        <v>0</v>
      </c>
      <c r="H913" s="274">
        <v>0</v>
      </c>
      <c r="K913" s="274"/>
    </row>
    <row r="914" spans="2:11" ht="13.5" customHeight="1">
      <c r="B914" s="209" t="s">
        <v>984</v>
      </c>
      <c r="C914" s="209" t="s">
        <v>2481</v>
      </c>
      <c r="D914" s="449" t="s">
        <v>136</v>
      </c>
      <c r="E914" s="273">
        <v>0</v>
      </c>
      <c r="F914" s="274"/>
      <c r="G914" s="274">
        <f t="shared" si="3"/>
        <v>0</v>
      </c>
      <c r="H914" s="274">
        <v>0</v>
      </c>
      <c r="K914" s="274"/>
    </row>
    <row r="915" spans="2:11" ht="13.5" customHeight="1">
      <c r="B915" s="209" t="s">
        <v>984</v>
      </c>
      <c r="C915" s="209" t="s">
        <v>2481</v>
      </c>
      <c r="D915" s="450" t="s">
        <v>137</v>
      </c>
      <c r="E915" s="273">
        <v>0</v>
      </c>
      <c r="F915" s="274"/>
      <c r="G915" s="274">
        <f t="shared" si="3"/>
        <v>0</v>
      </c>
      <c r="H915" s="274">
        <v>0</v>
      </c>
      <c r="K915" s="274"/>
    </row>
    <row r="916" spans="2:11" ht="13.5" customHeight="1">
      <c r="B916" s="209" t="s">
        <v>984</v>
      </c>
      <c r="C916" s="209" t="s">
        <v>2481</v>
      </c>
      <c r="D916" s="451" t="s">
        <v>138</v>
      </c>
      <c r="E916" s="273">
        <v>0</v>
      </c>
      <c r="F916" s="274"/>
      <c r="G916" s="274">
        <f t="shared" si="3"/>
        <v>0</v>
      </c>
      <c r="H916" s="274">
        <v>0</v>
      </c>
      <c r="K916" s="274"/>
    </row>
    <row r="917" spans="2:11" ht="13.5" customHeight="1">
      <c r="B917" s="209" t="s">
        <v>984</v>
      </c>
      <c r="C917" s="209" t="s">
        <v>2481</v>
      </c>
      <c r="D917" s="452" t="s">
        <v>139</v>
      </c>
      <c r="E917" s="273">
        <v>0</v>
      </c>
      <c r="F917" s="274"/>
      <c r="G917" s="274">
        <f t="shared" si="3"/>
        <v>0</v>
      </c>
      <c r="H917" s="274">
        <v>0</v>
      </c>
      <c r="K917" s="274"/>
    </row>
    <row r="918" spans="2:11" ht="13.5" customHeight="1">
      <c r="B918" s="209" t="s">
        <v>984</v>
      </c>
      <c r="C918" s="209" t="s">
        <v>2481</v>
      </c>
      <c r="D918" s="216" t="s">
        <v>140</v>
      </c>
      <c r="E918" s="273">
        <v>0</v>
      </c>
      <c r="F918" s="274"/>
      <c r="G918" s="274">
        <f t="shared" si="3"/>
        <v>0</v>
      </c>
      <c r="H918" s="274">
        <v>0</v>
      </c>
      <c r="K918" s="274"/>
    </row>
    <row r="919" spans="2:11" ht="13.5" customHeight="1">
      <c r="B919" s="209" t="s">
        <v>984</v>
      </c>
      <c r="C919" s="209" t="s">
        <v>2481</v>
      </c>
      <c r="D919" s="453" t="s">
        <v>141</v>
      </c>
      <c r="E919" s="273">
        <v>0</v>
      </c>
      <c r="F919" s="274"/>
      <c r="G919" s="274">
        <f t="shared" si="3"/>
        <v>0</v>
      </c>
      <c r="H919" s="274">
        <v>0</v>
      </c>
      <c r="K919" s="274"/>
    </row>
    <row r="920" spans="2:11" ht="13.5" customHeight="1">
      <c r="B920" s="209" t="s">
        <v>1167</v>
      </c>
      <c r="C920" s="209" t="s">
        <v>2482</v>
      </c>
      <c r="D920" s="446" t="s">
        <v>133</v>
      </c>
      <c r="E920" s="273">
        <v>0</v>
      </c>
      <c r="F920" s="274"/>
      <c r="G920" s="274">
        <f t="shared" si="3"/>
        <v>0</v>
      </c>
      <c r="H920" s="274">
        <v>0</v>
      </c>
      <c r="K920" s="274"/>
    </row>
    <row r="921" spans="2:11" ht="13.5" customHeight="1">
      <c r="B921" s="209" t="s">
        <v>1167</v>
      </c>
      <c r="C921" s="209" t="s">
        <v>2482</v>
      </c>
      <c r="D921" s="447" t="s">
        <v>134</v>
      </c>
      <c r="E921" s="273">
        <v>0</v>
      </c>
      <c r="F921" s="274"/>
      <c r="G921" s="274">
        <f t="shared" si="3"/>
        <v>0</v>
      </c>
      <c r="H921" s="274">
        <v>0</v>
      </c>
      <c r="K921" s="274"/>
    </row>
    <row r="922" spans="2:11" ht="13.5" customHeight="1">
      <c r="B922" s="209" t="s">
        <v>1167</v>
      </c>
      <c r="C922" s="209" t="s">
        <v>2482</v>
      </c>
      <c r="D922" s="448" t="s">
        <v>135</v>
      </c>
      <c r="E922" s="273">
        <v>0</v>
      </c>
      <c r="F922" s="274"/>
      <c r="G922" s="274">
        <f t="shared" si="3"/>
        <v>0</v>
      </c>
      <c r="H922" s="274">
        <v>0</v>
      </c>
      <c r="K922" s="274"/>
    </row>
    <row r="923" spans="2:11" ht="13.5" customHeight="1">
      <c r="B923" s="209" t="s">
        <v>1167</v>
      </c>
      <c r="C923" s="209" t="s">
        <v>2482</v>
      </c>
      <c r="D923" s="449" t="s">
        <v>136</v>
      </c>
      <c r="E923" s="273">
        <v>0</v>
      </c>
      <c r="F923" s="274"/>
      <c r="G923" s="274">
        <f t="shared" si="3"/>
        <v>0</v>
      </c>
      <c r="H923" s="274">
        <v>0</v>
      </c>
      <c r="K923" s="274"/>
    </row>
    <row r="924" spans="2:11" ht="13.5" customHeight="1">
      <c r="B924" s="209" t="s">
        <v>1167</v>
      </c>
      <c r="C924" s="209" t="s">
        <v>2482</v>
      </c>
      <c r="D924" s="450" t="s">
        <v>137</v>
      </c>
      <c r="E924" s="273">
        <v>0</v>
      </c>
      <c r="F924" s="274"/>
      <c r="G924" s="274">
        <f t="shared" si="3"/>
        <v>0</v>
      </c>
      <c r="H924" s="274">
        <v>0</v>
      </c>
      <c r="K924" s="274"/>
    </row>
    <row r="925" spans="2:11" ht="13.5" customHeight="1">
      <c r="B925" s="209" t="s">
        <v>1167</v>
      </c>
      <c r="C925" s="209" t="s">
        <v>2482</v>
      </c>
      <c r="D925" s="451" t="s">
        <v>138</v>
      </c>
      <c r="E925" s="273">
        <v>0</v>
      </c>
      <c r="F925" s="274"/>
      <c r="G925" s="274">
        <f t="shared" si="3"/>
        <v>0</v>
      </c>
      <c r="H925" s="274">
        <v>0</v>
      </c>
      <c r="K925" s="274"/>
    </row>
    <row r="926" spans="2:11" ht="13.5" customHeight="1">
      <c r="B926" s="209" t="s">
        <v>1167</v>
      </c>
      <c r="C926" s="209" t="s">
        <v>2482</v>
      </c>
      <c r="D926" s="452" t="s">
        <v>139</v>
      </c>
      <c r="E926" s="273">
        <v>0</v>
      </c>
      <c r="F926" s="274"/>
      <c r="G926" s="274">
        <f t="shared" si="3"/>
        <v>0</v>
      </c>
      <c r="H926" s="274">
        <v>0</v>
      </c>
      <c r="K926" s="274"/>
    </row>
    <row r="927" spans="2:11" ht="13.5" customHeight="1">
      <c r="B927" s="209" t="s">
        <v>1167</v>
      </c>
      <c r="C927" s="209" t="s">
        <v>2482</v>
      </c>
      <c r="D927" s="216" t="s">
        <v>140</v>
      </c>
      <c r="E927" s="273">
        <v>0</v>
      </c>
      <c r="F927" s="274"/>
      <c r="G927" s="274">
        <f t="shared" si="3"/>
        <v>0</v>
      </c>
      <c r="H927" s="274">
        <v>0</v>
      </c>
      <c r="K927" s="274"/>
    </row>
    <row r="928" spans="2:11" ht="13.5" customHeight="1">
      <c r="B928" s="209" t="s">
        <v>1167</v>
      </c>
      <c r="C928" s="209" t="s">
        <v>2482</v>
      </c>
      <c r="D928" s="453" t="s">
        <v>141</v>
      </c>
      <c r="E928" s="273">
        <v>0</v>
      </c>
      <c r="F928" s="274"/>
      <c r="G928" s="274">
        <f t="shared" si="3"/>
        <v>0</v>
      </c>
      <c r="H928" s="274">
        <v>0</v>
      </c>
      <c r="K928" s="274"/>
    </row>
    <row r="929" spans="2:11" ht="13.5" customHeight="1">
      <c r="B929" s="209" t="s">
        <v>986</v>
      </c>
      <c r="C929" s="209" t="s">
        <v>2483</v>
      </c>
      <c r="D929" s="446" t="s">
        <v>133</v>
      </c>
      <c r="E929" s="273">
        <v>0</v>
      </c>
      <c r="F929" s="274"/>
      <c r="G929" s="274">
        <f t="shared" si="3"/>
        <v>0</v>
      </c>
      <c r="H929" s="274">
        <v>0</v>
      </c>
      <c r="K929" s="274"/>
    </row>
    <row r="930" spans="2:11" ht="13.5" customHeight="1">
      <c r="B930" s="209" t="s">
        <v>986</v>
      </c>
      <c r="C930" s="209" t="s">
        <v>2483</v>
      </c>
      <c r="D930" s="447" t="s">
        <v>134</v>
      </c>
      <c r="E930" s="273">
        <v>0</v>
      </c>
      <c r="F930" s="274"/>
      <c r="G930" s="274">
        <f t="shared" si="3"/>
        <v>0</v>
      </c>
      <c r="H930" s="274">
        <v>0</v>
      </c>
      <c r="K930" s="274"/>
    </row>
    <row r="931" spans="2:11" ht="13.5" customHeight="1">
      <c r="B931" s="209" t="s">
        <v>986</v>
      </c>
      <c r="C931" s="209" t="s">
        <v>2483</v>
      </c>
      <c r="D931" s="448" t="s">
        <v>135</v>
      </c>
      <c r="E931" s="273">
        <v>0</v>
      </c>
      <c r="F931" s="274"/>
      <c r="G931" s="274">
        <f t="shared" si="3"/>
        <v>0</v>
      </c>
      <c r="H931" s="274">
        <v>0</v>
      </c>
      <c r="K931" s="274"/>
    </row>
    <row r="932" spans="2:11" ht="13.5" customHeight="1">
      <c r="B932" s="209" t="s">
        <v>986</v>
      </c>
      <c r="C932" s="209" t="s">
        <v>2483</v>
      </c>
      <c r="D932" s="449" t="s">
        <v>136</v>
      </c>
      <c r="E932" s="273">
        <v>0</v>
      </c>
      <c r="F932" s="274"/>
      <c r="G932" s="274">
        <f t="shared" si="3"/>
        <v>0</v>
      </c>
      <c r="H932" s="274">
        <v>0</v>
      </c>
      <c r="K932" s="274"/>
    </row>
    <row r="933" spans="2:11" ht="13.5" customHeight="1">
      <c r="B933" s="209" t="s">
        <v>986</v>
      </c>
      <c r="C933" s="209" t="s">
        <v>2483</v>
      </c>
      <c r="D933" s="450" t="s">
        <v>137</v>
      </c>
      <c r="E933" s="273">
        <v>0</v>
      </c>
      <c r="F933" s="274"/>
      <c r="G933" s="274">
        <f t="shared" si="3"/>
        <v>0</v>
      </c>
      <c r="H933" s="274">
        <v>0</v>
      </c>
      <c r="K933" s="274"/>
    </row>
    <row r="934" spans="2:11" ht="13.5" customHeight="1">
      <c r="B934" s="209" t="s">
        <v>986</v>
      </c>
      <c r="C934" s="209" t="s">
        <v>2483</v>
      </c>
      <c r="D934" s="451" t="s">
        <v>138</v>
      </c>
      <c r="E934" s="273">
        <v>0</v>
      </c>
      <c r="F934" s="274"/>
      <c r="G934" s="274">
        <f t="shared" si="3"/>
        <v>0</v>
      </c>
      <c r="H934" s="274">
        <v>0</v>
      </c>
      <c r="K934" s="274"/>
    </row>
    <row r="935" spans="2:11" ht="13.5" customHeight="1">
      <c r="B935" s="209" t="s">
        <v>986</v>
      </c>
      <c r="C935" s="209" t="s">
        <v>2483</v>
      </c>
      <c r="D935" s="452" t="s">
        <v>139</v>
      </c>
      <c r="E935" s="273">
        <v>0</v>
      </c>
      <c r="F935" s="274"/>
      <c r="G935" s="274">
        <f t="shared" si="3"/>
        <v>0</v>
      </c>
      <c r="H935" s="274">
        <v>0</v>
      </c>
      <c r="K935" s="274"/>
    </row>
    <row r="936" spans="2:11" ht="13.5" customHeight="1">
      <c r="B936" s="209" t="s">
        <v>986</v>
      </c>
      <c r="C936" s="209" t="s">
        <v>2483</v>
      </c>
      <c r="D936" s="216" t="s">
        <v>140</v>
      </c>
      <c r="E936" s="273">
        <v>0</v>
      </c>
      <c r="F936" s="274"/>
      <c r="G936" s="274">
        <f t="shared" si="3"/>
        <v>0</v>
      </c>
      <c r="H936" s="274">
        <v>0</v>
      </c>
      <c r="K936" s="274"/>
    </row>
    <row r="937" spans="2:11" ht="13.5" customHeight="1">
      <c r="B937" s="209" t="s">
        <v>986</v>
      </c>
      <c r="C937" s="209" t="s">
        <v>2483</v>
      </c>
      <c r="D937" s="453" t="s">
        <v>141</v>
      </c>
      <c r="E937" s="273">
        <v>0</v>
      </c>
      <c r="F937" s="274"/>
      <c r="G937" s="274">
        <f t="shared" si="3"/>
        <v>0</v>
      </c>
      <c r="H937" s="274">
        <v>0</v>
      </c>
      <c r="K937" s="274"/>
    </row>
    <row r="938" spans="2:11" ht="13.5" customHeight="1">
      <c r="B938" s="209" t="s">
        <v>988</v>
      </c>
      <c r="C938" s="209" t="s">
        <v>2484</v>
      </c>
      <c r="D938" s="446" t="s">
        <v>133</v>
      </c>
      <c r="E938" s="273">
        <v>0</v>
      </c>
      <c r="F938" s="274"/>
      <c r="G938" s="274">
        <f t="shared" si="3"/>
        <v>0</v>
      </c>
      <c r="H938" s="274">
        <v>0</v>
      </c>
      <c r="K938" s="274"/>
    </row>
    <row r="939" spans="2:11" ht="13.5" customHeight="1">
      <c r="B939" s="209" t="s">
        <v>988</v>
      </c>
      <c r="C939" s="209" t="s">
        <v>2484</v>
      </c>
      <c r="D939" s="447" t="s">
        <v>134</v>
      </c>
      <c r="E939" s="273">
        <v>0</v>
      </c>
      <c r="F939" s="274"/>
      <c r="G939" s="274">
        <f t="shared" si="3"/>
        <v>0</v>
      </c>
      <c r="H939" s="274">
        <v>0</v>
      </c>
      <c r="K939" s="274"/>
    </row>
    <row r="940" spans="2:11" ht="13.5" customHeight="1">
      <c r="B940" s="209" t="s">
        <v>988</v>
      </c>
      <c r="C940" s="209" t="s">
        <v>2484</v>
      </c>
      <c r="D940" s="448" t="s">
        <v>135</v>
      </c>
      <c r="E940" s="273">
        <v>0</v>
      </c>
      <c r="F940" s="274"/>
      <c r="G940" s="274">
        <f t="shared" si="3"/>
        <v>0</v>
      </c>
      <c r="H940" s="274">
        <v>0</v>
      </c>
      <c r="K940" s="274"/>
    </row>
    <row r="941" spans="2:11" ht="13.5" customHeight="1">
      <c r="B941" s="209" t="s">
        <v>988</v>
      </c>
      <c r="C941" s="209" t="s">
        <v>2484</v>
      </c>
      <c r="D941" s="449" t="s">
        <v>136</v>
      </c>
      <c r="E941" s="273">
        <v>0</v>
      </c>
      <c r="F941" s="274"/>
      <c r="G941" s="274">
        <f t="shared" si="3"/>
        <v>0</v>
      </c>
      <c r="H941" s="274">
        <v>0</v>
      </c>
      <c r="K941" s="274"/>
    </row>
    <row r="942" spans="2:11" ht="13.5" customHeight="1">
      <c r="B942" s="209" t="s">
        <v>988</v>
      </c>
      <c r="C942" s="209" t="s">
        <v>2484</v>
      </c>
      <c r="D942" s="450" t="s">
        <v>137</v>
      </c>
      <c r="E942" s="273">
        <v>0</v>
      </c>
      <c r="F942" s="274"/>
      <c r="G942" s="274">
        <f t="shared" si="3"/>
        <v>0</v>
      </c>
      <c r="H942" s="274">
        <v>0</v>
      </c>
      <c r="K942" s="274"/>
    </row>
    <row r="943" spans="2:11" ht="13.5" customHeight="1">
      <c r="B943" s="209" t="s">
        <v>988</v>
      </c>
      <c r="C943" s="209" t="s">
        <v>2484</v>
      </c>
      <c r="D943" s="451" t="s">
        <v>138</v>
      </c>
      <c r="E943" s="273">
        <v>0</v>
      </c>
      <c r="F943" s="274"/>
      <c r="G943" s="274">
        <f t="shared" si="3"/>
        <v>0</v>
      </c>
      <c r="H943" s="274">
        <v>0</v>
      </c>
      <c r="K943" s="274"/>
    </row>
    <row r="944" spans="2:11" ht="13.5" customHeight="1">
      <c r="B944" s="209" t="s">
        <v>988</v>
      </c>
      <c r="C944" s="209" t="s">
        <v>2484</v>
      </c>
      <c r="D944" s="452" t="s">
        <v>139</v>
      </c>
      <c r="E944" s="273">
        <v>0</v>
      </c>
      <c r="F944" s="274"/>
      <c r="G944" s="274">
        <f t="shared" si="3"/>
        <v>0</v>
      </c>
      <c r="H944" s="274">
        <v>0</v>
      </c>
      <c r="K944" s="274"/>
    </row>
    <row r="945" spans="2:11" ht="13.5" customHeight="1">
      <c r="B945" s="209" t="s">
        <v>988</v>
      </c>
      <c r="C945" s="209" t="s">
        <v>2484</v>
      </c>
      <c r="D945" s="216" t="s">
        <v>140</v>
      </c>
      <c r="E945" s="273">
        <v>0</v>
      </c>
      <c r="F945" s="274"/>
      <c r="G945" s="274">
        <f t="shared" si="3"/>
        <v>0</v>
      </c>
      <c r="H945" s="274">
        <v>0</v>
      </c>
      <c r="K945" s="274"/>
    </row>
    <row r="946" spans="2:11" ht="13.5" customHeight="1">
      <c r="B946" s="209" t="s">
        <v>988</v>
      </c>
      <c r="C946" s="209" t="s">
        <v>2484</v>
      </c>
      <c r="D946" s="453" t="s">
        <v>141</v>
      </c>
      <c r="E946" s="273">
        <v>0</v>
      </c>
      <c r="F946" s="274"/>
      <c r="G946" s="274">
        <f t="shared" si="3"/>
        <v>0</v>
      </c>
      <c r="H946" s="274">
        <v>0</v>
      </c>
      <c r="K946" s="274"/>
    </row>
    <row r="947" spans="2:11" ht="13.5" customHeight="1">
      <c r="B947" s="209" t="s">
        <v>1135</v>
      </c>
      <c r="C947" s="209" t="s">
        <v>2485</v>
      </c>
      <c r="D947" s="446" t="s">
        <v>133</v>
      </c>
      <c r="E947" s="273">
        <v>0</v>
      </c>
      <c r="F947" s="274"/>
      <c r="G947" s="274">
        <f t="shared" si="3"/>
        <v>0</v>
      </c>
      <c r="H947" s="274">
        <v>0</v>
      </c>
      <c r="K947" s="274"/>
    </row>
    <row r="948" spans="2:11" ht="13.5" customHeight="1">
      <c r="B948" s="209" t="s">
        <v>1135</v>
      </c>
      <c r="C948" s="209" t="s">
        <v>2485</v>
      </c>
      <c r="D948" s="447" t="s">
        <v>134</v>
      </c>
      <c r="E948" s="273">
        <v>0</v>
      </c>
      <c r="F948" s="274"/>
      <c r="G948" s="274">
        <f t="shared" si="3"/>
        <v>0</v>
      </c>
      <c r="H948" s="274">
        <v>0</v>
      </c>
      <c r="K948" s="274"/>
    </row>
    <row r="949" spans="2:11" ht="13.5" customHeight="1">
      <c r="B949" s="209" t="s">
        <v>1135</v>
      </c>
      <c r="C949" s="209" t="s">
        <v>2485</v>
      </c>
      <c r="D949" s="448" t="s">
        <v>135</v>
      </c>
      <c r="E949" s="273">
        <v>0</v>
      </c>
      <c r="F949" s="274"/>
      <c r="G949" s="274">
        <f t="shared" si="3"/>
        <v>0</v>
      </c>
      <c r="H949" s="274">
        <v>0</v>
      </c>
      <c r="K949" s="274"/>
    </row>
    <row r="950" spans="2:11" ht="13.5" customHeight="1">
      <c r="B950" s="209" t="s">
        <v>1135</v>
      </c>
      <c r="C950" s="209" t="s">
        <v>2485</v>
      </c>
      <c r="D950" s="449" t="s">
        <v>136</v>
      </c>
      <c r="E950" s="273">
        <v>0</v>
      </c>
      <c r="F950" s="274"/>
      <c r="G950" s="274">
        <f t="shared" si="3"/>
        <v>0</v>
      </c>
      <c r="H950" s="274">
        <v>0</v>
      </c>
      <c r="K950" s="274"/>
    </row>
    <row r="951" spans="2:11" ht="13.5" customHeight="1">
      <c r="B951" s="209" t="s">
        <v>1135</v>
      </c>
      <c r="C951" s="209" t="s">
        <v>2485</v>
      </c>
      <c r="D951" s="450" t="s">
        <v>137</v>
      </c>
      <c r="E951" s="273">
        <v>0</v>
      </c>
      <c r="F951" s="274"/>
      <c r="G951" s="274">
        <f t="shared" si="3"/>
        <v>0</v>
      </c>
      <c r="H951" s="274">
        <v>0</v>
      </c>
      <c r="K951" s="274"/>
    </row>
    <row r="952" spans="2:11" ht="13.5" customHeight="1">
      <c r="B952" s="209" t="s">
        <v>1135</v>
      </c>
      <c r="C952" s="209" t="s">
        <v>2485</v>
      </c>
      <c r="D952" s="451" t="s">
        <v>138</v>
      </c>
      <c r="E952" s="273">
        <v>0</v>
      </c>
      <c r="F952" s="274"/>
      <c r="G952" s="274">
        <f t="shared" si="3"/>
        <v>0</v>
      </c>
      <c r="H952" s="274">
        <v>0</v>
      </c>
      <c r="K952" s="274"/>
    </row>
    <row r="953" spans="2:11" ht="13.5" customHeight="1">
      <c r="B953" s="209" t="s">
        <v>1135</v>
      </c>
      <c r="C953" s="209" t="s">
        <v>2485</v>
      </c>
      <c r="D953" s="452" t="s">
        <v>139</v>
      </c>
      <c r="E953" s="273">
        <v>0</v>
      </c>
      <c r="F953" s="274"/>
      <c r="G953" s="274">
        <f t="shared" si="3"/>
        <v>0</v>
      </c>
      <c r="H953" s="274">
        <v>0</v>
      </c>
      <c r="K953" s="274"/>
    </row>
    <row r="954" spans="2:11" ht="13.5" customHeight="1">
      <c r="B954" s="209" t="s">
        <v>1135</v>
      </c>
      <c r="C954" s="209" t="s">
        <v>2485</v>
      </c>
      <c r="D954" s="216" t="s">
        <v>140</v>
      </c>
      <c r="E954" s="273">
        <v>0</v>
      </c>
      <c r="F954" s="274"/>
      <c r="G954" s="274">
        <f t="shared" si="3"/>
        <v>0</v>
      </c>
      <c r="H954" s="274">
        <v>0</v>
      </c>
      <c r="K954" s="274"/>
    </row>
    <row r="955" spans="2:11" ht="13.5" customHeight="1">
      <c r="B955" s="209" t="s">
        <v>1135</v>
      </c>
      <c r="C955" s="209" t="s">
        <v>2485</v>
      </c>
      <c r="D955" s="453" t="s">
        <v>141</v>
      </c>
      <c r="E955" s="273">
        <v>0</v>
      </c>
      <c r="F955" s="274"/>
      <c r="G955" s="274">
        <f t="shared" si="3"/>
        <v>0</v>
      </c>
      <c r="H955" s="274">
        <v>0</v>
      </c>
      <c r="K955" s="274"/>
    </row>
    <row r="956" spans="2:11" ht="13.5" customHeight="1">
      <c r="B956" s="209" t="s">
        <v>1137</v>
      </c>
      <c r="C956" s="209" t="s">
        <v>2486</v>
      </c>
      <c r="D956" s="446" t="s">
        <v>133</v>
      </c>
      <c r="E956" s="273">
        <v>0</v>
      </c>
      <c r="F956" s="274"/>
      <c r="G956" s="274">
        <f t="shared" si="3"/>
        <v>0</v>
      </c>
      <c r="H956" s="274">
        <v>0</v>
      </c>
      <c r="K956" s="274"/>
    </row>
    <row r="957" spans="2:11" ht="13.5" customHeight="1">
      <c r="B957" s="209" t="s">
        <v>1137</v>
      </c>
      <c r="C957" s="209" t="s">
        <v>2486</v>
      </c>
      <c r="D957" s="447" t="s">
        <v>134</v>
      </c>
      <c r="E957" s="273">
        <v>0</v>
      </c>
      <c r="F957" s="274"/>
      <c r="G957" s="274">
        <f t="shared" si="3"/>
        <v>0</v>
      </c>
      <c r="H957" s="274">
        <v>0</v>
      </c>
      <c r="K957" s="274"/>
    </row>
    <row r="958" spans="2:11" ht="13.5" customHeight="1">
      <c r="B958" s="209" t="s">
        <v>1137</v>
      </c>
      <c r="C958" s="209" t="s">
        <v>2486</v>
      </c>
      <c r="D958" s="448" t="s">
        <v>135</v>
      </c>
      <c r="E958" s="273">
        <v>0</v>
      </c>
      <c r="F958" s="274"/>
      <c r="G958" s="274">
        <f t="shared" si="3"/>
        <v>0</v>
      </c>
      <c r="H958" s="274">
        <v>0</v>
      </c>
      <c r="K958" s="274"/>
    </row>
    <row r="959" spans="2:11" ht="13.5" customHeight="1">
      <c r="B959" s="209" t="s">
        <v>1137</v>
      </c>
      <c r="C959" s="209" t="s">
        <v>2486</v>
      </c>
      <c r="D959" s="449" t="s">
        <v>136</v>
      </c>
      <c r="E959" s="273">
        <v>0</v>
      </c>
      <c r="F959" s="274"/>
      <c r="G959" s="274">
        <f t="shared" si="3"/>
        <v>0</v>
      </c>
      <c r="H959" s="274">
        <v>0</v>
      </c>
      <c r="K959" s="274"/>
    </row>
    <row r="960" spans="2:11" ht="13.5" customHeight="1">
      <c r="B960" s="209" t="s">
        <v>1137</v>
      </c>
      <c r="C960" s="209" t="s">
        <v>2486</v>
      </c>
      <c r="D960" s="450" t="s">
        <v>137</v>
      </c>
      <c r="E960" s="273">
        <v>0</v>
      </c>
      <c r="F960" s="274"/>
      <c r="G960" s="274">
        <f t="shared" si="3"/>
        <v>0</v>
      </c>
      <c r="H960" s="274">
        <v>0</v>
      </c>
      <c r="K960" s="274"/>
    </row>
    <row r="961" spans="2:11" ht="13.5" customHeight="1">
      <c r="B961" s="209" t="s">
        <v>1137</v>
      </c>
      <c r="C961" s="209" t="s">
        <v>2486</v>
      </c>
      <c r="D961" s="451" t="s">
        <v>138</v>
      </c>
      <c r="E961" s="273">
        <v>0</v>
      </c>
      <c r="F961" s="274"/>
      <c r="G961" s="274">
        <f t="shared" si="3"/>
        <v>0</v>
      </c>
      <c r="H961" s="274">
        <v>0</v>
      </c>
      <c r="K961" s="274"/>
    </row>
    <row r="962" spans="2:11" ht="13.5" customHeight="1">
      <c r="B962" s="209" t="s">
        <v>1137</v>
      </c>
      <c r="C962" s="209" t="s">
        <v>2486</v>
      </c>
      <c r="D962" s="452" t="s">
        <v>139</v>
      </c>
      <c r="E962" s="273">
        <v>0</v>
      </c>
      <c r="F962" s="274"/>
      <c r="G962" s="274">
        <f t="shared" si="3"/>
        <v>0</v>
      </c>
      <c r="H962" s="274">
        <v>0</v>
      </c>
      <c r="K962" s="274"/>
    </row>
    <row r="963" spans="2:11" ht="13.5" customHeight="1">
      <c r="B963" s="209" t="s">
        <v>1137</v>
      </c>
      <c r="C963" s="209" t="s">
        <v>2486</v>
      </c>
      <c r="D963" s="216" t="s">
        <v>140</v>
      </c>
      <c r="E963" s="273">
        <v>0</v>
      </c>
      <c r="F963" s="274"/>
      <c r="G963" s="274">
        <f t="shared" si="3"/>
        <v>0</v>
      </c>
      <c r="H963" s="274">
        <v>0</v>
      </c>
      <c r="K963" s="274"/>
    </row>
    <row r="964" spans="2:11" ht="13.5" customHeight="1">
      <c r="B964" s="209" t="s">
        <v>1137</v>
      </c>
      <c r="C964" s="209" t="s">
        <v>2486</v>
      </c>
      <c r="D964" s="453" t="s">
        <v>141</v>
      </c>
      <c r="E964" s="273">
        <v>0</v>
      </c>
      <c r="F964" s="274"/>
      <c r="G964" s="274">
        <f t="shared" si="3"/>
        <v>0</v>
      </c>
      <c r="H964" s="274">
        <v>0</v>
      </c>
      <c r="K964" s="274"/>
    </row>
    <row r="965" spans="2:11" ht="13.5" customHeight="1">
      <c r="B965" s="209" t="s">
        <v>990</v>
      </c>
      <c r="C965" s="209" t="s">
        <v>2487</v>
      </c>
      <c r="D965" s="446" t="s">
        <v>133</v>
      </c>
      <c r="E965" s="273">
        <v>0</v>
      </c>
      <c r="F965" s="274"/>
      <c r="G965" s="274">
        <f t="shared" si="3"/>
        <v>0</v>
      </c>
      <c r="H965" s="274">
        <v>0</v>
      </c>
      <c r="K965" s="274"/>
    </row>
    <row r="966" spans="2:11" ht="13.5" customHeight="1">
      <c r="B966" s="209" t="s">
        <v>990</v>
      </c>
      <c r="C966" s="209" t="s">
        <v>2487</v>
      </c>
      <c r="D966" s="447" t="s">
        <v>134</v>
      </c>
      <c r="E966" s="273">
        <v>0</v>
      </c>
      <c r="F966" s="274"/>
      <c r="G966" s="274">
        <f t="shared" si="3"/>
        <v>0</v>
      </c>
      <c r="H966" s="274">
        <v>0</v>
      </c>
      <c r="K966" s="274"/>
    </row>
    <row r="967" spans="2:11" ht="13.5" customHeight="1">
      <c r="B967" s="209" t="s">
        <v>990</v>
      </c>
      <c r="C967" s="209" t="s">
        <v>2487</v>
      </c>
      <c r="D967" s="448" t="s">
        <v>135</v>
      </c>
      <c r="E967" s="273">
        <v>0</v>
      </c>
      <c r="F967" s="274"/>
      <c r="G967" s="274">
        <f t="shared" si="3"/>
        <v>0</v>
      </c>
      <c r="H967" s="274">
        <v>0</v>
      </c>
      <c r="K967" s="274"/>
    </row>
    <row r="968" spans="2:11" ht="13.5" customHeight="1">
      <c r="B968" s="209" t="s">
        <v>990</v>
      </c>
      <c r="C968" s="209" t="s">
        <v>2487</v>
      </c>
      <c r="D968" s="449" t="s">
        <v>136</v>
      </c>
      <c r="E968" s="273">
        <v>0</v>
      </c>
      <c r="F968" s="274"/>
      <c r="G968" s="274">
        <f t="shared" si="3"/>
        <v>0</v>
      </c>
      <c r="H968" s="274">
        <v>0</v>
      </c>
      <c r="K968" s="274"/>
    </row>
    <row r="969" spans="2:11" ht="13.5" customHeight="1">
      <c r="B969" s="209" t="s">
        <v>990</v>
      </c>
      <c r="C969" s="209" t="s">
        <v>2487</v>
      </c>
      <c r="D969" s="450" t="s">
        <v>137</v>
      </c>
      <c r="E969" s="273">
        <v>0</v>
      </c>
      <c r="F969" s="274"/>
      <c r="G969" s="274">
        <f t="shared" si="3"/>
        <v>0</v>
      </c>
      <c r="H969" s="274">
        <v>0</v>
      </c>
      <c r="K969" s="274"/>
    </row>
    <row r="970" spans="2:11" ht="13.5" customHeight="1">
      <c r="B970" s="209" t="s">
        <v>990</v>
      </c>
      <c r="C970" s="209" t="s">
        <v>2487</v>
      </c>
      <c r="D970" s="451" t="s">
        <v>138</v>
      </c>
      <c r="E970" s="273">
        <v>0</v>
      </c>
      <c r="F970" s="274"/>
      <c r="G970" s="274">
        <f t="shared" si="3"/>
        <v>0</v>
      </c>
      <c r="H970" s="274">
        <v>0</v>
      </c>
      <c r="K970" s="274"/>
    </row>
    <row r="971" spans="2:11" ht="13.5" customHeight="1">
      <c r="B971" s="209" t="s">
        <v>990</v>
      </c>
      <c r="C971" s="209" t="s">
        <v>2487</v>
      </c>
      <c r="D971" s="452" t="s">
        <v>139</v>
      </c>
      <c r="E971" s="273">
        <v>0</v>
      </c>
      <c r="F971" s="274"/>
      <c r="G971" s="274">
        <f t="shared" si="3"/>
        <v>0</v>
      </c>
      <c r="H971" s="274">
        <v>0</v>
      </c>
      <c r="K971" s="274"/>
    </row>
    <row r="972" spans="2:11" ht="13.5" customHeight="1">
      <c r="B972" s="209" t="s">
        <v>990</v>
      </c>
      <c r="C972" s="209" t="s">
        <v>2487</v>
      </c>
      <c r="D972" s="216" t="s">
        <v>140</v>
      </c>
      <c r="E972" s="273">
        <v>0</v>
      </c>
      <c r="F972" s="274"/>
      <c r="G972" s="274">
        <f t="shared" si="3"/>
        <v>0</v>
      </c>
      <c r="H972" s="274">
        <v>0</v>
      </c>
      <c r="K972" s="274"/>
    </row>
    <row r="973" spans="2:11" ht="13.5" customHeight="1">
      <c r="B973" s="209" t="s">
        <v>990</v>
      </c>
      <c r="C973" s="209" t="s">
        <v>2487</v>
      </c>
      <c r="D973" s="453" t="s">
        <v>141</v>
      </c>
      <c r="E973" s="273">
        <v>0</v>
      </c>
      <c r="F973" s="274"/>
      <c r="G973" s="274">
        <f t="shared" si="3"/>
        <v>0</v>
      </c>
      <c r="H973" s="274">
        <v>0</v>
      </c>
      <c r="K973" s="274"/>
    </row>
    <row r="974" spans="2:11" ht="13.5" customHeight="1">
      <c r="B974" s="209" t="s">
        <v>992</v>
      </c>
      <c r="C974" s="209" t="s">
        <v>2488</v>
      </c>
      <c r="D974" s="446" t="s">
        <v>133</v>
      </c>
      <c r="E974" s="273">
        <v>0</v>
      </c>
      <c r="F974" s="274"/>
      <c r="G974" s="274">
        <f t="shared" si="3"/>
        <v>0</v>
      </c>
      <c r="H974" s="274">
        <v>0</v>
      </c>
      <c r="K974" s="274"/>
    </row>
    <row r="975" spans="2:11" ht="13.5" customHeight="1">
      <c r="B975" s="209" t="s">
        <v>992</v>
      </c>
      <c r="C975" s="209" t="s">
        <v>2488</v>
      </c>
      <c r="D975" s="447" t="s">
        <v>134</v>
      </c>
      <c r="E975" s="273">
        <v>0</v>
      </c>
      <c r="F975" s="274"/>
      <c r="G975" s="274">
        <f t="shared" si="3"/>
        <v>0</v>
      </c>
      <c r="H975" s="274">
        <v>0</v>
      </c>
      <c r="K975" s="274"/>
    </row>
    <row r="976" spans="2:11" ht="13.5" customHeight="1">
      <c r="B976" s="209" t="s">
        <v>992</v>
      </c>
      <c r="C976" s="209" t="s">
        <v>2488</v>
      </c>
      <c r="D976" s="448" t="s">
        <v>135</v>
      </c>
      <c r="E976" s="273">
        <v>0</v>
      </c>
      <c r="F976" s="274"/>
      <c r="G976" s="274">
        <f t="shared" si="3"/>
        <v>0</v>
      </c>
      <c r="H976" s="274">
        <v>0</v>
      </c>
      <c r="K976" s="274"/>
    </row>
    <row r="977" spans="2:11" ht="13.5" customHeight="1">
      <c r="B977" s="209" t="s">
        <v>992</v>
      </c>
      <c r="C977" s="209" t="s">
        <v>2488</v>
      </c>
      <c r="D977" s="449" t="s">
        <v>136</v>
      </c>
      <c r="E977" s="273">
        <v>0</v>
      </c>
      <c r="F977" s="274"/>
      <c r="G977" s="274">
        <f t="shared" si="3"/>
        <v>0</v>
      </c>
      <c r="H977" s="274">
        <v>0</v>
      </c>
      <c r="K977" s="274"/>
    </row>
    <row r="978" spans="2:11" ht="13.5" customHeight="1">
      <c r="B978" s="209" t="s">
        <v>992</v>
      </c>
      <c r="C978" s="209" t="s">
        <v>2488</v>
      </c>
      <c r="D978" s="450" t="s">
        <v>137</v>
      </c>
      <c r="E978" s="273">
        <v>0</v>
      </c>
      <c r="F978" s="274"/>
      <c r="G978" s="274">
        <f t="shared" si="3"/>
        <v>0</v>
      </c>
      <c r="H978" s="274">
        <v>0</v>
      </c>
      <c r="K978" s="274"/>
    </row>
    <row r="979" spans="2:11" ht="13.5" customHeight="1">
      <c r="B979" s="209" t="s">
        <v>992</v>
      </c>
      <c r="C979" s="209" t="s">
        <v>2488</v>
      </c>
      <c r="D979" s="451" t="s">
        <v>138</v>
      </c>
      <c r="E979" s="273">
        <v>0</v>
      </c>
      <c r="F979" s="274"/>
      <c r="G979" s="274">
        <f t="shared" si="3"/>
        <v>0</v>
      </c>
      <c r="H979" s="274">
        <v>0</v>
      </c>
      <c r="K979" s="274"/>
    </row>
    <row r="980" spans="2:11" ht="13.5" customHeight="1">
      <c r="B980" s="209" t="s">
        <v>992</v>
      </c>
      <c r="C980" s="209" t="s">
        <v>2488</v>
      </c>
      <c r="D980" s="452" t="s">
        <v>139</v>
      </c>
      <c r="E980" s="273">
        <v>0</v>
      </c>
      <c r="F980" s="274"/>
      <c r="G980" s="274">
        <f t="shared" si="3"/>
        <v>0</v>
      </c>
      <c r="H980" s="274">
        <v>0</v>
      </c>
      <c r="K980" s="274"/>
    </row>
    <row r="981" spans="2:11" ht="13.5" customHeight="1">
      <c r="B981" s="209" t="s">
        <v>992</v>
      </c>
      <c r="C981" s="209" t="s">
        <v>2488</v>
      </c>
      <c r="D981" s="216" t="s">
        <v>140</v>
      </c>
      <c r="E981" s="273">
        <v>0</v>
      </c>
      <c r="F981" s="274"/>
      <c r="G981" s="274">
        <f t="shared" si="3"/>
        <v>0</v>
      </c>
      <c r="H981" s="274">
        <v>0</v>
      </c>
      <c r="K981" s="274"/>
    </row>
    <row r="982" spans="2:11" ht="13.5" customHeight="1">
      <c r="B982" s="209" t="s">
        <v>992</v>
      </c>
      <c r="C982" s="209" t="s">
        <v>2488</v>
      </c>
      <c r="D982" s="453" t="s">
        <v>141</v>
      </c>
      <c r="E982" s="273">
        <v>0</v>
      </c>
      <c r="F982" s="274"/>
      <c r="G982" s="274">
        <f t="shared" si="3"/>
        <v>0</v>
      </c>
      <c r="H982" s="274">
        <v>0</v>
      </c>
      <c r="K982" s="274"/>
    </row>
    <row r="983" spans="2:11" ht="13.5" customHeight="1">
      <c r="B983" s="209" t="s">
        <v>994</v>
      </c>
      <c r="C983" s="209" t="s">
        <v>2489</v>
      </c>
      <c r="D983" s="446" t="s">
        <v>133</v>
      </c>
      <c r="E983" s="273">
        <v>0</v>
      </c>
      <c r="F983" s="274"/>
      <c r="G983" s="274">
        <f t="shared" si="3"/>
        <v>0</v>
      </c>
      <c r="H983" s="274">
        <v>0</v>
      </c>
      <c r="K983" s="274"/>
    </row>
    <row r="984" spans="2:11" ht="13.5" customHeight="1">
      <c r="B984" s="209" t="s">
        <v>994</v>
      </c>
      <c r="C984" s="209" t="s">
        <v>2489</v>
      </c>
      <c r="D984" s="447" t="s">
        <v>134</v>
      </c>
      <c r="E984" s="273">
        <v>0</v>
      </c>
      <c r="F984" s="274"/>
      <c r="G984" s="274">
        <f t="shared" si="3"/>
        <v>0</v>
      </c>
      <c r="H984" s="274">
        <v>0</v>
      </c>
      <c r="K984" s="274"/>
    </row>
    <row r="985" spans="2:11" ht="13.5" customHeight="1">
      <c r="B985" s="209" t="s">
        <v>994</v>
      </c>
      <c r="C985" s="209" t="s">
        <v>2489</v>
      </c>
      <c r="D985" s="448" t="s">
        <v>135</v>
      </c>
      <c r="E985" s="273">
        <v>0</v>
      </c>
      <c r="F985" s="274"/>
      <c r="G985" s="274">
        <f t="shared" si="3"/>
        <v>0</v>
      </c>
      <c r="H985" s="274">
        <v>0</v>
      </c>
      <c r="K985" s="274"/>
    </row>
    <row r="986" spans="2:11" ht="13.5" customHeight="1">
      <c r="B986" s="209" t="s">
        <v>994</v>
      </c>
      <c r="C986" s="209" t="s">
        <v>2489</v>
      </c>
      <c r="D986" s="449" t="s">
        <v>136</v>
      </c>
      <c r="E986" s="273">
        <v>0</v>
      </c>
      <c r="F986" s="274"/>
      <c r="G986" s="274">
        <f t="shared" si="3"/>
        <v>0</v>
      </c>
      <c r="H986" s="274">
        <v>0</v>
      </c>
      <c r="K986" s="274"/>
    </row>
    <row r="987" spans="2:11" ht="13.5" customHeight="1">
      <c r="B987" s="209" t="s">
        <v>994</v>
      </c>
      <c r="C987" s="209" t="s">
        <v>2489</v>
      </c>
      <c r="D987" s="450" t="s">
        <v>137</v>
      </c>
      <c r="E987" s="273">
        <v>0</v>
      </c>
      <c r="F987" s="274"/>
      <c r="G987" s="274">
        <f t="shared" si="3"/>
        <v>0</v>
      </c>
      <c r="H987" s="274">
        <v>0</v>
      </c>
      <c r="K987" s="274"/>
    </row>
    <row r="988" spans="2:11" ht="13.5" customHeight="1">
      <c r="B988" s="209" t="s">
        <v>994</v>
      </c>
      <c r="C988" s="209" t="s">
        <v>2489</v>
      </c>
      <c r="D988" s="451" t="s">
        <v>138</v>
      </c>
      <c r="E988" s="273">
        <v>0</v>
      </c>
      <c r="F988" s="274"/>
      <c r="G988" s="274">
        <f t="shared" si="3"/>
        <v>0</v>
      </c>
      <c r="H988" s="274">
        <v>0</v>
      </c>
      <c r="K988" s="274"/>
    </row>
    <row r="989" spans="2:11" ht="13.5" customHeight="1">
      <c r="B989" s="209" t="s">
        <v>994</v>
      </c>
      <c r="C989" s="209" t="s">
        <v>2489</v>
      </c>
      <c r="D989" s="452" t="s">
        <v>139</v>
      </c>
      <c r="E989" s="273">
        <v>0</v>
      </c>
      <c r="F989" s="274"/>
      <c r="G989" s="274">
        <f t="shared" si="3"/>
        <v>0</v>
      </c>
      <c r="H989" s="274">
        <v>0</v>
      </c>
      <c r="K989" s="274"/>
    </row>
    <row r="990" spans="2:11" ht="13.5" customHeight="1">
      <c r="B990" s="209" t="s">
        <v>994</v>
      </c>
      <c r="C990" s="209" t="s">
        <v>2489</v>
      </c>
      <c r="D990" s="216" t="s">
        <v>140</v>
      </c>
      <c r="E990" s="273">
        <v>0</v>
      </c>
      <c r="F990" s="274"/>
      <c r="G990" s="274">
        <f t="shared" si="3"/>
        <v>0</v>
      </c>
      <c r="H990" s="274">
        <v>0</v>
      </c>
      <c r="K990" s="274"/>
    </row>
    <row r="991" spans="2:11" ht="13.5" customHeight="1">
      <c r="B991" s="209" t="s">
        <v>994</v>
      </c>
      <c r="C991" s="209" t="s">
        <v>2489</v>
      </c>
      <c r="D991" s="453" t="s">
        <v>141</v>
      </c>
      <c r="E991" s="273">
        <v>0</v>
      </c>
      <c r="F991" s="274"/>
      <c r="G991" s="274">
        <f t="shared" si="3"/>
        <v>0</v>
      </c>
      <c r="H991" s="274">
        <v>0</v>
      </c>
      <c r="K991" s="274"/>
    </row>
    <row r="992" spans="2:11" ht="13.5" customHeight="1">
      <c r="B992" s="209" t="s">
        <v>996</v>
      </c>
      <c r="C992" s="209" t="s">
        <v>2490</v>
      </c>
      <c r="D992" s="446" t="s">
        <v>133</v>
      </c>
      <c r="E992" s="273">
        <v>0</v>
      </c>
      <c r="F992" s="274"/>
      <c r="G992" s="274">
        <f t="shared" si="3"/>
        <v>0</v>
      </c>
      <c r="H992" s="274">
        <v>0</v>
      </c>
      <c r="K992" s="274"/>
    </row>
    <row r="993" spans="2:11" ht="13.5" customHeight="1">
      <c r="B993" s="209" t="s">
        <v>996</v>
      </c>
      <c r="C993" s="209" t="s">
        <v>2490</v>
      </c>
      <c r="D993" s="447" t="s">
        <v>134</v>
      </c>
      <c r="E993" s="273">
        <v>0</v>
      </c>
      <c r="F993" s="274"/>
      <c r="G993" s="274">
        <f t="shared" si="3"/>
        <v>0</v>
      </c>
      <c r="H993" s="274">
        <v>0</v>
      </c>
      <c r="K993" s="274"/>
    </row>
    <row r="994" spans="2:11" ht="13.5" customHeight="1">
      <c r="B994" s="209" t="s">
        <v>996</v>
      </c>
      <c r="C994" s="209" t="s">
        <v>2490</v>
      </c>
      <c r="D994" s="448" t="s">
        <v>135</v>
      </c>
      <c r="E994" s="273">
        <v>0</v>
      </c>
      <c r="F994" s="274"/>
      <c r="G994" s="274">
        <f t="shared" si="3"/>
        <v>0</v>
      </c>
      <c r="H994" s="274">
        <v>0</v>
      </c>
      <c r="K994" s="274"/>
    </row>
    <row r="995" spans="2:11" ht="13.5" customHeight="1">
      <c r="B995" s="209" t="s">
        <v>996</v>
      </c>
      <c r="C995" s="209" t="s">
        <v>2490</v>
      </c>
      <c r="D995" s="449" t="s">
        <v>136</v>
      </c>
      <c r="E995" s="273">
        <v>0</v>
      </c>
      <c r="F995" s="274"/>
      <c r="G995" s="274">
        <f t="shared" si="3"/>
        <v>0</v>
      </c>
      <c r="H995" s="274">
        <v>0</v>
      </c>
      <c r="K995" s="274"/>
    </row>
    <row r="996" spans="2:11" ht="13.5" customHeight="1">
      <c r="B996" s="209" t="s">
        <v>996</v>
      </c>
      <c r="C996" s="209" t="s">
        <v>2490</v>
      </c>
      <c r="D996" s="450" t="s">
        <v>137</v>
      </c>
      <c r="E996" s="273">
        <v>0</v>
      </c>
      <c r="F996" s="274"/>
      <c r="G996" s="274">
        <f t="shared" si="3"/>
        <v>0</v>
      </c>
      <c r="H996" s="274">
        <v>0</v>
      </c>
      <c r="K996" s="274"/>
    </row>
    <row r="997" spans="2:11" ht="13.5" customHeight="1">
      <c r="B997" s="209" t="s">
        <v>996</v>
      </c>
      <c r="C997" s="209" t="s">
        <v>2490</v>
      </c>
      <c r="D997" s="451" t="s">
        <v>138</v>
      </c>
      <c r="E997" s="273">
        <v>0</v>
      </c>
      <c r="F997" s="274"/>
      <c r="G997" s="274">
        <f t="shared" si="3"/>
        <v>0</v>
      </c>
      <c r="H997" s="274">
        <v>0</v>
      </c>
      <c r="K997" s="274"/>
    </row>
    <row r="998" spans="2:11" ht="13.5" customHeight="1">
      <c r="B998" s="209" t="s">
        <v>996</v>
      </c>
      <c r="C998" s="209" t="s">
        <v>2490</v>
      </c>
      <c r="D998" s="452" t="s">
        <v>139</v>
      </c>
      <c r="E998" s="273">
        <v>0</v>
      </c>
      <c r="F998" s="274"/>
      <c r="G998" s="274">
        <f t="shared" si="3"/>
        <v>0</v>
      </c>
      <c r="H998" s="274">
        <v>0</v>
      </c>
      <c r="K998" s="274"/>
    </row>
    <row r="999" spans="2:11" ht="13.5" customHeight="1">
      <c r="B999" s="209" t="s">
        <v>996</v>
      </c>
      <c r="C999" s="209" t="s">
        <v>2490</v>
      </c>
      <c r="D999" s="216" t="s">
        <v>140</v>
      </c>
      <c r="E999" s="273">
        <v>0</v>
      </c>
      <c r="F999" s="274"/>
      <c r="G999" s="274">
        <f t="shared" si="3"/>
        <v>0</v>
      </c>
      <c r="H999" s="274">
        <v>0</v>
      </c>
      <c r="K999" s="274"/>
    </row>
    <row r="1000" spans="2:11" ht="13.5" customHeight="1">
      <c r="B1000" s="209" t="s">
        <v>996</v>
      </c>
      <c r="C1000" s="209" t="s">
        <v>2490</v>
      </c>
      <c r="D1000" s="453" t="s">
        <v>141</v>
      </c>
      <c r="E1000" s="273">
        <v>0</v>
      </c>
      <c r="F1000" s="274"/>
      <c r="G1000" s="274">
        <f t="shared" si="3"/>
        <v>0</v>
      </c>
      <c r="H1000" s="274">
        <v>0</v>
      </c>
      <c r="K1000" s="274"/>
    </row>
    <row r="1001" spans="2:11" ht="13.5" customHeight="1">
      <c r="B1001" s="209" t="s">
        <v>1107</v>
      </c>
      <c r="C1001" s="209" t="s">
        <v>2491</v>
      </c>
      <c r="D1001" s="446" t="s">
        <v>133</v>
      </c>
      <c r="E1001" s="273">
        <v>0</v>
      </c>
      <c r="F1001" s="274"/>
      <c r="G1001" s="274">
        <f t="shared" si="3"/>
        <v>0</v>
      </c>
      <c r="H1001" s="274">
        <v>0</v>
      </c>
      <c r="K1001" s="274"/>
    </row>
    <row r="1002" spans="2:11" ht="13.5" customHeight="1">
      <c r="B1002" s="209" t="s">
        <v>1107</v>
      </c>
      <c r="C1002" s="209" t="s">
        <v>2491</v>
      </c>
      <c r="D1002" s="447" t="s">
        <v>134</v>
      </c>
      <c r="E1002" s="273">
        <v>0</v>
      </c>
      <c r="F1002" s="274"/>
      <c r="G1002" s="274">
        <f t="shared" si="3"/>
        <v>0</v>
      </c>
      <c r="H1002" s="274">
        <v>0</v>
      </c>
      <c r="K1002" s="274"/>
    </row>
    <row r="1003" spans="2:11" ht="13.5" customHeight="1">
      <c r="B1003" s="209" t="s">
        <v>1107</v>
      </c>
      <c r="C1003" s="209" t="s">
        <v>2491</v>
      </c>
      <c r="D1003" s="448" t="s">
        <v>135</v>
      </c>
      <c r="E1003" s="273">
        <v>0</v>
      </c>
      <c r="F1003" s="274"/>
      <c r="G1003" s="274">
        <f t="shared" si="3"/>
        <v>0</v>
      </c>
      <c r="H1003" s="274">
        <v>0</v>
      </c>
      <c r="K1003" s="274"/>
    </row>
    <row r="1004" spans="2:11" ht="13.5" customHeight="1">
      <c r="B1004" s="209" t="s">
        <v>1107</v>
      </c>
      <c r="C1004" s="209" t="s">
        <v>2491</v>
      </c>
      <c r="D1004" s="449" t="s">
        <v>136</v>
      </c>
      <c r="E1004" s="273">
        <v>0</v>
      </c>
      <c r="F1004" s="274"/>
      <c r="G1004" s="274">
        <f t="shared" si="3"/>
        <v>0</v>
      </c>
      <c r="H1004" s="274">
        <v>0</v>
      </c>
      <c r="K1004" s="274"/>
    </row>
    <row r="1005" spans="2:11" ht="13.5" customHeight="1">
      <c r="B1005" s="209" t="s">
        <v>1107</v>
      </c>
      <c r="C1005" s="209" t="s">
        <v>2491</v>
      </c>
      <c r="D1005" s="450" t="s">
        <v>137</v>
      </c>
      <c r="E1005" s="273">
        <v>0</v>
      </c>
      <c r="F1005" s="274"/>
      <c r="G1005" s="274">
        <f t="shared" si="3"/>
        <v>0</v>
      </c>
      <c r="H1005" s="274">
        <v>0</v>
      </c>
      <c r="K1005" s="274"/>
    </row>
    <row r="1006" spans="2:11" ht="13.5" customHeight="1">
      <c r="B1006" s="209" t="s">
        <v>1107</v>
      </c>
      <c r="C1006" s="209" t="s">
        <v>2491</v>
      </c>
      <c r="D1006" s="451" t="s">
        <v>138</v>
      </c>
      <c r="E1006" s="273">
        <v>0</v>
      </c>
      <c r="F1006" s="274"/>
      <c r="G1006" s="274">
        <f t="shared" si="3"/>
        <v>0</v>
      </c>
      <c r="H1006" s="274">
        <v>0</v>
      </c>
      <c r="K1006" s="274"/>
    </row>
    <row r="1007" spans="2:11" ht="13.5" customHeight="1">
      <c r="B1007" s="209" t="s">
        <v>1107</v>
      </c>
      <c r="C1007" s="209" t="s">
        <v>2491</v>
      </c>
      <c r="D1007" s="452" t="s">
        <v>139</v>
      </c>
      <c r="E1007" s="273">
        <v>0</v>
      </c>
      <c r="F1007" s="274"/>
      <c r="G1007" s="274">
        <f t="shared" si="3"/>
        <v>0</v>
      </c>
      <c r="H1007" s="274">
        <v>0</v>
      </c>
      <c r="K1007" s="274"/>
    </row>
    <row r="1008" spans="2:11" ht="13.5" customHeight="1">
      <c r="B1008" s="209" t="s">
        <v>1107</v>
      </c>
      <c r="C1008" s="209" t="s">
        <v>2491</v>
      </c>
      <c r="D1008" s="216" t="s">
        <v>140</v>
      </c>
      <c r="E1008" s="273">
        <v>0</v>
      </c>
      <c r="F1008" s="274"/>
      <c r="G1008" s="274">
        <f t="shared" si="3"/>
        <v>0</v>
      </c>
      <c r="H1008" s="274">
        <v>0</v>
      </c>
      <c r="K1008" s="274"/>
    </row>
    <row r="1009" spans="2:11" ht="13.5" customHeight="1">
      <c r="B1009" s="209" t="s">
        <v>1107</v>
      </c>
      <c r="C1009" s="209" t="s">
        <v>2491</v>
      </c>
      <c r="D1009" s="453" t="s">
        <v>141</v>
      </c>
      <c r="E1009" s="273">
        <v>0</v>
      </c>
      <c r="F1009" s="274"/>
      <c r="G1009" s="274">
        <f t="shared" si="3"/>
        <v>0</v>
      </c>
      <c r="H1009" s="274">
        <v>0</v>
      </c>
      <c r="K1009" s="274"/>
    </row>
    <row r="1010" spans="2:11" ht="13.5" customHeight="1">
      <c r="B1010" s="209" t="s">
        <v>1024</v>
      </c>
      <c r="C1010" s="209" t="s">
        <v>2492</v>
      </c>
      <c r="D1010" s="446" t="s">
        <v>133</v>
      </c>
      <c r="E1010" s="273">
        <v>0</v>
      </c>
      <c r="F1010" s="274"/>
      <c r="G1010" s="274">
        <f t="shared" si="3"/>
        <v>0</v>
      </c>
      <c r="H1010" s="274">
        <v>0</v>
      </c>
      <c r="K1010" s="274"/>
    </row>
    <row r="1011" spans="2:11" ht="13.5" customHeight="1">
      <c r="B1011" s="209" t="s">
        <v>1024</v>
      </c>
      <c r="C1011" s="209" t="s">
        <v>2492</v>
      </c>
      <c r="D1011" s="447" t="s">
        <v>134</v>
      </c>
      <c r="E1011" s="273">
        <v>0</v>
      </c>
      <c r="F1011" s="274"/>
      <c r="G1011" s="274">
        <f t="shared" si="3"/>
        <v>0</v>
      </c>
      <c r="H1011" s="274">
        <v>0</v>
      </c>
      <c r="K1011" s="274"/>
    </row>
    <row r="1012" spans="2:11" ht="13.5" customHeight="1">
      <c r="B1012" s="209" t="s">
        <v>1024</v>
      </c>
      <c r="C1012" s="209" t="s">
        <v>2492</v>
      </c>
      <c r="D1012" s="448" t="s">
        <v>135</v>
      </c>
      <c r="E1012" s="273">
        <v>0</v>
      </c>
      <c r="F1012" s="274"/>
      <c r="G1012" s="274">
        <f t="shared" si="3"/>
        <v>0</v>
      </c>
      <c r="H1012" s="274">
        <v>0</v>
      </c>
      <c r="K1012" s="274"/>
    </row>
    <row r="1013" spans="2:11" ht="13.5" customHeight="1">
      <c r="B1013" s="209" t="s">
        <v>1024</v>
      </c>
      <c r="C1013" s="209" t="s">
        <v>2492</v>
      </c>
      <c r="D1013" s="449" t="s">
        <v>136</v>
      </c>
      <c r="E1013" s="273">
        <v>0</v>
      </c>
      <c r="F1013" s="274"/>
      <c r="G1013" s="274">
        <f t="shared" si="3"/>
        <v>0</v>
      </c>
      <c r="H1013" s="274">
        <v>0</v>
      </c>
      <c r="K1013" s="274"/>
    </row>
    <row r="1014" spans="2:11" ht="13.5" customHeight="1">
      <c r="B1014" s="209" t="s">
        <v>1024</v>
      </c>
      <c r="C1014" s="209" t="s">
        <v>2492</v>
      </c>
      <c r="D1014" s="450" t="s">
        <v>137</v>
      </c>
      <c r="E1014" s="273">
        <v>0</v>
      </c>
      <c r="F1014" s="274"/>
      <c r="G1014" s="274">
        <f t="shared" si="3"/>
        <v>0</v>
      </c>
      <c r="H1014" s="274">
        <v>0</v>
      </c>
      <c r="K1014" s="274"/>
    </row>
    <row r="1015" spans="2:11" ht="13.5" customHeight="1">
      <c r="B1015" s="209" t="s">
        <v>1024</v>
      </c>
      <c r="C1015" s="209" t="s">
        <v>2492</v>
      </c>
      <c r="D1015" s="451" t="s">
        <v>138</v>
      </c>
      <c r="E1015" s="273">
        <v>0</v>
      </c>
      <c r="F1015" s="274"/>
      <c r="G1015" s="274">
        <f t="shared" si="3"/>
        <v>0</v>
      </c>
      <c r="H1015" s="274">
        <v>0</v>
      </c>
      <c r="K1015" s="274"/>
    </row>
    <row r="1016" spans="2:11" ht="13.5" customHeight="1">
      <c r="B1016" s="209" t="s">
        <v>1024</v>
      </c>
      <c r="C1016" s="209" t="s">
        <v>2492</v>
      </c>
      <c r="D1016" s="452" t="s">
        <v>139</v>
      </c>
      <c r="E1016" s="273">
        <v>0</v>
      </c>
      <c r="F1016" s="274"/>
      <c r="G1016" s="274">
        <f t="shared" si="3"/>
        <v>0</v>
      </c>
      <c r="H1016" s="274">
        <v>0</v>
      </c>
      <c r="K1016" s="274"/>
    </row>
    <row r="1017" spans="2:11" ht="13.5" customHeight="1">
      <c r="B1017" s="209" t="s">
        <v>1024</v>
      </c>
      <c r="C1017" s="209" t="s">
        <v>2492</v>
      </c>
      <c r="D1017" s="216" t="s">
        <v>140</v>
      </c>
      <c r="E1017" s="273">
        <v>0</v>
      </c>
      <c r="F1017" s="274"/>
      <c r="G1017" s="274">
        <f t="shared" si="3"/>
        <v>0</v>
      </c>
      <c r="H1017" s="274">
        <v>0</v>
      </c>
      <c r="K1017" s="274"/>
    </row>
    <row r="1018" spans="2:11" ht="13.5" customHeight="1">
      <c r="B1018" s="209" t="s">
        <v>1024</v>
      </c>
      <c r="C1018" s="209" t="s">
        <v>2492</v>
      </c>
      <c r="D1018" s="453" t="s">
        <v>141</v>
      </c>
      <c r="E1018" s="273">
        <v>0</v>
      </c>
      <c r="F1018" s="274"/>
      <c r="G1018" s="274">
        <f t="shared" si="3"/>
        <v>0</v>
      </c>
      <c r="H1018" s="274">
        <v>0</v>
      </c>
      <c r="K1018" s="274"/>
    </row>
    <row r="1019" spans="2:11" ht="13.5" customHeight="1">
      <c r="B1019" s="209" t="s">
        <v>1169</v>
      </c>
      <c r="C1019" s="209" t="s">
        <v>2493</v>
      </c>
      <c r="D1019" s="446" t="s">
        <v>133</v>
      </c>
      <c r="E1019" s="273">
        <v>0</v>
      </c>
      <c r="F1019" s="274"/>
      <c r="G1019" s="274">
        <f t="shared" si="3"/>
        <v>0</v>
      </c>
      <c r="H1019" s="274">
        <v>0</v>
      </c>
      <c r="K1019" s="274"/>
    </row>
    <row r="1020" spans="2:11" ht="13.5" customHeight="1">
      <c r="B1020" s="209" t="s">
        <v>1169</v>
      </c>
      <c r="C1020" s="209" t="s">
        <v>2493</v>
      </c>
      <c r="D1020" s="447" t="s">
        <v>134</v>
      </c>
      <c r="E1020" s="273">
        <v>0</v>
      </c>
      <c r="F1020" s="274"/>
      <c r="G1020" s="274">
        <f t="shared" si="3"/>
        <v>0</v>
      </c>
      <c r="H1020" s="274">
        <v>0</v>
      </c>
      <c r="K1020" s="274"/>
    </row>
    <row r="1021" spans="2:11" ht="13.5" customHeight="1">
      <c r="B1021" s="209" t="s">
        <v>1169</v>
      </c>
      <c r="C1021" s="209" t="s">
        <v>2493</v>
      </c>
      <c r="D1021" s="448" t="s">
        <v>135</v>
      </c>
      <c r="E1021" s="273">
        <v>0</v>
      </c>
      <c r="F1021" s="274"/>
      <c r="G1021" s="274">
        <f t="shared" si="3"/>
        <v>0</v>
      </c>
      <c r="H1021" s="274">
        <v>0</v>
      </c>
      <c r="K1021" s="274"/>
    </row>
    <row r="1022" spans="2:11" ht="13.5" customHeight="1">
      <c r="B1022" s="209" t="s">
        <v>1169</v>
      </c>
      <c r="C1022" s="209" t="s">
        <v>2493</v>
      </c>
      <c r="D1022" s="449" t="s">
        <v>136</v>
      </c>
      <c r="E1022" s="273">
        <v>0</v>
      </c>
      <c r="F1022" s="274"/>
      <c r="G1022" s="274">
        <f t="shared" ref="G1022:G1276" si="4">E1022*F1022</f>
        <v>0</v>
      </c>
      <c r="H1022" s="274">
        <v>0</v>
      </c>
      <c r="K1022" s="274"/>
    </row>
    <row r="1023" spans="2:11" ht="13.5" customHeight="1">
      <c r="B1023" s="209" t="s">
        <v>1169</v>
      </c>
      <c r="C1023" s="209" t="s">
        <v>2493</v>
      </c>
      <c r="D1023" s="450" t="s">
        <v>137</v>
      </c>
      <c r="E1023" s="273">
        <v>0</v>
      </c>
      <c r="F1023" s="274"/>
      <c r="G1023" s="274">
        <f t="shared" si="4"/>
        <v>0</v>
      </c>
      <c r="H1023" s="274">
        <v>0</v>
      </c>
      <c r="K1023" s="274"/>
    </row>
    <row r="1024" spans="2:11" ht="13.5" customHeight="1">
      <c r="B1024" s="209" t="s">
        <v>1169</v>
      </c>
      <c r="C1024" s="209" t="s">
        <v>2493</v>
      </c>
      <c r="D1024" s="451" t="s">
        <v>138</v>
      </c>
      <c r="E1024" s="273">
        <v>0</v>
      </c>
      <c r="F1024" s="274"/>
      <c r="G1024" s="274">
        <f t="shared" si="4"/>
        <v>0</v>
      </c>
      <c r="H1024" s="274">
        <v>0</v>
      </c>
      <c r="K1024" s="274"/>
    </row>
    <row r="1025" spans="2:11" ht="13.5" customHeight="1">
      <c r="B1025" s="209" t="s">
        <v>1169</v>
      </c>
      <c r="C1025" s="209" t="s">
        <v>2493</v>
      </c>
      <c r="D1025" s="452" t="s">
        <v>139</v>
      </c>
      <c r="E1025" s="273">
        <v>0</v>
      </c>
      <c r="F1025" s="274"/>
      <c r="G1025" s="274">
        <f t="shared" si="4"/>
        <v>0</v>
      </c>
      <c r="H1025" s="274">
        <v>0</v>
      </c>
      <c r="K1025" s="274"/>
    </row>
    <row r="1026" spans="2:11" ht="13.5" customHeight="1">
      <c r="B1026" s="209" t="s">
        <v>1169</v>
      </c>
      <c r="C1026" s="209" t="s">
        <v>2493</v>
      </c>
      <c r="D1026" s="216" t="s">
        <v>140</v>
      </c>
      <c r="E1026" s="273">
        <v>0</v>
      </c>
      <c r="F1026" s="274"/>
      <c r="G1026" s="274">
        <f t="shared" si="4"/>
        <v>0</v>
      </c>
      <c r="H1026" s="274">
        <v>0</v>
      </c>
      <c r="K1026" s="274"/>
    </row>
    <row r="1027" spans="2:11" ht="13.5" customHeight="1">
      <c r="B1027" s="209" t="s">
        <v>1169</v>
      </c>
      <c r="C1027" s="209" t="s">
        <v>2493</v>
      </c>
      <c r="D1027" s="453" t="s">
        <v>141</v>
      </c>
      <c r="E1027" s="273">
        <v>0</v>
      </c>
      <c r="F1027" s="274"/>
      <c r="G1027" s="274">
        <f t="shared" si="4"/>
        <v>0</v>
      </c>
      <c r="H1027" s="274">
        <v>0</v>
      </c>
      <c r="K1027" s="274"/>
    </row>
    <row r="1028" spans="2:11" ht="13.5" customHeight="1">
      <c r="B1028" s="209" t="s">
        <v>1026</v>
      </c>
      <c r="C1028" s="209" t="s">
        <v>2494</v>
      </c>
      <c r="D1028" s="446" t="s">
        <v>133</v>
      </c>
      <c r="E1028" s="273">
        <v>0</v>
      </c>
      <c r="F1028" s="274"/>
      <c r="G1028" s="274">
        <f t="shared" si="4"/>
        <v>0</v>
      </c>
      <c r="H1028" s="274">
        <v>0</v>
      </c>
      <c r="K1028" s="274"/>
    </row>
    <row r="1029" spans="2:11" ht="13.5" customHeight="1">
      <c r="B1029" s="209" t="s">
        <v>1026</v>
      </c>
      <c r="C1029" s="209" t="s">
        <v>2494</v>
      </c>
      <c r="D1029" s="447" t="s">
        <v>134</v>
      </c>
      <c r="E1029" s="273">
        <v>0</v>
      </c>
      <c r="F1029" s="274"/>
      <c r="G1029" s="274">
        <f t="shared" si="4"/>
        <v>0</v>
      </c>
      <c r="H1029" s="274">
        <v>0</v>
      </c>
      <c r="K1029" s="274"/>
    </row>
    <row r="1030" spans="2:11" ht="13.5" customHeight="1">
      <c r="B1030" s="209" t="s">
        <v>1026</v>
      </c>
      <c r="C1030" s="209" t="s">
        <v>2494</v>
      </c>
      <c r="D1030" s="448" t="s">
        <v>135</v>
      </c>
      <c r="E1030" s="273">
        <v>0</v>
      </c>
      <c r="F1030" s="274"/>
      <c r="G1030" s="274">
        <f t="shared" si="4"/>
        <v>0</v>
      </c>
      <c r="H1030" s="274">
        <v>0</v>
      </c>
      <c r="K1030" s="274"/>
    </row>
    <row r="1031" spans="2:11" ht="13.5" customHeight="1">
      <c r="B1031" s="209" t="s">
        <v>1026</v>
      </c>
      <c r="C1031" s="209" t="s">
        <v>2494</v>
      </c>
      <c r="D1031" s="449" t="s">
        <v>136</v>
      </c>
      <c r="E1031" s="273">
        <v>0</v>
      </c>
      <c r="F1031" s="274"/>
      <c r="G1031" s="274">
        <f t="shared" si="4"/>
        <v>0</v>
      </c>
      <c r="H1031" s="274">
        <v>0</v>
      </c>
      <c r="K1031" s="274"/>
    </row>
    <row r="1032" spans="2:11" ht="13.5" customHeight="1">
      <c r="B1032" s="209" t="s">
        <v>1026</v>
      </c>
      <c r="C1032" s="209" t="s">
        <v>2494</v>
      </c>
      <c r="D1032" s="450" t="s">
        <v>137</v>
      </c>
      <c r="E1032" s="273">
        <v>0</v>
      </c>
      <c r="F1032" s="274"/>
      <c r="G1032" s="274">
        <f t="shared" si="4"/>
        <v>0</v>
      </c>
      <c r="H1032" s="274">
        <v>0</v>
      </c>
      <c r="K1032" s="274"/>
    </row>
    <row r="1033" spans="2:11" ht="13.5" customHeight="1">
      <c r="B1033" s="209" t="s">
        <v>1026</v>
      </c>
      <c r="C1033" s="209" t="s">
        <v>2494</v>
      </c>
      <c r="D1033" s="451" t="s">
        <v>138</v>
      </c>
      <c r="E1033" s="273">
        <v>0</v>
      </c>
      <c r="F1033" s="274"/>
      <c r="G1033" s="274">
        <f t="shared" si="4"/>
        <v>0</v>
      </c>
      <c r="H1033" s="274">
        <v>0</v>
      </c>
      <c r="K1033" s="274"/>
    </row>
    <row r="1034" spans="2:11" ht="13.5" customHeight="1">
      <c r="B1034" s="209" t="s">
        <v>1026</v>
      </c>
      <c r="C1034" s="209" t="s">
        <v>2494</v>
      </c>
      <c r="D1034" s="452" t="s">
        <v>139</v>
      </c>
      <c r="E1034" s="273">
        <v>0</v>
      </c>
      <c r="F1034" s="274"/>
      <c r="G1034" s="274">
        <f t="shared" si="4"/>
        <v>0</v>
      </c>
      <c r="H1034" s="274">
        <v>0</v>
      </c>
      <c r="K1034" s="274"/>
    </row>
    <row r="1035" spans="2:11" ht="13.5" customHeight="1">
      <c r="B1035" s="209" t="s">
        <v>1026</v>
      </c>
      <c r="C1035" s="209" t="s">
        <v>2494</v>
      </c>
      <c r="D1035" s="216" t="s">
        <v>140</v>
      </c>
      <c r="E1035" s="273">
        <v>0</v>
      </c>
      <c r="F1035" s="274"/>
      <c r="G1035" s="274">
        <f t="shared" si="4"/>
        <v>0</v>
      </c>
      <c r="H1035" s="274">
        <v>0</v>
      </c>
      <c r="K1035" s="274"/>
    </row>
    <row r="1036" spans="2:11" ht="13.5" customHeight="1">
      <c r="B1036" s="209" t="s">
        <v>1026</v>
      </c>
      <c r="C1036" s="209" t="s">
        <v>2494</v>
      </c>
      <c r="D1036" s="453" t="s">
        <v>141</v>
      </c>
      <c r="E1036" s="273">
        <v>0</v>
      </c>
      <c r="F1036" s="274"/>
      <c r="G1036" s="274">
        <f t="shared" si="4"/>
        <v>0</v>
      </c>
      <c r="H1036" s="274">
        <v>0</v>
      </c>
      <c r="K1036" s="274"/>
    </row>
    <row r="1037" spans="2:11" ht="13.5" customHeight="1">
      <c r="B1037" s="209" t="s">
        <v>1171</v>
      </c>
      <c r="C1037" s="209" t="s">
        <v>2495</v>
      </c>
      <c r="D1037" s="446" t="s">
        <v>133</v>
      </c>
      <c r="E1037" s="273">
        <v>0</v>
      </c>
      <c r="F1037" s="274"/>
      <c r="G1037" s="274">
        <f t="shared" si="4"/>
        <v>0</v>
      </c>
      <c r="H1037" s="274">
        <v>0</v>
      </c>
      <c r="K1037" s="274"/>
    </row>
    <row r="1038" spans="2:11" ht="13.5" customHeight="1">
      <c r="B1038" s="209" t="s">
        <v>1171</v>
      </c>
      <c r="C1038" s="209" t="s">
        <v>2495</v>
      </c>
      <c r="D1038" s="447" t="s">
        <v>134</v>
      </c>
      <c r="E1038" s="273">
        <v>0</v>
      </c>
      <c r="F1038" s="274"/>
      <c r="G1038" s="274">
        <f t="shared" si="4"/>
        <v>0</v>
      </c>
      <c r="H1038" s="274">
        <v>0</v>
      </c>
      <c r="K1038" s="274"/>
    </row>
    <row r="1039" spans="2:11" ht="13.5" customHeight="1">
      <c r="B1039" s="209" t="s">
        <v>1171</v>
      </c>
      <c r="C1039" s="209" t="s">
        <v>2495</v>
      </c>
      <c r="D1039" s="448" t="s">
        <v>135</v>
      </c>
      <c r="E1039" s="273">
        <v>0</v>
      </c>
      <c r="F1039" s="274"/>
      <c r="G1039" s="274">
        <f t="shared" si="4"/>
        <v>0</v>
      </c>
      <c r="H1039" s="274">
        <v>0</v>
      </c>
      <c r="K1039" s="274"/>
    </row>
    <row r="1040" spans="2:11" ht="13.5" customHeight="1">
      <c r="B1040" s="209" t="s">
        <v>1171</v>
      </c>
      <c r="C1040" s="209" t="s">
        <v>2495</v>
      </c>
      <c r="D1040" s="449" t="s">
        <v>136</v>
      </c>
      <c r="E1040" s="273">
        <v>0</v>
      </c>
      <c r="F1040" s="274"/>
      <c r="G1040" s="274">
        <f t="shared" si="4"/>
        <v>0</v>
      </c>
      <c r="H1040" s="274">
        <v>0</v>
      </c>
      <c r="K1040" s="274"/>
    </row>
    <row r="1041" spans="2:11" ht="13.5" customHeight="1">
      <c r="B1041" s="209" t="s">
        <v>1171</v>
      </c>
      <c r="C1041" s="209" t="s">
        <v>2495</v>
      </c>
      <c r="D1041" s="450" t="s">
        <v>137</v>
      </c>
      <c r="E1041" s="273">
        <v>0</v>
      </c>
      <c r="F1041" s="274"/>
      <c r="G1041" s="274">
        <f t="shared" si="4"/>
        <v>0</v>
      </c>
      <c r="H1041" s="274">
        <v>0</v>
      </c>
      <c r="K1041" s="274"/>
    </row>
    <row r="1042" spans="2:11" ht="13.5" customHeight="1">
      <c r="B1042" s="209" t="s">
        <v>1171</v>
      </c>
      <c r="C1042" s="209" t="s">
        <v>2495</v>
      </c>
      <c r="D1042" s="451" t="s">
        <v>138</v>
      </c>
      <c r="E1042" s="273">
        <v>0</v>
      </c>
      <c r="F1042" s="274"/>
      <c r="G1042" s="274">
        <f t="shared" si="4"/>
        <v>0</v>
      </c>
      <c r="H1042" s="274">
        <v>0</v>
      </c>
      <c r="K1042" s="274"/>
    </row>
    <row r="1043" spans="2:11" ht="13.5" customHeight="1">
      <c r="B1043" s="209" t="s">
        <v>1171</v>
      </c>
      <c r="C1043" s="209" t="s">
        <v>2495</v>
      </c>
      <c r="D1043" s="452" t="s">
        <v>139</v>
      </c>
      <c r="E1043" s="273">
        <v>0</v>
      </c>
      <c r="F1043" s="274"/>
      <c r="G1043" s="274">
        <f t="shared" si="4"/>
        <v>0</v>
      </c>
      <c r="H1043" s="274">
        <v>0</v>
      </c>
      <c r="K1043" s="274"/>
    </row>
    <row r="1044" spans="2:11" ht="13.5" customHeight="1">
      <c r="B1044" s="209" t="s">
        <v>1171</v>
      </c>
      <c r="C1044" s="209" t="s">
        <v>2495</v>
      </c>
      <c r="D1044" s="216" t="s">
        <v>140</v>
      </c>
      <c r="E1044" s="273">
        <v>0</v>
      </c>
      <c r="F1044" s="274"/>
      <c r="G1044" s="274">
        <f t="shared" si="4"/>
        <v>0</v>
      </c>
      <c r="H1044" s="274">
        <v>0</v>
      </c>
      <c r="K1044" s="274"/>
    </row>
    <row r="1045" spans="2:11" ht="13.5" customHeight="1">
      <c r="B1045" s="209" t="s">
        <v>1171</v>
      </c>
      <c r="C1045" s="209" t="s">
        <v>2495</v>
      </c>
      <c r="D1045" s="453" t="s">
        <v>141</v>
      </c>
      <c r="E1045" s="273">
        <v>0</v>
      </c>
      <c r="F1045" s="274"/>
      <c r="G1045" s="274">
        <f t="shared" si="4"/>
        <v>0</v>
      </c>
      <c r="H1045" s="274">
        <v>0</v>
      </c>
      <c r="K1045" s="274"/>
    </row>
    <row r="1046" spans="2:11" ht="13.5" customHeight="1">
      <c r="B1046" s="209" t="s">
        <v>1139</v>
      </c>
      <c r="C1046" s="209" t="s">
        <v>2496</v>
      </c>
      <c r="D1046" s="446" t="s">
        <v>133</v>
      </c>
      <c r="E1046" s="273">
        <v>0</v>
      </c>
      <c r="F1046" s="274"/>
      <c r="G1046" s="274">
        <f t="shared" si="4"/>
        <v>0</v>
      </c>
      <c r="H1046" s="274">
        <v>0</v>
      </c>
      <c r="K1046" s="274"/>
    </row>
    <row r="1047" spans="2:11" ht="13.5" customHeight="1">
      <c r="B1047" s="209" t="s">
        <v>1139</v>
      </c>
      <c r="C1047" s="209" t="s">
        <v>2496</v>
      </c>
      <c r="D1047" s="447" t="s">
        <v>134</v>
      </c>
      <c r="E1047" s="273">
        <v>0</v>
      </c>
      <c r="F1047" s="274"/>
      <c r="G1047" s="274">
        <f t="shared" si="4"/>
        <v>0</v>
      </c>
      <c r="H1047" s="274">
        <v>0</v>
      </c>
      <c r="K1047" s="274"/>
    </row>
    <row r="1048" spans="2:11" ht="13.5" customHeight="1">
      <c r="B1048" s="209" t="s">
        <v>1139</v>
      </c>
      <c r="C1048" s="209" t="s">
        <v>2496</v>
      </c>
      <c r="D1048" s="448" t="s">
        <v>135</v>
      </c>
      <c r="E1048" s="273">
        <v>0</v>
      </c>
      <c r="F1048" s="274"/>
      <c r="G1048" s="274">
        <f t="shared" si="4"/>
        <v>0</v>
      </c>
      <c r="H1048" s="274">
        <v>0</v>
      </c>
      <c r="K1048" s="274"/>
    </row>
    <row r="1049" spans="2:11" ht="13.5" customHeight="1">
      <c r="B1049" s="209" t="s">
        <v>1139</v>
      </c>
      <c r="C1049" s="209" t="s">
        <v>2496</v>
      </c>
      <c r="D1049" s="449" t="s">
        <v>136</v>
      </c>
      <c r="E1049" s="273">
        <v>0</v>
      </c>
      <c r="F1049" s="274"/>
      <c r="G1049" s="274">
        <f t="shared" si="4"/>
        <v>0</v>
      </c>
      <c r="H1049" s="274">
        <v>0</v>
      </c>
      <c r="K1049" s="274"/>
    </row>
    <row r="1050" spans="2:11" ht="13.5" customHeight="1">
      <c r="B1050" s="209" t="s">
        <v>1139</v>
      </c>
      <c r="C1050" s="209" t="s">
        <v>2496</v>
      </c>
      <c r="D1050" s="450" t="s">
        <v>137</v>
      </c>
      <c r="E1050" s="273">
        <v>0</v>
      </c>
      <c r="F1050" s="274"/>
      <c r="G1050" s="274">
        <f t="shared" si="4"/>
        <v>0</v>
      </c>
      <c r="H1050" s="274">
        <v>0</v>
      </c>
      <c r="K1050" s="274"/>
    </row>
    <row r="1051" spans="2:11" ht="13.5" customHeight="1">
      <c r="B1051" s="209" t="s">
        <v>1139</v>
      </c>
      <c r="C1051" s="209" t="s">
        <v>2496</v>
      </c>
      <c r="D1051" s="451" t="s">
        <v>138</v>
      </c>
      <c r="E1051" s="273">
        <v>0</v>
      </c>
      <c r="F1051" s="274"/>
      <c r="G1051" s="274">
        <f t="shared" si="4"/>
        <v>0</v>
      </c>
      <c r="H1051" s="274">
        <v>0</v>
      </c>
      <c r="K1051" s="274"/>
    </row>
    <row r="1052" spans="2:11" ht="13.5" customHeight="1">
      <c r="B1052" s="209" t="s">
        <v>1139</v>
      </c>
      <c r="C1052" s="209" t="s">
        <v>2496</v>
      </c>
      <c r="D1052" s="452" t="s">
        <v>139</v>
      </c>
      <c r="E1052" s="273">
        <v>0</v>
      </c>
      <c r="F1052" s="274"/>
      <c r="G1052" s="274">
        <f t="shared" si="4"/>
        <v>0</v>
      </c>
      <c r="H1052" s="274">
        <v>0</v>
      </c>
      <c r="K1052" s="274"/>
    </row>
    <row r="1053" spans="2:11" ht="13.5" customHeight="1">
      <c r="B1053" s="209" t="s">
        <v>1139</v>
      </c>
      <c r="C1053" s="209" t="s">
        <v>2496</v>
      </c>
      <c r="D1053" s="216" t="s">
        <v>140</v>
      </c>
      <c r="E1053" s="273">
        <v>0</v>
      </c>
      <c r="F1053" s="274"/>
      <c r="G1053" s="274">
        <f t="shared" si="4"/>
        <v>0</v>
      </c>
      <c r="H1053" s="274">
        <v>0</v>
      </c>
      <c r="K1053" s="274"/>
    </row>
    <row r="1054" spans="2:11" ht="13.5" customHeight="1">
      <c r="B1054" s="209" t="s">
        <v>1139</v>
      </c>
      <c r="C1054" s="209" t="s">
        <v>2496</v>
      </c>
      <c r="D1054" s="453" t="s">
        <v>141</v>
      </c>
      <c r="E1054" s="273">
        <v>0</v>
      </c>
      <c r="F1054" s="274"/>
      <c r="G1054" s="274">
        <f t="shared" si="4"/>
        <v>0</v>
      </c>
      <c r="H1054" s="274">
        <v>0</v>
      </c>
      <c r="K1054" s="274"/>
    </row>
    <row r="1055" spans="2:11" ht="13.5" customHeight="1">
      <c r="B1055" s="209" t="s">
        <v>998</v>
      </c>
      <c r="C1055" s="209" t="s">
        <v>2497</v>
      </c>
      <c r="D1055" s="446" t="s">
        <v>133</v>
      </c>
      <c r="E1055" s="273">
        <v>0</v>
      </c>
      <c r="F1055" s="274"/>
      <c r="G1055" s="274">
        <f t="shared" si="4"/>
        <v>0</v>
      </c>
      <c r="H1055" s="274">
        <v>0</v>
      </c>
      <c r="K1055" s="274"/>
    </row>
    <row r="1056" spans="2:11" ht="13.5" customHeight="1">
      <c r="B1056" s="209" t="s">
        <v>998</v>
      </c>
      <c r="C1056" s="209" t="s">
        <v>2497</v>
      </c>
      <c r="D1056" s="447" t="s">
        <v>134</v>
      </c>
      <c r="E1056" s="273">
        <v>0</v>
      </c>
      <c r="F1056" s="274"/>
      <c r="G1056" s="274">
        <f t="shared" si="4"/>
        <v>0</v>
      </c>
      <c r="H1056" s="274">
        <v>0</v>
      </c>
      <c r="K1056" s="274"/>
    </row>
    <row r="1057" spans="2:11" ht="13.5" customHeight="1">
      <c r="B1057" s="209" t="s">
        <v>998</v>
      </c>
      <c r="C1057" s="209" t="s">
        <v>2497</v>
      </c>
      <c r="D1057" s="448" t="s">
        <v>135</v>
      </c>
      <c r="E1057" s="273">
        <v>0</v>
      </c>
      <c r="F1057" s="274"/>
      <c r="G1057" s="274">
        <f t="shared" si="4"/>
        <v>0</v>
      </c>
      <c r="H1057" s="274">
        <v>0</v>
      </c>
      <c r="K1057" s="274"/>
    </row>
    <row r="1058" spans="2:11" ht="13.5" customHeight="1">
      <c r="B1058" s="209" t="s">
        <v>998</v>
      </c>
      <c r="C1058" s="209" t="s">
        <v>2497</v>
      </c>
      <c r="D1058" s="449" t="s">
        <v>136</v>
      </c>
      <c r="E1058" s="273">
        <v>0</v>
      </c>
      <c r="F1058" s="274"/>
      <c r="G1058" s="274">
        <f t="shared" si="4"/>
        <v>0</v>
      </c>
      <c r="H1058" s="274">
        <v>0</v>
      </c>
      <c r="K1058" s="274"/>
    </row>
    <row r="1059" spans="2:11" ht="13.5" customHeight="1">
      <c r="B1059" s="209" t="s">
        <v>998</v>
      </c>
      <c r="C1059" s="209" t="s">
        <v>2497</v>
      </c>
      <c r="D1059" s="450" t="s">
        <v>137</v>
      </c>
      <c r="E1059" s="273">
        <v>0</v>
      </c>
      <c r="F1059" s="274"/>
      <c r="G1059" s="274">
        <f t="shared" si="4"/>
        <v>0</v>
      </c>
      <c r="H1059" s="274">
        <v>0</v>
      </c>
      <c r="K1059" s="274"/>
    </row>
    <row r="1060" spans="2:11" ht="13.5" customHeight="1">
      <c r="B1060" s="209" t="s">
        <v>998</v>
      </c>
      <c r="C1060" s="209" t="s">
        <v>2497</v>
      </c>
      <c r="D1060" s="451" t="s">
        <v>138</v>
      </c>
      <c r="E1060" s="273">
        <v>0</v>
      </c>
      <c r="F1060" s="274"/>
      <c r="G1060" s="274">
        <f t="shared" si="4"/>
        <v>0</v>
      </c>
      <c r="H1060" s="274">
        <v>0</v>
      </c>
      <c r="K1060" s="274"/>
    </row>
    <row r="1061" spans="2:11" ht="13.5" customHeight="1">
      <c r="B1061" s="209" t="s">
        <v>998</v>
      </c>
      <c r="C1061" s="209" t="s">
        <v>2497</v>
      </c>
      <c r="D1061" s="452" t="s">
        <v>139</v>
      </c>
      <c r="E1061" s="273">
        <v>0</v>
      </c>
      <c r="F1061" s="274"/>
      <c r="G1061" s="274">
        <f t="shared" si="4"/>
        <v>0</v>
      </c>
      <c r="H1061" s="274">
        <v>0</v>
      </c>
      <c r="K1061" s="274"/>
    </row>
    <row r="1062" spans="2:11" ht="13.5" customHeight="1">
      <c r="B1062" s="209" t="s">
        <v>998</v>
      </c>
      <c r="C1062" s="209" t="s">
        <v>2497</v>
      </c>
      <c r="D1062" s="216" t="s">
        <v>140</v>
      </c>
      <c r="E1062" s="273">
        <v>0</v>
      </c>
      <c r="F1062" s="274"/>
      <c r="G1062" s="274">
        <f t="shared" si="4"/>
        <v>0</v>
      </c>
      <c r="H1062" s="274">
        <v>0</v>
      </c>
      <c r="K1062" s="274"/>
    </row>
    <row r="1063" spans="2:11" ht="13.5" customHeight="1">
      <c r="B1063" s="209" t="s">
        <v>998</v>
      </c>
      <c r="C1063" s="209" t="s">
        <v>2497</v>
      </c>
      <c r="D1063" s="453" t="s">
        <v>141</v>
      </c>
      <c r="E1063" s="273">
        <v>0</v>
      </c>
      <c r="F1063" s="274"/>
      <c r="G1063" s="274">
        <f t="shared" si="4"/>
        <v>0</v>
      </c>
      <c r="H1063" s="274">
        <v>0</v>
      </c>
      <c r="K1063" s="274"/>
    </row>
    <row r="1064" spans="2:11" ht="13.5" customHeight="1">
      <c r="B1064" s="209" t="s">
        <v>1109</v>
      </c>
      <c r="C1064" s="209" t="s">
        <v>2498</v>
      </c>
      <c r="D1064" s="446" t="s">
        <v>133</v>
      </c>
      <c r="E1064" s="273">
        <v>0</v>
      </c>
      <c r="F1064" s="274"/>
      <c r="G1064" s="274">
        <f t="shared" si="4"/>
        <v>0</v>
      </c>
      <c r="H1064" s="274">
        <v>0</v>
      </c>
      <c r="K1064" s="274"/>
    </row>
    <row r="1065" spans="2:11" ht="13.5" customHeight="1">
      <c r="B1065" s="209" t="s">
        <v>1109</v>
      </c>
      <c r="C1065" s="209" t="s">
        <v>2498</v>
      </c>
      <c r="D1065" s="447" t="s">
        <v>134</v>
      </c>
      <c r="E1065" s="273">
        <v>0</v>
      </c>
      <c r="F1065" s="274"/>
      <c r="G1065" s="274">
        <f t="shared" si="4"/>
        <v>0</v>
      </c>
      <c r="H1065" s="274">
        <v>0</v>
      </c>
      <c r="K1065" s="274"/>
    </row>
    <row r="1066" spans="2:11" ht="13.5" customHeight="1">
      <c r="B1066" s="209" t="s">
        <v>1109</v>
      </c>
      <c r="C1066" s="209" t="s">
        <v>2498</v>
      </c>
      <c r="D1066" s="448" t="s">
        <v>135</v>
      </c>
      <c r="E1066" s="273">
        <v>0</v>
      </c>
      <c r="F1066" s="274"/>
      <c r="G1066" s="274">
        <f t="shared" si="4"/>
        <v>0</v>
      </c>
      <c r="H1066" s="274">
        <v>0</v>
      </c>
      <c r="K1066" s="274"/>
    </row>
    <row r="1067" spans="2:11" ht="13.5" customHeight="1">
      <c r="B1067" s="209" t="s">
        <v>1109</v>
      </c>
      <c r="C1067" s="209" t="s">
        <v>2498</v>
      </c>
      <c r="D1067" s="449" t="s">
        <v>136</v>
      </c>
      <c r="E1067" s="273">
        <v>0</v>
      </c>
      <c r="F1067" s="274"/>
      <c r="G1067" s="274">
        <f t="shared" si="4"/>
        <v>0</v>
      </c>
      <c r="H1067" s="274">
        <v>0</v>
      </c>
      <c r="K1067" s="274"/>
    </row>
    <row r="1068" spans="2:11" ht="13.5" customHeight="1">
      <c r="B1068" s="209" t="s">
        <v>1109</v>
      </c>
      <c r="C1068" s="209" t="s">
        <v>2498</v>
      </c>
      <c r="D1068" s="450" t="s">
        <v>137</v>
      </c>
      <c r="E1068" s="273">
        <v>0</v>
      </c>
      <c r="F1068" s="274"/>
      <c r="G1068" s="274">
        <f t="shared" si="4"/>
        <v>0</v>
      </c>
      <c r="H1068" s="274">
        <v>0</v>
      </c>
      <c r="K1068" s="274"/>
    </row>
    <row r="1069" spans="2:11" ht="13.5" customHeight="1">
      <c r="B1069" s="209" t="s">
        <v>1109</v>
      </c>
      <c r="C1069" s="209" t="s">
        <v>2498</v>
      </c>
      <c r="D1069" s="451" t="s">
        <v>138</v>
      </c>
      <c r="E1069" s="273">
        <v>0</v>
      </c>
      <c r="F1069" s="274"/>
      <c r="G1069" s="274">
        <f t="shared" si="4"/>
        <v>0</v>
      </c>
      <c r="H1069" s="274">
        <v>0</v>
      </c>
      <c r="K1069" s="274"/>
    </row>
    <row r="1070" spans="2:11" ht="13.5" customHeight="1">
      <c r="B1070" s="209" t="s">
        <v>1109</v>
      </c>
      <c r="C1070" s="209" t="s">
        <v>2498</v>
      </c>
      <c r="D1070" s="452" t="s">
        <v>139</v>
      </c>
      <c r="E1070" s="273">
        <v>0</v>
      </c>
      <c r="F1070" s="274"/>
      <c r="G1070" s="274">
        <f t="shared" si="4"/>
        <v>0</v>
      </c>
      <c r="H1070" s="274">
        <v>0</v>
      </c>
      <c r="K1070" s="274"/>
    </row>
    <row r="1071" spans="2:11" ht="13.5" customHeight="1">
      <c r="B1071" s="209" t="s">
        <v>1109</v>
      </c>
      <c r="C1071" s="209" t="s">
        <v>2498</v>
      </c>
      <c r="D1071" s="216" t="s">
        <v>140</v>
      </c>
      <c r="E1071" s="273">
        <v>0</v>
      </c>
      <c r="F1071" s="274"/>
      <c r="G1071" s="274">
        <f t="shared" si="4"/>
        <v>0</v>
      </c>
      <c r="H1071" s="274">
        <v>0</v>
      </c>
      <c r="K1071" s="274"/>
    </row>
    <row r="1072" spans="2:11" ht="13.5" customHeight="1">
      <c r="B1072" s="209" t="s">
        <v>1109</v>
      </c>
      <c r="C1072" s="209" t="s">
        <v>2498</v>
      </c>
      <c r="D1072" s="453" t="s">
        <v>141</v>
      </c>
      <c r="E1072" s="273">
        <v>0</v>
      </c>
      <c r="F1072" s="274"/>
      <c r="G1072" s="274">
        <f t="shared" si="4"/>
        <v>0</v>
      </c>
      <c r="H1072" s="274">
        <v>0</v>
      </c>
      <c r="K1072" s="274"/>
    </row>
    <row r="1073" spans="2:11" ht="13.5" customHeight="1">
      <c r="B1073" s="209" t="s">
        <v>1111</v>
      </c>
      <c r="C1073" s="209" t="s">
        <v>2499</v>
      </c>
      <c r="D1073" s="446" t="s">
        <v>133</v>
      </c>
      <c r="E1073" s="273">
        <v>0</v>
      </c>
      <c r="F1073" s="274"/>
      <c r="G1073" s="274">
        <f t="shared" si="4"/>
        <v>0</v>
      </c>
      <c r="H1073" s="274">
        <v>0</v>
      </c>
      <c r="K1073" s="274"/>
    </row>
    <row r="1074" spans="2:11" ht="13.5" customHeight="1">
      <c r="B1074" s="209" t="s">
        <v>1111</v>
      </c>
      <c r="C1074" s="209" t="s">
        <v>2499</v>
      </c>
      <c r="D1074" s="447" t="s">
        <v>134</v>
      </c>
      <c r="E1074" s="273">
        <v>0</v>
      </c>
      <c r="F1074" s="274"/>
      <c r="G1074" s="274">
        <f t="shared" si="4"/>
        <v>0</v>
      </c>
      <c r="H1074" s="274">
        <v>0</v>
      </c>
      <c r="K1074" s="274"/>
    </row>
    <row r="1075" spans="2:11" ht="13.5" customHeight="1">
      <c r="B1075" s="209" t="s">
        <v>1111</v>
      </c>
      <c r="C1075" s="209" t="s">
        <v>2499</v>
      </c>
      <c r="D1075" s="448" t="s">
        <v>135</v>
      </c>
      <c r="E1075" s="273">
        <v>0</v>
      </c>
      <c r="F1075" s="274"/>
      <c r="G1075" s="274">
        <f t="shared" si="4"/>
        <v>0</v>
      </c>
      <c r="H1075" s="274">
        <v>0</v>
      </c>
      <c r="K1075" s="274"/>
    </row>
    <row r="1076" spans="2:11" ht="13.5" customHeight="1">
      <c r="B1076" s="209" t="s">
        <v>1111</v>
      </c>
      <c r="C1076" s="209" t="s">
        <v>2499</v>
      </c>
      <c r="D1076" s="449" t="s">
        <v>136</v>
      </c>
      <c r="E1076" s="273">
        <v>0</v>
      </c>
      <c r="F1076" s="274"/>
      <c r="G1076" s="274">
        <f t="shared" si="4"/>
        <v>0</v>
      </c>
      <c r="H1076" s="274">
        <v>0</v>
      </c>
      <c r="K1076" s="274"/>
    </row>
    <row r="1077" spans="2:11" ht="13.5" customHeight="1">
      <c r="B1077" s="209" t="s">
        <v>1111</v>
      </c>
      <c r="C1077" s="209" t="s">
        <v>2499</v>
      </c>
      <c r="D1077" s="450" t="s">
        <v>137</v>
      </c>
      <c r="E1077" s="273">
        <v>0</v>
      </c>
      <c r="F1077" s="274"/>
      <c r="G1077" s="274">
        <f t="shared" si="4"/>
        <v>0</v>
      </c>
      <c r="H1077" s="274">
        <v>0</v>
      </c>
      <c r="K1077" s="274"/>
    </row>
    <row r="1078" spans="2:11" ht="13.5" customHeight="1">
      <c r="B1078" s="209" t="s">
        <v>1111</v>
      </c>
      <c r="C1078" s="209" t="s">
        <v>2499</v>
      </c>
      <c r="D1078" s="451" t="s">
        <v>138</v>
      </c>
      <c r="E1078" s="273">
        <v>0</v>
      </c>
      <c r="F1078" s="274"/>
      <c r="G1078" s="274">
        <f t="shared" si="4"/>
        <v>0</v>
      </c>
      <c r="H1078" s="274">
        <v>0</v>
      </c>
      <c r="K1078" s="274"/>
    </row>
    <row r="1079" spans="2:11" ht="13.5" customHeight="1">
      <c r="B1079" s="209" t="s">
        <v>1111</v>
      </c>
      <c r="C1079" s="209" t="s">
        <v>2499</v>
      </c>
      <c r="D1079" s="452" t="s">
        <v>139</v>
      </c>
      <c r="E1079" s="273">
        <v>0</v>
      </c>
      <c r="F1079" s="274"/>
      <c r="G1079" s="274">
        <f t="shared" si="4"/>
        <v>0</v>
      </c>
      <c r="H1079" s="274">
        <v>0</v>
      </c>
      <c r="K1079" s="274"/>
    </row>
    <row r="1080" spans="2:11" ht="13.5" customHeight="1">
      <c r="B1080" s="209" t="s">
        <v>1111</v>
      </c>
      <c r="C1080" s="209" t="s">
        <v>2499</v>
      </c>
      <c r="D1080" s="216" t="s">
        <v>140</v>
      </c>
      <c r="E1080" s="273">
        <v>0</v>
      </c>
      <c r="F1080" s="274"/>
      <c r="G1080" s="274">
        <f t="shared" si="4"/>
        <v>0</v>
      </c>
      <c r="H1080" s="274">
        <v>0</v>
      </c>
      <c r="K1080" s="274"/>
    </row>
    <row r="1081" spans="2:11" ht="13.5" customHeight="1">
      <c r="B1081" s="209" t="s">
        <v>1111</v>
      </c>
      <c r="C1081" s="209" t="s">
        <v>2499</v>
      </c>
      <c r="D1081" s="453" t="s">
        <v>141</v>
      </c>
      <c r="E1081" s="273">
        <v>0</v>
      </c>
      <c r="F1081" s="274"/>
      <c r="G1081" s="274">
        <f t="shared" si="4"/>
        <v>0</v>
      </c>
      <c r="H1081" s="274">
        <v>0</v>
      </c>
      <c r="K1081" s="274"/>
    </row>
    <row r="1082" spans="2:11" ht="13.5" customHeight="1">
      <c r="B1082" s="209" t="s">
        <v>1113</v>
      </c>
      <c r="C1082" s="209" t="s">
        <v>2500</v>
      </c>
      <c r="D1082" s="446" t="s">
        <v>133</v>
      </c>
      <c r="E1082" s="273">
        <v>0</v>
      </c>
      <c r="F1082" s="274"/>
      <c r="G1082" s="274">
        <f t="shared" si="4"/>
        <v>0</v>
      </c>
      <c r="H1082" s="274">
        <v>0</v>
      </c>
      <c r="K1082" s="274"/>
    </row>
    <row r="1083" spans="2:11" ht="13.5" customHeight="1">
      <c r="B1083" s="209" t="s">
        <v>1113</v>
      </c>
      <c r="C1083" s="209" t="s">
        <v>2500</v>
      </c>
      <c r="D1083" s="447" t="s">
        <v>134</v>
      </c>
      <c r="E1083" s="273">
        <v>0</v>
      </c>
      <c r="F1083" s="274"/>
      <c r="G1083" s="274">
        <f t="shared" si="4"/>
        <v>0</v>
      </c>
      <c r="H1083" s="274">
        <v>0</v>
      </c>
      <c r="K1083" s="274"/>
    </row>
    <row r="1084" spans="2:11" ht="13.5" customHeight="1">
      <c r="B1084" s="209" t="s">
        <v>1113</v>
      </c>
      <c r="C1084" s="209" t="s">
        <v>2500</v>
      </c>
      <c r="D1084" s="448" t="s">
        <v>135</v>
      </c>
      <c r="E1084" s="273">
        <v>0</v>
      </c>
      <c r="F1084" s="274"/>
      <c r="G1084" s="274">
        <f t="shared" si="4"/>
        <v>0</v>
      </c>
      <c r="H1084" s="274">
        <v>0</v>
      </c>
      <c r="K1084" s="274"/>
    </row>
    <row r="1085" spans="2:11" ht="13.5" customHeight="1">
      <c r="B1085" s="209" t="s">
        <v>1113</v>
      </c>
      <c r="C1085" s="209" t="s">
        <v>2500</v>
      </c>
      <c r="D1085" s="449" t="s">
        <v>136</v>
      </c>
      <c r="E1085" s="273">
        <v>0</v>
      </c>
      <c r="F1085" s="274"/>
      <c r="G1085" s="274">
        <f t="shared" si="4"/>
        <v>0</v>
      </c>
      <c r="H1085" s="274">
        <v>0</v>
      </c>
      <c r="K1085" s="274"/>
    </row>
    <row r="1086" spans="2:11" ht="13.5" customHeight="1">
      <c r="B1086" s="209" t="s">
        <v>1113</v>
      </c>
      <c r="C1086" s="209" t="s">
        <v>2500</v>
      </c>
      <c r="D1086" s="450" t="s">
        <v>137</v>
      </c>
      <c r="E1086" s="273">
        <v>0</v>
      </c>
      <c r="F1086" s="274"/>
      <c r="G1086" s="274">
        <f t="shared" si="4"/>
        <v>0</v>
      </c>
      <c r="H1086" s="274">
        <v>0</v>
      </c>
      <c r="K1086" s="274"/>
    </row>
    <row r="1087" spans="2:11" ht="13.5" customHeight="1">
      <c r="B1087" s="209" t="s">
        <v>1113</v>
      </c>
      <c r="C1087" s="209" t="s">
        <v>2500</v>
      </c>
      <c r="D1087" s="451" t="s">
        <v>138</v>
      </c>
      <c r="E1087" s="273">
        <v>0</v>
      </c>
      <c r="F1087" s="274"/>
      <c r="G1087" s="274">
        <f t="shared" si="4"/>
        <v>0</v>
      </c>
      <c r="H1087" s="274">
        <v>0</v>
      </c>
      <c r="K1087" s="274"/>
    </row>
    <row r="1088" spans="2:11" ht="13.5" customHeight="1">
      <c r="B1088" s="209" t="s">
        <v>1113</v>
      </c>
      <c r="C1088" s="209" t="s">
        <v>2500</v>
      </c>
      <c r="D1088" s="452" t="s">
        <v>139</v>
      </c>
      <c r="E1088" s="273">
        <v>0</v>
      </c>
      <c r="F1088" s="274"/>
      <c r="G1088" s="274">
        <f t="shared" si="4"/>
        <v>0</v>
      </c>
      <c r="H1088" s="274">
        <v>0</v>
      </c>
      <c r="K1088" s="274"/>
    </row>
    <row r="1089" spans="2:11" ht="13.5" customHeight="1">
      <c r="B1089" s="209" t="s">
        <v>1113</v>
      </c>
      <c r="C1089" s="209" t="s">
        <v>2500</v>
      </c>
      <c r="D1089" s="216" t="s">
        <v>140</v>
      </c>
      <c r="E1089" s="273">
        <v>0</v>
      </c>
      <c r="F1089" s="274"/>
      <c r="G1089" s="274">
        <f t="shared" si="4"/>
        <v>0</v>
      </c>
      <c r="H1089" s="274">
        <v>0</v>
      </c>
      <c r="K1089" s="274"/>
    </row>
    <row r="1090" spans="2:11" ht="13.5" customHeight="1">
      <c r="B1090" s="209" t="s">
        <v>1113</v>
      </c>
      <c r="C1090" s="209" t="s">
        <v>2500</v>
      </c>
      <c r="D1090" s="453" t="s">
        <v>141</v>
      </c>
      <c r="E1090" s="273">
        <v>0</v>
      </c>
      <c r="F1090" s="274"/>
      <c r="G1090" s="274">
        <f t="shared" si="4"/>
        <v>0</v>
      </c>
      <c r="H1090" s="274">
        <v>0</v>
      </c>
      <c r="K1090" s="274"/>
    </row>
    <row r="1091" spans="2:11" ht="13.5" customHeight="1">
      <c r="B1091" s="209" t="s">
        <v>1028</v>
      </c>
      <c r="C1091" s="209" t="s">
        <v>2501</v>
      </c>
      <c r="D1091" s="446" t="s">
        <v>133</v>
      </c>
      <c r="E1091" s="273">
        <v>0</v>
      </c>
      <c r="F1091" s="274"/>
      <c r="G1091" s="274">
        <f t="shared" si="4"/>
        <v>0</v>
      </c>
      <c r="H1091" s="274">
        <v>0</v>
      </c>
      <c r="K1091" s="274"/>
    </row>
    <row r="1092" spans="2:11" ht="13.5" customHeight="1">
      <c r="B1092" s="209" t="s">
        <v>1028</v>
      </c>
      <c r="C1092" s="209" t="s">
        <v>2501</v>
      </c>
      <c r="D1092" s="447" t="s">
        <v>134</v>
      </c>
      <c r="E1092" s="273">
        <v>0</v>
      </c>
      <c r="F1092" s="274"/>
      <c r="G1092" s="274">
        <f t="shared" si="4"/>
        <v>0</v>
      </c>
      <c r="H1092" s="274">
        <v>0</v>
      </c>
      <c r="K1092" s="274"/>
    </row>
    <row r="1093" spans="2:11" ht="13.5" customHeight="1">
      <c r="B1093" s="209" t="s">
        <v>1028</v>
      </c>
      <c r="C1093" s="209" t="s">
        <v>2501</v>
      </c>
      <c r="D1093" s="448" t="s">
        <v>135</v>
      </c>
      <c r="E1093" s="273">
        <v>0</v>
      </c>
      <c r="F1093" s="274"/>
      <c r="G1093" s="274">
        <f t="shared" si="4"/>
        <v>0</v>
      </c>
      <c r="H1093" s="274">
        <v>0</v>
      </c>
      <c r="K1093" s="274"/>
    </row>
    <row r="1094" spans="2:11" ht="13.5" customHeight="1">
      <c r="B1094" s="209" t="s">
        <v>1028</v>
      </c>
      <c r="C1094" s="209" t="s">
        <v>2501</v>
      </c>
      <c r="D1094" s="449" t="s">
        <v>136</v>
      </c>
      <c r="E1094" s="273">
        <v>0</v>
      </c>
      <c r="F1094" s="274"/>
      <c r="G1094" s="274">
        <f t="shared" si="4"/>
        <v>0</v>
      </c>
      <c r="H1094" s="274">
        <v>0</v>
      </c>
      <c r="K1094" s="274"/>
    </row>
    <row r="1095" spans="2:11" ht="13.5" customHeight="1">
      <c r="B1095" s="209" t="s">
        <v>1028</v>
      </c>
      <c r="C1095" s="209" t="s">
        <v>2501</v>
      </c>
      <c r="D1095" s="450" t="s">
        <v>137</v>
      </c>
      <c r="E1095" s="273">
        <v>0</v>
      </c>
      <c r="F1095" s="274"/>
      <c r="G1095" s="274">
        <f t="shared" si="4"/>
        <v>0</v>
      </c>
      <c r="H1095" s="274">
        <v>0</v>
      </c>
      <c r="K1095" s="274"/>
    </row>
    <row r="1096" spans="2:11" ht="13.5" customHeight="1">
      <c r="B1096" s="209" t="s">
        <v>1028</v>
      </c>
      <c r="C1096" s="209" t="s">
        <v>2501</v>
      </c>
      <c r="D1096" s="451" t="s">
        <v>138</v>
      </c>
      <c r="E1096" s="273">
        <v>0</v>
      </c>
      <c r="F1096" s="274"/>
      <c r="G1096" s="274">
        <f t="shared" si="4"/>
        <v>0</v>
      </c>
      <c r="H1096" s="274">
        <v>0</v>
      </c>
      <c r="K1096" s="274"/>
    </row>
    <row r="1097" spans="2:11" ht="13.5" customHeight="1">
      <c r="B1097" s="209" t="s">
        <v>1028</v>
      </c>
      <c r="C1097" s="209" t="s">
        <v>2501</v>
      </c>
      <c r="D1097" s="452" t="s">
        <v>139</v>
      </c>
      <c r="E1097" s="273">
        <v>0</v>
      </c>
      <c r="F1097" s="274"/>
      <c r="G1097" s="274">
        <f t="shared" si="4"/>
        <v>0</v>
      </c>
      <c r="H1097" s="274">
        <v>0</v>
      </c>
      <c r="K1097" s="274"/>
    </row>
    <row r="1098" spans="2:11" ht="13.5" customHeight="1">
      <c r="B1098" s="209" t="s">
        <v>1028</v>
      </c>
      <c r="C1098" s="209" t="s">
        <v>2501</v>
      </c>
      <c r="D1098" s="216" t="s">
        <v>140</v>
      </c>
      <c r="E1098" s="273">
        <v>0</v>
      </c>
      <c r="F1098" s="274"/>
      <c r="G1098" s="274">
        <f t="shared" si="4"/>
        <v>0</v>
      </c>
      <c r="H1098" s="274">
        <v>0</v>
      </c>
      <c r="K1098" s="274"/>
    </row>
    <row r="1099" spans="2:11" ht="13.5" customHeight="1">
      <c r="B1099" s="209" t="s">
        <v>1028</v>
      </c>
      <c r="C1099" s="209" t="s">
        <v>2501</v>
      </c>
      <c r="D1099" s="453" t="s">
        <v>141</v>
      </c>
      <c r="E1099" s="273">
        <v>0</v>
      </c>
      <c r="F1099" s="274"/>
      <c r="G1099" s="274">
        <f t="shared" si="4"/>
        <v>0</v>
      </c>
      <c r="H1099" s="274">
        <v>0</v>
      </c>
      <c r="K1099" s="274"/>
    </row>
    <row r="1100" spans="2:11" ht="13.5" customHeight="1">
      <c r="B1100" s="209" t="s">
        <v>1141</v>
      </c>
      <c r="C1100" s="209" t="s">
        <v>2502</v>
      </c>
      <c r="D1100" s="446" t="s">
        <v>133</v>
      </c>
      <c r="E1100" s="273">
        <v>0</v>
      </c>
      <c r="F1100" s="274"/>
      <c r="G1100" s="274">
        <f t="shared" si="4"/>
        <v>0</v>
      </c>
      <c r="H1100" s="274">
        <v>0</v>
      </c>
      <c r="K1100" s="274"/>
    </row>
    <row r="1101" spans="2:11" ht="13.5" customHeight="1">
      <c r="B1101" s="209" t="s">
        <v>1141</v>
      </c>
      <c r="C1101" s="209" t="s">
        <v>2502</v>
      </c>
      <c r="D1101" s="447" t="s">
        <v>134</v>
      </c>
      <c r="E1101" s="273">
        <v>0</v>
      </c>
      <c r="F1101" s="274"/>
      <c r="G1101" s="274">
        <f t="shared" si="4"/>
        <v>0</v>
      </c>
      <c r="H1101" s="274">
        <v>0</v>
      </c>
      <c r="K1101" s="274"/>
    </row>
    <row r="1102" spans="2:11" ht="13.5" customHeight="1">
      <c r="B1102" s="209" t="s">
        <v>1141</v>
      </c>
      <c r="C1102" s="209" t="s">
        <v>2502</v>
      </c>
      <c r="D1102" s="448" t="s">
        <v>135</v>
      </c>
      <c r="E1102" s="273">
        <v>0</v>
      </c>
      <c r="F1102" s="274"/>
      <c r="G1102" s="274">
        <f t="shared" si="4"/>
        <v>0</v>
      </c>
      <c r="H1102" s="274">
        <v>0</v>
      </c>
      <c r="K1102" s="274"/>
    </row>
    <row r="1103" spans="2:11" ht="13.5" customHeight="1">
      <c r="B1103" s="209" t="s">
        <v>1141</v>
      </c>
      <c r="C1103" s="209" t="s">
        <v>2502</v>
      </c>
      <c r="D1103" s="449" t="s">
        <v>136</v>
      </c>
      <c r="E1103" s="273">
        <v>0</v>
      </c>
      <c r="F1103" s="274"/>
      <c r="G1103" s="274">
        <f t="shared" si="4"/>
        <v>0</v>
      </c>
      <c r="H1103" s="274">
        <v>0</v>
      </c>
      <c r="K1103" s="274"/>
    </row>
    <row r="1104" spans="2:11" ht="13.5" customHeight="1">
      <c r="B1104" s="209" t="s">
        <v>1141</v>
      </c>
      <c r="C1104" s="209" t="s">
        <v>2502</v>
      </c>
      <c r="D1104" s="450" t="s">
        <v>137</v>
      </c>
      <c r="E1104" s="273">
        <v>0</v>
      </c>
      <c r="F1104" s="274"/>
      <c r="G1104" s="274">
        <f t="shared" si="4"/>
        <v>0</v>
      </c>
      <c r="H1104" s="274">
        <v>0</v>
      </c>
      <c r="K1104" s="274"/>
    </row>
    <row r="1105" spans="2:11" ht="13.5" customHeight="1">
      <c r="B1105" s="209" t="s">
        <v>1141</v>
      </c>
      <c r="C1105" s="209" t="s">
        <v>2502</v>
      </c>
      <c r="D1105" s="451" t="s">
        <v>138</v>
      </c>
      <c r="E1105" s="273">
        <v>0</v>
      </c>
      <c r="F1105" s="274"/>
      <c r="G1105" s="274">
        <f t="shared" si="4"/>
        <v>0</v>
      </c>
      <c r="H1105" s="274">
        <v>0</v>
      </c>
      <c r="K1105" s="274"/>
    </row>
    <row r="1106" spans="2:11" ht="13.5" customHeight="1">
      <c r="B1106" s="209" t="s">
        <v>1141</v>
      </c>
      <c r="C1106" s="209" t="s">
        <v>2502</v>
      </c>
      <c r="D1106" s="452" t="s">
        <v>139</v>
      </c>
      <c r="E1106" s="273">
        <v>0</v>
      </c>
      <c r="F1106" s="274"/>
      <c r="G1106" s="274">
        <f t="shared" si="4"/>
        <v>0</v>
      </c>
      <c r="H1106" s="274">
        <v>0</v>
      </c>
      <c r="K1106" s="274"/>
    </row>
    <row r="1107" spans="2:11" ht="13.5" customHeight="1">
      <c r="B1107" s="209" t="s">
        <v>1141</v>
      </c>
      <c r="C1107" s="209" t="s">
        <v>2502</v>
      </c>
      <c r="D1107" s="216" t="s">
        <v>140</v>
      </c>
      <c r="E1107" s="273">
        <v>0</v>
      </c>
      <c r="F1107" s="274"/>
      <c r="G1107" s="274">
        <f t="shared" si="4"/>
        <v>0</v>
      </c>
      <c r="H1107" s="274">
        <v>0</v>
      </c>
      <c r="K1107" s="274"/>
    </row>
    <row r="1108" spans="2:11" ht="13.5" customHeight="1">
      <c r="B1108" s="209" t="s">
        <v>1141</v>
      </c>
      <c r="C1108" s="209" t="s">
        <v>2502</v>
      </c>
      <c r="D1108" s="453" t="s">
        <v>141</v>
      </c>
      <c r="E1108" s="273">
        <v>0</v>
      </c>
      <c r="F1108" s="274"/>
      <c r="G1108" s="274">
        <f t="shared" si="4"/>
        <v>0</v>
      </c>
      <c r="H1108" s="274">
        <v>0</v>
      </c>
      <c r="K1108" s="274"/>
    </row>
    <row r="1109" spans="2:11" ht="13.5" customHeight="1">
      <c r="B1109" s="209" t="s">
        <v>1179</v>
      </c>
      <c r="C1109" s="209" t="s">
        <v>2503</v>
      </c>
      <c r="D1109" s="446" t="s">
        <v>133</v>
      </c>
      <c r="E1109" s="273">
        <v>0</v>
      </c>
      <c r="F1109" s="274"/>
      <c r="G1109" s="274">
        <f t="shared" si="4"/>
        <v>0</v>
      </c>
      <c r="H1109" s="274">
        <v>0</v>
      </c>
      <c r="K1109" s="274"/>
    </row>
    <row r="1110" spans="2:11" ht="13.5" customHeight="1">
      <c r="B1110" s="209" t="s">
        <v>1179</v>
      </c>
      <c r="C1110" s="209" t="s">
        <v>2503</v>
      </c>
      <c r="D1110" s="447" t="s">
        <v>134</v>
      </c>
      <c r="E1110" s="273">
        <v>0</v>
      </c>
      <c r="F1110" s="274"/>
      <c r="G1110" s="274">
        <f t="shared" si="4"/>
        <v>0</v>
      </c>
      <c r="H1110" s="274">
        <v>0</v>
      </c>
      <c r="K1110" s="274"/>
    </row>
    <row r="1111" spans="2:11" ht="13.5" customHeight="1">
      <c r="B1111" s="209" t="s">
        <v>1179</v>
      </c>
      <c r="C1111" s="209" t="s">
        <v>2503</v>
      </c>
      <c r="D1111" s="448" t="s">
        <v>135</v>
      </c>
      <c r="E1111" s="273">
        <v>0</v>
      </c>
      <c r="F1111" s="274"/>
      <c r="G1111" s="274">
        <f t="shared" si="4"/>
        <v>0</v>
      </c>
      <c r="H1111" s="274">
        <v>0</v>
      </c>
      <c r="K1111" s="274"/>
    </row>
    <row r="1112" spans="2:11" ht="13.5" customHeight="1">
      <c r="B1112" s="209" t="s">
        <v>1179</v>
      </c>
      <c r="C1112" s="209" t="s">
        <v>2503</v>
      </c>
      <c r="D1112" s="449" t="s">
        <v>136</v>
      </c>
      <c r="E1112" s="273">
        <v>0</v>
      </c>
      <c r="F1112" s="274"/>
      <c r="G1112" s="274">
        <f t="shared" si="4"/>
        <v>0</v>
      </c>
      <c r="H1112" s="274">
        <v>0</v>
      </c>
      <c r="K1112" s="274"/>
    </row>
    <row r="1113" spans="2:11" ht="13.5" customHeight="1">
      <c r="B1113" s="209" t="s">
        <v>1179</v>
      </c>
      <c r="C1113" s="209" t="s">
        <v>2503</v>
      </c>
      <c r="D1113" s="450" t="s">
        <v>137</v>
      </c>
      <c r="E1113" s="273">
        <v>0</v>
      </c>
      <c r="F1113" s="274"/>
      <c r="G1113" s="274">
        <f t="shared" si="4"/>
        <v>0</v>
      </c>
      <c r="H1113" s="274">
        <v>0</v>
      </c>
      <c r="K1113" s="274"/>
    </row>
    <row r="1114" spans="2:11" ht="13.5" customHeight="1">
      <c r="B1114" s="209" t="s">
        <v>1179</v>
      </c>
      <c r="C1114" s="209" t="s">
        <v>2503</v>
      </c>
      <c r="D1114" s="451" t="s">
        <v>138</v>
      </c>
      <c r="E1114" s="273">
        <v>0</v>
      </c>
      <c r="F1114" s="274"/>
      <c r="G1114" s="274">
        <f t="shared" si="4"/>
        <v>0</v>
      </c>
      <c r="H1114" s="274">
        <v>0</v>
      </c>
      <c r="K1114" s="274"/>
    </row>
    <row r="1115" spans="2:11" ht="13.5" customHeight="1">
      <c r="B1115" s="209" t="s">
        <v>1179</v>
      </c>
      <c r="C1115" s="209" t="s">
        <v>2503</v>
      </c>
      <c r="D1115" s="452" t="s">
        <v>139</v>
      </c>
      <c r="E1115" s="273">
        <v>0</v>
      </c>
      <c r="F1115" s="274"/>
      <c r="G1115" s="274">
        <f t="shared" si="4"/>
        <v>0</v>
      </c>
      <c r="H1115" s="274">
        <v>0</v>
      </c>
      <c r="K1115" s="274"/>
    </row>
    <row r="1116" spans="2:11" ht="13.5" customHeight="1">
      <c r="B1116" s="209" t="s">
        <v>1179</v>
      </c>
      <c r="C1116" s="209" t="s">
        <v>2503</v>
      </c>
      <c r="D1116" s="216" t="s">
        <v>140</v>
      </c>
      <c r="E1116" s="273">
        <v>0</v>
      </c>
      <c r="F1116" s="274"/>
      <c r="G1116" s="274">
        <f t="shared" si="4"/>
        <v>0</v>
      </c>
      <c r="H1116" s="274">
        <v>0</v>
      </c>
      <c r="K1116" s="274"/>
    </row>
    <row r="1117" spans="2:11" ht="13.5" customHeight="1">
      <c r="B1117" s="209" t="s">
        <v>1179</v>
      </c>
      <c r="C1117" s="209" t="s">
        <v>2503</v>
      </c>
      <c r="D1117" s="453" t="s">
        <v>141</v>
      </c>
      <c r="E1117" s="273">
        <v>0</v>
      </c>
      <c r="F1117" s="274"/>
      <c r="G1117" s="274">
        <f t="shared" si="4"/>
        <v>0</v>
      </c>
      <c r="H1117" s="274">
        <v>0</v>
      </c>
      <c r="K1117" s="274"/>
    </row>
    <row r="1118" spans="2:11" ht="13.5" customHeight="1">
      <c r="B1118" s="209" t="s">
        <v>1173</v>
      </c>
      <c r="C1118" s="209" t="s">
        <v>2504</v>
      </c>
      <c r="D1118" s="446" t="s">
        <v>133</v>
      </c>
      <c r="E1118" s="273">
        <v>0</v>
      </c>
      <c r="F1118" s="274"/>
      <c r="G1118" s="274">
        <f t="shared" si="4"/>
        <v>0</v>
      </c>
      <c r="H1118" s="274">
        <v>0</v>
      </c>
      <c r="K1118" s="274"/>
    </row>
    <row r="1119" spans="2:11" ht="13.5" customHeight="1">
      <c r="B1119" s="209" t="s">
        <v>1173</v>
      </c>
      <c r="C1119" s="209" t="s">
        <v>2504</v>
      </c>
      <c r="D1119" s="447" t="s">
        <v>134</v>
      </c>
      <c r="E1119" s="273">
        <v>0</v>
      </c>
      <c r="F1119" s="274"/>
      <c r="G1119" s="274">
        <f t="shared" si="4"/>
        <v>0</v>
      </c>
      <c r="H1119" s="274">
        <v>0</v>
      </c>
      <c r="K1119" s="274"/>
    </row>
    <row r="1120" spans="2:11" ht="13.5" customHeight="1">
      <c r="B1120" s="209" t="s">
        <v>1173</v>
      </c>
      <c r="C1120" s="209" t="s">
        <v>2504</v>
      </c>
      <c r="D1120" s="448" t="s">
        <v>135</v>
      </c>
      <c r="E1120" s="273">
        <v>0</v>
      </c>
      <c r="F1120" s="274"/>
      <c r="G1120" s="274">
        <f t="shared" si="4"/>
        <v>0</v>
      </c>
      <c r="H1120" s="274">
        <v>0</v>
      </c>
      <c r="K1120" s="274"/>
    </row>
    <row r="1121" spans="2:11" ht="13.5" customHeight="1">
      <c r="B1121" s="209" t="s">
        <v>1173</v>
      </c>
      <c r="C1121" s="209" t="s">
        <v>2504</v>
      </c>
      <c r="D1121" s="449" t="s">
        <v>136</v>
      </c>
      <c r="E1121" s="273">
        <v>0</v>
      </c>
      <c r="F1121" s="274"/>
      <c r="G1121" s="274">
        <f t="shared" si="4"/>
        <v>0</v>
      </c>
      <c r="H1121" s="274">
        <v>0</v>
      </c>
      <c r="K1121" s="274"/>
    </row>
    <row r="1122" spans="2:11" ht="13.5" customHeight="1">
      <c r="B1122" s="209" t="s">
        <v>1173</v>
      </c>
      <c r="C1122" s="209" t="s">
        <v>2504</v>
      </c>
      <c r="D1122" s="450" t="s">
        <v>137</v>
      </c>
      <c r="E1122" s="273">
        <v>0</v>
      </c>
      <c r="F1122" s="274"/>
      <c r="G1122" s="274">
        <f t="shared" si="4"/>
        <v>0</v>
      </c>
      <c r="H1122" s="274">
        <v>0</v>
      </c>
      <c r="K1122" s="274"/>
    </row>
    <row r="1123" spans="2:11" ht="13.5" customHeight="1">
      <c r="B1123" s="209" t="s">
        <v>1173</v>
      </c>
      <c r="C1123" s="209" t="s">
        <v>2504</v>
      </c>
      <c r="D1123" s="451" t="s">
        <v>138</v>
      </c>
      <c r="E1123" s="273">
        <v>0</v>
      </c>
      <c r="F1123" s="274"/>
      <c r="G1123" s="274">
        <f t="shared" si="4"/>
        <v>0</v>
      </c>
      <c r="H1123" s="274">
        <v>0</v>
      </c>
      <c r="K1123" s="274"/>
    </row>
    <row r="1124" spans="2:11" ht="13.5" customHeight="1">
      <c r="B1124" s="209" t="s">
        <v>1173</v>
      </c>
      <c r="C1124" s="209" t="s">
        <v>2504</v>
      </c>
      <c r="D1124" s="452" t="s">
        <v>139</v>
      </c>
      <c r="E1124" s="273">
        <v>0</v>
      </c>
      <c r="F1124" s="274"/>
      <c r="G1124" s="274">
        <f t="shared" si="4"/>
        <v>0</v>
      </c>
      <c r="H1124" s="274">
        <v>0</v>
      </c>
      <c r="K1124" s="274"/>
    </row>
    <row r="1125" spans="2:11" ht="13.5" customHeight="1">
      <c r="B1125" s="209" t="s">
        <v>1173</v>
      </c>
      <c r="C1125" s="209" t="s">
        <v>2504</v>
      </c>
      <c r="D1125" s="216" t="s">
        <v>140</v>
      </c>
      <c r="E1125" s="273">
        <v>0</v>
      </c>
      <c r="F1125" s="274"/>
      <c r="G1125" s="274">
        <f t="shared" si="4"/>
        <v>0</v>
      </c>
      <c r="H1125" s="274">
        <v>0</v>
      </c>
      <c r="K1125" s="274"/>
    </row>
    <row r="1126" spans="2:11" ht="13.5" customHeight="1">
      <c r="B1126" s="209" t="s">
        <v>1173</v>
      </c>
      <c r="C1126" s="209" t="s">
        <v>2504</v>
      </c>
      <c r="D1126" s="453" t="s">
        <v>141</v>
      </c>
      <c r="E1126" s="273">
        <v>0</v>
      </c>
      <c r="F1126" s="274"/>
      <c r="G1126" s="274">
        <f t="shared" si="4"/>
        <v>0</v>
      </c>
      <c r="H1126" s="274">
        <v>0</v>
      </c>
      <c r="K1126" s="274"/>
    </row>
    <row r="1127" spans="2:11" ht="13.5" customHeight="1">
      <c r="B1127" s="209" t="s">
        <v>1030</v>
      </c>
      <c r="C1127" s="209" t="s">
        <v>2505</v>
      </c>
      <c r="D1127" s="446" t="s">
        <v>133</v>
      </c>
      <c r="E1127" s="273">
        <v>0</v>
      </c>
      <c r="F1127" s="274"/>
      <c r="G1127" s="274">
        <f t="shared" si="4"/>
        <v>0</v>
      </c>
      <c r="H1127" s="274">
        <v>0</v>
      </c>
      <c r="K1127" s="274"/>
    </row>
    <row r="1128" spans="2:11" ht="13.5" customHeight="1">
      <c r="B1128" s="209" t="s">
        <v>1030</v>
      </c>
      <c r="C1128" s="209" t="s">
        <v>2505</v>
      </c>
      <c r="D1128" s="447" t="s">
        <v>134</v>
      </c>
      <c r="E1128" s="273">
        <v>0</v>
      </c>
      <c r="F1128" s="274"/>
      <c r="G1128" s="274">
        <f t="shared" si="4"/>
        <v>0</v>
      </c>
      <c r="H1128" s="274">
        <v>0</v>
      </c>
      <c r="K1128" s="274"/>
    </row>
    <row r="1129" spans="2:11" ht="13.5" customHeight="1">
      <c r="B1129" s="209" t="s">
        <v>1030</v>
      </c>
      <c r="C1129" s="209" t="s">
        <v>2505</v>
      </c>
      <c r="D1129" s="448" t="s">
        <v>135</v>
      </c>
      <c r="E1129" s="273">
        <v>0</v>
      </c>
      <c r="F1129" s="274"/>
      <c r="G1129" s="274">
        <f t="shared" si="4"/>
        <v>0</v>
      </c>
      <c r="H1129" s="274">
        <v>0</v>
      </c>
      <c r="K1129" s="274"/>
    </row>
    <row r="1130" spans="2:11" ht="13.5" customHeight="1">
      <c r="B1130" s="209" t="s">
        <v>1030</v>
      </c>
      <c r="C1130" s="209" t="s">
        <v>2505</v>
      </c>
      <c r="D1130" s="449" t="s">
        <v>136</v>
      </c>
      <c r="E1130" s="273">
        <v>0</v>
      </c>
      <c r="F1130" s="274"/>
      <c r="G1130" s="274">
        <f t="shared" si="4"/>
        <v>0</v>
      </c>
      <c r="H1130" s="274">
        <v>0</v>
      </c>
      <c r="K1130" s="274"/>
    </row>
    <row r="1131" spans="2:11" ht="13.5" customHeight="1">
      <c r="B1131" s="209" t="s">
        <v>1030</v>
      </c>
      <c r="C1131" s="209" t="s">
        <v>2505</v>
      </c>
      <c r="D1131" s="450" t="s">
        <v>137</v>
      </c>
      <c r="E1131" s="273">
        <v>0</v>
      </c>
      <c r="F1131" s="274"/>
      <c r="G1131" s="274">
        <f t="shared" si="4"/>
        <v>0</v>
      </c>
      <c r="H1131" s="274">
        <v>0</v>
      </c>
      <c r="K1131" s="274"/>
    </row>
    <row r="1132" spans="2:11" ht="13.5" customHeight="1">
      <c r="B1132" s="209" t="s">
        <v>1030</v>
      </c>
      <c r="C1132" s="209" t="s">
        <v>2505</v>
      </c>
      <c r="D1132" s="451" t="s">
        <v>138</v>
      </c>
      <c r="E1132" s="273">
        <v>0</v>
      </c>
      <c r="F1132" s="274"/>
      <c r="G1132" s="274">
        <f t="shared" si="4"/>
        <v>0</v>
      </c>
      <c r="H1132" s="274">
        <v>0</v>
      </c>
      <c r="K1132" s="274"/>
    </row>
    <row r="1133" spans="2:11" ht="13.5" customHeight="1">
      <c r="B1133" s="209" t="s">
        <v>1030</v>
      </c>
      <c r="C1133" s="209" t="s">
        <v>2505</v>
      </c>
      <c r="D1133" s="452" t="s">
        <v>139</v>
      </c>
      <c r="E1133" s="273">
        <v>0</v>
      </c>
      <c r="F1133" s="274"/>
      <c r="G1133" s="274">
        <f t="shared" si="4"/>
        <v>0</v>
      </c>
      <c r="H1133" s="274">
        <v>0</v>
      </c>
      <c r="K1133" s="274"/>
    </row>
    <row r="1134" spans="2:11" ht="13.5" customHeight="1">
      <c r="B1134" s="209" t="s">
        <v>1030</v>
      </c>
      <c r="C1134" s="209" t="s">
        <v>2505</v>
      </c>
      <c r="D1134" s="216" t="s">
        <v>140</v>
      </c>
      <c r="E1134" s="273">
        <v>0</v>
      </c>
      <c r="F1134" s="274"/>
      <c r="G1134" s="274">
        <f t="shared" si="4"/>
        <v>0</v>
      </c>
      <c r="H1134" s="274">
        <v>0</v>
      </c>
      <c r="K1134" s="274"/>
    </row>
    <row r="1135" spans="2:11" ht="13.5" customHeight="1">
      <c r="B1135" s="209" t="s">
        <v>1030</v>
      </c>
      <c r="C1135" s="209" t="s">
        <v>2505</v>
      </c>
      <c r="D1135" s="453" t="s">
        <v>141</v>
      </c>
      <c r="E1135" s="273">
        <v>0</v>
      </c>
      <c r="F1135" s="274"/>
      <c r="G1135" s="274">
        <f t="shared" si="4"/>
        <v>0</v>
      </c>
      <c r="H1135" s="274">
        <v>0</v>
      </c>
      <c r="K1135" s="274"/>
    </row>
    <row r="1136" spans="2:11" ht="13.5" customHeight="1">
      <c r="B1136" s="209" t="s">
        <v>291</v>
      </c>
      <c r="C1136" s="209" t="s">
        <v>2506</v>
      </c>
      <c r="D1136" s="446" t="s">
        <v>133</v>
      </c>
      <c r="E1136" s="273">
        <v>0</v>
      </c>
      <c r="F1136" s="274"/>
      <c r="G1136" s="274">
        <f t="shared" si="4"/>
        <v>0</v>
      </c>
      <c r="H1136" s="274">
        <v>0</v>
      </c>
      <c r="K1136" s="274"/>
    </row>
    <row r="1137" spans="2:11" ht="13.5" customHeight="1">
      <c r="B1137" s="209" t="s">
        <v>291</v>
      </c>
      <c r="C1137" s="209" t="s">
        <v>2506</v>
      </c>
      <c r="D1137" s="447" t="s">
        <v>134</v>
      </c>
      <c r="E1137" s="273">
        <v>0</v>
      </c>
      <c r="F1137" s="274"/>
      <c r="G1137" s="274">
        <f t="shared" si="4"/>
        <v>0</v>
      </c>
      <c r="H1137" s="274">
        <v>0</v>
      </c>
      <c r="K1137" s="274"/>
    </row>
    <row r="1138" spans="2:11" ht="13.5" customHeight="1">
      <c r="B1138" s="209" t="s">
        <v>291</v>
      </c>
      <c r="C1138" s="209" t="s">
        <v>2506</v>
      </c>
      <c r="D1138" s="448" t="s">
        <v>135</v>
      </c>
      <c r="E1138" s="273">
        <v>0</v>
      </c>
      <c r="F1138" s="274"/>
      <c r="G1138" s="274">
        <f t="shared" si="4"/>
        <v>0</v>
      </c>
      <c r="H1138" s="274">
        <v>0</v>
      </c>
      <c r="K1138" s="274"/>
    </row>
    <row r="1139" spans="2:11" ht="13.5" customHeight="1">
      <c r="B1139" s="209" t="s">
        <v>291</v>
      </c>
      <c r="C1139" s="209" t="s">
        <v>2506</v>
      </c>
      <c r="D1139" s="449" t="s">
        <v>136</v>
      </c>
      <c r="E1139" s="273">
        <v>0</v>
      </c>
      <c r="F1139" s="274"/>
      <c r="G1139" s="274">
        <f t="shared" si="4"/>
        <v>0</v>
      </c>
      <c r="H1139" s="274">
        <v>0</v>
      </c>
      <c r="K1139" s="274"/>
    </row>
    <row r="1140" spans="2:11" ht="13.5" customHeight="1">
      <c r="B1140" s="209" t="s">
        <v>291</v>
      </c>
      <c r="C1140" s="209" t="s">
        <v>2506</v>
      </c>
      <c r="D1140" s="450" t="s">
        <v>137</v>
      </c>
      <c r="E1140" s="273">
        <v>0</v>
      </c>
      <c r="F1140" s="274"/>
      <c r="G1140" s="274">
        <f t="shared" si="4"/>
        <v>0</v>
      </c>
      <c r="H1140" s="274">
        <v>0</v>
      </c>
      <c r="K1140" s="274"/>
    </row>
    <row r="1141" spans="2:11" ht="13.5" customHeight="1">
      <c r="B1141" s="209" t="s">
        <v>291</v>
      </c>
      <c r="C1141" s="209" t="s">
        <v>2506</v>
      </c>
      <c r="D1141" s="451" t="s">
        <v>138</v>
      </c>
      <c r="E1141" s="273">
        <v>0</v>
      </c>
      <c r="F1141" s="274"/>
      <c r="G1141" s="274">
        <f t="shared" si="4"/>
        <v>0</v>
      </c>
      <c r="H1141" s="274">
        <v>0</v>
      </c>
      <c r="K1141" s="274"/>
    </row>
    <row r="1142" spans="2:11" ht="13.5" customHeight="1">
      <c r="B1142" s="209" t="s">
        <v>291</v>
      </c>
      <c r="C1142" s="209" t="s">
        <v>2506</v>
      </c>
      <c r="D1142" s="452" t="s">
        <v>139</v>
      </c>
      <c r="E1142" s="273">
        <v>0</v>
      </c>
      <c r="F1142" s="274"/>
      <c r="G1142" s="274">
        <f t="shared" si="4"/>
        <v>0</v>
      </c>
      <c r="H1142" s="274">
        <v>0</v>
      </c>
      <c r="K1142" s="274"/>
    </row>
    <row r="1143" spans="2:11" ht="13.5" customHeight="1">
      <c r="B1143" s="209" t="s">
        <v>291</v>
      </c>
      <c r="C1143" s="209" t="s">
        <v>2506</v>
      </c>
      <c r="D1143" s="216" t="s">
        <v>140</v>
      </c>
      <c r="E1143" s="273">
        <v>0</v>
      </c>
      <c r="F1143" s="274"/>
      <c r="G1143" s="274">
        <f t="shared" si="4"/>
        <v>0</v>
      </c>
      <c r="H1143" s="274">
        <v>0</v>
      </c>
      <c r="K1143" s="274"/>
    </row>
    <row r="1144" spans="2:11" ht="13.5" customHeight="1">
      <c r="B1144" s="209" t="s">
        <v>291</v>
      </c>
      <c r="C1144" s="209" t="s">
        <v>2506</v>
      </c>
      <c r="D1144" s="453" t="s">
        <v>141</v>
      </c>
      <c r="E1144" s="273">
        <v>0</v>
      </c>
      <c r="F1144" s="274"/>
      <c r="G1144" s="274">
        <f t="shared" si="4"/>
        <v>0</v>
      </c>
      <c r="H1144" s="274">
        <v>0</v>
      </c>
      <c r="K1144" s="274"/>
    </row>
    <row r="1145" spans="2:11" ht="13.5" customHeight="1">
      <c r="B1145" s="209" t="s">
        <v>1143</v>
      </c>
      <c r="C1145" s="209" t="s">
        <v>2507</v>
      </c>
      <c r="D1145" s="446" t="s">
        <v>133</v>
      </c>
      <c r="E1145" s="273">
        <v>0</v>
      </c>
      <c r="F1145" s="274"/>
      <c r="G1145" s="274">
        <f t="shared" si="4"/>
        <v>0</v>
      </c>
      <c r="H1145" s="274">
        <v>0</v>
      </c>
      <c r="K1145" s="274"/>
    </row>
    <row r="1146" spans="2:11" ht="13.5" customHeight="1">
      <c r="B1146" s="209" t="s">
        <v>1143</v>
      </c>
      <c r="C1146" s="209" t="s">
        <v>2507</v>
      </c>
      <c r="D1146" s="447" t="s">
        <v>134</v>
      </c>
      <c r="E1146" s="273">
        <v>0</v>
      </c>
      <c r="F1146" s="274"/>
      <c r="G1146" s="274">
        <f t="shared" si="4"/>
        <v>0</v>
      </c>
      <c r="H1146" s="274">
        <v>0</v>
      </c>
      <c r="K1146" s="274"/>
    </row>
    <row r="1147" spans="2:11" ht="13.5" customHeight="1">
      <c r="B1147" s="209" t="s">
        <v>1143</v>
      </c>
      <c r="C1147" s="209" t="s">
        <v>2507</v>
      </c>
      <c r="D1147" s="448" t="s">
        <v>135</v>
      </c>
      <c r="E1147" s="273">
        <v>0</v>
      </c>
      <c r="F1147" s="274"/>
      <c r="G1147" s="274">
        <f t="shared" si="4"/>
        <v>0</v>
      </c>
      <c r="H1147" s="274">
        <v>0</v>
      </c>
      <c r="K1147" s="274"/>
    </row>
    <row r="1148" spans="2:11" ht="13.5" customHeight="1">
      <c r="B1148" s="209" t="s">
        <v>1143</v>
      </c>
      <c r="C1148" s="209" t="s">
        <v>2507</v>
      </c>
      <c r="D1148" s="449" t="s">
        <v>136</v>
      </c>
      <c r="E1148" s="273">
        <v>0</v>
      </c>
      <c r="F1148" s="274"/>
      <c r="G1148" s="274">
        <f t="shared" si="4"/>
        <v>0</v>
      </c>
      <c r="H1148" s="274">
        <v>0</v>
      </c>
      <c r="K1148" s="274"/>
    </row>
    <row r="1149" spans="2:11" ht="13.5" customHeight="1">
      <c r="B1149" s="209" t="s">
        <v>1143</v>
      </c>
      <c r="C1149" s="209" t="s">
        <v>2507</v>
      </c>
      <c r="D1149" s="450" t="s">
        <v>137</v>
      </c>
      <c r="E1149" s="273">
        <v>0</v>
      </c>
      <c r="F1149" s="274"/>
      <c r="G1149" s="274">
        <f t="shared" si="4"/>
        <v>0</v>
      </c>
      <c r="H1149" s="274">
        <v>0</v>
      </c>
      <c r="K1149" s="274"/>
    </row>
    <row r="1150" spans="2:11" ht="13.5" customHeight="1">
      <c r="B1150" s="209" t="s">
        <v>1143</v>
      </c>
      <c r="C1150" s="209" t="s">
        <v>2507</v>
      </c>
      <c r="D1150" s="451" t="s">
        <v>138</v>
      </c>
      <c r="E1150" s="273">
        <v>0</v>
      </c>
      <c r="F1150" s="274"/>
      <c r="G1150" s="274">
        <f t="shared" si="4"/>
        <v>0</v>
      </c>
      <c r="H1150" s="274">
        <v>0</v>
      </c>
      <c r="K1150" s="274"/>
    </row>
    <row r="1151" spans="2:11" ht="13.5" customHeight="1">
      <c r="B1151" s="209" t="s">
        <v>1143</v>
      </c>
      <c r="C1151" s="209" t="s">
        <v>2507</v>
      </c>
      <c r="D1151" s="452" t="s">
        <v>139</v>
      </c>
      <c r="E1151" s="273">
        <v>0</v>
      </c>
      <c r="F1151" s="274"/>
      <c r="G1151" s="274">
        <f t="shared" si="4"/>
        <v>0</v>
      </c>
      <c r="H1151" s="274">
        <v>0</v>
      </c>
      <c r="K1151" s="274"/>
    </row>
    <row r="1152" spans="2:11" ht="13.5" customHeight="1">
      <c r="B1152" s="209" t="s">
        <v>1143</v>
      </c>
      <c r="C1152" s="209" t="s">
        <v>2507</v>
      </c>
      <c r="D1152" s="216" t="s">
        <v>140</v>
      </c>
      <c r="E1152" s="273">
        <v>0</v>
      </c>
      <c r="F1152" s="274"/>
      <c r="G1152" s="274">
        <f t="shared" si="4"/>
        <v>0</v>
      </c>
      <c r="H1152" s="274">
        <v>0</v>
      </c>
      <c r="K1152" s="274"/>
    </row>
    <row r="1153" spans="2:11" ht="13.5" customHeight="1">
      <c r="B1153" s="209" t="s">
        <v>1143</v>
      </c>
      <c r="C1153" s="209" t="s">
        <v>2507</v>
      </c>
      <c r="D1153" s="453" t="s">
        <v>141</v>
      </c>
      <c r="E1153" s="273">
        <v>0</v>
      </c>
      <c r="F1153" s="274"/>
      <c r="G1153" s="274">
        <f t="shared" si="4"/>
        <v>0</v>
      </c>
      <c r="H1153" s="274">
        <v>0</v>
      </c>
      <c r="K1153" s="274"/>
    </row>
    <row r="1154" spans="2:11" ht="13.5" customHeight="1">
      <c r="B1154" s="209" t="s">
        <v>1032</v>
      </c>
      <c r="C1154" s="209" t="s">
        <v>2508</v>
      </c>
      <c r="D1154" s="446" t="s">
        <v>133</v>
      </c>
      <c r="E1154" s="273">
        <v>0</v>
      </c>
      <c r="F1154" s="274"/>
      <c r="G1154" s="274">
        <f t="shared" si="4"/>
        <v>0</v>
      </c>
      <c r="H1154" s="274">
        <v>0</v>
      </c>
      <c r="K1154" s="274"/>
    </row>
    <row r="1155" spans="2:11" ht="13.5" customHeight="1">
      <c r="B1155" s="209" t="s">
        <v>1032</v>
      </c>
      <c r="C1155" s="209" t="s">
        <v>2508</v>
      </c>
      <c r="D1155" s="447" t="s">
        <v>134</v>
      </c>
      <c r="E1155" s="273">
        <v>0</v>
      </c>
      <c r="F1155" s="274"/>
      <c r="G1155" s="274">
        <f t="shared" si="4"/>
        <v>0</v>
      </c>
      <c r="H1155" s="274">
        <v>0</v>
      </c>
      <c r="K1155" s="274"/>
    </row>
    <row r="1156" spans="2:11" ht="13.5" customHeight="1">
      <c r="B1156" s="209" t="s">
        <v>1032</v>
      </c>
      <c r="C1156" s="209" t="s">
        <v>2508</v>
      </c>
      <c r="D1156" s="448" t="s">
        <v>135</v>
      </c>
      <c r="E1156" s="273">
        <v>0</v>
      </c>
      <c r="F1156" s="274"/>
      <c r="G1156" s="274">
        <f t="shared" si="4"/>
        <v>0</v>
      </c>
      <c r="H1156" s="274">
        <v>0</v>
      </c>
      <c r="K1156" s="274"/>
    </row>
    <row r="1157" spans="2:11" ht="13.5" customHeight="1">
      <c r="B1157" s="209" t="s">
        <v>1032</v>
      </c>
      <c r="C1157" s="209" t="s">
        <v>2508</v>
      </c>
      <c r="D1157" s="449" t="s">
        <v>136</v>
      </c>
      <c r="E1157" s="273">
        <v>0</v>
      </c>
      <c r="F1157" s="274"/>
      <c r="G1157" s="274">
        <f t="shared" si="4"/>
        <v>0</v>
      </c>
      <c r="H1157" s="274">
        <v>0</v>
      </c>
      <c r="K1157" s="274"/>
    </row>
    <row r="1158" spans="2:11" ht="13.5" customHeight="1">
      <c r="B1158" s="209" t="s">
        <v>1032</v>
      </c>
      <c r="C1158" s="209" t="s">
        <v>2508</v>
      </c>
      <c r="D1158" s="450" t="s">
        <v>137</v>
      </c>
      <c r="E1158" s="273">
        <v>0</v>
      </c>
      <c r="F1158" s="274"/>
      <c r="G1158" s="274">
        <f t="shared" si="4"/>
        <v>0</v>
      </c>
      <c r="H1158" s="274">
        <v>0</v>
      </c>
      <c r="K1158" s="274"/>
    </row>
    <row r="1159" spans="2:11" ht="13.5" customHeight="1">
      <c r="B1159" s="209" t="s">
        <v>1032</v>
      </c>
      <c r="C1159" s="209" t="s">
        <v>2508</v>
      </c>
      <c r="D1159" s="451" t="s">
        <v>138</v>
      </c>
      <c r="E1159" s="273">
        <v>0</v>
      </c>
      <c r="F1159" s="274"/>
      <c r="G1159" s="274">
        <f t="shared" si="4"/>
        <v>0</v>
      </c>
      <c r="H1159" s="274">
        <v>0</v>
      </c>
      <c r="K1159" s="274"/>
    </row>
    <row r="1160" spans="2:11" ht="13.5" customHeight="1">
      <c r="B1160" s="209" t="s">
        <v>1032</v>
      </c>
      <c r="C1160" s="209" t="s">
        <v>2508</v>
      </c>
      <c r="D1160" s="452" t="s">
        <v>139</v>
      </c>
      <c r="E1160" s="273">
        <v>0</v>
      </c>
      <c r="F1160" s="274"/>
      <c r="G1160" s="274">
        <f t="shared" si="4"/>
        <v>0</v>
      </c>
      <c r="H1160" s="274">
        <v>0</v>
      </c>
      <c r="K1160" s="274"/>
    </row>
    <row r="1161" spans="2:11" ht="13.5" customHeight="1">
      <c r="B1161" s="209" t="s">
        <v>1032</v>
      </c>
      <c r="C1161" s="209" t="s">
        <v>2508</v>
      </c>
      <c r="D1161" s="216" t="s">
        <v>140</v>
      </c>
      <c r="E1161" s="273">
        <v>0</v>
      </c>
      <c r="F1161" s="274"/>
      <c r="G1161" s="274">
        <f t="shared" si="4"/>
        <v>0</v>
      </c>
      <c r="H1161" s="274">
        <v>0</v>
      </c>
      <c r="K1161" s="274"/>
    </row>
    <row r="1162" spans="2:11" ht="13.5" customHeight="1">
      <c r="B1162" s="209" t="s">
        <v>1032</v>
      </c>
      <c r="C1162" s="209" t="s">
        <v>2508</v>
      </c>
      <c r="D1162" s="453" t="s">
        <v>141</v>
      </c>
      <c r="E1162" s="273">
        <v>0</v>
      </c>
      <c r="F1162" s="274"/>
      <c r="G1162" s="274">
        <f t="shared" si="4"/>
        <v>0</v>
      </c>
      <c r="H1162" s="274">
        <v>0</v>
      </c>
      <c r="K1162" s="274"/>
    </row>
    <row r="1163" spans="2:11" ht="13.5" customHeight="1">
      <c r="B1163" s="209" t="s">
        <v>261</v>
      </c>
      <c r="C1163" s="209" t="s">
        <v>2509</v>
      </c>
      <c r="D1163" s="446" t="s">
        <v>133</v>
      </c>
      <c r="E1163" s="273">
        <v>0</v>
      </c>
      <c r="F1163" s="274"/>
      <c r="G1163" s="274">
        <f t="shared" si="4"/>
        <v>0</v>
      </c>
      <c r="H1163" s="274">
        <v>0</v>
      </c>
      <c r="K1163" s="274"/>
    </row>
    <row r="1164" spans="2:11" ht="13.5" customHeight="1">
      <c r="B1164" s="209" t="s">
        <v>261</v>
      </c>
      <c r="C1164" s="209" t="s">
        <v>2509</v>
      </c>
      <c r="D1164" s="447" t="s">
        <v>134</v>
      </c>
      <c r="E1164" s="273">
        <v>0</v>
      </c>
      <c r="F1164" s="274"/>
      <c r="G1164" s="274">
        <f t="shared" si="4"/>
        <v>0</v>
      </c>
      <c r="H1164" s="274">
        <v>0</v>
      </c>
      <c r="K1164" s="274"/>
    </row>
    <row r="1165" spans="2:11" ht="13.5" customHeight="1">
      <c r="B1165" s="209" t="s">
        <v>261</v>
      </c>
      <c r="C1165" s="209" t="s">
        <v>2509</v>
      </c>
      <c r="D1165" s="448" t="s">
        <v>135</v>
      </c>
      <c r="E1165" s="273">
        <v>0</v>
      </c>
      <c r="F1165" s="274"/>
      <c r="G1165" s="274">
        <f t="shared" si="4"/>
        <v>0</v>
      </c>
      <c r="H1165" s="274">
        <v>0</v>
      </c>
      <c r="K1165" s="274"/>
    </row>
    <row r="1166" spans="2:11" ht="13.5" customHeight="1">
      <c r="B1166" s="209" t="s">
        <v>261</v>
      </c>
      <c r="C1166" s="209" t="s">
        <v>2509</v>
      </c>
      <c r="D1166" s="449" t="s">
        <v>136</v>
      </c>
      <c r="E1166" s="273">
        <v>0</v>
      </c>
      <c r="F1166" s="274"/>
      <c r="G1166" s="274">
        <f t="shared" si="4"/>
        <v>0</v>
      </c>
      <c r="H1166" s="274">
        <v>0</v>
      </c>
      <c r="K1166" s="274"/>
    </row>
    <row r="1167" spans="2:11" ht="13.5" customHeight="1">
      <c r="B1167" s="209" t="s">
        <v>261</v>
      </c>
      <c r="C1167" s="209" t="s">
        <v>2509</v>
      </c>
      <c r="D1167" s="450" t="s">
        <v>137</v>
      </c>
      <c r="E1167" s="273">
        <v>0</v>
      </c>
      <c r="F1167" s="274"/>
      <c r="G1167" s="274">
        <f t="shared" si="4"/>
        <v>0</v>
      </c>
      <c r="H1167" s="274">
        <v>0</v>
      </c>
      <c r="K1167" s="274"/>
    </row>
    <row r="1168" spans="2:11" ht="13.5" customHeight="1">
      <c r="B1168" s="209" t="s">
        <v>261</v>
      </c>
      <c r="C1168" s="209" t="s">
        <v>2509</v>
      </c>
      <c r="D1168" s="451" t="s">
        <v>138</v>
      </c>
      <c r="E1168" s="273">
        <v>0</v>
      </c>
      <c r="F1168" s="274"/>
      <c r="G1168" s="274">
        <f t="shared" si="4"/>
        <v>0</v>
      </c>
      <c r="H1168" s="274">
        <v>0</v>
      </c>
      <c r="K1168" s="274"/>
    </row>
    <row r="1169" spans="2:11" ht="13.5" customHeight="1">
      <c r="B1169" s="209" t="s">
        <v>261</v>
      </c>
      <c r="C1169" s="209" t="s">
        <v>2509</v>
      </c>
      <c r="D1169" s="452" t="s">
        <v>139</v>
      </c>
      <c r="E1169" s="273">
        <v>0</v>
      </c>
      <c r="F1169" s="274"/>
      <c r="G1169" s="274">
        <f t="shared" si="4"/>
        <v>0</v>
      </c>
      <c r="H1169" s="274">
        <v>0</v>
      </c>
      <c r="K1169" s="274"/>
    </row>
    <row r="1170" spans="2:11" ht="13.5" customHeight="1">
      <c r="B1170" s="209" t="s">
        <v>261</v>
      </c>
      <c r="C1170" s="209" t="s">
        <v>2509</v>
      </c>
      <c r="D1170" s="216" t="s">
        <v>140</v>
      </c>
      <c r="E1170" s="273">
        <v>0</v>
      </c>
      <c r="F1170" s="274"/>
      <c r="G1170" s="274">
        <f t="shared" si="4"/>
        <v>0</v>
      </c>
      <c r="H1170" s="274">
        <v>0</v>
      </c>
      <c r="K1170" s="274"/>
    </row>
    <row r="1171" spans="2:11" ht="13.5" customHeight="1">
      <c r="B1171" s="209" t="s">
        <v>261</v>
      </c>
      <c r="C1171" s="209" t="s">
        <v>2509</v>
      </c>
      <c r="D1171" s="453" t="s">
        <v>141</v>
      </c>
      <c r="E1171" s="273">
        <v>0</v>
      </c>
      <c r="F1171" s="274"/>
      <c r="G1171" s="274">
        <f t="shared" si="4"/>
        <v>0</v>
      </c>
      <c r="H1171" s="274">
        <v>0</v>
      </c>
      <c r="K1171" s="274"/>
    </row>
    <row r="1172" spans="2:11" ht="13.5" customHeight="1">
      <c r="B1172" s="209" t="s">
        <v>264</v>
      </c>
      <c r="C1172" s="209" t="s">
        <v>2510</v>
      </c>
      <c r="D1172" s="446" t="s">
        <v>133</v>
      </c>
      <c r="E1172" s="273">
        <v>0</v>
      </c>
      <c r="F1172" s="274"/>
      <c r="G1172" s="274">
        <f t="shared" si="4"/>
        <v>0</v>
      </c>
      <c r="H1172" s="274">
        <v>0</v>
      </c>
      <c r="K1172" s="274"/>
    </row>
    <row r="1173" spans="2:11" ht="13.5" customHeight="1">
      <c r="B1173" s="209" t="s">
        <v>264</v>
      </c>
      <c r="C1173" s="209" t="s">
        <v>2510</v>
      </c>
      <c r="D1173" s="447" t="s">
        <v>134</v>
      </c>
      <c r="E1173" s="273">
        <v>0</v>
      </c>
      <c r="F1173" s="274"/>
      <c r="G1173" s="274">
        <f t="shared" si="4"/>
        <v>0</v>
      </c>
      <c r="H1173" s="274">
        <v>0</v>
      </c>
      <c r="K1173" s="274"/>
    </row>
    <row r="1174" spans="2:11" ht="13.5" customHeight="1">
      <c r="B1174" s="209" t="s">
        <v>264</v>
      </c>
      <c r="C1174" s="209" t="s">
        <v>2510</v>
      </c>
      <c r="D1174" s="448" t="s">
        <v>135</v>
      </c>
      <c r="E1174" s="273">
        <v>0</v>
      </c>
      <c r="F1174" s="274"/>
      <c r="G1174" s="274">
        <f t="shared" si="4"/>
        <v>0</v>
      </c>
      <c r="H1174" s="274">
        <v>0</v>
      </c>
      <c r="K1174" s="274"/>
    </row>
    <row r="1175" spans="2:11" ht="13.5" customHeight="1">
      <c r="B1175" s="209" t="s">
        <v>264</v>
      </c>
      <c r="C1175" s="209" t="s">
        <v>2510</v>
      </c>
      <c r="D1175" s="449" t="s">
        <v>136</v>
      </c>
      <c r="E1175" s="273">
        <v>0</v>
      </c>
      <c r="F1175" s="274"/>
      <c r="G1175" s="274">
        <f t="shared" si="4"/>
        <v>0</v>
      </c>
      <c r="H1175" s="274">
        <v>0</v>
      </c>
      <c r="K1175" s="274"/>
    </row>
    <row r="1176" spans="2:11" ht="13.5" customHeight="1">
      <c r="B1176" s="209" t="s">
        <v>264</v>
      </c>
      <c r="C1176" s="209" t="s">
        <v>2510</v>
      </c>
      <c r="D1176" s="450" t="s">
        <v>137</v>
      </c>
      <c r="E1176" s="273">
        <v>0</v>
      </c>
      <c r="F1176" s="274"/>
      <c r="G1176" s="274">
        <f t="shared" si="4"/>
        <v>0</v>
      </c>
      <c r="H1176" s="274">
        <v>0</v>
      </c>
      <c r="K1176" s="274"/>
    </row>
    <row r="1177" spans="2:11" ht="13.5" customHeight="1">
      <c r="B1177" s="209" t="s">
        <v>264</v>
      </c>
      <c r="C1177" s="209" t="s">
        <v>2510</v>
      </c>
      <c r="D1177" s="451" t="s">
        <v>138</v>
      </c>
      <c r="E1177" s="273">
        <v>0</v>
      </c>
      <c r="F1177" s="274"/>
      <c r="G1177" s="274">
        <f t="shared" si="4"/>
        <v>0</v>
      </c>
      <c r="H1177" s="274">
        <v>0</v>
      </c>
      <c r="K1177" s="274"/>
    </row>
    <row r="1178" spans="2:11" ht="13.5" customHeight="1">
      <c r="B1178" s="209" t="s">
        <v>264</v>
      </c>
      <c r="C1178" s="209" t="s">
        <v>2510</v>
      </c>
      <c r="D1178" s="452" t="s">
        <v>139</v>
      </c>
      <c r="E1178" s="273">
        <v>0</v>
      </c>
      <c r="F1178" s="274"/>
      <c r="G1178" s="274">
        <f t="shared" si="4"/>
        <v>0</v>
      </c>
      <c r="H1178" s="274">
        <v>0</v>
      </c>
      <c r="K1178" s="274"/>
    </row>
    <row r="1179" spans="2:11" ht="13.5" customHeight="1">
      <c r="B1179" s="209" t="s">
        <v>264</v>
      </c>
      <c r="C1179" s="209" t="s">
        <v>2510</v>
      </c>
      <c r="D1179" s="216" t="s">
        <v>140</v>
      </c>
      <c r="E1179" s="273">
        <v>0</v>
      </c>
      <c r="F1179" s="274"/>
      <c r="G1179" s="274">
        <f t="shared" si="4"/>
        <v>0</v>
      </c>
      <c r="H1179" s="274">
        <v>0</v>
      </c>
      <c r="K1179" s="274"/>
    </row>
    <row r="1180" spans="2:11" ht="13.5" customHeight="1">
      <c r="B1180" s="209" t="s">
        <v>264</v>
      </c>
      <c r="C1180" s="209" t="s">
        <v>2510</v>
      </c>
      <c r="D1180" s="453" t="s">
        <v>141</v>
      </c>
      <c r="E1180" s="273">
        <v>0</v>
      </c>
      <c r="F1180" s="274"/>
      <c r="G1180" s="274">
        <f t="shared" si="4"/>
        <v>0</v>
      </c>
      <c r="H1180" s="274">
        <v>0</v>
      </c>
      <c r="K1180" s="274"/>
    </row>
    <row r="1181" spans="2:11" ht="13.5" customHeight="1">
      <c r="B1181" s="209" t="s">
        <v>958</v>
      </c>
      <c r="C1181" s="209" t="s">
        <v>2511</v>
      </c>
      <c r="D1181" s="446" t="s">
        <v>133</v>
      </c>
      <c r="E1181" s="273">
        <v>0</v>
      </c>
      <c r="F1181" s="274"/>
      <c r="G1181" s="274">
        <f t="shared" si="4"/>
        <v>0</v>
      </c>
      <c r="H1181" s="274">
        <v>0</v>
      </c>
      <c r="K1181" s="274"/>
    </row>
    <row r="1182" spans="2:11" ht="13.5" customHeight="1">
      <c r="B1182" s="209" t="s">
        <v>958</v>
      </c>
      <c r="C1182" s="209" t="s">
        <v>2511</v>
      </c>
      <c r="D1182" s="447" t="s">
        <v>134</v>
      </c>
      <c r="E1182" s="273">
        <v>0</v>
      </c>
      <c r="F1182" s="274"/>
      <c r="G1182" s="274">
        <f t="shared" si="4"/>
        <v>0</v>
      </c>
      <c r="H1182" s="274">
        <v>0</v>
      </c>
      <c r="K1182" s="274"/>
    </row>
    <row r="1183" spans="2:11" ht="13.5" customHeight="1">
      <c r="B1183" s="209" t="s">
        <v>958</v>
      </c>
      <c r="C1183" s="209" t="s">
        <v>2511</v>
      </c>
      <c r="D1183" s="448" t="s">
        <v>135</v>
      </c>
      <c r="E1183" s="273">
        <v>0</v>
      </c>
      <c r="F1183" s="274"/>
      <c r="G1183" s="274">
        <f t="shared" si="4"/>
        <v>0</v>
      </c>
      <c r="H1183" s="274">
        <v>0</v>
      </c>
      <c r="K1183" s="274"/>
    </row>
    <row r="1184" spans="2:11" ht="13.5" customHeight="1">
      <c r="B1184" s="209" t="s">
        <v>958</v>
      </c>
      <c r="C1184" s="209" t="s">
        <v>2511</v>
      </c>
      <c r="D1184" s="449" t="s">
        <v>136</v>
      </c>
      <c r="E1184" s="273">
        <v>0</v>
      </c>
      <c r="F1184" s="274"/>
      <c r="G1184" s="274">
        <f t="shared" si="4"/>
        <v>0</v>
      </c>
      <c r="H1184" s="274">
        <v>0</v>
      </c>
      <c r="K1184" s="274"/>
    </row>
    <row r="1185" spans="2:11" ht="13.5" customHeight="1">
      <c r="B1185" s="209" t="s">
        <v>958</v>
      </c>
      <c r="C1185" s="209" t="s">
        <v>2511</v>
      </c>
      <c r="D1185" s="450" t="s">
        <v>137</v>
      </c>
      <c r="E1185" s="273">
        <v>0</v>
      </c>
      <c r="F1185" s="274"/>
      <c r="G1185" s="274">
        <f t="shared" si="4"/>
        <v>0</v>
      </c>
      <c r="H1185" s="274">
        <v>0</v>
      </c>
      <c r="K1185" s="274"/>
    </row>
    <row r="1186" spans="2:11" ht="13.5" customHeight="1">
      <c r="B1186" s="209" t="s">
        <v>958</v>
      </c>
      <c r="C1186" s="209" t="s">
        <v>2511</v>
      </c>
      <c r="D1186" s="451" t="s">
        <v>138</v>
      </c>
      <c r="E1186" s="273">
        <v>0</v>
      </c>
      <c r="F1186" s="274"/>
      <c r="G1186" s="274">
        <f t="shared" si="4"/>
        <v>0</v>
      </c>
      <c r="H1186" s="274">
        <v>0</v>
      </c>
      <c r="K1186" s="274"/>
    </row>
    <row r="1187" spans="2:11" ht="13.5" customHeight="1">
      <c r="B1187" s="209" t="s">
        <v>958</v>
      </c>
      <c r="C1187" s="209" t="s">
        <v>2511</v>
      </c>
      <c r="D1187" s="452" t="s">
        <v>139</v>
      </c>
      <c r="E1187" s="273">
        <v>0</v>
      </c>
      <c r="F1187" s="274"/>
      <c r="G1187" s="274">
        <f t="shared" si="4"/>
        <v>0</v>
      </c>
      <c r="H1187" s="274">
        <v>0</v>
      </c>
      <c r="K1187" s="274"/>
    </row>
    <row r="1188" spans="2:11" ht="13.5" customHeight="1">
      <c r="B1188" s="209" t="s">
        <v>958</v>
      </c>
      <c r="C1188" s="209" t="s">
        <v>2511</v>
      </c>
      <c r="D1188" s="216" t="s">
        <v>140</v>
      </c>
      <c r="E1188" s="273">
        <v>0</v>
      </c>
      <c r="F1188" s="274"/>
      <c r="G1188" s="274">
        <f t="shared" si="4"/>
        <v>0</v>
      </c>
      <c r="H1188" s="274">
        <v>0</v>
      </c>
      <c r="K1188" s="274"/>
    </row>
    <row r="1189" spans="2:11" ht="13.5" customHeight="1">
      <c r="B1189" s="209" t="s">
        <v>958</v>
      </c>
      <c r="C1189" s="209" t="s">
        <v>2511</v>
      </c>
      <c r="D1189" s="453" t="s">
        <v>141</v>
      </c>
      <c r="E1189" s="273">
        <v>0</v>
      </c>
      <c r="F1189" s="274"/>
      <c r="G1189" s="274">
        <f t="shared" si="4"/>
        <v>0</v>
      </c>
      <c r="H1189" s="274">
        <v>0</v>
      </c>
      <c r="K1189" s="274"/>
    </row>
    <row r="1190" spans="2:11" ht="13.5" customHeight="1">
      <c r="B1190" s="209" t="s">
        <v>1115</v>
      </c>
      <c r="C1190" s="209" t="s">
        <v>2512</v>
      </c>
      <c r="D1190" s="446" t="s">
        <v>133</v>
      </c>
      <c r="E1190" s="273">
        <v>0</v>
      </c>
      <c r="F1190" s="274"/>
      <c r="G1190" s="274">
        <f t="shared" si="4"/>
        <v>0</v>
      </c>
      <c r="H1190" s="274">
        <v>0</v>
      </c>
      <c r="K1190" s="274"/>
    </row>
    <row r="1191" spans="2:11" ht="13.5" customHeight="1">
      <c r="B1191" s="209" t="s">
        <v>1115</v>
      </c>
      <c r="C1191" s="209" t="s">
        <v>2512</v>
      </c>
      <c r="D1191" s="447" t="s">
        <v>134</v>
      </c>
      <c r="E1191" s="273">
        <v>0</v>
      </c>
      <c r="F1191" s="274"/>
      <c r="G1191" s="274">
        <f t="shared" si="4"/>
        <v>0</v>
      </c>
      <c r="H1191" s="274">
        <v>0</v>
      </c>
      <c r="K1191" s="274"/>
    </row>
    <row r="1192" spans="2:11" ht="13.5" customHeight="1">
      <c r="B1192" s="209" t="s">
        <v>1115</v>
      </c>
      <c r="C1192" s="209" t="s">
        <v>2512</v>
      </c>
      <c r="D1192" s="448" t="s">
        <v>135</v>
      </c>
      <c r="E1192" s="273">
        <v>0</v>
      </c>
      <c r="F1192" s="274"/>
      <c r="G1192" s="274">
        <f t="shared" si="4"/>
        <v>0</v>
      </c>
      <c r="H1192" s="274">
        <v>0</v>
      </c>
      <c r="K1192" s="274"/>
    </row>
    <row r="1193" spans="2:11" ht="13.5" customHeight="1">
      <c r="B1193" s="209" t="s">
        <v>1115</v>
      </c>
      <c r="C1193" s="209" t="s">
        <v>2512</v>
      </c>
      <c r="D1193" s="449" t="s">
        <v>136</v>
      </c>
      <c r="E1193" s="273">
        <v>0</v>
      </c>
      <c r="F1193" s="274"/>
      <c r="G1193" s="274">
        <f t="shared" si="4"/>
        <v>0</v>
      </c>
      <c r="H1193" s="274">
        <v>0</v>
      </c>
      <c r="K1193" s="274"/>
    </row>
    <row r="1194" spans="2:11" ht="13.5" customHeight="1">
      <c r="B1194" s="209" t="s">
        <v>1115</v>
      </c>
      <c r="C1194" s="209" t="s">
        <v>2512</v>
      </c>
      <c r="D1194" s="450" t="s">
        <v>137</v>
      </c>
      <c r="E1194" s="273">
        <v>0</v>
      </c>
      <c r="F1194" s="274"/>
      <c r="G1194" s="274">
        <f t="shared" si="4"/>
        <v>0</v>
      </c>
      <c r="H1194" s="274">
        <v>0</v>
      </c>
      <c r="K1194" s="274"/>
    </row>
    <row r="1195" spans="2:11" ht="13.5" customHeight="1">
      <c r="B1195" s="209" t="s">
        <v>1115</v>
      </c>
      <c r="C1195" s="209" t="s">
        <v>2512</v>
      </c>
      <c r="D1195" s="451" t="s">
        <v>138</v>
      </c>
      <c r="E1195" s="273">
        <v>0</v>
      </c>
      <c r="F1195" s="274"/>
      <c r="G1195" s="274">
        <f t="shared" si="4"/>
        <v>0</v>
      </c>
      <c r="H1195" s="274">
        <v>0</v>
      </c>
      <c r="K1195" s="274"/>
    </row>
    <row r="1196" spans="2:11" ht="13.5" customHeight="1">
      <c r="B1196" s="209" t="s">
        <v>1115</v>
      </c>
      <c r="C1196" s="209" t="s">
        <v>2512</v>
      </c>
      <c r="D1196" s="452" t="s">
        <v>139</v>
      </c>
      <c r="E1196" s="273">
        <v>0</v>
      </c>
      <c r="F1196" s="274"/>
      <c r="G1196" s="274">
        <f t="shared" si="4"/>
        <v>0</v>
      </c>
      <c r="H1196" s="274">
        <v>0</v>
      </c>
      <c r="K1196" s="274"/>
    </row>
    <row r="1197" spans="2:11" ht="13.5" customHeight="1">
      <c r="B1197" s="209" t="s">
        <v>1115</v>
      </c>
      <c r="C1197" s="209" t="s">
        <v>2512</v>
      </c>
      <c r="D1197" s="216" t="s">
        <v>140</v>
      </c>
      <c r="E1197" s="273">
        <v>0</v>
      </c>
      <c r="F1197" s="274"/>
      <c r="G1197" s="274">
        <f t="shared" si="4"/>
        <v>0</v>
      </c>
      <c r="H1197" s="274">
        <v>0</v>
      </c>
      <c r="K1197" s="274"/>
    </row>
    <row r="1198" spans="2:11" ht="13.5" customHeight="1">
      <c r="B1198" s="209" t="s">
        <v>1115</v>
      </c>
      <c r="C1198" s="209" t="s">
        <v>2512</v>
      </c>
      <c r="D1198" s="453" t="s">
        <v>141</v>
      </c>
      <c r="E1198" s="273">
        <v>0</v>
      </c>
      <c r="F1198" s="274"/>
      <c r="G1198" s="274">
        <f t="shared" si="4"/>
        <v>0</v>
      </c>
      <c r="H1198" s="274">
        <v>0</v>
      </c>
      <c r="K1198" s="274"/>
    </row>
    <row r="1199" spans="2:11" ht="13.5" customHeight="1">
      <c r="B1199" s="209" t="s">
        <v>960</v>
      </c>
      <c r="C1199" s="209" t="s">
        <v>2513</v>
      </c>
      <c r="D1199" s="446" t="s">
        <v>133</v>
      </c>
      <c r="E1199" s="273">
        <v>0</v>
      </c>
      <c r="F1199" s="274"/>
      <c r="G1199" s="274">
        <f t="shared" si="4"/>
        <v>0</v>
      </c>
      <c r="H1199" s="274">
        <v>0</v>
      </c>
      <c r="K1199" s="274"/>
    </row>
    <row r="1200" spans="2:11" ht="13.5" customHeight="1">
      <c r="B1200" s="209" t="s">
        <v>960</v>
      </c>
      <c r="C1200" s="209" t="s">
        <v>2513</v>
      </c>
      <c r="D1200" s="447" t="s">
        <v>134</v>
      </c>
      <c r="E1200" s="273">
        <v>0</v>
      </c>
      <c r="F1200" s="274"/>
      <c r="G1200" s="274">
        <f t="shared" si="4"/>
        <v>0</v>
      </c>
      <c r="H1200" s="274">
        <v>0</v>
      </c>
      <c r="K1200" s="274"/>
    </row>
    <row r="1201" spans="2:11" ht="13.5" customHeight="1">
      <c r="B1201" s="209" t="s">
        <v>960</v>
      </c>
      <c r="C1201" s="209" t="s">
        <v>2513</v>
      </c>
      <c r="D1201" s="448" t="s">
        <v>135</v>
      </c>
      <c r="E1201" s="273">
        <v>0</v>
      </c>
      <c r="F1201" s="274"/>
      <c r="G1201" s="274">
        <f t="shared" si="4"/>
        <v>0</v>
      </c>
      <c r="H1201" s="274">
        <v>0</v>
      </c>
      <c r="K1201" s="274"/>
    </row>
    <row r="1202" spans="2:11" ht="13.5" customHeight="1">
      <c r="B1202" s="209" t="s">
        <v>960</v>
      </c>
      <c r="C1202" s="209" t="s">
        <v>2513</v>
      </c>
      <c r="D1202" s="449" t="s">
        <v>136</v>
      </c>
      <c r="E1202" s="273">
        <v>0</v>
      </c>
      <c r="F1202" s="274"/>
      <c r="G1202" s="274">
        <f t="shared" si="4"/>
        <v>0</v>
      </c>
      <c r="H1202" s="274">
        <v>0</v>
      </c>
      <c r="K1202" s="274"/>
    </row>
    <row r="1203" spans="2:11" ht="13.5" customHeight="1">
      <c r="B1203" s="209" t="s">
        <v>960</v>
      </c>
      <c r="C1203" s="209" t="s">
        <v>2513</v>
      </c>
      <c r="D1203" s="450" t="s">
        <v>137</v>
      </c>
      <c r="E1203" s="273">
        <v>0</v>
      </c>
      <c r="F1203" s="274"/>
      <c r="G1203" s="274">
        <f t="shared" si="4"/>
        <v>0</v>
      </c>
      <c r="H1203" s="274">
        <v>0</v>
      </c>
      <c r="K1203" s="274"/>
    </row>
    <row r="1204" spans="2:11" ht="13.5" customHeight="1">
      <c r="B1204" s="209" t="s">
        <v>960</v>
      </c>
      <c r="C1204" s="209" t="s">
        <v>2513</v>
      </c>
      <c r="D1204" s="451" t="s">
        <v>138</v>
      </c>
      <c r="E1204" s="273">
        <v>0</v>
      </c>
      <c r="F1204" s="274"/>
      <c r="G1204" s="274">
        <f t="shared" si="4"/>
        <v>0</v>
      </c>
      <c r="H1204" s="274">
        <v>0</v>
      </c>
      <c r="K1204" s="274"/>
    </row>
    <row r="1205" spans="2:11" ht="13.5" customHeight="1">
      <c r="B1205" s="209" t="s">
        <v>960</v>
      </c>
      <c r="C1205" s="209" t="s">
        <v>2513</v>
      </c>
      <c r="D1205" s="452" t="s">
        <v>139</v>
      </c>
      <c r="E1205" s="273">
        <v>0</v>
      </c>
      <c r="F1205" s="274"/>
      <c r="G1205" s="274">
        <f t="shared" si="4"/>
        <v>0</v>
      </c>
      <c r="H1205" s="274">
        <v>0</v>
      </c>
      <c r="K1205" s="274"/>
    </row>
    <row r="1206" spans="2:11" ht="13.5" customHeight="1">
      <c r="B1206" s="209" t="s">
        <v>960</v>
      </c>
      <c r="C1206" s="209" t="s">
        <v>2513</v>
      </c>
      <c r="D1206" s="216" t="s">
        <v>140</v>
      </c>
      <c r="E1206" s="273">
        <v>0</v>
      </c>
      <c r="F1206" s="274"/>
      <c r="G1206" s="274">
        <f t="shared" si="4"/>
        <v>0</v>
      </c>
      <c r="H1206" s="274">
        <v>0</v>
      </c>
      <c r="K1206" s="274"/>
    </row>
    <row r="1207" spans="2:11" ht="13.5" customHeight="1">
      <c r="B1207" s="209" t="s">
        <v>960</v>
      </c>
      <c r="C1207" s="209" t="s">
        <v>2513</v>
      </c>
      <c r="D1207" s="453" t="s">
        <v>141</v>
      </c>
      <c r="E1207" s="273">
        <v>0</v>
      </c>
      <c r="F1207" s="274"/>
      <c r="G1207" s="274">
        <f t="shared" si="4"/>
        <v>0</v>
      </c>
      <c r="H1207" s="274">
        <v>0</v>
      </c>
      <c r="K1207" s="274"/>
    </row>
    <row r="1208" spans="2:11" ht="13.5" customHeight="1">
      <c r="B1208" s="209" t="s">
        <v>1145</v>
      </c>
      <c r="C1208" s="209" t="s">
        <v>2514</v>
      </c>
      <c r="D1208" s="446" t="s">
        <v>133</v>
      </c>
      <c r="E1208" s="273">
        <v>0</v>
      </c>
      <c r="F1208" s="274"/>
      <c r="G1208" s="274">
        <f t="shared" si="4"/>
        <v>0</v>
      </c>
      <c r="H1208" s="274">
        <v>0</v>
      </c>
      <c r="K1208" s="274"/>
    </row>
    <row r="1209" spans="2:11" ht="13.5" customHeight="1">
      <c r="B1209" s="209" t="s">
        <v>1145</v>
      </c>
      <c r="C1209" s="209" t="s">
        <v>2514</v>
      </c>
      <c r="D1209" s="447" t="s">
        <v>134</v>
      </c>
      <c r="E1209" s="273">
        <v>0</v>
      </c>
      <c r="F1209" s="274"/>
      <c r="G1209" s="274">
        <f t="shared" si="4"/>
        <v>0</v>
      </c>
      <c r="H1209" s="274">
        <v>0</v>
      </c>
      <c r="K1209" s="274"/>
    </row>
    <row r="1210" spans="2:11" ht="13.5" customHeight="1">
      <c r="B1210" s="209" t="s">
        <v>1145</v>
      </c>
      <c r="C1210" s="209" t="s">
        <v>2514</v>
      </c>
      <c r="D1210" s="448" t="s">
        <v>135</v>
      </c>
      <c r="E1210" s="273">
        <v>0</v>
      </c>
      <c r="F1210" s="274"/>
      <c r="G1210" s="274">
        <f t="shared" si="4"/>
        <v>0</v>
      </c>
      <c r="H1210" s="274">
        <v>0</v>
      </c>
      <c r="K1210" s="274"/>
    </row>
    <row r="1211" spans="2:11" ht="13.5" customHeight="1">
      <c r="B1211" s="209" t="s">
        <v>1145</v>
      </c>
      <c r="C1211" s="209" t="s">
        <v>2514</v>
      </c>
      <c r="D1211" s="449" t="s">
        <v>136</v>
      </c>
      <c r="E1211" s="273">
        <v>0</v>
      </c>
      <c r="F1211" s="274"/>
      <c r="G1211" s="274">
        <f t="shared" si="4"/>
        <v>0</v>
      </c>
      <c r="H1211" s="274">
        <v>0</v>
      </c>
      <c r="K1211" s="274"/>
    </row>
    <row r="1212" spans="2:11" ht="13.5" customHeight="1">
      <c r="B1212" s="209" t="s">
        <v>1145</v>
      </c>
      <c r="C1212" s="209" t="s">
        <v>2514</v>
      </c>
      <c r="D1212" s="450" t="s">
        <v>137</v>
      </c>
      <c r="E1212" s="273">
        <v>0</v>
      </c>
      <c r="F1212" s="274"/>
      <c r="G1212" s="274">
        <f t="shared" si="4"/>
        <v>0</v>
      </c>
      <c r="H1212" s="274">
        <v>0</v>
      </c>
      <c r="K1212" s="274"/>
    </row>
    <row r="1213" spans="2:11" ht="13.5" customHeight="1">
      <c r="B1213" s="209" t="s">
        <v>1145</v>
      </c>
      <c r="C1213" s="209" t="s">
        <v>2514</v>
      </c>
      <c r="D1213" s="451" t="s">
        <v>138</v>
      </c>
      <c r="E1213" s="273">
        <v>0</v>
      </c>
      <c r="F1213" s="274"/>
      <c r="G1213" s="274">
        <f t="shared" si="4"/>
        <v>0</v>
      </c>
      <c r="H1213" s="274">
        <v>0</v>
      </c>
      <c r="K1213" s="274"/>
    </row>
    <row r="1214" spans="2:11" ht="13.5" customHeight="1">
      <c r="B1214" s="209" t="s">
        <v>1145</v>
      </c>
      <c r="C1214" s="209" t="s">
        <v>2514</v>
      </c>
      <c r="D1214" s="452" t="s">
        <v>139</v>
      </c>
      <c r="E1214" s="273">
        <v>0</v>
      </c>
      <c r="F1214" s="274"/>
      <c r="G1214" s="274">
        <f t="shared" si="4"/>
        <v>0</v>
      </c>
      <c r="H1214" s="274">
        <v>0</v>
      </c>
      <c r="K1214" s="274"/>
    </row>
    <row r="1215" spans="2:11" ht="13.5" customHeight="1">
      <c r="B1215" s="209" t="s">
        <v>1145</v>
      </c>
      <c r="C1215" s="209" t="s">
        <v>2514</v>
      </c>
      <c r="D1215" s="216" t="s">
        <v>140</v>
      </c>
      <c r="E1215" s="273">
        <v>0</v>
      </c>
      <c r="F1215" s="274"/>
      <c r="G1215" s="274">
        <f t="shared" si="4"/>
        <v>0</v>
      </c>
      <c r="H1215" s="274">
        <v>0</v>
      </c>
      <c r="K1215" s="274"/>
    </row>
    <row r="1216" spans="2:11" ht="13.5" customHeight="1">
      <c r="B1216" s="209" t="s">
        <v>1145</v>
      </c>
      <c r="C1216" s="209" t="s">
        <v>2514</v>
      </c>
      <c r="D1216" s="453" t="s">
        <v>141</v>
      </c>
      <c r="E1216" s="273">
        <v>0</v>
      </c>
      <c r="F1216" s="274"/>
      <c r="G1216" s="274">
        <f t="shared" si="4"/>
        <v>0</v>
      </c>
      <c r="H1216" s="274">
        <v>0</v>
      </c>
      <c r="K1216" s="274"/>
    </row>
    <row r="1217" spans="2:11" ht="13.5" customHeight="1">
      <c r="B1217" s="209" t="s">
        <v>1000</v>
      </c>
      <c r="C1217" s="209" t="s">
        <v>2515</v>
      </c>
      <c r="D1217" s="446" t="s">
        <v>133</v>
      </c>
      <c r="E1217" s="273">
        <v>0</v>
      </c>
      <c r="F1217" s="274"/>
      <c r="G1217" s="274">
        <f t="shared" si="4"/>
        <v>0</v>
      </c>
      <c r="H1217" s="274">
        <v>0</v>
      </c>
      <c r="K1217" s="274"/>
    </row>
    <row r="1218" spans="2:11" ht="13.5" customHeight="1">
      <c r="B1218" s="209" t="s">
        <v>1000</v>
      </c>
      <c r="C1218" s="209" t="s">
        <v>2515</v>
      </c>
      <c r="D1218" s="447" t="s">
        <v>134</v>
      </c>
      <c r="E1218" s="273">
        <v>0</v>
      </c>
      <c r="F1218" s="274"/>
      <c r="G1218" s="274">
        <f t="shared" si="4"/>
        <v>0</v>
      </c>
      <c r="H1218" s="274">
        <v>0</v>
      </c>
      <c r="K1218" s="274"/>
    </row>
    <row r="1219" spans="2:11" ht="13.5" customHeight="1">
      <c r="B1219" s="209" t="s">
        <v>1000</v>
      </c>
      <c r="C1219" s="209" t="s">
        <v>2515</v>
      </c>
      <c r="D1219" s="448" t="s">
        <v>135</v>
      </c>
      <c r="E1219" s="273">
        <v>0</v>
      </c>
      <c r="F1219" s="274"/>
      <c r="G1219" s="274">
        <f t="shared" si="4"/>
        <v>0</v>
      </c>
      <c r="H1219" s="274">
        <v>0</v>
      </c>
      <c r="K1219" s="274"/>
    </row>
    <row r="1220" spans="2:11" ht="13.5" customHeight="1">
      <c r="B1220" s="209" t="s">
        <v>1000</v>
      </c>
      <c r="C1220" s="209" t="s">
        <v>2515</v>
      </c>
      <c r="D1220" s="449" t="s">
        <v>136</v>
      </c>
      <c r="E1220" s="273">
        <v>0</v>
      </c>
      <c r="F1220" s="274"/>
      <c r="G1220" s="274">
        <f t="shared" si="4"/>
        <v>0</v>
      </c>
      <c r="H1220" s="274">
        <v>0</v>
      </c>
      <c r="K1220" s="274"/>
    </row>
    <row r="1221" spans="2:11" ht="13.5" customHeight="1">
      <c r="B1221" s="209" t="s">
        <v>1000</v>
      </c>
      <c r="C1221" s="209" t="s">
        <v>2515</v>
      </c>
      <c r="D1221" s="450" t="s">
        <v>137</v>
      </c>
      <c r="E1221" s="273">
        <v>0</v>
      </c>
      <c r="F1221" s="274"/>
      <c r="G1221" s="274">
        <f t="shared" si="4"/>
        <v>0</v>
      </c>
      <c r="H1221" s="274">
        <v>0</v>
      </c>
      <c r="K1221" s="274"/>
    </row>
    <row r="1222" spans="2:11" ht="13.5" customHeight="1">
      <c r="B1222" s="209" t="s">
        <v>1000</v>
      </c>
      <c r="C1222" s="209" t="s">
        <v>2515</v>
      </c>
      <c r="D1222" s="451" t="s">
        <v>138</v>
      </c>
      <c r="E1222" s="273">
        <v>0</v>
      </c>
      <c r="F1222" s="274"/>
      <c r="G1222" s="274">
        <f t="shared" si="4"/>
        <v>0</v>
      </c>
      <c r="H1222" s="274">
        <v>0</v>
      </c>
      <c r="K1222" s="274"/>
    </row>
    <row r="1223" spans="2:11" ht="13.5" customHeight="1">
      <c r="B1223" s="209" t="s">
        <v>1000</v>
      </c>
      <c r="C1223" s="209" t="s">
        <v>2515</v>
      </c>
      <c r="D1223" s="452" t="s">
        <v>139</v>
      </c>
      <c r="E1223" s="273">
        <v>0</v>
      </c>
      <c r="F1223" s="274"/>
      <c r="G1223" s="274">
        <f t="shared" si="4"/>
        <v>0</v>
      </c>
      <c r="H1223" s="274">
        <v>0</v>
      </c>
      <c r="K1223" s="274"/>
    </row>
    <row r="1224" spans="2:11" ht="13.5" customHeight="1">
      <c r="B1224" s="209" t="s">
        <v>1000</v>
      </c>
      <c r="C1224" s="209" t="s">
        <v>2515</v>
      </c>
      <c r="D1224" s="216" t="s">
        <v>140</v>
      </c>
      <c r="E1224" s="273">
        <v>0</v>
      </c>
      <c r="F1224" s="274"/>
      <c r="G1224" s="274">
        <f t="shared" si="4"/>
        <v>0</v>
      </c>
      <c r="H1224" s="274">
        <v>0</v>
      </c>
      <c r="K1224" s="274"/>
    </row>
    <row r="1225" spans="2:11" ht="13.5" customHeight="1">
      <c r="B1225" s="209" t="s">
        <v>1000</v>
      </c>
      <c r="C1225" s="209" t="s">
        <v>2515</v>
      </c>
      <c r="D1225" s="453" t="s">
        <v>141</v>
      </c>
      <c r="E1225" s="273">
        <v>0</v>
      </c>
      <c r="F1225" s="274"/>
      <c r="G1225" s="274">
        <f t="shared" si="4"/>
        <v>0</v>
      </c>
      <c r="H1225" s="274">
        <v>0</v>
      </c>
      <c r="K1225" s="274"/>
    </row>
    <row r="1226" spans="2:11" ht="13.5" customHeight="1">
      <c r="B1226" s="209" t="s">
        <v>1002</v>
      </c>
      <c r="C1226" s="209" t="s">
        <v>2516</v>
      </c>
      <c r="D1226" s="446" t="s">
        <v>133</v>
      </c>
      <c r="E1226" s="273">
        <v>0</v>
      </c>
      <c r="F1226" s="274"/>
      <c r="G1226" s="274">
        <f t="shared" si="4"/>
        <v>0</v>
      </c>
      <c r="H1226" s="274">
        <v>0</v>
      </c>
      <c r="K1226" s="274"/>
    </row>
    <row r="1227" spans="2:11" ht="13.5" customHeight="1">
      <c r="B1227" s="209" t="s">
        <v>1002</v>
      </c>
      <c r="C1227" s="209" t="s">
        <v>2516</v>
      </c>
      <c r="D1227" s="447" t="s">
        <v>134</v>
      </c>
      <c r="E1227" s="273">
        <v>0</v>
      </c>
      <c r="F1227" s="274"/>
      <c r="G1227" s="274">
        <f t="shared" si="4"/>
        <v>0</v>
      </c>
      <c r="H1227" s="274">
        <v>0</v>
      </c>
      <c r="K1227" s="274"/>
    </row>
    <row r="1228" spans="2:11" ht="13.5" customHeight="1">
      <c r="B1228" s="209" t="s">
        <v>1002</v>
      </c>
      <c r="C1228" s="209" t="s">
        <v>2516</v>
      </c>
      <c r="D1228" s="448" t="s">
        <v>135</v>
      </c>
      <c r="E1228" s="273">
        <v>0</v>
      </c>
      <c r="F1228" s="274"/>
      <c r="G1228" s="274">
        <f t="shared" si="4"/>
        <v>0</v>
      </c>
      <c r="H1228" s="274">
        <v>0</v>
      </c>
      <c r="K1228" s="274"/>
    </row>
    <row r="1229" spans="2:11" ht="13.5" customHeight="1">
      <c r="B1229" s="209" t="s">
        <v>1002</v>
      </c>
      <c r="C1229" s="209" t="s">
        <v>2516</v>
      </c>
      <c r="D1229" s="449" t="s">
        <v>136</v>
      </c>
      <c r="E1229" s="273">
        <v>0</v>
      </c>
      <c r="F1229" s="274"/>
      <c r="G1229" s="274">
        <f t="shared" si="4"/>
        <v>0</v>
      </c>
      <c r="H1229" s="274">
        <v>0</v>
      </c>
      <c r="K1229" s="274"/>
    </row>
    <row r="1230" spans="2:11" ht="13.5" customHeight="1">
      <c r="B1230" s="209" t="s">
        <v>1002</v>
      </c>
      <c r="C1230" s="209" t="s">
        <v>2516</v>
      </c>
      <c r="D1230" s="450" t="s">
        <v>137</v>
      </c>
      <c r="E1230" s="273">
        <v>0</v>
      </c>
      <c r="F1230" s="274"/>
      <c r="G1230" s="274">
        <f t="shared" si="4"/>
        <v>0</v>
      </c>
      <c r="H1230" s="274">
        <v>0</v>
      </c>
      <c r="K1230" s="274"/>
    </row>
    <row r="1231" spans="2:11" ht="13.5" customHeight="1">
      <c r="B1231" s="209" t="s">
        <v>1002</v>
      </c>
      <c r="C1231" s="209" t="s">
        <v>2516</v>
      </c>
      <c r="D1231" s="451" t="s">
        <v>138</v>
      </c>
      <c r="E1231" s="273">
        <v>0</v>
      </c>
      <c r="F1231" s="274"/>
      <c r="G1231" s="274">
        <f t="shared" si="4"/>
        <v>0</v>
      </c>
      <c r="H1231" s="274">
        <v>0</v>
      </c>
      <c r="K1231" s="274"/>
    </row>
    <row r="1232" spans="2:11" ht="13.5" customHeight="1">
      <c r="B1232" s="209" t="s">
        <v>1002</v>
      </c>
      <c r="C1232" s="209" t="s">
        <v>2516</v>
      </c>
      <c r="D1232" s="452" t="s">
        <v>139</v>
      </c>
      <c r="E1232" s="273">
        <v>0</v>
      </c>
      <c r="F1232" s="274"/>
      <c r="G1232" s="274">
        <f t="shared" si="4"/>
        <v>0</v>
      </c>
      <c r="H1232" s="274">
        <v>0</v>
      </c>
      <c r="K1232" s="274"/>
    </row>
    <row r="1233" spans="2:11" ht="13.5" customHeight="1">
      <c r="B1233" s="209" t="s">
        <v>1002</v>
      </c>
      <c r="C1233" s="209" t="s">
        <v>2516</v>
      </c>
      <c r="D1233" s="216" t="s">
        <v>140</v>
      </c>
      <c r="E1233" s="273">
        <v>0</v>
      </c>
      <c r="F1233" s="274"/>
      <c r="G1233" s="274">
        <f t="shared" si="4"/>
        <v>0</v>
      </c>
      <c r="H1233" s="274">
        <v>0</v>
      </c>
      <c r="K1233" s="274"/>
    </row>
    <row r="1234" spans="2:11" ht="13.5" customHeight="1">
      <c r="B1234" s="209" t="s">
        <v>1002</v>
      </c>
      <c r="C1234" s="209" t="s">
        <v>2516</v>
      </c>
      <c r="D1234" s="453" t="s">
        <v>141</v>
      </c>
      <c r="E1234" s="273">
        <v>0</v>
      </c>
      <c r="F1234" s="274"/>
      <c r="G1234" s="274">
        <f t="shared" si="4"/>
        <v>0</v>
      </c>
      <c r="H1234" s="274">
        <v>0</v>
      </c>
      <c r="K1234" s="274"/>
    </row>
    <row r="1235" spans="2:11" ht="13.5" customHeight="1">
      <c r="B1235" s="209" t="s">
        <v>293</v>
      </c>
      <c r="C1235" s="209" t="s">
        <v>2517</v>
      </c>
      <c r="D1235" s="446" t="s">
        <v>133</v>
      </c>
      <c r="E1235" s="273">
        <v>0</v>
      </c>
      <c r="F1235" s="274"/>
      <c r="G1235" s="274">
        <f t="shared" si="4"/>
        <v>0</v>
      </c>
      <c r="H1235" s="274">
        <v>0</v>
      </c>
      <c r="K1235" s="274"/>
    </row>
    <row r="1236" spans="2:11" ht="13.5" customHeight="1">
      <c r="B1236" s="209" t="s">
        <v>293</v>
      </c>
      <c r="C1236" s="209" t="s">
        <v>2517</v>
      </c>
      <c r="D1236" s="447" t="s">
        <v>134</v>
      </c>
      <c r="E1236" s="273">
        <v>0</v>
      </c>
      <c r="F1236" s="274"/>
      <c r="G1236" s="274">
        <f t="shared" si="4"/>
        <v>0</v>
      </c>
      <c r="H1236" s="274">
        <v>0</v>
      </c>
      <c r="K1236" s="274"/>
    </row>
    <row r="1237" spans="2:11" ht="13.5" customHeight="1">
      <c r="B1237" s="209" t="s">
        <v>293</v>
      </c>
      <c r="C1237" s="209" t="s">
        <v>2517</v>
      </c>
      <c r="D1237" s="448" t="s">
        <v>135</v>
      </c>
      <c r="E1237" s="273">
        <v>0</v>
      </c>
      <c r="F1237" s="274"/>
      <c r="G1237" s="274">
        <f t="shared" si="4"/>
        <v>0</v>
      </c>
      <c r="H1237" s="274">
        <v>0</v>
      </c>
      <c r="K1237" s="274"/>
    </row>
    <row r="1238" spans="2:11" ht="13.5" customHeight="1">
      <c r="B1238" s="209" t="s">
        <v>293</v>
      </c>
      <c r="C1238" s="209" t="s">
        <v>2517</v>
      </c>
      <c r="D1238" s="449" t="s">
        <v>136</v>
      </c>
      <c r="E1238" s="273">
        <v>0</v>
      </c>
      <c r="F1238" s="274"/>
      <c r="G1238" s="274">
        <f t="shared" si="4"/>
        <v>0</v>
      </c>
      <c r="H1238" s="274">
        <v>0</v>
      </c>
      <c r="K1238" s="274"/>
    </row>
    <row r="1239" spans="2:11" ht="13.5" customHeight="1">
      <c r="B1239" s="209" t="s">
        <v>293</v>
      </c>
      <c r="C1239" s="209" t="s">
        <v>2517</v>
      </c>
      <c r="D1239" s="450" t="s">
        <v>137</v>
      </c>
      <c r="E1239" s="273">
        <v>0</v>
      </c>
      <c r="F1239" s="274"/>
      <c r="G1239" s="274">
        <f t="shared" si="4"/>
        <v>0</v>
      </c>
      <c r="H1239" s="274">
        <v>0</v>
      </c>
      <c r="K1239" s="274"/>
    </row>
    <row r="1240" spans="2:11" ht="13.5" customHeight="1">
      <c r="B1240" s="209" t="s">
        <v>293</v>
      </c>
      <c r="C1240" s="209" t="s">
        <v>2517</v>
      </c>
      <c r="D1240" s="451" t="s">
        <v>138</v>
      </c>
      <c r="E1240" s="273">
        <v>0</v>
      </c>
      <c r="F1240" s="274"/>
      <c r="G1240" s="274">
        <f t="shared" si="4"/>
        <v>0</v>
      </c>
      <c r="H1240" s="274">
        <v>0</v>
      </c>
      <c r="K1240" s="274"/>
    </row>
    <row r="1241" spans="2:11" ht="13.5" customHeight="1">
      <c r="B1241" s="209" t="s">
        <v>293</v>
      </c>
      <c r="C1241" s="209" t="s">
        <v>2517</v>
      </c>
      <c r="D1241" s="452" t="s">
        <v>139</v>
      </c>
      <c r="E1241" s="273">
        <v>0</v>
      </c>
      <c r="F1241" s="274"/>
      <c r="G1241" s="274">
        <f t="shared" si="4"/>
        <v>0</v>
      </c>
      <c r="H1241" s="274">
        <v>0</v>
      </c>
      <c r="K1241" s="274"/>
    </row>
    <row r="1242" spans="2:11" ht="13.5" customHeight="1">
      <c r="B1242" s="209" t="s">
        <v>293</v>
      </c>
      <c r="C1242" s="209" t="s">
        <v>2517</v>
      </c>
      <c r="D1242" s="216" t="s">
        <v>140</v>
      </c>
      <c r="E1242" s="273">
        <v>0</v>
      </c>
      <c r="F1242" s="274"/>
      <c r="G1242" s="274">
        <f t="shared" si="4"/>
        <v>0</v>
      </c>
      <c r="H1242" s="274">
        <v>0</v>
      </c>
      <c r="K1242" s="274"/>
    </row>
    <row r="1243" spans="2:11" ht="13.5" customHeight="1">
      <c r="B1243" s="209" t="s">
        <v>293</v>
      </c>
      <c r="C1243" s="209" t="s">
        <v>2517</v>
      </c>
      <c r="D1243" s="453" t="s">
        <v>141</v>
      </c>
      <c r="E1243" s="273">
        <v>0</v>
      </c>
      <c r="F1243" s="274"/>
      <c r="G1243" s="274">
        <f t="shared" si="4"/>
        <v>0</v>
      </c>
      <c r="H1243" s="274">
        <v>0</v>
      </c>
      <c r="K1243" s="274"/>
    </row>
    <row r="1244" spans="2:11" ht="13.5" customHeight="1">
      <c r="B1244" s="209" t="s">
        <v>962</v>
      </c>
      <c r="C1244" s="209" t="s">
        <v>2518</v>
      </c>
      <c r="D1244" s="446" t="s">
        <v>133</v>
      </c>
      <c r="E1244" s="273">
        <v>0</v>
      </c>
      <c r="F1244" s="274"/>
      <c r="G1244" s="274">
        <f t="shared" si="4"/>
        <v>0</v>
      </c>
      <c r="H1244" s="274">
        <v>0</v>
      </c>
      <c r="K1244" s="274"/>
    </row>
    <row r="1245" spans="2:11" ht="13.5" customHeight="1">
      <c r="B1245" s="209" t="s">
        <v>962</v>
      </c>
      <c r="C1245" s="209" t="s">
        <v>2518</v>
      </c>
      <c r="D1245" s="447" t="s">
        <v>134</v>
      </c>
      <c r="E1245" s="273">
        <v>0</v>
      </c>
      <c r="F1245" s="274"/>
      <c r="G1245" s="274">
        <f t="shared" si="4"/>
        <v>0</v>
      </c>
      <c r="H1245" s="274">
        <v>0</v>
      </c>
      <c r="K1245" s="274"/>
    </row>
    <row r="1246" spans="2:11" ht="13.5" customHeight="1">
      <c r="B1246" s="209" t="s">
        <v>962</v>
      </c>
      <c r="C1246" s="209" t="s">
        <v>2518</v>
      </c>
      <c r="D1246" s="448" t="s">
        <v>135</v>
      </c>
      <c r="E1246" s="273">
        <v>0</v>
      </c>
      <c r="F1246" s="274"/>
      <c r="G1246" s="274">
        <f t="shared" si="4"/>
        <v>0</v>
      </c>
      <c r="H1246" s="274">
        <v>0</v>
      </c>
      <c r="K1246" s="274"/>
    </row>
    <row r="1247" spans="2:11" ht="13.5" customHeight="1">
      <c r="B1247" s="209" t="s">
        <v>962</v>
      </c>
      <c r="C1247" s="209" t="s">
        <v>2518</v>
      </c>
      <c r="D1247" s="449" t="s">
        <v>136</v>
      </c>
      <c r="E1247" s="273">
        <v>0</v>
      </c>
      <c r="F1247" s="274"/>
      <c r="G1247" s="274">
        <f t="shared" si="4"/>
        <v>0</v>
      </c>
      <c r="H1247" s="274">
        <v>0</v>
      </c>
      <c r="K1247" s="274"/>
    </row>
    <row r="1248" spans="2:11" ht="13.5" customHeight="1">
      <c r="B1248" s="209" t="s">
        <v>962</v>
      </c>
      <c r="C1248" s="209" t="s">
        <v>2518</v>
      </c>
      <c r="D1248" s="450" t="s">
        <v>137</v>
      </c>
      <c r="E1248" s="273">
        <v>0</v>
      </c>
      <c r="F1248" s="274"/>
      <c r="G1248" s="274">
        <f t="shared" si="4"/>
        <v>0</v>
      </c>
      <c r="H1248" s="274">
        <v>0</v>
      </c>
      <c r="K1248" s="274"/>
    </row>
    <row r="1249" spans="2:11" ht="13.5" customHeight="1">
      <c r="B1249" s="209" t="s">
        <v>962</v>
      </c>
      <c r="C1249" s="209" t="s">
        <v>2518</v>
      </c>
      <c r="D1249" s="451" t="s">
        <v>138</v>
      </c>
      <c r="E1249" s="273">
        <v>0</v>
      </c>
      <c r="F1249" s="274"/>
      <c r="G1249" s="274">
        <f t="shared" si="4"/>
        <v>0</v>
      </c>
      <c r="H1249" s="274">
        <v>0</v>
      </c>
      <c r="K1249" s="274"/>
    </row>
    <row r="1250" spans="2:11" ht="13.5" customHeight="1">
      <c r="B1250" s="209" t="s">
        <v>962</v>
      </c>
      <c r="C1250" s="209" t="s">
        <v>2518</v>
      </c>
      <c r="D1250" s="452" t="s">
        <v>139</v>
      </c>
      <c r="E1250" s="273">
        <v>0</v>
      </c>
      <c r="F1250" s="274"/>
      <c r="G1250" s="274">
        <f t="shared" si="4"/>
        <v>0</v>
      </c>
      <c r="H1250" s="274">
        <v>0</v>
      </c>
      <c r="K1250" s="274"/>
    </row>
    <row r="1251" spans="2:11" ht="13.5" customHeight="1">
      <c r="B1251" s="209" t="s">
        <v>962</v>
      </c>
      <c r="C1251" s="209" t="s">
        <v>2518</v>
      </c>
      <c r="D1251" s="216" t="s">
        <v>140</v>
      </c>
      <c r="E1251" s="273">
        <v>0</v>
      </c>
      <c r="F1251" s="274"/>
      <c r="G1251" s="274">
        <f t="shared" si="4"/>
        <v>0</v>
      </c>
      <c r="H1251" s="274">
        <v>0</v>
      </c>
      <c r="K1251" s="274"/>
    </row>
    <row r="1252" spans="2:11" ht="13.5" customHeight="1">
      <c r="B1252" s="209" t="s">
        <v>962</v>
      </c>
      <c r="C1252" s="209" t="s">
        <v>2518</v>
      </c>
      <c r="D1252" s="453" t="s">
        <v>141</v>
      </c>
      <c r="E1252" s="273">
        <v>0</v>
      </c>
      <c r="F1252" s="274"/>
      <c r="G1252" s="274">
        <f t="shared" si="4"/>
        <v>0</v>
      </c>
      <c r="H1252" s="274">
        <v>0</v>
      </c>
      <c r="K1252" s="274"/>
    </row>
    <row r="1253" spans="2:11" ht="13.5" customHeight="1">
      <c r="B1253" s="209" t="s">
        <v>1147</v>
      </c>
      <c r="C1253" s="209" t="s">
        <v>2519</v>
      </c>
      <c r="D1253" s="446" t="s">
        <v>133</v>
      </c>
      <c r="E1253" s="273">
        <v>0</v>
      </c>
      <c r="F1253" s="274"/>
      <c r="G1253" s="274">
        <f t="shared" si="4"/>
        <v>0</v>
      </c>
      <c r="H1253" s="274">
        <v>0</v>
      </c>
      <c r="K1253" s="274"/>
    </row>
    <row r="1254" spans="2:11" ht="13.5" customHeight="1">
      <c r="B1254" s="209" t="s">
        <v>1147</v>
      </c>
      <c r="C1254" s="209" t="s">
        <v>2519</v>
      </c>
      <c r="D1254" s="447" t="s">
        <v>134</v>
      </c>
      <c r="E1254" s="273">
        <v>0</v>
      </c>
      <c r="F1254" s="274"/>
      <c r="G1254" s="274">
        <f t="shared" si="4"/>
        <v>0</v>
      </c>
      <c r="H1254" s="274">
        <v>0</v>
      </c>
      <c r="K1254" s="274"/>
    </row>
    <row r="1255" spans="2:11" ht="13.5" customHeight="1">
      <c r="B1255" s="209" t="s">
        <v>1147</v>
      </c>
      <c r="C1255" s="209" t="s">
        <v>2519</v>
      </c>
      <c r="D1255" s="448" t="s">
        <v>135</v>
      </c>
      <c r="E1255" s="273">
        <v>0</v>
      </c>
      <c r="F1255" s="274"/>
      <c r="G1255" s="274">
        <f t="shared" si="4"/>
        <v>0</v>
      </c>
      <c r="H1255" s="274">
        <v>0</v>
      </c>
      <c r="K1255" s="274"/>
    </row>
    <row r="1256" spans="2:11" ht="13.5" customHeight="1">
      <c r="B1256" s="209" t="s">
        <v>1147</v>
      </c>
      <c r="C1256" s="209" t="s">
        <v>2519</v>
      </c>
      <c r="D1256" s="449" t="s">
        <v>136</v>
      </c>
      <c r="E1256" s="273">
        <v>0</v>
      </c>
      <c r="F1256" s="274"/>
      <c r="G1256" s="274">
        <f t="shared" si="4"/>
        <v>0</v>
      </c>
      <c r="H1256" s="274">
        <v>0</v>
      </c>
      <c r="K1256" s="274"/>
    </row>
    <row r="1257" spans="2:11" ht="13.5" customHeight="1">
      <c r="B1257" s="209" t="s">
        <v>1147</v>
      </c>
      <c r="C1257" s="209" t="s">
        <v>2519</v>
      </c>
      <c r="D1257" s="450" t="s">
        <v>137</v>
      </c>
      <c r="E1257" s="273">
        <v>0</v>
      </c>
      <c r="F1257" s="274"/>
      <c r="G1257" s="274">
        <f t="shared" si="4"/>
        <v>0</v>
      </c>
      <c r="H1257" s="274">
        <v>0</v>
      </c>
      <c r="K1257" s="274"/>
    </row>
    <row r="1258" spans="2:11" ht="13.5" customHeight="1">
      <c r="B1258" s="209" t="s">
        <v>1147</v>
      </c>
      <c r="C1258" s="209" t="s">
        <v>2519</v>
      </c>
      <c r="D1258" s="451" t="s">
        <v>138</v>
      </c>
      <c r="E1258" s="273">
        <v>0</v>
      </c>
      <c r="F1258" s="274"/>
      <c r="G1258" s="274">
        <f t="shared" si="4"/>
        <v>0</v>
      </c>
      <c r="H1258" s="274">
        <v>0</v>
      </c>
      <c r="K1258" s="274"/>
    </row>
    <row r="1259" spans="2:11" ht="13.5" customHeight="1">
      <c r="B1259" s="209" t="s">
        <v>1147</v>
      </c>
      <c r="C1259" s="209" t="s">
        <v>2519</v>
      </c>
      <c r="D1259" s="452" t="s">
        <v>139</v>
      </c>
      <c r="E1259" s="273">
        <v>0</v>
      </c>
      <c r="F1259" s="274"/>
      <c r="G1259" s="274">
        <f t="shared" si="4"/>
        <v>0</v>
      </c>
      <c r="H1259" s="274">
        <v>0</v>
      </c>
      <c r="K1259" s="274"/>
    </row>
    <row r="1260" spans="2:11" ht="13.5" customHeight="1">
      <c r="B1260" s="209" t="s">
        <v>1147</v>
      </c>
      <c r="C1260" s="209" t="s">
        <v>2519</v>
      </c>
      <c r="D1260" s="216" t="s">
        <v>140</v>
      </c>
      <c r="E1260" s="273">
        <v>0</v>
      </c>
      <c r="F1260" s="274"/>
      <c r="G1260" s="274">
        <f t="shared" si="4"/>
        <v>0</v>
      </c>
      <c r="H1260" s="274">
        <v>0</v>
      </c>
      <c r="K1260" s="274"/>
    </row>
    <row r="1261" spans="2:11" ht="13.5" customHeight="1">
      <c r="B1261" s="209" t="s">
        <v>1147</v>
      </c>
      <c r="C1261" s="209" t="s">
        <v>2519</v>
      </c>
      <c r="D1261" s="453" t="s">
        <v>141</v>
      </c>
      <c r="E1261" s="273">
        <v>0</v>
      </c>
      <c r="F1261" s="274"/>
      <c r="G1261" s="274">
        <f t="shared" si="4"/>
        <v>0</v>
      </c>
      <c r="H1261" s="274">
        <v>0</v>
      </c>
      <c r="K1261" s="274"/>
    </row>
    <row r="1262" spans="2:11" ht="13.5" customHeight="1">
      <c r="B1262" s="209" t="s">
        <v>741</v>
      </c>
      <c r="C1262" s="209" t="s">
        <v>2520</v>
      </c>
      <c r="D1262" s="446" t="s">
        <v>133</v>
      </c>
      <c r="E1262" s="273">
        <v>0</v>
      </c>
      <c r="F1262" s="274"/>
      <c r="G1262" s="274">
        <f t="shared" si="4"/>
        <v>0</v>
      </c>
      <c r="H1262" s="274">
        <v>0</v>
      </c>
      <c r="K1262" s="274"/>
    </row>
    <row r="1263" spans="2:11" ht="13.5" customHeight="1">
      <c r="B1263" s="209" t="s">
        <v>741</v>
      </c>
      <c r="C1263" s="209" t="s">
        <v>2520</v>
      </c>
      <c r="D1263" s="447" t="s">
        <v>134</v>
      </c>
      <c r="E1263" s="273">
        <v>0</v>
      </c>
      <c r="F1263" s="274"/>
      <c r="G1263" s="274">
        <f t="shared" si="4"/>
        <v>0</v>
      </c>
      <c r="H1263" s="274">
        <v>0</v>
      </c>
      <c r="K1263" s="274"/>
    </row>
    <row r="1264" spans="2:11" ht="13.5" customHeight="1">
      <c r="B1264" s="209" t="s">
        <v>741</v>
      </c>
      <c r="C1264" s="209" t="s">
        <v>2520</v>
      </c>
      <c r="D1264" s="448" t="s">
        <v>135</v>
      </c>
      <c r="E1264" s="273">
        <v>0</v>
      </c>
      <c r="F1264" s="274"/>
      <c r="G1264" s="274">
        <f t="shared" si="4"/>
        <v>0</v>
      </c>
      <c r="H1264" s="274">
        <v>0</v>
      </c>
      <c r="K1264" s="274"/>
    </row>
    <row r="1265" spans="2:11" ht="13.5" customHeight="1">
      <c r="B1265" s="209" t="s">
        <v>741</v>
      </c>
      <c r="C1265" s="209" t="s">
        <v>2520</v>
      </c>
      <c r="D1265" s="449" t="s">
        <v>136</v>
      </c>
      <c r="E1265" s="273">
        <v>0</v>
      </c>
      <c r="F1265" s="274"/>
      <c r="G1265" s="274">
        <f t="shared" si="4"/>
        <v>0</v>
      </c>
      <c r="H1265" s="274">
        <v>0</v>
      </c>
      <c r="K1265" s="274"/>
    </row>
    <row r="1266" spans="2:11" ht="13.5" customHeight="1">
      <c r="B1266" s="209" t="s">
        <v>741</v>
      </c>
      <c r="C1266" s="209" t="s">
        <v>2520</v>
      </c>
      <c r="D1266" s="450" t="s">
        <v>137</v>
      </c>
      <c r="E1266" s="273">
        <v>0</v>
      </c>
      <c r="F1266" s="274"/>
      <c r="G1266" s="274">
        <f t="shared" si="4"/>
        <v>0</v>
      </c>
      <c r="H1266" s="274">
        <v>0</v>
      </c>
      <c r="K1266" s="274"/>
    </row>
    <row r="1267" spans="2:11" ht="13.5" customHeight="1">
      <c r="B1267" s="209" t="s">
        <v>741</v>
      </c>
      <c r="C1267" s="209" t="s">
        <v>2520</v>
      </c>
      <c r="D1267" s="451" t="s">
        <v>138</v>
      </c>
      <c r="E1267" s="273">
        <v>0</v>
      </c>
      <c r="F1267" s="274"/>
      <c r="G1267" s="274">
        <f t="shared" si="4"/>
        <v>0</v>
      </c>
      <c r="H1267" s="274">
        <v>0</v>
      </c>
      <c r="K1267" s="274"/>
    </row>
    <row r="1268" spans="2:11" ht="13.5" customHeight="1">
      <c r="B1268" s="209" t="s">
        <v>741</v>
      </c>
      <c r="C1268" s="209" t="s">
        <v>2520</v>
      </c>
      <c r="D1268" s="452" t="s">
        <v>139</v>
      </c>
      <c r="E1268" s="273">
        <v>0</v>
      </c>
      <c r="F1268" s="274"/>
      <c r="G1268" s="274">
        <f t="shared" si="4"/>
        <v>0</v>
      </c>
      <c r="H1268" s="274">
        <v>0</v>
      </c>
      <c r="K1268" s="274"/>
    </row>
    <row r="1269" spans="2:11" ht="13.5" customHeight="1">
      <c r="B1269" s="209" t="s">
        <v>741</v>
      </c>
      <c r="C1269" s="209" t="s">
        <v>2520</v>
      </c>
      <c r="D1269" s="216" t="s">
        <v>140</v>
      </c>
      <c r="E1269" s="273">
        <v>0</v>
      </c>
      <c r="F1269" s="274"/>
      <c r="G1269" s="274">
        <f t="shared" si="4"/>
        <v>0</v>
      </c>
      <c r="H1269" s="274">
        <v>0</v>
      </c>
      <c r="K1269" s="274"/>
    </row>
    <row r="1270" spans="2:11" ht="13.5" customHeight="1">
      <c r="B1270" s="209" t="s">
        <v>741</v>
      </c>
      <c r="C1270" s="209" t="s">
        <v>2520</v>
      </c>
      <c r="D1270" s="453" t="s">
        <v>141</v>
      </c>
      <c r="E1270" s="273">
        <v>0</v>
      </c>
      <c r="F1270" s="274"/>
      <c r="G1270" s="274">
        <f t="shared" si="4"/>
        <v>0</v>
      </c>
      <c r="H1270" s="274">
        <v>0</v>
      </c>
      <c r="K1270" s="274"/>
    </row>
    <row r="1271" spans="2:11" ht="13.5" customHeight="1">
      <c r="B1271" s="209" t="s">
        <v>1004</v>
      </c>
      <c r="C1271" s="209" t="s">
        <v>2521</v>
      </c>
      <c r="D1271" s="446" t="s">
        <v>133</v>
      </c>
      <c r="E1271" s="273">
        <v>0</v>
      </c>
      <c r="F1271" s="274"/>
      <c r="G1271" s="274">
        <f t="shared" si="4"/>
        <v>0</v>
      </c>
      <c r="H1271" s="274">
        <v>0</v>
      </c>
      <c r="K1271" s="274"/>
    </row>
    <row r="1272" spans="2:11" ht="13.5" customHeight="1">
      <c r="B1272" s="209" t="s">
        <v>1004</v>
      </c>
      <c r="C1272" s="209" t="s">
        <v>2521</v>
      </c>
      <c r="D1272" s="447" t="s">
        <v>134</v>
      </c>
      <c r="E1272" s="273">
        <v>0</v>
      </c>
      <c r="F1272" s="274"/>
      <c r="G1272" s="274">
        <f t="shared" si="4"/>
        <v>0</v>
      </c>
      <c r="H1272" s="274">
        <v>0</v>
      </c>
      <c r="K1272" s="274"/>
    </row>
    <row r="1273" spans="2:11" ht="13.5" customHeight="1">
      <c r="B1273" s="209" t="s">
        <v>1004</v>
      </c>
      <c r="C1273" s="209" t="s">
        <v>2521</v>
      </c>
      <c r="D1273" s="448" t="s">
        <v>135</v>
      </c>
      <c r="E1273" s="273">
        <v>0</v>
      </c>
      <c r="F1273" s="274"/>
      <c r="G1273" s="274">
        <f t="shared" si="4"/>
        <v>0</v>
      </c>
      <c r="H1273" s="274">
        <v>0</v>
      </c>
      <c r="K1273" s="274"/>
    </row>
    <row r="1274" spans="2:11" ht="13.5" customHeight="1">
      <c r="B1274" s="209" t="s">
        <v>1004</v>
      </c>
      <c r="C1274" s="209" t="s">
        <v>2521</v>
      </c>
      <c r="D1274" s="449" t="s">
        <v>136</v>
      </c>
      <c r="E1274" s="273">
        <v>0</v>
      </c>
      <c r="F1274" s="274"/>
      <c r="G1274" s="274">
        <f t="shared" si="4"/>
        <v>0</v>
      </c>
      <c r="H1274" s="274">
        <v>0</v>
      </c>
      <c r="K1274" s="274"/>
    </row>
    <row r="1275" spans="2:11" ht="13.5" customHeight="1">
      <c r="B1275" s="209" t="s">
        <v>1004</v>
      </c>
      <c r="C1275" s="209" t="s">
        <v>2521</v>
      </c>
      <c r="D1275" s="450" t="s">
        <v>137</v>
      </c>
      <c r="E1275" s="273">
        <v>0</v>
      </c>
      <c r="F1275" s="274"/>
      <c r="G1275" s="274">
        <f t="shared" si="4"/>
        <v>0</v>
      </c>
      <c r="H1275" s="274">
        <v>0</v>
      </c>
      <c r="K1275" s="274"/>
    </row>
    <row r="1276" spans="2:11" ht="13.5" customHeight="1">
      <c r="B1276" s="209" t="s">
        <v>1004</v>
      </c>
      <c r="C1276" s="209" t="s">
        <v>2521</v>
      </c>
      <c r="D1276" s="451" t="s">
        <v>138</v>
      </c>
      <c r="E1276" s="273">
        <v>0</v>
      </c>
      <c r="F1276" s="274"/>
      <c r="G1276" s="274">
        <f t="shared" si="4"/>
        <v>0</v>
      </c>
      <c r="H1276" s="274">
        <v>0</v>
      </c>
      <c r="K1276" s="274"/>
    </row>
    <row r="1277" spans="2:11" ht="13.5" customHeight="1">
      <c r="B1277" s="209" t="s">
        <v>1004</v>
      </c>
      <c r="C1277" s="209" t="s">
        <v>2521</v>
      </c>
      <c r="D1277" s="452" t="s">
        <v>139</v>
      </c>
      <c r="E1277" s="273">
        <v>0</v>
      </c>
      <c r="F1277" s="274"/>
      <c r="G1277" s="274">
        <f t="shared" ref="G1277:G1531" si="5">E1277*F1277</f>
        <v>0</v>
      </c>
      <c r="H1277" s="274">
        <v>0</v>
      </c>
      <c r="K1277" s="274"/>
    </row>
    <row r="1278" spans="2:11" ht="13.5" customHeight="1">
      <c r="B1278" s="209" t="s">
        <v>1004</v>
      </c>
      <c r="C1278" s="209" t="s">
        <v>2521</v>
      </c>
      <c r="D1278" s="216" t="s">
        <v>140</v>
      </c>
      <c r="E1278" s="273">
        <v>0</v>
      </c>
      <c r="F1278" s="274"/>
      <c r="G1278" s="274">
        <f t="shared" si="5"/>
        <v>0</v>
      </c>
      <c r="H1278" s="274">
        <v>0</v>
      </c>
      <c r="K1278" s="274"/>
    </row>
    <row r="1279" spans="2:11" ht="13.5" customHeight="1">
      <c r="B1279" s="209" t="s">
        <v>1004</v>
      </c>
      <c r="C1279" s="209" t="s">
        <v>2521</v>
      </c>
      <c r="D1279" s="453" t="s">
        <v>141</v>
      </c>
      <c r="E1279" s="273">
        <v>0</v>
      </c>
      <c r="F1279" s="274"/>
      <c r="G1279" s="274">
        <f t="shared" si="5"/>
        <v>0</v>
      </c>
      <c r="H1279" s="274">
        <v>0</v>
      </c>
      <c r="K1279" s="274"/>
    </row>
    <row r="1280" spans="2:11" ht="13.5" customHeight="1">
      <c r="B1280" s="209" t="s">
        <v>1006</v>
      </c>
      <c r="C1280" s="209" t="s">
        <v>2522</v>
      </c>
      <c r="D1280" s="446" t="s">
        <v>133</v>
      </c>
      <c r="E1280" s="273">
        <v>0</v>
      </c>
      <c r="F1280" s="274"/>
      <c r="G1280" s="274">
        <f t="shared" si="5"/>
        <v>0</v>
      </c>
      <c r="H1280" s="274">
        <v>0</v>
      </c>
      <c r="K1280" s="274"/>
    </row>
    <row r="1281" spans="2:11" ht="13.5" customHeight="1">
      <c r="B1281" s="209" t="s">
        <v>1006</v>
      </c>
      <c r="C1281" s="209" t="s">
        <v>2522</v>
      </c>
      <c r="D1281" s="447" t="s">
        <v>134</v>
      </c>
      <c r="E1281" s="273">
        <v>0</v>
      </c>
      <c r="F1281" s="274"/>
      <c r="G1281" s="274">
        <f t="shared" si="5"/>
        <v>0</v>
      </c>
      <c r="H1281" s="274">
        <v>0</v>
      </c>
      <c r="K1281" s="274"/>
    </row>
    <row r="1282" spans="2:11" ht="13.5" customHeight="1">
      <c r="B1282" s="209" t="s">
        <v>1006</v>
      </c>
      <c r="C1282" s="209" t="s">
        <v>2522</v>
      </c>
      <c r="D1282" s="448" t="s">
        <v>135</v>
      </c>
      <c r="E1282" s="273">
        <v>0</v>
      </c>
      <c r="F1282" s="274"/>
      <c r="G1282" s="274">
        <f t="shared" si="5"/>
        <v>0</v>
      </c>
      <c r="H1282" s="274">
        <v>0</v>
      </c>
      <c r="K1282" s="274"/>
    </row>
    <row r="1283" spans="2:11" ht="13.5" customHeight="1">
      <c r="B1283" s="209" t="s">
        <v>1006</v>
      </c>
      <c r="C1283" s="209" t="s">
        <v>2522</v>
      </c>
      <c r="D1283" s="449" t="s">
        <v>136</v>
      </c>
      <c r="E1283" s="273">
        <v>0</v>
      </c>
      <c r="F1283" s="274"/>
      <c r="G1283" s="274">
        <f t="shared" si="5"/>
        <v>0</v>
      </c>
      <c r="H1283" s="274">
        <v>0</v>
      </c>
      <c r="K1283" s="274"/>
    </row>
    <row r="1284" spans="2:11" ht="13.5" customHeight="1">
      <c r="B1284" s="209" t="s">
        <v>1006</v>
      </c>
      <c r="C1284" s="209" t="s">
        <v>2522</v>
      </c>
      <c r="D1284" s="450" t="s">
        <v>137</v>
      </c>
      <c r="E1284" s="273">
        <v>0</v>
      </c>
      <c r="F1284" s="274"/>
      <c r="G1284" s="274">
        <f t="shared" si="5"/>
        <v>0</v>
      </c>
      <c r="H1284" s="274">
        <v>0</v>
      </c>
      <c r="K1284" s="274"/>
    </row>
    <row r="1285" spans="2:11" ht="13.5" customHeight="1">
      <c r="B1285" s="209" t="s">
        <v>1006</v>
      </c>
      <c r="C1285" s="209" t="s">
        <v>2522</v>
      </c>
      <c r="D1285" s="451" t="s">
        <v>138</v>
      </c>
      <c r="E1285" s="273">
        <v>0</v>
      </c>
      <c r="F1285" s="274"/>
      <c r="G1285" s="274">
        <f t="shared" si="5"/>
        <v>0</v>
      </c>
      <c r="H1285" s="274">
        <v>0</v>
      </c>
      <c r="K1285" s="274"/>
    </row>
    <row r="1286" spans="2:11" ht="13.5" customHeight="1">
      <c r="B1286" s="209" t="s">
        <v>1006</v>
      </c>
      <c r="C1286" s="209" t="s">
        <v>2522</v>
      </c>
      <c r="D1286" s="452" t="s">
        <v>139</v>
      </c>
      <c r="E1286" s="273">
        <v>0</v>
      </c>
      <c r="F1286" s="274"/>
      <c r="G1286" s="274">
        <f t="shared" si="5"/>
        <v>0</v>
      </c>
      <c r="H1286" s="274">
        <v>0</v>
      </c>
      <c r="K1286" s="274"/>
    </row>
    <row r="1287" spans="2:11" ht="13.5" customHeight="1">
      <c r="B1287" s="209" t="s">
        <v>1006</v>
      </c>
      <c r="C1287" s="209" t="s">
        <v>2522</v>
      </c>
      <c r="D1287" s="216" t="s">
        <v>140</v>
      </c>
      <c r="E1287" s="273">
        <v>0</v>
      </c>
      <c r="F1287" s="274"/>
      <c r="G1287" s="274">
        <f t="shared" si="5"/>
        <v>0</v>
      </c>
      <c r="H1287" s="274">
        <v>0</v>
      </c>
      <c r="K1287" s="274"/>
    </row>
    <row r="1288" spans="2:11" ht="13.5" customHeight="1">
      <c r="B1288" s="209" t="s">
        <v>1006</v>
      </c>
      <c r="C1288" s="209" t="s">
        <v>2522</v>
      </c>
      <c r="D1288" s="453" t="s">
        <v>141</v>
      </c>
      <c r="E1288" s="273">
        <v>0</v>
      </c>
      <c r="F1288" s="274"/>
      <c r="G1288" s="274">
        <f t="shared" si="5"/>
        <v>0</v>
      </c>
      <c r="H1288" s="274">
        <v>0</v>
      </c>
      <c r="K1288" s="274"/>
    </row>
    <row r="1289" spans="2:11" ht="13.5" customHeight="1">
      <c r="B1289" s="209" t="s">
        <v>942</v>
      </c>
      <c r="C1289" s="209" t="s">
        <v>2523</v>
      </c>
      <c r="D1289" s="446" t="s">
        <v>133</v>
      </c>
      <c r="E1289" s="273">
        <v>0</v>
      </c>
      <c r="F1289" s="274"/>
      <c r="G1289" s="274">
        <f t="shared" si="5"/>
        <v>0</v>
      </c>
      <c r="H1289" s="274">
        <v>0</v>
      </c>
      <c r="K1289" s="274"/>
    </row>
    <row r="1290" spans="2:11" ht="13.5" customHeight="1">
      <c r="B1290" s="209" t="s">
        <v>942</v>
      </c>
      <c r="C1290" s="209" t="s">
        <v>2523</v>
      </c>
      <c r="D1290" s="447" t="s">
        <v>134</v>
      </c>
      <c r="E1290" s="273">
        <v>0</v>
      </c>
      <c r="F1290" s="274"/>
      <c r="G1290" s="274">
        <f t="shared" si="5"/>
        <v>0</v>
      </c>
      <c r="H1290" s="274">
        <v>0</v>
      </c>
      <c r="K1290" s="274"/>
    </row>
    <row r="1291" spans="2:11" ht="13.5" customHeight="1">
      <c r="B1291" s="209" t="s">
        <v>942</v>
      </c>
      <c r="C1291" s="209" t="s">
        <v>2523</v>
      </c>
      <c r="D1291" s="448" t="s">
        <v>135</v>
      </c>
      <c r="E1291" s="273">
        <v>0</v>
      </c>
      <c r="F1291" s="274"/>
      <c r="G1291" s="274">
        <f t="shared" si="5"/>
        <v>0</v>
      </c>
      <c r="H1291" s="274">
        <v>0</v>
      </c>
      <c r="K1291" s="274"/>
    </row>
    <row r="1292" spans="2:11" ht="13.5" customHeight="1">
      <c r="B1292" s="209" t="s">
        <v>942</v>
      </c>
      <c r="C1292" s="209" t="s">
        <v>2523</v>
      </c>
      <c r="D1292" s="449" t="s">
        <v>136</v>
      </c>
      <c r="E1292" s="273">
        <v>0</v>
      </c>
      <c r="F1292" s="274"/>
      <c r="G1292" s="274">
        <f t="shared" si="5"/>
        <v>0</v>
      </c>
      <c r="H1292" s="274">
        <v>0</v>
      </c>
      <c r="K1292" s="274"/>
    </row>
    <row r="1293" spans="2:11" ht="13.5" customHeight="1">
      <c r="B1293" s="209" t="s">
        <v>942</v>
      </c>
      <c r="C1293" s="209" t="s">
        <v>2523</v>
      </c>
      <c r="D1293" s="450" t="s">
        <v>137</v>
      </c>
      <c r="E1293" s="273">
        <v>0</v>
      </c>
      <c r="F1293" s="274"/>
      <c r="G1293" s="274">
        <f t="shared" si="5"/>
        <v>0</v>
      </c>
      <c r="H1293" s="274">
        <v>0</v>
      </c>
      <c r="K1293" s="274"/>
    </row>
    <row r="1294" spans="2:11" ht="13.5" customHeight="1">
      <c r="B1294" s="209" t="s">
        <v>942</v>
      </c>
      <c r="C1294" s="209" t="s">
        <v>2523</v>
      </c>
      <c r="D1294" s="451" t="s">
        <v>138</v>
      </c>
      <c r="E1294" s="273">
        <v>0</v>
      </c>
      <c r="F1294" s="274"/>
      <c r="G1294" s="274">
        <f t="shared" si="5"/>
        <v>0</v>
      </c>
      <c r="H1294" s="274">
        <v>0</v>
      </c>
      <c r="K1294" s="274"/>
    </row>
    <row r="1295" spans="2:11" ht="13.5" customHeight="1">
      <c r="B1295" s="209" t="s">
        <v>942</v>
      </c>
      <c r="C1295" s="209" t="s">
        <v>2523</v>
      </c>
      <c r="D1295" s="452" t="s">
        <v>139</v>
      </c>
      <c r="E1295" s="273">
        <v>0</v>
      </c>
      <c r="F1295" s="274"/>
      <c r="G1295" s="274">
        <f t="shared" si="5"/>
        <v>0</v>
      </c>
      <c r="H1295" s="274">
        <v>0</v>
      </c>
      <c r="K1295" s="274"/>
    </row>
    <row r="1296" spans="2:11" ht="13.5" customHeight="1">
      <c r="B1296" s="209" t="s">
        <v>942</v>
      </c>
      <c r="C1296" s="209" t="s">
        <v>2523</v>
      </c>
      <c r="D1296" s="216" t="s">
        <v>140</v>
      </c>
      <c r="E1296" s="273">
        <v>0</v>
      </c>
      <c r="F1296" s="274"/>
      <c r="G1296" s="274">
        <f t="shared" si="5"/>
        <v>0</v>
      </c>
      <c r="H1296" s="274">
        <v>0</v>
      </c>
      <c r="K1296" s="274"/>
    </row>
    <row r="1297" spans="2:11" ht="13.5" customHeight="1">
      <c r="B1297" s="209" t="s">
        <v>942</v>
      </c>
      <c r="C1297" s="209" t="s">
        <v>2523</v>
      </c>
      <c r="D1297" s="453" t="s">
        <v>141</v>
      </c>
      <c r="E1297" s="273">
        <v>0</v>
      </c>
      <c r="F1297" s="274"/>
      <c r="G1297" s="274">
        <f t="shared" si="5"/>
        <v>0</v>
      </c>
      <c r="H1297" s="274">
        <v>0</v>
      </c>
      <c r="K1297" s="274"/>
    </row>
    <row r="1298" spans="2:11" ht="13.5" customHeight="1">
      <c r="B1298" s="209" t="s">
        <v>235</v>
      </c>
      <c r="C1298" s="209" t="s">
        <v>2524</v>
      </c>
      <c r="D1298" s="446" t="s">
        <v>133</v>
      </c>
      <c r="E1298" s="273">
        <v>0</v>
      </c>
      <c r="F1298" s="274"/>
      <c r="G1298" s="274">
        <f t="shared" si="5"/>
        <v>0</v>
      </c>
      <c r="H1298" s="274">
        <v>0</v>
      </c>
      <c r="K1298" s="274"/>
    </row>
    <row r="1299" spans="2:11" ht="13.5" customHeight="1">
      <c r="B1299" s="209" t="s">
        <v>235</v>
      </c>
      <c r="C1299" s="209" t="s">
        <v>2524</v>
      </c>
      <c r="D1299" s="447" t="s">
        <v>134</v>
      </c>
      <c r="E1299" s="273">
        <v>0</v>
      </c>
      <c r="F1299" s="274"/>
      <c r="G1299" s="274">
        <f t="shared" si="5"/>
        <v>0</v>
      </c>
      <c r="H1299" s="274">
        <v>0</v>
      </c>
      <c r="K1299" s="274"/>
    </row>
    <row r="1300" spans="2:11" ht="13.5" customHeight="1">
      <c r="B1300" s="209" t="s">
        <v>235</v>
      </c>
      <c r="C1300" s="209" t="s">
        <v>2524</v>
      </c>
      <c r="D1300" s="448" t="s">
        <v>135</v>
      </c>
      <c r="E1300" s="273">
        <v>0</v>
      </c>
      <c r="F1300" s="274"/>
      <c r="G1300" s="274">
        <f t="shared" si="5"/>
        <v>0</v>
      </c>
      <c r="H1300" s="274">
        <v>0</v>
      </c>
      <c r="K1300" s="274"/>
    </row>
    <row r="1301" spans="2:11" ht="13.5" customHeight="1">
      <c r="B1301" s="209" t="s">
        <v>235</v>
      </c>
      <c r="C1301" s="209" t="s">
        <v>2524</v>
      </c>
      <c r="D1301" s="449" t="s">
        <v>136</v>
      </c>
      <c r="E1301" s="273">
        <v>0</v>
      </c>
      <c r="F1301" s="274"/>
      <c r="G1301" s="274">
        <f t="shared" si="5"/>
        <v>0</v>
      </c>
      <c r="H1301" s="274">
        <v>0</v>
      </c>
      <c r="K1301" s="274"/>
    </row>
    <row r="1302" spans="2:11" ht="13.5" customHeight="1">
      <c r="B1302" s="209" t="s">
        <v>235</v>
      </c>
      <c r="C1302" s="209" t="s">
        <v>2524</v>
      </c>
      <c r="D1302" s="450" t="s">
        <v>137</v>
      </c>
      <c r="E1302" s="273">
        <v>0</v>
      </c>
      <c r="F1302" s="274"/>
      <c r="G1302" s="274">
        <f t="shared" si="5"/>
        <v>0</v>
      </c>
      <c r="H1302" s="274">
        <v>0</v>
      </c>
      <c r="K1302" s="274"/>
    </row>
    <row r="1303" spans="2:11" ht="13.5" customHeight="1">
      <c r="B1303" s="209" t="s">
        <v>235</v>
      </c>
      <c r="C1303" s="209" t="s">
        <v>2524</v>
      </c>
      <c r="D1303" s="451" t="s">
        <v>138</v>
      </c>
      <c r="E1303" s="273">
        <v>0</v>
      </c>
      <c r="F1303" s="274"/>
      <c r="G1303" s="274">
        <f t="shared" si="5"/>
        <v>0</v>
      </c>
      <c r="H1303" s="274">
        <v>0</v>
      </c>
      <c r="K1303" s="274"/>
    </row>
    <row r="1304" spans="2:11" ht="13.5" customHeight="1">
      <c r="B1304" s="209" t="s">
        <v>235</v>
      </c>
      <c r="C1304" s="209" t="s">
        <v>2524</v>
      </c>
      <c r="D1304" s="452" t="s">
        <v>139</v>
      </c>
      <c r="E1304" s="273">
        <v>0</v>
      </c>
      <c r="F1304" s="274"/>
      <c r="G1304" s="274">
        <f t="shared" si="5"/>
        <v>0</v>
      </c>
      <c r="H1304" s="274">
        <v>0</v>
      </c>
      <c r="K1304" s="274"/>
    </row>
    <row r="1305" spans="2:11" ht="13.5" customHeight="1">
      <c r="B1305" s="209" t="s">
        <v>235</v>
      </c>
      <c r="C1305" s="209" t="s">
        <v>2524</v>
      </c>
      <c r="D1305" s="216" t="s">
        <v>140</v>
      </c>
      <c r="E1305" s="273">
        <v>0</v>
      </c>
      <c r="F1305" s="274"/>
      <c r="G1305" s="274">
        <f t="shared" si="5"/>
        <v>0</v>
      </c>
      <c r="H1305" s="274">
        <v>0</v>
      </c>
      <c r="K1305" s="274"/>
    </row>
    <row r="1306" spans="2:11" ht="13.5" customHeight="1">
      <c r="B1306" s="209" t="s">
        <v>235</v>
      </c>
      <c r="C1306" s="209" t="s">
        <v>2524</v>
      </c>
      <c r="D1306" s="453" t="s">
        <v>141</v>
      </c>
      <c r="E1306" s="273">
        <v>0</v>
      </c>
      <c r="F1306" s="274"/>
      <c r="G1306" s="274">
        <f t="shared" si="5"/>
        <v>0</v>
      </c>
      <c r="H1306" s="274">
        <v>0</v>
      </c>
      <c r="K1306" s="274"/>
    </row>
    <row r="1307" spans="2:11" ht="13.5" customHeight="1">
      <c r="B1307" s="209" t="s">
        <v>217</v>
      </c>
      <c r="C1307" s="209" t="s">
        <v>2525</v>
      </c>
      <c r="D1307" s="446" t="s">
        <v>133</v>
      </c>
      <c r="E1307" s="273">
        <v>0</v>
      </c>
      <c r="F1307" s="274"/>
      <c r="G1307" s="274">
        <f t="shared" si="5"/>
        <v>0</v>
      </c>
      <c r="H1307" s="274">
        <v>0</v>
      </c>
      <c r="K1307" s="274"/>
    </row>
    <row r="1308" spans="2:11" ht="13.5" customHeight="1">
      <c r="B1308" s="209" t="s">
        <v>217</v>
      </c>
      <c r="C1308" s="209" t="s">
        <v>2525</v>
      </c>
      <c r="D1308" s="447" t="s">
        <v>134</v>
      </c>
      <c r="E1308" s="273">
        <v>0</v>
      </c>
      <c r="F1308" s="274"/>
      <c r="G1308" s="274">
        <f t="shared" si="5"/>
        <v>0</v>
      </c>
      <c r="H1308" s="274">
        <v>0</v>
      </c>
      <c r="K1308" s="274"/>
    </row>
    <row r="1309" spans="2:11" ht="13.5" customHeight="1">
      <c r="B1309" s="209" t="s">
        <v>217</v>
      </c>
      <c r="C1309" s="209" t="s">
        <v>2525</v>
      </c>
      <c r="D1309" s="448" t="s">
        <v>135</v>
      </c>
      <c r="E1309" s="273">
        <v>0</v>
      </c>
      <c r="F1309" s="274"/>
      <c r="G1309" s="274">
        <f t="shared" si="5"/>
        <v>0</v>
      </c>
      <c r="H1309" s="274">
        <v>0</v>
      </c>
      <c r="K1309" s="274"/>
    </row>
    <row r="1310" spans="2:11" ht="13.5" customHeight="1">
      <c r="B1310" s="209" t="s">
        <v>217</v>
      </c>
      <c r="C1310" s="209" t="s">
        <v>2525</v>
      </c>
      <c r="D1310" s="449" t="s">
        <v>136</v>
      </c>
      <c r="E1310" s="273">
        <v>0</v>
      </c>
      <c r="F1310" s="274"/>
      <c r="G1310" s="274">
        <f t="shared" si="5"/>
        <v>0</v>
      </c>
      <c r="H1310" s="274">
        <v>0</v>
      </c>
      <c r="K1310" s="274"/>
    </row>
    <row r="1311" spans="2:11" ht="13.5" customHeight="1">
      <c r="B1311" s="209" t="s">
        <v>217</v>
      </c>
      <c r="C1311" s="209" t="s">
        <v>2525</v>
      </c>
      <c r="D1311" s="450" t="s">
        <v>137</v>
      </c>
      <c r="E1311" s="273">
        <v>0</v>
      </c>
      <c r="F1311" s="274"/>
      <c r="G1311" s="274">
        <f t="shared" si="5"/>
        <v>0</v>
      </c>
      <c r="H1311" s="274">
        <v>0</v>
      </c>
      <c r="K1311" s="274"/>
    </row>
    <row r="1312" spans="2:11" ht="13.5" customHeight="1">
      <c r="B1312" s="209" t="s">
        <v>217</v>
      </c>
      <c r="C1312" s="209" t="s">
        <v>2525</v>
      </c>
      <c r="D1312" s="451" t="s">
        <v>138</v>
      </c>
      <c r="E1312" s="273">
        <v>0</v>
      </c>
      <c r="F1312" s="274"/>
      <c r="G1312" s="274">
        <f t="shared" si="5"/>
        <v>0</v>
      </c>
      <c r="H1312" s="274">
        <v>0</v>
      </c>
      <c r="K1312" s="274"/>
    </row>
    <row r="1313" spans="2:11" ht="13.5" customHeight="1">
      <c r="B1313" s="209" t="s">
        <v>217</v>
      </c>
      <c r="C1313" s="209" t="s">
        <v>2525</v>
      </c>
      <c r="D1313" s="452" t="s">
        <v>139</v>
      </c>
      <c r="E1313" s="273">
        <v>0</v>
      </c>
      <c r="F1313" s="274"/>
      <c r="G1313" s="274">
        <f t="shared" si="5"/>
        <v>0</v>
      </c>
      <c r="H1313" s="274">
        <v>0</v>
      </c>
      <c r="K1313" s="274"/>
    </row>
    <row r="1314" spans="2:11" ht="13.5" customHeight="1">
      <c r="B1314" s="209" t="s">
        <v>217</v>
      </c>
      <c r="C1314" s="209" t="s">
        <v>2525</v>
      </c>
      <c r="D1314" s="216" t="s">
        <v>140</v>
      </c>
      <c r="E1314" s="273">
        <v>0</v>
      </c>
      <c r="F1314" s="274"/>
      <c r="G1314" s="274">
        <f t="shared" si="5"/>
        <v>0</v>
      </c>
      <c r="H1314" s="274">
        <v>0</v>
      </c>
      <c r="K1314" s="274"/>
    </row>
    <row r="1315" spans="2:11" ht="13.5" customHeight="1">
      <c r="B1315" s="209" t="s">
        <v>217</v>
      </c>
      <c r="C1315" s="209" t="s">
        <v>2525</v>
      </c>
      <c r="D1315" s="453" t="s">
        <v>141</v>
      </c>
      <c r="E1315" s="273">
        <v>0</v>
      </c>
      <c r="F1315" s="274"/>
      <c r="G1315" s="274">
        <f t="shared" si="5"/>
        <v>0</v>
      </c>
      <c r="H1315" s="274">
        <v>0</v>
      </c>
      <c r="K1315" s="274"/>
    </row>
    <row r="1316" spans="2:11" ht="13.5" customHeight="1">
      <c r="B1316" s="209" t="s">
        <v>219</v>
      </c>
      <c r="C1316" s="209" t="s">
        <v>2526</v>
      </c>
      <c r="D1316" s="446" t="s">
        <v>133</v>
      </c>
      <c r="E1316" s="273">
        <v>0</v>
      </c>
      <c r="F1316" s="274"/>
      <c r="G1316" s="274">
        <f t="shared" si="5"/>
        <v>0</v>
      </c>
      <c r="H1316" s="274">
        <v>0</v>
      </c>
      <c r="K1316" s="274"/>
    </row>
    <row r="1317" spans="2:11" ht="13.5" customHeight="1">
      <c r="B1317" s="209" t="s">
        <v>219</v>
      </c>
      <c r="C1317" s="209" t="s">
        <v>2526</v>
      </c>
      <c r="D1317" s="447" t="s">
        <v>134</v>
      </c>
      <c r="E1317" s="273">
        <v>0</v>
      </c>
      <c r="F1317" s="274"/>
      <c r="G1317" s="274">
        <f t="shared" si="5"/>
        <v>0</v>
      </c>
      <c r="H1317" s="274">
        <v>0</v>
      </c>
      <c r="K1317" s="274"/>
    </row>
    <row r="1318" spans="2:11" ht="13.5" customHeight="1">
      <c r="B1318" s="209" t="s">
        <v>219</v>
      </c>
      <c r="C1318" s="209" t="s">
        <v>2526</v>
      </c>
      <c r="D1318" s="448" t="s">
        <v>135</v>
      </c>
      <c r="E1318" s="273">
        <v>0</v>
      </c>
      <c r="F1318" s="274"/>
      <c r="G1318" s="274">
        <f t="shared" si="5"/>
        <v>0</v>
      </c>
      <c r="H1318" s="274">
        <v>0</v>
      </c>
      <c r="K1318" s="274"/>
    </row>
    <row r="1319" spans="2:11" ht="13.5" customHeight="1">
      <c r="B1319" s="209" t="s">
        <v>219</v>
      </c>
      <c r="C1319" s="209" t="s">
        <v>2526</v>
      </c>
      <c r="D1319" s="449" t="s">
        <v>136</v>
      </c>
      <c r="E1319" s="273">
        <v>0</v>
      </c>
      <c r="F1319" s="274"/>
      <c r="G1319" s="274">
        <f t="shared" si="5"/>
        <v>0</v>
      </c>
      <c r="H1319" s="274">
        <v>0</v>
      </c>
      <c r="K1319" s="274"/>
    </row>
    <row r="1320" spans="2:11" ht="13.5" customHeight="1">
      <c r="B1320" s="209" t="s">
        <v>219</v>
      </c>
      <c r="C1320" s="209" t="s">
        <v>2526</v>
      </c>
      <c r="D1320" s="450" t="s">
        <v>137</v>
      </c>
      <c r="E1320" s="273">
        <v>0</v>
      </c>
      <c r="F1320" s="274"/>
      <c r="G1320" s="274">
        <f t="shared" si="5"/>
        <v>0</v>
      </c>
      <c r="H1320" s="274">
        <v>0</v>
      </c>
      <c r="K1320" s="274"/>
    </row>
    <row r="1321" spans="2:11" ht="13.5" customHeight="1">
      <c r="B1321" s="209" t="s">
        <v>219</v>
      </c>
      <c r="C1321" s="209" t="s">
        <v>2526</v>
      </c>
      <c r="D1321" s="451" t="s">
        <v>138</v>
      </c>
      <c r="E1321" s="273">
        <v>0</v>
      </c>
      <c r="F1321" s="274"/>
      <c r="G1321" s="274">
        <f t="shared" si="5"/>
        <v>0</v>
      </c>
      <c r="H1321" s="274">
        <v>0</v>
      </c>
      <c r="K1321" s="274"/>
    </row>
    <row r="1322" spans="2:11" ht="13.5" customHeight="1">
      <c r="B1322" s="209" t="s">
        <v>219</v>
      </c>
      <c r="C1322" s="209" t="s">
        <v>2526</v>
      </c>
      <c r="D1322" s="452" t="s">
        <v>139</v>
      </c>
      <c r="E1322" s="273">
        <v>0</v>
      </c>
      <c r="F1322" s="274"/>
      <c r="G1322" s="274">
        <f t="shared" si="5"/>
        <v>0</v>
      </c>
      <c r="H1322" s="274">
        <v>0</v>
      </c>
      <c r="K1322" s="274"/>
    </row>
    <row r="1323" spans="2:11" ht="13.5" customHeight="1">
      <c r="B1323" s="209" t="s">
        <v>219</v>
      </c>
      <c r="C1323" s="209" t="s">
        <v>2526</v>
      </c>
      <c r="D1323" s="216" t="s">
        <v>140</v>
      </c>
      <c r="E1323" s="273">
        <v>0</v>
      </c>
      <c r="F1323" s="274"/>
      <c r="G1323" s="274">
        <f t="shared" si="5"/>
        <v>0</v>
      </c>
      <c r="H1323" s="274">
        <v>0</v>
      </c>
      <c r="K1323" s="274"/>
    </row>
    <row r="1324" spans="2:11" ht="13.5" customHeight="1">
      <c r="B1324" s="209" t="s">
        <v>219</v>
      </c>
      <c r="C1324" s="209" t="s">
        <v>2526</v>
      </c>
      <c r="D1324" s="453" t="s">
        <v>141</v>
      </c>
      <c r="E1324" s="273">
        <v>0</v>
      </c>
      <c r="F1324" s="274"/>
      <c r="G1324" s="274">
        <f t="shared" si="5"/>
        <v>0</v>
      </c>
      <c r="H1324" s="274">
        <v>0</v>
      </c>
      <c r="K1324" s="274"/>
    </row>
    <row r="1325" spans="2:11" ht="13.5" customHeight="1">
      <c r="B1325" s="209" t="s">
        <v>1091</v>
      </c>
      <c r="C1325" s="209" t="s">
        <v>2527</v>
      </c>
      <c r="D1325" s="446" t="s">
        <v>133</v>
      </c>
      <c r="E1325" s="273">
        <v>0</v>
      </c>
      <c r="F1325" s="274"/>
      <c r="G1325" s="274">
        <f t="shared" si="5"/>
        <v>0</v>
      </c>
      <c r="H1325" s="274">
        <v>0</v>
      </c>
      <c r="K1325" s="274"/>
    </row>
    <row r="1326" spans="2:11" ht="13.5" customHeight="1">
      <c r="B1326" s="209" t="s">
        <v>1091</v>
      </c>
      <c r="C1326" s="209" t="s">
        <v>2527</v>
      </c>
      <c r="D1326" s="447" t="s">
        <v>134</v>
      </c>
      <c r="E1326" s="273">
        <v>0</v>
      </c>
      <c r="F1326" s="274"/>
      <c r="G1326" s="274">
        <f t="shared" si="5"/>
        <v>0</v>
      </c>
      <c r="H1326" s="274">
        <v>0</v>
      </c>
      <c r="K1326" s="274"/>
    </row>
    <row r="1327" spans="2:11" ht="13.5" customHeight="1">
      <c r="B1327" s="209" t="s">
        <v>1091</v>
      </c>
      <c r="C1327" s="209" t="s">
        <v>2527</v>
      </c>
      <c r="D1327" s="448" t="s">
        <v>135</v>
      </c>
      <c r="E1327" s="273">
        <v>0</v>
      </c>
      <c r="F1327" s="274"/>
      <c r="G1327" s="274">
        <f t="shared" si="5"/>
        <v>0</v>
      </c>
      <c r="H1327" s="274">
        <v>0</v>
      </c>
      <c r="K1327" s="274"/>
    </row>
    <row r="1328" spans="2:11" ht="13.5" customHeight="1">
      <c r="B1328" s="209" t="s">
        <v>1091</v>
      </c>
      <c r="C1328" s="209" t="s">
        <v>2527</v>
      </c>
      <c r="D1328" s="449" t="s">
        <v>136</v>
      </c>
      <c r="E1328" s="273">
        <v>0</v>
      </c>
      <c r="F1328" s="274"/>
      <c r="G1328" s="274">
        <f t="shared" si="5"/>
        <v>0</v>
      </c>
      <c r="H1328" s="274">
        <v>0</v>
      </c>
      <c r="K1328" s="274"/>
    </row>
    <row r="1329" spans="2:11" ht="13.5" customHeight="1">
      <c r="B1329" s="209" t="s">
        <v>1091</v>
      </c>
      <c r="C1329" s="209" t="s">
        <v>2527</v>
      </c>
      <c r="D1329" s="450" t="s">
        <v>137</v>
      </c>
      <c r="E1329" s="273">
        <v>0</v>
      </c>
      <c r="F1329" s="274"/>
      <c r="G1329" s="274">
        <f t="shared" si="5"/>
        <v>0</v>
      </c>
      <c r="H1329" s="274">
        <v>0</v>
      </c>
      <c r="K1329" s="274"/>
    </row>
    <row r="1330" spans="2:11" ht="13.5" customHeight="1">
      <c r="B1330" s="209" t="s">
        <v>1091</v>
      </c>
      <c r="C1330" s="209" t="s">
        <v>2527</v>
      </c>
      <c r="D1330" s="451" t="s">
        <v>138</v>
      </c>
      <c r="E1330" s="273">
        <v>0</v>
      </c>
      <c r="F1330" s="274"/>
      <c r="G1330" s="274">
        <f t="shared" si="5"/>
        <v>0</v>
      </c>
      <c r="H1330" s="274">
        <v>0</v>
      </c>
      <c r="K1330" s="274"/>
    </row>
    <row r="1331" spans="2:11" ht="13.5" customHeight="1">
      <c r="B1331" s="209" t="s">
        <v>1091</v>
      </c>
      <c r="C1331" s="209" t="s">
        <v>2527</v>
      </c>
      <c r="D1331" s="452" t="s">
        <v>139</v>
      </c>
      <c r="E1331" s="273">
        <v>0</v>
      </c>
      <c r="F1331" s="274"/>
      <c r="G1331" s="274">
        <f t="shared" si="5"/>
        <v>0</v>
      </c>
      <c r="H1331" s="274">
        <v>0</v>
      </c>
      <c r="K1331" s="274"/>
    </row>
    <row r="1332" spans="2:11" ht="13.5" customHeight="1">
      <c r="B1332" s="209" t="s">
        <v>1091</v>
      </c>
      <c r="C1332" s="209" t="s">
        <v>2527</v>
      </c>
      <c r="D1332" s="216" t="s">
        <v>140</v>
      </c>
      <c r="E1332" s="273">
        <v>0</v>
      </c>
      <c r="F1332" s="274"/>
      <c r="G1332" s="274">
        <f t="shared" si="5"/>
        <v>0</v>
      </c>
      <c r="H1332" s="274">
        <v>0</v>
      </c>
      <c r="K1332" s="274"/>
    </row>
    <row r="1333" spans="2:11" ht="13.5" customHeight="1">
      <c r="B1333" s="209" t="s">
        <v>1091</v>
      </c>
      <c r="C1333" s="209" t="s">
        <v>2527</v>
      </c>
      <c r="D1333" s="453" t="s">
        <v>141</v>
      </c>
      <c r="E1333" s="273">
        <v>0</v>
      </c>
      <c r="F1333" s="274"/>
      <c r="G1333" s="274">
        <f t="shared" si="5"/>
        <v>0</v>
      </c>
      <c r="H1333" s="274">
        <v>0</v>
      </c>
      <c r="K1333" s="274"/>
    </row>
    <row r="1334" spans="2:11" ht="13.5" customHeight="1">
      <c r="B1334" s="209" t="s">
        <v>189</v>
      </c>
      <c r="C1334" s="209" t="s">
        <v>2528</v>
      </c>
      <c r="D1334" s="446" t="s">
        <v>133</v>
      </c>
      <c r="E1334" s="273">
        <v>0</v>
      </c>
      <c r="F1334" s="274"/>
      <c r="G1334" s="274">
        <f t="shared" si="5"/>
        <v>0</v>
      </c>
      <c r="H1334" s="274">
        <v>0</v>
      </c>
      <c r="K1334" s="274"/>
    </row>
    <row r="1335" spans="2:11" ht="13.5" customHeight="1">
      <c r="B1335" s="209" t="s">
        <v>189</v>
      </c>
      <c r="C1335" s="209" t="s">
        <v>2528</v>
      </c>
      <c r="D1335" s="447" t="s">
        <v>134</v>
      </c>
      <c r="E1335" s="273">
        <v>0</v>
      </c>
      <c r="F1335" s="274"/>
      <c r="G1335" s="274">
        <f t="shared" si="5"/>
        <v>0</v>
      </c>
      <c r="H1335" s="274">
        <v>0</v>
      </c>
      <c r="K1335" s="274"/>
    </row>
    <row r="1336" spans="2:11" ht="13.5" customHeight="1">
      <c r="B1336" s="209" t="s">
        <v>189</v>
      </c>
      <c r="C1336" s="209" t="s">
        <v>2528</v>
      </c>
      <c r="D1336" s="448" t="s">
        <v>135</v>
      </c>
      <c r="E1336" s="273">
        <v>0</v>
      </c>
      <c r="F1336" s="274"/>
      <c r="G1336" s="274">
        <f t="shared" si="5"/>
        <v>0</v>
      </c>
      <c r="H1336" s="274">
        <v>0</v>
      </c>
      <c r="K1336" s="274"/>
    </row>
    <row r="1337" spans="2:11" ht="13.5" customHeight="1">
      <c r="B1337" s="209" t="s">
        <v>189</v>
      </c>
      <c r="C1337" s="209" t="s">
        <v>2528</v>
      </c>
      <c r="D1337" s="449" t="s">
        <v>136</v>
      </c>
      <c r="E1337" s="273">
        <v>0</v>
      </c>
      <c r="F1337" s="274"/>
      <c r="G1337" s="274">
        <f t="shared" si="5"/>
        <v>0</v>
      </c>
      <c r="H1337" s="274">
        <v>0</v>
      </c>
      <c r="K1337" s="274"/>
    </row>
    <row r="1338" spans="2:11" ht="13.5" customHeight="1">
      <c r="B1338" s="209" t="s">
        <v>189</v>
      </c>
      <c r="C1338" s="209" t="s">
        <v>2528</v>
      </c>
      <c r="D1338" s="450" t="s">
        <v>137</v>
      </c>
      <c r="E1338" s="273">
        <v>0</v>
      </c>
      <c r="F1338" s="274"/>
      <c r="G1338" s="274">
        <f t="shared" si="5"/>
        <v>0</v>
      </c>
      <c r="H1338" s="274">
        <v>0</v>
      </c>
      <c r="K1338" s="274"/>
    </row>
    <row r="1339" spans="2:11" ht="13.5" customHeight="1">
      <c r="B1339" s="209" t="s">
        <v>189</v>
      </c>
      <c r="C1339" s="209" t="s">
        <v>2528</v>
      </c>
      <c r="D1339" s="451" t="s">
        <v>138</v>
      </c>
      <c r="E1339" s="273">
        <v>0</v>
      </c>
      <c r="F1339" s="274"/>
      <c r="G1339" s="274">
        <f t="shared" si="5"/>
        <v>0</v>
      </c>
      <c r="H1339" s="274">
        <v>0</v>
      </c>
      <c r="K1339" s="274"/>
    </row>
    <row r="1340" spans="2:11" ht="13.5" customHeight="1">
      <c r="B1340" s="209" t="s">
        <v>189</v>
      </c>
      <c r="C1340" s="209" t="s">
        <v>2528</v>
      </c>
      <c r="D1340" s="452" t="s">
        <v>139</v>
      </c>
      <c r="E1340" s="273">
        <v>0</v>
      </c>
      <c r="F1340" s="274"/>
      <c r="G1340" s="274">
        <f t="shared" si="5"/>
        <v>0</v>
      </c>
      <c r="H1340" s="274">
        <v>0</v>
      </c>
      <c r="K1340" s="274"/>
    </row>
    <row r="1341" spans="2:11" ht="13.5" customHeight="1">
      <c r="B1341" s="209" t="s">
        <v>189</v>
      </c>
      <c r="C1341" s="209" t="s">
        <v>2528</v>
      </c>
      <c r="D1341" s="216" t="s">
        <v>140</v>
      </c>
      <c r="E1341" s="273">
        <v>0</v>
      </c>
      <c r="F1341" s="274"/>
      <c r="G1341" s="274">
        <f t="shared" si="5"/>
        <v>0</v>
      </c>
      <c r="H1341" s="274">
        <v>0</v>
      </c>
      <c r="K1341" s="274"/>
    </row>
    <row r="1342" spans="2:11" ht="13.5" customHeight="1">
      <c r="B1342" s="209" t="s">
        <v>189</v>
      </c>
      <c r="C1342" s="209" t="s">
        <v>2528</v>
      </c>
      <c r="D1342" s="453" t="s">
        <v>141</v>
      </c>
      <c r="E1342" s="273">
        <v>0</v>
      </c>
      <c r="F1342" s="274"/>
      <c r="G1342" s="274">
        <f t="shared" si="5"/>
        <v>0</v>
      </c>
      <c r="H1342" s="274">
        <v>0</v>
      </c>
      <c r="K1342" s="274"/>
    </row>
    <row r="1343" spans="2:11" ht="13.5" customHeight="1">
      <c r="B1343" s="209" t="s">
        <v>191</v>
      </c>
      <c r="C1343" s="209" t="s">
        <v>2529</v>
      </c>
      <c r="D1343" s="446" t="s">
        <v>133</v>
      </c>
      <c r="E1343" s="273">
        <v>0</v>
      </c>
      <c r="F1343" s="274"/>
      <c r="G1343" s="274">
        <f t="shared" si="5"/>
        <v>0</v>
      </c>
      <c r="H1343" s="274">
        <v>0</v>
      </c>
      <c r="K1343" s="274"/>
    </row>
    <row r="1344" spans="2:11" ht="13.5" customHeight="1">
      <c r="B1344" s="209" t="s">
        <v>191</v>
      </c>
      <c r="C1344" s="209" t="s">
        <v>2529</v>
      </c>
      <c r="D1344" s="447" t="s">
        <v>134</v>
      </c>
      <c r="E1344" s="273">
        <v>0</v>
      </c>
      <c r="F1344" s="274"/>
      <c r="G1344" s="274">
        <f t="shared" si="5"/>
        <v>0</v>
      </c>
      <c r="H1344" s="274">
        <v>0</v>
      </c>
      <c r="K1344" s="274"/>
    </row>
    <row r="1345" spans="2:11" ht="13.5" customHeight="1">
      <c r="B1345" s="209" t="s">
        <v>191</v>
      </c>
      <c r="C1345" s="209" t="s">
        <v>2529</v>
      </c>
      <c r="D1345" s="448" t="s">
        <v>135</v>
      </c>
      <c r="E1345" s="273">
        <v>0</v>
      </c>
      <c r="F1345" s="274"/>
      <c r="G1345" s="274">
        <f t="shared" si="5"/>
        <v>0</v>
      </c>
      <c r="H1345" s="274">
        <v>0</v>
      </c>
      <c r="K1345" s="274"/>
    </row>
    <row r="1346" spans="2:11" ht="13.5" customHeight="1">
      <c r="B1346" s="209" t="s">
        <v>191</v>
      </c>
      <c r="C1346" s="209" t="s">
        <v>2529</v>
      </c>
      <c r="D1346" s="449" t="s">
        <v>136</v>
      </c>
      <c r="E1346" s="273">
        <v>0</v>
      </c>
      <c r="F1346" s="274"/>
      <c r="G1346" s="274">
        <f t="shared" si="5"/>
        <v>0</v>
      </c>
      <c r="H1346" s="274">
        <v>0</v>
      </c>
      <c r="K1346" s="274"/>
    </row>
    <row r="1347" spans="2:11" ht="13.5" customHeight="1">
      <c r="B1347" s="209" t="s">
        <v>191</v>
      </c>
      <c r="C1347" s="209" t="s">
        <v>2529</v>
      </c>
      <c r="D1347" s="450" t="s">
        <v>137</v>
      </c>
      <c r="E1347" s="273">
        <v>0</v>
      </c>
      <c r="F1347" s="274"/>
      <c r="G1347" s="274">
        <f t="shared" si="5"/>
        <v>0</v>
      </c>
      <c r="H1347" s="274">
        <v>0</v>
      </c>
      <c r="K1347" s="274"/>
    </row>
    <row r="1348" spans="2:11" ht="13.5" customHeight="1">
      <c r="B1348" s="209" t="s">
        <v>191</v>
      </c>
      <c r="C1348" s="209" t="s">
        <v>2529</v>
      </c>
      <c r="D1348" s="451" t="s">
        <v>138</v>
      </c>
      <c r="E1348" s="273">
        <v>0</v>
      </c>
      <c r="F1348" s="274"/>
      <c r="G1348" s="274">
        <f t="shared" si="5"/>
        <v>0</v>
      </c>
      <c r="H1348" s="274">
        <v>0</v>
      </c>
      <c r="K1348" s="274"/>
    </row>
    <row r="1349" spans="2:11" ht="13.5" customHeight="1">
      <c r="B1349" s="209" t="s">
        <v>191</v>
      </c>
      <c r="C1349" s="209" t="s">
        <v>2529</v>
      </c>
      <c r="D1349" s="452" t="s">
        <v>139</v>
      </c>
      <c r="E1349" s="273">
        <v>0</v>
      </c>
      <c r="F1349" s="274"/>
      <c r="G1349" s="274">
        <f t="shared" si="5"/>
        <v>0</v>
      </c>
      <c r="H1349" s="274">
        <v>0</v>
      </c>
      <c r="K1349" s="274"/>
    </row>
    <row r="1350" spans="2:11" ht="13.5" customHeight="1">
      <c r="B1350" s="209" t="s">
        <v>191</v>
      </c>
      <c r="C1350" s="209" t="s">
        <v>2529</v>
      </c>
      <c r="D1350" s="216" t="s">
        <v>140</v>
      </c>
      <c r="E1350" s="273">
        <v>0</v>
      </c>
      <c r="F1350" s="274"/>
      <c r="G1350" s="274">
        <f t="shared" si="5"/>
        <v>0</v>
      </c>
      <c r="H1350" s="274">
        <v>0</v>
      </c>
      <c r="K1350" s="274"/>
    </row>
    <row r="1351" spans="2:11" ht="13.5" customHeight="1">
      <c r="B1351" s="209" t="s">
        <v>191</v>
      </c>
      <c r="C1351" s="209" t="s">
        <v>2529</v>
      </c>
      <c r="D1351" s="453" t="s">
        <v>141</v>
      </c>
      <c r="E1351" s="273">
        <v>0</v>
      </c>
      <c r="F1351" s="274"/>
      <c r="G1351" s="274">
        <f t="shared" si="5"/>
        <v>0</v>
      </c>
      <c r="H1351" s="274">
        <v>0</v>
      </c>
      <c r="K1351" s="274"/>
    </row>
    <row r="1352" spans="2:11" ht="13.5" customHeight="1">
      <c r="B1352" s="209" t="s">
        <v>193</v>
      </c>
      <c r="C1352" s="209" t="s">
        <v>2530</v>
      </c>
      <c r="D1352" s="446" t="s">
        <v>133</v>
      </c>
      <c r="E1352" s="273">
        <v>0</v>
      </c>
      <c r="F1352" s="274"/>
      <c r="G1352" s="274">
        <f t="shared" si="5"/>
        <v>0</v>
      </c>
      <c r="H1352" s="274">
        <v>0</v>
      </c>
      <c r="K1352" s="274"/>
    </row>
    <row r="1353" spans="2:11" ht="13.5" customHeight="1">
      <c r="B1353" s="209" t="s">
        <v>193</v>
      </c>
      <c r="C1353" s="209" t="s">
        <v>2530</v>
      </c>
      <c r="D1353" s="447" t="s">
        <v>134</v>
      </c>
      <c r="E1353" s="273">
        <v>0</v>
      </c>
      <c r="F1353" s="274"/>
      <c r="G1353" s="274">
        <f t="shared" si="5"/>
        <v>0</v>
      </c>
      <c r="H1353" s="274">
        <v>0</v>
      </c>
      <c r="K1353" s="274"/>
    </row>
    <row r="1354" spans="2:11" ht="13.5" customHeight="1">
      <c r="B1354" s="209" t="s">
        <v>193</v>
      </c>
      <c r="C1354" s="209" t="s">
        <v>2530</v>
      </c>
      <c r="D1354" s="448" t="s">
        <v>135</v>
      </c>
      <c r="E1354" s="273">
        <v>0</v>
      </c>
      <c r="F1354" s="274"/>
      <c r="G1354" s="274">
        <f t="shared" si="5"/>
        <v>0</v>
      </c>
      <c r="H1354" s="274">
        <v>0</v>
      </c>
      <c r="K1354" s="274"/>
    </row>
    <row r="1355" spans="2:11" ht="13.5" customHeight="1">
      <c r="B1355" s="209" t="s">
        <v>193</v>
      </c>
      <c r="C1355" s="209" t="s">
        <v>2530</v>
      </c>
      <c r="D1355" s="449" t="s">
        <v>136</v>
      </c>
      <c r="E1355" s="273">
        <v>0</v>
      </c>
      <c r="F1355" s="274"/>
      <c r="G1355" s="274">
        <f t="shared" si="5"/>
        <v>0</v>
      </c>
      <c r="H1355" s="274">
        <v>0</v>
      </c>
      <c r="K1355" s="274"/>
    </row>
    <row r="1356" spans="2:11" ht="13.5" customHeight="1">
      <c r="B1356" s="209" t="s">
        <v>193</v>
      </c>
      <c r="C1356" s="209" t="s">
        <v>2530</v>
      </c>
      <c r="D1356" s="450" t="s">
        <v>137</v>
      </c>
      <c r="E1356" s="273">
        <v>0</v>
      </c>
      <c r="F1356" s="274"/>
      <c r="G1356" s="274">
        <f t="shared" si="5"/>
        <v>0</v>
      </c>
      <c r="H1356" s="274">
        <v>0</v>
      </c>
      <c r="K1356" s="274"/>
    </row>
    <row r="1357" spans="2:11" ht="13.5" customHeight="1">
      <c r="B1357" s="209" t="s">
        <v>193</v>
      </c>
      <c r="C1357" s="209" t="s">
        <v>2530</v>
      </c>
      <c r="D1357" s="451" t="s">
        <v>138</v>
      </c>
      <c r="E1357" s="273">
        <v>0</v>
      </c>
      <c r="F1357" s="274"/>
      <c r="G1357" s="274">
        <f t="shared" si="5"/>
        <v>0</v>
      </c>
      <c r="H1357" s="274">
        <v>0</v>
      </c>
      <c r="K1357" s="274"/>
    </row>
    <row r="1358" spans="2:11" ht="13.5" customHeight="1">
      <c r="B1358" s="209" t="s">
        <v>193</v>
      </c>
      <c r="C1358" s="209" t="s">
        <v>2530</v>
      </c>
      <c r="D1358" s="452" t="s">
        <v>139</v>
      </c>
      <c r="E1358" s="273">
        <v>0</v>
      </c>
      <c r="F1358" s="274"/>
      <c r="G1358" s="274">
        <f t="shared" si="5"/>
        <v>0</v>
      </c>
      <c r="H1358" s="274">
        <v>0</v>
      </c>
      <c r="K1358" s="274"/>
    </row>
    <row r="1359" spans="2:11" ht="13.5" customHeight="1">
      <c r="B1359" s="209" t="s">
        <v>193</v>
      </c>
      <c r="C1359" s="209" t="s">
        <v>2530</v>
      </c>
      <c r="D1359" s="216" t="s">
        <v>140</v>
      </c>
      <c r="E1359" s="273">
        <v>0</v>
      </c>
      <c r="F1359" s="274"/>
      <c r="G1359" s="274">
        <f t="shared" si="5"/>
        <v>0</v>
      </c>
      <c r="H1359" s="274">
        <v>0</v>
      </c>
      <c r="K1359" s="274"/>
    </row>
    <row r="1360" spans="2:11" ht="13.5" customHeight="1">
      <c r="B1360" s="209" t="s">
        <v>193</v>
      </c>
      <c r="C1360" s="209" t="s">
        <v>2530</v>
      </c>
      <c r="D1360" s="453" t="s">
        <v>141</v>
      </c>
      <c r="E1360" s="273">
        <v>0</v>
      </c>
      <c r="F1360" s="274"/>
      <c r="G1360" s="274">
        <f t="shared" si="5"/>
        <v>0</v>
      </c>
      <c r="H1360" s="274">
        <v>0</v>
      </c>
      <c r="K1360" s="274"/>
    </row>
    <row r="1361" spans="2:11" ht="13.5" customHeight="1">
      <c r="B1361" s="209" t="s">
        <v>195</v>
      </c>
      <c r="C1361" s="209" t="s">
        <v>2531</v>
      </c>
      <c r="D1361" s="446" t="s">
        <v>133</v>
      </c>
      <c r="E1361" s="273">
        <v>0</v>
      </c>
      <c r="F1361" s="274"/>
      <c r="G1361" s="274">
        <f t="shared" si="5"/>
        <v>0</v>
      </c>
      <c r="H1361" s="274">
        <v>0</v>
      </c>
      <c r="K1361" s="274"/>
    </row>
    <row r="1362" spans="2:11" ht="13.5" customHeight="1">
      <c r="B1362" s="209" t="s">
        <v>195</v>
      </c>
      <c r="C1362" s="209" t="s">
        <v>2531</v>
      </c>
      <c r="D1362" s="447" t="s">
        <v>134</v>
      </c>
      <c r="E1362" s="273">
        <v>0</v>
      </c>
      <c r="F1362" s="274"/>
      <c r="G1362" s="274">
        <f t="shared" si="5"/>
        <v>0</v>
      </c>
      <c r="H1362" s="274">
        <v>0</v>
      </c>
      <c r="K1362" s="274"/>
    </row>
    <row r="1363" spans="2:11" ht="13.5" customHeight="1">
      <c r="B1363" s="209" t="s">
        <v>195</v>
      </c>
      <c r="C1363" s="209" t="s">
        <v>2531</v>
      </c>
      <c r="D1363" s="448" t="s">
        <v>135</v>
      </c>
      <c r="E1363" s="273">
        <v>0</v>
      </c>
      <c r="F1363" s="274"/>
      <c r="G1363" s="274">
        <f t="shared" si="5"/>
        <v>0</v>
      </c>
      <c r="H1363" s="274">
        <v>0</v>
      </c>
      <c r="K1363" s="274"/>
    </row>
    <row r="1364" spans="2:11" ht="13.5" customHeight="1">
      <c r="B1364" s="209" t="s">
        <v>195</v>
      </c>
      <c r="C1364" s="209" t="s">
        <v>2531</v>
      </c>
      <c r="D1364" s="449" t="s">
        <v>136</v>
      </c>
      <c r="E1364" s="273">
        <v>0</v>
      </c>
      <c r="F1364" s="274"/>
      <c r="G1364" s="274">
        <f t="shared" si="5"/>
        <v>0</v>
      </c>
      <c r="H1364" s="274">
        <v>0</v>
      </c>
      <c r="K1364" s="274"/>
    </row>
    <row r="1365" spans="2:11" ht="13.5" customHeight="1">
      <c r="B1365" s="209" t="s">
        <v>195</v>
      </c>
      <c r="C1365" s="209" t="s">
        <v>2531</v>
      </c>
      <c r="D1365" s="450" t="s">
        <v>137</v>
      </c>
      <c r="E1365" s="273">
        <v>0</v>
      </c>
      <c r="F1365" s="274"/>
      <c r="G1365" s="274">
        <f t="shared" si="5"/>
        <v>0</v>
      </c>
      <c r="H1365" s="274">
        <v>0</v>
      </c>
      <c r="K1365" s="274"/>
    </row>
    <row r="1366" spans="2:11" ht="13.5" customHeight="1">
      <c r="B1366" s="209" t="s">
        <v>195</v>
      </c>
      <c r="C1366" s="209" t="s">
        <v>2531</v>
      </c>
      <c r="D1366" s="451" t="s">
        <v>138</v>
      </c>
      <c r="E1366" s="273">
        <v>0</v>
      </c>
      <c r="F1366" s="274"/>
      <c r="G1366" s="274">
        <f t="shared" si="5"/>
        <v>0</v>
      </c>
      <c r="H1366" s="274">
        <v>0</v>
      </c>
      <c r="K1366" s="274"/>
    </row>
    <row r="1367" spans="2:11" ht="13.5" customHeight="1">
      <c r="B1367" s="209" t="s">
        <v>195</v>
      </c>
      <c r="C1367" s="209" t="s">
        <v>2531</v>
      </c>
      <c r="D1367" s="452" t="s">
        <v>139</v>
      </c>
      <c r="E1367" s="273">
        <v>0</v>
      </c>
      <c r="F1367" s="274"/>
      <c r="G1367" s="274">
        <f t="shared" si="5"/>
        <v>0</v>
      </c>
      <c r="H1367" s="274">
        <v>0</v>
      </c>
      <c r="K1367" s="274"/>
    </row>
    <row r="1368" spans="2:11" ht="13.5" customHeight="1">
      <c r="B1368" s="209" t="s">
        <v>195</v>
      </c>
      <c r="C1368" s="209" t="s">
        <v>2531</v>
      </c>
      <c r="D1368" s="216" t="s">
        <v>140</v>
      </c>
      <c r="E1368" s="273">
        <v>0</v>
      </c>
      <c r="F1368" s="274"/>
      <c r="G1368" s="274">
        <f t="shared" si="5"/>
        <v>0</v>
      </c>
      <c r="H1368" s="274">
        <v>0</v>
      </c>
      <c r="K1368" s="274"/>
    </row>
    <row r="1369" spans="2:11" ht="13.5" customHeight="1">
      <c r="B1369" s="209" t="s">
        <v>195</v>
      </c>
      <c r="C1369" s="209" t="s">
        <v>2531</v>
      </c>
      <c r="D1369" s="453" t="s">
        <v>141</v>
      </c>
      <c r="E1369" s="273">
        <v>0</v>
      </c>
      <c r="F1369" s="274"/>
      <c r="G1369" s="274">
        <f t="shared" si="5"/>
        <v>0</v>
      </c>
      <c r="H1369" s="274">
        <v>0</v>
      </c>
      <c r="K1369" s="274"/>
    </row>
    <row r="1370" spans="2:11" ht="13.5" customHeight="1">
      <c r="B1370" s="209" t="s">
        <v>221</v>
      </c>
      <c r="C1370" s="209" t="s">
        <v>2532</v>
      </c>
      <c r="D1370" s="446" t="s">
        <v>133</v>
      </c>
      <c r="E1370" s="273">
        <v>0</v>
      </c>
      <c r="F1370" s="274"/>
      <c r="G1370" s="274">
        <f t="shared" si="5"/>
        <v>0</v>
      </c>
      <c r="H1370" s="274">
        <v>0</v>
      </c>
      <c r="K1370" s="274"/>
    </row>
    <row r="1371" spans="2:11" ht="13.5" customHeight="1">
      <c r="B1371" s="209" t="s">
        <v>221</v>
      </c>
      <c r="C1371" s="209" t="s">
        <v>2532</v>
      </c>
      <c r="D1371" s="447" t="s">
        <v>134</v>
      </c>
      <c r="E1371" s="273">
        <v>0</v>
      </c>
      <c r="F1371" s="274"/>
      <c r="G1371" s="274">
        <f t="shared" si="5"/>
        <v>0</v>
      </c>
      <c r="H1371" s="274">
        <v>0</v>
      </c>
      <c r="K1371" s="274"/>
    </row>
    <row r="1372" spans="2:11" ht="13.5" customHeight="1">
      <c r="B1372" s="209" t="s">
        <v>221</v>
      </c>
      <c r="C1372" s="209" t="s">
        <v>2532</v>
      </c>
      <c r="D1372" s="448" t="s">
        <v>135</v>
      </c>
      <c r="E1372" s="273">
        <v>0</v>
      </c>
      <c r="F1372" s="274"/>
      <c r="G1372" s="274">
        <f t="shared" si="5"/>
        <v>0</v>
      </c>
      <c r="H1372" s="274">
        <v>0</v>
      </c>
      <c r="K1372" s="274"/>
    </row>
    <row r="1373" spans="2:11" ht="13.5" customHeight="1">
      <c r="B1373" s="209" t="s">
        <v>221</v>
      </c>
      <c r="C1373" s="209" t="s">
        <v>2532</v>
      </c>
      <c r="D1373" s="449" t="s">
        <v>136</v>
      </c>
      <c r="E1373" s="273">
        <v>0</v>
      </c>
      <c r="F1373" s="274"/>
      <c r="G1373" s="274">
        <f t="shared" si="5"/>
        <v>0</v>
      </c>
      <c r="H1373" s="274">
        <v>0</v>
      </c>
      <c r="K1373" s="274"/>
    </row>
    <row r="1374" spans="2:11" ht="13.5" customHeight="1">
      <c r="B1374" s="209" t="s">
        <v>221</v>
      </c>
      <c r="C1374" s="209" t="s">
        <v>2532</v>
      </c>
      <c r="D1374" s="450" t="s">
        <v>137</v>
      </c>
      <c r="E1374" s="273">
        <v>0</v>
      </c>
      <c r="F1374" s="274"/>
      <c r="G1374" s="274">
        <f t="shared" si="5"/>
        <v>0</v>
      </c>
      <c r="H1374" s="274">
        <v>0</v>
      </c>
      <c r="K1374" s="274"/>
    </row>
    <row r="1375" spans="2:11" ht="13.5" customHeight="1">
      <c r="B1375" s="209" t="s">
        <v>221</v>
      </c>
      <c r="C1375" s="209" t="s">
        <v>2532</v>
      </c>
      <c r="D1375" s="451" t="s">
        <v>138</v>
      </c>
      <c r="E1375" s="273">
        <v>0</v>
      </c>
      <c r="F1375" s="274"/>
      <c r="G1375" s="274">
        <f t="shared" si="5"/>
        <v>0</v>
      </c>
      <c r="H1375" s="274">
        <v>0</v>
      </c>
      <c r="K1375" s="274"/>
    </row>
    <row r="1376" spans="2:11" ht="13.5" customHeight="1">
      <c r="B1376" s="209" t="s">
        <v>221</v>
      </c>
      <c r="C1376" s="209" t="s">
        <v>2532</v>
      </c>
      <c r="D1376" s="452" t="s">
        <v>139</v>
      </c>
      <c r="E1376" s="273">
        <v>0</v>
      </c>
      <c r="F1376" s="274"/>
      <c r="G1376" s="274">
        <f t="shared" si="5"/>
        <v>0</v>
      </c>
      <c r="H1376" s="274">
        <v>0</v>
      </c>
      <c r="K1376" s="274"/>
    </row>
    <row r="1377" spans="2:11" ht="13.5" customHeight="1">
      <c r="B1377" s="209" t="s">
        <v>221</v>
      </c>
      <c r="C1377" s="209" t="s">
        <v>2532</v>
      </c>
      <c r="D1377" s="216" t="s">
        <v>140</v>
      </c>
      <c r="E1377" s="273">
        <v>0</v>
      </c>
      <c r="F1377" s="274"/>
      <c r="G1377" s="274">
        <f t="shared" si="5"/>
        <v>0</v>
      </c>
      <c r="H1377" s="274">
        <v>0</v>
      </c>
      <c r="K1377" s="274"/>
    </row>
    <row r="1378" spans="2:11" ht="13.5" customHeight="1">
      <c r="B1378" s="209" t="s">
        <v>221</v>
      </c>
      <c r="C1378" s="209" t="s">
        <v>2532</v>
      </c>
      <c r="D1378" s="453" t="s">
        <v>141</v>
      </c>
      <c r="E1378" s="273">
        <v>0</v>
      </c>
      <c r="F1378" s="274"/>
      <c r="G1378" s="274">
        <f t="shared" si="5"/>
        <v>0</v>
      </c>
      <c r="H1378" s="274">
        <v>0</v>
      </c>
      <c r="K1378" s="274"/>
    </row>
    <row r="1379" spans="2:11" ht="13.5" customHeight="1">
      <c r="B1379" s="209" t="s">
        <v>223</v>
      </c>
      <c r="C1379" s="209" t="s">
        <v>2533</v>
      </c>
      <c r="D1379" s="446" t="s">
        <v>133</v>
      </c>
      <c r="E1379" s="273">
        <v>0</v>
      </c>
      <c r="F1379" s="274"/>
      <c r="G1379" s="274">
        <f t="shared" si="5"/>
        <v>0</v>
      </c>
      <c r="H1379" s="274">
        <v>0</v>
      </c>
      <c r="K1379" s="274"/>
    </row>
    <row r="1380" spans="2:11" ht="13.5" customHeight="1">
      <c r="B1380" s="209" t="s">
        <v>223</v>
      </c>
      <c r="C1380" s="209" t="s">
        <v>2533</v>
      </c>
      <c r="D1380" s="447" t="s">
        <v>134</v>
      </c>
      <c r="E1380" s="273">
        <v>0</v>
      </c>
      <c r="F1380" s="274"/>
      <c r="G1380" s="274">
        <f t="shared" si="5"/>
        <v>0</v>
      </c>
      <c r="H1380" s="274">
        <v>0</v>
      </c>
      <c r="K1380" s="274"/>
    </row>
    <row r="1381" spans="2:11" ht="13.5" customHeight="1">
      <c r="B1381" s="209" t="s">
        <v>223</v>
      </c>
      <c r="C1381" s="209" t="s">
        <v>2533</v>
      </c>
      <c r="D1381" s="448" t="s">
        <v>135</v>
      </c>
      <c r="E1381" s="273">
        <v>0</v>
      </c>
      <c r="F1381" s="274"/>
      <c r="G1381" s="274">
        <f t="shared" si="5"/>
        <v>0</v>
      </c>
      <c r="H1381" s="274">
        <v>0</v>
      </c>
      <c r="K1381" s="274"/>
    </row>
    <row r="1382" spans="2:11" ht="13.5" customHeight="1">
      <c r="B1382" s="209" t="s">
        <v>223</v>
      </c>
      <c r="C1382" s="209" t="s">
        <v>2533</v>
      </c>
      <c r="D1382" s="449" t="s">
        <v>136</v>
      </c>
      <c r="E1382" s="273">
        <v>0</v>
      </c>
      <c r="F1382" s="274"/>
      <c r="G1382" s="274">
        <f t="shared" si="5"/>
        <v>0</v>
      </c>
      <c r="H1382" s="274">
        <v>0</v>
      </c>
      <c r="K1382" s="274"/>
    </row>
    <row r="1383" spans="2:11" ht="13.5" customHeight="1">
      <c r="B1383" s="209" t="s">
        <v>223</v>
      </c>
      <c r="C1383" s="209" t="s">
        <v>2533</v>
      </c>
      <c r="D1383" s="450" t="s">
        <v>137</v>
      </c>
      <c r="E1383" s="273">
        <v>0</v>
      </c>
      <c r="F1383" s="274"/>
      <c r="G1383" s="274">
        <f t="shared" si="5"/>
        <v>0</v>
      </c>
      <c r="H1383" s="274">
        <v>0</v>
      </c>
      <c r="K1383" s="274"/>
    </row>
    <row r="1384" spans="2:11" ht="13.5" customHeight="1">
      <c r="B1384" s="209" t="s">
        <v>223</v>
      </c>
      <c r="C1384" s="209" t="s">
        <v>2533</v>
      </c>
      <c r="D1384" s="451" t="s">
        <v>138</v>
      </c>
      <c r="E1384" s="273">
        <v>0</v>
      </c>
      <c r="F1384" s="274"/>
      <c r="G1384" s="274">
        <f t="shared" si="5"/>
        <v>0</v>
      </c>
      <c r="H1384" s="274">
        <v>0</v>
      </c>
      <c r="K1384" s="274"/>
    </row>
    <row r="1385" spans="2:11" ht="13.5" customHeight="1">
      <c r="B1385" s="209" t="s">
        <v>223</v>
      </c>
      <c r="C1385" s="209" t="s">
        <v>2533</v>
      </c>
      <c r="D1385" s="452" t="s">
        <v>139</v>
      </c>
      <c r="E1385" s="273">
        <v>0</v>
      </c>
      <c r="F1385" s="274"/>
      <c r="G1385" s="274">
        <f t="shared" si="5"/>
        <v>0</v>
      </c>
      <c r="H1385" s="274">
        <v>0</v>
      </c>
      <c r="K1385" s="274"/>
    </row>
    <row r="1386" spans="2:11" ht="13.5" customHeight="1">
      <c r="B1386" s="209" t="s">
        <v>223</v>
      </c>
      <c r="C1386" s="209" t="s">
        <v>2533</v>
      </c>
      <c r="D1386" s="216" t="s">
        <v>140</v>
      </c>
      <c r="E1386" s="273">
        <v>0</v>
      </c>
      <c r="F1386" s="274"/>
      <c r="G1386" s="274">
        <f t="shared" si="5"/>
        <v>0</v>
      </c>
      <c r="H1386" s="274">
        <v>0</v>
      </c>
      <c r="K1386" s="274"/>
    </row>
    <row r="1387" spans="2:11" ht="13.5" customHeight="1">
      <c r="B1387" s="209" t="s">
        <v>223</v>
      </c>
      <c r="C1387" s="209" t="s">
        <v>2533</v>
      </c>
      <c r="D1387" s="453" t="s">
        <v>141</v>
      </c>
      <c r="E1387" s="273">
        <v>0</v>
      </c>
      <c r="F1387" s="274"/>
      <c r="G1387" s="274">
        <f t="shared" si="5"/>
        <v>0</v>
      </c>
      <c r="H1387" s="274">
        <v>0</v>
      </c>
      <c r="K1387" s="274"/>
    </row>
    <row r="1388" spans="2:11" ht="13.5" customHeight="1">
      <c r="B1388" s="209" t="s">
        <v>237</v>
      </c>
      <c r="C1388" s="209" t="s">
        <v>2534</v>
      </c>
      <c r="D1388" s="446" t="s">
        <v>133</v>
      </c>
      <c r="E1388" s="273">
        <v>0</v>
      </c>
      <c r="F1388" s="274"/>
      <c r="G1388" s="274">
        <f t="shared" si="5"/>
        <v>0</v>
      </c>
      <c r="H1388" s="274">
        <v>0</v>
      </c>
      <c r="K1388" s="274"/>
    </row>
    <row r="1389" spans="2:11" ht="13.5" customHeight="1">
      <c r="B1389" s="209" t="s">
        <v>237</v>
      </c>
      <c r="C1389" s="209" t="s">
        <v>2534</v>
      </c>
      <c r="D1389" s="447" t="s">
        <v>134</v>
      </c>
      <c r="E1389" s="273">
        <v>0</v>
      </c>
      <c r="F1389" s="274"/>
      <c r="G1389" s="274">
        <f t="shared" si="5"/>
        <v>0</v>
      </c>
      <c r="H1389" s="274">
        <v>0</v>
      </c>
      <c r="K1389" s="274"/>
    </row>
    <row r="1390" spans="2:11" ht="13.5" customHeight="1">
      <c r="B1390" s="209" t="s">
        <v>237</v>
      </c>
      <c r="C1390" s="209" t="s">
        <v>2534</v>
      </c>
      <c r="D1390" s="448" t="s">
        <v>135</v>
      </c>
      <c r="E1390" s="273">
        <v>0</v>
      </c>
      <c r="F1390" s="274"/>
      <c r="G1390" s="274">
        <f t="shared" si="5"/>
        <v>0</v>
      </c>
      <c r="H1390" s="274">
        <v>0</v>
      </c>
      <c r="K1390" s="274"/>
    </row>
    <row r="1391" spans="2:11" ht="13.5" customHeight="1">
      <c r="B1391" s="209" t="s">
        <v>237</v>
      </c>
      <c r="C1391" s="209" t="s">
        <v>2534</v>
      </c>
      <c r="D1391" s="449" t="s">
        <v>136</v>
      </c>
      <c r="E1391" s="273">
        <v>0</v>
      </c>
      <c r="F1391" s="274"/>
      <c r="G1391" s="274">
        <f t="shared" si="5"/>
        <v>0</v>
      </c>
      <c r="H1391" s="274">
        <v>0</v>
      </c>
      <c r="K1391" s="274"/>
    </row>
    <row r="1392" spans="2:11" ht="13.5" customHeight="1">
      <c r="B1392" s="209" t="s">
        <v>237</v>
      </c>
      <c r="C1392" s="209" t="s">
        <v>2534</v>
      </c>
      <c r="D1392" s="450" t="s">
        <v>137</v>
      </c>
      <c r="E1392" s="273">
        <v>0</v>
      </c>
      <c r="F1392" s="274"/>
      <c r="G1392" s="274">
        <f t="shared" si="5"/>
        <v>0</v>
      </c>
      <c r="H1392" s="274">
        <v>0</v>
      </c>
      <c r="K1392" s="274"/>
    </row>
    <row r="1393" spans="2:11" ht="13.5" customHeight="1">
      <c r="B1393" s="209" t="s">
        <v>237</v>
      </c>
      <c r="C1393" s="209" t="s">
        <v>2534</v>
      </c>
      <c r="D1393" s="451" t="s">
        <v>138</v>
      </c>
      <c r="E1393" s="273">
        <v>0</v>
      </c>
      <c r="F1393" s="274"/>
      <c r="G1393" s="274">
        <f t="shared" si="5"/>
        <v>0</v>
      </c>
      <c r="H1393" s="274">
        <v>0</v>
      </c>
      <c r="K1393" s="274"/>
    </row>
    <row r="1394" spans="2:11" ht="13.5" customHeight="1">
      <c r="B1394" s="209" t="s">
        <v>237</v>
      </c>
      <c r="C1394" s="209" t="s">
        <v>2534</v>
      </c>
      <c r="D1394" s="452" t="s">
        <v>139</v>
      </c>
      <c r="E1394" s="273">
        <v>0</v>
      </c>
      <c r="F1394" s="274"/>
      <c r="G1394" s="274">
        <f t="shared" si="5"/>
        <v>0</v>
      </c>
      <c r="H1394" s="274">
        <v>0</v>
      </c>
      <c r="K1394" s="274"/>
    </row>
    <row r="1395" spans="2:11" ht="13.5" customHeight="1">
      <c r="B1395" s="209" t="s">
        <v>237</v>
      </c>
      <c r="C1395" s="209" t="s">
        <v>2534</v>
      </c>
      <c r="D1395" s="216" t="s">
        <v>140</v>
      </c>
      <c r="E1395" s="273">
        <v>0</v>
      </c>
      <c r="F1395" s="274"/>
      <c r="G1395" s="274">
        <f t="shared" si="5"/>
        <v>0</v>
      </c>
      <c r="H1395" s="274">
        <v>0</v>
      </c>
      <c r="K1395" s="274"/>
    </row>
    <row r="1396" spans="2:11" ht="13.5" customHeight="1">
      <c r="B1396" s="209" t="s">
        <v>237</v>
      </c>
      <c r="C1396" s="209" t="s">
        <v>2534</v>
      </c>
      <c r="D1396" s="453" t="s">
        <v>141</v>
      </c>
      <c r="E1396" s="273">
        <v>0</v>
      </c>
      <c r="F1396" s="274"/>
      <c r="G1396" s="274">
        <f t="shared" si="5"/>
        <v>0</v>
      </c>
      <c r="H1396" s="274">
        <v>0</v>
      </c>
      <c r="K1396" s="274"/>
    </row>
    <row r="1397" spans="2:11" ht="13.5" customHeight="1">
      <c r="B1397" s="209" t="s">
        <v>197</v>
      </c>
      <c r="C1397" s="209" t="s">
        <v>2535</v>
      </c>
      <c r="D1397" s="446" t="s">
        <v>133</v>
      </c>
      <c r="E1397" s="273">
        <v>0</v>
      </c>
      <c r="F1397" s="274"/>
      <c r="G1397" s="274">
        <f t="shared" si="5"/>
        <v>0</v>
      </c>
      <c r="H1397" s="274">
        <v>0</v>
      </c>
      <c r="K1397" s="274"/>
    </row>
    <row r="1398" spans="2:11" ht="13.5" customHeight="1">
      <c r="B1398" s="209" t="s">
        <v>197</v>
      </c>
      <c r="C1398" s="209" t="s">
        <v>2535</v>
      </c>
      <c r="D1398" s="447" t="s">
        <v>134</v>
      </c>
      <c r="E1398" s="273">
        <v>0</v>
      </c>
      <c r="F1398" s="274"/>
      <c r="G1398" s="274">
        <f t="shared" si="5"/>
        <v>0</v>
      </c>
      <c r="H1398" s="274">
        <v>0</v>
      </c>
      <c r="K1398" s="274"/>
    </row>
    <row r="1399" spans="2:11" ht="13.5" customHeight="1">
      <c r="B1399" s="209" t="s">
        <v>197</v>
      </c>
      <c r="C1399" s="209" t="s">
        <v>2535</v>
      </c>
      <c r="D1399" s="448" t="s">
        <v>135</v>
      </c>
      <c r="E1399" s="273">
        <v>0</v>
      </c>
      <c r="F1399" s="274"/>
      <c r="G1399" s="274">
        <f t="shared" si="5"/>
        <v>0</v>
      </c>
      <c r="H1399" s="274">
        <v>0</v>
      </c>
      <c r="K1399" s="274"/>
    </row>
    <row r="1400" spans="2:11" ht="13.5" customHeight="1">
      <c r="B1400" s="209" t="s">
        <v>197</v>
      </c>
      <c r="C1400" s="209" t="s">
        <v>2535</v>
      </c>
      <c r="D1400" s="449" t="s">
        <v>136</v>
      </c>
      <c r="E1400" s="273">
        <v>0</v>
      </c>
      <c r="F1400" s="274"/>
      <c r="G1400" s="274">
        <f t="shared" si="5"/>
        <v>0</v>
      </c>
      <c r="H1400" s="274">
        <v>0</v>
      </c>
      <c r="K1400" s="274"/>
    </row>
    <row r="1401" spans="2:11" ht="13.5" customHeight="1">
      <c r="B1401" s="209" t="s">
        <v>197</v>
      </c>
      <c r="C1401" s="209" t="s">
        <v>2535</v>
      </c>
      <c r="D1401" s="450" t="s">
        <v>137</v>
      </c>
      <c r="E1401" s="273">
        <v>0</v>
      </c>
      <c r="F1401" s="274"/>
      <c r="G1401" s="274">
        <f t="shared" si="5"/>
        <v>0</v>
      </c>
      <c r="H1401" s="274">
        <v>0</v>
      </c>
      <c r="K1401" s="274"/>
    </row>
    <row r="1402" spans="2:11" ht="13.5" customHeight="1">
      <c r="B1402" s="209" t="s">
        <v>197</v>
      </c>
      <c r="C1402" s="209" t="s">
        <v>2535</v>
      </c>
      <c r="D1402" s="451" t="s">
        <v>138</v>
      </c>
      <c r="E1402" s="273">
        <v>0</v>
      </c>
      <c r="F1402" s="274"/>
      <c r="G1402" s="274">
        <f t="shared" si="5"/>
        <v>0</v>
      </c>
      <c r="H1402" s="274">
        <v>0</v>
      </c>
      <c r="K1402" s="274"/>
    </row>
    <row r="1403" spans="2:11" ht="13.5" customHeight="1">
      <c r="B1403" s="209" t="s">
        <v>197</v>
      </c>
      <c r="C1403" s="209" t="s">
        <v>2535</v>
      </c>
      <c r="D1403" s="452" t="s">
        <v>139</v>
      </c>
      <c r="E1403" s="273">
        <v>0</v>
      </c>
      <c r="F1403" s="274"/>
      <c r="G1403" s="274">
        <f t="shared" si="5"/>
        <v>0</v>
      </c>
      <c r="H1403" s="274">
        <v>0</v>
      </c>
      <c r="K1403" s="274"/>
    </row>
    <row r="1404" spans="2:11" ht="13.5" customHeight="1">
      <c r="B1404" s="209" t="s">
        <v>197</v>
      </c>
      <c r="C1404" s="209" t="s">
        <v>2535</v>
      </c>
      <c r="D1404" s="216" t="s">
        <v>140</v>
      </c>
      <c r="E1404" s="273">
        <v>0</v>
      </c>
      <c r="F1404" s="274"/>
      <c r="G1404" s="274">
        <f t="shared" si="5"/>
        <v>0</v>
      </c>
      <c r="H1404" s="274">
        <v>0</v>
      </c>
      <c r="K1404" s="274"/>
    </row>
    <row r="1405" spans="2:11" ht="13.5" customHeight="1">
      <c r="B1405" s="209" t="s">
        <v>197</v>
      </c>
      <c r="C1405" s="209" t="s">
        <v>2535</v>
      </c>
      <c r="D1405" s="453" t="s">
        <v>141</v>
      </c>
      <c r="E1405" s="273">
        <v>0</v>
      </c>
      <c r="F1405" s="274"/>
      <c r="G1405" s="274">
        <f t="shared" si="5"/>
        <v>0</v>
      </c>
      <c r="H1405" s="274">
        <v>0</v>
      </c>
      <c r="K1405" s="274"/>
    </row>
    <row r="1406" spans="2:11" ht="13.5" customHeight="1">
      <c r="B1406" s="209" t="s">
        <v>199</v>
      </c>
      <c r="C1406" s="209" t="s">
        <v>2536</v>
      </c>
      <c r="D1406" s="446" t="s">
        <v>133</v>
      </c>
      <c r="E1406" s="273">
        <v>0</v>
      </c>
      <c r="F1406" s="274"/>
      <c r="G1406" s="274">
        <f t="shared" si="5"/>
        <v>0</v>
      </c>
      <c r="H1406" s="274">
        <v>0</v>
      </c>
      <c r="K1406" s="274"/>
    </row>
    <row r="1407" spans="2:11" ht="13.5" customHeight="1">
      <c r="B1407" s="209" t="s">
        <v>199</v>
      </c>
      <c r="C1407" s="209" t="s">
        <v>2536</v>
      </c>
      <c r="D1407" s="447" t="s">
        <v>134</v>
      </c>
      <c r="E1407" s="273">
        <v>0</v>
      </c>
      <c r="F1407" s="274"/>
      <c r="G1407" s="274">
        <f t="shared" si="5"/>
        <v>0</v>
      </c>
      <c r="H1407" s="274">
        <v>0</v>
      </c>
      <c r="K1407" s="274"/>
    </row>
    <row r="1408" spans="2:11" ht="13.5" customHeight="1">
      <c r="B1408" s="209" t="s">
        <v>199</v>
      </c>
      <c r="C1408" s="209" t="s">
        <v>2536</v>
      </c>
      <c r="D1408" s="448" t="s">
        <v>135</v>
      </c>
      <c r="E1408" s="273">
        <v>0</v>
      </c>
      <c r="F1408" s="274"/>
      <c r="G1408" s="274">
        <f t="shared" si="5"/>
        <v>0</v>
      </c>
      <c r="H1408" s="274">
        <v>0</v>
      </c>
      <c r="K1408" s="274"/>
    </row>
    <row r="1409" spans="2:11" ht="13.5" customHeight="1">
      <c r="B1409" s="209" t="s">
        <v>199</v>
      </c>
      <c r="C1409" s="209" t="s">
        <v>2536</v>
      </c>
      <c r="D1409" s="449" t="s">
        <v>136</v>
      </c>
      <c r="E1409" s="273">
        <v>0</v>
      </c>
      <c r="F1409" s="274"/>
      <c r="G1409" s="274">
        <f t="shared" si="5"/>
        <v>0</v>
      </c>
      <c r="H1409" s="274">
        <v>0</v>
      </c>
      <c r="K1409" s="274"/>
    </row>
    <row r="1410" spans="2:11" ht="13.5" customHeight="1">
      <c r="B1410" s="209" t="s">
        <v>199</v>
      </c>
      <c r="C1410" s="209" t="s">
        <v>2536</v>
      </c>
      <c r="D1410" s="450" t="s">
        <v>137</v>
      </c>
      <c r="E1410" s="273">
        <v>0</v>
      </c>
      <c r="F1410" s="274"/>
      <c r="G1410" s="274">
        <f t="shared" si="5"/>
        <v>0</v>
      </c>
      <c r="H1410" s="274">
        <v>0</v>
      </c>
      <c r="K1410" s="274"/>
    </row>
    <row r="1411" spans="2:11" ht="13.5" customHeight="1">
      <c r="B1411" s="209" t="s">
        <v>199</v>
      </c>
      <c r="C1411" s="209" t="s">
        <v>2536</v>
      </c>
      <c r="D1411" s="451" t="s">
        <v>138</v>
      </c>
      <c r="E1411" s="273">
        <v>0</v>
      </c>
      <c r="F1411" s="274"/>
      <c r="G1411" s="274">
        <f t="shared" si="5"/>
        <v>0</v>
      </c>
      <c r="H1411" s="274">
        <v>0</v>
      </c>
      <c r="K1411" s="274"/>
    </row>
    <row r="1412" spans="2:11" ht="13.5" customHeight="1">
      <c r="B1412" s="209" t="s">
        <v>199</v>
      </c>
      <c r="C1412" s="209" t="s">
        <v>2536</v>
      </c>
      <c r="D1412" s="452" t="s">
        <v>139</v>
      </c>
      <c r="E1412" s="273">
        <v>0</v>
      </c>
      <c r="F1412" s="274"/>
      <c r="G1412" s="274">
        <f t="shared" si="5"/>
        <v>0</v>
      </c>
      <c r="H1412" s="274">
        <v>0</v>
      </c>
      <c r="K1412" s="274"/>
    </row>
    <row r="1413" spans="2:11" ht="13.5" customHeight="1">
      <c r="B1413" s="209" t="s">
        <v>199</v>
      </c>
      <c r="C1413" s="209" t="s">
        <v>2536</v>
      </c>
      <c r="D1413" s="216" t="s">
        <v>140</v>
      </c>
      <c r="E1413" s="273">
        <v>0</v>
      </c>
      <c r="F1413" s="274"/>
      <c r="G1413" s="274">
        <f t="shared" si="5"/>
        <v>0</v>
      </c>
      <c r="H1413" s="274">
        <v>0</v>
      </c>
      <c r="K1413" s="274"/>
    </row>
    <row r="1414" spans="2:11" ht="13.5" customHeight="1">
      <c r="B1414" s="209" t="s">
        <v>199</v>
      </c>
      <c r="C1414" s="209" t="s">
        <v>2536</v>
      </c>
      <c r="D1414" s="453" t="s">
        <v>141</v>
      </c>
      <c r="E1414" s="273">
        <v>0</v>
      </c>
      <c r="F1414" s="274"/>
      <c r="G1414" s="274">
        <f t="shared" si="5"/>
        <v>0</v>
      </c>
      <c r="H1414" s="274">
        <v>0</v>
      </c>
      <c r="K1414" s="274"/>
    </row>
    <row r="1415" spans="2:11" ht="13.5" customHeight="1">
      <c r="B1415" s="209" t="s">
        <v>201</v>
      </c>
      <c r="C1415" s="209" t="s">
        <v>2537</v>
      </c>
      <c r="D1415" s="446" t="s">
        <v>133</v>
      </c>
      <c r="E1415" s="273">
        <v>0</v>
      </c>
      <c r="F1415" s="274"/>
      <c r="G1415" s="274">
        <f t="shared" si="5"/>
        <v>0</v>
      </c>
      <c r="H1415" s="274">
        <v>0</v>
      </c>
      <c r="K1415" s="274"/>
    </row>
    <row r="1416" spans="2:11" ht="13.5" customHeight="1">
      <c r="B1416" s="209" t="s">
        <v>201</v>
      </c>
      <c r="C1416" s="209" t="s">
        <v>2537</v>
      </c>
      <c r="D1416" s="447" t="s">
        <v>134</v>
      </c>
      <c r="E1416" s="273">
        <v>0</v>
      </c>
      <c r="F1416" s="274"/>
      <c r="G1416" s="274">
        <f t="shared" si="5"/>
        <v>0</v>
      </c>
      <c r="H1416" s="274">
        <v>0</v>
      </c>
      <c r="K1416" s="274"/>
    </row>
    <row r="1417" spans="2:11" ht="13.5" customHeight="1">
      <c r="B1417" s="209" t="s">
        <v>201</v>
      </c>
      <c r="C1417" s="209" t="s">
        <v>2537</v>
      </c>
      <c r="D1417" s="448" t="s">
        <v>135</v>
      </c>
      <c r="E1417" s="273">
        <v>0</v>
      </c>
      <c r="F1417" s="274"/>
      <c r="G1417" s="274">
        <f t="shared" si="5"/>
        <v>0</v>
      </c>
      <c r="H1417" s="274">
        <v>0</v>
      </c>
      <c r="K1417" s="274"/>
    </row>
    <row r="1418" spans="2:11" ht="13.5" customHeight="1">
      <c r="B1418" s="209" t="s">
        <v>201</v>
      </c>
      <c r="C1418" s="209" t="s">
        <v>2537</v>
      </c>
      <c r="D1418" s="449" t="s">
        <v>136</v>
      </c>
      <c r="E1418" s="273">
        <v>0</v>
      </c>
      <c r="F1418" s="274"/>
      <c r="G1418" s="274">
        <f t="shared" si="5"/>
        <v>0</v>
      </c>
      <c r="H1418" s="274">
        <v>0</v>
      </c>
      <c r="K1418" s="274"/>
    </row>
    <row r="1419" spans="2:11" ht="13.5" customHeight="1">
      <c r="B1419" s="209" t="s">
        <v>201</v>
      </c>
      <c r="C1419" s="209" t="s">
        <v>2537</v>
      </c>
      <c r="D1419" s="450" t="s">
        <v>137</v>
      </c>
      <c r="E1419" s="273">
        <v>0</v>
      </c>
      <c r="F1419" s="274"/>
      <c r="G1419" s="274">
        <f t="shared" si="5"/>
        <v>0</v>
      </c>
      <c r="H1419" s="274">
        <v>0</v>
      </c>
      <c r="K1419" s="274"/>
    </row>
    <row r="1420" spans="2:11" ht="13.5" customHeight="1">
      <c r="B1420" s="209" t="s">
        <v>201</v>
      </c>
      <c r="C1420" s="209" t="s">
        <v>2537</v>
      </c>
      <c r="D1420" s="451" t="s">
        <v>138</v>
      </c>
      <c r="E1420" s="273">
        <v>0</v>
      </c>
      <c r="F1420" s="274"/>
      <c r="G1420" s="274">
        <f t="shared" si="5"/>
        <v>0</v>
      </c>
      <c r="H1420" s="274">
        <v>0</v>
      </c>
      <c r="K1420" s="274"/>
    </row>
    <row r="1421" spans="2:11" ht="13.5" customHeight="1">
      <c r="B1421" s="209" t="s">
        <v>201</v>
      </c>
      <c r="C1421" s="209" t="s">
        <v>2537</v>
      </c>
      <c r="D1421" s="452" t="s">
        <v>139</v>
      </c>
      <c r="E1421" s="273">
        <v>0</v>
      </c>
      <c r="F1421" s="274"/>
      <c r="G1421" s="274">
        <f t="shared" si="5"/>
        <v>0</v>
      </c>
      <c r="H1421" s="274">
        <v>0</v>
      </c>
      <c r="K1421" s="274"/>
    </row>
    <row r="1422" spans="2:11" ht="13.5" customHeight="1">
      <c r="B1422" s="209" t="s">
        <v>201</v>
      </c>
      <c r="C1422" s="209" t="s">
        <v>2537</v>
      </c>
      <c r="D1422" s="216" t="s">
        <v>140</v>
      </c>
      <c r="E1422" s="273">
        <v>0</v>
      </c>
      <c r="F1422" s="274"/>
      <c r="G1422" s="274">
        <f t="shared" si="5"/>
        <v>0</v>
      </c>
      <c r="H1422" s="274">
        <v>0</v>
      </c>
      <c r="K1422" s="274"/>
    </row>
    <row r="1423" spans="2:11" ht="13.5" customHeight="1">
      <c r="B1423" s="209" t="s">
        <v>201</v>
      </c>
      <c r="C1423" s="209" t="s">
        <v>2537</v>
      </c>
      <c r="D1423" s="453" t="s">
        <v>141</v>
      </c>
      <c r="E1423" s="273">
        <v>0</v>
      </c>
      <c r="F1423" s="274"/>
      <c r="G1423" s="274">
        <f t="shared" si="5"/>
        <v>0</v>
      </c>
      <c r="H1423" s="274">
        <v>0</v>
      </c>
      <c r="K1423" s="274"/>
    </row>
    <row r="1424" spans="2:11" ht="13.5" customHeight="1">
      <c r="B1424" s="209" t="s">
        <v>266</v>
      </c>
      <c r="C1424" s="209" t="s">
        <v>2538</v>
      </c>
      <c r="D1424" s="446" t="s">
        <v>133</v>
      </c>
      <c r="E1424" s="273">
        <v>0</v>
      </c>
      <c r="F1424" s="274"/>
      <c r="G1424" s="274">
        <f t="shared" si="5"/>
        <v>0</v>
      </c>
      <c r="H1424" s="274">
        <v>0</v>
      </c>
      <c r="K1424" s="274"/>
    </row>
    <row r="1425" spans="2:11" ht="13.5" customHeight="1">
      <c r="B1425" s="209" t="s">
        <v>266</v>
      </c>
      <c r="C1425" s="209" t="s">
        <v>2538</v>
      </c>
      <c r="D1425" s="447" t="s">
        <v>134</v>
      </c>
      <c r="E1425" s="273">
        <v>0</v>
      </c>
      <c r="F1425" s="274"/>
      <c r="G1425" s="274">
        <f t="shared" si="5"/>
        <v>0</v>
      </c>
      <c r="H1425" s="274">
        <v>0</v>
      </c>
      <c r="K1425" s="274"/>
    </row>
    <row r="1426" spans="2:11" ht="13.5" customHeight="1">
      <c r="B1426" s="209" t="s">
        <v>266</v>
      </c>
      <c r="C1426" s="209" t="s">
        <v>2538</v>
      </c>
      <c r="D1426" s="448" t="s">
        <v>135</v>
      </c>
      <c r="E1426" s="273">
        <v>0</v>
      </c>
      <c r="F1426" s="274"/>
      <c r="G1426" s="274">
        <f t="shared" si="5"/>
        <v>0</v>
      </c>
      <c r="H1426" s="274">
        <v>0</v>
      </c>
      <c r="K1426" s="274"/>
    </row>
    <row r="1427" spans="2:11" ht="13.5" customHeight="1">
      <c r="B1427" s="209" t="s">
        <v>266</v>
      </c>
      <c r="C1427" s="209" t="s">
        <v>2538</v>
      </c>
      <c r="D1427" s="449" t="s">
        <v>136</v>
      </c>
      <c r="E1427" s="273">
        <v>0</v>
      </c>
      <c r="F1427" s="274"/>
      <c r="G1427" s="274">
        <f t="shared" si="5"/>
        <v>0</v>
      </c>
      <c r="H1427" s="274">
        <v>0</v>
      </c>
      <c r="K1427" s="274"/>
    </row>
    <row r="1428" spans="2:11" ht="13.5" customHeight="1">
      <c r="B1428" s="209" t="s">
        <v>266</v>
      </c>
      <c r="C1428" s="209" t="s">
        <v>2538</v>
      </c>
      <c r="D1428" s="450" t="s">
        <v>137</v>
      </c>
      <c r="E1428" s="273">
        <v>0</v>
      </c>
      <c r="F1428" s="274"/>
      <c r="G1428" s="274">
        <f t="shared" si="5"/>
        <v>0</v>
      </c>
      <c r="H1428" s="274">
        <v>0</v>
      </c>
      <c r="K1428" s="274"/>
    </row>
    <row r="1429" spans="2:11" ht="13.5" customHeight="1">
      <c r="B1429" s="209" t="s">
        <v>266</v>
      </c>
      <c r="C1429" s="209" t="s">
        <v>2538</v>
      </c>
      <c r="D1429" s="451" t="s">
        <v>138</v>
      </c>
      <c r="E1429" s="273">
        <v>0</v>
      </c>
      <c r="F1429" s="274"/>
      <c r="G1429" s="274">
        <f t="shared" si="5"/>
        <v>0</v>
      </c>
      <c r="H1429" s="274">
        <v>0</v>
      </c>
      <c r="K1429" s="274"/>
    </row>
    <row r="1430" spans="2:11" ht="13.5" customHeight="1">
      <c r="B1430" s="209" t="s">
        <v>266</v>
      </c>
      <c r="C1430" s="209" t="s">
        <v>2538</v>
      </c>
      <c r="D1430" s="452" t="s">
        <v>139</v>
      </c>
      <c r="E1430" s="273">
        <v>0</v>
      </c>
      <c r="F1430" s="274"/>
      <c r="G1430" s="274">
        <f t="shared" si="5"/>
        <v>0</v>
      </c>
      <c r="H1430" s="274">
        <v>0</v>
      </c>
      <c r="K1430" s="274"/>
    </row>
    <row r="1431" spans="2:11" ht="13.5" customHeight="1">
      <c r="B1431" s="209" t="s">
        <v>266</v>
      </c>
      <c r="C1431" s="209" t="s">
        <v>2538</v>
      </c>
      <c r="D1431" s="216" t="s">
        <v>140</v>
      </c>
      <c r="E1431" s="273">
        <v>0</v>
      </c>
      <c r="F1431" s="274"/>
      <c r="G1431" s="274">
        <f t="shared" si="5"/>
        <v>0</v>
      </c>
      <c r="H1431" s="274">
        <v>0</v>
      </c>
      <c r="K1431" s="274"/>
    </row>
    <row r="1432" spans="2:11" ht="13.5" customHeight="1">
      <c r="B1432" s="209" t="s">
        <v>266</v>
      </c>
      <c r="C1432" s="209" t="s">
        <v>2538</v>
      </c>
      <c r="D1432" s="453" t="s">
        <v>141</v>
      </c>
      <c r="E1432" s="273">
        <v>0</v>
      </c>
      <c r="F1432" s="274"/>
      <c r="G1432" s="274">
        <f t="shared" si="5"/>
        <v>0</v>
      </c>
      <c r="H1432" s="274">
        <v>0</v>
      </c>
      <c r="K1432" s="274"/>
    </row>
    <row r="1433" spans="2:11" ht="13.5" customHeight="1">
      <c r="B1433" s="209" t="s">
        <v>268</v>
      </c>
      <c r="C1433" s="209" t="s">
        <v>2539</v>
      </c>
      <c r="D1433" s="446" t="s">
        <v>133</v>
      </c>
      <c r="E1433" s="273">
        <v>0</v>
      </c>
      <c r="F1433" s="274"/>
      <c r="G1433" s="274">
        <f t="shared" si="5"/>
        <v>0</v>
      </c>
      <c r="H1433" s="274">
        <v>0</v>
      </c>
      <c r="K1433" s="274"/>
    </row>
    <row r="1434" spans="2:11" ht="13.5" customHeight="1">
      <c r="B1434" s="209" t="s">
        <v>268</v>
      </c>
      <c r="C1434" s="209" t="s">
        <v>2539</v>
      </c>
      <c r="D1434" s="447" t="s">
        <v>134</v>
      </c>
      <c r="E1434" s="273">
        <v>0</v>
      </c>
      <c r="F1434" s="274"/>
      <c r="G1434" s="274">
        <f t="shared" si="5"/>
        <v>0</v>
      </c>
      <c r="H1434" s="274">
        <v>0</v>
      </c>
      <c r="K1434" s="274"/>
    </row>
    <row r="1435" spans="2:11" ht="13.5" customHeight="1">
      <c r="B1435" s="209" t="s">
        <v>268</v>
      </c>
      <c r="C1435" s="209" t="s">
        <v>2539</v>
      </c>
      <c r="D1435" s="448" t="s">
        <v>135</v>
      </c>
      <c r="E1435" s="273">
        <v>0</v>
      </c>
      <c r="F1435" s="274"/>
      <c r="G1435" s="274">
        <f t="shared" si="5"/>
        <v>0</v>
      </c>
      <c r="H1435" s="274">
        <v>0</v>
      </c>
      <c r="K1435" s="274"/>
    </row>
    <row r="1436" spans="2:11" ht="13.5" customHeight="1">
      <c r="B1436" s="209" t="s">
        <v>268</v>
      </c>
      <c r="C1436" s="209" t="s">
        <v>2539</v>
      </c>
      <c r="D1436" s="449" t="s">
        <v>136</v>
      </c>
      <c r="E1436" s="273">
        <v>0</v>
      </c>
      <c r="F1436" s="274"/>
      <c r="G1436" s="274">
        <f t="shared" si="5"/>
        <v>0</v>
      </c>
      <c r="H1436" s="274">
        <v>0</v>
      </c>
      <c r="K1436" s="274"/>
    </row>
    <row r="1437" spans="2:11" ht="13.5" customHeight="1">
      <c r="B1437" s="209" t="s">
        <v>268</v>
      </c>
      <c r="C1437" s="209" t="s">
        <v>2539</v>
      </c>
      <c r="D1437" s="450" t="s">
        <v>137</v>
      </c>
      <c r="E1437" s="273">
        <v>0</v>
      </c>
      <c r="F1437" s="274"/>
      <c r="G1437" s="274">
        <f t="shared" si="5"/>
        <v>0</v>
      </c>
      <c r="H1437" s="274">
        <v>0</v>
      </c>
      <c r="K1437" s="274"/>
    </row>
    <row r="1438" spans="2:11" ht="13.5" customHeight="1">
      <c r="B1438" s="209" t="s">
        <v>268</v>
      </c>
      <c r="C1438" s="209" t="s">
        <v>2539</v>
      </c>
      <c r="D1438" s="451" t="s">
        <v>138</v>
      </c>
      <c r="E1438" s="273">
        <v>0</v>
      </c>
      <c r="F1438" s="274"/>
      <c r="G1438" s="274">
        <f t="shared" si="5"/>
        <v>0</v>
      </c>
      <c r="H1438" s="274">
        <v>0</v>
      </c>
      <c r="K1438" s="274"/>
    </row>
    <row r="1439" spans="2:11" ht="13.5" customHeight="1">
      <c r="B1439" s="209" t="s">
        <v>268</v>
      </c>
      <c r="C1439" s="209" t="s">
        <v>2539</v>
      </c>
      <c r="D1439" s="452" t="s">
        <v>139</v>
      </c>
      <c r="E1439" s="273">
        <v>0</v>
      </c>
      <c r="F1439" s="274"/>
      <c r="G1439" s="274">
        <f t="shared" si="5"/>
        <v>0</v>
      </c>
      <c r="H1439" s="274">
        <v>0</v>
      </c>
      <c r="K1439" s="274"/>
    </row>
    <row r="1440" spans="2:11" ht="13.5" customHeight="1">
      <c r="B1440" s="209" t="s">
        <v>268</v>
      </c>
      <c r="C1440" s="209" t="s">
        <v>2539</v>
      </c>
      <c r="D1440" s="216" t="s">
        <v>140</v>
      </c>
      <c r="E1440" s="273">
        <v>0</v>
      </c>
      <c r="F1440" s="274"/>
      <c r="G1440" s="274">
        <f t="shared" si="5"/>
        <v>0</v>
      </c>
      <c r="H1440" s="274">
        <v>0</v>
      </c>
      <c r="K1440" s="274"/>
    </row>
    <row r="1441" spans="2:11" ht="13.5" customHeight="1">
      <c r="B1441" s="209" t="s">
        <v>268</v>
      </c>
      <c r="C1441" s="209" t="s">
        <v>2539</v>
      </c>
      <c r="D1441" s="453" t="s">
        <v>141</v>
      </c>
      <c r="E1441" s="273">
        <v>0</v>
      </c>
      <c r="F1441" s="274"/>
      <c r="G1441" s="274">
        <f t="shared" si="5"/>
        <v>0</v>
      </c>
      <c r="H1441" s="274">
        <v>0</v>
      </c>
      <c r="K1441" s="274"/>
    </row>
    <row r="1442" spans="2:11" ht="13.5" customHeight="1">
      <c r="B1442" s="209" t="s">
        <v>295</v>
      </c>
      <c r="C1442" s="209" t="s">
        <v>2540</v>
      </c>
      <c r="D1442" s="446" t="s">
        <v>133</v>
      </c>
      <c r="E1442" s="273">
        <v>0</v>
      </c>
      <c r="F1442" s="274"/>
      <c r="G1442" s="274">
        <f t="shared" si="5"/>
        <v>0</v>
      </c>
      <c r="H1442" s="274">
        <v>0</v>
      </c>
      <c r="K1442" s="274"/>
    </row>
    <row r="1443" spans="2:11" ht="13.5" customHeight="1">
      <c r="B1443" s="209" t="s">
        <v>295</v>
      </c>
      <c r="C1443" s="209" t="s">
        <v>2540</v>
      </c>
      <c r="D1443" s="447" t="s">
        <v>134</v>
      </c>
      <c r="E1443" s="273">
        <v>0</v>
      </c>
      <c r="F1443" s="274"/>
      <c r="G1443" s="274">
        <f t="shared" si="5"/>
        <v>0</v>
      </c>
      <c r="H1443" s="274">
        <v>0</v>
      </c>
      <c r="K1443" s="274"/>
    </row>
    <row r="1444" spans="2:11" ht="13.5" customHeight="1">
      <c r="B1444" s="209" t="s">
        <v>295</v>
      </c>
      <c r="C1444" s="209" t="s">
        <v>2540</v>
      </c>
      <c r="D1444" s="448" t="s">
        <v>135</v>
      </c>
      <c r="E1444" s="273">
        <v>0</v>
      </c>
      <c r="F1444" s="274"/>
      <c r="G1444" s="274">
        <f t="shared" si="5"/>
        <v>0</v>
      </c>
      <c r="H1444" s="274">
        <v>0</v>
      </c>
      <c r="K1444" s="274"/>
    </row>
    <row r="1445" spans="2:11" ht="13.5" customHeight="1">
      <c r="B1445" s="209" t="s">
        <v>295</v>
      </c>
      <c r="C1445" s="209" t="s">
        <v>2540</v>
      </c>
      <c r="D1445" s="449" t="s">
        <v>136</v>
      </c>
      <c r="E1445" s="273">
        <v>0</v>
      </c>
      <c r="F1445" s="274"/>
      <c r="G1445" s="274">
        <f t="shared" si="5"/>
        <v>0</v>
      </c>
      <c r="H1445" s="274">
        <v>0</v>
      </c>
      <c r="K1445" s="274"/>
    </row>
    <row r="1446" spans="2:11" ht="13.5" customHeight="1">
      <c r="B1446" s="209" t="s">
        <v>295</v>
      </c>
      <c r="C1446" s="209" t="s">
        <v>2540</v>
      </c>
      <c r="D1446" s="450" t="s">
        <v>137</v>
      </c>
      <c r="E1446" s="273">
        <v>0</v>
      </c>
      <c r="F1446" s="274"/>
      <c r="G1446" s="274">
        <f t="shared" si="5"/>
        <v>0</v>
      </c>
      <c r="H1446" s="274">
        <v>0</v>
      </c>
      <c r="K1446" s="274"/>
    </row>
    <row r="1447" spans="2:11" ht="13.5" customHeight="1">
      <c r="B1447" s="209" t="s">
        <v>295</v>
      </c>
      <c r="C1447" s="209" t="s">
        <v>2540</v>
      </c>
      <c r="D1447" s="451" t="s">
        <v>138</v>
      </c>
      <c r="E1447" s="273">
        <v>0</v>
      </c>
      <c r="F1447" s="274"/>
      <c r="G1447" s="274">
        <f t="shared" si="5"/>
        <v>0</v>
      </c>
      <c r="H1447" s="274">
        <v>0</v>
      </c>
      <c r="K1447" s="274"/>
    </row>
    <row r="1448" spans="2:11" ht="13.5" customHeight="1">
      <c r="B1448" s="209" t="s">
        <v>295</v>
      </c>
      <c r="C1448" s="209" t="s">
        <v>2540</v>
      </c>
      <c r="D1448" s="452" t="s">
        <v>139</v>
      </c>
      <c r="E1448" s="273">
        <v>0</v>
      </c>
      <c r="F1448" s="274"/>
      <c r="G1448" s="274">
        <f t="shared" si="5"/>
        <v>0</v>
      </c>
      <c r="H1448" s="274">
        <v>0</v>
      </c>
      <c r="K1448" s="274"/>
    </row>
    <row r="1449" spans="2:11" ht="13.5" customHeight="1">
      <c r="B1449" s="209" t="s">
        <v>295</v>
      </c>
      <c r="C1449" s="209" t="s">
        <v>2540</v>
      </c>
      <c r="D1449" s="216" t="s">
        <v>140</v>
      </c>
      <c r="E1449" s="273">
        <v>0</v>
      </c>
      <c r="F1449" s="274"/>
      <c r="G1449" s="274">
        <f t="shared" si="5"/>
        <v>0</v>
      </c>
      <c r="H1449" s="274">
        <v>0</v>
      </c>
      <c r="K1449" s="274"/>
    </row>
    <row r="1450" spans="2:11" ht="13.5" customHeight="1">
      <c r="B1450" s="209" t="s">
        <v>295</v>
      </c>
      <c r="C1450" s="209" t="s">
        <v>2540</v>
      </c>
      <c r="D1450" s="453" t="s">
        <v>141</v>
      </c>
      <c r="E1450" s="273">
        <v>0</v>
      </c>
      <c r="F1450" s="274"/>
      <c r="G1450" s="274">
        <f t="shared" si="5"/>
        <v>0</v>
      </c>
      <c r="H1450" s="274">
        <v>0</v>
      </c>
      <c r="K1450" s="274"/>
    </row>
    <row r="1451" spans="2:11" ht="13.5" customHeight="1">
      <c r="B1451" s="209" t="s">
        <v>270</v>
      </c>
      <c r="C1451" s="209" t="s">
        <v>2541</v>
      </c>
      <c r="D1451" s="446" t="s">
        <v>133</v>
      </c>
      <c r="E1451" s="273">
        <v>0</v>
      </c>
      <c r="F1451" s="274"/>
      <c r="G1451" s="274">
        <f t="shared" si="5"/>
        <v>0</v>
      </c>
      <c r="H1451" s="274">
        <v>0</v>
      </c>
      <c r="K1451" s="274"/>
    </row>
    <row r="1452" spans="2:11" ht="13.5" customHeight="1">
      <c r="B1452" s="209" t="s">
        <v>270</v>
      </c>
      <c r="C1452" s="209" t="s">
        <v>2541</v>
      </c>
      <c r="D1452" s="447" t="s">
        <v>134</v>
      </c>
      <c r="E1452" s="273">
        <v>0</v>
      </c>
      <c r="F1452" s="274"/>
      <c r="G1452" s="274">
        <f t="shared" si="5"/>
        <v>0</v>
      </c>
      <c r="H1452" s="274">
        <v>0</v>
      </c>
      <c r="K1452" s="274"/>
    </row>
    <row r="1453" spans="2:11" ht="13.5" customHeight="1">
      <c r="B1453" s="209" t="s">
        <v>270</v>
      </c>
      <c r="C1453" s="209" t="s">
        <v>2541</v>
      </c>
      <c r="D1453" s="448" t="s">
        <v>135</v>
      </c>
      <c r="E1453" s="273">
        <v>0</v>
      </c>
      <c r="F1453" s="274"/>
      <c r="G1453" s="274">
        <f t="shared" si="5"/>
        <v>0</v>
      </c>
      <c r="H1453" s="274">
        <v>0</v>
      </c>
      <c r="K1453" s="274"/>
    </row>
    <row r="1454" spans="2:11" ht="13.5" customHeight="1">
      <c r="B1454" s="209" t="s">
        <v>270</v>
      </c>
      <c r="C1454" s="209" t="s">
        <v>2541</v>
      </c>
      <c r="D1454" s="449" t="s">
        <v>136</v>
      </c>
      <c r="E1454" s="273">
        <v>0</v>
      </c>
      <c r="F1454" s="274"/>
      <c r="G1454" s="274">
        <f t="shared" si="5"/>
        <v>0</v>
      </c>
      <c r="H1454" s="274">
        <v>0</v>
      </c>
      <c r="K1454" s="274"/>
    </row>
    <row r="1455" spans="2:11" ht="13.5" customHeight="1">
      <c r="B1455" s="209" t="s">
        <v>270</v>
      </c>
      <c r="C1455" s="209" t="s">
        <v>2541</v>
      </c>
      <c r="D1455" s="450" t="s">
        <v>137</v>
      </c>
      <c r="E1455" s="273">
        <v>0</v>
      </c>
      <c r="F1455" s="274"/>
      <c r="G1455" s="274">
        <f t="shared" si="5"/>
        <v>0</v>
      </c>
      <c r="H1455" s="274">
        <v>0</v>
      </c>
      <c r="K1455" s="274"/>
    </row>
    <row r="1456" spans="2:11" ht="13.5" customHeight="1">
      <c r="B1456" s="209" t="s">
        <v>270</v>
      </c>
      <c r="C1456" s="209" t="s">
        <v>2541</v>
      </c>
      <c r="D1456" s="451" t="s">
        <v>138</v>
      </c>
      <c r="E1456" s="273">
        <v>0</v>
      </c>
      <c r="F1456" s="274"/>
      <c r="G1456" s="274">
        <f t="shared" si="5"/>
        <v>0</v>
      </c>
      <c r="H1456" s="274">
        <v>0</v>
      </c>
      <c r="K1456" s="274"/>
    </row>
    <row r="1457" spans="2:11" ht="13.5" customHeight="1">
      <c r="B1457" s="209" t="s">
        <v>270</v>
      </c>
      <c r="C1457" s="209" t="s">
        <v>2541</v>
      </c>
      <c r="D1457" s="452" t="s">
        <v>139</v>
      </c>
      <c r="E1457" s="273">
        <v>0</v>
      </c>
      <c r="F1457" s="274"/>
      <c r="G1457" s="274">
        <f t="shared" si="5"/>
        <v>0</v>
      </c>
      <c r="H1457" s="274">
        <v>0</v>
      </c>
      <c r="K1457" s="274"/>
    </row>
    <row r="1458" spans="2:11" ht="13.5" customHeight="1">
      <c r="B1458" s="209" t="s">
        <v>270</v>
      </c>
      <c r="C1458" s="209" t="s">
        <v>2541</v>
      </c>
      <c r="D1458" s="216" t="s">
        <v>140</v>
      </c>
      <c r="E1458" s="273">
        <v>0</v>
      </c>
      <c r="F1458" s="274"/>
      <c r="G1458" s="274">
        <f t="shared" si="5"/>
        <v>0</v>
      </c>
      <c r="H1458" s="274">
        <v>0</v>
      </c>
      <c r="K1458" s="274"/>
    </row>
    <row r="1459" spans="2:11" ht="13.5" customHeight="1">
      <c r="B1459" s="209" t="s">
        <v>270</v>
      </c>
      <c r="C1459" s="209" t="s">
        <v>2541</v>
      </c>
      <c r="D1459" s="453" t="s">
        <v>141</v>
      </c>
      <c r="E1459" s="273">
        <v>0</v>
      </c>
      <c r="F1459" s="274"/>
      <c r="G1459" s="274">
        <f t="shared" si="5"/>
        <v>0</v>
      </c>
      <c r="H1459" s="274">
        <v>0</v>
      </c>
      <c r="K1459" s="274"/>
    </row>
    <row r="1460" spans="2:11" ht="13.5" customHeight="1">
      <c r="B1460" s="209" t="s">
        <v>297</v>
      </c>
      <c r="C1460" s="209" t="s">
        <v>2542</v>
      </c>
      <c r="D1460" s="446" t="s">
        <v>133</v>
      </c>
      <c r="E1460" s="273">
        <v>0</v>
      </c>
      <c r="F1460" s="274"/>
      <c r="G1460" s="274">
        <f t="shared" si="5"/>
        <v>0</v>
      </c>
      <c r="H1460" s="274">
        <v>0</v>
      </c>
      <c r="K1460" s="274"/>
    </row>
    <row r="1461" spans="2:11" ht="13.5" customHeight="1">
      <c r="B1461" s="209" t="s">
        <v>297</v>
      </c>
      <c r="C1461" s="209" t="s">
        <v>2542</v>
      </c>
      <c r="D1461" s="447" t="s">
        <v>134</v>
      </c>
      <c r="E1461" s="273">
        <v>0</v>
      </c>
      <c r="F1461" s="274"/>
      <c r="G1461" s="274">
        <f t="shared" si="5"/>
        <v>0</v>
      </c>
      <c r="H1461" s="274">
        <v>0</v>
      </c>
      <c r="K1461" s="274"/>
    </row>
    <row r="1462" spans="2:11" ht="13.5" customHeight="1">
      <c r="B1462" s="209" t="s">
        <v>297</v>
      </c>
      <c r="C1462" s="209" t="s">
        <v>2542</v>
      </c>
      <c r="D1462" s="448" t="s">
        <v>135</v>
      </c>
      <c r="E1462" s="273">
        <v>0</v>
      </c>
      <c r="F1462" s="274"/>
      <c r="G1462" s="274">
        <f t="shared" si="5"/>
        <v>0</v>
      </c>
      <c r="H1462" s="274">
        <v>0</v>
      </c>
      <c r="K1462" s="274"/>
    </row>
    <row r="1463" spans="2:11" ht="13.5" customHeight="1">
      <c r="B1463" s="209" t="s">
        <v>297</v>
      </c>
      <c r="C1463" s="209" t="s">
        <v>2542</v>
      </c>
      <c r="D1463" s="449" t="s">
        <v>136</v>
      </c>
      <c r="E1463" s="273">
        <v>0</v>
      </c>
      <c r="F1463" s="274"/>
      <c r="G1463" s="274">
        <f t="shared" si="5"/>
        <v>0</v>
      </c>
      <c r="H1463" s="274">
        <v>0</v>
      </c>
      <c r="K1463" s="274"/>
    </row>
    <row r="1464" spans="2:11" ht="13.5" customHeight="1">
      <c r="B1464" s="209" t="s">
        <v>297</v>
      </c>
      <c r="C1464" s="209" t="s">
        <v>2542</v>
      </c>
      <c r="D1464" s="450" t="s">
        <v>137</v>
      </c>
      <c r="E1464" s="273">
        <v>0</v>
      </c>
      <c r="F1464" s="274"/>
      <c r="G1464" s="274">
        <f t="shared" si="5"/>
        <v>0</v>
      </c>
      <c r="H1464" s="274">
        <v>0</v>
      </c>
      <c r="K1464" s="274"/>
    </row>
    <row r="1465" spans="2:11" ht="13.5" customHeight="1">
      <c r="B1465" s="209" t="s">
        <v>297</v>
      </c>
      <c r="C1465" s="209" t="s">
        <v>2542</v>
      </c>
      <c r="D1465" s="451" t="s">
        <v>138</v>
      </c>
      <c r="E1465" s="273">
        <v>0</v>
      </c>
      <c r="F1465" s="274"/>
      <c r="G1465" s="274">
        <f t="shared" si="5"/>
        <v>0</v>
      </c>
      <c r="H1465" s="274">
        <v>0</v>
      </c>
      <c r="K1465" s="274"/>
    </row>
    <row r="1466" spans="2:11" ht="13.5" customHeight="1">
      <c r="B1466" s="209" t="s">
        <v>297</v>
      </c>
      <c r="C1466" s="209" t="s">
        <v>2542</v>
      </c>
      <c r="D1466" s="452" t="s">
        <v>139</v>
      </c>
      <c r="E1466" s="273">
        <v>0</v>
      </c>
      <c r="F1466" s="274"/>
      <c r="G1466" s="274">
        <f t="shared" si="5"/>
        <v>0</v>
      </c>
      <c r="H1466" s="274">
        <v>0</v>
      </c>
      <c r="K1466" s="274"/>
    </row>
    <row r="1467" spans="2:11" ht="13.5" customHeight="1">
      <c r="B1467" s="209" t="s">
        <v>297</v>
      </c>
      <c r="C1467" s="209" t="s">
        <v>2542</v>
      </c>
      <c r="D1467" s="216" t="s">
        <v>140</v>
      </c>
      <c r="E1467" s="273">
        <v>0</v>
      </c>
      <c r="F1467" s="274"/>
      <c r="G1467" s="274">
        <f t="shared" si="5"/>
        <v>0</v>
      </c>
      <c r="H1467" s="274">
        <v>0</v>
      </c>
      <c r="K1467" s="274"/>
    </row>
    <row r="1468" spans="2:11" ht="13.5" customHeight="1">
      <c r="B1468" s="209" t="s">
        <v>297</v>
      </c>
      <c r="C1468" s="209" t="s">
        <v>2542</v>
      </c>
      <c r="D1468" s="453" t="s">
        <v>141</v>
      </c>
      <c r="E1468" s="273">
        <v>0</v>
      </c>
      <c r="F1468" s="274"/>
      <c r="G1468" s="274">
        <f t="shared" si="5"/>
        <v>0</v>
      </c>
      <c r="H1468" s="274">
        <v>0</v>
      </c>
      <c r="K1468" s="274"/>
    </row>
    <row r="1469" spans="2:11" ht="13.5" customHeight="1">
      <c r="B1469" s="209" t="s">
        <v>239</v>
      </c>
      <c r="C1469" s="209" t="s">
        <v>2543</v>
      </c>
      <c r="D1469" s="446" t="s">
        <v>133</v>
      </c>
      <c r="E1469" s="273">
        <v>0</v>
      </c>
      <c r="F1469" s="274"/>
      <c r="G1469" s="274">
        <f t="shared" si="5"/>
        <v>0</v>
      </c>
      <c r="H1469" s="274">
        <v>0</v>
      </c>
      <c r="K1469" s="274"/>
    </row>
    <row r="1470" spans="2:11" ht="13.5" customHeight="1">
      <c r="B1470" s="209" t="s">
        <v>239</v>
      </c>
      <c r="C1470" s="209" t="s">
        <v>2543</v>
      </c>
      <c r="D1470" s="447" t="s">
        <v>134</v>
      </c>
      <c r="E1470" s="273">
        <v>0</v>
      </c>
      <c r="F1470" s="274"/>
      <c r="G1470" s="274">
        <f t="shared" si="5"/>
        <v>0</v>
      </c>
      <c r="H1470" s="274">
        <v>0</v>
      </c>
      <c r="K1470" s="274"/>
    </row>
    <row r="1471" spans="2:11" ht="13.5" customHeight="1">
      <c r="B1471" s="209" t="s">
        <v>239</v>
      </c>
      <c r="C1471" s="209" t="s">
        <v>2543</v>
      </c>
      <c r="D1471" s="448" t="s">
        <v>135</v>
      </c>
      <c r="E1471" s="273">
        <v>0</v>
      </c>
      <c r="F1471" s="274"/>
      <c r="G1471" s="274">
        <f t="shared" si="5"/>
        <v>0</v>
      </c>
      <c r="H1471" s="274">
        <v>0</v>
      </c>
      <c r="K1471" s="274"/>
    </row>
    <row r="1472" spans="2:11" ht="13.5" customHeight="1">
      <c r="B1472" s="209" t="s">
        <v>239</v>
      </c>
      <c r="C1472" s="209" t="s">
        <v>2543</v>
      </c>
      <c r="D1472" s="449" t="s">
        <v>136</v>
      </c>
      <c r="E1472" s="273">
        <v>0</v>
      </c>
      <c r="F1472" s="274"/>
      <c r="G1472" s="274">
        <f t="shared" si="5"/>
        <v>0</v>
      </c>
      <c r="H1472" s="274">
        <v>0</v>
      </c>
      <c r="K1472" s="274"/>
    </row>
    <row r="1473" spans="2:11" ht="13.5" customHeight="1">
      <c r="B1473" s="209" t="s">
        <v>239</v>
      </c>
      <c r="C1473" s="209" t="s">
        <v>2543</v>
      </c>
      <c r="D1473" s="450" t="s">
        <v>137</v>
      </c>
      <c r="E1473" s="273">
        <v>0</v>
      </c>
      <c r="F1473" s="274"/>
      <c r="G1473" s="274">
        <f t="shared" si="5"/>
        <v>0</v>
      </c>
      <c r="H1473" s="274">
        <v>0</v>
      </c>
      <c r="K1473" s="274"/>
    </row>
    <row r="1474" spans="2:11" ht="13.5" customHeight="1">
      <c r="B1474" s="209" t="s">
        <v>239</v>
      </c>
      <c r="C1474" s="209" t="s">
        <v>2543</v>
      </c>
      <c r="D1474" s="451" t="s">
        <v>138</v>
      </c>
      <c r="E1474" s="273">
        <v>0</v>
      </c>
      <c r="F1474" s="274"/>
      <c r="G1474" s="274">
        <f t="shared" si="5"/>
        <v>0</v>
      </c>
      <c r="H1474" s="274">
        <v>0</v>
      </c>
      <c r="K1474" s="274"/>
    </row>
    <row r="1475" spans="2:11" ht="13.5" customHeight="1">
      <c r="B1475" s="209" t="s">
        <v>239</v>
      </c>
      <c r="C1475" s="209" t="s">
        <v>2543</v>
      </c>
      <c r="D1475" s="452" t="s">
        <v>139</v>
      </c>
      <c r="E1475" s="273">
        <v>0</v>
      </c>
      <c r="F1475" s="274"/>
      <c r="G1475" s="274">
        <f t="shared" si="5"/>
        <v>0</v>
      </c>
      <c r="H1475" s="274">
        <v>0</v>
      </c>
      <c r="K1475" s="274"/>
    </row>
    <row r="1476" spans="2:11" ht="13.5" customHeight="1">
      <c r="B1476" s="209" t="s">
        <v>239</v>
      </c>
      <c r="C1476" s="209" t="s">
        <v>2543</v>
      </c>
      <c r="D1476" s="216" t="s">
        <v>140</v>
      </c>
      <c r="E1476" s="273">
        <v>0</v>
      </c>
      <c r="F1476" s="274"/>
      <c r="G1476" s="274">
        <f t="shared" si="5"/>
        <v>0</v>
      </c>
      <c r="H1476" s="274">
        <v>0</v>
      </c>
      <c r="K1476" s="274"/>
    </row>
    <row r="1477" spans="2:11" ht="13.5" customHeight="1">
      <c r="B1477" s="209" t="s">
        <v>239</v>
      </c>
      <c r="C1477" s="209" t="s">
        <v>2543</v>
      </c>
      <c r="D1477" s="453" t="s">
        <v>141</v>
      </c>
      <c r="E1477" s="273">
        <v>0</v>
      </c>
      <c r="F1477" s="274"/>
      <c r="G1477" s="274">
        <f t="shared" si="5"/>
        <v>0</v>
      </c>
      <c r="H1477" s="274">
        <v>0</v>
      </c>
      <c r="K1477" s="274"/>
    </row>
    <row r="1478" spans="2:11" ht="13.5" customHeight="1">
      <c r="B1478" s="209" t="s">
        <v>241</v>
      </c>
      <c r="C1478" s="209" t="s">
        <v>2544</v>
      </c>
      <c r="D1478" s="446" t="s">
        <v>133</v>
      </c>
      <c r="E1478" s="273">
        <v>0</v>
      </c>
      <c r="F1478" s="274"/>
      <c r="G1478" s="274">
        <f t="shared" si="5"/>
        <v>0</v>
      </c>
      <c r="H1478" s="274">
        <v>0</v>
      </c>
      <c r="K1478" s="274"/>
    </row>
    <row r="1479" spans="2:11" ht="13.5" customHeight="1">
      <c r="B1479" s="209" t="s">
        <v>241</v>
      </c>
      <c r="C1479" s="209" t="s">
        <v>2544</v>
      </c>
      <c r="D1479" s="447" t="s">
        <v>134</v>
      </c>
      <c r="E1479" s="273">
        <v>0</v>
      </c>
      <c r="F1479" s="274"/>
      <c r="G1479" s="274">
        <f t="shared" si="5"/>
        <v>0</v>
      </c>
      <c r="H1479" s="274">
        <v>0</v>
      </c>
      <c r="K1479" s="274"/>
    </row>
    <row r="1480" spans="2:11" ht="13.5" customHeight="1">
      <c r="B1480" s="209" t="s">
        <v>241</v>
      </c>
      <c r="C1480" s="209" t="s">
        <v>2544</v>
      </c>
      <c r="D1480" s="448" t="s">
        <v>135</v>
      </c>
      <c r="E1480" s="273">
        <v>0</v>
      </c>
      <c r="F1480" s="274"/>
      <c r="G1480" s="274">
        <f t="shared" si="5"/>
        <v>0</v>
      </c>
      <c r="H1480" s="274">
        <v>0</v>
      </c>
      <c r="K1480" s="274"/>
    </row>
    <row r="1481" spans="2:11" ht="13.5" customHeight="1">
      <c r="B1481" s="209" t="s">
        <v>241</v>
      </c>
      <c r="C1481" s="209" t="s">
        <v>2544</v>
      </c>
      <c r="D1481" s="449" t="s">
        <v>136</v>
      </c>
      <c r="E1481" s="273">
        <v>0</v>
      </c>
      <c r="F1481" s="274"/>
      <c r="G1481" s="274">
        <f t="shared" si="5"/>
        <v>0</v>
      </c>
      <c r="H1481" s="274">
        <v>0</v>
      </c>
      <c r="K1481" s="274"/>
    </row>
    <row r="1482" spans="2:11" ht="13.5" customHeight="1">
      <c r="B1482" s="209" t="s">
        <v>241</v>
      </c>
      <c r="C1482" s="209" t="s">
        <v>2544</v>
      </c>
      <c r="D1482" s="450" t="s">
        <v>137</v>
      </c>
      <c r="E1482" s="273">
        <v>0</v>
      </c>
      <c r="F1482" s="274"/>
      <c r="G1482" s="274">
        <f t="shared" si="5"/>
        <v>0</v>
      </c>
      <c r="H1482" s="274">
        <v>0</v>
      </c>
      <c r="K1482" s="274"/>
    </row>
    <row r="1483" spans="2:11" ht="13.5" customHeight="1">
      <c r="B1483" s="209" t="s">
        <v>241</v>
      </c>
      <c r="C1483" s="209" t="s">
        <v>2544</v>
      </c>
      <c r="D1483" s="451" t="s">
        <v>138</v>
      </c>
      <c r="E1483" s="273">
        <v>0</v>
      </c>
      <c r="F1483" s="274"/>
      <c r="G1483" s="274">
        <f t="shared" si="5"/>
        <v>0</v>
      </c>
      <c r="H1483" s="274">
        <v>0</v>
      </c>
      <c r="K1483" s="274"/>
    </row>
    <row r="1484" spans="2:11" ht="13.5" customHeight="1">
      <c r="B1484" s="209" t="s">
        <v>241</v>
      </c>
      <c r="C1484" s="209" t="s">
        <v>2544</v>
      </c>
      <c r="D1484" s="452" t="s">
        <v>139</v>
      </c>
      <c r="E1484" s="273">
        <v>0</v>
      </c>
      <c r="F1484" s="274"/>
      <c r="G1484" s="274">
        <f t="shared" si="5"/>
        <v>0</v>
      </c>
      <c r="H1484" s="274">
        <v>0</v>
      </c>
      <c r="K1484" s="274"/>
    </row>
    <row r="1485" spans="2:11" ht="13.5" customHeight="1">
      <c r="B1485" s="209" t="s">
        <v>241</v>
      </c>
      <c r="C1485" s="209" t="s">
        <v>2544</v>
      </c>
      <c r="D1485" s="216" t="s">
        <v>140</v>
      </c>
      <c r="E1485" s="273">
        <v>0</v>
      </c>
      <c r="F1485" s="274"/>
      <c r="G1485" s="274">
        <f t="shared" si="5"/>
        <v>0</v>
      </c>
      <c r="H1485" s="274">
        <v>0</v>
      </c>
      <c r="K1485" s="274"/>
    </row>
    <row r="1486" spans="2:11" ht="13.5" customHeight="1">
      <c r="B1486" s="209" t="s">
        <v>241</v>
      </c>
      <c r="C1486" s="209" t="s">
        <v>2544</v>
      </c>
      <c r="D1486" s="453" t="s">
        <v>141</v>
      </c>
      <c r="E1486" s="273">
        <v>0</v>
      </c>
      <c r="F1486" s="274"/>
      <c r="G1486" s="274">
        <f t="shared" si="5"/>
        <v>0</v>
      </c>
      <c r="H1486" s="274">
        <v>0</v>
      </c>
      <c r="K1486" s="274"/>
    </row>
    <row r="1487" spans="2:11" ht="13.5" customHeight="1">
      <c r="B1487" s="209" t="s">
        <v>299</v>
      </c>
      <c r="C1487" s="209" t="s">
        <v>2545</v>
      </c>
      <c r="D1487" s="446" t="s">
        <v>133</v>
      </c>
      <c r="E1487" s="273">
        <v>0</v>
      </c>
      <c r="F1487" s="274"/>
      <c r="G1487" s="274">
        <f t="shared" si="5"/>
        <v>0</v>
      </c>
      <c r="H1487" s="274">
        <v>0</v>
      </c>
      <c r="K1487" s="274"/>
    </row>
    <row r="1488" spans="2:11" ht="13.5" customHeight="1">
      <c r="B1488" s="209" t="s">
        <v>299</v>
      </c>
      <c r="C1488" s="209" t="s">
        <v>2545</v>
      </c>
      <c r="D1488" s="447" t="s">
        <v>134</v>
      </c>
      <c r="E1488" s="273">
        <v>0</v>
      </c>
      <c r="F1488" s="274"/>
      <c r="G1488" s="274">
        <f t="shared" si="5"/>
        <v>0</v>
      </c>
      <c r="H1488" s="274">
        <v>0</v>
      </c>
      <c r="K1488" s="274"/>
    </row>
    <row r="1489" spans="2:11" ht="13.5" customHeight="1">
      <c r="B1489" s="209" t="s">
        <v>299</v>
      </c>
      <c r="C1489" s="209" t="s">
        <v>2545</v>
      </c>
      <c r="D1489" s="448" t="s">
        <v>135</v>
      </c>
      <c r="E1489" s="273">
        <v>0</v>
      </c>
      <c r="F1489" s="274"/>
      <c r="G1489" s="274">
        <f t="shared" si="5"/>
        <v>0</v>
      </c>
      <c r="H1489" s="274">
        <v>0</v>
      </c>
      <c r="K1489" s="274"/>
    </row>
    <row r="1490" spans="2:11" ht="13.5" customHeight="1">
      <c r="B1490" s="209" t="s">
        <v>299</v>
      </c>
      <c r="C1490" s="209" t="s">
        <v>2545</v>
      </c>
      <c r="D1490" s="449" t="s">
        <v>136</v>
      </c>
      <c r="E1490" s="273">
        <v>0</v>
      </c>
      <c r="F1490" s="274"/>
      <c r="G1490" s="274">
        <f t="shared" si="5"/>
        <v>0</v>
      </c>
      <c r="H1490" s="274">
        <v>0</v>
      </c>
      <c r="K1490" s="274"/>
    </row>
    <row r="1491" spans="2:11" ht="13.5" customHeight="1">
      <c r="B1491" s="209" t="s">
        <v>299</v>
      </c>
      <c r="C1491" s="209" t="s">
        <v>2545</v>
      </c>
      <c r="D1491" s="450" t="s">
        <v>137</v>
      </c>
      <c r="E1491" s="273">
        <v>0</v>
      </c>
      <c r="F1491" s="274"/>
      <c r="G1491" s="274">
        <f t="shared" si="5"/>
        <v>0</v>
      </c>
      <c r="H1491" s="274">
        <v>0</v>
      </c>
      <c r="K1491" s="274"/>
    </row>
    <row r="1492" spans="2:11" ht="13.5" customHeight="1">
      <c r="B1492" s="209" t="s">
        <v>299</v>
      </c>
      <c r="C1492" s="209" t="s">
        <v>2545</v>
      </c>
      <c r="D1492" s="451" t="s">
        <v>138</v>
      </c>
      <c r="E1492" s="273">
        <v>0</v>
      </c>
      <c r="F1492" s="274"/>
      <c r="G1492" s="274">
        <f t="shared" si="5"/>
        <v>0</v>
      </c>
      <c r="H1492" s="274">
        <v>0</v>
      </c>
      <c r="K1492" s="274"/>
    </row>
    <row r="1493" spans="2:11" ht="13.5" customHeight="1">
      <c r="B1493" s="209" t="s">
        <v>299</v>
      </c>
      <c r="C1493" s="209" t="s">
        <v>2545</v>
      </c>
      <c r="D1493" s="452" t="s">
        <v>139</v>
      </c>
      <c r="E1493" s="273">
        <v>0</v>
      </c>
      <c r="F1493" s="274"/>
      <c r="G1493" s="274">
        <f t="shared" si="5"/>
        <v>0</v>
      </c>
      <c r="H1493" s="274">
        <v>0</v>
      </c>
      <c r="K1493" s="274"/>
    </row>
    <row r="1494" spans="2:11" ht="13.5" customHeight="1">
      <c r="B1494" s="209" t="s">
        <v>299</v>
      </c>
      <c r="C1494" s="209" t="s">
        <v>2545</v>
      </c>
      <c r="D1494" s="216" t="s">
        <v>140</v>
      </c>
      <c r="E1494" s="273">
        <v>0</v>
      </c>
      <c r="F1494" s="274"/>
      <c r="G1494" s="274">
        <f t="shared" si="5"/>
        <v>0</v>
      </c>
      <c r="H1494" s="274">
        <v>0</v>
      </c>
      <c r="K1494" s="274"/>
    </row>
    <row r="1495" spans="2:11" ht="13.5" customHeight="1">
      <c r="B1495" s="209" t="s">
        <v>299</v>
      </c>
      <c r="C1495" s="209" t="s">
        <v>2545</v>
      </c>
      <c r="D1495" s="453" t="s">
        <v>141</v>
      </c>
      <c r="E1495" s="273">
        <v>0</v>
      </c>
      <c r="F1495" s="274"/>
      <c r="G1495" s="274">
        <f t="shared" si="5"/>
        <v>0</v>
      </c>
      <c r="H1495" s="274">
        <v>0</v>
      </c>
      <c r="K1495" s="274"/>
    </row>
    <row r="1496" spans="2:11" ht="13.5" customHeight="1">
      <c r="B1496" s="209" t="s">
        <v>301</v>
      </c>
      <c r="C1496" s="209" t="s">
        <v>2546</v>
      </c>
      <c r="D1496" s="446" t="s">
        <v>133</v>
      </c>
      <c r="E1496" s="273">
        <v>0</v>
      </c>
      <c r="F1496" s="274"/>
      <c r="G1496" s="274">
        <f t="shared" si="5"/>
        <v>0</v>
      </c>
      <c r="H1496" s="274">
        <v>0</v>
      </c>
      <c r="K1496" s="274"/>
    </row>
    <row r="1497" spans="2:11" ht="13.5" customHeight="1">
      <c r="B1497" s="209" t="s">
        <v>301</v>
      </c>
      <c r="C1497" s="209" t="s">
        <v>2546</v>
      </c>
      <c r="D1497" s="447" t="s">
        <v>134</v>
      </c>
      <c r="E1497" s="273">
        <v>0</v>
      </c>
      <c r="F1497" s="274"/>
      <c r="G1497" s="274">
        <f t="shared" si="5"/>
        <v>0</v>
      </c>
      <c r="H1497" s="274">
        <v>0</v>
      </c>
      <c r="K1497" s="274"/>
    </row>
    <row r="1498" spans="2:11" ht="13.5" customHeight="1">
      <c r="B1498" s="209" t="s">
        <v>301</v>
      </c>
      <c r="C1498" s="209" t="s">
        <v>2546</v>
      </c>
      <c r="D1498" s="448" t="s">
        <v>135</v>
      </c>
      <c r="E1498" s="273">
        <v>0</v>
      </c>
      <c r="F1498" s="274"/>
      <c r="G1498" s="274">
        <f t="shared" si="5"/>
        <v>0</v>
      </c>
      <c r="H1498" s="274">
        <v>0</v>
      </c>
      <c r="K1498" s="274"/>
    </row>
    <row r="1499" spans="2:11" ht="13.5" customHeight="1">
      <c r="B1499" s="209" t="s">
        <v>301</v>
      </c>
      <c r="C1499" s="209" t="s">
        <v>2546</v>
      </c>
      <c r="D1499" s="449" t="s">
        <v>136</v>
      </c>
      <c r="E1499" s="273">
        <v>0</v>
      </c>
      <c r="F1499" s="274"/>
      <c r="G1499" s="274">
        <f t="shared" si="5"/>
        <v>0</v>
      </c>
      <c r="H1499" s="274">
        <v>0</v>
      </c>
      <c r="K1499" s="274"/>
    </row>
    <row r="1500" spans="2:11" ht="13.5" customHeight="1">
      <c r="B1500" s="209" t="s">
        <v>301</v>
      </c>
      <c r="C1500" s="209" t="s">
        <v>2546</v>
      </c>
      <c r="D1500" s="450" t="s">
        <v>137</v>
      </c>
      <c r="E1500" s="273">
        <v>0</v>
      </c>
      <c r="F1500" s="274"/>
      <c r="G1500" s="274">
        <f t="shared" si="5"/>
        <v>0</v>
      </c>
      <c r="H1500" s="274">
        <v>0</v>
      </c>
      <c r="K1500" s="274"/>
    </row>
    <row r="1501" spans="2:11" ht="13.5" customHeight="1">
      <c r="B1501" s="209" t="s">
        <v>301</v>
      </c>
      <c r="C1501" s="209" t="s">
        <v>2546</v>
      </c>
      <c r="D1501" s="451" t="s">
        <v>138</v>
      </c>
      <c r="E1501" s="273">
        <v>0</v>
      </c>
      <c r="F1501" s="274"/>
      <c r="G1501" s="274">
        <f t="shared" si="5"/>
        <v>0</v>
      </c>
      <c r="H1501" s="274">
        <v>0</v>
      </c>
      <c r="K1501" s="274"/>
    </row>
    <row r="1502" spans="2:11" ht="13.5" customHeight="1">
      <c r="B1502" s="209" t="s">
        <v>301</v>
      </c>
      <c r="C1502" s="209" t="s">
        <v>2546</v>
      </c>
      <c r="D1502" s="452" t="s">
        <v>139</v>
      </c>
      <c r="E1502" s="273">
        <v>0</v>
      </c>
      <c r="F1502" s="274"/>
      <c r="G1502" s="274">
        <f t="shared" si="5"/>
        <v>0</v>
      </c>
      <c r="H1502" s="274">
        <v>0</v>
      </c>
      <c r="K1502" s="274"/>
    </row>
    <row r="1503" spans="2:11" ht="13.5" customHeight="1">
      <c r="B1503" s="209" t="s">
        <v>301</v>
      </c>
      <c r="C1503" s="209" t="s">
        <v>2546</v>
      </c>
      <c r="D1503" s="216" t="s">
        <v>140</v>
      </c>
      <c r="E1503" s="273">
        <v>0</v>
      </c>
      <c r="F1503" s="274"/>
      <c r="G1503" s="274">
        <f t="shared" si="5"/>
        <v>0</v>
      </c>
      <c r="H1503" s="274">
        <v>0</v>
      </c>
      <c r="K1503" s="274"/>
    </row>
    <row r="1504" spans="2:11" ht="13.5" customHeight="1">
      <c r="B1504" s="209" t="s">
        <v>301</v>
      </c>
      <c r="C1504" s="209" t="s">
        <v>2546</v>
      </c>
      <c r="D1504" s="453" t="s">
        <v>141</v>
      </c>
      <c r="E1504" s="273">
        <v>0</v>
      </c>
      <c r="F1504" s="274"/>
      <c r="G1504" s="274">
        <f t="shared" si="5"/>
        <v>0</v>
      </c>
      <c r="H1504" s="274">
        <v>0</v>
      </c>
      <c r="K1504" s="274"/>
    </row>
    <row r="1505" spans="2:11" ht="13.5" customHeight="1">
      <c r="B1505" s="209" t="s">
        <v>303</v>
      </c>
      <c r="C1505" s="209" t="s">
        <v>2547</v>
      </c>
      <c r="D1505" s="446" t="s">
        <v>133</v>
      </c>
      <c r="E1505" s="273">
        <v>0</v>
      </c>
      <c r="F1505" s="274"/>
      <c r="G1505" s="274">
        <f t="shared" si="5"/>
        <v>0</v>
      </c>
      <c r="H1505" s="274">
        <v>0</v>
      </c>
      <c r="K1505" s="274"/>
    </row>
    <row r="1506" spans="2:11" ht="13.5" customHeight="1">
      <c r="B1506" s="209" t="s">
        <v>303</v>
      </c>
      <c r="C1506" s="209" t="s">
        <v>2547</v>
      </c>
      <c r="D1506" s="447" t="s">
        <v>134</v>
      </c>
      <c r="E1506" s="273">
        <v>0</v>
      </c>
      <c r="F1506" s="274"/>
      <c r="G1506" s="274">
        <f t="shared" si="5"/>
        <v>0</v>
      </c>
      <c r="H1506" s="274">
        <v>0</v>
      </c>
      <c r="K1506" s="274"/>
    </row>
    <row r="1507" spans="2:11" ht="13.5" customHeight="1">
      <c r="B1507" s="209" t="s">
        <v>303</v>
      </c>
      <c r="C1507" s="209" t="s">
        <v>2547</v>
      </c>
      <c r="D1507" s="448" t="s">
        <v>135</v>
      </c>
      <c r="E1507" s="273">
        <v>0</v>
      </c>
      <c r="F1507" s="274"/>
      <c r="G1507" s="274">
        <f t="shared" si="5"/>
        <v>0</v>
      </c>
      <c r="H1507" s="274">
        <v>0</v>
      </c>
      <c r="K1507" s="274"/>
    </row>
    <row r="1508" spans="2:11" ht="13.5" customHeight="1">
      <c r="B1508" s="209" t="s">
        <v>303</v>
      </c>
      <c r="C1508" s="209" t="s">
        <v>2547</v>
      </c>
      <c r="D1508" s="449" t="s">
        <v>136</v>
      </c>
      <c r="E1508" s="273">
        <v>0</v>
      </c>
      <c r="F1508" s="274"/>
      <c r="G1508" s="274">
        <f t="shared" si="5"/>
        <v>0</v>
      </c>
      <c r="H1508" s="274">
        <v>0</v>
      </c>
      <c r="K1508" s="274"/>
    </row>
    <row r="1509" spans="2:11" ht="13.5" customHeight="1">
      <c r="B1509" s="209" t="s">
        <v>303</v>
      </c>
      <c r="C1509" s="209" t="s">
        <v>2547</v>
      </c>
      <c r="D1509" s="450" t="s">
        <v>137</v>
      </c>
      <c r="E1509" s="273">
        <v>0</v>
      </c>
      <c r="F1509" s="274"/>
      <c r="G1509" s="274">
        <f t="shared" si="5"/>
        <v>0</v>
      </c>
      <c r="H1509" s="274">
        <v>0</v>
      </c>
      <c r="K1509" s="274"/>
    </row>
    <row r="1510" spans="2:11" ht="13.5" customHeight="1">
      <c r="B1510" s="209" t="s">
        <v>303</v>
      </c>
      <c r="C1510" s="209" t="s">
        <v>2547</v>
      </c>
      <c r="D1510" s="451" t="s">
        <v>138</v>
      </c>
      <c r="E1510" s="273">
        <v>0</v>
      </c>
      <c r="F1510" s="274"/>
      <c r="G1510" s="274">
        <f t="shared" si="5"/>
        <v>0</v>
      </c>
      <c r="H1510" s="274">
        <v>0</v>
      </c>
      <c r="K1510" s="274"/>
    </row>
    <row r="1511" spans="2:11" ht="13.5" customHeight="1">
      <c r="B1511" s="209" t="s">
        <v>303</v>
      </c>
      <c r="C1511" s="209" t="s">
        <v>2547</v>
      </c>
      <c r="D1511" s="452" t="s">
        <v>139</v>
      </c>
      <c r="E1511" s="273">
        <v>0</v>
      </c>
      <c r="F1511" s="274"/>
      <c r="G1511" s="274">
        <f t="shared" si="5"/>
        <v>0</v>
      </c>
      <c r="H1511" s="274">
        <v>0</v>
      </c>
      <c r="K1511" s="274"/>
    </row>
    <row r="1512" spans="2:11" ht="13.5" customHeight="1">
      <c r="B1512" s="209" t="s">
        <v>303</v>
      </c>
      <c r="C1512" s="209" t="s">
        <v>2547</v>
      </c>
      <c r="D1512" s="216" t="s">
        <v>140</v>
      </c>
      <c r="E1512" s="273">
        <v>0</v>
      </c>
      <c r="F1512" s="274"/>
      <c r="G1512" s="274">
        <f t="shared" si="5"/>
        <v>0</v>
      </c>
      <c r="H1512" s="274">
        <v>0</v>
      </c>
      <c r="K1512" s="274"/>
    </row>
    <row r="1513" spans="2:11" ht="13.5" customHeight="1">
      <c r="B1513" s="209" t="s">
        <v>303</v>
      </c>
      <c r="C1513" s="209" t="s">
        <v>2547</v>
      </c>
      <c r="D1513" s="453" t="s">
        <v>141</v>
      </c>
      <c r="E1513" s="273">
        <v>0</v>
      </c>
      <c r="F1513" s="274"/>
      <c r="G1513" s="274">
        <f t="shared" si="5"/>
        <v>0</v>
      </c>
      <c r="H1513" s="274">
        <v>0</v>
      </c>
      <c r="K1513" s="274"/>
    </row>
    <row r="1514" spans="2:11" ht="13.5" customHeight="1">
      <c r="B1514" s="209" t="s">
        <v>305</v>
      </c>
      <c r="C1514" s="209" t="s">
        <v>2548</v>
      </c>
      <c r="D1514" s="446" t="s">
        <v>133</v>
      </c>
      <c r="E1514" s="273">
        <v>0</v>
      </c>
      <c r="F1514" s="274"/>
      <c r="G1514" s="274">
        <f t="shared" si="5"/>
        <v>0</v>
      </c>
      <c r="H1514" s="274">
        <v>0</v>
      </c>
      <c r="K1514" s="274"/>
    </row>
    <row r="1515" spans="2:11" ht="13.5" customHeight="1">
      <c r="B1515" s="209" t="s">
        <v>305</v>
      </c>
      <c r="C1515" s="209" t="s">
        <v>2548</v>
      </c>
      <c r="D1515" s="447" t="s">
        <v>134</v>
      </c>
      <c r="E1515" s="273">
        <v>0</v>
      </c>
      <c r="F1515" s="274"/>
      <c r="G1515" s="274">
        <f t="shared" si="5"/>
        <v>0</v>
      </c>
      <c r="H1515" s="274">
        <v>0</v>
      </c>
      <c r="K1515" s="274"/>
    </row>
    <row r="1516" spans="2:11" ht="13.5" customHeight="1">
      <c r="B1516" s="209" t="s">
        <v>305</v>
      </c>
      <c r="C1516" s="209" t="s">
        <v>2548</v>
      </c>
      <c r="D1516" s="448" t="s">
        <v>135</v>
      </c>
      <c r="E1516" s="273">
        <v>0</v>
      </c>
      <c r="F1516" s="274"/>
      <c r="G1516" s="274">
        <f t="shared" si="5"/>
        <v>0</v>
      </c>
      <c r="H1516" s="274">
        <v>0</v>
      </c>
      <c r="K1516" s="274"/>
    </row>
    <row r="1517" spans="2:11" ht="13.5" customHeight="1">
      <c r="B1517" s="209" t="s">
        <v>305</v>
      </c>
      <c r="C1517" s="209" t="s">
        <v>2548</v>
      </c>
      <c r="D1517" s="449" t="s">
        <v>136</v>
      </c>
      <c r="E1517" s="273">
        <v>0</v>
      </c>
      <c r="F1517" s="274"/>
      <c r="G1517" s="274">
        <f t="shared" si="5"/>
        <v>0</v>
      </c>
      <c r="H1517" s="274">
        <v>0</v>
      </c>
      <c r="K1517" s="274"/>
    </row>
    <row r="1518" spans="2:11" ht="13.5" customHeight="1">
      <c r="B1518" s="209" t="s">
        <v>305</v>
      </c>
      <c r="C1518" s="209" t="s">
        <v>2548</v>
      </c>
      <c r="D1518" s="450" t="s">
        <v>137</v>
      </c>
      <c r="E1518" s="273">
        <v>0</v>
      </c>
      <c r="F1518" s="274"/>
      <c r="G1518" s="274">
        <f t="shared" si="5"/>
        <v>0</v>
      </c>
      <c r="H1518" s="274">
        <v>0</v>
      </c>
      <c r="K1518" s="274"/>
    </row>
    <row r="1519" spans="2:11" ht="13.5" customHeight="1">
      <c r="B1519" s="209" t="s">
        <v>305</v>
      </c>
      <c r="C1519" s="209" t="s">
        <v>2548</v>
      </c>
      <c r="D1519" s="451" t="s">
        <v>138</v>
      </c>
      <c r="E1519" s="273">
        <v>0</v>
      </c>
      <c r="F1519" s="274"/>
      <c r="G1519" s="274">
        <f t="shared" si="5"/>
        <v>0</v>
      </c>
      <c r="H1519" s="274">
        <v>0</v>
      </c>
      <c r="K1519" s="274"/>
    </row>
    <row r="1520" spans="2:11" ht="13.5" customHeight="1">
      <c r="B1520" s="209" t="s">
        <v>305</v>
      </c>
      <c r="C1520" s="209" t="s">
        <v>2548</v>
      </c>
      <c r="D1520" s="452" t="s">
        <v>139</v>
      </c>
      <c r="E1520" s="273">
        <v>0</v>
      </c>
      <c r="F1520" s="274"/>
      <c r="G1520" s="274">
        <f t="shared" si="5"/>
        <v>0</v>
      </c>
      <c r="H1520" s="274">
        <v>0</v>
      </c>
      <c r="K1520" s="274"/>
    </row>
    <row r="1521" spans="2:11" ht="13.5" customHeight="1">
      <c r="B1521" s="209" t="s">
        <v>305</v>
      </c>
      <c r="C1521" s="209" t="s">
        <v>2548</v>
      </c>
      <c r="D1521" s="216" t="s">
        <v>140</v>
      </c>
      <c r="E1521" s="273">
        <v>0</v>
      </c>
      <c r="F1521" s="274"/>
      <c r="G1521" s="274">
        <f t="shared" si="5"/>
        <v>0</v>
      </c>
      <c r="H1521" s="274">
        <v>0</v>
      </c>
      <c r="K1521" s="274"/>
    </row>
    <row r="1522" spans="2:11" ht="13.5" customHeight="1">
      <c r="B1522" s="209" t="s">
        <v>305</v>
      </c>
      <c r="C1522" s="209" t="s">
        <v>2548</v>
      </c>
      <c r="D1522" s="453" t="s">
        <v>141</v>
      </c>
      <c r="E1522" s="273">
        <v>0</v>
      </c>
      <c r="F1522" s="274"/>
      <c r="G1522" s="274">
        <f t="shared" si="5"/>
        <v>0</v>
      </c>
      <c r="H1522" s="274">
        <v>0</v>
      </c>
      <c r="K1522" s="274"/>
    </row>
    <row r="1523" spans="2:11" ht="13.5" customHeight="1">
      <c r="B1523" s="209" t="s">
        <v>331</v>
      </c>
      <c r="C1523" s="209" t="s">
        <v>2549</v>
      </c>
      <c r="D1523" s="446" t="s">
        <v>133</v>
      </c>
      <c r="E1523" s="273">
        <v>0</v>
      </c>
      <c r="F1523" s="274"/>
      <c r="G1523" s="274">
        <f t="shared" si="5"/>
        <v>0</v>
      </c>
      <c r="H1523" s="274">
        <v>0</v>
      </c>
      <c r="K1523" s="274"/>
    </row>
    <row r="1524" spans="2:11" ht="13.5" customHeight="1">
      <c r="B1524" s="209" t="s">
        <v>331</v>
      </c>
      <c r="C1524" s="209" t="s">
        <v>2549</v>
      </c>
      <c r="D1524" s="447" t="s">
        <v>134</v>
      </c>
      <c r="E1524" s="273">
        <v>0</v>
      </c>
      <c r="F1524" s="274"/>
      <c r="G1524" s="274">
        <f t="shared" si="5"/>
        <v>0</v>
      </c>
      <c r="H1524" s="274">
        <v>0</v>
      </c>
      <c r="K1524" s="274"/>
    </row>
    <row r="1525" spans="2:11" ht="13.5" customHeight="1">
      <c r="B1525" s="209" t="s">
        <v>331</v>
      </c>
      <c r="C1525" s="209" t="s">
        <v>2549</v>
      </c>
      <c r="D1525" s="448" t="s">
        <v>135</v>
      </c>
      <c r="E1525" s="273">
        <v>0</v>
      </c>
      <c r="F1525" s="274"/>
      <c r="G1525" s="274">
        <f t="shared" si="5"/>
        <v>0</v>
      </c>
      <c r="H1525" s="274">
        <v>0</v>
      </c>
      <c r="K1525" s="274"/>
    </row>
    <row r="1526" spans="2:11" ht="13.5" customHeight="1">
      <c r="B1526" s="209" t="s">
        <v>331</v>
      </c>
      <c r="C1526" s="209" t="s">
        <v>2549</v>
      </c>
      <c r="D1526" s="449" t="s">
        <v>136</v>
      </c>
      <c r="E1526" s="273">
        <v>0</v>
      </c>
      <c r="F1526" s="274"/>
      <c r="G1526" s="274">
        <f t="shared" si="5"/>
        <v>0</v>
      </c>
      <c r="H1526" s="274">
        <v>0</v>
      </c>
      <c r="K1526" s="274"/>
    </row>
    <row r="1527" spans="2:11" ht="13.5" customHeight="1">
      <c r="B1527" s="209" t="s">
        <v>331</v>
      </c>
      <c r="C1527" s="209" t="s">
        <v>2549</v>
      </c>
      <c r="D1527" s="450" t="s">
        <v>137</v>
      </c>
      <c r="E1527" s="273">
        <v>0</v>
      </c>
      <c r="F1527" s="274"/>
      <c r="G1527" s="274">
        <f t="shared" si="5"/>
        <v>0</v>
      </c>
      <c r="H1527" s="274">
        <v>0</v>
      </c>
      <c r="K1527" s="274"/>
    </row>
    <row r="1528" spans="2:11" ht="13.5" customHeight="1">
      <c r="B1528" s="209" t="s">
        <v>331</v>
      </c>
      <c r="C1528" s="209" t="s">
        <v>2549</v>
      </c>
      <c r="D1528" s="451" t="s">
        <v>138</v>
      </c>
      <c r="E1528" s="273">
        <v>0</v>
      </c>
      <c r="F1528" s="274"/>
      <c r="G1528" s="274">
        <f t="shared" si="5"/>
        <v>0</v>
      </c>
      <c r="H1528" s="274">
        <v>0</v>
      </c>
      <c r="K1528" s="274"/>
    </row>
    <row r="1529" spans="2:11" ht="13.5" customHeight="1">
      <c r="B1529" s="209" t="s">
        <v>331</v>
      </c>
      <c r="C1529" s="209" t="s">
        <v>2549</v>
      </c>
      <c r="D1529" s="452" t="s">
        <v>139</v>
      </c>
      <c r="E1529" s="273">
        <v>0</v>
      </c>
      <c r="F1529" s="274"/>
      <c r="G1529" s="274">
        <f t="shared" si="5"/>
        <v>0</v>
      </c>
      <c r="H1529" s="274">
        <v>0</v>
      </c>
      <c r="K1529" s="274"/>
    </row>
    <row r="1530" spans="2:11" ht="13.5" customHeight="1">
      <c r="B1530" s="209" t="s">
        <v>331</v>
      </c>
      <c r="C1530" s="209" t="s">
        <v>2549</v>
      </c>
      <c r="D1530" s="216" t="s">
        <v>140</v>
      </c>
      <c r="E1530" s="273">
        <v>0</v>
      </c>
      <c r="F1530" s="274"/>
      <c r="G1530" s="274">
        <f t="shared" si="5"/>
        <v>0</v>
      </c>
      <c r="H1530" s="274">
        <v>0</v>
      </c>
      <c r="K1530" s="274"/>
    </row>
    <row r="1531" spans="2:11" ht="13.5" customHeight="1">
      <c r="B1531" s="209" t="s">
        <v>331</v>
      </c>
      <c r="C1531" s="209" t="s">
        <v>2549</v>
      </c>
      <c r="D1531" s="453" t="s">
        <v>141</v>
      </c>
      <c r="E1531" s="273">
        <v>0</v>
      </c>
      <c r="F1531" s="274"/>
      <c r="G1531" s="274">
        <f t="shared" si="5"/>
        <v>0</v>
      </c>
      <c r="H1531" s="274">
        <v>0</v>
      </c>
      <c r="K1531" s="274"/>
    </row>
    <row r="1532" spans="2:11" ht="13.5" customHeight="1">
      <c r="B1532" s="209" t="s">
        <v>307</v>
      </c>
      <c r="C1532" s="209" t="s">
        <v>2550</v>
      </c>
      <c r="D1532" s="446" t="s">
        <v>133</v>
      </c>
      <c r="E1532" s="273">
        <v>0</v>
      </c>
      <c r="F1532" s="274"/>
      <c r="G1532" s="274">
        <f t="shared" ref="G1532:G1786" si="6">E1532*F1532</f>
        <v>0</v>
      </c>
      <c r="H1532" s="274">
        <v>0</v>
      </c>
      <c r="K1532" s="274"/>
    </row>
    <row r="1533" spans="2:11" ht="13.5" customHeight="1">
      <c r="B1533" s="209" t="s">
        <v>307</v>
      </c>
      <c r="C1533" s="209" t="s">
        <v>2550</v>
      </c>
      <c r="D1533" s="447" t="s">
        <v>134</v>
      </c>
      <c r="E1533" s="273">
        <v>0</v>
      </c>
      <c r="F1533" s="274"/>
      <c r="G1533" s="274">
        <f t="shared" si="6"/>
        <v>0</v>
      </c>
      <c r="H1533" s="274">
        <v>0</v>
      </c>
      <c r="K1533" s="274"/>
    </row>
    <row r="1534" spans="2:11" ht="13.5" customHeight="1">
      <c r="B1534" s="209" t="s">
        <v>307</v>
      </c>
      <c r="C1534" s="209" t="s">
        <v>2550</v>
      </c>
      <c r="D1534" s="448" t="s">
        <v>135</v>
      </c>
      <c r="E1534" s="273">
        <v>0</v>
      </c>
      <c r="F1534" s="274"/>
      <c r="G1534" s="274">
        <f t="shared" si="6"/>
        <v>0</v>
      </c>
      <c r="H1534" s="274">
        <v>0</v>
      </c>
      <c r="K1534" s="274"/>
    </row>
    <row r="1535" spans="2:11" ht="13.5" customHeight="1">
      <c r="B1535" s="209" t="s">
        <v>307</v>
      </c>
      <c r="C1535" s="209" t="s">
        <v>2550</v>
      </c>
      <c r="D1535" s="449" t="s">
        <v>136</v>
      </c>
      <c r="E1535" s="273">
        <v>0</v>
      </c>
      <c r="F1535" s="274"/>
      <c r="G1535" s="274">
        <f t="shared" si="6"/>
        <v>0</v>
      </c>
      <c r="H1535" s="274">
        <v>0</v>
      </c>
      <c r="K1535" s="274"/>
    </row>
    <row r="1536" spans="2:11" ht="13.5" customHeight="1">
      <c r="B1536" s="209" t="s">
        <v>307</v>
      </c>
      <c r="C1536" s="209" t="s">
        <v>2550</v>
      </c>
      <c r="D1536" s="450" t="s">
        <v>137</v>
      </c>
      <c r="E1536" s="273">
        <v>0</v>
      </c>
      <c r="F1536" s="274"/>
      <c r="G1536" s="274">
        <f t="shared" si="6"/>
        <v>0</v>
      </c>
      <c r="H1536" s="274">
        <v>0</v>
      </c>
      <c r="K1536" s="274"/>
    </row>
    <row r="1537" spans="2:11" ht="13.5" customHeight="1">
      <c r="B1537" s="209" t="s">
        <v>307</v>
      </c>
      <c r="C1537" s="209" t="s">
        <v>2550</v>
      </c>
      <c r="D1537" s="451" t="s">
        <v>138</v>
      </c>
      <c r="E1537" s="273">
        <v>0</v>
      </c>
      <c r="F1537" s="274"/>
      <c r="G1537" s="274">
        <f t="shared" si="6"/>
        <v>0</v>
      </c>
      <c r="H1537" s="274">
        <v>0</v>
      </c>
      <c r="K1537" s="274"/>
    </row>
    <row r="1538" spans="2:11" ht="13.5" customHeight="1">
      <c r="B1538" s="209" t="s">
        <v>307</v>
      </c>
      <c r="C1538" s="209" t="s">
        <v>2550</v>
      </c>
      <c r="D1538" s="452" t="s">
        <v>139</v>
      </c>
      <c r="E1538" s="273">
        <v>0</v>
      </c>
      <c r="F1538" s="274"/>
      <c r="G1538" s="274">
        <f t="shared" si="6"/>
        <v>0</v>
      </c>
      <c r="H1538" s="274">
        <v>0</v>
      </c>
      <c r="K1538" s="274"/>
    </row>
    <row r="1539" spans="2:11" ht="13.5" customHeight="1">
      <c r="B1539" s="209" t="s">
        <v>307</v>
      </c>
      <c r="C1539" s="209" t="s">
        <v>2550</v>
      </c>
      <c r="D1539" s="216" t="s">
        <v>140</v>
      </c>
      <c r="E1539" s="273">
        <v>0</v>
      </c>
      <c r="F1539" s="274"/>
      <c r="G1539" s="274">
        <f t="shared" si="6"/>
        <v>0</v>
      </c>
      <c r="H1539" s="274">
        <v>0</v>
      </c>
      <c r="K1539" s="274"/>
    </row>
    <row r="1540" spans="2:11" ht="13.5" customHeight="1">
      <c r="B1540" s="209" t="s">
        <v>307</v>
      </c>
      <c r="C1540" s="209" t="s">
        <v>2550</v>
      </c>
      <c r="D1540" s="453" t="s">
        <v>141</v>
      </c>
      <c r="E1540" s="273">
        <v>0</v>
      </c>
      <c r="F1540" s="274"/>
      <c r="G1540" s="274">
        <f t="shared" si="6"/>
        <v>0</v>
      </c>
      <c r="H1540" s="274">
        <v>0</v>
      </c>
      <c r="K1540" s="274"/>
    </row>
    <row r="1541" spans="2:11" ht="13.5" customHeight="1">
      <c r="B1541" s="209" t="s">
        <v>357</v>
      </c>
      <c r="C1541" s="209" t="s">
        <v>2551</v>
      </c>
      <c r="D1541" s="446" t="s">
        <v>133</v>
      </c>
      <c r="E1541" s="273">
        <v>0</v>
      </c>
      <c r="F1541" s="274"/>
      <c r="G1541" s="274">
        <f t="shared" si="6"/>
        <v>0</v>
      </c>
      <c r="H1541" s="274">
        <v>0</v>
      </c>
      <c r="K1541" s="274"/>
    </row>
    <row r="1542" spans="2:11" ht="13.5" customHeight="1">
      <c r="B1542" s="209" t="s">
        <v>357</v>
      </c>
      <c r="C1542" s="209" t="s">
        <v>2551</v>
      </c>
      <c r="D1542" s="447" t="s">
        <v>134</v>
      </c>
      <c r="E1542" s="273">
        <v>0</v>
      </c>
      <c r="F1542" s="274"/>
      <c r="G1542" s="274">
        <f t="shared" si="6"/>
        <v>0</v>
      </c>
      <c r="H1542" s="274">
        <v>0</v>
      </c>
      <c r="K1542" s="274"/>
    </row>
    <row r="1543" spans="2:11" ht="13.5" customHeight="1">
      <c r="B1543" s="209" t="s">
        <v>357</v>
      </c>
      <c r="C1543" s="209" t="s">
        <v>2551</v>
      </c>
      <c r="D1543" s="448" t="s">
        <v>135</v>
      </c>
      <c r="E1543" s="273">
        <v>0</v>
      </c>
      <c r="F1543" s="274"/>
      <c r="G1543" s="274">
        <f t="shared" si="6"/>
        <v>0</v>
      </c>
      <c r="H1543" s="274">
        <v>0</v>
      </c>
      <c r="K1543" s="274"/>
    </row>
    <row r="1544" spans="2:11" ht="13.5" customHeight="1">
      <c r="B1544" s="209" t="s">
        <v>357</v>
      </c>
      <c r="C1544" s="209" t="s">
        <v>2551</v>
      </c>
      <c r="D1544" s="449" t="s">
        <v>136</v>
      </c>
      <c r="E1544" s="273">
        <v>0</v>
      </c>
      <c r="F1544" s="274"/>
      <c r="G1544" s="274">
        <f t="shared" si="6"/>
        <v>0</v>
      </c>
      <c r="H1544" s="274">
        <v>0</v>
      </c>
      <c r="K1544" s="274"/>
    </row>
    <row r="1545" spans="2:11" ht="13.5" customHeight="1">
      <c r="B1545" s="209" t="s">
        <v>357</v>
      </c>
      <c r="C1545" s="209" t="s">
        <v>2551</v>
      </c>
      <c r="D1545" s="450" t="s">
        <v>137</v>
      </c>
      <c r="E1545" s="273">
        <v>0</v>
      </c>
      <c r="F1545" s="274"/>
      <c r="G1545" s="274">
        <f t="shared" si="6"/>
        <v>0</v>
      </c>
      <c r="H1545" s="274">
        <v>0</v>
      </c>
      <c r="K1545" s="274"/>
    </row>
    <row r="1546" spans="2:11" ht="13.5" customHeight="1">
      <c r="B1546" s="209" t="s">
        <v>357</v>
      </c>
      <c r="C1546" s="209" t="s">
        <v>2551</v>
      </c>
      <c r="D1546" s="451" t="s">
        <v>138</v>
      </c>
      <c r="E1546" s="273">
        <v>0</v>
      </c>
      <c r="F1546" s="274"/>
      <c r="G1546" s="274">
        <f t="shared" si="6"/>
        <v>0</v>
      </c>
      <c r="H1546" s="274">
        <v>0</v>
      </c>
      <c r="K1546" s="274"/>
    </row>
    <row r="1547" spans="2:11" ht="13.5" customHeight="1">
      <c r="B1547" s="209" t="s">
        <v>357</v>
      </c>
      <c r="C1547" s="209" t="s">
        <v>2551</v>
      </c>
      <c r="D1547" s="452" t="s">
        <v>139</v>
      </c>
      <c r="E1547" s="273">
        <v>0</v>
      </c>
      <c r="F1547" s="274"/>
      <c r="G1547" s="274">
        <f t="shared" si="6"/>
        <v>0</v>
      </c>
      <c r="H1547" s="274">
        <v>0</v>
      </c>
      <c r="K1547" s="274"/>
    </row>
    <row r="1548" spans="2:11" ht="13.5" customHeight="1">
      <c r="B1548" s="209" t="s">
        <v>357</v>
      </c>
      <c r="C1548" s="209" t="s">
        <v>2551</v>
      </c>
      <c r="D1548" s="216" t="s">
        <v>140</v>
      </c>
      <c r="E1548" s="273">
        <v>0</v>
      </c>
      <c r="F1548" s="274"/>
      <c r="G1548" s="274">
        <f t="shared" si="6"/>
        <v>0</v>
      </c>
      <c r="H1548" s="274">
        <v>0</v>
      </c>
      <c r="K1548" s="274"/>
    </row>
    <row r="1549" spans="2:11" ht="13.5" customHeight="1">
      <c r="B1549" s="209" t="s">
        <v>357</v>
      </c>
      <c r="C1549" s="209" t="s">
        <v>2551</v>
      </c>
      <c r="D1549" s="453" t="s">
        <v>141</v>
      </c>
      <c r="E1549" s="273">
        <v>0</v>
      </c>
      <c r="F1549" s="274"/>
      <c r="G1549" s="274">
        <f t="shared" si="6"/>
        <v>0</v>
      </c>
      <c r="H1549" s="274">
        <v>0</v>
      </c>
      <c r="K1549" s="274"/>
    </row>
    <row r="1550" spans="2:11" ht="13.5" customHeight="1">
      <c r="B1550" s="209" t="s">
        <v>272</v>
      </c>
      <c r="C1550" s="209" t="s">
        <v>2552</v>
      </c>
      <c r="D1550" s="446" t="s">
        <v>133</v>
      </c>
      <c r="E1550" s="273">
        <v>0</v>
      </c>
      <c r="F1550" s="274"/>
      <c r="G1550" s="274">
        <f t="shared" si="6"/>
        <v>0</v>
      </c>
      <c r="H1550" s="274">
        <v>0</v>
      </c>
      <c r="K1550" s="274"/>
    </row>
    <row r="1551" spans="2:11" ht="13.5" customHeight="1">
      <c r="B1551" s="209" t="s">
        <v>272</v>
      </c>
      <c r="C1551" s="209" t="s">
        <v>2552</v>
      </c>
      <c r="D1551" s="447" t="s">
        <v>134</v>
      </c>
      <c r="E1551" s="273">
        <v>0</v>
      </c>
      <c r="F1551" s="274"/>
      <c r="G1551" s="274">
        <f t="shared" si="6"/>
        <v>0</v>
      </c>
      <c r="H1551" s="274">
        <v>0</v>
      </c>
      <c r="K1551" s="274"/>
    </row>
    <row r="1552" spans="2:11" ht="13.5" customHeight="1">
      <c r="B1552" s="209" t="s">
        <v>272</v>
      </c>
      <c r="C1552" s="209" t="s">
        <v>2552</v>
      </c>
      <c r="D1552" s="448" t="s">
        <v>135</v>
      </c>
      <c r="E1552" s="273">
        <v>0</v>
      </c>
      <c r="F1552" s="274"/>
      <c r="G1552" s="274">
        <f t="shared" si="6"/>
        <v>0</v>
      </c>
      <c r="H1552" s="274">
        <v>0</v>
      </c>
      <c r="K1552" s="274"/>
    </row>
    <row r="1553" spans="2:11" ht="13.5" customHeight="1">
      <c r="B1553" s="209" t="s">
        <v>272</v>
      </c>
      <c r="C1553" s="209" t="s">
        <v>2552</v>
      </c>
      <c r="D1553" s="449" t="s">
        <v>136</v>
      </c>
      <c r="E1553" s="273">
        <v>0</v>
      </c>
      <c r="F1553" s="274"/>
      <c r="G1553" s="274">
        <f t="shared" si="6"/>
        <v>0</v>
      </c>
      <c r="H1553" s="274">
        <v>0</v>
      </c>
      <c r="K1553" s="274"/>
    </row>
    <row r="1554" spans="2:11" ht="13.5" customHeight="1">
      <c r="B1554" s="209" t="s">
        <v>272</v>
      </c>
      <c r="C1554" s="209" t="s">
        <v>2552</v>
      </c>
      <c r="D1554" s="450" t="s">
        <v>137</v>
      </c>
      <c r="E1554" s="273">
        <v>0</v>
      </c>
      <c r="F1554" s="274"/>
      <c r="G1554" s="274">
        <f t="shared" si="6"/>
        <v>0</v>
      </c>
      <c r="H1554" s="274">
        <v>0</v>
      </c>
      <c r="K1554" s="274"/>
    </row>
    <row r="1555" spans="2:11" ht="13.5" customHeight="1">
      <c r="B1555" s="209" t="s">
        <v>272</v>
      </c>
      <c r="C1555" s="209" t="s">
        <v>2552</v>
      </c>
      <c r="D1555" s="451" t="s">
        <v>138</v>
      </c>
      <c r="E1555" s="273">
        <v>0</v>
      </c>
      <c r="F1555" s="274"/>
      <c r="G1555" s="274">
        <f t="shared" si="6"/>
        <v>0</v>
      </c>
      <c r="H1555" s="274">
        <v>0</v>
      </c>
      <c r="K1555" s="274"/>
    </row>
    <row r="1556" spans="2:11" ht="13.5" customHeight="1">
      <c r="B1556" s="209" t="s">
        <v>272</v>
      </c>
      <c r="C1556" s="209" t="s">
        <v>2552</v>
      </c>
      <c r="D1556" s="452" t="s">
        <v>139</v>
      </c>
      <c r="E1556" s="273">
        <v>0</v>
      </c>
      <c r="F1556" s="274"/>
      <c r="G1556" s="274">
        <f t="shared" si="6"/>
        <v>0</v>
      </c>
      <c r="H1556" s="274">
        <v>0</v>
      </c>
      <c r="K1556" s="274"/>
    </row>
    <row r="1557" spans="2:11" ht="13.5" customHeight="1">
      <c r="B1557" s="209" t="s">
        <v>272</v>
      </c>
      <c r="C1557" s="209" t="s">
        <v>2552</v>
      </c>
      <c r="D1557" s="216" t="s">
        <v>140</v>
      </c>
      <c r="E1557" s="273">
        <v>0</v>
      </c>
      <c r="F1557" s="274"/>
      <c r="G1557" s="274">
        <f t="shared" si="6"/>
        <v>0</v>
      </c>
      <c r="H1557" s="274">
        <v>0</v>
      </c>
      <c r="K1557" s="274"/>
    </row>
    <row r="1558" spans="2:11" ht="13.5" customHeight="1">
      <c r="B1558" s="209" t="s">
        <v>272</v>
      </c>
      <c r="C1558" s="209" t="s">
        <v>2552</v>
      </c>
      <c r="D1558" s="453" t="s">
        <v>141</v>
      </c>
      <c r="E1558" s="273">
        <v>0</v>
      </c>
      <c r="F1558" s="274"/>
      <c r="G1558" s="274">
        <f t="shared" si="6"/>
        <v>0</v>
      </c>
      <c r="H1558" s="274">
        <v>0</v>
      </c>
      <c r="K1558" s="274"/>
    </row>
    <row r="1559" spans="2:11" ht="13.5" customHeight="1">
      <c r="B1559" s="209" t="s">
        <v>359</v>
      </c>
      <c r="C1559" s="209" t="s">
        <v>2553</v>
      </c>
      <c r="D1559" s="446" t="s">
        <v>133</v>
      </c>
      <c r="E1559" s="273">
        <v>0</v>
      </c>
      <c r="F1559" s="274"/>
      <c r="G1559" s="274">
        <f t="shared" si="6"/>
        <v>0</v>
      </c>
      <c r="H1559" s="274">
        <v>0</v>
      </c>
      <c r="K1559" s="274"/>
    </row>
    <row r="1560" spans="2:11" ht="13.5" customHeight="1">
      <c r="B1560" s="209" t="s">
        <v>359</v>
      </c>
      <c r="C1560" s="209" t="s">
        <v>2553</v>
      </c>
      <c r="D1560" s="447" t="s">
        <v>134</v>
      </c>
      <c r="E1560" s="273">
        <v>0</v>
      </c>
      <c r="F1560" s="274"/>
      <c r="G1560" s="274">
        <f t="shared" si="6"/>
        <v>0</v>
      </c>
      <c r="H1560" s="274">
        <v>0</v>
      </c>
      <c r="K1560" s="274"/>
    </row>
    <row r="1561" spans="2:11" ht="13.5" customHeight="1">
      <c r="B1561" s="209" t="s">
        <v>359</v>
      </c>
      <c r="C1561" s="209" t="s">
        <v>2553</v>
      </c>
      <c r="D1561" s="448" t="s">
        <v>135</v>
      </c>
      <c r="E1561" s="273">
        <v>0</v>
      </c>
      <c r="F1561" s="274"/>
      <c r="G1561" s="274">
        <f t="shared" si="6"/>
        <v>0</v>
      </c>
      <c r="H1561" s="274">
        <v>0</v>
      </c>
      <c r="K1561" s="274"/>
    </row>
    <row r="1562" spans="2:11" ht="13.5" customHeight="1">
      <c r="B1562" s="209" t="s">
        <v>359</v>
      </c>
      <c r="C1562" s="209" t="s">
        <v>2553</v>
      </c>
      <c r="D1562" s="449" t="s">
        <v>136</v>
      </c>
      <c r="E1562" s="273">
        <v>0</v>
      </c>
      <c r="F1562" s="274"/>
      <c r="G1562" s="274">
        <f t="shared" si="6"/>
        <v>0</v>
      </c>
      <c r="H1562" s="274">
        <v>0</v>
      </c>
      <c r="K1562" s="274"/>
    </row>
    <row r="1563" spans="2:11" ht="13.5" customHeight="1">
      <c r="B1563" s="209" t="s">
        <v>359</v>
      </c>
      <c r="C1563" s="209" t="s">
        <v>2553</v>
      </c>
      <c r="D1563" s="450" t="s">
        <v>137</v>
      </c>
      <c r="E1563" s="273">
        <v>0</v>
      </c>
      <c r="F1563" s="274"/>
      <c r="G1563" s="274">
        <f t="shared" si="6"/>
        <v>0</v>
      </c>
      <c r="H1563" s="274">
        <v>0</v>
      </c>
      <c r="K1563" s="274"/>
    </row>
    <row r="1564" spans="2:11" ht="13.5" customHeight="1">
      <c r="B1564" s="209" t="s">
        <v>359</v>
      </c>
      <c r="C1564" s="209" t="s">
        <v>2553</v>
      </c>
      <c r="D1564" s="451" t="s">
        <v>138</v>
      </c>
      <c r="E1564" s="273">
        <v>0</v>
      </c>
      <c r="F1564" s="274"/>
      <c r="G1564" s="274">
        <f t="shared" si="6"/>
        <v>0</v>
      </c>
      <c r="H1564" s="274">
        <v>0</v>
      </c>
      <c r="K1564" s="274"/>
    </row>
    <row r="1565" spans="2:11" ht="13.5" customHeight="1">
      <c r="B1565" s="209" t="s">
        <v>359</v>
      </c>
      <c r="C1565" s="209" t="s">
        <v>2553</v>
      </c>
      <c r="D1565" s="452" t="s">
        <v>139</v>
      </c>
      <c r="E1565" s="273">
        <v>0</v>
      </c>
      <c r="F1565" s="274"/>
      <c r="G1565" s="274">
        <f t="shared" si="6"/>
        <v>0</v>
      </c>
      <c r="H1565" s="274">
        <v>0</v>
      </c>
      <c r="K1565" s="274"/>
    </row>
    <row r="1566" spans="2:11" ht="13.5" customHeight="1">
      <c r="B1566" s="209" t="s">
        <v>359</v>
      </c>
      <c r="C1566" s="209" t="s">
        <v>2553</v>
      </c>
      <c r="D1566" s="216" t="s">
        <v>140</v>
      </c>
      <c r="E1566" s="273">
        <v>0</v>
      </c>
      <c r="F1566" s="274"/>
      <c r="G1566" s="274">
        <f t="shared" si="6"/>
        <v>0</v>
      </c>
      <c r="H1566" s="274">
        <v>0</v>
      </c>
      <c r="K1566" s="274"/>
    </row>
    <row r="1567" spans="2:11" ht="13.5" customHeight="1">
      <c r="B1567" s="209" t="s">
        <v>359</v>
      </c>
      <c r="C1567" s="209" t="s">
        <v>2553</v>
      </c>
      <c r="D1567" s="453" t="s">
        <v>141</v>
      </c>
      <c r="E1567" s="273">
        <v>0</v>
      </c>
      <c r="F1567" s="274"/>
      <c r="G1567" s="274">
        <f t="shared" si="6"/>
        <v>0</v>
      </c>
      <c r="H1567" s="274">
        <v>0</v>
      </c>
      <c r="K1567" s="274"/>
    </row>
    <row r="1568" spans="2:11" ht="13.5" customHeight="1">
      <c r="B1568" s="209" t="s">
        <v>659</v>
      </c>
      <c r="C1568" s="209" t="s">
        <v>2554</v>
      </c>
      <c r="D1568" s="446" t="s">
        <v>133</v>
      </c>
      <c r="E1568" s="273">
        <v>0</v>
      </c>
      <c r="F1568" s="274"/>
      <c r="G1568" s="274">
        <f t="shared" si="6"/>
        <v>0</v>
      </c>
      <c r="H1568" s="274">
        <v>0</v>
      </c>
      <c r="K1568" s="274"/>
    </row>
    <row r="1569" spans="2:11" ht="13.5" customHeight="1">
      <c r="B1569" s="209" t="s">
        <v>659</v>
      </c>
      <c r="C1569" s="209" t="s">
        <v>2554</v>
      </c>
      <c r="D1569" s="447" t="s">
        <v>134</v>
      </c>
      <c r="E1569" s="273">
        <v>0</v>
      </c>
      <c r="F1569" s="274"/>
      <c r="G1569" s="274">
        <f t="shared" si="6"/>
        <v>0</v>
      </c>
      <c r="H1569" s="274">
        <v>0</v>
      </c>
      <c r="K1569" s="274"/>
    </row>
    <row r="1570" spans="2:11" ht="13.5" customHeight="1">
      <c r="B1570" s="209" t="s">
        <v>659</v>
      </c>
      <c r="C1570" s="209" t="s">
        <v>2554</v>
      </c>
      <c r="D1570" s="448" t="s">
        <v>135</v>
      </c>
      <c r="E1570" s="273">
        <v>0</v>
      </c>
      <c r="F1570" s="274"/>
      <c r="G1570" s="274">
        <f t="shared" si="6"/>
        <v>0</v>
      </c>
      <c r="H1570" s="274">
        <v>0</v>
      </c>
      <c r="K1570" s="274"/>
    </row>
    <row r="1571" spans="2:11" ht="13.5" customHeight="1">
      <c r="B1571" s="209" t="s">
        <v>659</v>
      </c>
      <c r="C1571" s="209" t="s">
        <v>2554</v>
      </c>
      <c r="D1571" s="449" t="s">
        <v>136</v>
      </c>
      <c r="E1571" s="273">
        <v>0</v>
      </c>
      <c r="F1571" s="274"/>
      <c r="G1571" s="274">
        <f t="shared" si="6"/>
        <v>0</v>
      </c>
      <c r="H1571" s="274">
        <v>0</v>
      </c>
      <c r="K1571" s="274"/>
    </row>
    <row r="1572" spans="2:11" ht="13.5" customHeight="1">
      <c r="B1572" s="209" t="s">
        <v>659</v>
      </c>
      <c r="C1572" s="209" t="s">
        <v>2554</v>
      </c>
      <c r="D1572" s="450" t="s">
        <v>137</v>
      </c>
      <c r="E1572" s="273">
        <v>0</v>
      </c>
      <c r="F1572" s="274"/>
      <c r="G1572" s="274">
        <f t="shared" si="6"/>
        <v>0</v>
      </c>
      <c r="H1572" s="274">
        <v>0</v>
      </c>
      <c r="K1572" s="274"/>
    </row>
    <row r="1573" spans="2:11" ht="13.5" customHeight="1">
      <c r="B1573" s="209" t="s">
        <v>659</v>
      </c>
      <c r="C1573" s="209" t="s">
        <v>2554</v>
      </c>
      <c r="D1573" s="451" t="s">
        <v>138</v>
      </c>
      <c r="E1573" s="273">
        <v>0</v>
      </c>
      <c r="F1573" s="274"/>
      <c r="G1573" s="274">
        <f t="shared" si="6"/>
        <v>0</v>
      </c>
      <c r="H1573" s="274">
        <v>0</v>
      </c>
      <c r="K1573" s="274"/>
    </row>
    <row r="1574" spans="2:11" ht="13.5" customHeight="1">
      <c r="B1574" s="209" t="s">
        <v>659</v>
      </c>
      <c r="C1574" s="209" t="s">
        <v>2554</v>
      </c>
      <c r="D1574" s="452" t="s">
        <v>139</v>
      </c>
      <c r="E1574" s="273">
        <v>0</v>
      </c>
      <c r="F1574" s="274"/>
      <c r="G1574" s="274">
        <f t="shared" si="6"/>
        <v>0</v>
      </c>
      <c r="H1574" s="274">
        <v>0</v>
      </c>
      <c r="K1574" s="274"/>
    </row>
    <row r="1575" spans="2:11" ht="13.5" customHeight="1">
      <c r="B1575" s="209" t="s">
        <v>659</v>
      </c>
      <c r="C1575" s="209" t="s">
        <v>2554</v>
      </c>
      <c r="D1575" s="216" t="s">
        <v>140</v>
      </c>
      <c r="E1575" s="273">
        <v>0</v>
      </c>
      <c r="F1575" s="274"/>
      <c r="G1575" s="274">
        <f t="shared" si="6"/>
        <v>0</v>
      </c>
      <c r="H1575" s="274">
        <v>0</v>
      </c>
      <c r="K1575" s="274"/>
    </row>
    <row r="1576" spans="2:11" ht="13.5" customHeight="1">
      <c r="B1576" s="209" t="s">
        <v>659</v>
      </c>
      <c r="C1576" s="209" t="s">
        <v>2554</v>
      </c>
      <c r="D1576" s="453" t="s">
        <v>141</v>
      </c>
      <c r="E1576" s="273">
        <v>0</v>
      </c>
      <c r="F1576" s="274"/>
      <c r="G1576" s="274">
        <f t="shared" si="6"/>
        <v>0</v>
      </c>
      <c r="H1576" s="274">
        <v>0</v>
      </c>
      <c r="K1576" s="274"/>
    </row>
    <row r="1577" spans="2:11" ht="13.5" customHeight="1">
      <c r="B1577" s="209" t="s">
        <v>309</v>
      </c>
      <c r="C1577" s="209" t="s">
        <v>2555</v>
      </c>
      <c r="D1577" s="446" t="s">
        <v>133</v>
      </c>
      <c r="E1577" s="273">
        <v>0</v>
      </c>
      <c r="F1577" s="274"/>
      <c r="G1577" s="274">
        <f t="shared" si="6"/>
        <v>0</v>
      </c>
      <c r="H1577" s="274">
        <v>0</v>
      </c>
      <c r="K1577" s="274"/>
    </row>
    <row r="1578" spans="2:11" ht="13.5" customHeight="1">
      <c r="B1578" s="209" t="s">
        <v>309</v>
      </c>
      <c r="C1578" s="209" t="s">
        <v>2555</v>
      </c>
      <c r="D1578" s="447" t="s">
        <v>134</v>
      </c>
      <c r="E1578" s="273">
        <v>0</v>
      </c>
      <c r="F1578" s="274"/>
      <c r="G1578" s="274">
        <f t="shared" si="6"/>
        <v>0</v>
      </c>
      <c r="H1578" s="274">
        <v>0</v>
      </c>
      <c r="K1578" s="274"/>
    </row>
    <row r="1579" spans="2:11" ht="13.5" customHeight="1">
      <c r="B1579" s="209" t="s">
        <v>309</v>
      </c>
      <c r="C1579" s="209" t="s">
        <v>2555</v>
      </c>
      <c r="D1579" s="448" t="s">
        <v>135</v>
      </c>
      <c r="E1579" s="273">
        <v>0</v>
      </c>
      <c r="F1579" s="274"/>
      <c r="G1579" s="274">
        <f t="shared" si="6"/>
        <v>0</v>
      </c>
      <c r="H1579" s="274">
        <v>0</v>
      </c>
      <c r="K1579" s="274"/>
    </row>
    <row r="1580" spans="2:11" ht="13.5" customHeight="1">
      <c r="B1580" s="209" t="s">
        <v>309</v>
      </c>
      <c r="C1580" s="209" t="s">
        <v>2555</v>
      </c>
      <c r="D1580" s="449" t="s">
        <v>136</v>
      </c>
      <c r="E1580" s="273">
        <v>0</v>
      </c>
      <c r="F1580" s="274"/>
      <c r="G1580" s="274">
        <f t="shared" si="6"/>
        <v>0</v>
      </c>
      <c r="H1580" s="274">
        <v>0</v>
      </c>
      <c r="K1580" s="274"/>
    </row>
    <row r="1581" spans="2:11" ht="13.5" customHeight="1">
      <c r="B1581" s="209" t="s">
        <v>309</v>
      </c>
      <c r="C1581" s="209" t="s">
        <v>2555</v>
      </c>
      <c r="D1581" s="450" t="s">
        <v>137</v>
      </c>
      <c r="E1581" s="273">
        <v>0</v>
      </c>
      <c r="F1581" s="274"/>
      <c r="G1581" s="274">
        <f t="shared" si="6"/>
        <v>0</v>
      </c>
      <c r="H1581" s="274">
        <v>0</v>
      </c>
      <c r="K1581" s="274"/>
    </row>
    <row r="1582" spans="2:11" ht="13.5" customHeight="1">
      <c r="B1582" s="209" t="s">
        <v>309</v>
      </c>
      <c r="C1582" s="209" t="s">
        <v>2555</v>
      </c>
      <c r="D1582" s="451" t="s">
        <v>138</v>
      </c>
      <c r="E1582" s="273">
        <v>0</v>
      </c>
      <c r="F1582" s="274"/>
      <c r="G1582" s="274">
        <f t="shared" si="6"/>
        <v>0</v>
      </c>
      <c r="H1582" s="274">
        <v>0</v>
      </c>
      <c r="K1582" s="274"/>
    </row>
    <row r="1583" spans="2:11" ht="13.5" customHeight="1">
      <c r="B1583" s="209" t="s">
        <v>309</v>
      </c>
      <c r="C1583" s="209" t="s">
        <v>2555</v>
      </c>
      <c r="D1583" s="452" t="s">
        <v>139</v>
      </c>
      <c r="E1583" s="273">
        <v>0</v>
      </c>
      <c r="F1583" s="274"/>
      <c r="G1583" s="274">
        <f t="shared" si="6"/>
        <v>0</v>
      </c>
      <c r="H1583" s="274">
        <v>0</v>
      </c>
      <c r="K1583" s="274"/>
    </row>
    <row r="1584" spans="2:11" ht="13.5" customHeight="1">
      <c r="B1584" s="209" t="s">
        <v>309</v>
      </c>
      <c r="C1584" s="209" t="s">
        <v>2555</v>
      </c>
      <c r="D1584" s="216" t="s">
        <v>140</v>
      </c>
      <c r="E1584" s="273">
        <v>0</v>
      </c>
      <c r="F1584" s="274"/>
      <c r="G1584" s="274">
        <f t="shared" si="6"/>
        <v>0</v>
      </c>
      <c r="H1584" s="274">
        <v>0</v>
      </c>
      <c r="K1584" s="274"/>
    </row>
    <row r="1585" spans="2:11" ht="13.5" customHeight="1">
      <c r="B1585" s="209" t="s">
        <v>309</v>
      </c>
      <c r="C1585" s="209" t="s">
        <v>2555</v>
      </c>
      <c r="D1585" s="453" t="s">
        <v>141</v>
      </c>
      <c r="E1585" s="273">
        <v>0</v>
      </c>
      <c r="F1585" s="274"/>
      <c r="G1585" s="274">
        <f t="shared" si="6"/>
        <v>0</v>
      </c>
      <c r="H1585" s="274">
        <v>0</v>
      </c>
      <c r="K1585" s="274"/>
    </row>
    <row r="1586" spans="2:11" ht="13.5" customHeight="1">
      <c r="B1586" s="209" t="s">
        <v>311</v>
      </c>
      <c r="C1586" s="209" t="s">
        <v>2556</v>
      </c>
      <c r="D1586" s="446" t="s">
        <v>133</v>
      </c>
      <c r="E1586" s="273">
        <v>0</v>
      </c>
      <c r="F1586" s="274"/>
      <c r="G1586" s="274">
        <f t="shared" si="6"/>
        <v>0</v>
      </c>
      <c r="H1586" s="274">
        <v>0</v>
      </c>
      <c r="K1586" s="274"/>
    </row>
    <row r="1587" spans="2:11" ht="13.5" customHeight="1">
      <c r="B1587" s="209" t="s">
        <v>311</v>
      </c>
      <c r="C1587" s="209" t="s">
        <v>2556</v>
      </c>
      <c r="D1587" s="447" t="s">
        <v>134</v>
      </c>
      <c r="E1587" s="273">
        <v>0</v>
      </c>
      <c r="F1587" s="274"/>
      <c r="G1587" s="274">
        <f t="shared" si="6"/>
        <v>0</v>
      </c>
      <c r="H1587" s="274">
        <v>0</v>
      </c>
      <c r="K1587" s="274"/>
    </row>
    <row r="1588" spans="2:11" ht="13.5" customHeight="1">
      <c r="B1588" s="209" t="s">
        <v>311</v>
      </c>
      <c r="C1588" s="209" t="s">
        <v>2556</v>
      </c>
      <c r="D1588" s="448" t="s">
        <v>135</v>
      </c>
      <c r="E1588" s="273">
        <v>0</v>
      </c>
      <c r="F1588" s="274"/>
      <c r="G1588" s="274">
        <f t="shared" si="6"/>
        <v>0</v>
      </c>
      <c r="H1588" s="274">
        <v>0</v>
      </c>
      <c r="K1588" s="274"/>
    </row>
    <row r="1589" spans="2:11" ht="13.5" customHeight="1">
      <c r="B1589" s="209" t="s">
        <v>311</v>
      </c>
      <c r="C1589" s="209" t="s">
        <v>2556</v>
      </c>
      <c r="D1589" s="449" t="s">
        <v>136</v>
      </c>
      <c r="E1589" s="273">
        <v>0</v>
      </c>
      <c r="F1589" s="274"/>
      <c r="G1589" s="274">
        <f t="shared" si="6"/>
        <v>0</v>
      </c>
      <c r="H1589" s="274">
        <v>0</v>
      </c>
      <c r="K1589" s="274"/>
    </row>
    <row r="1590" spans="2:11" ht="13.5" customHeight="1">
      <c r="B1590" s="209" t="s">
        <v>311</v>
      </c>
      <c r="C1590" s="209" t="s">
        <v>2556</v>
      </c>
      <c r="D1590" s="450" t="s">
        <v>137</v>
      </c>
      <c r="E1590" s="273">
        <v>0</v>
      </c>
      <c r="F1590" s="274"/>
      <c r="G1590" s="274">
        <f t="shared" si="6"/>
        <v>0</v>
      </c>
      <c r="H1590" s="274">
        <v>0</v>
      </c>
      <c r="K1590" s="274"/>
    </row>
    <row r="1591" spans="2:11" ht="13.5" customHeight="1">
      <c r="B1591" s="209" t="s">
        <v>311</v>
      </c>
      <c r="C1591" s="209" t="s">
        <v>2556</v>
      </c>
      <c r="D1591" s="451" t="s">
        <v>138</v>
      </c>
      <c r="E1591" s="273">
        <v>0</v>
      </c>
      <c r="F1591" s="274"/>
      <c r="G1591" s="274">
        <f t="shared" si="6"/>
        <v>0</v>
      </c>
      <c r="H1591" s="274">
        <v>0</v>
      </c>
      <c r="K1591" s="274"/>
    </row>
    <row r="1592" spans="2:11" ht="13.5" customHeight="1">
      <c r="B1592" s="209" t="s">
        <v>311</v>
      </c>
      <c r="C1592" s="209" t="s">
        <v>2556</v>
      </c>
      <c r="D1592" s="452" t="s">
        <v>139</v>
      </c>
      <c r="E1592" s="273">
        <v>0</v>
      </c>
      <c r="F1592" s="274"/>
      <c r="G1592" s="274">
        <f t="shared" si="6"/>
        <v>0</v>
      </c>
      <c r="H1592" s="274">
        <v>0</v>
      </c>
      <c r="K1592" s="274"/>
    </row>
    <row r="1593" spans="2:11" ht="13.5" customHeight="1">
      <c r="B1593" s="209" t="s">
        <v>311</v>
      </c>
      <c r="C1593" s="209" t="s">
        <v>2556</v>
      </c>
      <c r="D1593" s="216" t="s">
        <v>140</v>
      </c>
      <c r="E1593" s="273">
        <v>0</v>
      </c>
      <c r="F1593" s="274"/>
      <c r="G1593" s="274">
        <f t="shared" si="6"/>
        <v>0</v>
      </c>
      <c r="H1593" s="274">
        <v>0</v>
      </c>
      <c r="K1593" s="274"/>
    </row>
    <row r="1594" spans="2:11" ht="13.5" customHeight="1">
      <c r="B1594" s="209" t="s">
        <v>311</v>
      </c>
      <c r="C1594" s="209" t="s">
        <v>2556</v>
      </c>
      <c r="D1594" s="453" t="s">
        <v>141</v>
      </c>
      <c r="E1594" s="273">
        <v>0</v>
      </c>
      <c r="F1594" s="274"/>
      <c r="G1594" s="274">
        <f t="shared" si="6"/>
        <v>0</v>
      </c>
      <c r="H1594" s="274">
        <v>0</v>
      </c>
      <c r="K1594" s="274"/>
    </row>
    <row r="1595" spans="2:11" ht="13.5" customHeight="1">
      <c r="B1595" s="209" t="s">
        <v>274</v>
      </c>
      <c r="C1595" s="209" t="s">
        <v>2557</v>
      </c>
      <c r="D1595" s="446" t="s">
        <v>133</v>
      </c>
      <c r="E1595" s="273">
        <v>0</v>
      </c>
      <c r="F1595" s="274"/>
      <c r="G1595" s="274">
        <f t="shared" si="6"/>
        <v>0</v>
      </c>
      <c r="H1595" s="274">
        <v>0</v>
      </c>
      <c r="K1595" s="274"/>
    </row>
    <row r="1596" spans="2:11" ht="13.5" customHeight="1">
      <c r="B1596" s="209" t="s">
        <v>274</v>
      </c>
      <c r="C1596" s="209" t="s">
        <v>2557</v>
      </c>
      <c r="D1596" s="447" t="s">
        <v>134</v>
      </c>
      <c r="E1596" s="273">
        <v>0</v>
      </c>
      <c r="F1596" s="274"/>
      <c r="G1596" s="274">
        <f t="shared" si="6"/>
        <v>0</v>
      </c>
      <c r="H1596" s="274">
        <v>0</v>
      </c>
      <c r="K1596" s="274"/>
    </row>
    <row r="1597" spans="2:11" ht="13.5" customHeight="1">
      <c r="B1597" s="209" t="s">
        <v>274</v>
      </c>
      <c r="C1597" s="209" t="s">
        <v>2557</v>
      </c>
      <c r="D1597" s="448" t="s">
        <v>135</v>
      </c>
      <c r="E1597" s="273">
        <v>0</v>
      </c>
      <c r="F1597" s="274"/>
      <c r="G1597" s="274">
        <f t="shared" si="6"/>
        <v>0</v>
      </c>
      <c r="H1597" s="274">
        <v>0</v>
      </c>
      <c r="K1597" s="274"/>
    </row>
    <row r="1598" spans="2:11" ht="13.5" customHeight="1">
      <c r="B1598" s="209" t="s">
        <v>274</v>
      </c>
      <c r="C1598" s="209" t="s">
        <v>2557</v>
      </c>
      <c r="D1598" s="449" t="s">
        <v>136</v>
      </c>
      <c r="E1598" s="273">
        <v>0</v>
      </c>
      <c r="F1598" s="274"/>
      <c r="G1598" s="274">
        <f t="shared" si="6"/>
        <v>0</v>
      </c>
      <c r="H1598" s="274">
        <v>0</v>
      </c>
      <c r="K1598" s="274"/>
    </row>
    <row r="1599" spans="2:11" ht="13.5" customHeight="1">
      <c r="B1599" s="209" t="s">
        <v>274</v>
      </c>
      <c r="C1599" s="209" t="s">
        <v>2557</v>
      </c>
      <c r="D1599" s="450" t="s">
        <v>137</v>
      </c>
      <c r="E1599" s="273">
        <v>0</v>
      </c>
      <c r="F1599" s="274"/>
      <c r="G1599" s="274">
        <f t="shared" si="6"/>
        <v>0</v>
      </c>
      <c r="H1599" s="274">
        <v>0</v>
      </c>
      <c r="K1599" s="274"/>
    </row>
    <row r="1600" spans="2:11" ht="13.5" customHeight="1">
      <c r="B1600" s="209" t="s">
        <v>274</v>
      </c>
      <c r="C1600" s="209" t="s">
        <v>2557</v>
      </c>
      <c r="D1600" s="451" t="s">
        <v>138</v>
      </c>
      <c r="E1600" s="273">
        <v>0</v>
      </c>
      <c r="F1600" s="274"/>
      <c r="G1600" s="274">
        <f t="shared" si="6"/>
        <v>0</v>
      </c>
      <c r="H1600" s="274">
        <v>0</v>
      </c>
      <c r="K1600" s="274"/>
    </row>
    <row r="1601" spans="2:11" ht="13.5" customHeight="1">
      <c r="B1601" s="209" t="s">
        <v>274</v>
      </c>
      <c r="C1601" s="209" t="s">
        <v>2557</v>
      </c>
      <c r="D1601" s="452" t="s">
        <v>139</v>
      </c>
      <c r="E1601" s="273">
        <v>0</v>
      </c>
      <c r="F1601" s="274"/>
      <c r="G1601" s="274">
        <f t="shared" si="6"/>
        <v>0</v>
      </c>
      <c r="H1601" s="274">
        <v>0</v>
      </c>
      <c r="K1601" s="274"/>
    </row>
    <row r="1602" spans="2:11" ht="13.5" customHeight="1">
      <c r="B1602" s="209" t="s">
        <v>274</v>
      </c>
      <c r="C1602" s="209" t="s">
        <v>2557</v>
      </c>
      <c r="D1602" s="216" t="s">
        <v>140</v>
      </c>
      <c r="E1602" s="273">
        <v>0</v>
      </c>
      <c r="F1602" s="274"/>
      <c r="G1602" s="274">
        <f t="shared" si="6"/>
        <v>0</v>
      </c>
      <c r="H1602" s="274">
        <v>0</v>
      </c>
      <c r="K1602" s="274"/>
    </row>
    <row r="1603" spans="2:11" ht="13.5" customHeight="1">
      <c r="B1603" s="209" t="s">
        <v>274</v>
      </c>
      <c r="C1603" s="209" t="s">
        <v>2557</v>
      </c>
      <c r="D1603" s="453" t="s">
        <v>141</v>
      </c>
      <c r="E1603" s="273">
        <v>0</v>
      </c>
      <c r="F1603" s="274"/>
      <c r="G1603" s="274">
        <f t="shared" si="6"/>
        <v>0</v>
      </c>
      <c r="H1603" s="274">
        <v>0</v>
      </c>
      <c r="K1603" s="274"/>
    </row>
    <row r="1604" spans="2:11" ht="13.5" customHeight="1">
      <c r="B1604" s="209" t="s">
        <v>313</v>
      </c>
      <c r="C1604" s="209" t="s">
        <v>2558</v>
      </c>
      <c r="D1604" s="446" t="s">
        <v>133</v>
      </c>
      <c r="E1604" s="273">
        <v>0</v>
      </c>
      <c r="F1604" s="274"/>
      <c r="G1604" s="274">
        <f t="shared" si="6"/>
        <v>0</v>
      </c>
      <c r="H1604" s="274">
        <v>0</v>
      </c>
      <c r="K1604" s="274"/>
    </row>
    <row r="1605" spans="2:11" ht="13.5" customHeight="1">
      <c r="B1605" s="209" t="s">
        <v>313</v>
      </c>
      <c r="C1605" s="209" t="s">
        <v>2558</v>
      </c>
      <c r="D1605" s="447" t="s">
        <v>134</v>
      </c>
      <c r="E1605" s="273">
        <v>0</v>
      </c>
      <c r="F1605" s="274"/>
      <c r="G1605" s="274">
        <f t="shared" si="6"/>
        <v>0</v>
      </c>
      <c r="H1605" s="274">
        <v>0</v>
      </c>
      <c r="K1605" s="274"/>
    </row>
    <row r="1606" spans="2:11" ht="13.5" customHeight="1">
      <c r="B1606" s="209" t="s">
        <v>313</v>
      </c>
      <c r="C1606" s="209" t="s">
        <v>2558</v>
      </c>
      <c r="D1606" s="448" t="s">
        <v>135</v>
      </c>
      <c r="E1606" s="273">
        <v>0</v>
      </c>
      <c r="F1606" s="274"/>
      <c r="G1606" s="274">
        <f t="shared" si="6"/>
        <v>0</v>
      </c>
      <c r="H1606" s="274">
        <v>0</v>
      </c>
      <c r="K1606" s="274"/>
    </row>
    <row r="1607" spans="2:11" ht="13.5" customHeight="1">
      <c r="B1607" s="209" t="s">
        <v>313</v>
      </c>
      <c r="C1607" s="209" t="s">
        <v>2558</v>
      </c>
      <c r="D1607" s="449" t="s">
        <v>136</v>
      </c>
      <c r="E1607" s="273">
        <v>0</v>
      </c>
      <c r="F1607" s="274"/>
      <c r="G1607" s="274">
        <f t="shared" si="6"/>
        <v>0</v>
      </c>
      <c r="H1607" s="274">
        <v>0</v>
      </c>
      <c r="K1607" s="274"/>
    </row>
    <row r="1608" spans="2:11" ht="13.5" customHeight="1">
      <c r="B1608" s="209" t="s">
        <v>313</v>
      </c>
      <c r="C1608" s="209" t="s">
        <v>2558</v>
      </c>
      <c r="D1608" s="450" t="s">
        <v>137</v>
      </c>
      <c r="E1608" s="273">
        <v>0</v>
      </c>
      <c r="F1608" s="274"/>
      <c r="G1608" s="274">
        <f t="shared" si="6"/>
        <v>0</v>
      </c>
      <c r="H1608" s="274">
        <v>0</v>
      </c>
      <c r="K1608" s="274"/>
    </row>
    <row r="1609" spans="2:11" ht="13.5" customHeight="1">
      <c r="B1609" s="209" t="s">
        <v>313</v>
      </c>
      <c r="C1609" s="209" t="s">
        <v>2558</v>
      </c>
      <c r="D1609" s="451" t="s">
        <v>138</v>
      </c>
      <c r="E1609" s="273">
        <v>0</v>
      </c>
      <c r="F1609" s="274"/>
      <c r="G1609" s="274">
        <f t="shared" si="6"/>
        <v>0</v>
      </c>
      <c r="H1609" s="274">
        <v>0</v>
      </c>
      <c r="K1609" s="274"/>
    </row>
    <row r="1610" spans="2:11" ht="13.5" customHeight="1">
      <c r="B1610" s="209" t="s">
        <v>313</v>
      </c>
      <c r="C1610" s="209" t="s">
        <v>2558</v>
      </c>
      <c r="D1610" s="452" t="s">
        <v>139</v>
      </c>
      <c r="E1610" s="273">
        <v>0</v>
      </c>
      <c r="F1610" s="274"/>
      <c r="G1610" s="274">
        <f t="shared" si="6"/>
        <v>0</v>
      </c>
      <c r="H1610" s="274">
        <v>0</v>
      </c>
      <c r="K1610" s="274"/>
    </row>
    <row r="1611" spans="2:11" ht="13.5" customHeight="1">
      <c r="B1611" s="209" t="s">
        <v>313</v>
      </c>
      <c r="C1611" s="209" t="s">
        <v>2558</v>
      </c>
      <c r="D1611" s="216" t="s">
        <v>140</v>
      </c>
      <c r="E1611" s="273">
        <v>0</v>
      </c>
      <c r="F1611" s="274"/>
      <c r="G1611" s="274">
        <f t="shared" si="6"/>
        <v>0</v>
      </c>
      <c r="H1611" s="274">
        <v>0</v>
      </c>
      <c r="K1611" s="274"/>
    </row>
    <row r="1612" spans="2:11" ht="13.5" customHeight="1">
      <c r="B1612" s="209" t="s">
        <v>313</v>
      </c>
      <c r="C1612" s="209" t="s">
        <v>2558</v>
      </c>
      <c r="D1612" s="453" t="s">
        <v>141</v>
      </c>
      <c r="E1612" s="273">
        <v>0</v>
      </c>
      <c r="F1612" s="274"/>
      <c r="G1612" s="274">
        <f t="shared" si="6"/>
        <v>0</v>
      </c>
      <c r="H1612" s="274">
        <v>0</v>
      </c>
      <c r="K1612" s="274"/>
    </row>
    <row r="1613" spans="2:11" ht="13.5" customHeight="1">
      <c r="B1613" s="209" t="s">
        <v>1008</v>
      </c>
      <c r="C1613" s="209" t="s">
        <v>2559</v>
      </c>
      <c r="D1613" s="446" t="s">
        <v>133</v>
      </c>
      <c r="E1613" s="273">
        <v>0</v>
      </c>
      <c r="F1613" s="274"/>
      <c r="G1613" s="274">
        <f t="shared" si="6"/>
        <v>0</v>
      </c>
      <c r="H1613" s="274">
        <v>0</v>
      </c>
      <c r="K1613" s="274"/>
    </row>
    <row r="1614" spans="2:11" ht="13.5" customHeight="1">
      <c r="B1614" s="209" t="s">
        <v>1008</v>
      </c>
      <c r="C1614" s="209" t="s">
        <v>2559</v>
      </c>
      <c r="D1614" s="447" t="s">
        <v>134</v>
      </c>
      <c r="E1614" s="273">
        <v>0</v>
      </c>
      <c r="F1614" s="274"/>
      <c r="G1614" s="274">
        <f t="shared" si="6"/>
        <v>0</v>
      </c>
      <c r="H1614" s="274">
        <v>0</v>
      </c>
      <c r="K1614" s="274"/>
    </row>
    <row r="1615" spans="2:11" ht="13.5" customHeight="1">
      <c r="B1615" s="209" t="s">
        <v>1008</v>
      </c>
      <c r="C1615" s="209" t="s">
        <v>2559</v>
      </c>
      <c r="D1615" s="448" t="s">
        <v>135</v>
      </c>
      <c r="E1615" s="273">
        <v>0</v>
      </c>
      <c r="F1615" s="274"/>
      <c r="G1615" s="274">
        <f t="shared" si="6"/>
        <v>0</v>
      </c>
      <c r="H1615" s="274">
        <v>0</v>
      </c>
      <c r="K1615" s="274"/>
    </row>
    <row r="1616" spans="2:11" ht="13.5" customHeight="1">
      <c r="B1616" s="209" t="s">
        <v>1008</v>
      </c>
      <c r="C1616" s="209" t="s">
        <v>2559</v>
      </c>
      <c r="D1616" s="449" t="s">
        <v>136</v>
      </c>
      <c r="E1616" s="273">
        <v>0</v>
      </c>
      <c r="F1616" s="274"/>
      <c r="G1616" s="274">
        <f t="shared" si="6"/>
        <v>0</v>
      </c>
      <c r="H1616" s="274">
        <v>0</v>
      </c>
      <c r="K1616" s="274"/>
    </row>
    <row r="1617" spans="2:11" ht="13.5" customHeight="1">
      <c r="B1617" s="209" t="s">
        <v>1008</v>
      </c>
      <c r="C1617" s="209" t="s">
        <v>2559</v>
      </c>
      <c r="D1617" s="450" t="s">
        <v>137</v>
      </c>
      <c r="E1617" s="273">
        <v>0</v>
      </c>
      <c r="F1617" s="274"/>
      <c r="G1617" s="274">
        <f t="shared" si="6"/>
        <v>0</v>
      </c>
      <c r="H1617" s="274">
        <v>0</v>
      </c>
      <c r="K1617" s="274"/>
    </row>
    <row r="1618" spans="2:11" ht="13.5" customHeight="1">
      <c r="B1618" s="209" t="s">
        <v>1008</v>
      </c>
      <c r="C1618" s="209" t="s">
        <v>2559</v>
      </c>
      <c r="D1618" s="451" t="s">
        <v>138</v>
      </c>
      <c r="E1618" s="273">
        <v>0</v>
      </c>
      <c r="F1618" s="274"/>
      <c r="G1618" s="274">
        <f t="shared" si="6"/>
        <v>0</v>
      </c>
      <c r="H1618" s="274">
        <v>0</v>
      </c>
      <c r="K1618" s="274"/>
    </row>
    <row r="1619" spans="2:11" ht="13.5" customHeight="1">
      <c r="B1619" s="209" t="s">
        <v>1008</v>
      </c>
      <c r="C1619" s="209" t="s">
        <v>2559</v>
      </c>
      <c r="D1619" s="452" t="s">
        <v>139</v>
      </c>
      <c r="E1619" s="273">
        <v>0</v>
      </c>
      <c r="F1619" s="274"/>
      <c r="G1619" s="274">
        <f t="shared" si="6"/>
        <v>0</v>
      </c>
      <c r="H1619" s="274">
        <v>0</v>
      </c>
      <c r="K1619" s="274"/>
    </row>
    <row r="1620" spans="2:11" ht="13.5" customHeight="1">
      <c r="B1620" s="209" t="s">
        <v>1008</v>
      </c>
      <c r="C1620" s="209" t="s">
        <v>2559</v>
      </c>
      <c r="D1620" s="216" t="s">
        <v>140</v>
      </c>
      <c r="E1620" s="273">
        <v>0</v>
      </c>
      <c r="F1620" s="274"/>
      <c r="G1620" s="274">
        <f t="shared" si="6"/>
        <v>0</v>
      </c>
      <c r="H1620" s="274">
        <v>0</v>
      </c>
      <c r="K1620" s="274"/>
    </row>
    <row r="1621" spans="2:11" ht="13.5" customHeight="1">
      <c r="B1621" s="209" t="s">
        <v>1008</v>
      </c>
      <c r="C1621" s="209" t="s">
        <v>2559</v>
      </c>
      <c r="D1621" s="453" t="s">
        <v>141</v>
      </c>
      <c r="E1621" s="273">
        <v>0</v>
      </c>
      <c r="F1621" s="274"/>
      <c r="G1621" s="274">
        <f t="shared" si="6"/>
        <v>0</v>
      </c>
      <c r="H1621" s="274">
        <v>0</v>
      </c>
      <c r="K1621" s="274"/>
    </row>
    <row r="1622" spans="2:11" ht="13.5" customHeight="1">
      <c r="B1622" s="209" t="s">
        <v>1010</v>
      </c>
      <c r="C1622" s="209" t="s">
        <v>2560</v>
      </c>
      <c r="D1622" s="446" t="s">
        <v>133</v>
      </c>
      <c r="E1622" s="273">
        <v>0</v>
      </c>
      <c r="F1622" s="274"/>
      <c r="G1622" s="274">
        <f t="shared" si="6"/>
        <v>0</v>
      </c>
      <c r="H1622" s="274">
        <v>0</v>
      </c>
      <c r="K1622" s="274"/>
    </row>
    <row r="1623" spans="2:11" ht="13.5" customHeight="1">
      <c r="B1623" s="209" t="s">
        <v>1010</v>
      </c>
      <c r="C1623" s="209" t="s">
        <v>2560</v>
      </c>
      <c r="D1623" s="447" t="s">
        <v>134</v>
      </c>
      <c r="E1623" s="273">
        <v>0</v>
      </c>
      <c r="F1623" s="274"/>
      <c r="G1623" s="274">
        <f t="shared" si="6"/>
        <v>0</v>
      </c>
      <c r="H1623" s="274">
        <v>0</v>
      </c>
      <c r="K1623" s="274"/>
    </row>
    <row r="1624" spans="2:11" ht="13.5" customHeight="1">
      <c r="B1624" s="209" t="s">
        <v>1010</v>
      </c>
      <c r="C1624" s="209" t="s">
        <v>2560</v>
      </c>
      <c r="D1624" s="448" t="s">
        <v>135</v>
      </c>
      <c r="E1624" s="273">
        <v>0</v>
      </c>
      <c r="F1624" s="274"/>
      <c r="G1624" s="274">
        <f t="shared" si="6"/>
        <v>0</v>
      </c>
      <c r="H1624" s="274">
        <v>0</v>
      </c>
      <c r="K1624" s="274"/>
    </row>
    <row r="1625" spans="2:11" ht="13.5" customHeight="1">
      <c r="B1625" s="209" t="s">
        <v>1010</v>
      </c>
      <c r="C1625" s="209" t="s">
        <v>2560</v>
      </c>
      <c r="D1625" s="449" t="s">
        <v>136</v>
      </c>
      <c r="E1625" s="273">
        <v>0</v>
      </c>
      <c r="F1625" s="274"/>
      <c r="G1625" s="274">
        <f t="shared" si="6"/>
        <v>0</v>
      </c>
      <c r="H1625" s="274">
        <v>0</v>
      </c>
      <c r="K1625" s="274"/>
    </row>
    <row r="1626" spans="2:11" ht="13.5" customHeight="1">
      <c r="B1626" s="209" t="s">
        <v>1010</v>
      </c>
      <c r="C1626" s="209" t="s">
        <v>2560</v>
      </c>
      <c r="D1626" s="450" t="s">
        <v>137</v>
      </c>
      <c r="E1626" s="273">
        <v>0</v>
      </c>
      <c r="F1626" s="274"/>
      <c r="G1626" s="274">
        <f t="shared" si="6"/>
        <v>0</v>
      </c>
      <c r="H1626" s="274">
        <v>0</v>
      </c>
      <c r="K1626" s="274"/>
    </row>
    <row r="1627" spans="2:11" ht="13.5" customHeight="1">
      <c r="B1627" s="209" t="s">
        <v>1010</v>
      </c>
      <c r="C1627" s="209" t="s">
        <v>2560</v>
      </c>
      <c r="D1627" s="451" t="s">
        <v>138</v>
      </c>
      <c r="E1627" s="273">
        <v>0</v>
      </c>
      <c r="F1627" s="274"/>
      <c r="G1627" s="274">
        <f t="shared" si="6"/>
        <v>0</v>
      </c>
      <c r="H1627" s="274">
        <v>0</v>
      </c>
      <c r="K1627" s="274"/>
    </row>
    <row r="1628" spans="2:11" ht="13.5" customHeight="1">
      <c r="B1628" s="209" t="s">
        <v>1010</v>
      </c>
      <c r="C1628" s="209" t="s">
        <v>2560</v>
      </c>
      <c r="D1628" s="452" t="s">
        <v>139</v>
      </c>
      <c r="E1628" s="273">
        <v>0</v>
      </c>
      <c r="F1628" s="274"/>
      <c r="G1628" s="274">
        <f t="shared" si="6"/>
        <v>0</v>
      </c>
      <c r="H1628" s="274">
        <v>0</v>
      </c>
      <c r="K1628" s="274"/>
    </row>
    <row r="1629" spans="2:11" ht="13.5" customHeight="1">
      <c r="B1629" s="209" t="s">
        <v>1010</v>
      </c>
      <c r="C1629" s="209" t="s">
        <v>2560</v>
      </c>
      <c r="D1629" s="216" t="s">
        <v>140</v>
      </c>
      <c r="E1629" s="273">
        <v>0</v>
      </c>
      <c r="F1629" s="274"/>
      <c r="G1629" s="274">
        <f t="shared" si="6"/>
        <v>0</v>
      </c>
      <c r="H1629" s="274">
        <v>0</v>
      </c>
      <c r="K1629" s="274"/>
    </row>
    <row r="1630" spans="2:11" ht="13.5" customHeight="1">
      <c r="B1630" s="209" t="s">
        <v>1010</v>
      </c>
      <c r="C1630" s="209" t="s">
        <v>2560</v>
      </c>
      <c r="D1630" s="453" t="s">
        <v>141</v>
      </c>
      <c r="E1630" s="273">
        <v>0</v>
      </c>
      <c r="F1630" s="274"/>
      <c r="G1630" s="274">
        <f t="shared" si="6"/>
        <v>0</v>
      </c>
      <c r="H1630" s="274">
        <v>0</v>
      </c>
      <c r="K1630" s="274"/>
    </row>
    <row r="1631" spans="2:11" ht="13.5" customHeight="1">
      <c r="B1631" s="209" t="s">
        <v>1012</v>
      </c>
      <c r="C1631" s="209" t="s">
        <v>2561</v>
      </c>
      <c r="D1631" s="446" t="s">
        <v>133</v>
      </c>
      <c r="E1631" s="273">
        <v>0</v>
      </c>
      <c r="F1631" s="274"/>
      <c r="G1631" s="274">
        <f t="shared" si="6"/>
        <v>0</v>
      </c>
      <c r="H1631" s="274">
        <v>0</v>
      </c>
      <c r="K1631" s="274"/>
    </row>
    <row r="1632" spans="2:11" ht="13.5" customHeight="1">
      <c r="B1632" s="209" t="s">
        <v>1012</v>
      </c>
      <c r="C1632" s="209" t="s">
        <v>2561</v>
      </c>
      <c r="D1632" s="447" t="s">
        <v>134</v>
      </c>
      <c r="E1632" s="273">
        <v>0</v>
      </c>
      <c r="F1632" s="274"/>
      <c r="G1632" s="274">
        <f t="shared" si="6"/>
        <v>0</v>
      </c>
      <c r="H1632" s="274">
        <v>0</v>
      </c>
      <c r="K1632" s="274"/>
    </row>
    <row r="1633" spans="2:11" ht="13.5" customHeight="1">
      <c r="B1633" s="209" t="s">
        <v>1012</v>
      </c>
      <c r="C1633" s="209" t="s">
        <v>2561</v>
      </c>
      <c r="D1633" s="448" t="s">
        <v>135</v>
      </c>
      <c r="E1633" s="273">
        <v>0</v>
      </c>
      <c r="F1633" s="274"/>
      <c r="G1633" s="274">
        <f t="shared" si="6"/>
        <v>0</v>
      </c>
      <c r="H1633" s="274">
        <v>0</v>
      </c>
      <c r="K1633" s="274"/>
    </row>
    <row r="1634" spans="2:11" ht="13.5" customHeight="1">
      <c r="B1634" s="209" t="s">
        <v>1012</v>
      </c>
      <c r="C1634" s="209" t="s">
        <v>2561</v>
      </c>
      <c r="D1634" s="449" t="s">
        <v>136</v>
      </c>
      <c r="E1634" s="273">
        <v>0</v>
      </c>
      <c r="F1634" s="274"/>
      <c r="G1634" s="274">
        <f t="shared" si="6"/>
        <v>0</v>
      </c>
      <c r="H1634" s="274">
        <v>0</v>
      </c>
      <c r="K1634" s="274"/>
    </row>
    <row r="1635" spans="2:11" ht="13.5" customHeight="1">
      <c r="B1635" s="209" t="s">
        <v>1012</v>
      </c>
      <c r="C1635" s="209" t="s">
        <v>2561</v>
      </c>
      <c r="D1635" s="450" t="s">
        <v>137</v>
      </c>
      <c r="E1635" s="273">
        <v>0</v>
      </c>
      <c r="F1635" s="274"/>
      <c r="G1635" s="274">
        <f t="shared" si="6"/>
        <v>0</v>
      </c>
      <c r="H1635" s="274">
        <v>0</v>
      </c>
      <c r="K1635" s="274"/>
    </row>
    <row r="1636" spans="2:11" ht="13.5" customHeight="1">
      <c r="B1636" s="209" t="s">
        <v>1012</v>
      </c>
      <c r="C1636" s="209" t="s">
        <v>2561</v>
      </c>
      <c r="D1636" s="451" t="s">
        <v>138</v>
      </c>
      <c r="E1636" s="273">
        <v>0</v>
      </c>
      <c r="F1636" s="274"/>
      <c r="G1636" s="274">
        <f t="shared" si="6"/>
        <v>0</v>
      </c>
      <c r="H1636" s="274">
        <v>0</v>
      </c>
      <c r="K1636" s="274"/>
    </row>
    <row r="1637" spans="2:11" ht="13.5" customHeight="1">
      <c r="B1637" s="209" t="s">
        <v>1012</v>
      </c>
      <c r="C1637" s="209" t="s">
        <v>2561</v>
      </c>
      <c r="D1637" s="452" t="s">
        <v>139</v>
      </c>
      <c r="E1637" s="273">
        <v>0</v>
      </c>
      <c r="F1637" s="274"/>
      <c r="G1637" s="274">
        <f t="shared" si="6"/>
        <v>0</v>
      </c>
      <c r="H1637" s="274">
        <v>0</v>
      </c>
      <c r="K1637" s="274"/>
    </row>
    <row r="1638" spans="2:11" ht="13.5" customHeight="1">
      <c r="B1638" s="209" t="s">
        <v>1012</v>
      </c>
      <c r="C1638" s="209" t="s">
        <v>2561</v>
      </c>
      <c r="D1638" s="216" t="s">
        <v>140</v>
      </c>
      <c r="E1638" s="273">
        <v>0</v>
      </c>
      <c r="F1638" s="274"/>
      <c r="G1638" s="274">
        <f t="shared" si="6"/>
        <v>0</v>
      </c>
      <c r="H1638" s="274">
        <v>0</v>
      </c>
      <c r="K1638" s="274"/>
    </row>
    <row r="1639" spans="2:11" ht="13.5" customHeight="1">
      <c r="B1639" s="209" t="s">
        <v>1012</v>
      </c>
      <c r="C1639" s="209" t="s">
        <v>2561</v>
      </c>
      <c r="D1639" s="453" t="s">
        <v>141</v>
      </c>
      <c r="E1639" s="273">
        <v>0</v>
      </c>
      <c r="F1639" s="274"/>
      <c r="G1639" s="274">
        <f t="shared" si="6"/>
        <v>0</v>
      </c>
      <c r="H1639" s="274">
        <v>0</v>
      </c>
      <c r="K1639" s="274"/>
    </row>
    <row r="1640" spans="2:11" ht="13.5" customHeight="1">
      <c r="B1640" s="209" t="s">
        <v>333</v>
      </c>
      <c r="C1640" s="209" t="s">
        <v>2562</v>
      </c>
      <c r="D1640" s="446" t="s">
        <v>133</v>
      </c>
      <c r="E1640" s="273">
        <v>0</v>
      </c>
      <c r="F1640" s="274"/>
      <c r="G1640" s="274">
        <f t="shared" si="6"/>
        <v>0</v>
      </c>
      <c r="H1640" s="274">
        <v>0</v>
      </c>
      <c r="K1640" s="274"/>
    </row>
    <row r="1641" spans="2:11" ht="13.5" customHeight="1">
      <c r="B1641" s="209" t="s">
        <v>333</v>
      </c>
      <c r="C1641" s="209" t="s">
        <v>2562</v>
      </c>
      <c r="D1641" s="447" t="s">
        <v>134</v>
      </c>
      <c r="E1641" s="273">
        <v>0</v>
      </c>
      <c r="F1641" s="274"/>
      <c r="G1641" s="274">
        <f t="shared" si="6"/>
        <v>0</v>
      </c>
      <c r="H1641" s="274">
        <v>0</v>
      </c>
      <c r="K1641" s="274"/>
    </row>
    <row r="1642" spans="2:11" ht="13.5" customHeight="1">
      <c r="B1642" s="209" t="s">
        <v>333</v>
      </c>
      <c r="C1642" s="209" t="s">
        <v>2562</v>
      </c>
      <c r="D1642" s="448" t="s">
        <v>135</v>
      </c>
      <c r="E1642" s="273">
        <v>0</v>
      </c>
      <c r="F1642" s="274"/>
      <c r="G1642" s="274">
        <f t="shared" si="6"/>
        <v>0</v>
      </c>
      <c r="H1642" s="274">
        <v>0</v>
      </c>
      <c r="K1642" s="274"/>
    </row>
    <row r="1643" spans="2:11" ht="13.5" customHeight="1">
      <c r="B1643" s="209" t="s">
        <v>333</v>
      </c>
      <c r="C1643" s="209" t="s">
        <v>2562</v>
      </c>
      <c r="D1643" s="449" t="s">
        <v>136</v>
      </c>
      <c r="E1643" s="273">
        <v>0</v>
      </c>
      <c r="F1643" s="274"/>
      <c r="G1643" s="274">
        <f t="shared" si="6"/>
        <v>0</v>
      </c>
      <c r="H1643" s="274">
        <v>0</v>
      </c>
      <c r="K1643" s="274"/>
    </row>
    <row r="1644" spans="2:11" ht="13.5" customHeight="1">
      <c r="B1644" s="209" t="s">
        <v>333</v>
      </c>
      <c r="C1644" s="209" t="s">
        <v>2562</v>
      </c>
      <c r="D1644" s="450" t="s">
        <v>137</v>
      </c>
      <c r="E1644" s="273">
        <v>0</v>
      </c>
      <c r="F1644" s="274"/>
      <c r="G1644" s="274">
        <f t="shared" si="6"/>
        <v>0</v>
      </c>
      <c r="H1644" s="274">
        <v>0</v>
      </c>
      <c r="K1644" s="274"/>
    </row>
    <row r="1645" spans="2:11" ht="13.5" customHeight="1">
      <c r="B1645" s="209" t="s">
        <v>333</v>
      </c>
      <c r="C1645" s="209" t="s">
        <v>2562</v>
      </c>
      <c r="D1645" s="451" t="s">
        <v>138</v>
      </c>
      <c r="E1645" s="273">
        <v>0</v>
      </c>
      <c r="F1645" s="274"/>
      <c r="G1645" s="274">
        <f t="shared" si="6"/>
        <v>0</v>
      </c>
      <c r="H1645" s="274">
        <v>0</v>
      </c>
      <c r="K1645" s="274"/>
    </row>
    <row r="1646" spans="2:11" ht="13.5" customHeight="1">
      <c r="B1646" s="209" t="s">
        <v>333</v>
      </c>
      <c r="C1646" s="209" t="s">
        <v>2562</v>
      </c>
      <c r="D1646" s="452" t="s">
        <v>139</v>
      </c>
      <c r="E1646" s="273">
        <v>0</v>
      </c>
      <c r="F1646" s="274"/>
      <c r="G1646" s="274">
        <f t="shared" si="6"/>
        <v>0</v>
      </c>
      <c r="H1646" s="274">
        <v>0</v>
      </c>
      <c r="K1646" s="274"/>
    </row>
    <row r="1647" spans="2:11" ht="13.5" customHeight="1">
      <c r="B1647" s="209" t="s">
        <v>333</v>
      </c>
      <c r="C1647" s="209" t="s">
        <v>2562</v>
      </c>
      <c r="D1647" s="216" t="s">
        <v>140</v>
      </c>
      <c r="E1647" s="273">
        <v>0</v>
      </c>
      <c r="F1647" s="274"/>
      <c r="G1647" s="274">
        <f t="shared" si="6"/>
        <v>0</v>
      </c>
      <c r="H1647" s="274">
        <v>0</v>
      </c>
      <c r="K1647" s="274"/>
    </row>
    <row r="1648" spans="2:11" ht="13.5" customHeight="1">
      <c r="B1648" s="209" t="s">
        <v>333</v>
      </c>
      <c r="C1648" s="209" t="s">
        <v>2562</v>
      </c>
      <c r="D1648" s="453" t="s">
        <v>141</v>
      </c>
      <c r="E1648" s="273">
        <v>0</v>
      </c>
      <c r="F1648" s="274"/>
      <c r="G1648" s="274">
        <f t="shared" si="6"/>
        <v>0</v>
      </c>
      <c r="H1648" s="274">
        <v>0</v>
      </c>
      <c r="K1648" s="274"/>
    </row>
    <row r="1649" spans="2:11" ht="13.5" customHeight="1">
      <c r="B1649" s="209" t="s">
        <v>335</v>
      </c>
      <c r="C1649" s="209" t="s">
        <v>2563</v>
      </c>
      <c r="D1649" s="446" t="s">
        <v>133</v>
      </c>
      <c r="E1649" s="273">
        <v>0</v>
      </c>
      <c r="F1649" s="274"/>
      <c r="G1649" s="274">
        <f t="shared" si="6"/>
        <v>0</v>
      </c>
      <c r="H1649" s="274">
        <v>0</v>
      </c>
      <c r="K1649" s="274"/>
    </row>
    <row r="1650" spans="2:11" ht="13.5" customHeight="1">
      <c r="B1650" s="209" t="s">
        <v>335</v>
      </c>
      <c r="C1650" s="209" t="s">
        <v>2563</v>
      </c>
      <c r="D1650" s="447" t="s">
        <v>134</v>
      </c>
      <c r="E1650" s="273">
        <v>0</v>
      </c>
      <c r="F1650" s="274"/>
      <c r="G1650" s="274">
        <f t="shared" si="6"/>
        <v>0</v>
      </c>
      <c r="H1650" s="274">
        <v>0</v>
      </c>
      <c r="K1650" s="274"/>
    </row>
    <row r="1651" spans="2:11" ht="13.5" customHeight="1">
      <c r="B1651" s="209" t="s">
        <v>335</v>
      </c>
      <c r="C1651" s="209" t="s">
        <v>2563</v>
      </c>
      <c r="D1651" s="448" t="s">
        <v>135</v>
      </c>
      <c r="E1651" s="273">
        <v>0</v>
      </c>
      <c r="F1651" s="274"/>
      <c r="G1651" s="274">
        <f t="shared" si="6"/>
        <v>0</v>
      </c>
      <c r="H1651" s="274">
        <v>0</v>
      </c>
      <c r="K1651" s="274"/>
    </row>
    <row r="1652" spans="2:11" ht="13.5" customHeight="1">
      <c r="B1652" s="209" t="s">
        <v>335</v>
      </c>
      <c r="C1652" s="209" t="s">
        <v>2563</v>
      </c>
      <c r="D1652" s="449" t="s">
        <v>136</v>
      </c>
      <c r="E1652" s="273">
        <v>0</v>
      </c>
      <c r="F1652" s="274"/>
      <c r="G1652" s="274">
        <f t="shared" si="6"/>
        <v>0</v>
      </c>
      <c r="H1652" s="274">
        <v>0</v>
      </c>
      <c r="K1652" s="274"/>
    </row>
    <row r="1653" spans="2:11" ht="13.5" customHeight="1">
      <c r="B1653" s="209" t="s">
        <v>335</v>
      </c>
      <c r="C1653" s="209" t="s">
        <v>2563</v>
      </c>
      <c r="D1653" s="450" t="s">
        <v>137</v>
      </c>
      <c r="E1653" s="273">
        <v>0</v>
      </c>
      <c r="F1653" s="274"/>
      <c r="G1653" s="274">
        <f t="shared" si="6"/>
        <v>0</v>
      </c>
      <c r="H1653" s="274">
        <v>0</v>
      </c>
      <c r="K1653" s="274"/>
    </row>
    <row r="1654" spans="2:11" ht="13.5" customHeight="1">
      <c r="B1654" s="209" t="s">
        <v>335</v>
      </c>
      <c r="C1654" s="209" t="s">
        <v>2563</v>
      </c>
      <c r="D1654" s="451" t="s">
        <v>138</v>
      </c>
      <c r="E1654" s="273">
        <v>0</v>
      </c>
      <c r="F1654" s="274"/>
      <c r="G1654" s="274">
        <f t="shared" si="6"/>
        <v>0</v>
      </c>
      <c r="H1654" s="274">
        <v>0</v>
      </c>
      <c r="K1654" s="274"/>
    </row>
    <row r="1655" spans="2:11" ht="13.5" customHeight="1">
      <c r="B1655" s="209" t="s">
        <v>335</v>
      </c>
      <c r="C1655" s="209" t="s">
        <v>2563</v>
      </c>
      <c r="D1655" s="452" t="s">
        <v>139</v>
      </c>
      <c r="E1655" s="273">
        <v>0</v>
      </c>
      <c r="F1655" s="274"/>
      <c r="G1655" s="274">
        <f t="shared" si="6"/>
        <v>0</v>
      </c>
      <c r="H1655" s="274">
        <v>0</v>
      </c>
      <c r="K1655" s="274"/>
    </row>
    <row r="1656" spans="2:11" ht="13.5" customHeight="1">
      <c r="B1656" s="209" t="s">
        <v>335</v>
      </c>
      <c r="C1656" s="209" t="s">
        <v>2563</v>
      </c>
      <c r="D1656" s="216" t="s">
        <v>140</v>
      </c>
      <c r="E1656" s="273">
        <v>0</v>
      </c>
      <c r="F1656" s="274"/>
      <c r="G1656" s="274">
        <f t="shared" si="6"/>
        <v>0</v>
      </c>
      <c r="H1656" s="274">
        <v>0</v>
      </c>
      <c r="K1656" s="274"/>
    </row>
    <row r="1657" spans="2:11" ht="13.5" customHeight="1">
      <c r="B1657" s="209" t="s">
        <v>335</v>
      </c>
      <c r="C1657" s="209" t="s">
        <v>2563</v>
      </c>
      <c r="D1657" s="453" t="s">
        <v>141</v>
      </c>
      <c r="E1657" s="273">
        <v>0</v>
      </c>
      <c r="F1657" s="274"/>
      <c r="G1657" s="274">
        <f t="shared" si="6"/>
        <v>0</v>
      </c>
      <c r="H1657" s="274">
        <v>0</v>
      </c>
      <c r="K1657" s="274"/>
    </row>
    <row r="1658" spans="2:11" ht="13.5" customHeight="1">
      <c r="B1658" s="209" t="s">
        <v>1014</v>
      </c>
      <c r="C1658" s="209" t="s">
        <v>2564</v>
      </c>
      <c r="D1658" s="446" t="s">
        <v>133</v>
      </c>
      <c r="E1658" s="273">
        <v>0</v>
      </c>
      <c r="F1658" s="274"/>
      <c r="G1658" s="274">
        <f t="shared" si="6"/>
        <v>0</v>
      </c>
      <c r="H1658" s="274">
        <v>0</v>
      </c>
      <c r="K1658" s="274"/>
    </row>
    <row r="1659" spans="2:11" ht="13.5" customHeight="1">
      <c r="B1659" s="209" t="s">
        <v>1014</v>
      </c>
      <c r="C1659" s="209" t="s">
        <v>2564</v>
      </c>
      <c r="D1659" s="447" t="s">
        <v>134</v>
      </c>
      <c r="E1659" s="273">
        <v>0</v>
      </c>
      <c r="F1659" s="274"/>
      <c r="G1659" s="274">
        <f t="shared" si="6"/>
        <v>0</v>
      </c>
      <c r="H1659" s="274">
        <v>0</v>
      </c>
      <c r="K1659" s="274"/>
    </row>
    <row r="1660" spans="2:11" ht="13.5" customHeight="1">
      <c r="B1660" s="209" t="s">
        <v>1014</v>
      </c>
      <c r="C1660" s="209" t="s">
        <v>2564</v>
      </c>
      <c r="D1660" s="448" t="s">
        <v>135</v>
      </c>
      <c r="E1660" s="273">
        <v>0</v>
      </c>
      <c r="F1660" s="274"/>
      <c r="G1660" s="274">
        <f t="shared" si="6"/>
        <v>0</v>
      </c>
      <c r="H1660" s="274">
        <v>0</v>
      </c>
      <c r="K1660" s="274"/>
    </row>
    <row r="1661" spans="2:11" ht="13.5" customHeight="1">
      <c r="B1661" s="209" t="s">
        <v>1014</v>
      </c>
      <c r="C1661" s="209" t="s">
        <v>2564</v>
      </c>
      <c r="D1661" s="449" t="s">
        <v>136</v>
      </c>
      <c r="E1661" s="273">
        <v>0</v>
      </c>
      <c r="F1661" s="274"/>
      <c r="G1661" s="274">
        <f t="shared" si="6"/>
        <v>0</v>
      </c>
      <c r="H1661" s="274">
        <v>0</v>
      </c>
      <c r="K1661" s="274"/>
    </row>
    <row r="1662" spans="2:11" ht="13.5" customHeight="1">
      <c r="B1662" s="209" t="s">
        <v>1014</v>
      </c>
      <c r="C1662" s="209" t="s">
        <v>2564</v>
      </c>
      <c r="D1662" s="450" t="s">
        <v>137</v>
      </c>
      <c r="E1662" s="273">
        <v>0</v>
      </c>
      <c r="F1662" s="274"/>
      <c r="G1662" s="274">
        <f t="shared" si="6"/>
        <v>0</v>
      </c>
      <c r="H1662" s="274">
        <v>0</v>
      </c>
      <c r="K1662" s="274"/>
    </row>
    <row r="1663" spans="2:11" ht="13.5" customHeight="1">
      <c r="B1663" s="209" t="s">
        <v>1014</v>
      </c>
      <c r="C1663" s="209" t="s">
        <v>2564</v>
      </c>
      <c r="D1663" s="451" t="s">
        <v>138</v>
      </c>
      <c r="E1663" s="273">
        <v>0</v>
      </c>
      <c r="F1663" s="274"/>
      <c r="G1663" s="274">
        <f t="shared" si="6"/>
        <v>0</v>
      </c>
      <c r="H1663" s="274">
        <v>0</v>
      </c>
      <c r="K1663" s="274"/>
    </row>
    <row r="1664" spans="2:11" ht="13.5" customHeight="1">
      <c r="B1664" s="209" t="s">
        <v>1014</v>
      </c>
      <c r="C1664" s="209" t="s">
        <v>2564</v>
      </c>
      <c r="D1664" s="452" t="s">
        <v>139</v>
      </c>
      <c r="E1664" s="273">
        <v>0</v>
      </c>
      <c r="F1664" s="274"/>
      <c r="G1664" s="274">
        <f t="shared" si="6"/>
        <v>0</v>
      </c>
      <c r="H1664" s="274">
        <v>0</v>
      </c>
      <c r="K1664" s="274"/>
    </row>
    <row r="1665" spans="2:11" ht="13.5" customHeight="1">
      <c r="B1665" s="209" t="s">
        <v>1014</v>
      </c>
      <c r="C1665" s="209" t="s">
        <v>2564</v>
      </c>
      <c r="D1665" s="216" t="s">
        <v>140</v>
      </c>
      <c r="E1665" s="273">
        <v>0</v>
      </c>
      <c r="F1665" s="274"/>
      <c r="G1665" s="274">
        <f t="shared" si="6"/>
        <v>0</v>
      </c>
      <c r="H1665" s="274">
        <v>0</v>
      </c>
      <c r="K1665" s="274"/>
    </row>
    <row r="1666" spans="2:11" ht="13.5" customHeight="1">
      <c r="B1666" s="209" t="s">
        <v>1014</v>
      </c>
      <c r="C1666" s="209" t="s">
        <v>2564</v>
      </c>
      <c r="D1666" s="453" t="s">
        <v>141</v>
      </c>
      <c r="E1666" s="273">
        <v>0</v>
      </c>
      <c r="F1666" s="274"/>
      <c r="G1666" s="274">
        <f t="shared" si="6"/>
        <v>0</v>
      </c>
      <c r="H1666" s="274">
        <v>0</v>
      </c>
      <c r="K1666" s="274"/>
    </row>
    <row r="1667" spans="2:11" ht="13.5" customHeight="1">
      <c r="B1667" s="209" t="s">
        <v>243</v>
      </c>
      <c r="C1667" s="209" t="s">
        <v>2565</v>
      </c>
      <c r="D1667" s="446" t="s">
        <v>133</v>
      </c>
      <c r="E1667" s="273">
        <v>0</v>
      </c>
      <c r="F1667" s="274"/>
      <c r="G1667" s="274">
        <f t="shared" si="6"/>
        <v>0</v>
      </c>
      <c r="H1667" s="274">
        <v>0</v>
      </c>
      <c r="K1667" s="274"/>
    </row>
    <row r="1668" spans="2:11" ht="13.5" customHeight="1">
      <c r="B1668" s="209" t="s">
        <v>243</v>
      </c>
      <c r="C1668" s="209" t="s">
        <v>2565</v>
      </c>
      <c r="D1668" s="447" t="s">
        <v>134</v>
      </c>
      <c r="E1668" s="273">
        <v>0</v>
      </c>
      <c r="F1668" s="274"/>
      <c r="G1668" s="274">
        <f t="shared" si="6"/>
        <v>0</v>
      </c>
      <c r="H1668" s="274">
        <v>0</v>
      </c>
      <c r="K1668" s="274"/>
    </row>
    <row r="1669" spans="2:11" ht="13.5" customHeight="1">
      <c r="B1669" s="209" t="s">
        <v>243</v>
      </c>
      <c r="C1669" s="209" t="s">
        <v>2565</v>
      </c>
      <c r="D1669" s="448" t="s">
        <v>135</v>
      </c>
      <c r="E1669" s="273">
        <v>0</v>
      </c>
      <c r="F1669" s="274"/>
      <c r="G1669" s="274">
        <f t="shared" si="6"/>
        <v>0</v>
      </c>
      <c r="H1669" s="274">
        <v>0</v>
      </c>
      <c r="K1669" s="274"/>
    </row>
    <row r="1670" spans="2:11" ht="13.5" customHeight="1">
      <c r="B1670" s="209" t="s">
        <v>243</v>
      </c>
      <c r="C1670" s="209" t="s">
        <v>2565</v>
      </c>
      <c r="D1670" s="449" t="s">
        <v>136</v>
      </c>
      <c r="E1670" s="273">
        <v>0</v>
      </c>
      <c r="F1670" s="274"/>
      <c r="G1670" s="274">
        <f t="shared" si="6"/>
        <v>0</v>
      </c>
      <c r="H1670" s="274">
        <v>0</v>
      </c>
      <c r="K1670" s="274"/>
    </row>
    <row r="1671" spans="2:11" ht="13.5" customHeight="1">
      <c r="B1671" s="209" t="s">
        <v>243</v>
      </c>
      <c r="C1671" s="209" t="s">
        <v>2565</v>
      </c>
      <c r="D1671" s="450" t="s">
        <v>137</v>
      </c>
      <c r="E1671" s="273">
        <v>0</v>
      </c>
      <c r="F1671" s="274"/>
      <c r="G1671" s="274">
        <f t="shared" si="6"/>
        <v>0</v>
      </c>
      <c r="H1671" s="274">
        <v>0</v>
      </c>
      <c r="K1671" s="274"/>
    </row>
    <row r="1672" spans="2:11" ht="13.5" customHeight="1">
      <c r="B1672" s="209" t="s">
        <v>243</v>
      </c>
      <c r="C1672" s="209" t="s">
        <v>2565</v>
      </c>
      <c r="D1672" s="451" t="s">
        <v>138</v>
      </c>
      <c r="E1672" s="273">
        <v>0</v>
      </c>
      <c r="F1672" s="274"/>
      <c r="G1672" s="274">
        <f t="shared" si="6"/>
        <v>0</v>
      </c>
      <c r="H1672" s="274">
        <v>0</v>
      </c>
      <c r="K1672" s="274"/>
    </row>
    <row r="1673" spans="2:11" ht="13.5" customHeight="1">
      <c r="B1673" s="209" t="s">
        <v>243</v>
      </c>
      <c r="C1673" s="209" t="s">
        <v>2565</v>
      </c>
      <c r="D1673" s="452" t="s">
        <v>139</v>
      </c>
      <c r="E1673" s="273">
        <v>0</v>
      </c>
      <c r="F1673" s="274"/>
      <c r="G1673" s="274">
        <f t="shared" si="6"/>
        <v>0</v>
      </c>
      <c r="H1673" s="274">
        <v>0</v>
      </c>
      <c r="K1673" s="274"/>
    </row>
    <row r="1674" spans="2:11" ht="13.5" customHeight="1">
      <c r="B1674" s="209" t="s">
        <v>243</v>
      </c>
      <c r="C1674" s="209" t="s">
        <v>2565</v>
      </c>
      <c r="D1674" s="216" t="s">
        <v>140</v>
      </c>
      <c r="E1674" s="273">
        <v>0</v>
      </c>
      <c r="F1674" s="274"/>
      <c r="G1674" s="274">
        <f t="shared" si="6"/>
        <v>0</v>
      </c>
      <c r="H1674" s="274">
        <v>0</v>
      </c>
      <c r="K1674" s="274"/>
    </row>
    <row r="1675" spans="2:11" ht="13.5" customHeight="1">
      <c r="B1675" s="209" t="s">
        <v>243</v>
      </c>
      <c r="C1675" s="209" t="s">
        <v>2565</v>
      </c>
      <c r="D1675" s="453" t="s">
        <v>141</v>
      </c>
      <c r="E1675" s="273">
        <v>0</v>
      </c>
      <c r="F1675" s="274"/>
      <c r="G1675" s="274">
        <f t="shared" si="6"/>
        <v>0</v>
      </c>
      <c r="H1675" s="274">
        <v>0</v>
      </c>
      <c r="K1675" s="274"/>
    </row>
    <row r="1676" spans="2:11" ht="13.5" customHeight="1">
      <c r="B1676" s="209" t="s">
        <v>203</v>
      </c>
      <c r="C1676" s="209" t="s">
        <v>2566</v>
      </c>
      <c r="D1676" s="446" t="s">
        <v>133</v>
      </c>
      <c r="E1676" s="273">
        <v>0</v>
      </c>
      <c r="F1676" s="274"/>
      <c r="G1676" s="274">
        <f t="shared" si="6"/>
        <v>0</v>
      </c>
      <c r="H1676" s="274">
        <v>0</v>
      </c>
      <c r="K1676" s="274"/>
    </row>
    <row r="1677" spans="2:11" ht="13.5" customHeight="1">
      <c r="B1677" s="209" t="s">
        <v>203</v>
      </c>
      <c r="C1677" s="209" t="s">
        <v>2566</v>
      </c>
      <c r="D1677" s="447" t="s">
        <v>134</v>
      </c>
      <c r="E1677" s="273">
        <v>0</v>
      </c>
      <c r="F1677" s="274"/>
      <c r="G1677" s="274">
        <f t="shared" si="6"/>
        <v>0</v>
      </c>
      <c r="H1677" s="274">
        <v>0</v>
      </c>
      <c r="K1677" s="274"/>
    </row>
    <row r="1678" spans="2:11" ht="13.5" customHeight="1">
      <c r="B1678" s="209" t="s">
        <v>203</v>
      </c>
      <c r="C1678" s="209" t="s">
        <v>2566</v>
      </c>
      <c r="D1678" s="448" t="s">
        <v>135</v>
      </c>
      <c r="E1678" s="273">
        <v>0</v>
      </c>
      <c r="F1678" s="274"/>
      <c r="G1678" s="274">
        <f t="shared" si="6"/>
        <v>0</v>
      </c>
      <c r="H1678" s="274">
        <v>0</v>
      </c>
      <c r="K1678" s="274"/>
    </row>
    <row r="1679" spans="2:11" ht="13.5" customHeight="1">
      <c r="B1679" s="209" t="s">
        <v>203</v>
      </c>
      <c r="C1679" s="209" t="s">
        <v>2566</v>
      </c>
      <c r="D1679" s="449" t="s">
        <v>136</v>
      </c>
      <c r="E1679" s="273">
        <v>0</v>
      </c>
      <c r="F1679" s="274"/>
      <c r="G1679" s="274">
        <f t="shared" si="6"/>
        <v>0</v>
      </c>
      <c r="H1679" s="274">
        <v>0</v>
      </c>
      <c r="K1679" s="274"/>
    </row>
    <row r="1680" spans="2:11" ht="13.5" customHeight="1">
      <c r="B1680" s="209" t="s">
        <v>203</v>
      </c>
      <c r="C1680" s="209" t="s">
        <v>2566</v>
      </c>
      <c r="D1680" s="450" t="s">
        <v>137</v>
      </c>
      <c r="E1680" s="273">
        <v>0</v>
      </c>
      <c r="F1680" s="274"/>
      <c r="G1680" s="274">
        <f t="shared" si="6"/>
        <v>0</v>
      </c>
      <c r="H1680" s="274">
        <v>0</v>
      </c>
      <c r="K1680" s="274"/>
    </row>
    <row r="1681" spans="2:11" ht="13.5" customHeight="1">
      <c r="B1681" s="209" t="s">
        <v>203</v>
      </c>
      <c r="C1681" s="209" t="s">
        <v>2566</v>
      </c>
      <c r="D1681" s="451" t="s">
        <v>138</v>
      </c>
      <c r="E1681" s="273">
        <v>0</v>
      </c>
      <c r="F1681" s="274"/>
      <c r="G1681" s="274">
        <f t="shared" si="6"/>
        <v>0</v>
      </c>
      <c r="H1681" s="274">
        <v>0</v>
      </c>
      <c r="K1681" s="274"/>
    </row>
    <row r="1682" spans="2:11" ht="13.5" customHeight="1">
      <c r="B1682" s="209" t="s">
        <v>203</v>
      </c>
      <c r="C1682" s="209" t="s">
        <v>2566</v>
      </c>
      <c r="D1682" s="452" t="s">
        <v>139</v>
      </c>
      <c r="E1682" s="273">
        <v>0</v>
      </c>
      <c r="F1682" s="274"/>
      <c r="G1682" s="274">
        <f t="shared" si="6"/>
        <v>0</v>
      </c>
      <c r="H1682" s="274">
        <v>0</v>
      </c>
      <c r="K1682" s="274"/>
    </row>
    <row r="1683" spans="2:11" ht="13.5" customHeight="1">
      <c r="B1683" s="209" t="s">
        <v>203</v>
      </c>
      <c r="C1683" s="209" t="s">
        <v>2566</v>
      </c>
      <c r="D1683" s="216" t="s">
        <v>140</v>
      </c>
      <c r="E1683" s="273">
        <v>0</v>
      </c>
      <c r="F1683" s="274"/>
      <c r="G1683" s="274">
        <f t="shared" si="6"/>
        <v>0</v>
      </c>
      <c r="H1683" s="274">
        <v>0</v>
      </c>
      <c r="K1683" s="274"/>
    </row>
    <row r="1684" spans="2:11" ht="13.5" customHeight="1">
      <c r="B1684" s="209" t="s">
        <v>203</v>
      </c>
      <c r="C1684" s="209" t="s">
        <v>2566</v>
      </c>
      <c r="D1684" s="453" t="s">
        <v>141</v>
      </c>
      <c r="E1684" s="273">
        <v>0</v>
      </c>
      <c r="F1684" s="274"/>
      <c r="G1684" s="274">
        <f t="shared" si="6"/>
        <v>0</v>
      </c>
      <c r="H1684" s="274">
        <v>0</v>
      </c>
      <c r="K1684" s="274"/>
    </row>
    <row r="1685" spans="2:11" ht="13.5" customHeight="1">
      <c r="B1685" s="1" t="s">
        <v>636</v>
      </c>
      <c r="C1685" s="1" t="s">
        <v>2567</v>
      </c>
      <c r="D1685" s="446" t="s">
        <v>133</v>
      </c>
      <c r="E1685" s="273">
        <v>0</v>
      </c>
      <c r="F1685" s="274"/>
      <c r="G1685" s="274">
        <f t="shared" si="6"/>
        <v>0</v>
      </c>
      <c r="H1685" s="274">
        <v>0</v>
      </c>
      <c r="K1685" s="274"/>
    </row>
    <row r="1686" spans="2:11" ht="13.5" customHeight="1">
      <c r="B1686" s="1" t="s">
        <v>636</v>
      </c>
      <c r="C1686" s="1" t="s">
        <v>2567</v>
      </c>
      <c r="D1686" s="447" t="s">
        <v>134</v>
      </c>
      <c r="E1686" s="273">
        <v>0</v>
      </c>
      <c r="F1686" s="274"/>
      <c r="G1686" s="274">
        <f t="shared" si="6"/>
        <v>0</v>
      </c>
      <c r="H1686" s="274">
        <v>0</v>
      </c>
      <c r="K1686" s="274"/>
    </row>
    <row r="1687" spans="2:11" ht="13.5" customHeight="1">
      <c r="B1687" s="1" t="s">
        <v>636</v>
      </c>
      <c r="C1687" s="1" t="s">
        <v>2567</v>
      </c>
      <c r="D1687" s="448" t="s">
        <v>135</v>
      </c>
      <c r="E1687" s="273">
        <v>0</v>
      </c>
      <c r="F1687" s="274"/>
      <c r="G1687" s="274">
        <f t="shared" si="6"/>
        <v>0</v>
      </c>
      <c r="H1687" s="274">
        <v>0</v>
      </c>
      <c r="K1687" s="274"/>
    </row>
    <row r="1688" spans="2:11" ht="13.5" customHeight="1">
      <c r="B1688" s="1" t="s">
        <v>636</v>
      </c>
      <c r="C1688" s="1" t="s">
        <v>2567</v>
      </c>
      <c r="D1688" s="449" t="s">
        <v>136</v>
      </c>
      <c r="E1688" s="273">
        <v>0</v>
      </c>
      <c r="F1688" s="274"/>
      <c r="G1688" s="274">
        <f t="shared" si="6"/>
        <v>0</v>
      </c>
      <c r="H1688" s="274">
        <v>0</v>
      </c>
      <c r="K1688" s="274"/>
    </row>
    <row r="1689" spans="2:11" ht="13.5" customHeight="1">
      <c r="B1689" s="1" t="s">
        <v>636</v>
      </c>
      <c r="C1689" s="1" t="s">
        <v>2567</v>
      </c>
      <c r="D1689" s="450" t="s">
        <v>137</v>
      </c>
      <c r="E1689" s="273">
        <v>0</v>
      </c>
      <c r="F1689" s="274"/>
      <c r="G1689" s="274">
        <f t="shared" si="6"/>
        <v>0</v>
      </c>
      <c r="H1689" s="274">
        <v>0</v>
      </c>
      <c r="K1689" s="274"/>
    </row>
    <row r="1690" spans="2:11" ht="13.5" customHeight="1">
      <c r="B1690" s="1" t="s">
        <v>636</v>
      </c>
      <c r="C1690" s="1" t="s">
        <v>2567</v>
      </c>
      <c r="D1690" s="451" t="s">
        <v>138</v>
      </c>
      <c r="E1690" s="273">
        <v>0</v>
      </c>
      <c r="F1690" s="274"/>
      <c r="G1690" s="274">
        <f t="shared" si="6"/>
        <v>0</v>
      </c>
      <c r="H1690" s="274">
        <v>0</v>
      </c>
      <c r="K1690" s="274"/>
    </row>
    <row r="1691" spans="2:11" ht="13.5" customHeight="1">
      <c r="B1691" s="1" t="s">
        <v>636</v>
      </c>
      <c r="C1691" s="1" t="s">
        <v>2567</v>
      </c>
      <c r="D1691" s="452" t="s">
        <v>139</v>
      </c>
      <c r="E1691" s="273">
        <v>0</v>
      </c>
      <c r="F1691" s="274"/>
      <c r="G1691" s="274">
        <f t="shared" si="6"/>
        <v>0</v>
      </c>
      <c r="H1691" s="274">
        <v>0</v>
      </c>
      <c r="K1691" s="274"/>
    </row>
    <row r="1692" spans="2:11" ht="13.5" customHeight="1">
      <c r="B1692" s="1" t="s">
        <v>636</v>
      </c>
      <c r="C1692" s="1" t="s">
        <v>2567</v>
      </c>
      <c r="D1692" s="216" t="s">
        <v>140</v>
      </c>
      <c r="E1692" s="273">
        <v>0</v>
      </c>
      <c r="F1692" s="274"/>
      <c r="G1692" s="274">
        <f t="shared" si="6"/>
        <v>0</v>
      </c>
      <c r="H1692" s="274">
        <v>0</v>
      </c>
      <c r="K1692" s="274"/>
    </row>
    <row r="1693" spans="2:11" ht="13.5" customHeight="1">
      <c r="B1693" s="1" t="s">
        <v>636</v>
      </c>
      <c r="C1693" s="1" t="s">
        <v>2567</v>
      </c>
      <c r="D1693" s="453" t="s">
        <v>141</v>
      </c>
      <c r="E1693" s="273">
        <v>0</v>
      </c>
      <c r="F1693" s="274"/>
      <c r="G1693" s="274">
        <f t="shared" si="6"/>
        <v>0</v>
      </c>
      <c r="H1693" s="274">
        <v>0</v>
      </c>
      <c r="K1693" s="274"/>
    </row>
    <row r="1694" spans="2:11" ht="13.5" customHeight="1">
      <c r="B1694" s="209" t="s">
        <v>639</v>
      </c>
      <c r="C1694" s="209" t="s">
        <v>2568</v>
      </c>
      <c r="D1694" s="446" t="s">
        <v>133</v>
      </c>
      <c r="E1694" s="273">
        <v>0</v>
      </c>
      <c r="F1694" s="274"/>
      <c r="G1694" s="274">
        <f t="shared" si="6"/>
        <v>0</v>
      </c>
      <c r="H1694" s="274">
        <v>0</v>
      </c>
      <c r="K1694" s="274"/>
    </row>
    <row r="1695" spans="2:11" ht="13.5" customHeight="1">
      <c r="B1695" s="209" t="s">
        <v>639</v>
      </c>
      <c r="C1695" s="209" t="s">
        <v>2568</v>
      </c>
      <c r="D1695" s="447" t="s">
        <v>134</v>
      </c>
      <c r="E1695" s="273">
        <v>0</v>
      </c>
      <c r="F1695" s="274"/>
      <c r="G1695" s="274">
        <f t="shared" si="6"/>
        <v>0</v>
      </c>
      <c r="H1695" s="274">
        <v>0</v>
      </c>
      <c r="K1695" s="274"/>
    </row>
    <row r="1696" spans="2:11" ht="13.5" customHeight="1">
      <c r="B1696" s="209" t="s">
        <v>639</v>
      </c>
      <c r="C1696" s="209" t="s">
        <v>2568</v>
      </c>
      <c r="D1696" s="448" t="s">
        <v>135</v>
      </c>
      <c r="E1696" s="273">
        <v>0</v>
      </c>
      <c r="F1696" s="274"/>
      <c r="G1696" s="274">
        <f t="shared" si="6"/>
        <v>0</v>
      </c>
      <c r="H1696" s="274">
        <v>0</v>
      </c>
      <c r="K1696" s="274"/>
    </row>
    <row r="1697" spans="2:11" ht="13.5" customHeight="1">
      <c r="B1697" s="209" t="s">
        <v>639</v>
      </c>
      <c r="C1697" s="209" t="s">
        <v>2568</v>
      </c>
      <c r="D1697" s="449" t="s">
        <v>136</v>
      </c>
      <c r="E1697" s="273">
        <v>0</v>
      </c>
      <c r="F1697" s="274"/>
      <c r="G1697" s="274">
        <f t="shared" si="6"/>
        <v>0</v>
      </c>
      <c r="H1697" s="274">
        <v>0</v>
      </c>
      <c r="K1697" s="274"/>
    </row>
    <row r="1698" spans="2:11" ht="13.5" customHeight="1">
      <c r="B1698" s="209" t="s">
        <v>639</v>
      </c>
      <c r="C1698" s="209" t="s">
        <v>2568</v>
      </c>
      <c r="D1698" s="450" t="s">
        <v>137</v>
      </c>
      <c r="E1698" s="273">
        <v>0</v>
      </c>
      <c r="F1698" s="274"/>
      <c r="G1698" s="274">
        <f t="shared" si="6"/>
        <v>0</v>
      </c>
      <c r="H1698" s="274">
        <v>0</v>
      </c>
      <c r="K1698" s="274"/>
    </row>
    <row r="1699" spans="2:11" ht="13.5" customHeight="1">
      <c r="B1699" s="209" t="s">
        <v>639</v>
      </c>
      <c r="C1699" s="209" t="s">
        <v>2568</v>
      </c>
      <c r="D1699" s="451" t="s">
        <v>138</v>
      </c>
      <c r="E1699" s="273">
        <v>0</v>
      </c>
      <c r="F1699" s="274"/>
      <c r="G1699" s="274">
        <f t="shared" si="6"/>
        <v>0</v>
      </c>
      <c r="H1699" s="274">
        <v>0</v>
      </c>
      <c r="K1699" s="274"/>
    </row>
    <row r="1700" spans="2:11" ht="13.5" customHeight="1">
      <c r="B1700" s="209" t="s">
        <v>639</v>
      </c>
      <c r="C1700" s="209" t="s">
        <v>2568</v>
      </c>
      <c r="D1700" s="452" t="s">
        <v>139</v>
      </c>
      <c r="E1700" s="273">
        <v>0</v>
      </c>
      <c r="F1700" s="274"/>
      <c r="G1700" s="274">
        <f t="shared" si="6"/>
        <v>0</v>
      </c>
      <c r="H1700" s="274">
        <v>0</v>
      </c>
      <c r="K1700" s="274"/>
    </row>
    <row r="1701" spans="2:11" ht="13.5" customHeight="1">
      <c r="B1701" s="209" t="s">
        <v>639</v>
      </c>
      <c r="C1701" s="209" t="s">
        <v>2568</v>
      </c>
      <c r="D1701" s="216" t="s">
        <v>140</v>
      </c>
      <c r="E1701" s="273">
        <v>0</v>
      </c>
      <c r="F1701" s="274"/>
      <c r="G1701" s="274">
        <f t="shared" si="6"/>
        <v>0</v>
      </c>
      <c r="H1701" s="274">
        <v>0</v>
      </c>
      <c r="K1701" s="274"/>
    </row>
    <row r="1702" spans="2:11" ht="13.5" customHeight="1">
      <c r="B1702" s="209" t="s">
        <v>639</v>
      </c>
      <c r="C1702" s="209" t="s">
        <v>2568</v>
      </c>
      <c r="D1702" s="453" t="s">
        <v>141</v>
      </c>
      <c r="E1702" s="273">
        <v>0</v>
      </c>
      <c r="F1702" s="274"/>
      <c r="G1702" s="274">
        <f t="shared" si="6"/>
        <v>0</v>
      </c>
      <c r="H1702" s="274">
        <v>0</v>
      </c>
      <c r="K1702" s="274"/>
    </row>
    <row r="1703" spans="2:11" ht="13.5" customHeight="1">
      <c r="B1703" s="209" t="s">
        <v>205</v>
      </c>
      <c r="C1703" s="209" t="s">
        <v>2569</v>
      </c>
      <c r="D1703" s="446" t="s">
        <v>133</v>
      </c>
      <c r="E1703" s="273">
        <v>0</v>
      </c>
      <c r="F1703" s="274"/>
      <c r="G1703" s="274">
        <f t="shared" si="6"/>
        <v>0</v>
      </c>
      <c r="H1703" s="274">
        <v>0</v>
      </c>
      <c r="K1703" s="274"/>
    </row>
    <row r="1704" spans="2:11" ht="13.5" customHeight="1">
      <c r="B1704" s="209" t="s">
        <v>205</v>
      </c>
      <c r="C1704" s="209" t="s">
        <v>2569</v>
      </c>
      <c r="D1704" s="447" t="s">
        <v>134</v>
      </c>
      <c r="E1704" s="273">
        <v>0</v>
      </c>
      <c r="F1704" s="274"/>
      <c r="G1704" s="274">
        <f t="shared" si="6"/>
        <v>0</v>
      </c>
      <c r="H1704" s="274">
        <v>0</v>
      </c>
      <c r="K1704" s="274"/>
    </row>
    <row r="1705" spans="2:11" ht="13.5" customHeight="1">
      <c r="B1705" s="209" t="s">
        <v>205</v>
      </c>
      <c r="C1705" s="209" t="s">
        <v>2569</v>
      </c>
      <c r="D1705" s="448" t="s">
        <v>135</v>
      </c>
      <c r="E1705" s="273">
        <v>0</v>
      </c>
      <c r="F1705" s="274"/>
      <c r="G1705" s="274">
        <f t="shared" si="6"/>
        <v>0</v>
      </c>
      <c r="H1705" s="274">
        <v>0</v>
      </c>
      <c r="K1705" s="274"/>
    </row>
    <row r="1706" spans="2:11" ht="13.5" customHeight="1">
      <c r="B1706" s="209" t="s">
        <v>205</v>
      </c>
      <c r="C1706" s="209" t="s">
        <v>2569</v>
      </c>
      <c r="D1706" s="449" t="s">
        <v>136</v>
      </c>
      <c r="E1706" s="273">
        <v>0</v>
      </c>
      <c r="F1706" s="274"/>
      <c r="G1706" s="274">
        <f t="shared" si="6"/>
        <v>0</v>
      </c>
      <c r="H1706" s="274">
        <v>0</v>
      </c>
      <c r="K1706" s="274"/>
    </row>
    <row r="1707" spans="2:11" ht="13.5" customHeight="1">
      <c r="B1707" s="209" t="s">
        <v>205</v>
      </c>
      <c r="C1707" s="209" t="s">
        <v>2569</v>
      </c>
      <c r="D1707" s="450" t="s">
        <v>137</v>
      </c>
      <c r="E1707" s="273">
        <v>0</v>
      </c>
      <c r="F1707" s="274"/>
      <c r="G1707" s="274">
        <f t="shared" si="6"/>
        <v>0</v>
      </c>
      <c r="H1707" s="274">
        <v>0</v>
      </c>
      <c r="K1707" s="274"/>
    </row>
    <row r="1708" spans="2:11" ht="13.5" customHeight="1">
      <c r="B1708" s="209" t="s">
        <v>205</v>
      </c>
      <c r="C1708" s="209" t="s">
        <v>2569</v>
      </c>
      <c r="D1708" s="451" t="s">
        <v>138</v>
      </c>
      <c r="E1708" s="273">
        <v>0</v>
      </c>
      <c r="F1708" s="274"/>
      <c r="G1708" s="274">
        <f t="shared" si="6"/>
        <v>0</v>
      </c>
      <c r="H1708" s="274">
        <v>0</v>
      </c>
      <c r="K1708" s="274"/>
    </row>
    <row r="1709" spans="2:11" ht="13.5" customHeight="1">
      <c r="B1709" s="209" t="s">
        <v>205</v>
      </c>
      <c r="C1709" s="209" t="s">
        <v>2569</v>
      </c>
      <c r="D1709" s="452" t="s">
        <v>139</v>
      </c>
      <c r="E1709" s="273">
        <v>0</v>
      </c>
      <c r="F1709" s="274"/>
      <c r="G1709" s="274">
        <f t="shared" si="6"/>
        <v>0</v>
      </c>
      <c r="H1709" s="274">
        <v>0</v>
      </c>
      <c r="K1709" s="274"/>
    </row>
    <row r="1710" spans="2:11" ht="13.5" customHeight="1">
      <c r="B1710" s="209" t="s">
        <v>205</v>
      </c>
      <c r="C1710" s="209" t="s">
        <v>2569</v>
      </c>
      <c r="D1710" s="216" t="s">
        <v>140</v>
      </c>
      <c r="E1710" s="273">
        <v>0</v>
      </c>
      <c r="F1710" s="274"/>
      <c r="G1710" s="274">
        <f t="shared" si="6"/>
        <v>0</v>
      </c>
      <c r="H1710" s="274">
        <v>0</v>
      </c>
      <c r="K1710" s="274"/>
    </row>
    <row r="1711" spans="2:11" ht="13.5" customHeight="1">
      <c r="B1711" s="209" t="s">
        <v>205</v>
      </c>
      <c r="C1711" s="209" t="s">
        <v>2569</v>
      </c>
      <c r="D1711" s="453" t="s">
        <v>141</v>
      </c>
      <c r="E1711" s="273">
        <v>0</v>
      </c>
      <c r="F1711" s="274"/>
      <c r="G1711" s="274">
        <f t="shared" si="6"/>
        <v>0</v>
      </c>
      <c r="H1711" s="274">
        <v>0</v>
      </c>
      <c r="K1711" s="274"/>
    </row>
    <row r="1712" spans="2:11" ht="13.5" customHeight="1">
      <c r="B1712" s="209" t="s">
        <v>641</v>
      </c>
      <c r="C1712" s="209" t="s">
        <v>2570</v>
      </c>
      <c r="D1712" s="446" t="s">
        <v>133</v>
      </c>
      <c r="E1712" s="273">
        <v>0</v>
      </c>
      <c r="F1712" s="274"/>
      <c r="G1712" s="274">
        <f t="shared" si="6"/>
        <v>0</v>
      </c>
      <c r="H1712" s="274">
        <v>0</v>
      </c>
      <c r="K1712" s="274"/>
    </row>
    <row r="1713" spans="2:11" ht="13.5" customHeight="1">
      <c r="B1713" s="209" t="s">
        <v>641</v>
      </c>
      <c r="C1713" s="209" t="s">
        <v>2570</v>
      </c>
      <c r="D1713" s="447" t="s">
        <v>134</v>
      </c>
      <c r="E1713" s="273">
        <v>0</v>
      </c>
      <c r="F1713" s="274"/>
      <c r="G1713" s="274">
        <f t="shared" si="6"/>
        <v>0</v>
      </c>
      <c r="H1713" s="274">
        <v>0</v>
      </c>
      <c r="K1713" s="274"/>
    </row>
    <row r="1714" spans="2:11" ht="13.5" customHeight="1">
      <c r="B1714" s="209" t="s">
        <v>641</v>
      </c>
      <c r="C1714" s="209" t="s">
        <v>2570</v>
      </c>
      <c r="D1714" s="448" t="s">
        <v>135</v>
      </c>
      <c r="E1714" s="273">
        <v>0</v>
      </c>
      <c r="F1714" s="274"/>
      <c r="G1714" s="274">
        <f t="shared" si="6"/>
        <v>0</v>
      </c>
      <c r="H1714" s="274">
        <v>0</v>
      </c>
      <c r="K1714" s="274"/>
    </row>
    <row r="1715" spans="2:11" ht="13.5" customHeight="1">
      <c r="B1715" s="209" t="s">
        <v>641</v>
      </c>
      <c r="C1715" s="209" t="s">
        <v>2570</v>
      </c>
      <c r="D1715" s="449" t="s">
        <v>136</v>
      </c>
      <c r="E1715" s="273">
        <v>0</v>
      </c>
      <c r="F1715" s="274"/>
      <c r="G1715" s="274">
        <f t="shared" si="6"/>
        <v>0</v>
      </c>
      <c r="H1715" s="274">
        <v>0</v>
      </c>
      <c r="K1715" s="274"/>
    </row>
    <row r="1716" spans="2:11" ht="13.5" customHeight="1">
      <c r="B1716" s="209" t="s">
        <v>641</v>
      </c>
      <c r="C1716" s="209" t="s">
        <v>2570</v>
      </c>
      <c r="D1716" s="450" t="s">
        <v>137</v>
      </c>
      <c r="E1716" s="273">
        <v>0</v>
      </c>
      <c r="F1716" s="274"/>
      <c r="G1716" s="274">
        <f t="shared" si="6"/>
        <v>0</v>
      </c>
      <c r="H1716" s="274">
        <v>0</v>
      </c>
      <c r="K1716" s="274"/>
    </row>
    <row r="1717" spans="2:11" ht="13.5" customHeight="1">
      <c r="B1717" s="209" t="s">
        <v>641</v>
      </c>
      <c r="C1717" s="209" t="s">
        <v>2570</v>
      </c>
      <c r="D1717" s="451" t="s">
        <v>138</v>
      </c>
      <c r="E1717" s="273">
        <v>0</v>
      </c>
      <c r="F1717" s="274"/>
      <c r="G1717" s="274">
        <f t="shared" si="6"/>
        <v>0</v>
      </c>
      <c r="H1717" s="274">
        <v>0</v>
      </c>
      <c r="K1717" s="274"/>
    </row>
    <row r="1718" spans="2:11" ht="13.5" customHeight="1">
      <c r="B1718" s="209" t="s">
        <v>641</v>
      </c>
      <c r="C1718" s="209" t="s">
        <v>2570</v>
      </c>
      <c r="D1718" s="452" t="s">
        <v>139</v>
      </c>
      <c r="E1718" s="273">
        <v>0</v>
      </c>
      <c r="F1718" s="274"/>
      <c r="G1718" s="274">
        <f t="shared" si="6"/>
        <v>0</v>
      </c>
      <c r="H1718" s="274">
        <v>0</v>
      </c>
      <c r="K1718" s="274"/>
    </row>
    <row r="1719" spans="2:11" ht="13.5" customHeight="1">
      <c r="B1719" s="209" t="s">
        <v>641</v>
      </c>
      <c r="C1719" s="209" t="s">
        <v>2570</v>
      </c>
      <c r="D1719" s="216" t="s">
        <v>140</v>
      </c>
      <c r="E1719" s="273">
        <v>0</v>
      </c>
      <c r="F1719" s="274"/>
      <c r="G1719" s="274">
        <f t="shared" si="6"/>
        <v>0</v>
      </c>
      <c r="H1719" s="274">
        <v>0</v>
      </c>
      <c r="K1719" s="274"/>
    </row>
    <row r="1720" spans="2:11" ht="13.5" customHeight="1">
      <c r="B1720" s="209" t="s">
        <v>641</v>
      </c>
      <c r="C1720" s="209" t="s">
        <v>2570</v>
      </c>
      <c r="D1720" s="453" t="s">
        <v>141</v>
      </c>
      <c r="E1720" s="273">
        <v>0</v>
      </c>
      <c r="F1720" s="274"/>
      <c r="G1720" s="274">
        <f t="shared" si="6"/>
        <v>0</v>
      </c>
      <c r="H1720" s="274">
        <v>0</v>
      </c>
      <c r="K1720" s="274"/>
    </row>
    <row r="1721" spans="2:11" ht="13.5" customHeight="1">
      <c r="B1721" s="209" t="s">
        <v>207</v>
      </c>
      <c r="C1721" s="209" t="s">
        <v>2571</v>
      </c>
      <c r="D1721" s="446" t="s">
        <v>133</v>
      </c>
      <c r="E1721" s="273">
        <v>0</v>
      </c>
      <c r="F1721" s="274"/>
      <c r="G1721" s="274">
        <f t="shared" si="6"/>
        <v>0</v>
      </c>
      <c r="H1721" s="274">
        <v>0</v>
      </c>
      <c r="K1721" s="274"/>
    </row>
    <row r="1722" spans="2:11" ht="13.5" customHeight="1">
      <c r="B1722" s="209" t="s">
        <v>207</v>
      </c>
      <c r="C1722" s="209" t="s">
        <v>2571</v>
      </c>
      <c r="D1722" s="447" t="s">
        <v>134</v>
      </c>
      <c r="E1722" s="273">
        <v>0</v>
      </c>
      <c r="F1722" s="274"/>
      <c r="G1722" s="274">
        <f t="shared" si="6"/>
        <v>0</v>
      </c>
      <c r="H1722" s="274">
        <v>0</v>
      </c>
      <c r="K1722" s="274"/>
    </row>
    <row r="1723" spans="2:11" ht="13.5" customHeight="1">
      <c r="B1723" s="209" t="s">
        <v>207</v>
      </c>
      <c r="C1723" s="209" t="s">
        <v>2571</v>
      </c>
      <c r="D1723" s="448" t="s">
        <v>135</v>
      </c>
      <c r="E1723" s="273">
        <v>0</v>
      </c>
      <c r="F1723" s="274"/>
      <c r="G1723" s="274">
        <f t="shared" si="6"/>
        <v>0</v>
      </c>
      <c r="H1723" s="274">
        <v>0</v>
      </c>
      <c r="K1723" s="274"/>
    </row>
    <row r="1724" spans="2:11" ht="13.5" customHeight="1">
      <c r="B1724" s="209" t="s">
        <v>207</v>
      </c>
      <c r="C1724" s="209" t="s">
        <v>2571</v>
      </c>
      <c r="D1724" s="449" t="s">
        <v>136</v>
      </c>
      <c r="E1724" s="273">
        <v>0</v>
      </c>
      <c r="F1724" s="274"/>
      <c r="G1724" s="274">
        <f t="shared" si="6"/>
        <v>0</v>
      </c>
      <c r="H1724" s="274">
        <v>0</v>
      </c>
      <c r="K1724" s="274"/>
    </row>
    <row r="1725" spans="2:11" ht="13.5" customHeight="1">
      <c r="B1725" s="209" t="s">
        <v>207</v>
      </c>
      <c r="C1725" s="209" t="s">
        <v>2571</v>
      </c>
      <c r="D1725" s="450" t="s">
        <v>137</v>
      </c>
      <c r="E1725" s="273">
        <v>0</v>
      </c>
      <c r="F1725" s="274"/>
      <c r="G1725" s="274">
        <f t="shared" si="6"/>
        <v>0</v>
      </c>
      <c r="H1725" s="274">
        <v>0</v>
      </c>
      <c r="K1725" s="274"/>
    </row>
    <row r="1726" spans="2:11" ht="13.5" customHeight="1">
      <c r="B1726" s="209" t="s">
        <v>207</v>
      </c>
      <c r="C1726" s="209" t="s">
        <v>2571</v>
      </c>
      <c r="D1726" s="451" t="s">
        <v>138</v>
      </c>
      <c r="E1726" s="273">
        <v>0</v>
      </c>
      <c r="F1726" s="274"/>
      <c r="G1726" s="274">
        <f t="shared" si="6"/>
        <v>0</v>
      </c>
      <c r="H1726" s="274">
        <v>0</v>
      </c>
      <c r="K1726" s="274"/>
    </row>
    <row r="1727" spans="2:11" ht="13.5" customHeight="1">
      <c r="B1727" s="209" t="s">
        <v>207</v>
      </c>
      <c r="C1727" s="209" t="s">
        <v>2571</v>
      </c>
      <c r="D1727" s="452" t="s">
        <v>139</v>
      </c>
      <c r="E1727" s="273">
        <v>0</v>
      </c>
      <c r="F1727" s="274"/>
      <c r="G1727" s="274">
        <f t="shared" si="6"/>
        <v>0</v>
      </c>
      <c r="H1727" s="274">
        <v>0</v>
      </c>
      <c r="K1727" s="274"/>
    </row>
    <row r="1728" spans="2:11" ht="13.5" customHeight="1">
      <c r="B1728" s="209" t="s">
        <v>207</v>
      </c>
      <c r="C1728" s="209" t="s">
        <v>2571</v>
      </c>
      <c r="D1728" s="216" t="s">
        <v>140</v>
      </c>
      <c r="E1728" s="273">
        <v>0</v>
      </c>
      <c r="F1728" s="274"/>
      <c r="G1728" s="274">
        <f t="shared" si="6"/>
        <v>0</v>
      </c>
      <c r="H1728" s="274">
        <v>0</v>
      </c>
      <c r="K1728" s="274"/>
    </row>
    <row r="1729" spans="2:11" ht="13.5" customHeight="1">
      <c r="B1729" s="209" t="s">
        <v>207</v>
      </c>
      <c r="C1729" s="209" t="s">
        <v>2571</v>
      </c>
      <c r="D1729" s="453" t="s">
        <v>141</v>
      </c>
      <c r="E1729" s="273">
        <v>0</v>
      </c>
      <c r="F1729" s="274"/>
      <c r="G1729" s="274">
        <f t="shared" si="6"/>
        <v>0</v>
      </c>
      <c r="H1729" s="274">
        <v>0</v>
      </c>
      <c r="K1729" s="274"/>
    </row>
    <row r="1730" spans="2:11" ht="13.5" customHeight="1">
      <c r="B1730" s="209" t="s">
        <v>643</v>
      </c>
      <c r="C1730" s="209" t="s">
        <v>2572</v>
      </c>
      <c r="D1730" s="446" t="s">
        <v>133</v>
      </c>
      <c r="E1730" s="273">
        <v>0</v>
      </c>
      <c r="F1730" s="274"/>
      <c r="G1730" s="274">
        <f t="shared" si="6"/>
        <v>0</v>
      </c>
      <c r="H1730" s="274">
        <v>0</v>
      </c>
      <c r="K1730" s="274"/>
    </row>
    <row r="1731" spans="2:11" ht="13.5" customHeight="1">
      <c r="B1731" s="209" t="s">
        <v>643</v>
      </c>
      <c r="C1731" s="209" t="s">
        <v>2572</v>
      </c>
      <c r="D1731" s="447" t="s">
        <v>134</v>
      </c>
      <c r="E1731" s="273">
        <v>0</v>
      </c>
      <c r="F1731" s="274"/>
      <c r="G1731" s="274">
        <f t="shared" si="6"/>
        <v>0</v>
      </c>
      <c r="H1731" s="274">
        <v>0</v>
      </c>
      <c r="K1731" s="274"/>
    </row>
    <row r="1732" spans="2:11" ht="13.5" customHeight="1">
      <c r="B1732" s="209" t="s">
        <v>643</v>
      </c>
      <c r="C1732" s="209" t="s">
        <v>2572</v>
      </c>
      <c r="D1732" s="448" t="s">
        <v>135</v>
      </c>
      <c r="E1732" s="273">
        <v>0</v>
      </c>
      <c r="F1732" s="274"/>
      <c r="G1732" s="274">
        <f t="shared" si="6"/>
        <v>0</v>
      </c>
      <c r="H1732" s="274">
        <v>0</v>
      </c>
      <c r="K1732" s="274"/>
    </row>
    <row r="1733" spans="2:11" ht="13.5" customHeight="1">
      <c r="B1733" s="209" t="s">
        <v>643</v>
      </c>
      <c r="C1733" s="209" t="s">
        <v>2572</v>
      </c>
      <c r="D1733" s="449" t="s">
        <v>136</v>
      </c>
      <c r="E1733" s="273">
        <v>0</v>
      </c>
      <c r="F1733" s="274"/>
      <c r="G1733" s="274">
        <f t="shared" si="6"/>
        <v>0</v>
      </c>
      <c r="H1733" s="274">
        <v>0</v>
      </c>
      <c r="K1733" s="274"/>
    </row>
    <row r="1734" spans="2:11" ht="13.5" customHeight="1">
      <c r="B1734" s="209" t="s">
        <v>643</v>
      </c>
      <c r="C1734" s="209" t="s">
        <v>2572</v>
      </c>
      <c r="D1734" s="450" t="s">
        <v>137</v>
      </c>
      <c r="E1734" s="273">
        <v>0</v>
      </c>
      <c r="F1734" s="274"/>
      <c r="G1734" s="274">
        <f t="shared" si="6"/>
        <v>0</v>
      </c>
      <c r="H1734" s="274">
        <v>0</v>
      </c>
      <c r="K1734" s="274"/>
    </row>
    <row r="1735" spans="2:11" ht="13.5" customHeight="1">
      <c r="B1735" s="209" t="s">
        <v>643</v>
      </c>
      <c r="C1735" s="209" t="s">
        <v>2572</v>
      </c>
      <c r="D1735" s="451" t="s">
        <v>138</v>
      </c>
      <c r="E1735" s="273">
        <v>0</v>
      </c>
      <c r="F1735" s="274"/>
      <c r="G1735" s="274">
        <f t="shared" si="6"/>
        <v>0</v>
      </c>
      <c r="H1735" s="274">
        <v>0</v>
      </c>
      <c r="K1735" s="274"/>
    </row>
    <row r="1736" spans="2:11" ht="13.5" customHeight="1">
      <c r="B1736" s="209" t="s">
        <v>643</v>
      </c>
      <c r="C1736" s="209" t="s">
        <v>2572</v>
      </c>
      <c r="D1736" s="452" t="s">
        <v>139</v>
      </c>
      <c r="E1736" s="273">
        <v>0</v>
      </c>
      <c r="F1736" s="274"/>
      <c r="G1736" s="274">
        <f t="shared" si="6"/>
        <v>0</v>
      </c>
      <c r="H1736" s="274">
        <v>0</v>
      </c>
      <c r="K1736" s="274"/>
    </row>
    <row r="1737" spans="2:11" ht="13.5" customHeight="1">
      <c r="B1737" s="209" t="s">
        <v>643</v>
      </c>
      <c r="C1737" s="209" t="s">
        <v>2572</v>
      </c>
      <c r="D1737" s="216" t="s">
        <v>140</v>
      </c>
      <c r="E1737" s="273">
        <v>0</v>
      </c>
      <c r="F1737" s="274"/>
      <c r="G1737" s="274">
        <f t="shared" si="6"/>
        <v>0</v>
      </c>
      <c r="H1737" s="274">
        <v>0</v>
      </c>
      <c r="K1737" s="274"/>
    </row>
    <row r="1738" spans="2:11" ht="13.5" customHeight="1">
      <c r="B1738" s="209" t="s">
        <v>643</v>
      </c>
      <c r="C1738" s="209" t="s">
        <v>2572</v>
      </c>
      <c r="D1738" s="453" t="s">
        <v>141</v>
      </c>
      <c r="E1738" s="273">
        <v>0</v>
      </c>
      <c r="F1738" s="274"/>
      <c r="G1738" s="274">
        <f t="shared" si="6"/>
        <v>0</v>
      </c>
      <c r="H1738" s="274">
        <v>0</v>
      </c>
      <c r="K1738" s="274"/>
    </row>
    <row r="1739" spans="2:11" ht="13.5" customHeight="1">
      <c r="B1739" s="1" t="s">
        <v>647</v>
      </c>
      <c r="C1739" s="1" t="s">
        <v>2573</v>
      </c>
      <c r="D1739" s="446" t="s">
        <v>133</v>
      </c>
      <c r="E1739" s="273">
        <v>0</v>
      </c>
      <c r="F1739" s="274"/>
      <c r="G1739" s="274">
        <f t="shared" si="6"/>
        <v>0</v>
      </c>
      <c r="H1739" s="274">
        <v>0</v>
      </c>
      <c r="K1739" s="274"/>
    </row>
    <row r="1740" spans="2:11" ht="13.5" customHeight="1">
      <c r="B1740" s="1" t="s">
        <v>647</v>
      </c>
      <c r="C1740" s="1" t="s">
        <v>2573</v>
      </c>
      <c r="D1740" s="447" t="s">
        <v>134</v>
      </c>
      <c r="E1740" s="273">
        <v>0</v>
      </c>
      <c r="F1740" s="274"/>
      <c r="G1740" s="274">
        <f t="shared" si="6"/>
        <v>0</v>
      </c>
      <c r="H1740" s="274">
        <v>0</v>
      </c>
      <c r="K1740" s="274"/>
    </row>
    <row r="1741" spans="2:11" ht="13.5" customHeight="1">
      <c r="B1741" s="1" t="s">
        <v>647</v>
      </c>
      <c r="C1741" s="1" t="s">
        <v>2573</v>
      </c>
      <c r="D1741" s="448" t="s">
        <v>135</v>
      </c>
      <c r="E1741" s="273">
        <v>0</v>
      </c>
      <c r="F1741" s="274"/>
      <c r="G1741" s="274">
        <f t="shared" si="6"/>
        <v>0</v>
      </c>
      <c r="H1741" s="274">
        <v>0</v>
      </c>
      <c r="K1741" s="274"/>
    </row>
    <row r="1742" spans="2:11" ht="13.5" customHeight="1">
      <c r="B1742" s="1" t="s">
        <v>647</v>
      </c>
      <c r="C1742" s="1" t="s">
        <v>2573</v>
      </c>
      <c r="D1742" s="449" t="s">
        <v>136</v>
      </c>
      <c r="E1742" s="273">
        <v>0</v>
      </c>
      <c r="F1742" s="274"/>
      <c r="G1742" s="274">
        <f t="shared" si="6"/>
        <v>0</v>
      </c>
      <c r="H1742" s="274">
        <v>0</v>
      </c>
      <c r="K1742" s="274"/>
    </row>
    <row r="1743" spans="2:11" ht="13.5" customHeight="1">
      <c r="B1743" s="1" t="s">
        <v>647</v>
      </c>
      <c r="C1743" s="1" t="s">
        <v>2573</v>
      </c>
      <c r="D1743" s="450" t="s">
        <v>137</v>
      </c>
      <c r="E1743" s="273">
        <v>0</v>
      </c>
      <c r="F1743" s="274"/>
      <c r="G1743" s="274">
        <f t="shared" si="6"/>
        <v>0</v>
      </c>
      <c r="H1743" s="274">
        <v>0</v>
      </c>
      <c r="K1743" s="274"/>
    </row>
    <row r="1744" spans="2:11" ht="13.5" customHeight="1">
      <c r="B1744" s="1" t="s">
        <v>647</v>
      </c>
      <c r="C1744" s="1" t="s">
        <v>2573</v>
      </c>
      <c r="D1744" s="451" t="s">
        <v>138</v>
      </c>
      <c r="E1744" s="273">
        <v>0</v>
      </c>
      <c r="F1744" s="274"/>
      <c r="G1744" s="274">
        <f t="shared" si="6"/>
        <v>0</v>
      </c>
      <c r="H1744" s="274">
        <v>0</v>
      </c>
      <c r="K1744" s="274"/>
    </row>
    <row r="1745" spans="2:11" ht="13.5" customHeight="1">
      <c r="B1745" s="1" t="s">
        <v>647</v>
      </c>
      <c r="C1745" s="1" t="s">
        <v>2573</v>
      </c>
      <c r="D1745" s="452" t="s">
        <v>139</v>
      </c>
      <c r="E1745" s="273">
        <v>0</v>
      </c>
      <c r="F1745" s="274"/>
      <c r="G1745" s="274">
        <f t="shared" si="6"/>
        <v>0</v>
      </c>
      <c r="H1745" s="274">
        <v>0</v>
      </c>
      <c r="K1745" s="274"/>
    </row>
    <row r="1746" spans="2:11" ht="13.5" customHeight="1">
      <c r="B1746" s="1" t="s">
        <v>647</v>
      </c>
      <c r="C1746" s="1" t="s">
        <v>2573</v>
      </c>
      <c r="D1746" s="216" t="s">
        <v>140</v>
      </c>
      <c r="E1746" s="273">
        <v>0</v>
      </c>
      <c r="F1746" s="274"/>
      <c r="G1746" s="274">
        <f t="shared" si="6"/>
        <v>0</v>
      </c>
      <c r="H1746" s="274">
        <v>0</v>
      </c>
      <c r="K1746" s="274"/>
    </row>
    <row r="1747" spans="2:11" ht="13.5" customHeight="1">
      <c r="B1747" s="1" t="s">
        <v>647</v>
      </c>
      <c r="C1747" s="1" t="s">
        <v>2573</v>
      </c>
      <c r="D1747" s="453" t="s">
        <v>141</v>
      </c>
      <c r="E1747" s="273">
        <v>0</v>
      </c>
      <c r="F1747" s="274"/>
      <c r="G1747" s="274">
        <f t="shared" si="6"/>
        <v>0</v>
      </c>
      <c r="H1747" s="274">
        <v>0</v>
      </c>
      <c r="K1747" s="274"/>
    </row>
    <row r="1748" spans="2:11" ht="13.5" customHeight="1">
      <c r="B1748" s="209" t="s">
        <v>649</v>
      </c>
      <c r="C1748" s="209" t="s">
        <v>2574</v>
      </c>
      <c r="D1748" s="446" t="s">
        <v>133</v>
      </c>
      <c r="E1748" s="273">
        <v>0</v>
      </c>
      <c r="F1748" s="274"/>
      <c r="G1748" s="274">
        <f t="shared" si="6"/>
        <v>0</v>
      </c>
      <c r="H1748" s="274">
        <v>0</v>
      </c>
      <c r="K1748" s="274"/>
    </row>
    <row r="1749" spans="2:11" ht="13.5" customHeight="1">
      <c r="B1749" s="209" t="s">
        <v>649</v>
      </c>
      <c r="C1749" s="209" t="s">
        <v>2574</v>
      </c>
      <c r="D1749" s="447" t="s">
        <v>134</v>
      </c>
      <c r="E1749" s="273">
        <v>0</v>
      </c>
      <c r="F1749" s="274"/>
      <c r="G1749" s="274">
        <f t="shared" si="6"/>
        <v>0</v>
      </c>
      <c r="H1749" s="274">
        <v>0</v>
      </c>
      <c r="K1749" s="274"/>
    </row>
    <row r="1750" spans="2:11" ht="13.5" customHeight="1">
      <c r="B1750" s="209" t="s">
        <v>649</v>
      </c>
      <c r="C1750" s="209" t="s">
        <v>2574</v>
      </c>
      <c r="D1750" s="448" t="s">
        <v>135</v>
      </c>
      <c r="E1750" s="273">
        <v>0</v>
      </c>
      <c r="F1750" s="274"/>
      <c r="G1750" s="274">
        <f t="shared" si="6"/>
        <v>0</v>
      </c>
      <c r="H1750" s="274">
        <v>0</v>
      </c>
      <c r="K1750" s="274"/>
    </row>
    <row r="1751" spans="2:11" ht="13.5" customHeight="1">
      <c r="B1751" s="209" t="s">
        <v>649</v>
      </c>
      <c r="C1751" s="209" t="s">
        <v>2574</v>
      </c>
      <c r="D1751" s="449" t="s">
        <v>136</v>
      </c>
      <c r="E1751" s="273">
        <v>0</v>
      </c>
      <c r="F1751" s="274"/>
      <c r="G1751" s="274">
        <f t="shared" si="6"/>
        <v>0</v>
      </c>
      <c r="H1751" s="274">
        <v>0</v>
      </c>
      <c r="K1751" s="274"/>
    </row>
    <row r="1752" spans="2:11" ht="13.5" customHeight="1">
      <c r="B1752" s="209" t="s">
        <v>649</v>
      </c>
      <c r="C1752" s="209" t="s">
        <v>2574</v>
      </c>
      <c r="D1752" s="450" t="s">
        <v>137</v>
      </c>
      <c r="E1752" s="273">
        <v>0</v>
      </c>
      <c r="F1752" s="274"/>
      <c r="G1752" s="274">
        <f t="shared" si="6"/>
        <v>0</v>
      </c>
      <c r="H1752" s="274">
        <v>0</v>
      </c>
      <c r="K1752" s="274"/>
    </row>
    <row r="1753" spans="2:11" ht="13.5" customHeight="1">
      <c r="B1753" s="209" t="s">
        <v>649</v>
      </c>
      <c r="C1753" s="209" t="s">
        <v>2574</v>
      </c>
      <c r="D1753" s="451" t="s">
        <v>138</v>
      </c>
      <c r="E1753" s="273">
        <v>0</v>
      </c>
      <c r="F1753" s="274"/>
      <c r="G1753" s="274">
        <f t="shared" si="6"/>
        <v>0</v>
      </c>
      <c r="H1753" s="274">
        <v>0</v>
      </c>
      <c r="K1753" s="274"/>
    </row>
    <row r="1754" spans="2:11" ht="13.5" customHeight="1">
      <c r="B1754" s="209" t="s">
        <v>649</v>
      </c>
      <c r="C1754" s="209" t="s">
        <v>2574</v>
      </c>
      <c r="D1754" s="452" t="s">
        <v>139</v>
      </c>
      <c r="E1754" s="273">
        <v>0</v>
      </c>
      <c r="F1754" s="274"/>
      <c r="G1754" s="274">
        <f t="shared" si="6"/>
        <v>0</v>
      </c>
      <c r="H1754" s="274">
        <v>0</v>
      </c>
      <c r="K1754" s="274"/>
    </row>
    <row r="1755" spans="2:11" ht="13.5" customHeight="1">
      <c r="B1755" s="209" t="s">
        <v>649</v>
      </c>
      <c r="C1755" s="209" t="s">
        <v>2574</v>
      </c>
      <c r="D1755" s="216" t="s">
        <v>140</v>
      </c>
      <c r="E1755" s="273">
        <v>0</v>
      </c>
      <c r="F1755" s="274"/>
      <c r="G1755" s="274">
        <f t="shared" si="6"/>
        <v>0</v>
      </c>
      <c r="H1755" s="274">
        <v>0</v>
      </c>
      <c r="K1755" s="274"/>
    </row>
    <row r="1756" spans="2:11" ht="13.5" customHeight="1">
      <c r="B1756" s="209" t="s">
        <v>649</v>
      </c>
      <c r="C1756" s="209" t="s">
        <v>2574</v>
      </c>
      <c r="D1756" s="453" t="s">
        <v>141</v>
      </c>
      <c r="E1756" s="273">
        <v>0</v>
      </c>
      <c r="F1756" s="274"/>
      <c r="G1756" s="274">
        <f t="shared" si="6"/>
        <v>0</v>
      </c>
      <c r="H1756" s="274">
        <v>0</v>
      </c>
      <c r="K1756" s="274"/>
    </row>
    <row r="1757" spans="2:11" ht="13.5" customHeight="1">
      <c r="B1757" s="209" t="s">
        <v>651</v>
      </c>
      <c r="C1757" s="209" t="s">
        <v>2575</v>
      </c>
      <c r="D1757" s="446" t="s">
        <v>133</v>
      </c>
      <c r="E1757" s="273">
        <v>0</v>
      </c>
      <c r="F1757" s="274"/>
      <c r="G1757" s="274">
        <f t="shared" si="6"/>
        <v>0</v>
      </c>
      <c r="H1757" s="274">
        <v>0</v>
      </c>
      <c r="K1757" s="274"/>
    </row>
    <row r="1758" spans="2:11" ht="13.5" customHeight="1">
      <c r="B1758" s="209" t="s">
        <v>651</v>
      </c>
      <c r="C1758" s="209" t="s">
        <v>2575</v>
      </c>
      <c r="D1758" s="447" t="s">
        <v>134</v>
      </c>
      <c r="E1758" s="273">
        <v>0</v>
      </c>
      <c r="F1758" s="274"/>
      <c r="G1758" s="274">
        <f t="shared" si="6"/>
        <v>0</v>
      </c>
      <c r="H1758" s="274">
        <v>0</v>
      </c>
      <c r="K1758" s="274"/>
    </row>
    <row r="1759" spans="2:11" ht="13.5" customHeight="1">
      <c r="B1759" s="209" t="s">
        <v>651</v>
      </c>
      <c r="C1759" s="209" t="s">
        <v>2575</v>
      </c>
      <c r="D1759" s="448" t="s">
        <v>135</v>
      </c>
      <c r="E1759" s="273">
        <v>0</v>
      </c>
      <c r="F1759" s="274"/>
      <c r="G1759" s="274">
        <f t="shared" si="6"/>
        <v>0</v>
      </c>
      <c r="H1759" s="274">
        <v>0</v>
      </c>
      <c r="K1759" s="274"/>
    </row>
    <row r="1760" spans="2:11" ht="13.5" customHeight="1">
      <c r="B1760" s="209" t="s">
        <v>651</v>
      </c>
      <c r="C1760" s="209" t="s">
        <v>2575</v>
      </c>
      <c r="D1760" s="449" t="s">
        <v>136</v>
      </c>
      <c r="E1760" s="273">
        <v>0</v>
      </c>
      <c r="F1760" s="274"/>
      <c r="G1760" s="274">
        <f t="shared" si="6"/>
        <v>0</v>
      </c>
      <c r="H1760" s="274">
        <v>0</v>
      </c>
      <c r="K1760" s="274"/>
    </row>
    <row r="1761" spans="2:11" ht="13.5" customHeight="1">
      <c r="B1761" s="209" t="s">
        <v>651</v>
      </c>
      <c r="C1761" s="209" t="s">
        <v>2575</v>
      </c>
      <c r="D1761" s="450" t="s">
        <v>137</v>
      </c>
      <c r="E1761" s="273">
        <v>0</v>
      </c>
      <c r="F1761" s="274"/>
      <c r="G1761" s="274">
        <f t="shared" si="6"/>
        <v>0</v>
      </c>
      <c r="H1761" s="274">
        <v>0</v>
      </c>
      <c r="K1761" s="274"/>
    </row>
    <row r="1762" spans="2:11" ht="13.5" customHeight="1">
      <c r="B1762" s="209" t="s">
        <v>651</v>
      </c>
      <c r="C1762" s="209" t="s">
        <v>2575</v>
      </c>
      <c r="D1762" s="451" t="s">
        <v>138</v>
      </c>
      <c r="E1762" s="273">
        <v>0</v>
      </c>
      <c r="F1762" s="274"/>
      <c r="G1762" s="274">
        <f t="shared" si="6"/>
        <v>0</v>
      </c>
      <c r="H1762" s="274">
        <v>0</v>
      </c>
      <c r="K1762" s="274"/>
    </row>
    <row r="1763" spans="2:11" ht="13.5" customHeight="1">
      <c r="B1763" s="209" t="s">
        <v>651</v>
      </c>
      <c r="C1763" s="209" t="s">
        <v>2575</v>
      </c>
      <c r="D1763" s="452" t="s">
        <v>139</v>
      </c>
      <c r="E1763" s="273">
        <v>0</v>
      </c>
      <c r="F1763" s="274"/>
      <c r="G1763" s="274">
        <f t="shared" si="6"/>
        <v>0</v>
      </c>
      <c r="H1763" s="274">
        <v>0</v>
      </c>
      <c r="K1763" s="274"/>
    </row>
    <row r="1764" spans="2:11" ht="13.5" customHeight="1">
      <c r="B1764" s="209" t="s">
        <v>651</v>
      </c>
      <c r="C1764" s="209" t="s">
        <v>2575</v>
      </c>
      <c r="D1764" s="216" t="s">
        <v>140</v>
      </c>
      <c r="E1764" s="273">
        <v>0</v>
      </c>
      <c r="F1764" s="274"/>
      <c r="G1764" s="274">
        <f t="shared" si="6"/>
        <v>0</v>
      </c>
      <c r="H1764" s="274">
        <v>0</v>
      </c>
      <c r="K1764" s="274"/>
    </row>
    <row r="1765" spans="2:11" ht="13.5" customHeight="1">
      <c r="B1765" s="209" t="s">
        <v>651</v>
      </c>
      <c r="C1765" s="209" t="s">
        <v>2575</v>
      </c>
      <c r="D1765" s="453" t="s">
        <v>141</v>
      </c>
      <c r="E1765" s="273">
        <v>0</v>
      </c>
      <c r="F1765" s="274"/>
      <c r="G1765" s="274">
        <f t="shared" si="6"/>
        <v>0</v>
      </c>
      <c r="H1765" s="274">
        <v>0</v>
      </c>
      <c r="K1765" s="274"/>
    </row>
    <row r="1766" spans="2:11" ht="13.5" customHeight="1">
      <c r="B1766" s="209" t="s">
        <v>653</v>
      </c>
      <c r="C1766" s="209" t="s">
        <v>2576</v>
      </c>
      <c r="D1766" s="446" t="s">
        <v>133</v>
      </c>
      <c r="E1766" s="273">
        <v>0</v>
      </c>
      <c r="F1766" s="274"/>
      <c r="G1766" s="274">
        <f t="shared" si="6"/>
        <v>0</v>
      </c>
      <c r="H1766" s="274">
        <v>0</v>
      </c>
      <c r="K1766" s="274"/>
    </row>
    <row r="1767" spans="2:11" ht="13.5" customHeight="1">
      <c r="B1767" s="209" t="s">
        <v>653</v>
      </c>
      <c r="C1767" s="209" t="s">
        <v>2576</v>
      </c>
      <c r="D1767" s="447" t="s">
        <v>134</v>
      </c>
      <c r="E1767" s="273">
        <v>0</v>
      </c>
      <c r="F1767" s="274"/>
      <c r="G1767" s="274">
        <f t="shared" si="6"/>
        <v>0</v>
      </c>
      <c r="H1767" s="274">
        <v>0</v>
      </c>
      <c r="K1767" s="274"/>
    </row>
    <row r="1768" spans="2:11" ht="13.5" customHeight="1">
      <c r="B1768" s="209" t="s">
        <v>653</v>
      </c>
      <c r="C1768" s="209" t="s">
        <v>2576</v>
      </c>
      <c r="D1768" s="448" t="s">
        <v>135</v>
      </c>
      <c r="E1768" s="273">
        <v>0</v>
      </c>
      <c r="F1768" s="274"/>
      <c r="G1768" s="274">
        <f t="shared" si="6"/>
        <v>0</v>
      </c>
      <c r="H1768" s="274">
        <v>0</v>
      </c>
      <c r="K1768" s="274"/>
    </row>
    <row r="1769" spans="2:11" ht="13.5" customHeight="1">
      <c r="B1769" s="209" t="s">
        <v>653</v>
      </c>
      <c r="C1769" s="209" t="s">
        <v>2576</v>
      </c>
      <c r="D1769" s="449" t="s">
        <v>136</v>
      </c>
      <c r="E1769" s="273">
        <v>0</v>
      </c>
      <c r="F1769" s="274"/>
      <c r="G1769" s="274">
        <f t="shared" si="6"/>
        <v>0</v>
      </c>
      <c r="H1769" s="274">
        <v>0</v>
      </c>
      <c r="K1769" s="274"/>
    </row>
    <row r="1770" spans="2:11" ht="13.5" customHeight="1">
      <c r="B1770" s="209" t="s">
        <v>653</v>
      </c>
      <c r="C1770" s="209" t="s">
        <v>2576</v>
      </c>
      <c r="D1770" s="450" t="s">
        <v>137</v>
      </c>
      <c r="E1770" s="273">
        <v>0</v>
      </c>
      <c r="F1770" s="274"/>
      <c r="G1770" s="274">
        <f t="shared" si="6"/>
        <v>0</v>
      </c>
      <c r="H1770" s="274">
        <v>0</v>
      </c>
      <c r="K1770" s="274"/>
    </row>
    <row r="1771" spans="2:11" ht="13.5" customHeight="1">
      <c r="B1771" s="209" t="s">
        <v>653</v>
      </c>
      <c r="C1771" s="209" t="s">
        <v>2576</v>
      </c>
      <c r="D1771" s="451" t="s">
        <v>138</v>
      </c>
      <c r="E1771" s="273">
        <v>0</v>
      </c>
      <c r="F1771" s="274"/>
      <c r="G1771" s="274">
        <f t="shared" si="6"/>
        <v>0</v>
      </c>
      <c r="H1771" s="274">
        <v>0</v>
      </c>
      <c r="K1771" s="274"/>
    </row>
    <row r="1772" spans="2:11" ht="13.5" customHeight="1">
      <c r="B1772" s="209" t="s">
        <v>653</v>
      </c>
      <c r="C1772" s="209" t="s">
        <v>2576</v>
      </c>
      <c r="D1772" s="452" t="s">
        <v>139</v>
      </c>
      <c r="E1772" s="273">
        <v>0</v>
      </c>
      <c r="F1772" s="274"/>
      <c r="G1772" s="274">
        <f t="shared" si="6"/>
        <v>0</v>
      </c>
      <c r="H1772" s="274">
        <v>0</v>
      </c>
      <c r="K1772" s="274"/>
    </row>
    <row r="1773" spans="2:11" ht="13.5" customHeight="1">
      <c r="B1773" s="209" t="s">
        <v>653</v>
      </c>
      <c r="C1773" s="209" t="s">
        <v>2576</v>
      </c>
      <c r="D1773" s="216" t="s">
        <v>140</v>
      </c>
      <c r="E1773" s="273">
        <v>0</v>
      </c>
      <c r="F1773" s="274"/>
      <c r="G1773" s="274">
        <f t="shared" si="6"/>
        <v>0</v>
      </c>
      <c r="H1773" s="274">
        <v>0</v>
      </c>
      <c r="K1773" s="274"/>
    </row>
    <row r="1774" spans="2:11" ht="13.5" customHeight="1">
      <c r="B1774" s="209" t="s">
        <v>653</v>
      </c>
      <c r="C1774" s="209" t="s">
        <v>2576</v>
      </c>
      <c r="D1774" s="453" t="s">
        <v>141</v>
      </c>
      <c r="E1774" s="273">
        <v>0</v>
      </c>
      <c r="F1774" s="274"/>
      <c r="G1774" s="274">
        <f t="shared" si="6"/>
        <v>0</v>
      </c>
      <c r="H1774" s="274">
        <v>0</v>
      </c>
      <c r="K1774" s="274"/>
    </row>
    <row r="1775" spans="2:11" ht="13.5" customHeight="1">
      <c r="B1775" s="209" t="s">
        <v>944</v>
      </c>
      <c r="C1775" s="209" t="s">
        <v>2577</v>
      </c>
      <c r="D1775" s="446" t="s">
        <v>133</v>
      </c>
      <c r="E1775" s="273">
        <v>0</v>
      </c>
      <c r="F1775" s="274"/>
      <c r="G1775" s="274">
        <f t="shared" si="6"/>
        <v>0</v>
      </c>
      <c r="H1775" s="274">
        <v>0</v>
      </c>
      <c r="K1775" s="274"/>
    </row>
    <row r="1776" spans="2:11" ht="13.5" customHeight="1">
      <c r="B1776" s="209" t="s">
        <v>944</v>
      </c>
      <c r="C1776" s="209" t="s">
        <v>2577</v>
      </c>
      <c r="D1776" s="447" t="s">
        <v>134</v>
      </c>
      <c r="E1776" s="273">
        <v>0</v>
      </c>
      <c r="F1776" s="274"/>
      <c r="G1776" s="274">
        <f t="shared" si="6"/>
        <v>0</v>
      </c>
      <c r="H1776" s="274">
        <v>0</v>
      </c>
      <c r="K1776" s="274"/>
    </row>
    <row r="1777" spans="2:11" ht="13.5" customHeight="1">
      <c r="B1777" s="209" t="s">
        <v>944</v>
      </c>
      <c r="C1777" s="209" t="s">
        <v>2577</v>
      </c>
      <c r="D1777" s="448" t="s">
        <v>135</v>
      </c>
      <c r="E1777" s="273">
        <v>0</v>
      </c>
      <c r="F1777" s="274"/>
      <c r="G1777" s="274">
        <f t="shared" si="6"/>
        <v>0</v>
      </c>
      <c r="H1777" s="274">
        <v>0</v>
      </c>
      <c r="K1777" s="274"/>
    </row>
    <row r="1778" spans="2:11" ht="13.5" customHeight="1">
      <c r="B1778" s="209" t="s">
        <v>944</v>
      </c>
      <c r="C1778" s="209" t="s">
        <v>2577</v>
      </c>
      <c r="D1778" s="449" t="s">
        <v>136</v>
      </c>
      <c r="E1778" s="273">
        <v>0</v>
      </c>
      <c r="F1778" s="274"/>
      <c r="G1778" s="274">
        <f t="shared" si="6"/>
        <v>0</v>
      </c>
      <c r="H1778" s="274">
        <v>0</v>
      </c>
      <c r="K1778" s="274"/>
    </row>
    <row r="1779" spans="2:11" ht="13.5" customHeight="1">
      <c r="B1779" s="209" t="s">
        <v>944</v>
      </c>
      <c r="C1779" s="209" t="s">
        <v>2577</v>
      </c>
      <c r="D1779" s="450" t="s">
        <v>137</v>
      </c>
      <c r="E1779" s="273">
        <v>0</v>
      </c>
      <c r="F1779" s="274"/>
      <c r="G1779" s="274">
        <f t="shared" si="6"/>
        <v>0</v>
      </c>
      <c r="H1779" s="274">
        <v>0</v>
      </c>
      <c r="K1779" s="274"/>
    </row>
    <row r="1780" spans="2:11" ht="13.5" customHeight="1">
      <c r="B1780" s="209" t="s">
        <v>944</v>
      </c>
      <c r="C1780" s="209" t="s">
        <v>2577</v>
      </c>
      <c r="D1780" s="451" t="s">
        <v>138</v>
      </c>
      <c r="E1780" s="273">
        <v>0</v>
      </c>
      <c r="F1780" s="274"/>
      <c r="G1780" s="274">
        <f t="shared" si="6"/>
        <v>0</v>
      </c>
      <c r="H1780" s="274">
        <v>0</v>
      </c>
      <c r="K1780" s="274"/>
    </row>
    <row r="1781" spans="2:11" ht="13.5" customHeight="1">
      <c r="B1781" s="209" t="s">
        <v>944</v>
      </c>
      <c r="C1781" s="209" t="s">
        <v>2577</v>
      </c>
      <c r="D1781" s="452" t="s">
        <v>139</v>
      </c>
      <c r="E1781" s="273">
        <v>0</v>
      </c>
      <c r="F1781" s="274"/>
      <c r="G1781" s="274">
        <f t="shared" si="6"/>
        <v>0</v>
      </c>
      <c r="H1781" s="274">
        <v>0</v>
      </c>
      <c r="K1781" s="274"/>
    </row>
    <row r="1782" spans="2:11" ht="13.5" customHeight="1">
      <c r="B1782" s="209" t="s">
        <v>944</v>
      </c>
      <c r="C1782" s="209" t="s">
        <v>2577</v>
      </c>
      <c r="D1782" s="216" t="s">
        <v>140</v>
      </c>
      <c r="E1782" s="273">
        <v>0</v>
      </c>
      <c r="F1782" s="274"/>
      <c r="G1782" s="274">
        <f t="shared" si="6"/>
        <v>0</v>
      </c>
      <c r="H1782" s="274">
        <v>0</v>
      </c>
      <c r="K1782" s="274"/>
    </row>
    <row r="1783" spans="2:11" ht="13.5" customHeight="1">
      <c r="B1783" s="209" t="s">
        <v>944</v>
      </c>
      <c r="C1783" s="209" t="s">
        <v>2577</v>
      </c>
      <c r="D1783" s="453" t="s">
        <v>141</v>
      </c>
      <c r="E1783" s="273">
        <v>0</v>
      </c>
      <c r="F1783" s="274"/>
      <c r="G1783" s="274">
        <f t="shared" si="6"/>
        <v>0</v>
      </c>
      <c r="H1783" s="274">
        <v>0</v>
      </c>
      <c r="K1783" s="274"/>
    </row>
    <row r="1784" spans="2:11" ht="13.5" customHeight="1">
      <c r="B1784" s="209" t="s">
        <v>1149</v>
      </c>
      <c r="C1784" s="209" t="s">
        <v>2578</v>
      </c>
      <c r="D1784" s="446" t="s">
        <v>133</v>
      </c>
      <c r="E1784" s="273">
        <v>0</v>
      </c>
      <c r="F1784" s="274"/>
      <c r="G1784" s="274">
        <f t="shared" si="6"/>
        <v>0</v>
      </c>
      <c r="H1784" s="274">
        <v>0</v>
      </c>
      <c r="K1784" s="274"/>
    </row>
    <row r="1785" spans="2:11" ht="13.5" customHeight="1">
      <c r="B1785" s="209" t="s">
        <v>1149</v>
      </c>
      <c r="C1785" s="209" t="s">
        <v>2578</v>
      </c>
      <c r="D1785" s="447" t="s">
        <v>134</v>
      </c>
      <c r="E1785" s="273">
        <v>0</v>
      </c>
      <c r="F1785" s="274"/>
      <c r="G1785" s="274">
        <f t="shared" si="6"/>
        <v>0</v>
      </c>
      <c r="H1785" s="274">
        <v>0</v>
      </c>
      <c r="K1785" s="274"/>
    </row>
    <row r="1786" spans="2:11" ht="13.5" customHeight="1">
      <c r="B1786" s="209" t="s">
        <v>1149</v>
      </c>
      <c r="C1786" s="209" t="s">
        <v>2578</v>
      </c>
      <c r="D1786" s="448" t="s">
        <v>135</v>
      </c>
      <c r="E1786" s="273">
        <v>0</v>
      </c>
      <c r="F1786" s="274"/>
      <c r="G1786" s="274">
        <f t="shared" si="6"/>
        <v>0</v>
      </c>
      <c r="H1786" s="274">
        <v>0</v>
      </c>
      <c r="K1786" s="274"/>
    </row>
    <row r="1787" spans="2:11" ht="13.5" customHeight="1">
      <c r="B1787" s="209" t="s">
        <v>1149</v>
      </c>
      <c r="C1787" s="209" t="s">
        <v>2578</v>
      </c>
      <c r="D1787" s="449" t="s">
        <v>136</v>
      </c>
      <c r="E1787" s="273">
        <v>0</v>
      </c>
      <c r="F1787" s="274"/>
      <c r="G1787" s="274">
        <f t="shared" ref="G1787:G2041" si="7">E1787*F1787</f>
        <v>0</v>
      </c>
      <c r="H1787" s="274">
        <v>0</v>
      </c>
      <c r="K1787" s="274"/>
    </row>
    <row r="1788" spans="2:11" ht="13.5" customHeight="1">
      <c r="B1788" s="209" t="s">
        <v>1149</v>
      </c>
      <c r="C1788" s="209" t="s">
        <v>2578</v>
      </c>
      <c r="D1788" s="450" t="s">
        <v>137</v>
      </c>
      <c r="E1788" s="273">
        <v>0</v>
      </c>
      <c r="F1788" s="274"/>
      <c r="G1788" s="274">
        <f t="shared" si="7"/>
        <v>0</v>
      </c>
      <c r="H1788" s="274">
        <v>0</v>
      </c>
      <c r="K1788" s="274"/>
    </row>
    <row r="1789" spans="2:11" ht="13.5" customHeight="1">
      <c r="B1789" s="209" t="s">
        <v>1149</v>
      </c>
      <c r="C1789" s="209" t="s">
        <v>2578</v>
      </c>
      <c r="D1789" s="451" t="s">
        <v>138</v>
      </c>
      <c r="E1789" s="273">
        <v>0</v>
      </c>
      <c r="F1789" s="274"/>
      <c r="G1789" s="274">
        <f t="shared" si="7"/>
        <v>0</v>
      </c>
      <c r="H1789" s="274">
        <v>0</v>
      </c>
      <c r="K1789" s="274"/>
    </row>
    <row r="1790" spans="2:11" ht="13.5" customHeight="1">
      <c r="B1790" s="209" t="s">
        <v>1149</v>
      </c>
      <c r="C1790" s="209" t="s">
        <v>2578</v>
      </c>
      <c r="D1790" s="452" t="s">
        <v>139</v>
      </c>
      <c r="E1790" s="273">
        <v>0</v>
      </c>
      <c r="F1790" s="274"/>
      <c r="G1790" s="274">
        <f t="shared" si="7"/>
        <v>0</v>
      </c>
      <c r="H1790" s="274">
        <v>0</v>
      </c>
      <c r="K1790" s="274"/>
    </row>
    <row r="1791" spans="2:11" ht="13.5" customHeight="1">
      <c r="B1791" s="209" t="s">
        <v>1149</v>
      </c>
      <c r="C1791" s="209" t="s">
        <v>2578</v>
      </c>
      <c r="D1791" s="216" t="s">
        <v>140</v>
      </c>
      <c r="E1791" s="273">
        <v>0</v>
      </c>
      <c r="F1791" s="274"/>
      <c r="G1791" s="274">
        <f t="shared" si="7"/>
        <v>0</v>
      </c>
      <c r="H1791" s="274">
        <v>0</v>
      </c>
      <c r="K1791" s="274"/>
    </row>
    <row r="1792" spans="2:11" ht="13.5" customHeight="1">
      <c r="B1792" s="209" t="s">
        <v>1149</v>
      </c>
      <c r="C1792" s="209" t="s">
        <v>2578</v>
      </c>
      <c r="D1792" s="453" t="s">
        <v>141</v>
      </c>
      <c r="E1792" s="273">
        <v>0</v>
      </c>
      <c r="F1792" s="274"/>
      <c r="G1792" s="274">
        <f t="shared" si="7"/>
        <v>0</v>
      </c>
      <c r="H1792" s="274">
        <v>0</v>
      </c>
      <c r="K1792" s="274"/>
    </row>
    <row r="1793" spans="2:11" ht="13.5" customHeight="1">
      <c r="B1793" s="209" t="s">
        <v>1151</v>
      </c>
      <c r="C1793" s="209" t="s">
        <v>2579</v>
      </c>
      <c r="D1793" s="446" t="s">
        <v>133</v>
      </c>
      <c r="E1793" s="273">
        <v>0</v>
      </c>
      <c r="F1793" s="274"/>
      <c r="G1793" s="274">
        <f t="shared" si="7"/>
        <v>0</v>
      </c>
      <c r="H1793" s="274">
        <v>0</v>
      </c>
      <c r="K1793" s="274"/>
    </row>
    <row r="1794" spans="2:11" ht="13.5" customHeight="1">
      <c r="B1794" s="209" t="s">
        <v>1151</v>
      </c>
      <c r="C1794" s="209" t="s">
        <v>2579</v>
      </c>
      <c r="D1794" s="447" t="s">
        <v>134</v>
      </c>
      <c r="E1794" s="273">
        <v>0</v>
      </c>
      <c r="F1794" s="274"/>
      <c r="G1794" s="274">
        <f t="shared" si="7"/>
        <v>0</v>
      </c>
      <c r="H1794" s="274">
        <v>0</v>
      </c>
      <c r="K1794" s="274"/>
    </row>
    <row r="1795" spans="2:11" ht="13.5" customHeight="1">
      <c r="B1795" s="209" t="s">
        <v>1151</v>
      </c>
      <c r="C1795" s="209" t="s">
        <v>2579</v>
      </c>
      <c r="D1795" s="448" t="s">
        <v>135</v>
      </c>
      <c r="E1795" s="273">
        <v>0</v>
      </c>
      <c r="F1795" s="274"/>
      <c r="G1795" s="274">
        <f t="shared" si="7"/>
        <v>0</v>
      </c>
      <c r="H1795" s="274">
        <v>0</v>
      </c>
      <c r="K1795" s="274"/>
    </row>
    <row r="1796" spans="2:11" ht="13.5" customHeight="1">
      <c r="B1796" s="209" t="s">
        <v>1151</v>
      </c>
      <c r="C1796" s="209" t="s">
        <v>2579</v>
      </c>
      <c r="D1796" s="449" t="s">
        <v>136</v>
      </c>
      <c r="E1796" s="273">
        <v>0</v>
      </c>
      <c r="F1796" s="274"/>
      <c r="G1796" s="274">
        <f t="shared" si="7"/>
        <v>0</v>
      </c>
      <c r="H1796" s="274">
        <v>0</v>
      </c>
      <c r="K1796" s="274"/>
    </row>
    <row r="1797" spans="2:11" ht="13.5" customHeight="1">
      <c r="B1797" s="209" t="s">
        <v>1151</v>
      </c>
      <c r="C1797" s="209" t="s">
        <v>2579</v>
      </c>
      <c r="D1797" s="450" t="s">
        <v>137</v>
      </c>
      <c r="E1797" s="273">
        <v>0</v>
      </c>
      <c r="F1797" s="274"/>
      <c r="G1797" s="274">
        <f t="shared" si="7"/>
        <v>0</v>
      </c>
      <c r="H1797" s="274">
        <v>0</v>
      </c>
      <c r="K1797" s="274"/>
    </row>
    <row r="1798" spans="2:11" ht="13.5" customHeight="1">
      <c r="B1798" s="209" t="s">
        <v>1151</v>
      </c>
      <c r="C1798" s="209" t="s">
        <v>2579</v>
      </c>
      <c r="D1798" s="451" t="s">
        <v>138</v>
      </c>
      <c r="E1798" s="273">
        <v>0</v>
      </c>
      <c r="F1798" s="274"/>
      <c r="G1798" s="274">
        <f t="shared" si="7"/>
        <v>0</v>
      </c>
      <c r="H1798" s="274">
        <v>0</v>
      </c>
      <c r="K1798" s="274"/>
    </row>
    <row r="1799" spans="2:11" ht="13.5" customHeight="1">
      <c r="B1799" s="209" t="s">
        <v>1151</v>
      </c>
      <c r="C1799" s="209" t="s">
        <v>2579</v>
      </c>
      <c r="D1799" s="452" t="s">
        <v>139</v>
      </c>
      <c r="E1799" s="273">
        <v>0</v>
      </c>
      <c r="F1799" s="274"/>
      <c r="G1799" s="274">
        <f t="shared" si="7"/>
        <v>0</v>
      </c>
      <c r="H1799" s="274">
        <v>0</v>
      </c>
      <c r="K1799" s="274"/>
    </row>
    <row r="1800" spans="2:11" ht="13.5" customHeight="1">
      <c r="B1800" s="209" t="s">
        <v>1151</v>
      </c>
      <c r="C1800" s="209" t="s">
        <v>2579</v>
      </c>
      <c r="D1800" s="216" t="s">
        <v>140</v>
      </c>
      <c r="E1800" s="273">
        <v>0</v>
      </c>
      <c r="F1800" s="274"/>
      <c r="G1800" s="274">
        <f t="shared" si="7"/>
        <v>0</v>
      </c>
      <c r="H1800" s="274">
        <v>0</v>
      </c>
      <c r="K1800" s="274"/>
    </row>
    <row r="1801" spans="2:11" ht="13.5" customHeight="1">
      <c r="B1801" s="209" t="s">
        <v>1151</v>
      </c>
      <c r="C1801" s="209" t="s">
        <v>2579</v>
      </c>
      <c r="D1801" s="453" t="s">
        <v>141</v>
      </c>
      <c r="E1801" s="273">
        <v>0</v>
      </c>
      <c r="F1801" s="274"/>
      <c r="G1801" s="274">
        <f t="shared" si="7"/>
        <v>0</v>
      </c>
      <c r="H1801" s="274">
        <v>0</v>
      </c>
      <c r="K1801" s="274"/>
    </row>
    <row r="1802" spans="2:11" ht="13.5" customHeight="1">
      <c r="B1802" s="209" t="s">
        <v>1153</v>
      </c>
      <c r="C1802" s="209" t="s">
        <v>2580</v>
      </c>
      <c r="D1802" s="446" t="s">
        <v>133</v>
      </c>
      <c r="E1802" s="273">
        <v>0</v>
      </c>
      <c r="F1802" s="274"/>
      <c r="G1802" s="274">
        <f t="shared" si="7"/>
        <v>0</v>
      </c>
      <c r="H1802" s="274">
        <v>0</v>
      </c>
      <c r="K1802" s="274"/>
    </row>
    <row r="1803" spans="2:11" ht="13.5" customHeight="1">
      <c r="B1803" s="209" t="s">
        <v>1153</v>
      </c>
      <c r="C1803" s="209" t="s">
        <v>2580</v>
      </c>
      <c r="D1803" s="447" t="s">
        <v>134</v>
      </c>
      <c r="E1803" s="273">
        <v>0</v>
      </c>
      <c r="F1803" s="274"/>
      <c r="G1803" s="274">
        <f t="shared" si="7"/>
        <v>0</v>
      </c>
      <c r="H1803" s="274">
        <v>0</v>
      </c>
      <c r="K1803" s="274"/>
    </row>
    <row r="1804" spans="2:11" ht="13.5" customHeight="1">
      <c r="B1804" s="209" t="s">
        <v>1153</v>
      </c>
      <c r="C1804" s="209" t="s">
        <v>2580</v>
      </c>
      <c r="D1804" s="448" t="s">
        <v>135</v>
      </c>
      <c r="E1804" s="273">
        <v>0</v>
      </c>
      <c r="F1804" s="274"/>
      <c r="G1804" s="274">
        <f t="shared" si="7"/>
        <v>0</v>
      </c>
      <c r="H1804" s="274">
        <v>0</v>
      </c>
      <c r="K1804" s="274"/>
    </row>
    <row r="1805" spans="2:11" ht="13.5" customHeight="1">
      <c r="B1805" s="209" t="s">
        <v>1153</v>
      </c>
      <c r="C1805" s="209" t="s">
        <v>2580</v>
      </c>
      <c r="D1805" s="449" t="s">
        <v>136</v>
      </c>
      <c r="E1805" s="273">
        <v>0</v>
      </c>
      <c r="F1805" s="274"/>
      <c r="G1805" s="274">
        <f t="shared" si="7"/>
        <v>0</v>
      </c>
      <c r="H1805" s="274">
        <v>0</v>
      </c>
      <c r="K1805" s="274"/>
    </row>
    <row r="1806" spans="2:11" ht="13.5" customHeight="1">
      <c r="B1806" s="209" t="s">
        <v>1153</v>
      </c>
      <c r="C1806" s="209" t="s">
        <v>2580</v>
      </c>
      <c r="D1806" s="450" t="s">
        <v>137</v>
      </c>
      <c r="E1806" s="273">
        <v>0</v>
      </c>
      <c r="F1806" s="274"/>
      <c r="G1806" s="274">
        <f t="shared" si="7"/>
        <v>0</v>
      </c>
      <c r="H1806" s="274">
        <v>0</v>
      </c>
      <c r="K1806" s="274"/>
    </row>
    <row r="1807" spans="2:11" ht="13.5" customHeight="1">
      <c r="B1807" s="209" t="s">
        <v>1153</v>
      </c>
      <c r="C1807" s="209" t="s">
        <v>2580</v>
      </c>
      <c r="D1807" s="451" t="s">
        <v>138</v>
      </c>
      <c r="E1807" s="273">
        <v>0</v>
      </c>
      <c r="F1807" s="274"/>
      <c r="G1807" s="274">
        <f t="shared" si="7"/>
        <v>0</v>
      </c>
      <c r="H1807" s="274">
        <v>0</v>
      </c>
      <c r="K1807" s="274"/>
    </row>
    <row r="1808" spans="2:11" ht="13.5" customHeight="1">
      <c r="B1808" s="209" t="s">
        <v>1153</v>
      </c>
      <c r="C1808" s="209" t="s">
        <v>2580</v>
      </c>
      <c r="D1808" s="452" t="s">
        <v>139</v>
      </c>
      <c r="E1808" s="273">
        <v>0</v>
      </c>
      <c r="F1808" s="274"/>
      <c r="G1808" s="274">
        <f t="shared" si="7"/>
        <v>0</v>
      </c>
      <c r="H1808" s="274">
        <v>0</v>
      </c>
      <c r="K1808" s="274"/>
    </row>
    <row r="1809" spans="2:11" ht="13.5" customHeight="1">
      <c r="B1809" s="209" t="s">
        <v>1153</v>
      </c>
      <c r="C1809" s="209" t="s">
        <v>2580</v>
      </c>
      <c r="D1809" s="216" t="s">
        <v>140</v>
      </c>
      <c r="E1809" s="273">
        <v>0</v>
      </c>
      <c r="F1809" s="274"/>
      <c r="G1809" s="274">
        <f t="shared" si="7"/>
        <v>0</v>
      </c>
      <c r="H1809" s="274">
        <v>0</v>
      </c>
      <c r="K1809" s="274"/>
    </row>
    <row r="1810" spans="2:11" ht="13.5" customHeight="1">
      <c r="B1810" s="209" t="s">
        <v>1153</v>
      </c>
      <c r="C1810" s="209" t="s">
        <v>2580</v>
      </c>
      <c r="D1810" s="453" t="s">
        <v>141</v>
      </c>
      <c r="E1810" s="273">
        <v>0</v>
      </c>
      <c r="F1810" s="274"/>
      <c r="G1810" s="274">
        <f t="shared" si="7"/>
        <v>0</v>
      </c>
      <c r="H1810" s="274">
        <v>0</v>
      </c>
      <c r="K1810" s="274"/>
    </row>
    <row r="1811" spans="2:11" ht="13.5" customHeight="1">
      <c r="B1811" s="209" t="s">
        <v>276</v>
      </c>
      <c r="C1811" s="209" t="s">
        <v>2581</v>
      </c>
      <c r="D1811" s="446" t="s">
        <v>133</v>
      </c>
      <c r="E1811" s="273">
        <v>0</v>
      </c>
      <c r="F1811" s="274"/>
      <c r="G1811" s="274">
        <f t="shared" si="7"/>
        <v>0</v>
      </c>
      <c r="H1811" s="274">
        <v>0</v>
      </c>
      <c r="K1811" s="274"/>
    </row>
    <row r="1812" spans="2:11" ht="13.5" customHeight="1">
      <c r="B1812" s="209" t="s">
        <v>276</v>
      </c>
      <c r="C1812" s="209" t="s">
        <v>2581</v>
      </c>
      <c r="D1812" s="447" t="s">
        <v>134</v>
      </c>
      <c r="E1812" s="273">
        <v>0</v>
      </c>
      <c r="F1812" s="274"/>
      <c r="G1812" s="274">
        <f t="shared" si="7"/>
        <v>0</v>
      </c>
      <c r="H1812" s="274">
        <v>0</v>
      </c>
      <c r="K1812" s="274"/>
    </row>
    <row r="1813" spans="2:11" ht="13.5" customHeight="1">
      <c r="B1813" s="209" t="s">
        <v>276</v>
      </c>
      <c r="C1813" s="209" t="s">
        <v>2581</v>
      </c>
      <c r="D1813" s="448" t="s">
        <v>135</v>
      </c>
      <c r="E1813" s="273">
        <v>0</v>
      </c>
      <c r="F1813" s="274"/>
      <c r="G1813" s="274">
        <f t="shared" si="7"/>
        <v>0</v>
      </c>
      <c r="H1813" s="274">
        <v>0</v>
      </c>
      <c r="K1813" s="274"/>
    </row>
    <row r="1814" spans="2:11" ht="13.5" customHeight="1">
      <c r="B1814" s="209" t="s">
        <v>276</v>
      </c>
      <c r="C1814" s="209" t="s">
        <v>2581</v>
      </c>
      <c r="D1814" s="449" t="s">
        <v>136</v>
      </c>
      <c r="E1814" s="273">
        <v>0</v>
      </c>
      <c r="F1814" s="274"/>
      <c r="G1814" s="274">
        <f t="shared" si="7"/>
        <v>0</v>
      </c>
      <c r="H1814" s="274">
        <v>0</v>
      </c>
      <c r="K1814" s="274"/>
    </row>
    <row r="1815" spans="2:11" ht="13.5" customHeight="1">
      <c r="B1815" s="209" t="s">
        <v>276</v>
      </c>
      <c r="C1815" s="209" t="s">
        <v>2581</v>
      </c>
      <c r="D1815" s="450" t="s">
        <v>137</v>
      </c>
      <c r="E1815" s="273">
        <v>0</v>
      </c>
      <c r="F1815" s="274"/>
      <c r="G1815" s="274">
        <f t="shared" si="7"/>
        <v>0</v>
      </c>
      <c r="H1815" s="274">
        <v>0</v>
      </c>
      <c r="K1815" s="274"/>
    </row>
    <row r="1816" spans="2:11" ht="13.5" customHeight="1">
      <c r="B1816" s="209" t="s">
        <v>276</v>
      </c>
      <c r="C1816" s="209" t="s">
        <v>2581</v>
      </c>
      <c r="D1816" s="451" t="s">
        <v>138</v>
      </c>
      <c r="E1816" s="273">
        <v>0</v>
      </c>
      <c r="F1816" s="274"/>
      <c r="G1816" s="274">
        <f t="shared" si="7"/>
        <v>0</v>
      </c>
      <c r="H1816" s="274">
        <v>0</v>
      </c>
      <c r="K1816" s="274"/>
    </row>
    <row r="1817" spans="2:11" ht="13.5" customHeight="1">
      <c r="B1817" s="209" t="s">
        <v>276</v>
      </c>
      <c r="C1817" s="209" t="s">
        <v>2581</v>
      </c>
      <c r="D1817" s="452" t="s">
        <v>139</v>
      </c>
      <c r="E1817" s="273">
        <v>0</v>
      </c>
      <c r="F1817" s="274"/>
      <c r="G1817" s="274">
        <f t="shared" si="7"/>
        <v>0</v>
      </c>
      <c r="H1817" s="274">
        <v>0</v>
      </c>
      <c r="K1817" s="274"/>
    </row>
    <row r="1818" spans="2:11" ht="13.5" customHeight="1">
      <c r="B1818" s="209" t="s">
        <v>276</v>
      </c>
      <c r="C1818" s="209" t="s">
        <v>2581</v>
      </c>
      <c r="D1818" s="216" t="s">
        <v>140</v>
      </c>
      <c r="E1818" s="273">
        <v>0</v>
      </c>
      <c r="F1818" s="274"/>
      <c r="G1818" s="274">
        <f t="shared" si="7"/>
        <v>0</v>
      </c>
      <c r="H1818" s="274">
        <v>0</v>
      </c>
      <c r="K1818" s="274"/>
    </row>
    <row r="1819" spans="2:11" ht="13.5" customHeight="1">
      <c r="B1819" s="209" t="s">
        <v>276</v>
      </c>
      <c r="C1819" s="209" t="s">
        <v>2581</v>
      </c>
      <c r="D1819" s="453" t="s">
        <v>141</v>
      </c>
      <c r="E1819" s="273">
        <v>0</v>
      </c>
      <c r="F1819" s="274"/>
      <c r="G1819" s="274">
        <f t="shared" si="7"/>
        <v>0</v>
      </c>
      <c r="H1819" s="274">
        <v>0</v>
      </c>
      <c r="K1819" s="274"/>
    </row>
    <row r="1820" spans="2:11" ht="13.5" customHeight="1">
      <c r="B1820" s="209" t="s">
        <v>1155</v>
      </c>
      <c r="C1820" s="209" t="s">
        <v>2582</v>
      </c>
      <c r="D1820" s="446" t="s">
        <v>133</v>
      </c>
      <c r="E1820" s="273">
        <v>0</v>
      </c>
      <c r="F1820" s="274"/>
      <c r="G1820" s="274">
        <f t="shared" si="7"/>
        <v>0</v>
      </c>
      <c r="H1820" s="274">
        <v>0</v>
      </c>
      <c r="K1820" s="274"/>
    </row>
    <row r="1821" spans="2:11" ht="13.5" customHeight="1">
      <c r="B1821" s="209" t="s">
        <v>1155</v>
      </c>
      <c r="C1821" s="209" t="s">
        <v>2582</v>
      </c>
      <c r="D1821" s="447" t="s">
        <v>134</v>
      </c>
      <c r="E1821" s="273">
        <v>0</v>
      </c>
      <c r="F1821" s="274"/>
      <c r="G1821" s="274">
        <f t="shared" si="7"/>
        <v>0</v>
      </c>
      <c r="H1821" s="274">
        <v>0</v>
      </c>
      <c r="K1821" s="274"/>
    </row>
    <row r="1822" spans="2:11" ht="13.5" customHeight="1">
      <c r="B1822" s="209" t="s">
        <v>1155</v>
      </c>
      <c r="C1822" s="209" t="s">
        <v>2582</v>
      </c>
      <c r="D1822" s="448" t="s">
        <v>135</v>
      </c>
      <c r="E1822" s="273">
        <v>0</v>
      </c>
      <c r="F1822" s="274"/>
      <c r="G1822" s="274">
        <f t="shared" si="7"/>
        <v>0</v>
      </c>
      <c r="H1822" s="274">
        <v>0</v>
      </c>
      <c r="K1822" s="274"/>
    </row>
    <row r="1823" spans="2:11" ht="13.5" customHeight="1">
      <c r="B1823" s="209" t="s">
        <v>1155</v>
      </c>
      <c r="C1823" s="209" t="s">
        <v>2582</v>
      </c>
      <c r="D1823" s="449" t="s">
        <v>136</v>
      </c>
      <c r="E1823" s="273">
        <v>0</v>
      </c>
      <c r="F1823" s="274"/>
      <c r="G1823" s="274">
        <f t="shared" si="7"/>
        <v>0</v>
      </c>
      <c r="H1823" s="274">
        <v>0</v>
      </c>
      <c r="K1823" s="274"/>
    </row>
    <row r="1824" spans="2:11" ht="13.5" customHeight="1">
      <c r="B1824" s="209" t="s">
        <v>1155</v>
      </c>
      <c r="C1824" s="209" t="s">
        <v>2582</v>
      </c>
      <c r="D1824" s="450" t="s">
        <v>137</v>
      </c>
      <c r="E1824" s="273">
        <v>0</v>
      </c>
      <c r="F1824" s="274"/>
      <c r="G1824" s="274">
        <f t="shared" si="7"/>
        <v>0</v>
      </c>
      <c r="H1824" s="274">
        <v>0</v>
      </c>
      <c r="K1824" s="274"/>
    </row>
    <row r="1825" spans="2:11" ht="13.5" customHeight="1">
      <c r="B1825" s="209" t="s">
        <v>1155</v>
      </c>
      <c r="C1825" s="209" t="s">
        <v>2582</v>
      </c>
      <c r="D1825" s="451" t="s">
        <v>138</v>
      </c>
      <c r="E1825" s="273">
        <v>0</v>
      </c>
      <c r="F1825" s="274"/>
      <c r="G1825" s="274">
        <f t="shared" si="7"/>
        <v>0</v>
      </c>
      <c r="H1825" s="274">
        <v>0</v>
      </c>
      <c r="K1825" s="274"/>
    </row>
    <row r="1826" spans="2:11" ht="13.5" customHeight="1">
      <c r="B1826" s="209" t="s">
        <v>1155</v>
      </c>
      <c r="C1826" s="209" t="s">
        <v>2582</v>
      </c>
      <c r="D1826" s="452" t="s">
        <v>139</v>
      </c>
      <c r="E1826" s="273">
        <v>0</v>
      </c>
      <c r="F1826" s="274"/>
      <c r="G1826" s="274">
        <f t="shared" si="7"/>
        <v>0</v>
      </c>
      <c r="H1826" s="274">
        <v>0</v>
      </c>
      <c r="K1826" s="274"/>
    </row>
    <row r="1827" spans="2:11" ht="13.5" customHeight="1">
      <c r="B1827" s="209" t="s">
        <v>1155</v>
      </c>
      <c r="C1827" s="209" t="s">
        <v>2582</v>
      </c>
      <c r="D1827" s="216" t="s">
        <v>140</v>
      </c>
      <c r="E1827" s="273">
        <v>0</v>
      </c>
      <c r="F1827" s="274"/>
      <c r="G1827" s="274">
        <f t="shared" si="7"/>
        <v>0</v>
      </c>
      <c r="H1827" s="274">
        <v>0</v>
      </c>
      <c r="K1827" s="274"/>
    </row>
    <row r="1828" spans="2:11" ht="13.5" customHeight="1">
      <c r="B1828" s="209" t="s">
        <v>1155</v>
      </c>
      <c r="C1828" s="209" t="s">
        <v>2582</v>
      </c>
      <c r="D1828" s="453" t="s">
        <v>141</v>
      </c>
      <c r="E1828" s="273">
        <v>0</v>
      </c>
      <c r="F1828" s="274"/>
      <c r="G1828" s="274">
        <f t="shared" si="7"/>
        <v>0</v>
      </c>
      <c r="H1828" s="274">
        <v>0</v>
      </c>
      <c r="K1828" s="274"/>
    </row>
    <row r="1829" spans="2:11" ht="13.5" customHeight="1">
      <c r="B1829" s="209" t="s">
        <v>278</v>
      </c>
      <c r="C1829" s="209" t="s">
        <v>2583</v>
      </c>
      <c r="D1829" s="446" t="s">
        <v>133</v>
      </c>
      <c r="E1829" s="273">
        <v>0</v>
      </c>
      <c r="F1829" s="274"/>
      <c r="G1829" s="274">
        <f t="shared" si="7"/>
        <v>0</v>
      </c>
      <c r="H1829" s="274">
        <v>0</v>
      </c>
      <c r="K1829" s="274"/>
    </row>
    <row r="1830" spans="2:11" ht="13.5" customHeight="1">
      <c r="B1830" s="209" t="s">
        <v>278</v>
      </c>
      <c r="C1830" s="209" t="s">
        <v>2583</v>
      </c>
      <c r="D1830" s="447" t="s">
        <v>134</v>
      </c>
      <c r="E1830" s="273">
        <v>0</v>
      </c>
      <c r="F1830" s="274"/>
      <c r="G1830" s="274">
        <f t="shared" si="7"/>
        <v>0</v>
      </c>
      <c r="H1830" s="274">
        <v>0</v>
      </c>
      <c r="K1830" s="274"/>
    </row>
    <row r="1831" spans="2:11" ht="13.5" customHeight="1">
      <c r="B1831" s="209" t="s">
        <v>278</v>
      </c>
      <c r="C1831" s="209" t="s">
        <v>2583</v>
      </c>
      <c r="D1831" s="448" t="s">
        <v>135</v>
      </c>
      <c r="E1831" s="273">
        <v>0</v>
      </c>
      <c r="F1831" s="274"/>
      <c r="G1831" s="274">
        <f t="shared" si="7"/>
        <v>0</v>
      </c>
      <c r="H1831" s="274">
        <v>0</v>
      </c>
      <c r="K1831" s="274"/>
    </row>
    <row r="1832" spans="2:11" ht="13.5" customHeight="1">
      <c r="B1832" s="209" t="s">
        <v>278</v>
      </c>
      <c r="C1832" s="209" t="s">
        <v>2583</v>
      </c>
      <c r="D1832" s="449" t="s">
        <v>136</v>
      </c>
      <c r="E1832" s="273">
        <v>0</v>
      </c>
      <c r="F1832" s="274"/>
      <c r="G1832" s="274">
        <f t="shared" si="7"/>
        <v>0</v>
      </c>
      <c r="H1832" s="274">
        <v>0</v>
      </c>
      <c r="K1832" s="274"/>
    </row>
    <row r="1833" spans="2:11" ht="13.5" customHeight="1">
      <c r="B1833" s="209" t="s">
        <v>278</v>
      </c>
      <c r="C1833" s="209" t="s">
        <v>2583</v>
      </c>
      <c r="D1833" s="450" t="s">
        <v>137</v>
      </c>
      <c r="E1833" s="273">
        <v>0</v>
      </c>
      <c r="F1833" s="274"/>
      <c r="G1833" s="274">
        <f t="shared" si="7"/>
        <v>0</v>
      </c>
      <c r="H1833" s="274">
        <v>0</v>
      </c>
      <c r="K1833" s="274"/>
    </row>
    <row r="1834" spans="2:11" ht="13.5" customHeight="1">
      <c r="B1834" s="209" t="s">
        <v>278</v>
      </c>
      <c r="C1834" s="209" t="s">
        <v>2583</v>
      </c>
      <c r="D1834" s="451" t="s">
        <v>138</v>
      </c>
      <c r="E1834" s="273">
        <v>0</v>
      </c>
      <c r="F1834" s="274"/>
      <c r="G1834" s="274">
        <f t="shared" si="7"/>
        <v>0</v>
      </c>
      <c r="H1834" s="274">
        <v>0</v>
      </c>
      <c r="K1834" s="274"/>
    </row>
    <row r="1835" spans="2:11" ht="13.5" customHeight="1">
      <c r="B1835" s="209" t="s">
        <v>278</v>
      </c>
      <c r="C1835" s="209" t="s">
        <v>2583</v>
      </c>
      <c r="D1835" s="452" t="s">
        <v>139</v>
      </c>
      <c r="E1835" s="273">
        <v>0</v>
      </c>
      <c r="F1835" s="274"/>
      <c r="G1835" s="274">
        <f t="shared" si="7"/>
        <v>0</v>
      </c>
      <c r="H1835" s="274">
        <v>0</v>
      </c>
      <c r="K1835" s="274"/>
    </row>
    <row r="1836" spans="2:11" ht="13.5" customHeight="1">
      <c r="B1836" s="209" t="s">
        <v>278</v>
      </c>
      <c r="C1836" s="209" t="s">
        <v>2583</v>
      </c>
      <c r="D1836" s="216" t="s">
        <v>140</v>
      </c>
      <c r="E1836" s="273">
        <v>0</v>
      </c>
      <c r="F1836" s="274"/>
      <c r="G1836" s="274">
        <f t="shared" si="7"/>
        <v>0</v>
      </c>
      <c r="H1836" s="274">
        <v>0</v>
      </c>
      <c r="K1836" s="274"/>
    </row>
    <row r="1837" spans="2:11" ht="13.5" customHeight="1">
      <c r="B1837" s="209" t="s">
        <v>278</v>
      </c>
      <c r="C1837" s="209" t="s">
        <v>2583</v>
      </c>
      <c r="D1837" s="453" t="s">
        <v>141</v>
      </c>
      <c r="E1837" s="273">
        <v>0</v>
      </c>
      <c r="F1837" s="274"/>
      <c r="G1837" s="274">
        <f t="shared" si="7"/>
        <v>0</v>
      </c>
      <c r="H1837" s="274">
        <v>0</v>
      </c>
      <c r="K1837" s="274"/>
    </row>
    <row r="1838" spans="2:11" ht="13.5" customHeight="1">
      <c r="B1838" s="209" t="s">
        <v>365</v>
      </c>
      <c r="C1838" s="209" t="s">
        <v>2584</v>
      </c>
      <c r="D1838" s="446" t="s">
        <v>133</v>
      </c>
      <c r="E1838" s="273">
        <v>0</v>
      </c>
      <c r="F1838" s="274"/>
      <c r="G1838" s="274">
        <f t="shared" si="7"/>
        <v>0</v>
      </c>
      <c r="H1838" s="274">
        <v>0</v>
      </c>
      <c r="K1838" s="274"/>
    </row>
    <row r="1839" spans="2:11" ht="13.5" customHeight="1">
      <c r="B1839" s="209" t="s">
        <v>365</v>
      </c>
      <c r="C1839" s="209" t="s">
        <v>2584</v>
      </c>
      <c r="D1839" s="447" t="s">
        <v>134</v>
      </c>
      <c r="E1839" s="273">
        <v>0</v>
      </c>
      <c r="F1839" s="274"/>
      <c r="G1839" s="274">
        <f t="shared" si="7"/>
        <v>0</v>
      </c>
      <c r="H1839" s="274">
        <v>0</v>
      </c>
      <c r="K1839" s="274"/>
    </row>
    <row r="1840" spans="2:11" ht="13.5" customHeight="1">
      <c r="B1840" s="209" t="s">
        <v>365</v>
      </c>
      <c r="C1840" s="209" t="s">
        <v>2584</v>
      </c>
      <c r="D1840" s="448" t="s">
        <v>135</v>
      </c>
      <c r="E1840" s="273">
        <v>0</v>
      </c>
      <c r="F1840" s="274"/>
      <c r="G1840" s="274">
        <f t="shared" si="7"/>
        <v>0</v>
      </c>
      <c r="H1840" s="274">
        <v>0</v>
      </c>
      <c r="K1840" s="274"/>
    </row>
    <row r="1841" spans="2:11" ht="13.5" customHeight="1">
      <c r="B1841" s="209" t="s">
        <v>365</v>
      </c>
      <c r="C1841" s="209" t="s">
        <v>2584</v>
      </c>
      <c r="D1841" s="449" t="s">
        <v>136</v>
      </c>
      <c r="E1841" s="273">
        <v>0</v>
      </c>
      <c r="F1841" s="274"/>
      <c r="G1841" s="274">
        <f t="shared" si="7"/>
        <v>0</v>
      </c>
      <c r="H1841" s="274">
        <v>0</v>
      </c>
      <c r="K1841" s="274"/>
    </row>
    <row r="1842" spans="2:11" ht="13.5" customHeight="1">
      <c r="B1842" s="209" t="s">
        <v>365</v>
      </c>
      <c r="C1842" s="209" t="s">
        <v>2584</v>
      </c>
      <c r="D1842" s="450" t="s">
        <v>137</v>
      </c>
      <c r="E1842" s="273">
        <v>0</v>
      </c>
      <c r="F1842" s="274"/>
      <c r="G1842" s="274">
        <f t="shared" si="7"/>
        <v>0</v>
      </c>
      <c r="H1842" s="274">
        <v>0</v>
      </c>
      <c r="K1842" s="274"/>
    </row>
    <row r="1843" spans="2:11" ht="13.5" customHeight="1">
      <c r="B1843" s="209" t="s">
        <v>365</v>
      </c>
      <c r="C1843" s="209" t="s">
        <v>2584</v>
      </c>
      <c r="D1843" s="451" t="s">
        <v>138</v>
      </c>
      <c r="E1843" s="273">
        <v>0</v>
      </c>
      <c r="F1843" s="274"/>
      <c r="G1843" s="274">
        <f t="shared" si="7"/>
        <v>0</v>
      </c>
      <c r="H1843" s="274">
        <v>0</v>
      </c>
      <c r="K1843" s="274"/>
    </row>
    <row r="1844" spans="2:11" ht="13.5" customHeight="1">
      <c r="B1844" s="209" t="s">
        <v>365</v>
      </c>
      <c r="C1844" s="209" t="s">
        <v>2584</v>
      </c>
      <c r="D1844" s="452" t="s">
        <v>139</v>
      </c>
      <c r="E1844" s="273">
        <v>0</v>
      </c>
      <c r="F1844" s="274"/>
      <c r="G1844" s="274">
        <f t="shared" si="7"/>
        <v>0</v>
      </c>
      <c r="H1844" s="274">
        <v>0</v>
      </c>
      <c r="K1844" s="274"/>
    </row>
    <row r="1845" spans="2:11" ht="13.5" customHeight="1">
      <c r="B1845" s="209" t="s">
        <v>365</v>
      </c>
      <c r="C1845" s="209" t="s">
        <v>2584</v>
      </c>
      <c r="D1845" s="216" t="s">
        <v>140</v>
      </c>
      <c r="E1845" s="273">
        <v>0</v>
      </c>
      <c r="F1845" s="274"/>
      <c r="G1845" s="274">
        <f t="shared" si="7"/>
        <v>0</v>
      </c>
      <c r="H1845" s="274">
        <v>0</v>
      </c>
      <c r="K1845" s="274"/>
    </row>
    <row r="1846" spans="2:11" ht="13.5" customHeight="1">
      <c r="B1846" s="209" t="s">
        <v>365</v>
      </c>
      <c r="C1846" s="209" t="s">
        <v>2584</v>
      </c>
      <c r="D1846" s="453" t="s">
        <v>141</v>
      </c>
      <c r="E1846" s="273">
        <v>0</v>
      </c>
      <c r="F1846" s="274"/>
      <c r="G1846" s="274">
        <f t="shared" si="7"/>
        <v>0</v>
      </c>
      <c r="H1846" s="274">
        <v>0</v>
      </c>
      <c r="K1846" s="274"/>
    </row>
    <row r="1847" spans="2:11" ht="13.5" customHeight="1">
      <c r="B1847" s="209" t="s">
        <v>280</v>
      </c>
      <c r="C1847" s="209" t="s">
        <v>2585</v>
      </c>
      <c r="D1847" s="446" t="s">
        <v>133</v>
      </c>
      <c r="E1847" s="273">
        <v>0</v>
      </c>
      <c r="F1847" s="274"/>
      <c r="G1847" s="274">
        <f t="shared" si="7"/>
        <v>0</v>
      </c>
      <c r="H1847" s="274">
        <v>0</v>
      </c>
      <c r="K1847" s="274"/>
    </row>
    <row r="1848" spans="2:11" ht="13.5" customHeight="1">
      <c r="B1848" s="209" t="s">
        <v>280</v>
      </c>
      <c r="C1848" s="209" t="s">
        <v>2585</v>
      </c>
      <c r="D1848" s="447" t="s">
        <v>134</v>
      </c>
      <c r="E1848" s="273">
        <v>0</v>
      </c>
      <c r="F1848" s="274"/>
      <c r="G1848" s="274">
        <f t="shared" si="7"/>
        <v>0</v>
      </c>
      <c r="H1848" s="274">
        <v>0</v>
      </c>
      <c r="K1848" s="274"/>
    </row>
    <row r="1849" spans="2:11" ht="13.5" customHeight="1">
      <c r="B1849" s="209" t="s">
        <v>280</v>
      </c>
      <c r="C1849" s="209" t="s">
        <v>2585</v>
      </c>
      <c r="D1849" s="448" t="s">
        <v>135</v>
      </c>
      <c r="E1849" s="273">
        <v>0</v>
      </c>
      <c r="F1849" s="274"/>
      <c r="G1849" s="274">
        <f t="shared" si="7"/>
        <v>0</v>
      </c>
      <c r="H1849" s="274">
        <v>0</v>
      </c>
      <c r="K1849" s="274"/>
    </row>
    <row r="1850" spans="2:11" ht="13.5" customHeight="1">
      <c r="B1850" s="209" t="s">
        <v>280</v>
      </c>
      <c r="C1850" s="209" t="s">
        <v>2585</v>
      </c>
      <c r="D1850" s="449" t="s">
        <v>136</v>
      </c>
      <c r="E1850" s="273">
        <v>0</v>
      </c>
      <c r="F1850" s="274"/>
      <c r="G1850" s="274">
        <f t="shared" si="7"/>
        <v>0</v>
      </c>
      <c r="H1850" s="274">
        <v>0</v>
      </c>
      <c r="K1850" s="274"/>
    </row>
    <row r="1851" spans="2:11" ht="13.5" customHeight="1">
      <c r="B1851" s="209" t="s">
        <v>280</v>
      </c>
      <c r="C1851" s="209" t="s">
        <v>2585</v>
      </c>
      <c r="D1851" s="450" t="s">
        <v>137</v>
      </c>
      <c r="E1851" s="273">
        <v>0</v>
      </c>
      <c r="F1851" s="274"/>
      <c r="G1851" s="274">
        <f t="shared" si="7"/>
        <v>0</v>
      </c>
      <c r="H1851" s="274">
        <v>0</v>
      </c>
      <c r="K1851" s="274"/>
    </row>
    <row r="1852" spans="2:11" ht="13.5" customHeight="1">
      <c r="B1852" s="209" t="s">
        <v>280</v>
      </c>
      <c r="C1852" s="209" t="s">
        <v>2585</v>
      </c>
      <c r="D1852" s="451" t="s">
        <v>138</v>
      </c>
      <c r="E1852" s="273">
        <v>0</v>
      </c>
      <c r="F1852" s="274"/>
      <c r="G1852" s="274">
        <f t="shared" si="7"/>
        <v>0</v>
      </c>
      <c r="H1852" s="274">
        <v>0</v>
      </c>
      <c r="K1852" s="274"/>
    </row>
    <row r="1853" spans="2:11" ht="13.5" customHeight="1">
      <c r="B1853" s="209" t="s">
        <v>280</v>
      </c>
      <c r="C1853" s="209" t="s">
        <v>2585</v>
      </c>
      <c r="D1853" s="452" t="s">
        <v>139</v>
      </c>
      <c r="E1853" s="273">
        <v>0</v>
      </c>
      <c r="F1853" s="274"/>
      <c r="G1853" s="274">
        <f t="shared" si="7"/>
        <v>0</v>
      </c>
      <c r="H1853" s="274">
        <v>0</v>
      </c>
      <c r="K1853" s="274"/>
    </row>
    <row r="1854" spans="2:11" ht="13.5" customHeight="1">
      <c r="B1854" s="209" t="s">
        <v>280</v>
      </c>
      <c r="C1854" s="209" t="s">
        <v>2585</v>
      </c>
      <c r="D1854" s="216" t="s">
        <v>140</v>
      </c>
      <c r="E1854" s="273">
        <v>0</v>
      </c>
      <c r="F1854" s="274"/>
      <c r="G1854" s="274">
        <f t="shared" si="7"/>
        <v>0</v>
      </c>
      <c r="H1854" s="274">
        <v>0</v>
      </c>
      <c r="K1854" s="274"/>
    </row>
    <row r="1855" spans="2:11" ht="13.5" customHeight="1">
      <c r="B1855" s="209" t="s">
        <v>280</v>
      </c>
      <c r="C1855" s="209" t="s">
        <v>2585</v>
      </c>
      <c r="D1855" s="453" t="s">
        <v>141</v>
      </c>
      <c r="E1855" s="273">
        <v>0</v>
      </c>
      <c r="F1855" s="274"/>
      <c r="G1855" s="274">
        <f t="shared" si="7"/>
        <v>0</v>
      </c>
      <c r="H1855" s="274">
        <v>0</v>
      </c>
      <c r="K1855" s="274"/>
    </row>
    <row r="1856" spans="2:11" ht="13.5" customHeight="1">
      <c r="B1856" s="209" t="s">
        <v>1016</v>
      </c>
      <c r="C1856" s="209" t="s">
        <v>2586</v>
      </c>
      <c r="D1856" s="446" t="s">
        <v>133</v>
      </c>
      <c r="E1856" s="273">
        <v>0</v>
      </c>
      <c r="F1856" s="274"/>
      <c r="G1856" s="274">
        <f t="shared" si="7"/>
        <v>0</v>
      </c>
      <c r="H1856" s="274">
        <v>0</v>
      </c>
      <c r="K1856" s="274"/>
    </row>
    <row r="1857" spans="2:11" ht="13.5" customHeight="1">
      <c r="B1857" s="209" t="s">
        <v>1016</v>
      </c>
      <c r="C1857" s="209" t="s">
        <v>2586</v>
      </c>
      <c r="D1857" s="447" t="s">
        <v>134</v>
      </c>
      <c r="E1857" s="273">
        <v>0</v>
      </c>
      <c r="F1857" s="274"/>
      <c r="G1857" s="274">
        <f t="shared" si="7"/>
        <v>0</v>
      </c>
      <c r="H1857" s="274">
        <v>0</v>
      </c>
      <c r="K1857" s="274"/>
    </row>
    <row r="1858" spans="2:11" ht="13.5" customHeight="1">
      <c r="B1858" s="209" t="s">
        <v>1016</v>
      </c>
      <c r="C1858" s="209" t="s">
        <v>2586</v>
      </c>
      <c r="D1858" s="448" t="s">
        <v>135</v>
      </c>
      <c r="E1858" s="273">
        <v>0</v>
      </c>
      <c r="F1858" s="274"/>
      <c r="G1858" s="274">
        <f t="shared" si="7"/>
        <v>0</v>
      </c>
      <c r="H1858" s="274">
        <v>0</v>
      </c>
      <c r="K1858" s="274"/>
    </row>
    <row r="1859" spans="2:11" ht="13.5" customHeight="1">
      <c r="B1859" s="209" t="s">
        <v>1016</v>
      </c>
      <c r="C1859" s="209" t="s">
        <v>2586</v>
      </c>
      <c r="D1859" s="449" t="s">
        <v>136</v>
      </c>
      <c r="E1859" s="273">
        <v>0</v>
      </c>
      <c r="F1859" s="274"/>
      <c r="G1859" s="274">
        <f t="shared" si="7"/>
        <v>0</v>
      </c>
      <c r="H1859" s="274">
        <v>0</v>
      </c>
      <c r="K1859" s="274"/>
    </row>
    <row r="1860" spans="2:11" ht="13.5" customHeight="1">
      <c r="B1860" s="209" t="s">
        <v>1016</v>
      </c>
      <c r="C1860" s="209" t="s">
        <v>2586</v>
      </c>
      <c r="D1860" s="450" t="s">
        <v>137</v>
      </c>
      <c r="E1860" s="273">
        <v>0</v>
      </c>
      <c r="F1860" s="274"/>
      <c r="G1860" s="274">
        <f t="shared" si="7"/>
        <v>0</v>
      </c>
      <c r="H1860" s="274">
        <v>0</v>
      </c>
      <c r="K1860" s="274"/>
    </row>
    <row r="1861" spans="2:11" ht="13.5" customHeight="1">
      <c r="B1861" s="209" t="s">
        <v>1016</v>
      </c>
      <c r="C1861" s="209" t="s">
        <v>2586</v>
      </c>
      <c r="D1861" s="451" t="s">
        <v>138</v>
      </c>
      <c r="E1861" s="273">
        <v>0</v>
      </c>
      <c r="F1861" s="274"/>
      <c r="G1861" s="274">
        <f t="shared" si="7"/>
        <v>0</v>
      </c>
      <c r="H1861" s="274">
        <v>0</v>
      </c>
      <c r="K1861" s="274"/>
    </row>
    <row r="1862" spans="2:11" ht="13.5" customHeight="1">
      <c r="B1862" s="209" t="s">
        <v>1016</v>
      </c>
      <c r="C1862" s="209" t="s">
        <v>2586</v>
      </c>
      <c r="D1862" s="452" t="s">
        <v>139</v>
      </c>
      <c r="E1862" s="273">
        <v>0</v>
      </c>
      <c r="F1862" s="274"/>
      <c r="G1862" s="274">
        <f t="shared" si="7"/>
        <v>0</v>
      </c>
      <c r="H1862" s="274">
        <v>0</v>
      </c>
      <c r="K1862" s="274"/>
    </row>
    <row r="1863" spans="2:11" ht="13.5" customHeight="1">
      <c r="B1863" s="209" t="s">
        <v>1016</v>
      </c>
      <c r="C1863" s="209" t="s">
        <v>2586</v>
      </c>
      <c r="D1863" s="216" t="s">
        <v>140</v>
      </c>
      <c r="E1863" s="273">
        <v>0</v>
      </c>
      <c r="F1863" s="274"/>
      <c r="G1863" s="274">
        <f t="shared" si="7"/>
        <v>0</v>
      </c>
      <c r="H1863" s="274">
        <v>0</v>
      </c>
      <c r="K1863" s="274"/>
    </row>
    <row r="1864" spans="2:11" ht="13.5" customHeight="1">
      <c r="B1864" s="209" t="s">
        <v>1016</v>
      </c>
      <c r="C1864" s="209" t="s">
        <v>2586</v>
      </c>
      <c r="D1864" s="453" t="s">
        <v>141</v>
      </c>
      <c r="E1864" s="273">
        <v>0</v>
      </c>
      <c r="F1864" s="274"/>
      <c r="G1864" s="274">
        <f t="shared" si="7"/>
        <v>0</v>
      </c>
      <c r="H1864" s="274">
        <v>0</v>
      </c>
      <c r="K1864" s="274"/>
    </row>
    <row r="1865" spans="2:11" ht="13.5" customHeight="1">
      <c r="B1865" s="209" t="s">
        <v>1034</v>
      </c>
      <c r="C1865" s="209" t="s">
        <v>2587</v>
      </c>
      <c r="D1865" s="446" t="s">
        <v>133</v>
      </c>
      <c r="E1865" s="273">
        <v>0</v>
      </c>
      <c r="F1865" s="274"/>
      <c r="G1865" s="274">
        <f t="shared" si="7"/>
        <v>0</v>
      </c>
      <c r="H1865" s="274">
        <v>0</v>
      </c>
      <c r="K1865" s="274"/>
    </row>
    <row r="1866" spans="2:11" ht="13.5" customHeight="1">
      <c r="B1866" s="209" t="s">
        <v>1034</v>
      </c>
      <c r="C1866" s="209" t="s">
        <v>2587</v>
      </c>
      <c r="D1866" s="447" t="s">
        <v>134</v>
      </c>
      <c r="E1866" s="273">
        <v>0</v>
      </c>
      <c r="F1866" s="274"/>
      <c r="G1866" s="274">
        <f t="shared" si="7"/>
        <v>0</v>
      </c>
      <c r="H1866" s="274">
        <v>0</v>
      </c>
      <c r="K1866" s="274"/>
    </row>
    <row r="1867" spans="2:11" ht="13.5" customHeight="1">
      <c r="B1867" s="209" t="s">
        <v>1034</v>
      </c>
      <c r="C1867" s="209" t="s">
        <v>2587</v>
      </c>
      <c r="D1867" s="448" t="s">
        <v>135</v>
      </c>
      <c r="E1867" s="273">
        <v>0</v>
      </c>
      <c r="F1867" s="274"/>
      <c r="G1867" s="274">
        <f t="shared" si="7"/>
        <v>0</v>
      </c>
      <c r="H1867" s="274">
        <v>0</v>
      </c>
      <c r="K1867" s="274"/>
    </row>
    <row r="1868" spans="2:11" ht="13.5" customHeight="1">
      <c r="B1868" s="209" t="s">
        <v>1034</v>
      </c>
      <c r="C1868" s="209" t="s">
        <v>2587</v>
      </c>
      <c r="D1868" s="449" t="s">
        <v>136</v>
      </c>
      <c r="E1868" s="273">
        <v>0</v>
      </c>
      <c r="F1868" s="274"/>
      <c r="G1868" s="274">
        <f t="shared" si="7"/>
        <v>0</v>
      </c>
      <c r="H1868" s="274">
        <v>0</v>
      </c>
      <c r="K1868" s="274"/>
    </row>
    <row r="1869" spans="2:11" ht="13.5" customHeight="1">
      <c r="B1869" s="209" t="s">
        <v>1034</v>
      </c>
      <c r="C1869" s="209" t="s">
        <v>2587</v>
      </c>
      <c r="D1869" s="450" t="s">
        <v>137</v>
      </c>
      <c r="E1869" s="273">
        <v>0</v>
      </c>
      <c r="F1869" s="274"/>
      <c r="G1869" s="274">
        <f t="shared" si="7"/>
        <v>0</v>
      </c>
      <c r="H1869" s="274">
        <v>0</v>
      </c>
      <c r="K1869" s="274"/>
    </row>
    <row r="1870" spans="2:11" ht="13.5" customHeight="1">
      <c r="B1870" s="209" t="s">
        <v>1034</v>
      </c>
      <c r="C1870" s="209" t="s">
        <v>2587</v>
      </c>
      <c r="D1870" s="451" t="s">
        <v>138</v>
      </c>
      <c r="E1870" s="273">
        <v>0</v>
      </c>
      <c r="F1870" s="274"/>
      <c r="G1870" s="274">
        <f t="shared" si="7"/>
        <v>0</v>
      </c>
      <c r="H1870" s="274">
        <v>0</v>
      </c>
      <c r="K1870" s="274"/>
    </row>
    <row r="1871" spans="2:11" ht="13.5" customHeight="1">
      <c r="B1871" s="209" t="s">
        <v>1034</v>
      </c>
      <c r="C1871" s="209" t="s">
        <v>2587</v>
      </c>
      <c r="D1871" s="452" t="s">
        <v>139</v>
      </c>
      <c r="E1871" s="273">
        <v>0</v>
      </c>
      <c r="F1871" s="274"/>
      <c r="G1871" s="274">
        <f t="shared" si="7"/>
        <v>0</v>
      </c>
      <c r="H1871" s="274">
        <v>0</v>
      </c>
      <c r="K1871" s="274"/>
    </row>
    <row r="1872" spans="2:11" ht="13.5" customHeight="1">
      <c r="B1872" s="209" t="s">
        <v>1034</v>
      </c>
      <c r="C1872" s="209" t="s">
        <v>2587</v>
      </c>
      <c r="D1872" s="216" t="s">
        <v>140</v>
      </c>
      <c r="E1872" s="273">
        <v>0</v>
      </c>
      <c r="F1872" s="274"/>
      <c r="G1872" s="274">
        <f t="shared" si="7"/>
        <v>0</v>
      </c>
      <c r="H1872" s="274">
        <v>0</v>
      </c>
      <c r="K1872" s="274"/>
    </row>
    <row r="1873" spans="2:11" ht="13.5" customHeight="1">
      <c r="B1873" s="209" t="s">
        <v>1034</v>
      </c>
      <c r="C1873" s="209" t="s">
        <v>2587</v>
      </c>
      <c r="D1873" s="453" t="s">
        <v>141</v>
      </c>
      <c r="E1873" s="273">
        <v>0</v>
      </c>
      <c r="F1873" s="274"/>
      <c r="G1873" s="274">
        <f t="shared" si="7"/>
        <v>0</v>
      </c>
      <c r="H1873" s="274">
        <v>0</v>
      </c>
      <c r="K1873" s="274"/>
    </row>
    <row r="1874" spans="2:11" ht="13.5" customHeight="1">
      <c r="B1874" s="209" t="s">
        <v>337</v>
      </c>
      <c r="C1874" s="209" t="s">
        <v>2588</v>
      </c>
      <c r="D1874" s="446" t="s">
        <v>133</v>
      </c>
      <c r="E1874" s="273">
        <v>0</v>
      </c>
      <c r="F1874" s="274"/>
      <c r="G1874" s="274">
        <f t="shared" si="7"/>
        <v>0</v>
      </c>
      <c r="H1874" s="274">
        <v>0</v>
      </c>
      <c r="K1874" s="274"/>
    </row>
    <row r="1875" spans="2:11" ht="13.5" customHeight="1">
      <c r="B1875" s="209" t="s">
        <v>337</v>
      </c>
      <c r="C1875" s="209" t="s">
        <v>2588</v>
      </c>
      <c r="D1875" s="447" t="s">
        <v>134</v>
      </c>
      <c r="E1875" s="273">
        <v>0</v>
      </c>
      <c r="F1875" s="274"/>
      <c r="G1875" s="274">
        <f t="shared" si="7"/>
        <v>0</v>
      </c>
      <c r="H1875" s="274">
        <v>0</v>
      </c>
      <c r="K1875" s="274"/>
    </row>
    <row r="1876" spans="2:11" ht="13.5" customHeight="1">
      <c r="B1876" s="209" t="s">
        <v>337</v>
      </c>
      <c r="C1876" s="209" t="s">
        <v>2588</v>
      </c>
      <c r="D1876" s="448" t="s">
        <v>135</v>
      </c>
      <c r="E1876" s="273">
        <v>0</v>
      </c>
      <c r="F1876" s="274"/>
      <c r="G1876" s="274">
        <f t="shared" si="7"/>
        <v>0</v>
      </c>
      <c r="H1876" s="274">
        <v>0</v>
      </c>
      <c r="K1876" s="274"/>
    </row>
    <row r="1877" spans="2:11" ht="13.5" customHeight="1">
      <c r="B1877" s="209" t="s">
        <v>337</v>
      </c>
      <c r="C1877" s="209" t="s">
        <v>2588</v>
      </c>
      <c r="D1877" s="449" t="s">
        <v>136</v>
      </c>
      <c r="E1877" s="273">
        <v>0</v>
      </c>
      <c r="F1877" s="274"/>
      <c r="G1877" s="274">
        <f t="shared" si="7"/>
        <v>0</v>
      </c>
      <c r="H1877" s="274">
        <v>0</v>
      </c>
      <c r="K1877" s="274"/>
    </row>
    <row r="1878" spans="2:11" ht="13.5" customHeight="1">
      <c r="B1878" s="209" t="s">
        <v>337</v>
      </c>
      <c r="C1878" s="209" t="s">
        <v>2588</v>
      </c>
      <c r="D1878" s="450" t="s">
        <v>137</v>
      </c>
      <c r="E1878" s="273">
        <v>0</v>
      </c>
      <c r="F1878" s="274"/>
      <c r="G1878" s="274">
        <f t="shared" si="7"/>
        <v>0</v>
      </c>
      <c r="H1878" s="274">
        <v>0</v>
      </c>
      <c r="K1878" s="274"/>
    </row>
    <row r="1879" spans="2:11" ht="13.5" customHeight="1">
      <c r="B1879" s="209" t="s">
        <v>337</v>
      </c>
      <c r="C1879" s="209" t="s">
        <v>2588</v>
      </c>
      <c r="D1879" s="451" t="s">
        <v>138</v>
      </c>
      <c r="E1879" s="273">
        <v>0</v>
      </c>
      <c r="F1879" s="274"/>
      <c r="G1879" s="274">
        <f t="shared" si="7"/>
        <v>0</v>
      </c>
      <c r="H1879" s="274">
        <v>0</v>
      </c>
      <c r="K1879" s="274"/>
    </row>
    <row r="1880" spans="2:11" ht="13.5" customHeight="1">
      <c r="B1880" s="209" t="s">
        <v>337</v>
      </c>
      <c r="C1880" s="209" t="s">
        <v>2588</v>
      </c>
      <c r="D1880" s="452" t="s">
        <v>139</v>
      </c>
      <c r="E1880" s="273">
        <v>0</v>
      </c>
      <c r="F1880" s="274"/>
      <c r="G1880" s="274">
        <f t="shared" si="7"/>
        <v>0</v>
      </c>
      <c r="H1880" s="274">
        <v>0</v>
      </c>
      <c r="K1880" s="274"/>
    </row>
    <row r="1881" spans="2:11" ht="13.5" customHeight="1">
      <c r="B1881" s="209" t="s">
        <v>337</v>
      </c>
      <c r="C1881" s="209" t="s">
        <v>2588</v>
      </c>
      <c r="D1881" s="216" t="s">
        <v>140</v>
      </c>
      <c r="E1881" s="273">
        <v>0</v>
      </c>
      <c r="F1881" s="274"/>
      <c r="G1881" s="274">
        <f t="shared" si="7"/>
        <v>0</v>
      </c>
      <c r="H1881" s="274">
        <v>0</v>
      </c>
      <c r="K1881" s="274"/>
    </row>
    <row r="1882" spans="2:11" ht="13.5" customHeight="1">
      <c r="B1882" s="209" t="s">
        <v>337</v>
      </c>
      <c r="C1882" s="209" t="s">
        <v>2588</v>
      </c>
      <c r="D1882" s="453" t="s">
        <v>141</v>
      </c>
      <c r="E1882" s="273">
        <v>0</v>
      </c>
      <c r="F1882" s="274"/>
      <c r="G1882" s="274">
        <f t="shared" si="7"/>
        <v>0</v>
      </c>
      <c r="H1882" s="274">
        <v>0</v>
      </c>
      <c r="K1882" s="274"/>
    </row>
    <row r="1883" spans="2:11" ht="13.5" customHeight="1">
      <c r="B1883" s="209" t="s">
        <v>339</v>
      </c>
      <c r="C1883" s="209" t="s">
        <v>2589</v>
      </c>
      <c r="D1883" s="446" t="s">
        <v>133</v>
      </c>
      <c r="E1883" s="273">
        <v>0</v>
      </c>
      <c r="F1883" s="274"/>
      <c r="G1883" s="274">
        <f t="shared" si="7"/>
        <v>0</v>
      </c>
      <c r="H1883" s="274">
        <v>0</v>
      </c>
      <c r="K1883" s="274"/>
    </row>
    <row r="1884" spans="2:11" ht="13.5" customHeight="1">
      <c r="B1884" s="209" t="s">
        <v>339</v>
      </c>
      <c r="C1884" s="209" t="s">
        <v>2589</v>
      </c>
      <c r="D1884" s="447" t="s">
        <v>134</v>
      </c>
      <c r="E1884" s="273">
        <v>0</v>
      </c>
      <c r="F1884" s="274"/>
      <c r="G1884" s="274">
        <f t="shared" si="7"/>
        <v>0</v>
      </c>
      <c r="H1884" s="274">
        <v>0</v>
      </c>
      <c r="K1884" s="274"/>
    </row>
    <row r="1885" spans="2:11" ht="13.5" customHeight="1">
      <c r="B1885" s="209" t="s">
        <v>339</v>
      </c>
      <c r="C1885" s="209" t="s">
        <v>2589</v>
      </c>
      <c r="D1885" s="448" t="s">
        <v>135</v>
      </c>
      <c r="E1885" s="273">
        <v>0</v>
      </c>
      <c r="F1885" s="274"/>
      <c r="G1885" s="274">
        <f t="shared" si="7"/>
        <v>0</v>
      </c>
      <c r="H1885" s="274">
        <v>0</v>
      </c>
      <c r="K1885" s="274"/>
    </row>
    <row r="1886" spans="2:11" ht="13.5" customHeight="1">
      <c r="B1886" s="209" t="s">
        <v>339</v>
      </c>
      <c r="C1886" s="209" t="s">
        <v>2589</v>
      </c>
      <c r="D1886" s="449" t="s">
        <v>136</v>
      </c>
      <c r="E1886" s="273">
        <v>0</v>
      </c>
      <c r="F1886" s="274"/>
      <c r="G1886" s="274">
        <f t="shared" si="7"/>
        <v>0</v>
      </c>
      <c r="H1886" s="274">
        <v>0</v>
      </c>
      <c r="K1886" s="274"/>
    </row>
    <row r="1887" spans="2:11" ht="13.5" customHeight="1">
      <c r="B1887" s="209" t="s">
        <v>339</v>
      </c>
      <c r="C1887" s="209" t="s">
        <v>2589</v>
      </c>
      <c r="D1887" s="450" t="s">
        <v>137</v>
      </c>
      <c r="E1887" s="273">
        <v>0</v>
      </c>
      <c r="F1887" s="274"/>
      <c r="G1887" s="274">
        <f t="shared" si="7"/>
        <v>0</v>
      </c>
      <c r="H1887" s="274">
        <v>0</v>
      </c>
      <c r="K1887" s="274"/>
    </row>
    <row r="1888" spans="2:11" ht="13.5" customHeight="1">
      <c r="B1888" s="209" t="s">
        <v>339</v>
      </c>
      <c r="C1888" s="209" t="s">
        <v>2589</v>
      </c>
      <c r="D1888" s="451" t="s">
        <v>138</v>
      </c>
      <c r="E1888" s="273">
        <v>0</v>
      </c>
      <c r="F1888" s="274"/>
      <c r="G1888" s="274">
        <f t="shared" si="7"/>
        <v>0</v>
      </c>
      <c r="H1888" s="274">
        <v>0</v>
      </c>
      <c r="K1888" s="274"/>
    </row>
    <row r="1889" spans="2:11" ht="13.5" customHeight="1">
      <c r="B1889" s="209" t="s">
        <v>339</v>
      </c>
      <c r="C1889" s="209" t="s">
        <v>2589</v>
      </c>
      <c r="D1889" s="452" t="s">
        <v>139</v>
      </c>
      <c r="E1889" s="273">
        <v>0</v>
      </c>
      <c r="F1889" s="274"/>
      <c r="G1889" s="274">
        <f t="shared" si="7"/>
        <v>0</v>
      </c>
      <c r="H1889" s="274">
        <v>0</v>
      </c>
      <c r="K1889" s="274"/>
    </row>
    <row r="1890" spans="2:11" ht="13.5" customHeight="1">
      <c r="B1890" s="209" t="s">
        <v>339</v>
      </c>
      <c r="C1890" s="209" t="s">
        <v>2589</v>
      </c>
      <c r="D1890" s="216" t="s">
        <v>140</v>
      </c>
      <c r="E1890" s="273">
        <v>0</v>
      </c>
      <c r="F1890" s="274"/>
      <c r="G1890" s="274">
        <f t="shared" si="7"/>
        <v>0</v>
      </c>
      <c r="H1890" s="274">
        <v>0</v>
      </c>
      <c r="K1890" s="274"/>
    </row>
    <row r="1891" spans="2:11" ht="13.5" customHeight="1">
      <c r="B1891" s="209" t="s">
        <v>339</v>
      </c>
      <c r="C1891" s="209" t="s">
        <v>2589</v>
      </c>
      <c r="D1891" s="453" t="s">
        <v>141</v>
      </c>
      <c r="E1891" s="273">
        <v>0</v>
      </c>
      <c r="F1891" s="274"/>
      <c r="G1891" s="274">
        <f t="shared" si="7"/>
        <v>0</v>
      </c>
      <c r="H1891" s="274">
        <v>0</v>
      </c>
      <c r="K1891" s="274"/>
    </row>
    <row r="1892" spans="2:11" ht="13.5" customHeight="1">
      <c r="B1892" s="209" t="s">
        <v>341</v>
      </c>
      <c r="C1892" s="209" t="s">
        <v>2590</v>
      </c>
      <c r="D1892" s="446" t="s">
        <v>133</v>
      </c>
      <c r="E1892" s="273">
        <v>0</v>
      </c>
      <c r="F1892" s="274"/>
      <c r="G1892" s="274">
        <f t="shared" si="7"/>
        <v>0</v>
      </c>
      <c r="H1892" s="274">
        <v>0</v>
      </c>
      <c r="K1892" s="274"/>
    </row>
    <row r="1893" spans="2:11" ht="13.5" customHeight="1">
      <c r="B1893" s="209" t="s">
        <v>341</v>
      </c>
      <c r="C1893" s="209" t="s">
        <v>2590</v>
      </c>
      <c r="D1893" s="447" t="s">
        <v>134</v>
      </c>
      <c r="E1893" s="273">
        <v>0</v>
      </c>
      <c r="F1893" s="274"/>
      <c r="G1893" s="274">
        <f t="shared" si="7"/>
        <v>0</v>
      </c>
      <c r="H1893" s="274">
        <v>0</v>
      </c>
      <c r="K1893" s="274"/>
    </row>
    <row r="1894" spans="2:11" ht="13.5" customHeight="1">
      <c r="B1894" s="209" t="s">
        <v>341</v>
      </c>
      <c r="C1894" s="209" t="s">
        <v>2590</v>
      </c>
      <c r="D1894" s="448" t="s">
        <v>135</v>
      </c>
      <c r="E1894" s="273">
        <v>0</v>
      </c>
      <c r="F1894" s="274"/>
      <c r="G1894" s="274">
        <f t="shared" si="7"/>
        <v>0</v>
      </c>
      <c r="H1894" s="274">
        <v>0</v>
      </c>
      <c r="K1894" s="274"/>
    </row>
    <row r="1895" spans="2:11" ht="13.5" customHeight="1">
      <c r="B1895" s="209" t="s">
        <v>341</v>
      </c>
      <c r="C1895" s="209" t="s">
        <v>2590</v>
      </c>
      <c r="D1895" s="449" t="s">
        <v>136</v>
      </c>
      <c r="E1895" s="273">
        <v>0</v>
      </c>
      <c r="F1895" s="274"/>
      <c r="G1895" s="274">
        <f t="shared" si="7"/>
        <v>0</v>
      </c>
      <c r="H1895" s="274">
        <v>0</v>
      </c>
      <c r="K1895" s="274"/>
    </row>
    <row r="1896" spans="2:11" ht="13.5" customHeight="1">
      <c r="B1896" s="209" t="s">
        <v>341</v>
      </c>
      <c r="C1896" s="209" t="s">
        <v>2590</v>
      </c>
      <c r="D1896" s="450" t="s">
        <v>137</v>
      </c>
      <c r="E1896" s="273">
        <v>0</v>
      </c>
      <c r="F1896" s="274"/>
      <c r="G1896" s="274">
        <f t="shared" si="7"/>
        <v>0</v>
      </c>
      <c r="H1896" s="274">
        <v>0</v>
      </c>
      <c r="K1896" s="274"/>
    </row>
    <row r="1897" spans="2:11" ht="13.5" customHeight="1">
      <c r="B1897" s="209" t="s">
        <v>341</v>
      </c>
      <c r="C1897" s="209" t="s">
        <v>2590</v>
      </c>
      <c r="D1897" s="451" t="s">
        <v>138</v>
      </c>
      <c r="E1897" s="273">
        <v>0</v>
      </c>
      <c r="F1897" s="274"/>
      <c r="G1897" s="274">
        <f t="shared" si="7"/>
        <v>0</v>
      </c>
      <c r="H1897" s="274">
        <v>0</v>
      </c>
      <c r="K1897" s="274"/>
    </row>
    <row r="1898" spans="2:11" ht="13.5" customHeight="1">
      <c r="B1898" s="209" t="s">
        <v>341</v>
      </c>
      <c r="C1898" s="209" t="s">
        <v>2590</v>
      </c>
      <c r="D1898" s="452" t="s">
        <v>139</v>
      </c>
      <c r="E1898" s="273">
        <v>0</v>
      </c>
      <c r="F1898" s="274"/>
      <c r="G1898" s="274">
        <f t="shared" si="7"/>
        <v>0</v>
      </c>
      <c r="H1898" s="274">
        <v>0</v>
      </c>
      <c r="K1898" s="274"/>
    </row>
    <row r="1899" spans="2:11" ht="13.5" customHeight="1">
      <c r="B1899" s="209" t="s">
        <v>341</v>
      </c>
      <c r="C1899" s="209" t="s">
        <v>2590</v>
      </c>
      <c r="D1899" s="216" t="s">
        <v>140</v>
      </c>
      <c r="E1899" s="273">
        <v>0</v>
      </c>
      <c r="F1899" s="274"/>
      <c r="G1899" s="274">
        <f t="shared" si="7"/>
        <v>0</v>
      </c>
      <c r="H1899" s="274">
        <v>0</v>
      </c>
      <c r="K1899" s="274"/>
    </row>
    <row r="1900" spans="2:11" ht="13.5" customHeight="1">
      <c r="B1900" s="209" t="s">
        <v>341</v>
      </c>
      <c r="C1900" s="209" t="s">
        <v>2590</v>
      </c>
      <c r="D1900" s="453" t="s">
        <v>141</v>
      </c>
      <c r="E1900" s="273">
        <v>0</v>
      </c>
      <c r="F1900" s="274"/>
      <c r="G1900" s="274">
        <f t="shared" si="7"/>
        <v>0</v>
      </c>
      <c r="H1900" s="274">
        <v>0</v>
      </c>
      <c r="K1900" s="274"/>
    </row>
    <row r="1901" spans="2:11" ht="13.5" customHeight="1">
      <c r="B1901" s="209" t="s">
        <v>1067</v>
      </c>
      <c r="C1901" s="209" t="s">
        <v>2591</v>
      </c>
      <c r="D1901" s="446" t="s">
        <v>133</v>
      </c>
      <c r="E1901" s="273">
        <v>0</v>
      </c>
      <c r="F1901" s="274"/>
      <c r="G1901" s="274">
        <f t="shared" si="7"/>
        <v>0</v>
      </c>
      <c r="H1901" s="274">
        <v>0</v>
      </c>
      <c r="K1901" s="274"/>
    </row>
    <row r="1902" spans="2:11" ht="13.5" customHeight="1">
      <c r="B1902" s="209" t="s">
        <v>1067</v>
      </c>
      <c r="C1902" s="209" t="s">
        <v>2591</v>
      </c>
      <c r="D1902" s="447" t="s">
        <v>134</v>
      </c>
      <c r="E1902" s="273">
        <v>0</v>
      </c>
      <c r="F1902" s="274"/>
      <c r="G1902" s="274">
        <f t="shared" si="7"/>
        <v>0</v>
      </c>
      <c r="H1902" s="274">
        <v>0</v>
      </c>
      <c r="K1902" s="274"/>
    </row>
    <row r="1903" spans="2:11" ht="13.5" customHeight="1">
      <c r="B1903" s="209" t="s">
        <v>1067</v>
      </c>
      <c r="C1903" s="209" t="s">
        <v>2591</v>
      </c>
      <c r="D1903" s="448" t="s">
        <v>135</v>
      </c>
      <c r="E1903" s="273">
        <v>0</v>
      </c>
      <c r="F1903" s="274"/>
      <c r="G1903" s="274">
        <f t="shared" si="7"/>
        <v>0</v>
      </c>
      <c r="H1903" s="274">
        <v>0</v>
      </c>
      <c r="K1903" s="274"/>
    </row>
    <row r="1904" spans="2:11" ht="13.5" customHeight="1">
      <c r="B1904" s="209" t="s">
        <v>1067</v>
      </c>
      <c r="C1904" s="209" t="s">
        <v>2591</v>
      </c>
      <c r="D1904" s="449" t="s">
        <v>136</v>
      </c>
      <c r="E1904" s="273">
        <v>0</v>
      </c>
      <c r="F1904" s="274"/>
      <c r="G1904" s="274">
        <f t="shared" si="7"/>
        <v>0</v>
      </c>
      <c r="H1904" s="274">
        <v>0</v>
      </c>
      <c r="K1904" s="274"/>
    </row>
    <row r="1905" spans="2:11" ht="13.5" customHeight="1">
      <c r="B1905" s="209" t="s">
        <v>1067</v>
      </c>
      <c r="C1905" s="209" t="s">
        <v>2591</v>
      </c>
      <c r="D1905" s="450" t="s">
        <v>137</v>
      </c>
      <c r="E1905" s="273">
        <v>0</v>
      </c>
      <c r="F1905" s="274"/>
      <c r="G1905" s="274">
        <f t="shared" si="7"/>
        <v>0</v>
      </c>
      <c r="H1905" s="274">
        <v>0</v>
      </c>
      <c r="K1905" s="274"/>
    </row>
    <row r="1906" spans="2:11" ht="13.5" customHeight="1">
      <c r="B1906" s="209" t="s">
        <v>1067</v>
      </c>
      <c r="C1906" s="209" t="s">
        <v>2591</v>
      </c>
      <c r="D1906" s="451" t="s">
        <v>138</v>
      </c>
      <c r="E1906" s="273">
        <v>0</v>
      </c>
      <c r="F1906" s="274"/>
      <c r="G1906" s="274">
        <f t="shared" si="7"/>
        <v>0</v>
      </c>
      <c r="H1906" s="274">
        <v>0</v>
      </c>
      <c r="K1906" s="274"/>
    </row>
    <row r="1907" spans="2:11" ht="13.5" customHeight="1">
      <c r="B1907" s="209" t="s">
        <v>1067</v>
      </c>
      <c r="C1907" s="209" t="s">
        <v>2591</v>
      </c>
      <c r="D1907" s="452" t="s">
        <v>139</v>
      </c>
      <c r="E1907" s="273">
        <v>0</v>
      </c>
      <c r="F1907" s="274"/>
      <c r="G1907" s="274">
        <f t="shared" si="7"/>
        <v>0</v>
      </c>
      <c r="H1907" s="274">
        <v>0</v>
      </c>
      <c r="K1907" s="274"/>
    </row>
    <row r="1908" spans="2:11" ht="13.5" customHeight="1">
      <c r="B1908" s="209" t="s">
        <v>1067</v>
      </c>
      <c r="C1908" s="209" t="s">
        <v>2591</v>
      </c>
      <c r="D1908" s="216" t="s">
        <v>140</v>
      </c>
      <c r="E1908" s="273">
        <v>0</v>
      </c>
      <c r="F1908" s="274"/>
      <c r="G1908" s="274">
        <f t="shared" si="7"/>
        <v>0</v>
      </c>
      <c r="H1908" s="274">
        <v>0</v>
      </c>
      <c r="K1908" s="274"/>
    </row>
    <row r="1909" spans="2:11" ht="13.5" customHeight="1">
      <c r="B1909" s="209" t="s">
        <v>1067</v>
      </c>
      <c r="C1909" s="209" t="s">
        <v>2591</v>
      </c>
      <c r="D1909" s="453" t="s">
        <v>141</v>
      </c>
      <c r="E1909" s="273">
        <v>0</v>
      </c>
      <c r="F1909" s="274"/>
      <c r="G1909" s="274">
        <f t="shared" si="7"/>
        <v>0</v>
      </c>
      <c r="H1909" s="274">
        <v>0</v>
      </c>
      <c r="K1909" s="274"/>
    </row>
    <row r="1910" spans="2:11" ht="13.5" customHeight="1">
      <c r="B1910" s="209" t="s">
        <v>1069</v>
      </c>
      <c r="C1910" s="209" t="s">
        <v>2592</v>
      </c>
      <c r="D1910" s="446" t="s">
        <v>133</v>
      </c>
      <c r="E1910" s="273">
        <v>0</v>
      </c>
      <c r="F1910" s="274"/>
      <c r="G1910" s="274">
        <f t="shared" si="7"/>
        <v>0</v>
      </c>
      <c r="H1910" s="274">
        <v>0</v>
      </c>
      <c r="K1910" s="274"/>
    </row>
    <row r="1911" spans="2:11" ht="13.5" customHeight="1">
      <c r="B1911" s="209" t="s">
        <v>1069</v>
      </c>
      <c r="C1911" s="209" t="s">
        <v>2592</v>
      </c>
      <c r="D1911" s="447" t="s">
        <v>134</v>
      </c>
      <c r="E1911" s="273">
        <v>0</v>
      </c>
      <c r="F1911" s="274"/>
      <c r="G1911" s="274">
        <f t="shared" si="7"/>
        <v>0</v>
      </c>
      <c r="H1911" s="274">
        <v>0</v>
      </c>
      <c r="K1911" s="274"/>
    </row>
    <row r="1912" spans="2:11" ht="13.5" customHeight="1">
      <c r="B1912" s="209" t="s">
        <v>1069</v>
      </c>
      <c r="C1912" s="209" t="s">
        <v>2592</v>
      </c>
      <c r="D1912" s="448" t="s">
        <v>135</v>
      </c>
      <c r="E1912" s="273">
        <v>0</v>
      </c>
      <c r="F1912" s="274"/>
      <c r="G1912" s="274">
        <f t="shared" si="7"/>
        <v>0</v>
      </c>
      <c r="H1912" s="274">
        <v>0</v>
      </c>
      <c r="K1912" s="274"/>
    </row>
    <row r="1913" spans="2:11" ht="13.5" customHeight="1">
      <c r="B1913" s="209" t="s">
        <v>1069</v>
      </c>
      <c r="C1913" s="209" t="s">
        <v>2592</v>
      </c>
      <c r="D1913" s="449" t="s">
        <v>136</v>
      </c>
      <c r="E1913" s="273">
        <v>0</v>
      </c>
      <c r="F1913" s="274"/>
      <c r="G1913" s="274">
        <f t="shared" si="7"/>
        <v>0</v>
      </c>
      <c r="H1913" s="274">
        <v>0</v>
      </c>
      <c r="K1913" s="274"/>
    </row>
    <row r="1914" spans="2:11" ht="13.5" customHeight="1">
      <c r="B1914" s="209" t="s">
        <v>1069</v>
      </c>
      <c r="C1914" s="209" t="s">
        <v>2592</v>
      </c>
      <c r="D1914" s="450" t="s">
        <v>137</v>
      </c>
      <c r="E1914" s="273">
        <v>0</v>
      </c>
      <c r="F1914" s="274"/>
      <c r="G1914" s="274">
        <f t="shared" si="7"/>
        <v>0</v>
      </c>
      <c r="H1914" s="274">
        <v>0</v>
      </c>
      <c r="K1914" s="274"/>
    </row>
    <row r="1915" spans="2:11" ht="13.5" customHeight="1">
      <c r="B1915" s="209" t="s">
        <v>1069</v>
      </c>
      <c r="C1915" s="209" t="s">
        <v>2592</v>
      </c>
      <c r="D1915" s="451" t="s">
        <v>138</v>
      </c>
      <c r="E1915" s="273">
        <v>0</v>
      </c>
      <c r="F1915" s="274"/>
      <c r="G1915" s="274">
        <f t="shared" si="7"/>
        <v>0</v>
      </c>
      <c r="H1915" s="274">
        <v>0</v>
      </c>
      <c r="K1915" s="274"/>
    </row>
    <row r="1916" spans="2:11" ht="13.5" customHeight="1">
      <c r="B1916" s="209" t="s">
        <v>1069</v>
      </c>
      <c r="C1916" s="209" t="s">
        <v>2592</v>
      </c>
      <c r="D1916" s="452" t="s">
        <v>139</v>
      </c>
      <c r="E1916" s="273">
        <v>0</v>
      </c>
      <c r="F1916" s="274"/>
      <c r="G1916" s="274">
        <f t="shared" si="7"/>
        <v>0</v>
      </c>
      <c r="H1916" s="274">
        <v>0</v>
      </c>
      <c r="K1916" s="274"/>
    </row>
    <row r="1917" spans="2:11" ht="13.5" customHeight="1">
      <c r="B1917" s="209" t="s">
        <v>1069</v>
      </c>
      <c r="C1917" s="209" t="s">
        <v>2592</v>
      </c>
      <c r="D1917" s="216" t="s">
        <v>140</v>
      </c>
      <c r="E1917" s="273">
        <v>0</v>
      </c>
      <c r="F1917" s="274"/>
      <c r="G1917" s="274">
        <f t="shared" si="7"/>
        <v>0</v>
      </c>
      <c r="H1917" s="274">
        <v>0</v>
      </c>
      <c r="K1917" s="274"/>
    </row>
    <row r="1918" spans="2:11" ht="13.5" customHeight="1">
      <c r="B1918" s="209" t="s">
        <v>1069</v>
      </c>
      <c r="C1918" s="209" t="s">
        <v>2592</v>
      </c>
      <c r="D1918" s="453" t="s">
        <v>141</v>
      </c>
      <c r="E1918" s="273">
        <v>0</v>
      </c>
      <c r="F1918" s="274"/>
      <c r="G1918" s="274">
        <f t="shared" si="7"/>
        <v>0</v>
      </c>
      <c r="H1918" s="274">
        <v>0</v>
      </c>
      <c r="K1918" s="274"/>
    </row>
    <row r="1919" spans="2:11" ht="13.5" customHeight="1">
      <c r="B1919" s="209" t="s">
        <v>1071</v>
      </c>
      <c r="C1919" s="209" t="s">
        <v>2593</v>
      </c>
      <c r="D1919" s="446" t="s">
        <v>133</v>
      </c>
      <c r="E1919" s="273">
        <v>0</v>
      </c>
      <c r="F1919" s="274"/>
      <c r="G1919" s="274">
        <f t="shared" si="7"/>
        <v>0</v>
      </c>
      <c r="H1919" s="274">
        <v>0</v>
      </c>
      <c r="K1919" s="274"/>
    </row>
    <row r="1920" spans="2:11" ht="13.5" customHeight="1">
      <c r="B1920" s="209" t="s">
        <v>1071</v>
      </c>
      <c r="C1920" s="209" t="s">
        <v>2593</v>
      </c>
      <c r="D1920" s="447" t="s">
        <v>134</v>
      </c>
      <c r="E1920" s="273">
        <v>0</v>
      </c>
      <c r="F1920" s="274"/>
      <c r="G1920" s="274">
        <f t="shared" si="7"/>
        <v>0</v>
      </c>
      <c r="H1920" s="274">
        <v>0</v>
      </c>
      <c r="K1920" s="274"/>
    </row>
    <row r="1921" spans="2:11" ht="13.5" customHeight="1">
      <c r="B1921" s="209" t="s">
        <v>1071</v>
      </c>
      <c r="C1921" s="209" t="s">
        <v>2593</v>
      </c>
      <c r="D1921" s="448" t="s">
        <v>135</v>
      </c>
      <c r="E1921" s="273">
        <v>0</v>
      </c>
      <c r="F1921" s="274"/>
      <c r="G1921" s="274">
        <f t="shared" si="7"/>
        <v>0</v>
      </c>
      <c r="H1921" s="274">
        <v>0</v>
      </c>
      <c r="K1921" s="274"/>
    </row>
    <row r="1922" spans="2:11" ht="13.5" customHeight="1">
      <c r="B1922" s="209" t="s">
        <v>1071</v>
      </c>
      <c r="C1922" s="209" t="s">
        <v>2593</v>
      </c>
      <c r="D1922" s="449" t="s">
        <v>136</v>
      </c>
      <c r="E1922" s="273">
        <v>0</v>
      </c>
      <c r="F1922" s="274"/>
      <c r="G1922" s="274">
        <f t="shared" si="7"/>
        <v>0</v>
      </c>
      <c r="H1922" s="274">
        <v>0</v>
      </c>
      <c r="K1922" s="274"/>
    </row>
    <row r="1923" spans="2:11" ht="13.5" customHeight="1">
      <c r="B1923" s="209" t="s">
        <v>1071</v>
      </c>
      <c r="C1923" s="209" t="s">
        <v>2593</v>
      </c>
      <c r="D1923" s="450" t="s">
        <v>137</v>
      </c>
      <c r="E1923" s="273">
        <v>0</v>
      </c>
      <c r="F1923" s="274"/>
      <c r="G1923" s="274">
        <f t="shared" si="7"/>
        <v>0</v>
      </c>
      <c r="H1923" s="274">
        <v>0</v>
      </c>
      <c r="K1923" s="274"/>
    </row>
    <row r="1924" spans="2:11" ht="13.5" customHeight="1">
      <c r="B1924" s="209" t="s">
        <v>1071</v>
      </c>
      <c r="C1924" s="209" t="s">
        <v>2593</v>
      </c>
      <c r="D1924" s="451" t="s">
        <v>138</v>
      </c>
      <c r="E1924" s="273">
        <v>0</v>
      </c>
      <c r="F1924" s="274"/>
      <c r="G1924" s="274">
        <f t="shared" si="7"/>
        <v>0</v>
      </c>
      <c r="H1924" s="274">
        <v>0</v>
      </c>
      <c r="K1924" s="274"/>
    </row>
    <row r="1925" spans="2:11" ht="13.5" customHeight="1">
      <c r="B1925" s="209" t="s">
        <v>1071</v>
      </c>
      <c r="C1925" s="209" t="s">
        <v>2593</v>
      </c>
      <c r="D1925" s="452" t="s">
        <v>139</v>
      </c>
      <c r="E1925" s="273">
        <v>0</v>
      </c>
      <c r="F1925" s="274"/>
      <c r="G1925" s="274">
        <f t="shared" si="7"/>
        <v>0</v>
      </c>
      <c r="H1925" s="274">
        <v>0</v>
      </c>
      <c r="K1925" s="274"/>
    </row>
    <row r="1926" spans="2:11" ht="13.5" customHeight="1">
      <c r="B1926" s="209" t="s">
        <v>1071</v>
      </c>
      <c r="C1926" s="209" t="s">
        <v>2593</v>
      </c>
      <c r="D1926" s="216" t="s">
        <v>140</v>
      </c>
      <c r="E1926" s="273">
        <v>0</v>
      </c>
      <c r="F1926" s="274"/>
      <c r="G1926" s="274">
        <f t="shared" si="7"/>
        <v>0</v>
      </c>
      <c r="H1926" s="274">
        <v>0</v>
      </c>
      <c r="K1926" s="274"/>
    </row>
    <row r="1927" spans="2:11" ht="13.5" customHeight="1">
      <c r="B1927" s="209" t="s">
        <v>1071</v>
      </c>
      <c r="C1927" s="209" t="s">
        <v>2593</v>
      </c>
      <c r="D1927" s="453" t="s">
        <v>141</v>
      </c>
      <c r="E1927" s="273">
        <v>0</v>
      </c>
      <c r="F1927" s="274"/>
      <c r="G1927" s="274">
        <f t="shared" si="7"/>
        <v>0</v>
      </c>
      <c r="H1927" s="274">
        <v>0</v>
      </c>
      <c r="K1927" s="274"/>
    </row>
    <row r="1928" spans="2:11" ht="13.5" customHeight="1">
      <c r="B1928" s="209" t="s">
        <v>1073</v>
      </c>
      <c r="C1928" s="209" t="s">
        <v>2594</v>
      </c>
      <c r="D1928" s="446" t="s">
        <v>133</v>
      </c>
      <c r="E1928" s="273">
        <v>0</v>
      </c>
      <c r="F1928" s="274"/>
      <c r="G1928" s="274">
        <f t="shared" si="7"/>
        <v>0</v>
      </c>
      <c r="H1928" s="274">
        <v>0</v>
      </c>
      <c r="K1928" s="274"/>
    </row>
    <row r="1929" spans="2:11" ht="13.5" customHeight="1">
      <c r="B1929" s="209" t="s">
        <v>1073</v>
      </c>
      <c r="C1929" s="209" t="s">
        <v>2594</v>
      </c>
      <c r="D1929" s="447" t="s">
        <v>134</v>
      </c>
      <c r="E1929" s="273">
        <v>0</v>
      </c>
      <c r="F1929" s="274"/>
      <c r="G1929" s="274">
        <f t="shared" si="7"/>
        <v>0</v>
      </c>
      <c r="H1929" s="274">
        <v>0</v>
      </c>
      <c r="K1929" s="274"/>
    </row>
    <row r="1930" spans="2:11" ht="13.5" customHeight="1">
      <c r="B1930" s="209" t="s">
        <v>1073</v>
      </c>
      <c r="C1930" s="209" t="s">
        <v>2594</v>
      </c>
      <c r="D1930" s="448" t="s">
        <v>135</v>
      </c>
      <c r="E1930" s="273">
        <v>0</v>
      </c>
      <c r="F1930" s="274"/>
      <c r="G1930" s="274">
        <f t="shared" si="7"/>
        <v>0</v>
      </c>
      <c r="H1930" s="274">
        <v>0</v>
      </c>
      <c r="K1930" s="274"/>
    </row>
    <row r="1931" spans="2:11" ht="13.5" customHeight="1">
      <c r="B1931" s="209" t="s">
        <v>1073</v>
      </c>
      <c r="C1931" s="209" t="s">
        <v>2594</v>
      </c>
      <c r="D1931" s="449" t="s">
        <v>136</v>
      </c>
      <c r="E1931" s="273">
        <v>0</v>
      </c>
      <c r="F1931" s="274"/>
      <c r="G1931" s="274">
        <f t="shared" si="7"/>
        <v>0</v>
      </c>
      <c r="H1931" s="274">
        <v>0</v>
      </c>
      <c r="K1931" s="274"/>
    </row>
    <row r="1932" spans="2:11" ht="13.5" customHeight="1">
      <c r="B1932" s="209" t="s">
        <v>1073</v>
      </c>
      <c r="C1932" s="209" t="s">
        <v>2594</v>
      </c>
      <c r="D1932" s="450" t="s">
        <v>137</v>
      </c>
      <c r="E1932" s="273">
        <v>0</v>
      </c>
      <c r="F1932" s="274"/>
      <c r="G1932" s="274">
        <f t="shared" si="7"/>
        <v>0</v>
      </c>
      <c r="H1932" s="274">
        <v>0</v>
      </c>
      <c r="K1932" s="274"/>
    </row>
    <row r="1933" spans="2:11" ht="13.5" customHeight="1">
      <c r="B1933" s="209" t="s">
        <v>1073</v>
      </c>
      <c r="C1933" s="209" t="s">
        <v>2594</v>
      </c>
      <c r="D1933" s="451" t="s">
        <v>138</v>
      </c>
      <c r="E1933" s="273">
        <v>0</v>
      </c>
      <c r="F1933" s="274"/>
      <c r="G1933" s="274">
        <f t="shared" si="7"/>
        <v>0</v>
      </c>
      <c r="H1933" s="274">
        <v>0</v>
      </c>
      <c r="K1933" s="274"/>
    </row>
    <row r="1934" spans="2:11" ht="13.5" customHeight="1">
      <c r="B1934" s="209" t="s">
        <v>1073</v>
      </c>
      <c r="C1934" s="209" t="s">
        <v>2594</v>
      </c>
      <c r="D1934" s="452" t="s">
        <v>139</v>
      </c>
      <c r="E1934" s="273">
        <v>0</v>
      </c>
      <c r="F1934" s="274"/>
      <c r="G1934" s="274">
        <f t="shared" si="7"/>
        <v>0</v>
      </c>
      <c r="H1934" s="274">
        <v>0</v>
      </c>
      <c r="K1934" s="274"/>
    </row>
    <row r="1935" spans="2:11" ht="13.5" customHeight="1">
      <c r="B1935" s="209" t="s">
        <v>1073</v>
      </c>
      <c r="C1935" s="209" t="s">
        <v>2594</v>
      </c>
      <c r="D1935" s="216" t="s">
        <v>140</v>
      </c>
      <c r="E1935" s="273">
        <v>0</v>
      </c>
      <c r="F1935" s="274"/>
      <c r="G1935" s="274">
        <f t="shared" si="7"/>
        <v>0</v>
      </c>
      <c r="H1935" s="274">
        <v>0</v>
      </c>
      <c r="K1935" s="274"/>
    </row>
    <row r="1936" spans="2:11" ht="13.5" customHeight="1">
      <c r="B1936" s="209" t="s">
        <v>1073</v>
      </c>
      <c r="C1936" s="209" t="s">
        <v>2594</v>
      </c>
      <c r="D1936" s="453" t="s">
        <v>141</v>
      </c>
      <c r="E1936" s="273">
        <v>0</v>
      </c>
      <c r="F1936" s="274"/>
      <c r="G1936" s="274">
        <f t="shared" si="7"/>
        <v>0</v>
      </c>
      <c r="H1936" s="274">
        <v>0</v>
      </c>
      <c r="K1936" s="274"/>
    </row>
    <row r="1937" spans="2:11" ht="13.5" customHeight="1">
      <c r="B1937" s="209" t="s">
        <v>315</v>
      </c>
      <c r="C1937" s="209" t="s">
        <v>2595</v>
      </c>
      <c r="D1937" s="446" t="s">
        <v>133</v>
      </c>
      <c r="E1937" s="273">
        <v>0</v>
      </c>
      <c r="F1937" s="274"/>
      <c r="G1937" s="274">
        <f t="shared" si="7"/>
        <v>0</v>
      </c>
      <c r="H1937" s="274">
        <v>0</v>
      </c>
      <c r="K1937" s="274"/>
    </row>
    <row r="1938" spans="2:11" ht="13.5" customHeight="1">
      <c r="B1938" s="209" t="s">
        <v>315</v>
      </c>
      <c r="C1938" s="209" t="s">
        <v>2595</v>
      </c>
      <c r="D1938" s="447" t="s">
        <v>134</v>
      </c>
      <c r="E1938" s="273">
        <v>0</v>
      </c>
      <c r="F1938" s="274"/>
      <c r="G1938" s="274">
        <f t="shared" si="7"/>
        <v>0</v>
      </c>
      <c r="H1938" s="274">
        <v>0</v>
      </c>
      <c r="K1938" s="274"/>
    </row>
    <row r="1939" spans="2:11" ht="13.5" customHeight="1">
      <c r="B1939" s="209" t="s">
        <v>315</v>
      </c>
      <c r="C1939" s="209" t="s">
        <v>2595</v>
      </c>
      <c r="D1939" s="448" t="s">
        <v>135</v>
      </c>
      <c r="E1939" s="273">
        <v>0</v>
      </c>
      <c r="F1939" s="274"/>
      <c r="G1939" s="274">
        <f t="shared" si="7"/>
        <v>0</v>
      </c>
      <c r="H1939" s="274">
        <v>0</v>
      </c>
      <c r="K1939" s="274"/>
    </row>
    <row r="1940" spans="2:11" ht="13.5" customHeight="1">
      <c r="B1940" s="209" t="s">
        <v>315</v>
      </c>
      <c r="C1940" s="209" t="s">
        <v>2595</v>
      </c>
      <c r="D1940" s="449" t="s">
        <v>136</v>
      </c>
      <c r="E1940" s="273">
        <v>0</v>
      </c>
      <c r="F1940" s="274"/>
      <c r="G1940" s="274">
        <f t="shared" si="7"/>
        <v>0</v>
      </c>
      <c r="H1940" s="274">
        <v>0</v>
      </c>
      <c r="K1940" s="274"/>
    </row>
    <row r="1941" spans="2:11" ht="13.5" customHeight="1">
      <c r="B1941" s="209" t="s">
        <v>315</v>
      </c>
      <c r="C1941" s="209" t="s">
        <v>2595</v>
      </c>
      <c r="D1941" s="450" t="s">
        <v>137</v>
      </c>
      <c r="E1941" s="273">
        <v>0</v>
      </c>
      <c r="F1941" s="274"/>
      <c r="G1941" s="274">
        <f t="shared" si="7"/>
        <v>0</v>
      </c>
      <c r="H1941" s="274">
        <v>0</v>
      </c>
      <c r="K1941" s="274"/>
    </row>
    <row r="1942" spans="2:11" ht="13.5" customHeight="1">
      <c r="B1942" s="209" t="s">
        <v>315</v>
      </c>
      <c r="C1942" s="209" t="s">
        <v>2595</v>
      </c>
      <c r="D1942" s="451" t="s">
        <v>138</v>
      </c>
      <c r="E1942" s="273">
        <v>0</v>
      </c>
      <c r="F1942" s="274"/>
      <c r="G1942" s="274">
        <f t="shared" si="7"/>
        <v>0</v>
      </c>
      <c r="H1942" s="274">
        <v>0</v>
      </c>
      <c r="K1942" s="274"/>
    </row>
    <row r="1943" spans="2:11" ht="13.5" customHeight="1">
      <c r="B1943" s="209" t="s">
        <v>315</v>
      </c>
      <c r="C1943" s="209" t="s">
        <v>2595</v>
      </c>
      <c r="D1943" s="452" t="s">
        <v>139</v>
      </c>
      <c r="E1943" s="273">
        <v>0</v>
      </c>
      <c r="F1943" s="274"/>
      <c r="G1943" s="274">
        <f t="shared" si="7"/>
        <v>0</v>
      </c>
      <c r="H1943" s="274">
        <v>0</v>
      </c>
      <c r="K1943" s="274"/>
    </row>
    <row r="1944" spans="2:11" ht="13.5" customHeight="1">
      <c r="B1944" s="209" t="s">
        <v>315</v>
      </c>
      <c r="C1944" s="209" t="s">
        <v>2595</v>
      </c>
      <c r="D1944" s="216" t="s">
        <v>140</v>
      </c>
      <c r="E1944" s="273">
        <v>0</v>
      </c>
      <c r="F1944" s="274"/>
      <c r="G1944" s="274">
        <f t="shared" si="7"/>
        <v>0</v>
      </c>
      <c r="H1944" s="274">
        <v>0</v>
      </c>
      <c r="K1944" s="274"/>
    </row>
    <row r="1945" spans="2:11" ht="13.5" customHeight="1">
      <c r="B1945" s="209" t="s">
        <v>315</v>
      </c>
      <c r="C1945" s="209" t="s">
        <v>2595</v>
      </c>
      <c r="D1945" s="453" t="s">
        <v>141</v>
      </c>
      <c r="E1945" s="273">
        <v>0</v>
      </c>
      <c r="F1945" s="274"/>
      <c r="G1945" s="274">
        <f t="shared" si="7"/>
        <v>0</v>
      </c>
      <c r="H1945" s="274">
        <v>0</v>
      </c>
      <c r="K1945" s="274"/>
    </row>
    <row r="1946" spans="2:11" ht="13.5" customHeight="1">
      <c r="B1946" s="209" t="s">
        <v>282</v>
      </c>
      <c r="C1946" s="209" t="s">
        <v>2596</v>
      </c>
      <c r="D1946" s="446" t="s">
        <v>133</v>
      </c>
      <c r="E1946" s="273">
        <v>0</v>
      </c>
      <c r="F1946" s="274"/>
      <c r="G1946" s="274">
        <f t="shared" si="7"/>
        <v>0</v>
      </c>
      <c r="H1946" s="274">
        <v>0</v>
      </c>
      <c r="K1946" s="274"/>
    </row>
    <row r="1947" spans="2:11" ht="13.5" customHeight="1">
      <c r="B1947" s="209" t="s">
        <v>282</v>
      </c>
      <c r="C1947" s="209" t="s">
        <v>2596</v>
      </c>
      <c r="D1947" s="447" t="s">
        <v>134</v>
      </c>
      <c r="E1947" s="273">
        <v>0</v>
      </c>
      <c r="F1947" s="274"/>
      <c r="G1947" s="274">
        <f t="shared" si="7"/>
        <v>0</v>
      </c>
      <c r="H1947" s="274">
        <v>0</v>
      </c>
      <c r="K1947" s="274"/>
    </row>
    <row r="1948" spans="2:11" ht="13.5" customHeight="1">
      <c r="B1948" s="209" t="s">
        <v>282</v>
      </c>
      <c r="C1948" s="209" t="s">
        <v>2596</v>
      </c>
      <c r="D1948" s="448" t="s">
        <v>135</v>
      </c>
      <c r="E1948" s="273">
        <v>0</v>
      </c>
      <c r="F1948" s="274"/>
      <c r="G1948" s="274">
        <f t="shared" si="7"/>
        <v>0</v>
      </c>
      <c r="H1948" s="274">
        <v>0</v>
      </c>
      <c r="K1948" s="274"/>
    </row>
    <row r="1949" spans="2:11" ht="13.5" customHeight="1">
      <c r="B1949" s="209" t="s">
        <v>282</v>
      </c>
      <c r="C1949" s="209" t="s">
        <v>2596</v>
      </c>
      <c r="D1949" s="449" t="s">
        <v>136</v>
      </c>
      <c r="E1949" s="273">
        <v>0</v>
      </c>
      <c r="F1949" s="274"/>
      <c r="G1949" s="274">
        <f t="shared" si="7"/>
        <v>0</v>
      </c>
      <c r="H1949" s="274">
        <v>0</v>
      </c>
      <c r="K1949" s="274"/>
    </row>
    <row r="1950" spans="2:11" ht="13.5" customHeight="1">
      <c r="B1950" s="209" t="s">
        <v>282</v>
      </c>
      <c r="C1950" s="209" t="s">
        <v>2596</v>
      </c>
      <c r="D1950" s="450" t="s">
        <v>137</v>
      </c>
      <c r="E1950" s="273">
        <v>0</v>
      </c>
      <c r="F1950" s="274"/>
      <c r="G1950" s="274">
        <f t="shared" si="7"/>
        <v>0</v>
      </c>
      <c r="H1950" s="274">
        <v>0</v>
      </c>
      <c r="K1950" s="274"/>
    </row>
    <row r="1951" spans="2:11" ht="13.5" customHeight="1">
      <c r="B1951" s="209" t="s">
        <v>282</v>
      </c>
      <c r="C1951" s="209" t="s">
        <v>2596</v>
      </c>
      <c r="D1951" s="451" t="s">
        <v>138</v>
      </c>
      <c r="E1951" s="273">
        <v>0</v>
      </c>
      <c r="F1951" s="274"/>
      <c r="G1951" s="274">
        <f t="shared" si="7"/>
        <v>0</v>
      </c>
      <c r="H1951" s="274">
        <v>0</v>
      </c>
      <c r="K1951" s="274"/>
    </row>
    <row r="1952" spans="2:11" ht="13.5" customHeight="1">
      <c r="B1952" s="209" t="s">
        <v>282</v>
      </c>
      <c r="C1952" s="209" t="s">
        <v>2596</v>
      </c>
      <c r="D1952" s="452" t="s">
        <v>139</v>
      </c>
      <c r="E1952" s="273">
        <v>0</v>
      </c>
      <c r="F1952" s="274"/>
      <c r="G1952" s="274">
        <f t="shared" si="7"/>
        <v>0</v>
      </c>
      <c r="H1952" s="274">
        <v>0</v>
      </c>
      <c r="K1952" s="274"/>
    </row>
    <row r="1953" spans="2:11" ht="13.5" customHeight="1">
      <c r="B1953" s="209" t="s">
        <v>282</v>
      </c>
      <c r="C1953" s="209" t="s">
        <v>2596</v>
      </c>
      <c r="D1953" s="216" t="s">
        <v>140</v>
      </c>
      <c r="E1953" s="273">
        <v>0</v>
      </c>
      <c r="F1953" s="274"/>
      <c r="G1953" s="274">
        <f t="shared" si="7"/>
        <v>0</v>
      </c>
      <c r="H1953" s="274">
        <v>0</v>
      </c>
      <c r="K1953" s="274"/>
    </row>
    <row r="1954" spans="2:11" ht="13.5" customHeight="1">
      <c r="B1954" s="209" t="s">
        <v>282</v>
      </c>
      <c r="C1954" s="209" t="s">
        <v>2596</v>
      </c>
      <c r="D1954" s="453" t="s">
        <v>141</v>
      </c>
      <c r="E1954" s="273">
        <v>0</v>
      </c>
      <c r="F1954" s="274"/>
      <c r="G1954" s="274">
        <f t="shared" si="7"/>
        <v>0</v>
      </c>
      <c r="H1954" s="274">
        <v>0</v>
      </c>
      <c r="K1954" s="274"/>
    </row>
    <row r="1955" spans="2:11" ht="13.5" customHeight="1">
      <c r="B1955" s="209" t="s">
        <v>361</v>
      </c>
      <c r="C1955" s="209" t="s">
        <v>2597</v>
      </c>
      <c r="D1955" s="446" t="s">
        <v>133</v>
      </c>
      <c r="E1955" s="273">
        <v>0</v>
      </c>
      <c r="F1955" s="274"/>
      <c r="G1955" s="274">
        <f t="shared" si="7"/>
        <v>0</v>
      </c>
      <c r="H1955" s="274">
        <v>0</v>
      </c>
      <c r="K1955" s="274"/>
    </row>
    <row r="1956" spans="2:11" ht="13.5" customHeight="1">
      <c r="B1956" s="209" t="s">
        <v>361</v>
      </c>
      <c r="C1956" s="209" t="s">
        <v>2597</v>
      </c>
      <c r="D1956" s="447" t="s">
        <v>134</v>
      </c>
      <c r="E1956" s="273">
        <v>0</v>
      </c>
      <c r="F1956" s="274"/>
      <c r="G1956" s="274">
        <f t="shared" si="7"/>
        <v>0</v>
      </c>
      <c r="H1956" s="274">
        <v>0</v>
      </c>
      <c r="K1956" s="274"/>
    </row>
    <row r="1957" spans="2:11" ht="13.5" customHeight="1">
      <c r="B1957" s="209" t="s">
        <v>361</v>
      </c>
      <c r="C1957" s="209" t="s">
        <v>2597</v>
      </c>
      <c r="D1957" s="448" t="s">
        <v>135</v>
      </c>
      <c r="E1957" s="273">
        <v>0</v>
      </c>
      <c r="F1957" s="274"/>
      <c r="G1957" s="274">
        <f t="shared" si="7"/>
        <v>0</v>
      </c>
      <c r="H1957" s="274">
        <v>0</v>
      </c>
      <c r="K1957" s="274"/>
    </row>
    <row r="1958" spans="2:11" ht="13.5" customHeight="1">
      <c r="B1958" s="209" t="s">
        <v>361</v>
      </c>
      <c r="C1958" s="209" t="s">
        <v>2597</v>
      </c>
      <c r="D1958" s="449" t="s">
        <v>136</v>
      </c>
      <c r="E1958" s="273">
        <v>0</v>
      </c>
      <c r="F1958" s="274"/>
      <c r="G1958" s="274">
        <f t="shared" si="7"/>
        <v>0</v>
      </c>
      <c r="H1958" s="274">
        <v>0</v>
      </c>
      <c r="K1958" s="274"/>
    </row>
    <row r="1959" spans="2:11" ht="13.5" customHeight="1">
      <c r="B1959" s="209" t="s">
        <v>361</v>
      </c>
      <c r="C1959" s="209" t="s">
        <v>2597</v>
      </c>
      <c r="D1959" s="450" t="s">
        <v>137</v>
      </c>
      <c r="E1959" s="273">
        <v>0</v>
      </c>
      <c r="F1959" s="274"/>
      <c r="G1959" s="274">
        <f t="shared" si="7"/>
        <v>0</v>
      </c>
      <c r="H1959" s="274">
        <v>0</v>
      </c>
      <c r="K1959" s="274"/>
    </row>
    <row r="1960" spans="2:11" ht="13.5" customHeight="1">
      <c r="B1960" s="209" t="s">
        <v>361</v>
      </c>
      <c r="C1960" s="209" t="s">
        <v>2597</v>
      </c>
      <c r="D1960" s="451" t="s">
        <v>138</v>
      </c>
      <c r="E1960" s="273">
        <v>0</v>
      </c>
      <c r="F1960" s="274"/>
      <c r="G1960" s="274">
        <f t="shared" si="7"/>
        <v>0</v>
      </c>
      <c r="H1960" s="274">
        <v>0</v>
      </c>
      <c r="K1960" s="274"/>
    </row>
    <row r="1961" spans="2:11" ht="13.5" customHeight="1">
      <c r="B1961" s="209" t="s">
        <v>361</v>
      </c>
      <c r="C1961" s="209" t="s">
        <v>2597</v>
      </c>
      <c r="D1961" s="452" t="s">
        <v>139</v>
      </c>
      <c r="E1961" s="273">
        <v>0</v>
      </c>
      <c r="F1961" s="274"/>
      <c r="G1961" s="274">
        <f t="shared" si="7"/>
        <v>0</v>
      </c>
      <c r="H1961" s="274">
        <v>0</v>
      </c>
      <c r="K1961" s="274"/>
    </row>
    <row r="1962" spans="2:11" ht="13.5" customHeight="1">
      <c r="B1962" s="209" t="s">
        <v>361</v>
      </c>
      <c r="C1962" s="209" t="s">
        <v>2597</v>
      </c>
      <c r="D1962" s="216" t="s">
        <v>140</v>
      </c>
      <c r="E1962" s="273">
        <v>0</v>
      </c>
      <c r="F1962" s="274"/>
      <c r="G1962" s="274">
        <f t="shared" si="7"/>
        <v>0</v>
      </c>
      <c r="H1962" s="274">
        <v>0</v>
      </c>
      <c r="K1962" s="274"/>
    </row>
    <row r="1963" spans="2:11" ht="13.5" customHeight="1">
      <c r="B1963" s="209" t="s">
        <v>361</v>
      </c>
      <c r="C1963" s="209" t="s">
        <v>2597</v>
      </c>
      <c r="D1963" s="453" t="s">
        <v>141</v>
      </c>
      <c r="E1963" s="273">
        <v>0</v>
      </c>
      <c r="F1963" s="274"/>
      <c r="G1963" s="274">
        <f t="shared" si="7"/>
        <v>0</v>
      </c>
      <c r="H1963" s="274">
        <v>0</v>
      </c>
      <c r="K1963" s="274"/>
    </row>
    <row r="1964" spans="2:11" ht="13.5" customHeight="1">
      <c r="B1964" s="209" t="s">
        <v>363</v>
      </c>
      <c r="C1964" s="209" t="s">
        <v>2598</v>
      </c>
      <c r="D1964" s="446" t="s">
        <v>133</v>
      </c>
      <c r="E1964" s="273">
        <v>0</v>
      </c>
      <c r="F1964" s="274"/>
      <c r="G1964" s="274">
        <f t="shared" si="7"/>
        <v>0</v>
      </c>
      <c r="H1964" s="274">
        <v>0</v>
      </c>
      <c r="K1964" s="274"/>
    </row>
    <row r="1965" spans="2:11" ht="13.5" customHeight="1">
      <c r="B1965" s="209" t="s">
        <v>363</v>
      </c>
      <c r="C1965" s="209" t="s">
        <v>2598</v>
      </c>
      <c r="D1965" s="447" t="s">
        <v>134</v>
      </c>
      <c r="E1965" s="273">
        <v>0</v>
      </c>
      <c r="F1965" s="274"/>
      <c r="G1965" s="274">
        <f t="shared" si="7"/>
        <v>0</v>
      </c>
      <c r="H1965" s="274">
        <v>0</v>
      </c>
      <c r="K1965" s="274"/>
    </row>
    <row r="1966" spans="2:11" ht="13.5" customHeight="1">
      <c r="B1966" s="209" t="s">
        <v>363</v>
      </c>
      <c r="C1966" s="209" t="s">
        <v>2598</v>
      </c>
      <c r="D1966" s="448" t="s">
        <v>135</v>
      </c>
      <c r="E1966" s="273">
        <v>0</v>
      </c>
      <c r="F1966" s="274"/>
      <c r="G1966" s="274">
        <f t="shared" si="7"/>
        <v>0</v>
      </c>
      <c r="H1966" s="274">
        <v>0</v>
      </c>
      <c r="K1966" s="274"/>
    </row>
    <row r="1967" spans="2:11" ht="13.5" customHeight="1">
      <c r="B1967" s="209" t="s">
        <v>363</v>
      </c>
      <c r="C1967" s="209" t="s">
        <v>2598</v>
      </c>
      <c r="D1967" s="449" t="s">
        <v>136</v>
      </c>
      <c r="E1967" s="273">
        <v>0</v>
      </c>
      <c r="F1967" s="274"/>
      <c r="G1967" s="274">
        <f t="shared" si="7"/>
        <v>0</v>
      </c>
      <c r="H1967" s="274">
        <v>0</v>
      </c>
      <c r="K1967" s="274"/>
    </row>
    <row r="1968" spans="2:11" ht="13.5" customHeight="1">
      <c r="B1968" s="209" t="s">
        <v>363</v>
      </c>
      <c r="C1968" s="209" t="s">
        <v>2598</v>
      </c>
      <c r="D1968" s="450" t="s">
        <v>137</v>
      </c>
      <c r="E1968" s="273">
        <v>0</v>
      </c>
      <c r="F1968" s="274"/>
      <c r="G1968" s="274">
        <f t="shared" si="7"/>
        <v>0</v>
      </c>
      <c r="H1968" s="274">
        <v>0</v>
      </c>
      <c r="K1968" s="274"/>
    </row>
    <row r="1969" spans="2:11" ht="13.5" customHeight="1">
      <c r="B1969" s="209" t="s">
        <v>363</v>
      </c>
      <c r="C1969" s="209" t="s">
        <v>2598</v>
      </c>
      <c r="D1969" s="451" t="s">
        <v>138</v>
      </c>
      <c r="E1969" s="273">
        <v>0</v>
      </c>
      <c r="F1969" s="274"/>
      <c r="G1969" s="274">
        <f t="shared" si="7"/>
        <v>0</v>
      </c>
      <c r="H1969" s="274">
        <v>0</v>
      </c>
      <c r="K1969" s="274"/>
    </row>
    <row r="1970" spans="2:11" ht="13.5" customHeight="1">
      <c r="B1970" s="209" t="s">
        <v>363</v>
      </c>
      <c r="C1970" s="209" t="s">
        <v>2598</v>
      </c>
      <c r="D1970" s="452" t="s">
        <v>139</v>
      </c>
      <c r="E1970" s="273">
        <v>0</v>
      </c>
      <c r="F1970" s="274"/>
      <c r="G1970" s="274">
        <f t="shared" si="7"/>
        <v>0</v>
      </c>
      <c r="H1970" s="274">
        <v>0</v>
      </c>
      <c r="K1970" s="274"/>
    </row>
    <row r="1971" spans="2:11" ht="13.5" customHeight="1">
      <c r="B1971" s="209" t="s">
        <v>363</v>
      </c>
      <c r="C1971" s="209" t="s">
        <v>2598</v>
      </c>
      <c r="D1971" s="216" t="s">
        <v>140</v>
      </c>
      <c r="E1971" s="273">
        <v>0</v>
      </c>
      <c r="F1971" s="274"/>
      <c r="G1971" s="274">
        <f t="shared" si="7"/>
        <v>0</v>
      </c>
      <c r="H1971" s="274">
        <v>0</v>
      </c>
      <c r="K1971" s="274"/>
    </row>
    <row r="1972" spans="2:11" ht="13.5" customHeight="1">
      <c r="B1972" s="209" t="s">
        <v>363</v>
      </c>
      <c r="C1972" s="209" t="s">
        <v>2598</v>
      </c>
      <c r="D1972" s="453" t="s">
        <v>141</v>
      </c>
      <c r="E1972" s="273">
        <v>0</v>
      </c>
      <c r="F1972" s="274"/>
      <c r="G1972" s="274">
        <f t="shared" si="7"/>
        <v>0</v>
      </c>
      <c r="H1972" s="274">
        <v>0</v>
      </c>
      <c r="K1972" s="274"/>
    </row>
    <row r="1973" spans="2:11" ht="13.5" customHeight="1">
      <c r="B1973" s="209" t="s">
        <v>367</v>
      </c>
      <c r="C1973" s="209" t="s">
        <v>2599</v>
      </c>
      <c r="D1973" s="446" t="s">
        <v>133</v>
      </c>
      <c r="E1973" s="273">
        <v>0</v>
      </c>
      <c r="F1973" s="274"/>
      <c r="G1973" s="274">
        <f t="shared" si="7"/>
        <v>0</v>
      </c>
      <c r="H1973" s="274">
        <v>0</v>
      </c>
      <c r="K1973" s="274"/>
    </row>
    <row r="1974" spans="2:11" ht="13.5" customHeight="1">
      <c r="B1974" s="209" t="s">
        <v>367</v>
      </c>
      <c r="C1974" s="209" t="s">
        <v>2599</v>
      </c>
      <c r="D1974" s="447" t="s">
        <v>134</v>
      </c>
      <c r="E1974" s="273">
        <v>0</v>
      </c>
      <c r="F1974" s="274"/>
      <c r="G1974" s="274">
        <f t="shared" si="7"/>
        <v>0</v>
      </c>
      <c r="H1974" s="274">
        <v>0</v>
      </c>
      <c r="K1974" s="274"/>
    </row>
    <row r="1975" spans="2:11" ht="13.5" customHeight="1">
      <c r="B1975" s="209" t="s">
        <v>367</v>
      </c>
      <c r="C1975" s="209" t="s">
        <v>2599</v>
      </c>
      <c r="D1975" s="448" t="s">
        <v>135</v>
      </c>
      <c r="E1975" s="273">
        <v>0</v>
      </c>
      <c r="F1975" s="274"/>
      <c r="G1975" s="274">
        <f t="shared" si="7"/>
        <v>0</v>
      </c>
      <c r="H1975" s="274">
        <v>0</v>
      </c>
      <c r="K1975" s="274"/>
    </row>
    <row r="1976" spans="2:11" ht="13.5" customHeight="1">
      <c r="B1976" s="209" t="s">
        <v>367</v>
      </c>
      <c r="C1976" s="209" t="s">
        <v>2599</v>
      </c>
      <c r="D1976" s="449" t="s">
        <v>136</v>
      </c>
      <c r="E1976" s="273">
        <v>0</v>
      </c>
      <c r="F1976" s="274"/>
      <c r="G1976" s="274">
        <f t="shared" si="7"/>
        <v>0</v>
      </c>
      <c r="H1976" s="274">
        <v>0</v>
      </c>
      <c r="K1976" s="274"/>
    </row>
    <row r="1977" spans="2:11" ht="13.5" customHeight="1">
      <c r="B1977" s="209" t="s">
        <v>367</v>
      </c>
      <c r="C1977" s="209" t="s">
        <v>2599</v>
      </c>
      <c r="D1977" s="450" t="s">
        <v>137</v>
      </c>
      <c r="E1977" s="273">
        <v>0</v>
      </c>
      <c r="F1977" s="274"/>
      <c r="G1977" s="274">
        <f t="shared" si="7"/>
        <v>0</v>
      </c>
      <c r="H1977" s="274">
        <v>0</v>
      </c>
      <c r="K1977" s="274"/>
    </row>
    <row r="1978" spans="2:11" ht="13.5" customHeight="1">
      <c r="B1978" s="209" t="s">
        <v>367</v>
      </c>
      <c r="C1978" s="209" t="s">
        <v>2599</v>
      </c>
      <c r="D1978" s="451" t="s">
        <v>138</v>
      </c>
      <c r="E1978" s="273">
        <v>0</v>
      </c>
      <c r="F1978" s="274"/>
      <c r="G1978" s="274">
        <f t="shared" si="7"/>
        <v>0</v>
      </c>
      <c r="H1978" s="274">
        <v>0</v>
      </c>
      <c r="K1978" s="274"/>
    </row>
    <row r="1979" spans="2:11" ht="13.5" customHeight="1">
      <c r="B1979" s="209" t="s">
        <v>367</v>
      </c>
      <c r="C1979" s="209" t="s">
        <v>2599</v>
      </c>
      <c r="D1979" s="452" t="s">
        <v>139</v>
      </c>
      <c r="E1979" s="273">
        <v>0</v>
      </c>
      <c r="F1979" s="274"/>
      <c r="G1979" s="274">
        <f t="shared" si="7"/>
        <v>0</v>
      </c>
      <c r="H1979" s="274">
        <v>0</v>
      </c>
      <c r="K1979" s="274"/>
    </row>
    <row r="1980" spans="2:11" ht="13.5" customHeight="1">
      <c r="B1980" s="209" t="s">
        <v>367</v>
      </c>
      <c r="C1980" s="209" t="s">
        <v>2599</v>
      </c>
      <c r="D1980" s="216" t="s">
        <v>140</v>
      </c>
      <c r="E1980" s="273">
        <v>0</v>
      </c>
      <c r="F1980" s="274"/>
      <c r="G1980" s="274">
        <f t="shared" si="7"/>
        <v>0</v>
      </c>
      <c r="H1980" s="274">
        <v>0</v>
      </c>
      <c r="K1980" s="274"/>
    </row>
    <row r="1981" spans="2:11" ht="13.5" customHeight="1">
      <c r="B1981" s="209" t="s">
        <v>367</v>
      </c>
      <c r="C1981" s="209" t="s">
        <v>2599</v>
      </c>
      <c r="D1981" s="453" t="s">
        <v>141</v>
      </c>
      <c r="E1981" s="273">
        <v>0</v>
      </c>
      <c r="F1981" s="274"/>
      <c r="G1981" s="274">
        <f t="shared" si="7"/>
        <v>0</v>
      </c>
      <c r="H1981" s="274">
        <v>0</v>
      </c>
      <c r="K1981" s="274"/>
    </row>
    <row r="1982" spans="2:11" ht="13.5" customHeight="1">
      <c r="B1982" s="209" t="s">
        <v>1117</v>
      </c>
      <c r="C1982" s="209" t="s">
        <v>2600</v>
      </c>
      <c r="D1982" s="446" t="s">
        <v>133</v>
      </c>
      <c r="E1982" s="273">
        <v>0</v>
      </c>
      <c r="F1982" s="274"/>
      <c r="G1982" s="274">
        <f t="shared" si="7"/>
        <v>0</v>
      </c>
      <c r="H1982" s="274">
        <v>0</v>
      </c>
      <c r="K1982" s="274"/>
    </row>
    <row r="1983" spans="2:11" ht="13.5" customHeight="1">
      <c r="B1983" s="209" t="s">
        <v>1117</v>
      </c>
      <c r="C1983" s="209" t="s">
        <v>2600</v>
      </c>
      <c r="D1983" s="447" t="s">
        <v>134</v>
      </c>
      <c r="E1983" s="273">
        <v>0</v>
      </c>
      <c r="F1983" s="274"/>
      <c r="G1983" s="274">
        <f t="shared" si="7"/>
        <v>0</v>
      </c>
      <c r="H1983" s="274">
        <v>0</v>
      </c>
      <c r="K1983" s="274"/>
    </row>
    <row r="1984" spans="2:11" ht="13.5" customHeight="1">
      <c r="B1984" s="209" t="s">
        <v>1117</v>
      </c>
      <c r="C1984" s="209" t="s">
        <v>2600</v>
      </c>
      <c r="D1984" s="448" t="s">
        <v>135</v>
      </c>
      <c r="E1984" s="273">
        <v>0</v>
      </c>
      <c r="F1984" s="274"/>
      <c r="G1984" s="274">
        <f t="shared" si="7"/>
        <v>0</v>
      </c>
      <c r="H1984" s="274">
        <v>0</v>
      </c>
      <c r="K1984" s="274"/>
    </row>
    <row r="1985" spans="1:11" ht="13.5" customHeight="1">
      <c r="B1985" s="209" t="s">
        <v>1117</v>
      </c>
      <c r="C1985" s="209" t="s">
        <v>2600</v>
      </c>
      <c r="D1985" s="449" t="s">
        <v>136</v>
      </c>
      <c r="E1985" s="273">
        <v>0</v>
      </c>
      <c r="F1985" s="274"/>
      <c r="G1985" s="274">
        <f t="shared" si="7"/>
        <v>0</v>
      </c>
      <c r="H1985" s="274">
        <v>0</v>
      </c>
      <c r="K1985" s="274"/>
    </row>
    <row r="1986" spans="1:11" ht="13.5" customHeight="1">
      <c r="B1986" s="209" t="s">
        <v>1117</v>
      </c>
      <c r="C1986" s="209" t="s">
        <v>2600</v>
      </c>
      <c r="D1986" s="450" t="s">
        <v>137</v>
      </c>
      <c r="E1986" s="273">
        <v>0</v>
      </c>
      <c r="F1986" s="274"/>
      <c r="G1986" s="274">
        <f t="shared" si="7"/>
        <v>0</v>
      </c>
      <c r="H1986" s="274">
        <v>0</v>
      </c>
      <c r="K1986" s="274"/>
    </row>
    <row r="1987" spans="1:11" ht="13.5" customHeight="1">
      <c r="B1987" s="209" t="s">
        <v>1117</v>
      </c>
      <c r="C1987" s="209" t="s">
        <v>2600</v>
      </c>
      <c r="D1987" s="451" t="s">
        <v>138</v>
      </c>
      <c r="E1987" s="273">
        <v>0</v>
      </c>
      <c r="F1987" s="274"/>
      <c r="G1987" s="274">
        <f t="shared" si="7"/>
        <v>0</v>
      </c>
      <c r="H1987" s="274">
        <v>0</v>
      </c>
      <c r="K1987" s="274"/>
    </row>
    <row r="1988" spans="1:11" ht="13.5" customHeight="1">
      <c r="B1988" s="209" t="s">
        <v>1117</v>
      </c>
      <c r="C1988" s="209" t="s">
        <v>2600</v>
      </c>
      <c r="D1988" s="452" t="s">
        <v>139</v>
      </c>
      <c r="E1988" s="273">
        <v>0</v>
      </c>
      <c r="F1988" s="274"/>
      <c r="G1988" s="274">
        <f t="shared" si="7"/>
        <v>0</v>
      </c>
      <c r="H1988" s="274">
        <v>0</v>
      </c>
      <c r="K1988" s="274"/>
    </row>
    <row r="1989" spans="1:11" ht="13.5" customHeight="1">
      <c r="B1989" s="209" t="s">
        <v>1117</v>
      </c>
      <c r="C1989" s="209" t="s">
        <v>2600</v>
      </c>
      <c r="D1989" s="216" t="s">
        <v>140</v>
      </c>
      <c r="E1989" s="273">
        <v>0</v>
      </c>
      <c r="F1989" s="274"/>
      <c r="G1989" s="274">
        <f t="shared" si="7"/>
        <v>0</v>
      </c>
      <c r="H1989" s="274">
        <v>0</v>
      </c>
      <c r="K1989" s="274"/>
    </row>
    <row r="1990" spans="1:11" ht="13.5" customHeight="1">
      <c r="B1990" s="209" t="s">
        <v>1117</v>
      </c>
      <c r="C1990" s="209" t="s">
        <v>2600</v>
      </c>
      <c r="D1990" s="453" t="s">
        <v>141</v>
      </c>
      <c r="E1990" s="273">
        <v>0</v>
      </c>
      <c r="F1990" s="274"/>
      <c r="G1990" s="274">
        <f t="shared" si="7"/>
        <v>0</v>
      </c>
      <c r="H1990" s="274">
        <v>0</v>
      </c>
      <c r="K1990" s="274"/>
    </row>
    <row r="1991" spans="1:11" ht="13.5" customHeight="1">
      <c r="A1991" s="209" t="s">
        <v>884</v>
      </c>
      <c r="B1991" s="209" t="s">
        <v>886</v>
      </c>
      <c r="C1991" s="209" t="s">
        <v>2601</v>
      </c>
      <c r="D1991" s="446" t="s">
        <v>133</v>
      </c>
      <c r="E1991" s="273">
        <v>0</v>
      </c>
      <c r="F1991" s="274"/>
      <c r="G1991" s="274">
        <f t="shared" si="7"/>
        <v>0</v>
      </c>
      <c r="H1991" s="274">
        <v>0</v>
      </c>
      <c r="K1991" s="274"/>
    </row>
    <row r="1992" spans="1:11" ht="13.5" customHeight="1">
      <c r="A1992" s="209" t="s">
        <v>884</v>
      </c>
      <c r="B1992" s="209" t="s">
        <v>886</v>
      </c>
      <c r="C1992" s="209" t="s">
        <v>2601</v>
      </c>
      <c r="D1992" s="447" t="s">
        <v>134</v>
      </c>
      <c r="E1992" s="273">
        <v>0</v>
      </c>
      <c r="F1992" s="274"/>
      <c r="G1992" s="274">
        <f t="shared" si="7"/>
        <v>0</v>
      </c>
      <c r="H1992" s="274">
        <v>0</v>
      </c>
      <c r="K1992" s="274"/>
    </row>
    <row r="1993" spans="1:11" ht="13.5" customHeight="1">
      <c r="A1993" s="209" t="s">
        <v>884</v>
      </c>
      <c r="B1993" s="209" t="s">
        <v>886</v>
      </c>
      <c r="C1993" s="209" t="s">
        <v>2601</v>
      </c>
      <c r="D1993" s="448" t="s">
        <v>135</v>
      </c>
      <c r="E1993" s="273">
        <v>0</v>
      </c>
      <c r="F1993" s="274"/>
      <c r="G1993" s="274">
        <f t="shared" si="7"/>
        <v>0</v>
      </c>
      <c r="H1993" s="274">
        <v>0</v>
      </c>
      <c r="K1993" s="274"/>
    </row>
    <row r="1994" spans="1:11" ht="13.5" customHeight="1">
      <c r="A1994" s="209" t="s">
        <v>884</v>
      </c>
      <c r="B1994" s="209" t="s">
        <v>886</v>
      </c>
      <c r="C1994" s="209" t="s">
        <v>2601</v>
      </c>
      <c r="D1994" s="449" t="s">
        <v>136</v>
      </c>
      <c r="E1994" s="273">
        <v>0</v>
      </c>
      <c r="F1994" s="274"/>
      <c r="G1994" s="274">
        <f t="shared" si="7"/>
        <v>0</v>
      </c>
      <c r="H1994" s="274">
        <v>0</v>
      </c>
      <c r="K1994" s="274"/>
    </row>
    <row r="1995" spans="1:11" ht="13.5" customHeight="1">
      <c r="A1995" s="209" t="s">
        <v>884</v>
      </c>
      <c r="B1995" s="209" t="s">
        <v>886</v>
      </c>
      <c r="C1995" s="209" t="s">
        <v>2601</v>
      </c>
      <c r="D1995" s="450" t="s">
        <v>137</v>
      </c>
      <c r="E1995" s="273">
        <v>0</v>
      </c>
      <c r="F1995" s="274"/>
      <c r="G1995" s="274">
        <f t="shared" si="7"/>
        <v>0</v>
      </c>
      <c r="H1995" s="274">
        <v>0</v>
      </c>
      <c r="K1995" s="274"/>
    </row>
    <row r="1996" spans="1:11" ht="13.5" customHeight="1">
      <c r="A1996" s="209" t="s">
        <v>884</v>
      </c>
      <c r="B1996" s="209" t="s">
        <v>886</v>
      </c>
      <c r="C1996" s="209" t="s">
        <v>2601</v>
      </c>
      <c r="D1996" s="451" t="s">
        <v>138</v>
      </c>
      <c r="E1996" s="273">
        <v>0</v>
      </c>
      <c r="F1996" s="274"/>
      <c r="G1996" s="274">
        <f t="shared" si="7"/>
        <v>0</v>
      </c>
      <c r="H1996" s="274">
        <v>0</v>
      </c>
      <c r="K1996" s="274"/>
    </row>
    <row r="1997" spans="1:11" ht="13.5" customHeight="1">
      <c r="A1997" s="209" t="s">
        <v>884</v>
      </c>
      <c r="B1997" s="209" t="s">
        <v>886</v>
      </c>
      <c r="C1997" s="209" t="s">
        <v>2601</v>
      </c>
      <c r="D1997" s="452" t="s">
        <v>139</v>
      </c>
      <c r="E1997" s="273">
        <v>0</v>
      </c>
      <c r="F1997" s="274"/>
      <c r="G1997" s="274">
        <f t="shared" si="7"/>
        <v>0</v>
      </c>
      <c r="H1997" s="274">
        <v>0</v>
      </c>
      <c r="K1997" s="274"/>
    </row>
    <row r="1998" spans="1:11" ht="13.5" customHeight="1">
      <c r="A1998" s="209" t="s">
        <v>884</v>
      </c>
      <c r="B1998" s="209" t="s">
        <v>886</v>
      </c>
      <c r="C1998" s="209" t="s">
        <v>2601</v>
      </c>
      <c r="D1998" s="216" t="s">
        <v>140</v>
      </c>
      <c r="E1998" s="273">
        <v>0</v>
      </c>
      <c r="F1998" s="274"/>
      <c r="G1998" s="274">
        <f t="shared" si="7"/>
        <v>0</v>
      </c>
      <c r="H1998" s="274">
        <v>0</v>
      </c>
      <c r="K1998" s="274"/>
    </row>
    <row r="1999" spans="1:11" ht="13.5" customHeight="1">
      <c r="A1999" s="209" t="s">
        <v>884</v>
      </c>
      <c r="B1999" s="209" t="s">
        <v>886</v>
      </c>
      <c r="C1999" s="209" t="s">
        <v>2601</v>
      </c>
      <c r="D1999" s="453" t="s">
        <v>141</v>
      </c>
      <c r="E1999" s="273">
        <v>0</v>
      </c>
      <c r="F1999" s="274"/>
      <c r="G1999" s="274">
        <f t="shared" si="7"/>
        <v>0</v>
      </c>
      <c r="H1999" s="274">
        <v>0</v>
      </c>
      <c r="K1999" s="274"/>
    </row>
    <row r="2000" spans="1:11" ht="13.5" customHeight="1">
      <c r="A2000" s="209" t="s">
        <v>884</v>
      </c>
      <c r="B2000" s="209" t="s">
        <v>888</v>
      </c>
      <c r="C2000" s="209" t="s">
        <v>2602</v>
      </c>
      <c r="D2000" s="446" t="s">
        <v>133</v>
      </c>
      <c r="E2000" s="273">
        <v>0</v>
      </c>
      <c r="F2000" s="274"/>
      <c r="G2000" s="274">
        <f t="shared" si="7"/>
        <v>0</v>
      </c>
      <c r="H2000" s="274">
        <v>0</v>
      </c>
      <c r="K2000" s="274"/>
    </row>
    <row r="2001" spans="1:11" ht="13.5" customHeight="1">
      <c r="A2001" s="209" t="s">
        <v>884</v>
      </c>
      <c r="B2001" s="209" t="s">
        <v>888</v>
      </c>
      <c r="C2001" s="209" t="s">
        <v>2602</v>
      </c>
      <c r="D2001" s="447" t="s">
        <v>134</v>
      </c>
      <c r="E2001" s="273">
        <v>0</v>
      </c>
      <c r="F2001" s="274"/>
      <c r="G2001" s="274">
        <f t="shared" si="7"/>
        <v>0</v>
      </c>
      <c r="H2001" s="274">
        <v>0</v>
      </c>
      <c r="K2001" s="274"/>
    </row>
    <row r="2002" spans="1:11" ht="13.5" customHeight="1">
      <c r="A2002" s="209" t="s">
        <v>884</v>
      </c>
      <c r="B2002" s="209" t="s">
        <v>888</v>
      </c>
      <c r="C2002" s="209" t="s">
        <v>2602</v>
      </c>
      <c r="D2002" s="448" t="s">
        <v>135</v>
      </c>
      <c r="E2002" s="273">
        <v>0</v>
      </c>
      <c r="F2002" s="274"/>
      <c r="G2002" s="274">
        <f t="shared" si="7"/>
        <v>0</v>
      </c>
      <c r="H2002" s="274">
        <v>0</v>
      </c>
      <c r="K2002" s="274"/>
    </row>
    <row r="2003" spans="1:11" ht="13.5" customHeight="1">
      <c r="A2003" s="209" t="s">
        <v>884</v>
      </c>
      <c r="B2003" s="209" t="s">
        <v>888</v>
      </c>
      <c r="C2003" s="209" t="s">
        <v>2602</v>
      </c>
      <c r="D2003" s="449" t="s">
        <v>136</v>
      </c>
      <c r="E2003" s="273">
        <v>0</v>
      </c>
      <c r="F2003" s="274"/>
      <c r="G2003" s="274">
        <f t="shared" si="7"/>
        <v>0</v>
      </c>
      <c r="H2003" s="274">
        <v>0</v>
      </c>
      <c r="K2003" s="274"/>
    </row>
    <row r="2004" spans="1:11" ht="13.5" customHeight="1">
      <c r="A2004" s="209" t="s">
        <v>884</v>
      </c>
      <c r="B2004" s="209" t="s">
        <v>888</v>
      </c>
      <c r="C2004" s="209" t="s">
        <v>2602</v>
      </c>
      <c r="D2004" s="450" t="s">
        <v>137</v>
      </c>
      <c r="E2004" s="273">
        <v>0</v>
      </c>
      <c r="F2004" s="274"/>
      <c r="G2004" s="274">
        <f t="shared" si="7"/>
        <v>0</v>
      </c>
      <c r="H2004" s="274">
        <v>0</v>
      </c>
      <c r="K2004" s="274"/>
    </row>
    <row r="2005" spans="1:11" ht="13.5" customHeight="1">
      <c r="A2005" s="209" t="s">
        <v>884</v>
      </c>
      <c r="B2005" s="209" t="s">
        <v>888</v>
      </c>
      <c r="C2005" s="209" t="s">
        <v>2602</v>
      </c>
      <c r="D2005" s="451" t="s">
        <v>138</v>
      </c>
      <c r="E2005" s="273">
        <v>0</v>
      </c>
      <c r="F2005" s="274"/>
      <c r="G2005" s="274">
        <f t="shared" si="7"/>
        <v>0</v>
      </c>
      <c r="H2005" s="274">
        <v>0</v>
      </c>
      <c r="K2005" s="274"/>
    </row>
    <row r="2006" spans="1:11" ht="13.5" customHeight="1">
      <c r="A2006" s="209" t="s">
        <v>884</v>
      </c>
      <c r="B2006" s="209" t="s">
        <v>888</v>
      </c>
      <c r="C2006" s="209" t="s">
        <v>2602</v>
      </c>
      <c r="D2006" s="452" t="s">
        <v>139</v>
      </c>
      <c r="E2006" s="273">
        <v>0</v>
      </c>
      <c r="F2006" s="274"/>
      <c r="G2006" s="274">
        <f t="shared" si="7"/>
        <v>0</v>
      </c>
      <c r="H2006" s="274">
        <v>0</v>
      </c>
      <c r="K2006" s="274"/>
    </row>
    <row r="2007" spans="1:11" ht="13.5" customHeight="1">
      <c r="A2007" s="209" t="s">
        <v>884</v>
      </c>
      <c r="B2007" s="209" t="s">
        <v>888</v>
      </c>
      <c r="C2007" s="209" t="s">
        <v>2602</v>
      </c>
      <c r="D2007" s="216" t="s">
        <v>140</v>
      </c>
      <c r="E2007" s="273">
        <v>0</v>
      </c>
      <c r="F2007" s="274"/>
      <c r="G2007" s="274">
        <f t="shared" si="7"/>
        <v>0</v>
      </c>
      <c r="H2007" s="274">
        <v>0</v>
      </c>
      <c r="K2007" s="274"/>
    </row>
    <row r="2008" spans="1:11" ht="13.5" customHeight="1">
      <c r="A2008" s="209" t="s">
        <v>884</v>
      </c>
      <c r="B2008" s="209" t="s">
        <v>888</v>
      </c>
      <c r="C2008" s="209" t="s">
        <v>2602</v>
      </c>
      <c r="D2008" s="453" t="s">
        <v>141</v>
      </c>
      <c r="E2008" s="273">
        <v>0</v>
      </c>
      <c r="F2008" s="274"/>
      <c r="G2008" s="274">
        <f t="shared" si="7"/>
        <v>0</v>
      </c>
      <c r="H2008" s="274">
        <v>0</v>
      </c>
      <c r="K2008" s="274"/>
    </row>
    <row r="2009" spans="1:11" ht="13.5" customHeight="1">
      <c r="B2009" s="209" t="s">
        <v>369</v>
      </c>
      <c r="C2009" s="209" t="s">
        <v>2603</v>
      </c>
      <c r="D2009" s="446" t="s">
        <v>133</v>
      </c>
      <c r="E2009" s="273">
        <v>0</v>
      </c>
      <c r="F2009" s="274"/>
      <c r="G2009" s="274">
        <f t="shared" si="7"/>
        <v>0</v>
      </c>
      <c r="H2009" s="274">
        <v>0</v>
      </c>
      <c r="K2009" s="274"/>
    </row>
    <row r="2010" spans="1:11" ht="13.5" customHeight="1">
      <c r="B2010" s="209" t="s">
        <v>369</v>
      </c>
      <c r="C2010" s="209" t="s">
        <v>2603</v>
      </c>
      <c r="D2010" s="447" t="s">
        <v>134</v>
      </c>
      <c r="E2010" s="273">
        <v>0</v>
      </c>
      <c r="F2010" s="274"/>
      <c r="G2010" s="274">
        <f t="shared" si="7"/>
        <v>0</v>
      </c>
      <c r="H2010" s="274">
        <v>0</v>
      </c>
      <c r="K2010" s="274"/>
    </row>
    <row r="2011" spans="1:11" ht="13.5" customHeight="1">
      <c r="B2011" s="209" t="s">
        <v>369</v>
      </c>
      <c r="C2011" s="209" t="s">
        <v>2603</v>
      </c>
      <c r="D2011" s="448" t="s">
        <v>135</v>
      </c>
      <c r="E2011" s="273">
        <v>0</v>
      </c>
      <c r="F2011" s="274"/>
      <c r="G2011" s="274">
        <f t="shared" si="7"/>
        <v>0</v>
      </c>
      <c r="H2011" s="274">
        <v>0</v>
      </c>
      <c r="K2011" s="274"/>
    </row>
    <row r="2012" spans="1:11" ht="13.5" customHeight="1">
      <c r="B2012" s="209" t="s">
        <v>369</v>
      </c>
      <c r="C2012" s="209" t="s">
        <v>2603</v>
      </c>
      <c r="D2012" s="449" t="s">
        <v>136</v>
      </c>
      <c r="E2012" s="273">
        <v>0</v>
      </c>
      <c r="F2012" s="274"/>
      <c r="G2012" s="274">
        <f t="shared" si="7"/>
        <v>0</v>
      </c>
      <c r="H2012" s="274">
        <v>0</v>
      </c>
      <c r="K2012" s="274"/>
    </row>
    <row r="2013" spans="1:11" ht="13.5" customHeight="1">
      <c r="B2013" s="209" t="s">
        <v>369</v>
      </c>
      <c r="C2013" s="209" t="s">
        <v>2603</v>
      </c>
      <c r="D2013" s="450" t="s">
        <v>137</v>
      </c>
      <c r="E2013" s="273">
        <v>0</v>
      </c>
      <c r="F2013" s="274"/>
      <c r="G2013" s="274">
        <f t="shared" si="7"/>
        <v>0</v>
      </c>
      <c r="H2013" s="274">
        <v>0</v>
      </c>
      <c r="K2013" s="274"/>
    </row>
    <row r="2014" spans="1:11" ht="13.5" customHeight="1">
      <c r="B2014" s="209" t="s">
        <v>369</v>
      </c>
      <c r="C2014" s="209" t="s">
        <v>2603</v>
      </c>
      <c r="D2014" s="451" t="s">
        <v>138</v>
      </c>
      <c r="E2014" s="273">
        <v>0</v>
      </c>
      <c r="F2014" s="274"/>
      <c r="G2014" s="274">
        <f t="shared" si="7"/>
        <v>0</v>
      </c>
      <c r="H2014" s="274">
        <v>0</v>
      </c>
      <c r="K2014" s="274"/>
    </row>
    <row r="2015" spans="1:11" ht="13.5" customHeight="1">
      <c r="B2015" s="209" t="s">
        <v>369</v>
      </c>
      <c r="C2015" s="209" t="s">
        <v>2603</v>
      </c>
      <c r="D2015" s="452" t="s">
        <v>139</v>
      </c>
      <c r="E2015" s="273">
        <v>0</v>
      </c>
      <c r="F2015" s="274"/>
      <c r="G2015" s="274">
        <f t="shared" si="7"/>
        <v>0</v>
      </c>
      <c r="H2015" s="274">
        <v>0</v>
      </c>
      <c r="K2015" s="274"/>
    </row>
    <row r="2016" spans="1:11" ht="13.5" customHeight="1">
      <c r="B2016" s="209" t="s">
        <v>369</v>
      </c>
      <c r="C2016" s="209" t="s">
        <v>2603</v>
      </c>
      <c r="D2016" s="216" t="s">
        <v>140</v>
      </c>
      <c r="E2016" s="273">
        <v>0</v>
      </c>
      <c r="F2016" s="274"/>
      <c r="G2016" s="274">
        <f t="shared" si="7"/>
        <v>0</v>
      </c>
      <c r="H2016" s="274">
        <v>0</v>
      </c>
      <c r="K2016" s="274"/>
    </row>
    <row r="2017" spans="2:11" ht="13.5" customHeight="1">
      <c r="B2017" s="209" t="s">
        <v>369</v>
      </c>
      <c r="C2017" s="209" t="s">
        <v>2603</v>
      </c>
      <c r="D2017" s="453" t="s">
        <v>141</v>
      </c>
      <c r="E2017" s="273">
        <v>0</v>
      </c>
      <c r="F2017" s="274"/>
      <c r="G2017" s="274">
        <f t="shared" si="7"/>
        <v>0</v>
      </c>
      <c r="H2017" s="274">
        <v>0</v>
      </c>
      <c r="K2017" s="274"/>
    </row>
    <row r="2018" spans="2:11" ht="13.5" customHeight="1">
      <c r="B2018" s="209" t="s">
        <v>245</v>
      </c>
      <c r="C2018" s="209" t="s">
        <v>2604</v>
      </c>
      <c r="D2018" s="446" t="s">
        <v>133</v>
      </c>
      <c r="E2018" s="273">
        <v>0</v>
      </c>
      <c r="F2018" s="274"/>
      <c r="G2018" s="274">
        <f t="shared" si="7"/>
        <v>0</v>
      </c>
      <c r="H2018" s="274">
        <v>0</v>
      </c>
      <c r="K2018" s="274"/>
    </row>
    <row r="2019" spans="2:11" ht="13.5" customHeight="1">
      <c r="B2019" s="209" t="s">
        <v>245</v>
      </c>
      <c r="C2019" s="209" t="s">
        <v>2604</v>
      </c>
      <c r="D2019" s="447" t="s">
        <v>134</v>
      </c>
      <c r="E2019" s="273">
        <v>0</v>
      </c>
      <c r="F2019" s="274"/>
      <c r="G2019" s="274">
        <f t="shared" si="7"/>
        <v>0</v>
      </c>
      <c r="H2019" s="274">
        <v>0</v>
      </c>
      <c r="K2019" s="274"/>
    </row>
    <row r="2020" spans="2:11" ht="13.5" customHeight="1">
      <c r="B2020" s="209" t="s">
        <v>245</v>
      </c>
      <c r="C2020" s="209" t="s">
        <v>2604</v>
      </c>
      <c r="D2020" s="448" t="s">
        <v>135</v>
      </c>
      <c r="E2020" s="273">
        <v>0</v>
      </c>
      <c r="F2020" s="274"/>
      <c r="G2020" s="274">
        <f t="shared" si="7"/>
        <v>0</v>
      </c>
      <c r="H2020" s="274">
        <v>0</v>
      </c>
      <c r="K2020" s="274"/>
    </row>
    <row r="2021" spans="2:11" ht="13.5" customHeight="1">
      <c r="B2021" s="209" t="s">
        <v>245</v>
      </c>
      <c r="C2021" s="209" t="s">
        <v>2604</v>
      </c>
      <c r="D2021" s="449" t="s">
        <v>136</v>
      </c>
      <c r="E2021" s="273">
        <v>0</v>
      </c>
      <c r="F2021" s="274"/>
      <c r="G2021" s="274">
        <f t="shared" si="7"/>
        <v>0</v>
      </c>
      <c r="H2021" s="274">
        <v>0</v>
      </c>
      <c r="K2021" s="274"/>
    </row>
    <row r="2022" spans="2:11" ht="13.5" customHeight="1">
      <c r="B2022" s="209" t="s">
        <v>245</v>
      </c>
      <c r="C2022" s="209" t="s">
        <v>2604</v>
      </c>
      <c r="D2022" s="450" t="s">
        <v>137</v>
      </c>
      <c r="E2022" s="273">
        <v>0</v>
      </c>
      <c r="F2022" s="274"/>
      <c r="G2022" s="274">
        <f t="shared" si="7"/>
        <v>0</v>
      </c>
      <c r="H2022" s="274">
        <v>0</v>
      </c>
      <c r="K2022" s="274"/>
    </row>
    <row r="2023" spans="2:11" ht="13.5" customHeight="1">
      <c r="B2023" s="209" t="s">
        <v>245</v>
      </c>
      <c r="C2023" s="209" t="s">
        <v>2604</v>
      </c>
      <c r="D2023" s="451" t="s">
        <v>138</v>
      </c>
      <c r="E2023" s="273">
        <v>0</v>
      </c>
      <c r="F2023" s="274"/>
      <c r="G2023" s="274">
        <f t="shared" si="7"/>
        <v>0</v>
      </c>
      <c r="H2023" s="274">
        <v>0</v>
      </c>
      <c r="K2023" s="274"/>
    </row>
    <row r="2024" spans="2:11" ht="13.5" customHeight="1">
      <c r="B2024" s="209" t="s">
        <v>245</v>
      </c>
      <c r="C2024" s="209" t="s">
        <v>2604</v>
      </c>
      <c r="D2024" s="452" t="s">
        <v>139</v>
      </c>
      <c r="E2024" s="273">
        <v>0</v>
      </c>
      <c r="F2024" s="274"/>
      <c r="G2024" s="274">
        <f t="shared" si="7"/>
        <v>0</v>
      </c>
      <c r="H2024" s="274">
        <v>0</v>
      </c>
      <c r="K2024" s="274"/>
    </row>
    <row r="2025" spans="2:11" ht="13.5" customHeight="1">
      <c r="B2025" s="209" t="s">
        <v>245</v>
      </c>
      <c r="C2025" s="209" t="s">
        <v>2604</v>
      </c>
      <c r="D2025" s="216" t="s">
        <v>140</v>
      </c>
      <c r="E2025" s="273">
        <v>0</v>
      </c>
      <c r="F2025" s="274"/>
      <c r="G2025" s="274">
        <f t="shared" si="7"/>
        <v>0</v>
      </c>
      <c r="H2025" s="274">
        <v>0</v>
      </c>
      <c r="K2025" s="274"/>
    </row>
    <row r="2026" spans="2:11" ht="13.5" customHeight="1">
      <c r="B2026" s="209" t="s">
        <v>245</v>
      </c>
      <c r="C2026" s="209" t="s">
        <v>2604</v>
      </c>
      <c r="D2026" s="453" t="s">
        <v>141</v>
      </c>
      <c r="E2026" s="273">
        <v>0</v>
      </c>
      <c r="F2026" s="274"/>
      <c r="G2026" s="274">
        <f t="shared" si="7"/>
        <v>0</v>
      </c>
      <c r="H2026" s="274">
        <v>0</v>
      </c>
      <c r="K2026" s="274"/>
    </row>
    <row r="2027" spans="2:11" ht="13.5" customHeight="1">
      <c r="B2027" s="209" t="s">
        <v>429</v>
      </c>
      <c r="C2027" s="209" t="s">
        <v>3531</v>
      </c>
      <c r="D2027" s="446" t="s">
        <v>133</v>
      </c>
      <c r="E2027" s="273">
        <v>0</v>
      </c>
      <c r="F2027" s="274"/>
      <c r="G2027" s="274">
        <f t="shared" si="7"/>
        <v>0</v>
      </c>
      <c r="H2027" s="274">
        <v>0</v>
      </c>
      <c r="K2027" s="274"/>
    </row>
    <row r="2028" spans="2:11" ht="13.5" customHeight="1">
      <c r="B2028" s="209" t="s">
        <v>429</v>
      </c>
      <c r="C2028" s="209" t="s">
        <v>3531</v>
      </c>
      <c r="D2028" s="447" t="s">
        <v>134</v>
      </c>
      <c r="E2028" s="273">
        <v>0</v>
      </c>
      <c r="F2028" s="274"/>
      <c r="G2028" s="274">
        <f t="shared" si="7"/>
        <v>0</v>
      </c>
      <c r="H2028" s="274">
        <v>0</v>
      </c>
      <c r="K2028" s="274"/>
    </row>
    <row r="2029" spans="2:11" ht="13.5" customHeight="1">
      <c r="B2029" s="209" t="s">
        <v>429</v>
      </c>
      <c r="C2029" s="209" t="s">
        <v>3531</v>
      </c>
      <c r="D2029" s="448" t="s">
        <v>135</v>
      </c>
      <c r="E2029" s="273">
        <v>0</v>
      </c>
      <c r="F2029" s="274"/>
      <c r="G2029" s="274">
        <f t="shared" si="7"/>
        <v>0</v>
      </c>
      <c r="H2029" s="274">
        <v>0</v>
      </c>
      <c r="K2029" s="274"/>
    </row>
    <row r="2030" spans="2:11" ht="13.5" customHeight="1">
      <c r="B2030" s="209" t="s">
        <v>429</v>
      </c>
      <c r="C2030" s="209" t="s">
        <v>3531</v>
      </c>
      <c r="D2030" s="449" t="s">
        <v>136</v>
      </c>
      <c r="E2030" s="273">
        <v>0</v>
      </c>
      <c r="F2030" s="274"/>
      <c r="G2030" s="274">
        <f t="shared" si="7"/>
        <v>0</v>
      </c>
      <c r="H2030" s="274">
        <v>0</v>
      </c>
      <c r="K2030" s="274"/>
    </row>
    <row r="2031" spans="2:11" ht="13.5" customHeight="1">
      <c r="B2031" s="209" t="s">
        <v>429</v>
      </c>
      <c r="C2031" s="209" t="s">
        <v>3531</v>
      </c>
      <c r="D2031" s="450" t="s">
        <v>137</v>
      </c>
      <c r="E2031" s="273">
        <v>0</v>
      </c>
      <c r="F2031" s="274"/>
      <c r="G2031" s="274">
        <f t="shared" si="7"/>
        <v>0</v>
      </c>
      <c r="H2031" s="274">
        <v>0</v>
      </c>
      <c r="K2031" s="274"/>
    </row>
    <row r="2032" spans="2:11" ht="13.5" customHeight="1">
      <c r="B2032" s="209" t="s">
        <v>429</v>
      </c>
      <c r="C2032" s="209" t="s">
        <v>3531</v>
      </c>
      <c r="D2032" s="451" t="s">
        <v>138</v>
      </c>
      <c r="E2032" s="273">
        <v>0</v>
      </c>
      <c r="F2032" s="274"/>
      <c r="G2032" s="274">
        <f t="shared" si="7"/>
        <v>0</v>
      </c>
      <c r="H2032" s="274">
        <v>0</v>
      </c>
      <c r="K2032" s="274"/>
    </row>
    <row r="2033" spans="2:11" ht="13.5" customHeight="1">
      <c r="B2033" s="209" t="s">
        <v>429</v>
      </c>
      <c r="C2033" s="209" t="s">
        <v>3531</v>
      </c>
      <c r="D2033" s="452" t="s">
        <v>139</v>
      </c>
      <c r="E2033" s="273">
        <v>0</v>
      </c>
      <c r="F2033" s="274"/>
      <c r="G2033" s="274">
        <f t="shared" si="7"/>
        <v>0</v>
      </c>
      <c r="H2033" s="274">
        <v>0</v>
      </c>
      <c r="K2033" s="274"/>
    </row>
    <row r="2034" spans="2:11" ht="13.5" customHeight="1">
      <c r="B2034" s="209" t="s">
        <v>429</v>
      </c>
      <c r="C2034" s="209" t="s">
        <v>3531</v>
      </c>
      <c r="D2034" s="216" t="s">
        <v>140</v>
      </c>
      <c r="E2034" s="273">
        <v>0</v>
      </c>
      <c r="F2034" s="274"/>
      <c r="G2034" s="274">
        <f t="shared" si="7"/>
        <v>0</v>
      </c>
      <c r="H2034" s="274">
        <v>0</v>
      </c>
      <c r="K2034" s="274"/>
    </row>
    <row r="2035" spans="2:11" ht="13.5" customHeight="1">
      <c r="B2035" s="209" t="s">
        <v>429</v>
      </c>
      <c r="C2035" s="209" t="s">
        <v>3531</v>
      </c>
      <c r="D2035" s="453" t="s">
        <v>141</v>
      </c>
      <c r="E2035" s="273">
        <v>0</v>
      </c>
      <c r="F2035" s="274"/>
      <c r="G2035" s="274">
        <f t="shared" si="7"/>
        <v>0</v>
      </c>
      <c r="H2035" s="274">
        <v>0</v>
      </c>
      <c r="K2035" s="274"/>
    </row>
    <row r="2036" spans="2:11" ht="13.5" customHeight="1">
      <c r="B2036" s="209" t="s">
        <v>415</v>
      </c>
      <c r="C2036" s="209" t="s">
        <v>3532</v>
      </c>
      <c r="D2036" s="446" t="s">
        <v>133</v>
      </c>
      <c r="E2036" s="273">
        <v>0</v>
      </c>
      <c r="F2036" s="274"/>
      <c r="G2036" s="274">
        <f t="shared" si="7"/>
        <v>0</v>
      </c>
      <c r="H2036" s="274">
        <v>0</v>
      </c>
      <c r="K2036" s="274"/>
    </row>
    <row r="2037" spans="2:11" ht="13.5" customHeight="1">
      <c r="B2037" s="209" t="s">
        <v>415</v>
      </c>
      <c r="C2037" s="209" t="s">
        <v>3532</v>
      </c>
      <c r="D2037" s="447" t="s">
        <v>134</v>
      </c>
      <c r="E2037" s="273">
        <v>0</v>
      </c>
      <c r="F2037" s="274"/>
      <c r="G2037" s="274">
        <f t="shared" si="7"/>
        <v>0</v>
      </c>
      <c r="H2037" s="274">
        <v>0</v>
      </c>
      <c r="K2037" s="274"/>
    </row>
    <row r="2038" spans="2:11" ht="13.5" customHeight="1">
      <c r="B2038" s="209" t="s">
        <v>415</v>
      </c>
      <c r="C2038" s="209" t="s">
        <v>3532</v>
      </c>
      <c r="D2038" s="448" t="s">
        <v>135</v>
      </c>
      <c r="E2038" s="273">
        <v>0</v>
      </c>
      <c r="F2038" s="274"/>
      <c r="G2038" s="274">
        <f t="shared" si="7"/>
        <v>0</v>
      </c>
      <c r="H2038" s="274">
        <v>0</v>
      </c>
      <c r="K2038" s="274"/>
    </row>
    <row r="2039" spans="2:11" ht="13.5" customHeight="1">
      <c r="B2039" s="209" t="s">
        <v>415</v>
      </c>
      <c r="C2039" s="209" t="s">
        <v>3532</v>
      </c>
      <c r="D2039" s="449" t="s">
        <v>136</v>
      </c>
      <c r="E2039" s="273">
        <v>0</v>
      </c>
      <c r="F2039" s="274"/>
      <c r="G2039" s="274">
        <f t="shared" si="7"/>
        <v>0</v>
      </c>
      <c r="H2039" s="274">
        <v>0</v>
      </c>
      <c r="K2039" s="274"/>
    </row>
    <row r="2040" spans="2:11" ht="13.5" customHeight="1">
      <c r="B2040" s="209" t="s">
        <v>415</v>
      </c>
      <c r="C2040" s="209" t="s">
        <v>3532</v>
      </c>
      <c r="D2040" s="450" t="s">
        <v>137</v>
      </c>
      <c r="E2040" s="273">
        <v>0</v>
      </c>
      <c r="F2040" s="274"/>
      <c r="G2040" s="274">
        <f t="shared" si="7"/>
        <v>0</v>
      </c>
      <c r="H2040" s="274">
        <v>0</v>
      </c>
      <c r="K2040" s="274"/>
    </row>
    <row r="2041" spans="2:11" ht="13.5" customHeight="1">
      <c r="B2041" s="209" t="s">
        <v>415</v>
      </c>
      <c r="C2041" s="209" t="s">
        <v>3532</v>
      </c>
      <c r="D2041" s="451" t="s">
        <v>138</v>
      </c>
      <c r="E2041" s="273">
        <v>0</v>
      </c>
      <c r="F2041" s="274"/>
      <c r="G2041" s="274">
        <f t="shared" si="7"/>
        <v>0</v>
      </c>
      <c r="H2041" s="274">
        <v>0</v>
      </c>
      <c r="K2041" s="274"/>
    </row>
    <row r="2042" spans="2:11" ht="13.5" customHeight="1">
      <c r="B2042" s="209" t="s">
        <v>415</v>
      </c>
      <c r="C2042" s="209" t="s">
        <v>3532</v>
      </c>
      <c r="D2042" s="452" t="s">
        <v>139</v>
      </c>
      <c r="E2042" s="273">
        <v>0</v>
      </c>
      <c r="F2042" s="274"/>
      <c r="G2042" s="274">
        <f t="shared" ref="G2042:G2296" si="8">E2042*F2042</f>
        <v>0</v>
      </c>
      <c r="H2042" s="274">
        <v>0</v>
      </c>
      <c r="K2042" s="274"/>
    </row>
    <row r="2043" spans="2:11" ht="13.5" customHeight="1">
      <c r="B2043" s="209" t="s">
        <v>415</v>
      </c>
      <c r="C2043" s="209" t="s">
        <v>3532</v>
      </c>
      <c r="D2043" s="216" t="s">
        <v>140</v>
      </c>
      <c r="E2043" s="273">
        <v>0</v>
      </c>
      <c r="F2043" s="274"/>
      <c r="G2043" s="274">
        <f t="shared" si="8"/>
        <v>0</v>
      </c>
      <c r="H2043" s="274">
        <v>0</v>
      </c>
      <c r="K2043" s="274"/>
    </row>
    <row r="2044" spans="2:11" ht="13.5" customHeight="1">
      <c r="B2044" s="209" t="s">
        <v>415</v>
      </c>
      <c r="C2044" s="209" t="s">
        <v>3532</v>
      </c>
      <c r="D2044" s="453" t="s">
        <v>141</v>
      </c>
      <c r="E2044" s="273">
        <v>0</v>
      </c>
      <c r="F2044" s="274"/>
      <c r="G2044" s="274">
        <f t="shared" si="8"/>
        <v>0</v>
      </c>
      <c r="H2044" s="274">
        <v>0</v>
      </c>
      <c r="K2044" s="274"/>
    </row>
    <row r="2045" spans="2:11" ht="13.5" customHeight="1">
      <c r="B2045" s="209" t="s">
        <v>417</v>
      </c>
      <c r="C2045" s="209" t="s">
        <v>3533</v>
      </c>
      <c r="D2045" s="446" t="s">
        <v>133</v>
      </c>
      <c r="E2045" s="273">
        <v>0</v>
      </c>
      <c r="F2045" s="274"/>
      <c r="G2045" s="274">
        <f t="shared" si="8"/>
        <v>0</v>
      </c>
      <c r="H2045" s="274">
        <v>0</v>
      </c>
      <c r="K2045" s="274"/>
    </row>
    <row r="2046" spans="2:11" ht="13.5" customHeight="1">
      <c r="B2046" s="209" t="s">
        <v>417</v>
      </c>
      <c r="C2046" s="209" t="s">
        <v>3533</v>
      </c>
      <c r="D2046" s="447" t="s">
        <v>134</v>
      </c>
      <c r="E2046" s="273">
        <v>0</v>
      </c>
      <c r="F2046" s="274"/>
      <c r="G2046" s="274">
        <f t="shared" si="8"/>
        <v>0</v>
      </c>
      <c r="H2046" s="274">
        <v>0</v>
      </c>
      <c r="K2046" s="274"/>
    </row>
    <row r="2047" spans="2:11" ht="13.5" customHeight="1">
      <c r="B2047" s="209" t="s">
        <v>417</v>
      </c>
      <c r="C2047" s="209" t="s">
        <v>3533</v>
      </c>
      <c r="D2047" s="448" t="s">
        <v>135</v>
      </c>
      <c r="E2047" s="273">
        <v>0</v>
      </c>
      <c r="F2047" s="274"/>
      <c r="G2047" s="274">
        <f t="shared" si="8"/>
        <v>0</v>
      </c>
      <c r="H2047" s="274">
        <v>0</v>
      </c>
      <c r="K2047" s="274"/>
    </row>
    <row r="2048" spans="2:11" ht="13.5" customHeight="1">
      <c r="B2048" s="209" t="s">
        <v>417</v>
      </c>
      <c r="C2048" s="209" t="s">
        <v>3533</v>
      </c>
      <c r="D2048" s="449" t="s">
        <v>136</v>
      </c>
      <c r="E2048" s="273">
        <v>0</v>
      </c>
      <c r="F2048" s="274"/>
      <c r="G2048" s="274">
        <f t="shared" si="8"/>
        <v>0</v>
      </c>
      <c r="H2048" s="274">
        <v>0</v>
      </c>
      <c r="K2048" s="274"/>
    </row>
    <row r="2049" spans="2:11" ht="13.5" customHeight="1">
      <c r="B2049" s="209" t="s">
        <v>417</v>
      </c>
      <c r="C2049" s="209" t="s">
        <v>3533</v>
      </c>
      <c r="D2049" s="450" t="s">
        <v>137</v>
      </c>
      <c r="E2049" s="273">
        <v>0</v>
      </c>
      <c r="F2049" s="274"/>
      <c r="G2049" s="274">
        <f t="shared" si="8"/>
        <v>0</v>
      </c>
      <c r="H2049" s="274">
        <v>0</v>
      </c>
      <c r="K2049" s="274"/>
    </row>
    <row r="2050" spans="2:11" ht="13.5" customHeight="1">
      <c r="B2050" s="209" t="s">
        <v>417</v>
      </c>
      <c r="C2050" s="209" t="s">
        <v>3533</v>
      </c>
      <c r="D2050" s="451" t="s">
        <v>138</v>
      </c>
      <c r="E2050" s="273">
        <v>0</v>
      </c>
      <c r="F2050" s="274"/>
      <c r="G2050" s="274">
        <f t="shared" si="8"/>
        <v>0</v>
      </c>
      <c r="H2050" s="274">
        <v>0</v>
      </c>
      <c r="K2050" s="274"/>
    </row>
    <row r="2051" spans="2:11" ht="13.5" customHeight="1">
      <c r="B2051" s="209" t="s">
        <v>417</v>
      </c>
      <c r="C2051" s="209" t="s">
        <v>3533</v>
      </c>
      <c r="D2051" s="452" t="s">
        <v>139</v>
      </c>
      <c r="E2051" s="273">
        <v>0</v>
      </c>
      <c r="F2051" s="274"/>
      <c r="G2051" s="274">
        <f t="shared" si="8"/>
        <v>0</v>
      </c>
      <c r="H2051" s="274">
        <v>0</v>
      </c>
      <c r="K2051" s="274"/>
    </row>
    <row r="2052" spans="2:11" ht="13.5" customHeight="1">
      <c r="B2052" s="209" t="s">
        <v>417</v>
      </c>
      <c r="C2052" s="209" t="s">
        <v>3533</v>
      </c>
      <c r="D2052" s="216" t="s">
        <v>140</v>
      </c>
      <c r="E2052" s="273">
        <v>0</v>
      </c>
      <c r="F2052" s="274"/>
      <c r="G2052" s="274">
        <f t="shared" si="8"/>
        <v>0</v>
      </c>
      <c r="H2052" s="274">
        <v>0</v>
      </c>
      <c r="K2052" s="274"/>
    </row>
    <row r="2053" spans="2:11" ht="13.5" customHeight="1">
      <c r="B2053" s="209" t="s">
        <v>417</v>
      </c>
      <c r="C2053" s="209" t="s">
        <v>3533</v>
      </c>
      <c r="D2053" s="453" t="s">
        <v>141</v>
      </c>
      <c r="E2053" s="273">
        <v>0</v>
      </c>
      <c r="F2053" s="274"/>
      <c r="G2053" s="274">
        <f t="shared" si="8"/>
        <v>0</v>
      </c>
      <c r="H2053" s="274">
        <v>0</v>
      </c>
      <c r="K2053" s="274"/>
    </row>
    <row r="2054" spans="2:11" ht="13.5" customHeight="1">
      <c r="B2054" s="209" t="s">
        <v>437</v>
      </c>
      <c r="C2054" s="209" t="s">
        <v>3534</v>
      </c>
      <c r="D2054" s="446" t="s">
        <v>133</v>
      </c>
      <c r="E2054" s="273">
        <v>0</v>
      </c>
      <c r="F2054" s="274"/>
      <c r="G2054" s="274">
        <f t="shared" si="8"/>
        <v>0</v>
      </c>
      <c r="H2054" s="274">
        <v>0</v>
      </c>
      <c r="K2054" s="274"/>
    </row>
    <row r="2055" spans="2:11" ht="13.5" customHeight="1">
      <c r="B2055" s="209" t="s">
        <v>437</v>
      </c>
      <c r="C2055" s="209" t="s">
        <v>3534</v>
      </c>
      <c r="D2055" s="447" t="s">
        <v>134</v>
      </c>
      <c r="E2055" s="273">
        <v>0</v>
      </c>
      <c r="F2055" s="274"/>
      <c r="G2055" s="274">
        <f t="shared" si="8"/>
        <v>0</v>
      </c>
      <c r="H2055" s="274">
        <v>0</v>
      </c>
      <c r="K2055" s="274"/>
    </row>
    <row r="2056" spans="2:11" ht="13.5" customHeight="1">
      <c r="B2056" s="209" t="s">
        <v>437</v>
      </c>
      <c r="C2056" s="209" t="s">
        <v>3534</v>
      </c>
      <c r="D2056" s="448" t="s">
        <v>135</v>
      </c>
      <c r="E2056" s="273">
        <v>0</v>
      </c>
      <c r="F2056" s="274"/>
      <c r="G2056" s="274">
        <f t="shared" si="8"/>
        <v>0</v>
      </c>
      <c r="H2056" s="274">
        <v>0</v>
      </c>
      <c r="K2056" s="274"/>
    </row>
    <row r="2057" spans="2:11" ht="13.5" customHeight="1">
      <c r="B2057" s="209" t="s">
        <v>437</v>
      </c>
      <c r="C2057" s="209" t="s">
        <v>3534</v>
      </c>
      <c r="D2057" s="449" t="s">
        <v>136</v>
      </c>
      <c r="E2057" s="273">
        <v>0</v>
      </c>
      <c r="F2057" s="274"/>
      <c r="G2057" s="274">
        <f t="shared" si="8"/>
        <v>0</v>
      </c>
      <c r="H2057" s="274">
        <v>0</v>
      </c>
      <c r="K2057" s="274"/>
    </row>
    <row r="2058" spans="2:11" ht="13.5" customHeight="1">
      <c r="B2058" s="209" t="s">
        <v>437</v>
      </c>
      <c r="C2058" s="209" t="s">
        <v>3534</v>
      </c>
      <c r="D2058" s="450" t="s">
        <v>137</v>
      </c>
      <c r="E2058" s="273">
        <v>0</v>
      </c>
      <c r="F2058" s="274"/>
      <c r="G2058" s="274">
        <f t="shared" si="8"/>
        <v>0</v>
      </c>
      <c r="H2058" s="274">
        <v>0</v>
      </c>
      <c r="K2058" s="274"/>
    </row>
    <row r="2059" spans="2:11" ht="13.5" customHeight="1">
      <c r="B2059" s="209" t="s">
        <v>437</v>
      </c>
      <c r="C2059" s="209" t="s">
        <v>3534</v>
      </c>
      <c r="D2059" s="451" t="s">
        <v>138</v>
      </c>
      <c r="E2059" s="273">
        <v>0</v>
      </c>
      <c r="F2059" s="274"/>
      <c r="G2059" s="274">
        <f t="shared" si="8"/>
        <v>0</v>
      </c>
      <c r="H2059" s="274">
        <v>0</v>
      </c>
      <c r="K2059" s="274"/>
    </row>
    <row r="2060" spans="2:11" ht="13.5" customHeight="1">
      <c r="B2060" s="209" t="s">
        <v>437</v>
      </c>
      <c r="C2060" s="209" t="s">
        <v>3534</v>
      </c>
      <c r="D2060" s="452" t="s">
        <v>139</v>
      </c>
      <c r="E2060" s="273">
        <v>0</v>
      </c>
      <c r="F2060" s="274"/>
      <c r="G2060" s="274">
        <f t="shared" si="8"/>
        <v>0</v>
      </c>
      <c r="H2060" s="274">
        <v>0</v>
      </c>
      <c r="K2060" s="274"/>
    </row>
    <row r="2061" spans="2:11" ht="13.5" customHeight="1">
      <c r="B2061" s="209" t="s">
        <v>437</v>
      </c>
      <c r="C2061" s="209" t="s">
        <v>3534</v>
      </c>
      <c r="D2061" s="216" t="s">
        <v>140</v>
      </c>
      <c r="E2061" s="273">
        <v>0</v>
      </c>
      <c r="F2061" s="274"/>
      <c r="G2061" s="274">
        <f t="shared" si="8"/>
        <v>0</v>
      </c>
      <c r="H2061" s="274">
        <v>0</v>
      </c>
      <c r="K2061" s="274"/>
    </row>
    <row r="2062" spans="2:11" ht="13.5" customHeight="1">
      <c r="B2062" s="209" t="s">
        <v>437</v>
      </c>
      <c r="C2062" s="209" t="s">
        <v>3534</v>
      </c>
      <c r="D2062" s="453" t="s">
        <v>141</v>
      </c>
      <c r="E2062" s="273">
        <v>0</v>
      </c>
      <c r="F2062" s="274"/>
      <c r="G2062" s="274">
        <f t="shared" si="8"/>
        <v>0</v>
      </c>
      <c r="H2062" s="274">
        <v>0</v>
      </c>
      <c r="K2062" s="274"/>
    </row>
    <row r="2063" spans="2:11" ht="13.5" customHeight="1">
      <c r="B2063" s="209" t="s">
        <v>397</v>
      </c>
      <c r="C2063" s="209" t="s">
        <v>3535</v>
      </c>
      <c r="D2063" s="446" t="s">
        <v>133</v>
      </c>
      <c r="E2063" s="273">
        <v>0</v>
      </c>
      <c r="F2063" s="274"/>
      <c r="G2063" s="274">
        <f t="shared" si="8"/>
        <v>0</v>
      </c>
      <c r="H2063" s="274">
        <v>0</v>
      </c>
      <c r="K2063" s="274"/>
    </row>
    <row r="2064" spans="2:11" ht="13.5" customHeight="1">
      <c r="B2064" s="209" t="s">
        <v>397</v>
      </c>
      <c r="C2064" s="209" t="s">
        <v>3535</v>
      </c>
      <c r="D2064" s="447" t="s">
        <v>134</v>
      </c>
      <c r="E2064" s="273">
        <v>0</v>
      </c>
      <c r="F2064" s="274"/>
      <c r="G2064" s="274">
        <f t="shared" si="8"/>
        <v>0</v>
      </c>
      <c r="H2064" s="274">
        <v>0</v>
      </c>
      <c r="K2064" s="274"/>
    </row>
    <row r="2065" spans="2:11" ht="13.5" customHeight="1">
      <c r="B2065" s="209" t="s">
        <v>397</v>
      </c>
      <c r="C2065" s="209" t="s">
        <v>3535</v>
      </c>
      <c r="D2065" s="448" t="s">
        <v>135</v>
      </c>
      <c r="E2065" s="273">
        <v>0</v>
      </c>
      <c r="F2065" s="274"/>
      <c r="G2065" s="274">
        <f t="shared" si="8"/>
        <v>0</v>
      </c>
      <c r="H2065" s="274">
        <v>0</v>
      </c>
      <c r="K2065" s="274"/>
    </row>
    <row r="2066" spans="2:11" ht="13.5" customHeight="1">
      <c r="B2066" s="209" t="s">
        <v>397</v>
      </c>
      <c r="C2066" s="209" t="s">
        <v>3535</v>
      </c>
      <c r="D2066" s="449" t="s">
        <v>136</v>
      </c>
      <c r="E2066" s="273">
        <v>0</v>
      </c>
      <c r="F2066" s="274"/>
      <c r="G2066" s="274">
        <f t="shared" si="8"/>
        <v>0</v>
      </c>
      <c r="H2066" s="274">
        <v>0</v>
      </c>
      <c r="K2066" s="274"/>
    </row>
    <row r="2067" spans="2:11" ht="13.5" customHeight="1">
      <c r="B2067" s="209" t="s">
        <v>397</v>
      </c>
      <c r="C2067" s="209" t="s">
        <v>3535</v>
      </c>
      <c r="D2067" s="450" t="s">
        <v>137</v>
      </c>
      <c r="E2067" s="273">
        <v>0</v>
      </c>
      <c r="F2067" s="274"/>
      <c r="G2067" s="274">
        <f t="shared" si="8"/>
        <v>0</v>
      </c>
      <c r="H2067" s="274">
        <v>0</v>
      </c>
      <c r="K2067" s="274"/>
    </row>
    <row r="2068" spans="2:11" ht="13.5" customHeight="1">
      <c r="B2068" s="209" t="s">
        <v>397</v>
      </c>
      <c r="C2068" s="209" t="s">
        <v>3535</v>
      </c>
      <c r="D2068" s="451" t="s">
        <v>138</v>
      </c>
      <c r="E2068" s="273">
        <v>0</v>
      </c>
      <c r="F2068" s="274"/>
      <c r="G2068" s="274">
        <f t="shared" si="8"/>
        <v>0</v>
      </c>
      <c r="H2068" s="274">
        <v>0</v>
      </c>
      <c r="K2068" s="274"/>
    </row>
    <row r="2069" spans="2:11" ht="13.5" customHeight="1">
      <c r="B2069" s="209" t="s">
        <v>397</v>
      </c>
      <c r="C2069" s="209" t="s">
        <v>3535</v>
      </c>
      <c r="D2069" s="452" t="s">
        <v>139</v>
      </c>
      <c r="E2069" s="273">
        <v>0</v>
      </c>
      <c r="F2069" s="274"/>
      <c r="G2069" s="274">
        <f t="shared" si="8"/>
        <v>0</v>
      </c>
      <c r="H2069" s="274">
        <v>0</v>
      </c>
      <c r="K2069" s="274"/>
    </row>
    <row r="2070" spans="2:11" ht="13.5" customHeight="1">
      <c r="B2070" s="209" t="s">
        <v>397</v>
      </c>
      <c r="C2070" s="209" t="s">
        <v>3535</v>
      </c>
      <c r="D2070" s="216" t="s">
        <v>140</v>
      </c>
      <c r="E2070" s="273">
        <v>0</v>
      </c>
      <c r="F2070" s="274"/>
      <c r="G2070" s="274">
        <f t="shared" si="8"/>
        <v>0</v>
      </c>
      <c r="H2070" s="274">
        <v>0</v>
      </c>
      <c r="K2070" s="274"/>
    </row>
    <row r="2071" spans="2:11" ht="13.5" customHeight="1">
      <c r="B2071" s="209" t="s">
        <v>397</v>
      </c>
      <c r="C2071" s="209" t="s">
        <v>3535</v>
      </c>
      <c r="D2071" s="453" t="s">
        <v>141</v>
      </c>
      <c r="E2071" s="273">
        <v>0</v>
      </c>
      <c r="F2071" s="274"/>
      <c r="G2071" s="274">
        <f t="shared" si="8"/>
        <v>0</v>
      </c>
      <c r="H2071" s="274">
        <v>0</v>
      </c>
      <c r="K2071" s="274"/>
    </row>
    <row r="2072" spans="2:11" ht="13.5" customHeight="1">
      <c r="B2072" s="209" t="s">
        <v>399</v>
      </c>
      <c r="C2072" s="209" t="s">
        <v>3536</v>
      </c>
      <c r="D2072" s="446" t="s">
        <v>133</v>
      </c>
      <c r="E2072" s="273">
        <v>0</v>
      </c>
      <c r="F2072" s="274"/>
      <c r="G2072" s="274">
        <f t="shared" si="8"/>
        <v>0</v>
      </c>
      <c r="H2072" s="274">
        <v>0</v>
      </c>
      <c r="K2072" s="274"/>
    </row>
    <row r="2073" spans="2:11" ht="13.5" customHeight="1">
      <c r="B2073" s="209" t="s">
        <v>399</v>
      </c>
      <c r="C2073" s="209" t="s">
        <v>3536</v>
      </c>
      <c r="D2073" s="447" t="s">
        <v>134</v>
      </c>
      <c r="E2073" s="273">
        <v>0</v>
      </c>
      <c r="F2073" s="274"/>
      <c r="G2073" s="274">
        <f t="shared" si="8"/>
        <v>0</v>
      </c>
      <c r="H2073" s="274">
        <v>0</v>
      </c>
      <c r="K2073" s="274"/>
    </row>
    <row r="2074" spans="2:11" ht="13.5" customHeight="1">
      <c r="B2074" s="209" t="s">
        <v>399</v>
      </c>
      <c r="C2074" s="209" t="s">
        <v>3536</v>
      </c>
      <c r="D2074" s="448" t="s">
        <v>135</v>
      </c>
      <c r="E2074" s="273">
        <v>0</v>
      </c>
      <c r="F2074" s="274"/>
      <c r="G2074" s="274">
        <f t="shared" si="8"/>
        <v>0</v>
      </c>
      <c r="H2074" s="274">
        <v>0</v>
      </c>
      <c r="K2074" s="274"/>
    </row>
    <row r="2075" spans="2:11" ht="13.5" customHeight="1">
      <c r="B2075" s="209" t="s">
        <v>399</v>
      </c>
      <c r="C2075" s="209" t="s">
        <v>3536</v>
      </c>
      <c r="D2075" s="449" t="s">
        <v>136</v>
      </c>
      <c r="E2075" s="273">
        <v>0</v>
      </c>
      <c r="F2075" s="274"/>
      <c r="G2075" s="274">
        <f t="shared" si="8"/>
        <v>0</v>
      </c>
      <c r="H2075" s="274">
        <v>0</v>
      </c>
      <c r="K2075" s="274"/>
    </row>
    <row r="2076" spans="2:11" ht="13.5" customHeight="1">
      <c r="B2076" s="209" t="s">
        <v>399</v>
      </c>
      <c r="C2076" s="209" t="s">
        <v>3536</v>
      </c>
      <c r="D2076" s="450" t="s">
        <v>137</v>
      </c>
      <c r="E2076" s="273">
        <v>0</v>
      </c>
      <c r="F2076" s="274"/>
      <c r="G2076" s="274">
        <f t="shared" si="8"/>
        <v>0</v>
      </c>
      <c r="H2076" s="274">
        <v>0</v>
      </c>
      <c r="K2076" s="274"/>
    </row>
    <row r="2077" spans="2:11" ht="13.5" customHeight="1">
      <c r="B2077" s="209" t="s">
        <v>399</v>
      </c>
      <c r="C2077" s="209" t="s">
        <v>3536</v>
      </c>
      <c r="D2077" s="451" t="s">
        <v>138</v>
      </c>
      <c r="E2077" s="273">
        <v>0</v>
      </c>
      <c r="F2077" s="274"/>
      <c r="G2077" s="274">
        <f t="shared" si="8"/>
        <v>0</v>
      </c>
      <c r="H2077" s="274">
        <v>0</v>
      </c>
      <c r="K2077" s="274"/>
    </row>
    <row r="2078" spans="2:11" ht="13.5" customHeight="1">
      <c r="B2078" s="209" t="s">
        <v>399</v>
      </c>
      <c r="C2078" s="209" t="s">
        <v>3536</v>
      </c>
      <c r="D2078" s="452" t="s">
        <v>139</v>
      </c>
      <c r="E2078" s="273">
        <v>0</v>
      </c>
      <c r="F2078" s="274"/>
      <c r="G2078" s="274">
        <f t="shared" si="8"/>
        <v>0</v>
      </c>
      <c r="H2078" s="274">
        <v>0</v>
      </c>
      <c r="K2078" s="274"/>
    </row>
    <row r="2079" spans="2:11" ht="13.5" customHeight="1">
      <c r="B2079" s="209" t="s">
        <v>399</v>
      </c>
      <c r="C2079" s="209" t="s">
        <v>3536</v>
      </c>
      <c r="D2079" s="216" t="s">
        <v>140</v>
      </c>
      <c r="E2079" s="273">
        <v>0</v>
      </c>
      <c r="F2079" s="274"/>
      <c r="G2079" s="274">
        <f t="shared" si="8"/>
        <v>0</v>
      </c>
      <c r="H2079" s="274">
        <v>0</v>
      </c>
      <c r="K2079" s="274"/>
    </row>
    <row r="2080" spans="2:11" ht="13.5" customHeight="1">
      <c r="B2080" s="209" t="s">
        <v>399</v>
      </c>
      <c r="C2080" s="209" t="s">
        <v>3536</v>
      </c>
      <c r="D2080" s="453" t="s">
        <v>141</v>
      </c>
      <c r="E2080" s="273">
        <v>0</v>
      </c>
      <c r="F2080" s="274"/>
      <c r="G2080" s="274">
        <f t="shared" si="8"/>
        <v>0</v>
      </c>
      <c r="H2080" s="274">
        <v>0</v>
      </c>
      <c r="K2080" s="274"/>
    </row>
    <row r="2081" spans="2:11" ht="13.5" customHeight="1">
      <c r="B2081" s="209" t="s">
        <v>401</v>
      </c>
      <c r="C2081" s="209" t="s">
        <v>3537</v>
      </c>
      <c r="D2081" s="446" t="s">
        <v>133</v>
      </c>
      <c r="E2081" s="273">
        <v>0</v>
      </c>
      <c r="F2081" s="274"/>
      <c r="G2081" s="274">
        <f t="shared" si="8"/>
        <v>0</v>
      </c>
      <c r="H2081" s="274">
        <v>0</v>
      </c>
      <c r="K2081" s="274"/>
    </row>
    <row r="2082" spans="2:11" ht="13.5" customHeight="1">
      <c r="B2082" s="209" t="s">
        <v>401</v>
      </c>
      <c r="C2082" s="209" t="s">
        <v>3537</v>
      </c>
      <c r="D2082" s="447" t="s">
        <v>134</v>
      </c>
      <c r="E2082" s="273">
        <v>0</v>
      </c>
      <c r="F2082" s="274"/>
      <c r="G2082" s="274">
        <f t="shared" si="8"/>
        <v>0</v>
      </c>
      <c r="H2082" s="274">
        <v>0</v>
      </c>
      <c r="K2082" s="274"/>
    </row>
    <row r="2083" spans="2:11" ht="13.5" customHeight="1">
      <c r="B2083" s="209" t="s">
        <v>401</v>
      </c>
      <c r="C2083" s="209" t="s">
        <v>3537</v>
      </c>
      <c r="D2083" s="448" t="s">
        <v>135</v>
      </c>
      <c r="E2083" s="273">
        <v>0</v>
      </c>
      <c r="F2083" s="274"/>
      <c r="G2083" s="274">
        <f t="shared" si="8"/>
        <v>0</v>
      </c>
      <c r="H2083" s="274">
        <v>0</v>
      </c>
      <c r="K2083" s="274"/>
    </row>
    <row r="2084" spans="2:11" ht="13.5" customHeight="1">
      <c r="B2084" s="209" t="s">
        <v>401</v>
      </c>
      <c r="C2084" s="209" t="s">
        <v>3537</v>
      </c>
      <c r="D2084" s="449" t="s">
        <v>136</v>
      </c>
      <c r="E2084" s="273">
        <v>0</v>
      </c>
      <c r="F2084" s="274"/>
      <c r="G2084" s="274">
        <f t="shared" si="8"/>
        <v>0</v>
      </c>
      <c r="H2084" s="274">
        <v>0</v>
      </c>
      <c r="K2084" s="274"/>
    </row>
    <row r="2085" spans="2:11" ht="13.5" customHeight="1">
      <c r="B2085" s="209" t="s">
        <v>401</v>
      </c>
      <c r="C2085" s="209" t="s">
        <v>3537</v>
      </c>
      <c r="D2085" s="450" t="s">
        <v>137</v>
      </c>
      <c r="E2085" s="273">
        <v>0</v>
      </c>
      <c r="F2085" s="274"/>
      <c r="G2085" s="274">
        <f t="shared" si="8"/>
        <v>0</v>
      </c>
      <c r="H2085" s="274">
        <v>0</v>
      </c>
      <c r="K2085" s="274"/>
    </row>
    <row r="2086" spans="2:11" ht="13.5" customHeight="1">
      <c r="B2086" s="209" t="s">
        <v>401</v>
      </c>
      <c r="C2086" s="209" t="s">
        <v>3537</v>
      </c>
      <c r="D2086" s="451" t="s">
        <v>138</v>
      </c>
      <c r="E2086" s="273">
        <v>0</v>
      </c>
      <c r="F2086" s="274"/>
      <c r="G2086" s="274">
        <f t="shared" si="8"/>
        <v>0</v>
      </c>
      <c r="H2086" s="274">
        <v>0</v>
      </c>
      <c r="K2086" s="274"/>
    </row>
    <row r="2087" spans="2:11" ht="13.5" customHeight="1">
      <c r="B2087" s="209" t="s">
        <v>401</v>
      </c>
      <c r="C2087" s="209" t="s">
        <v>3537</v>
      </c>
      <c r="D2087" s="452" t="s">
        <v>139</v>
      </c>
      <c r="E2087" s="273">
        <v>0</v>
      </c>
      <c r="F2087" s="274"/>
      <c r="G2087" s="274">
        <f t="shared" si="8"/>
        <v>0</v>
      </c>
      <c r="H2087" s="274">
        <v>0</v>
      </c>
      <c r="K2087" s="274"/>
    </row>
    <row r="2088" spans="2:11" ht="13.5" customHeight="1">
      <c r="B2088" s="209" t="s">
        <v>401</v>
      </c>
      <c r="C2088" s="209" t="s">
        <v>3537</v>
      </c>
      <c r="D2088" s="216" t="s">
        <v>140</v>
      </c>
      <c r="E2088" s="273">
        <v>0</v>
      </c>
      <c r="F2088" s="274"/>
      <c r="G2088" s="274">
        <f t="shared" si="8"/>
        <v>0</v>
      </c>
      <c r="H2088" s="274">
        <v>0</v>
      </c>
      <c r="K2088" s="274"/>
    </row>
    <row r="2089" spans="2:11" ht="13.5" customHeight="1">
      <c r="B2089" s="209" t="s">
        <v>401</v>
      </c>
      <c r="C2089" s="209" t="s">
        <v>3537</v>
      </c>
      <c r="D2089" s="453" t="s">
        <v>141</v>
      </c>
      <c r="E2089" s="273">
        <v>0</v>
      </c>
      <c r="F2089" s="274"/>
      <c r="G2089" s="274">
        <f t="shared" si="8"/>
        <v>0</v>
      </c>
      <c r="H2089" s="274">
        <v>0</v>
      </c>
      <c r="K2089" s="274"/>
    </row>
    <row r="2090" spans="2:11" ht="13.5" customHeight="1">
      <c r="B2090" s="209" t="s">
        <v>403</v>
      </c>
      <c r="C2090" s="209" t="s">
        <v>3538</v>
      </c>
      <c r="D2090" s="446" t="s">
        <v>133</v>
      </c>
      <c r="E2090" s="273">
        <v>0</v>
      </c>
      <c r="F2090" s="274"/>
      <c r="G2090" s="274">
        <f t="shared" si="8"/>
        <v>0</v>
      </c>
      <c r="H2090" s="274">
        <v>0</v>
      </c>
      <c r="K2090" s="274"/>
    </row>
    <row r="2091" spans="2:11" ht="13.5" customHeight="1">
      <c r="B2091" s="209" t="s">
        <v>403</v>
      </c>
      <c r="C2091" s="209" t="s">
        <v>3538</v>
      </c>
      <c r="D2091" s="447" t="s">
        <v>134</v>
      </c>
      <c r="E2091" s="273">
        <v>0</v>
      </c>
      <c r="F2091" s="274"/>
      <c r="G2091" s="274">
        <f t="shared" si="8"/>
        <v>0</v>
      </c>
      <c r="H2091" s="274">
        <v>0</v>
      </c>
      <c r="K2091" s="274"/>
    </row>
    <row r="2092" spans="2:11" ht="13.5" customHeight="1">
      <c r="B2092" s="209" t="s">
        <v>403</v>
      </c>
      <c r="C2092" s="209" t="s">
        <v>3538</v>
      </c>
      <c r="D2092" s="448" t="s">
        <v>135</v>
      </c>
      <c r="E2092" s="273">
        <v>0</v>
      </c>
      <c r="F2092" s="274"/>
      <c r="G2092" s="274">
        <f t="shared" si="8"/>
        <v>0</v>
      </c>
      <c r="H2092" s="274">
        <v>0</v>
      </c>
      <c r="K2092" s="274"/>
    </row>
    <row r="2093" spans="2:11" ht="13.5" customHeight="1">
      <c r="B2093" s="209" t="s">
        <v>403</v>
      </c>
      <c r="C2093" s="209" t="s">
        <v>3538</v>
      </c>
      <c r="D2093" s="449" t="s">
        <v>136</v>
      </c>
      <c r="E2093" s="273">
        <v>0</v>
      </c>
      <c r="F2093" s="274"/>
      <c r="G2093" s="274">
        <f t="shared" si="8"/>
        <v>0</v>
      </c>
      <c r="H2093" s="274">
        <v>0</v>
      </c>
      <c r="K2093" s="274"/>
    </row>
    <row r="2094" spans="2:11" ht="13.5" customHeight="1">
      <c r="B2094" s="209" t="s">
        <v>403</v>
      </c>
      <c r="C2094" s="209" t="s">
        <v>3538</v>
      </c>
      <c r="D2094" s="450" t="s">
        <v>137</v>
      </c>
      <c r="E2094" s="273">
        <v>0</v>
      </c>
      <c r="F2094" s="274"/>
      <c r="G2094" s="274">
        <f t="shared" si="8"/>
        <v>0</v>
      </c>
      <c r="H2094" s="274">
        <v>0</v>
      </c>
      <c r="K2094" s="274"/>
    </row>
    <row r="2095" spans="2:11" ht="13.5" customHeight="1">
      <c r="B2095" s="209" t="s">
        <v>403</v>
      </c>
      <c r="C2095" s="209" t="s">
        <v>3538</v>
      </c>
      <c r="D2095" s="451" t="s">
        <v>138</v>
      </c>
      <c r="E2095" s="273">
        <v>0</v>
      </c>
      <c r="F2095" s="274"/>
      <c r="G2095" s="274">
        <f t="shared" si="8"/>
        <v>0</v>
      </c>
      <c r="H2095" s="274">
        <v>0</v>
      </c>
      <c r="K2095" s="274"/>
    </row>
    <row r="2096" spans="2:11" ht="13.5" customHeight="1">
      <c r="B2096" s="209" t="s">
        <v>403</v>
      </c>
      <c r="C2096" s="209" t="s">
        <v>3538</v>
      </c>
      <c r="D2096" s="452" t="s">
        <v>139</v>
      </c>
      <c r="E2096" s="273">
        <v>0</v>
      </c>
      <c r="F2096" s="274"/>
      <c r="G2096" s="274">
        <f t="shared" si="8"/>
        <v>0</v>
      </c>
      <c r="H2096" s="274">
        <v>0</v>
      </c>
      <c r="K2096" s="274"/>
    </row>
    <row r="2097" spans="2:11" ht="13.5" customHeight="1">
      <c r="B2097" s="209" t="s">
        <v>403</v>
      </c>
      <c r="C2097" s="209" t="s">
        <v>3538</v>
      </c>
      <c r="D2097" s="216" t="s">
        <v>140</v>
      </c>
      <c r="E2097" s="273">
        <v>0</v>
      </c>
      <c r="F2097" s="274"/>
      <c r="G2097" s="274">
        <f t="shared" si="8"/>
        <v>0</v>
      </c>
      <c r="H2097" s="274">
        <v>0</v>
      </c>
      <c r="K2097" s="274"/>
    </row>
    <row r="2098" spans="2:11" ht="13.5" customHeight="1">
      <c r="B2098" s="209" t="s">
        <v>403</v>
      </c>
      <c r="C2098" s="209" t="s">
        <v>3538</v>
      </c>
      <c r="D2098" s="453" t="s">
        <v>141</v>
      </c>
      <c r="E2098" s="273">
        <v>0</v>
      </c>
      <c r="F2098" s="274"/>
      <c r="G2098" s="274">
        <f t="shared" si="8"/>
        <v>0</v>
      </c>
      <c r="H2098" s="274">
        <v>0</v>
      </c>
      <c r="K2098" s="274"/>
    </row>
    <row r="2099" spans="2:11" ht="13.5" customHeight="1">
      <c r="B2099" s="209" t="s">
        <v>431</v>
      </c>
      <c r="C2099" s="209" t="s">
        <v>3539</v>
      </c>
      <c r="D2099" s="446" t="s">
        <v>133</v>
      </c>
      <c r="E2099" s="273">
        <v>0</v>
      </c>
      <c r="F2099" s="274"/>
      <c r="G2099" s="274">
        <f t="shared" si="8"/>
        <v>0</v>
      </c>
      <c r="H2099" s="274">
        <v>0</v>
      </c>
      <c r="K2099" s="274"/>
    </row>
    <row r="2100" spans="2:11" ht="13.5" customHeight="1">
      <c r="B2100" s="209" t="s">
        <v>431</v>
      </c>
      <c r="C2100" s="209" t="s">
        <v>3539</v>
      </c>
      <c r="D2100" s="447" t="s">
        <v>134</v>
      </c>
      <c r="E2100" s="273">
        <v>0</v>
      </c>
      <c r="F2100" s="274"/>
      <c r="G2100" s="274">
        <f t="shared" si="8"/>
        <v>0</v>
      </c>
      <c r="H2100" s="274">
        <v>0</v>
      </c>
      <c r="K2100" s="274"/>
    </row>
    <row r="2101" spans="2:11" ht="13.5" customHeight="1">
      <c r="B2101" s="209" t="s">
        <v>431</v>
      </c>
      <c r="C2101" s="209" t="s">
        <v>3539</v>
      </c>
      <c r="D2101" s="448" t="s">
        <v>135</v>
      </c>
      <c r="E2101" s="273">
        <v>0</v>
      </c>
      <c r="F2101" s="274"/>
      <c r="G2101" s="274">
        <f t="shared" si="8"/>
        <v>0</v>
      </c>
      <c r="H2101" s="274">
        <v>0</v>
      </c>
      <c r="K2101" s="274"/>
    </row>
    <row r="2102" spans="2:11" ht="13.5" customHeight="1">
      <c r="B2102" s="209" t="s">
        <v>431</v>
      </c>
      <c r="C2102" s="209" t="s">
        <v>3539</v>
      </c>
      <c r="D2102" s="449" t="s">
        <v>136</v>
      </c>
      <c r="E2102" s="273">
        <v>0</v>
      </c>
      <c r="F2102" s="274"/>
      <c r="G2102" s="274">
        <f t="shared" si="8"/>
        <v>0</v>
      </c>
      <c r="H2102" s="274">
        <v>0</v>
      </c>
      <c r="K2102" s="274"/>
    </row>
    <row r="2103" spans="2:11" ht="13.5" customHeight="1">
      <c r="B2103" s="209" t="s">
        <v>431</v>
      </c>
      <c r="C2103" s="209" t="s">
        <v>3539</v>
      </c>
      <c r="D2103" s="450" t="s">
        <v>137</v>
      </c>
      <c r="E2103" s="273">
        <v>0</v>
      </c>
      <c r="F2103" s="274"/>
      <c r="G2103" s="274">
        <f t="shared" si="8"/>
        <v>0</v>
      </c>
      <c r="H2103" s="274">
        <v>0</v>
      </c>
      <c r="K2103" s="274"/>
    </row>
    <row r="2104" spans="2:11" ht="13.5" customHeight="1">
      <c r="B2104" s="209" t="s">
        <v>431</v>
      </c>
      <c r="C2104" s="209" t="s">
        <v>3539</v>
      </c>
      <c r="D2104" s="451" t="s">
        <v>138</v>
      </c>
      <c r="E2104" s="273">
        <v>0</v>
      </c>
      <c r="F2104" s="274"/>
      <c r="G2104" s="274">
        <f t="shared" si="8"/>
        <v>0</v>
      </c>
      <c r="H2104" s="274">
        <v>0</v>
      </c>
      <c r="K2104" s="274"/>
    </row>
    <row r="2105" spans="2:11" ht="13.5" customHeight="1">
      <c r="B2105" s="209" t="s">
        <v>431</v>
      </c>
      <c r="C2105" s="209" t="s">
        <v>3539</v>
      </c>
      <c r="D2105" s="452" t="s">
        <v>139</v>
      </c>
      <c r="E2105" s="273">
        <v>0</v>
      </c>
      <c r="F2105" s="274"/>
      <c r="G2105" s="274">
        <f t="shared" si="8"/>
        <v>0</v>
      </c>
      <c r="H2105" s="274">
        <v>0</v>
      </c>
      <c r="K2105" s="274"/>
    </row>
    <row r="2106" spans="2:11" ht="13.5" customHeight="1">
      <c r="B2106" s="209" t="s">
        <v>431</v>
      </c>
      <c r="C2106" s="209" t="s">
        <v>3539</v>
      </c>
      <c r="D2106" s="216" t="s">
        <v>140</v>
      </c>
      <c r="E2106" s="273">
        <v>0</v>
      </c>
      <c r="F2106" s="274"/>
      <c r="G2106" s="274">
        <f t="shared" si="8"/>
        <v>0</v>
      </c>
      <c r="H2106" s="274">
        <v>0</v>
      </c>
      <c r="K2106" s="274"/>
    </row>
    <row r="2107" spans="2:11" ht="13.5" customHeight="1">
      <c r="B2107" s="209" t="s">
        <v>431</v>
      </c>
      <c r="C2107" s="209" t="s">
        <v>3539</v>
      </c>
      <c r="D2107" s="453" t="s">
        <v>141</v>
      </c>
      <c r="E2107" s="273">
        <v>0</v>
      </c>
      <c r="F2107" s="274"/>
      <c r="G2107" s="274">
        <f t="shared" si="8"/>
        <v>0</v>
      </c>
      <c r="H2107" s="274">
        <v>0</v>
      </c>
      <c r="K2107" s="274"/>
    </row>
    <row r="2108" spans="2:11" ht="13.5" customHeight="1">
      <c r="B2108" s="209" t="s">
        <v>405</v>
      </c>
      <c r="C2108" s="209" t="s">
        <v>3540</v>
      </c>
      <c r="D2108" s="446" t="s">
        <v>133</v>
      </c>
      <c r="E2108" s="273">
        <v>0</v>
      </c>
      <c r="F2108" s="274"/>
      <c r="G2108" s="274">
        <f t="shared" si="8"/>
        <v>0</v>
      </c>
      <c r="H2108" s="274">
        <v>0</v>
      </c>
      <c r="K2108" s="274"/>
    </row>
    <row r="2109" spans="2:11" ht="13.5" customHeight="1">
      <c r="B2109" s="209" t="s">
        <v>405</v>
      </c>
      <c r="C2109" s="209" t="s">
        <v>3540</v>
      </c>
      <c r="D2109" s="447" t="s">
        <v>134</v>
      </c>
      <c r="E2109" s="273">
        <v>0</v>
      </c>
      <c r="F2109" s="274"/>
      <c r="G2109" s="274">
        <f t="shared" si="8"/>
        <v>0</v>
      </c>
      <c r="H2109" s="274">
        <v>0</v>
      </c>
      <c r="K2109" s="274"/>
    </row>
    <row r="2110" spans="2:11" ht="13.5" customHeight="1">
      <c r="B2110" s="209" t="s">
        <v>405</v>
      </c>
      <c r="C2110" s="209" t="s">
        <v>3540</v>
      </c>
      <c r="D2110" s="448" t="s">
        <v>135</v>
      </c>
      <c r="E2110" s="273">
        <v>0</v>
      </c>
      <c r="F2110" s="274"/>
      <c r="G2110" s="274">
        <f t="shared" si="8"/>
        <v>0</v>
      </c>
      <c r="H2110" s="274">
        <v>0</v>
      </c>
      <c r="K2110" s="274"/>
    </row>
    <row r="2111" spans="2:11" ht="13.5" customHeight="1">
      <c r="B2111" s="209" t="s">
        <v>405</v>
      </c>
      <c r="C2111" s="209" t="s">
        <v>3540</v>
      </c>
      <c r="D2111" s="449" t="s">
        <v>136</v>
      </c>
      <c r="E2111" s="273">
        <v>0</v>
      </c>
      <c r="F2111" s="274"/>
      <c r="G2111" s="274">
        <f t="shared" si="8"/>
        <v>0</v>
      </c>
      <c r="H2111" s="274">
        <v>0</v>
      </c>
      <c r="K2111" s="274"/>
    </row>
    <row r="2112" spans="2:11" ht="13.5" customHeight="1">
      <c r="B2112" s="209" t="s">
        <v>405</v>
      </c>
      <c r="C2112" s="209" t="s">
        <v>3540</v>
      </c>
      <c r="D2112" s="450" t="s">
        <v>137</v>
      </c>
      <c r="E2112" s="273">
        <v>0</v>
      </c>
      <c r="F2112" s="274"/>
      <c r="G2112" s="274">
        <f t="shared" si="8"/>
        <v>0</v>
      </c>
      <c r="H2112" s="274">
        <v>0</v>
      </c>
      <c r="K2112" s="274"/>
    </row>
    <row r="2113" spans="2:11" ht="13.5" customHeight="1">
      <c r="B2113" s="209" t="s">
        <v>405</v>
      </c>
      <c r="C2113" s="209" t="s">
        <v>3540</v>
      </c>
      <c r="D2113" s="451" t="s">
        <v>138</v>
      </c>
      <c r="E2113" s="273">
        <v>0</v>
      </c>
      <c r="F2113" s="274"/>
      <c r="G2113" s="274">
        <f t="shared" si="8"/>
        <v>0</v>
      </c>
      <c r="H2113" s="274">
        <v>0</v>
      </c>
      <c r="K2113" s="274"/>
    </row>
    <row r="2114" spans="2:11" ht="13.5" customHeight="1">
      <c r="B2114" s="209" t="s">
        <v>405</v>
      </c>
      <c r="C2114" s="209" t="s">
        <v>3540</v>
      </c>
      <c r="D2114" s="452" t="s">
        <v>139</v>
      </c>
      <c r="E2114" s="273">
        <v>0</v>
      </c>
      <c r="F2114" s="274"/>
      <c r="G2114" s="274">
        <f t="shared" si="8"/>
        <v>0</v>
      </c>
      <c r="H2114" s="274">
        <v>0</v>
      </c>
      <c r="K2114" s="274"/>
    </row>
    <row r="2115" spans="2:11" ht="13.5" customHeight="1">
      <c r="B2115" s="209" t="s">
        <v>405</v>
      </c>
      <c r="C2115" s="209" t="s">
        <v>3540</v>
      </c>
      <c r="D2115" s="216" t="s">
        <v>140</v>
      </c>
      <c r="E2115" s="273">
        <v>0</v>
      </c>
      <c r="F2115" s="274"/>
      <c r="G2115" s="274">
        <f t="shared" si="8"/>
        <v>0</v>
      </c>
      <c r="H2115" s="274">
        <v>0</v>
      </c>
      <c r="K2115" s="274"/>
    </row>
    <row r="2116" spans="2:11" ht="13.5" customHeight="1">
      <c r="B2116" s="209" t="s">
        <v>405</v>
      </c>
      <c r="C2116" s="209" t="s">
        <v>3540</v>
      </c>
      <c r="D2116" s="453" t="s">
        <v>141</v>
      </c>
      <c r="E2116" s="273">
        <v>0</v>
      </c>
      <c r="F2116" s="274"/>
      <c r="G2116" s="274">
        <f t="shared" si="8"/>
        <v>0</v>
      </c>
      <c r="H2116" s="274">
        <v>0</v>
      </c>
      <c r="K2116" s="274"/>
    </row>
    <row r="2117" spans="2:11" ht="13.5" customHeight="1">
      <c r="B2117" s="209" t="s">
        <v>407</v>
      </c>
      <c r="C2117" s="209" t="s">
        <v>3541</v>
      </c>
      <c r="D2117" s="446" t="s">
        <v>133</v>
      </c>
      <c r="E2117" s="273">
        <v>0</v>
      </c>
      <c r="F2117" s="274"/>
      <c r="G2117" s="274">
        <f t="shared" si="8"/>
        <v>0</v>
      </c>
      <c r="H2117" s="274">
        <v>0</v>
      </c>
      <c r="K2117" s="274"/>
    </row>
    <row r="2118" spans="2:11" ht="13.5" customHeight="1">
      <c r="B2118" s="209" t="s">
        <v>407</v>
      </c>
      <c r="C2118" s="209" t="s">
        <v>3541</v>
      </c>
      <c r="D2118" s="447" t="s">
        <v>134</v>
      </c>
      <c r="E2118" s="273">
        <v>0</v>
      </c>
      <c r="F2118" s="274"/>
      <c r="G2118" s="274">
        <f t="shared" si="8"/>
        <v>0</v>
      </c>
      <c r="H2118" s="274">
        <v>0</v>
      </c>
      <c r="K2118" s="274"/>
    </row>
    <row r="2119" spans="2:11" ht="13.5" customHeight="1">
      <c r="B2119" s="209" t="s">
        <v>407</v>
      </c>
      <c r="C2119" s="209" t="s">
        <v>3541</v>
      </c>
      <c r="D2119" s="448" t="s">
        <v>135</v>
      </c>
      <c r="E2119" s="273">
        <v>0</v>
      </c>
      <c r="F2119" s="274"/>
      <c r="G2119" s="274">
        <f t="shared" si="8"/>
        <v>0</v>
      </c>
      <c r="H2119" s="274">
        <v>0</v>
      </c>
      <c r="K2119" s="274"/>
    </row>
    <row r="2120" spans="2:11" ht="13.5" customHeight="1">
      <c r="B2120" s="209" t="s">
        <v>407</v>
      </c>
      <c r="C2120" s="209" t="s">
        <v>3541</v>
      </c>
      <c r="D2120" s="449" t="s">
        <v>136</v>
      </c>
      <c r="E2120" s="273">
        <v>0</v>
      </c>
      <c r="F2120" s="274"/>
      <c r="G2120" s="274">
        <f t="shared" si="8"/>
        <v>0</v>
      </c>
      <c r="H2120" s="274">
        <v>0</v>
      </c>
      <c r="K2120" s="274"/>
    </row>
    <row r="2121" spans="2:11" ht="13.5" customHeight="1">
      <c r="B2121" s="209" t="s">
        <v>407</v>
      </c>
      <c r="C2121" s="209" t="s">
        <v>3541</v>
      </c>
      <c r="D2121" s="450" t="s">
        <v>137</v>
      </c>
      <c r="E2121" s="273">
        <v>0</v>
      </c>
      <c r="F2121" s="274"/>
      <c r="G2121" s="274">
        <f t="shared" si="8"/>
        <v>0</v>
      </c>
      <c r="H2121" s="274">
        <v>0</v>
      </c>
      <c r="K2121" s="274"/>
    </row>
    <row r="2122" spans="2:11" ht="13.5" customHeight="1">
      <c r="B2122" s="209" t="s">
        <v>407</v>
      </c>
      <c r="C2122" s="209" t="s">
        <v>3541</v>
      </c>
      <c r="D2122" s="451" t="s">
        <v>138</v>
      </c>
      <c r="E2122" s="273">
        <v>0</v>
      </c>
      <c r="F2122" s="274"/>
      <c r="G2122" s="274">
        <f t="shared" si="8"/>
        <v>0</v>
      </c>
      <c r="H2122" s="274">
        <v>0</v>
      </c>
      <c r="K2122" s="274"/>
    </row>
    <row r="2123" spans="2:11" ht="13.5" customHeight="1">
      <c r="B2123" s="209" t="s">
        <v>407</v>
      </c>
      <c r="C2123" s="209" t="s">
        <v>3541</v>
      </c>
      <c r="D2123" s="452" t="s">
        <v>139</v>
      </c>
      <c r="E2123" s="273">
        <v>0</v>
      </c>
      <c r="F2123" s="274"/>
      <c r="G2123" s="274">
        <f t="shared" si="8"/>
        <v>0</v>
      </c>
      <c r="H2123" s="274">
        <v>0</v>
      </c>
      <c r="K2123" s="274"/>
    </row>
    <row r="2124" spans="2:11" ht="13.5" customHeight="1">
      <c r="B2124" s="209" t="s">
        <v>407</v>
      </c>
      <c r="C2124" s="209" t="s">
        <v>3541</v>
      </c>
      <c r="D2124" s="216" t="s">
        <v>140</v>
      </c>
      <c r="E2124" s="273">
        <v>0</v>
      </c>
      <c r="F2124" s="274"/>
      <c r="G2124" s="274">
        <f t="shared" si="8"/>
        <v>0</v>
      </c>
      <c r="H2124" s="274">
        <v>0</v>
      </c>
      <c r="K2124" s="274"/>
    </row>
    <row r="2125" spans="2:11" ht="13.5" customHeight="1">
      <c r="B2125" s="209" t="s">
        <v>407</v>
      </c>
      <c r="C2125" s="209" t="s">
        <v>3541</v>
      </c>
      <c r="D2125" s="453" t="s">
        <v>141</v>
      </c>
      <c r="E2125" s="273">
        <v>0</v>
      </c>
      <c r="F2125" s="274"/>
      <c r="G2125" s="274">
        <f t="shared" si="8"/>
        <v>0</v>
      </c>
      <c r="H2125" s="274">
        <v>0</v>
      </c>
      <c r="K2125" s="274"/>
    </row>
    <row r="2126" spans="2:11" ht="13.5" customHeight="1">
      <c r="B2126" s="209" t="s">
        <v>439</v>
      </c>
      <c r="C2126" s="209" t="s">
        <v>3542</v>
      </c>
      <c r="D2126" s="446" t="s">
        <v>133</v>
      </c>
      <c r="E2126" s="273">
        <v>0</v>
      </c>
      <c r="F2126" s="274"/>
      <c r="G2126" s="274">
        <f t="shared" si="8"/>
        <v>0</v>
      </c>
      <c r="H2126" s="274">
        <v>0</v>
      </c>
      <c r="K2126" s="274"/>
    </row>
    <row r="2127" spans="2:11" ht="13.5" customHeight="1">
      <c r="B2127" s="209" t="s">
        <v>439</v>
      </c>
      <c r="C2127" s="209" t="s">
        <v>3542</v>
      </c>
      <c r="D2127" s="447" t="s">
        <v>134</v>
      </c>
      <c r="E2127" s="273">
        <v>0</v>
      </c>
      <c r="F2127" s="274"/>
      <c r="G2127" s="274">
        <f t="shared" si="8"/>
        <v>0</v>
      </c>
      <c r="H2127" s="274">
        <v>0</v>
      </c>
      <c r="K2127" s="274"/>
    </row>
    <row r="2128" spans="2:11" ht="13.5" customHeight="1">
      <c r="B2128" s="209" t="s">
        <v>439</v>
      </c>
      <c r="C2128" s="209" t="s">
        <v>3542</v>
      </c>
      <c r="D2128" s="448" t="s">
        <v>135</v>
      </c>
      <c r="E2128" s="273">
        <v>0</v>
      </c>
      <c r="F2128" s="274"/>
      <c r="G2128" s="274">
        <f t="shared" si="8"/>
        <v>0</v>
      </c>
      <c r="H2128" s="274">
        <v>0</v>
      </c>
      <c r="K2128" s="274"/>
    </row>
    <row r="2129" spans="2:11" ht="13.5" customHeight="1">
      <c r="B2129" s="209" t="s">
        <v>439</v>
      </c>
      <c r="C2129" s="209" t="s">
        <v>3542</v>
      </c>
      <c r="D2129" s="449" t="s">
        <v>136</v>
      </c>
      <c r="E2129" s="273">
        <v>0</v>
      </c>
      <c r="F2129" s="274"/>
      <c r="G2129" s="274">
        <f t="shared" si="8"/>
        <v>0</v>
      </c>
      <c r="H2129" s="274">
        <v>0</v>
      </c>
      <c r="K2129" s="274"/>
    </row>
    <row r="2130" spans="2:11" ht="13.5" customHeight="1">
      <c r="B2130" s="209" t="s">
        <v>439</v>
      </c>
      <c r="C2130" s="209" t="s">
        <v>3542</v>
      </c>
      <c r="D2130" s="450" t="s">
        <v>137</v>
      </c>
      <c r="E2130" s="273">
        <v>0</v>
      </c>
      <c r="F2130" s="274"/>
      <c r="G2130" s="274">
        <f t="shared" si="8"/>
        <v>0</v>
      </c>
      <c r="H2130" s="274">
        <v>0</v>
      </c>
      <c r="K2130" s="274"/>
    </row>
    <row r="2131" spans="2:11" ht="13.5" customHeight="1">
      <c r="B2131" s="209" t="s">
        <v>439</v>
      </c>
      <c r="C2131" s="209" t="s">
        <v>3542</v>
      </c>
      <c r="D2131" s="451" t="s">
        <v>138</v>
      </c>
      <c r="E2131" s="273">
        <v>0</v>
      </c>
      <c r="F2131" s="274"/>
      <c r="G2131" s="274">
        <f t="shared" si="8"/>
        <v>0</v>
      </c>
      <c r="H2131" s="274">
        <v>0</v>
      </c>
      <c r="K2131" s="274"/>
    </row>
    <row r="2132" spans="2:11" ht="13.5" customHeight="1">
      <c r="B2132" s="209" t="s">
        <v>439</v>
      </c>
      <c r="C2132" s="209" t="s">
        <v>3542</v>
      </c>
      <c r="D2132" s="452" t="s">
        <v>139</v>
      </c>
      <c r="E2132" s="273">
        <v>0</v>
      </c>
      <c r="F2132" s="274"/>
      <c r="G2132" s="274">
        <f t="shared" si="8"/>
        <v>0</v>
      </c>
      <c r="H2132" s="274">
        <v>0</v>
      </c>
      <c r="K2132" s="274"/>
    </row>
    <row r="2133" spans="2:11" ht="13.5" customHeight="1">
      <c r="B2133" s="209" t="s">
        <v>439</v>
      </c>
      <c r="C2133" s="209" t="s">
        <v>3542</v>
      </c>
      <c r="D2133" s="216" t="s">
        <v>140</v>
      </c>
      <c r="E2133" s="273">
        <v>0</v>
      </c>
      <c r="F2133" s="274"/>
      <c r="G2133" s="274">
        <f t="shared" si="8"/>
        <v>0</v>
      </c>
      <c r="H2133" s="274">
        <v>0</v>
      </c>
      <c r="K2133" s="274"/>
    </row>
    <row r="2134" spans="2:11" ht="13.5" customHeight="1">
      <c r="B2134" s="209" t="s">
        <v>439</v>
      </c>
      <c r="C2134" s="209" t="s">
        <v>3542</v>
      </c>
      <c r="D2134" s="453" t="s">
        <v>141</v>
      </c>
      <c r="E2134" s="273">
        <v>0</v>
      </c>
      <c r="F2134" s="274"/>
      <c r="G2134" s="274">
        <f t="shared" si="8"/>
        <v>0</v>
      </c>
      <c r="H2134" s="274">
        <v>0</v>
      </c>
      <c r="K2134" s="274"/>
    </row>
    <row r="2135" spans="2:11" ht="13.5" customHeight="1">
      <c r="B2135" s="209" t="s">
        <v>441</v>
      </c>
      <c r="C2135" s="209" t="s">
        <v>3543</v>
      </c>
      <c r="D2135" s="446" t="s">
        <v>133</v>
      </c>
      <c r="E2135" s="273">
        <v>0</v>
      </c>
      <c r="F2135" s="274"/>
      <c r="G2135" s="274">
        <f t="shared" si="8"/>
        <v>0</v>
      </c>
      <c r="H2135" s="274">
        <v>0</v>
      </c>
      <c r="K2135" s="274"/>
    </row>
    <row r="2136" spans="2:11" ht="13.5" customHeight="1">
      <c r="B2136" s="209" t="s">
        <v>441</v>
      </c>
      <c r="C2136" s="209" t="s">
        <v>3543</v>
      </c>
      <c r="D2136" s="447" t="s">
        <v>134</v>
      </c>
      <c r="E2136" s="273">
        <v>0</v>
      </c>
      <c r="F2136" s="274"/>
      <c r="G2136" s="274">
        <f t="shared" si="8"/>
        <v>0</v>
      </c>
      <c r="H2136" s="274">
        <v>0</v>
      </c>
      <c r="K2136" s="274"/>
    </row>
    <row r="2137" spans="2:11" ht="13.5" customHeight="1">
      <c r="B2137" s="209" t="s">
        <v>441</v>
      </c>
      <c r="C2137" s="209" t="s">
        <v>3543</v>
      </c>
      <c r="D2137" s="448" t="s">
        <v>135</v>
      </c>
      <c r="E2137" s="273">
        <v>0</v>
      </c>
      <c r="F2137" s="274"/>
      <c r="G2137" s="274">
        <f t="shared" si="8"/>
        <v>0</v>
      </c>
      <c r="H2137" s="274">
        <v>0</v>
      </c>
      <c r="K2137" s="274"/>
    </row>
    <row r="2138" spans="2:11" ht="13.5" customHeight="1">
      <c r="B2138" s="209" t="s">
        <v>441</v>
      </c>
      <c r="C2138" s="209" t="s">
        <v>3543</v>
      </c>
      <c r="D2138" s="449" t="s">
        <v>136</v>
      </c>
      <c r="E2138" s="273">
        <v>0</v>
      </c>
      <c r="F2138" s="274"/>
      <c r="G2138" s="274">
        <f t="shared" si="8"/>
        <v>0</v>
      </c>
      <c r="H2138" s="274">
        <v>0</v>
      </c>
      <c r="K2138" s="274"/>
    </row>
    <row r="2139" spans="2:11" ht="13.5" customHeight="1">
      <c r="B2139" s="209" t="s">
        <v>441</v>
      </c>
      <c r="C2139" s="209" t="s">
        <v>3543</v>
      </c>
      <c r="D2139" s="450" t="s">
        <v>137</v>
      </c>
      <c r="E2139" s="273">
        <v>0</v>
      </c>
      <c r="F2139" s="274"/>
      <c r="G2139" s="274">
        <f t="shared" si="8"/>
        <v>0</v>
      </c>
      <c r="H2139" s="274">
        <v>0</v>
      </c>
      <c r="K2139" s="274"/>
    </row>
    <row r="2140" spans="2:11" ht="13.5" customHeight="1">
      <c r="B2140" s="209" t="s">
        <v>441</v>
      </c>
      <c r="C2140" s="209" t="s">
        <v>3543</v>
      </c>
      <c r="D2140" s="451" t="s">
        <v>138</v>
      </c>
      <c r="E2140" s="273">
        <v>0</v>
      </c>
      <c r="F2140" s="274"/>
      <c r="G2140" s="274">
        <f t="shared" si="8"/>
        <v>0</v>
      </c>
      <c r="H2140" s="274">
        <v>0</v>
      </c>
      <c r="K2140" s="274"/>
    </row>
    <row r="2141" spans="2:11" ht="13.5" customHeight="1">
      <c r="B2141" s="209" t="s">
        <v>441</v>
      </c>
      <c r="C2141" s="209" t="s">
        <v>3543</v>
      </c>
      <c r="D2141" s="452" t="s">
        <v>139</v>
      </c>
      <c r="E2141" s="273">
        <v>0</v>
      </c>
      <c r="F2141" s="274"/>
      <c r="G2141" s="274">
        <f t="shared" si="8"/>
        <v>0</v>
      </c>
      <c r="H2141" s="274">
        <v>0</v>
      </c>
      <c r="K2141" s="274"/>
    </row>
    <row r="2142" spans="2:11" ht="13.5" customHeight="1">
      <c r="B2142" s="209" t="s">
        <v>441</v>
      </c>
      <c r="C2142" s="209" t="s">
        <v>3543</v>
      </c>
      <c r="D2142" s="216" t="s">
        <v>140</v>
      </c>
      <c r="E2142" s="273">
        <v>0</v>
      </c>
      <c r="F2142" s="274"/>
      <c r="G2142" s="274">
        <f t="shared" si="8"/>
        <v>0</v>
      </c>
      <c r="H2142" s="274">
        <v>0</v>
      </c>
      <c r="K2142" s="274"/>
    </row>
    <row r="2143" spans="2:11" ht="13.5" customHeight="1">
      <c r="B2143" s="209" t="s">
        <v>441</v>
      </c>
      <c r="C2143" s="209" t="s">
        <v>3543</v>
      </c>
      <c r="D2143" s="453" t="s">
        <v>141</v>
      </c>
      <c r="E2143" s="273">
        <v>0</v>
      </c>
      <c r="F2143" s="274"/>
      <c r="G2143" s="274">
        <f t="shared" si="8"/>
        <v>0</v>
      </c>
      <c r="H2143" s="274">
        <v>0</v>
      </c>
      <c r="K2143" s="274"/>
    </row>
    <row r="2144" spans="2:11" ht="13.5" customHeight="1">
      <c r="B2144" s="209" t="s">
        <v>419</v>
      </c>
      <c r="C2144" s="209" t="s">
        <v>3544</v>
      </c>
      <c r="D2144" s="446" t="s">
        <v>133</v>
      </c>
      <c r="E2144" s="273">
        <v>0</v>
      </c>
      <c r="F2144" s="274"/>
      <c r="G2144" s="274">
        <f t="shared" si="8"/>
        <v>0</v>
      </c>
      <c r="H2144" s="274">
        <v>0</v>
      </c>
      <c r="K2144" s="274"/>
    </row>
    <row r="2145" spans="2:11" ht="13.5" customHeight="1">
      <c r="B2145" s="209" t="s">
        <v>419</v>
      </c>
      <c r="C2145" s="209" t="s">
        <v>3544</v>
      </c>
      <c r="D2145" s="447" t="s">
        <v>134</v>
      </c>
      <c r="E2145" s="273">
        <v>0</v>
      </c>
      <c r="F2145" s="274"/>
      <c r="G2145" s="274">
        <f t="shared" si="8"/>
        <v>0</v>
      </c>
      <c r="H2145" s="274">
        <v>0</v>
      </c>
      <c r="K2145" s="274"/>
    </row>
    <row r="2146" spans="2:11" ht="13.5" customHeight="1">
      <c r="B2146" s="209" t="s">
        <v>419</v>
      </c>
      <c r="C2146" s="209" t="s">
        <v>3544</v>
      </c>
      <c r="D2146" s="448" t="s">
        <v>135</v>
      </c>
      <c r="E2146" s="273">
        <v>0</v>
      </c>
      <c r="F2146" s="274"/>
      <c r="G2146" s="274">
        <f t="shared" si="8"/>
        <v>0</v>
      </c>
      <c r="H2146" s="274">
        <v>0</v>
      </c>
      <c r="K2146" s="274"/>
    </row>
    <row r="2147" spans="2:11" ht="13.5" customHeight="1">
      <c r="B2147" s="209" t="s">
        <v>419</v>
      </c>
      <c r="C2147" s="209" t="s">
        <v>3544</v>
      </c>
      <c r="D2147" s="449" t="s">
        <v>136</v>
      </c>
      <c r="E2147" s="273">
        <v>0</v>
      </c>
      <c r="F2147" s="274"/>
      <c r="G2147" s="274">
        <f t="shared" si="8"/>
        <v>0</v>
      </c>
      <c r="H2147" s="274">
        <v>0</v>
      </c>
      <c r="K2147" s="274"/>
    </row>
    <row r="2148" spans="2:11" ht="13.5" customHeight="1">
      <c r="B2148" s="209" t="s">
        <v>419</v>
      </c>
      <c r="C2148" s="209" t="s">
        <v>3544</v>
      </c>
      <c r="D2148" s="450" t="s">
        <v>137</v>
      </c>
      <c r="E2148" s="273">
        <v>0</v>
      </c>
      <c r="F2148" s="274"/>
      <c r="G2148" s="274">
        <f t="shared" si="8"/>
        <v>0</v>
      </c>
      <c r="H2148" s="274">
        <v>0</v>
      </c>
      <c r="K2148" s="274"/>
    </row>
    <row r="2149" spans="2:11" ht="13.5" customHeight="1">
      <c r="B2149" s="209" t="s">
        <v>419</v>
      </c>
      <c r="C2149" s="209" t="s">
        <v>3544</v>
      </c>
      <c r="D2149" s="451" t="s">
        <v>138</v>
      </c>
      <c r="E2149" s="273">
        <v>0</v>
      </c>
      <c r="F2149" s="274"/>
      <c r="G2149" s="274">
        <f t="shared" si="8"/>
        <v>0</v>
      </c>
      <c r="H2149" s="274">
        <v>0</v>
      </c>
      <c r="K2149" s="274"/>
    </row>
    <row r="2150" spans="2:11" ht="13.5" customHeight="1">
      <c r="B2150" s="209" t="s">
        <v>419</v>
      </c>
      <c r="C2150" s="209" t="s">
        <v>3544</v>
      </c>
      <c r="D2150" s="452" t="s">
        <v>139</v>
      </c>
      <c r="E2150" s="273">
        <v>0</v>
      </c>
      <c r="F2150" s="274"/>
      <c r="G2150" s="274">
        <f t="shared" si="8"/>
        <v>0</v>
      </c>
      <c r="H2150" s="274">
        <v>0</v>
      </c>
      <c r="K2150" s="274"/>
    </row>
    <row r="2151" spans="2:11" ht="13.5" customHeight="1">
      <c r="B2151" s="209" t="s">
        <v>419</v>
      </c>
      <c r="C2151" s="209" t="s">
        <v>3544</v>
      </c>
      <c r="D2151" s="216" t="s">
        <v>140</v>
      </c>
      <c r="E2151" s="273">
        <v>0</v>
      </c>
      <c r="F2151" s="274"/>
      <c r="G2151" s="274">
        <f t="shared" si="8"/>
        <v>0</v>
      </c>
      <c r="H2151" s="274">
        <v>0</v>
      </c>
      <c r="K2151" s="274"/>
    </row>
    <row r="2152" spans="2:11" ht="13.5" customHeight="1">
      <c r="B2152" s="209" t="s">
        <v>419</v>
      </c>
      <c r="C2152" s="209" t="s">
        <v>3544</v>
      </c>
      <c r="D2152" s="453" t="s">
        <v>141</v>
      </c>
      <c r="E2152" s="273">
        <v>0</v>
      </c>
      <c r="F2152" s="274"/>
      <c r="G2152" s="274">
        <f t="shared" si="8"/>
        <v>0</v>
      </c>
      <c r="H2152" s="274">
        <v>0</v>
      </c>
      <c r="K2152" s="274"/>
    </row>
    <row r="2153" spans="2:11" ht="13.5" customHeight="1">
      <c r="B2153" s="209" t="s">
        <v>421</v>
      </c>
      <c r="C2153" s="209" t="s">
        <v>3545</v>
      </c>
      <c r="D2153" s="446" t="s">
        <v>133</v>
      </c>
      <c r="E2153" s="273">
        <v>0</v>
      </c>
      <c r="F2153" s="274"/>
      <c r="G2153" s="274">
        <f t="shared" si="8"/>
        <v>0</v>
      </c>
      <c r="H2153" s="274">
        <v>0</v>
      </c>
      <c r="K2153" s="274"/>
    </row>
    <row r="2154" spans="2:11" ht="13.5" customHeight="1">
      <c r="B2154" s="209" t="s">
        <v>421</v>
      </c>
      <c r="C2154" s="209" t="s">
        <v>3545</v>
      </c>
      <c r="D2154" s="447" t="s">
        <v>134</v>
      </c>
      <c r="E2154" s="273">
        <v>0</v>
      </c>
      <c r="F2154" s="274"/>
      <c r="G2154" s="274">
        <f t="shared" si="8"/>
        <v>0</v>
      </c>
      <c r="H2154" s="274">
        <v>0</v>
      </c>
      <c r="K2154" s="274"/>
    </row>
    <row r="2155" spans="2:11" ht="13.5" customHeight="1">
      <c r="B2155" s="209" t="s">
        <v>421</v>
      </c>
      <c r="C2155" s="209" t="s">
        <v>3545</v>
      </c>
      <c r="D2155" s="448" t="s">
        <v>135</v>
      </c>
      <c r="E2155" s="273">
        <v>0</v>
      </c>
      <c r="F2155" s="274"/>
      <c r="G2155" s="274">
        <f t="shared" si="8"/>
        <v>0</v>
      </c>
      <c r="H2155" s="274">
        <v>0</v>
      </c>
      <c r="K2155" s="274"/>
    </row>
    <row r="2156" spans="2:11" ht="13.5" customHeight="1">
      <c r="B2156" s="209" t="s">
        <v>421</v>
      </c>
      <c r="C2156" s="209" t="s">
        <v>3545</v>
      </c>
      <c r="D2156" s="449" t="s">
        <v>136</v>
      </c>
      <c r="E2156" s="273">
        <v>0</v>
      </c>
      <c r="F2156" s="274"/>
      <c r="G2156" s="274">
        <f t="shared" si="8"/>
        <v>0</v>
      </c>
      <c r="H2156" s="274">
        <v>0</v>
      </c>
      <c r="K2156" s="274"/>
    </row>
    <row r="2157" spans="2:11" ht="13.5" customHeight="1">
      <c r="B2157" s="209" t="s">
        <v>421</v>
      </c>
      <c r="C2157" s="209" t="s">
        <v>3545</v>
      </c>
      <c r="D2157" s="450" t="s">
        <v>137</v>
      </c>
      <c r="E2157" s="273">
        <v>0</v>
      </c>
      <c r="F2157" s="274"/>
      <c r="G2157" s="274">
        <f t="shared" si="8"/>
        <v>0</v>
      </c>
      <c r="H2157" s="274">
        <v>0</v>
      </c>
      <c r="K2157" s="274"/>
    </row>
    <row r="2158" spans="2:11" ht="13.5" customHeight="1">
      <c r="B2158" s="209" t="s">
        <v>421</v>
      </c>
      <c r="C2158" s="209" t="s">
        <v>3545</v>
      </c>
      <c r="D2158" s="451" t="s">
        <v>138</v>
      </c>
      <c r="E2158" s="273">
        <v>0</v>
      </c>
      <c r="F2158" s="274"/>
      <c r="G2158" s="274">
        <f t="shared" si="8"/>
        <v>0</v>
      </c>
      <c r="H2158" s="274">
        <v>0</v>
      </c>
      <c r="K2158" s="274"/>
    </row>
    <row r="2159" spans="2:11" ht="13.5" customHeight="1">
      <c r="B2159" s="209" t="s">
        <v>421</v>
      </c>
      <c r="C2159" s="209" t="s">
        <v>3545</v>
      </c>
      <c r="D2159" s="452" t="s">
        <v>139</v>
      </c>
      <c r="E2159" s="273">
        <v>0</v>
      </c>
      <c r="F2159" s="274"/>
      <c r="G2159" s="274">
        <f t="shared" si="8"/>
        <v>0</v>
      </c>
      <c r="H2159" s="274">
        <v>0</v>
      </c>
      <c r="K2159" s="274"/>
    </row>
    <row r="2160" spans="2:11" ht="13.5" customHeight="1">
      <c r="B2160" s="209" t="s">
        <v>421</v>
      </c>
      <c r="C2160" s="209" t="s">
        <v>3545</v>
      </c>
      <c r="D2160" s="216" t="s">
        <v>140</v>
      </c>
      <c r="E2160" s="273">
        <v>0</v>
      </c>
      <c r="F2160" s="274"/>
      <c r="G2160" s="274">
        <f t="shared" si="8"/>
        <v>0</v>
      </c>
      <c r="H2160" s="274">
        <v>0</v>
      </c>
      <c r="K2160" s="274"/>
    </row>
    <row r="2161" spans="2:11" ht="13.5" customHeight="1">
      <c r="B2161" s="209" t="s">
        <v>421</v>
      </c>
      <c r="C2161" s="209" t="s">
        <v>3545</v>
      </c>
      <c r="D2161" s="453" t="s">
        <v>141</v>
      </c>
      <c r="E2161" s="273">
        <v>0</v>
      </c>
      <c r="F2161" s="274"/>
      <c r="G2161" s="274">
        <f t="shared" si="8"/>
        <v>0</v>
      </c>
      <c r="H2161" s="274">
        <v>0</v>
      </c>
      <c r="K2161" s="274"/>
    </row>
    <row r="2162" spans="2:11" ht="13.5" customHeight="1">
      <c r="B2162" s="209" t="s">
        <v>423</v>
      </c>
      <c r="C2162" s="209" t="s">
        <v>3546</v>
      </c>
      <c r="D2162" s="446" t="s">
        <v>133</v>
      </c>
      <c r="E2162" s="273">
        <v>0</v>
      </c>
      <c r="F2162" s="274"/>
      <c r="G2162" s="274">
        <f t="shared" si="8"/>
        <v>0</v>
      </c>
      <c r="H2162" s="274">
        <v>0</v>
      </c>
      <c r="K2162" s="274"/>
    </row>
    <row r="2163" spans="2:11" ht="13.5" customHeight="1">
      <c r="B2163" s="209" t="s">
        <v>423</v>
      </c>
      <c r="C2163" s="209" t="s">
        <v>3546</v>
      </c>
      <c r="D2163" s="447" t="s">
        <v>134</v>
      </c>
      <c r="E2163" s="273">
        <v>0</v>
      </c>
      <c r="F2163" s="274"/>
      <c r="G2163" s="274">
        <f t="shared" si="8"/>
        <v>0</v>
      </c>
      <c r="H2163" s="274">
        <v>0</v>
      </c>
      <c r="K2163" s="274"/>
    </row>
    <row r="2164" spans="2:11" ht="13.5" customHeight="1">
      <c r="B2164" s="209" t="s">
        <v>423</v>
      </c>
      <c r="C2164" s="209" t="s">
        <v>3546</v>
      </c>
      <c r="D2164" s="448" t="s">
        <v>135</v>
      </c>
      <c r="E2164" s="273">
        <v>0</v>
      </c>
      <c r="F2164" s="274"/>
      <c r="G2164" s="274">
        <f t="shared" si="8"/>
        <v>0</v>
      </c>
      <c r="H2164" s="274">
        <v>0</v>
      </c>
      <c r="K2164" s="274"/>
    </row>
    <row r="2165" spans="2:11" ht="13.5" customHeight="1">
      <c r="B2165" s="209" t="s">
        <v>423</v>
      </c>
      <c r="C2165" s="209" t="s">
        <v>3546</v>
      </c>
      <c r="D2165" s="449" t="s">
        <v>136</v>
      </c>
      <c r="E2165" s="273">
        <v>0</v>
      </c>
      <c r="F2165" s="274"/>
      <c r="G2165" s="274">
        <f t="shared" si="8"/>
        <v>0</v>
      </c>
      <c r="H2165" s="274">
        <v>0</v>
      </c>
      <c r="K2165" s="274"/>
    </row>
    <row r="2166" spans="2:11" ht="13.5" customHeight="1">
      <c r="B2166" s="209" t="s">
        <v>423</v>
      </c>
      <c r="C2166" s="209" t="s">
        <v>3546</v>
      </c>
      <c r="D2166" s="450" t="s">
        <v>137</v>
      </c>
      <c r="E2166" s="273">
        <v>0</v>
      </c>
      <c r="F2166" s="274"/>
      <c r="G2166" s="274">
        <f t="shared" si="8"/>
        <v>0</v>
      </c>
      <c r="H2166" s="274">
        <v>0</v>
      </c>
      <c r="K2166" s="274"/>
    </row>
    <row r="2167" spans="2:11" ht="13.5" customHeight="1">
      <c r="B2167" s="209" t="s">
        <v>423</v>
      </c>
      <c r="C2167" s="209" t="s">
        <v>3546</v>
      </c>
      <c r="D2167" s="451" t="s">
        <v>138</v>
      </c>
      <c r="E2167" s="273">
        <v>0</v>
      </c>
      <c r="F2167" s="274"/>
      <c r="G2167" s="274">
        <f t="shared" si="8"/>
        <v>0</v>
      </c>
      <c r="H2167" s="274">
        <v>0</v>
      </c>
      <c r="K2167" s="274"/>
    </row>
    <row r="2168" spans="2:11" ht="13.5" customHeight="1">
      <c r="B2168" s="209" t="s">
        <v>423</v>
      </c>
      <c r="C2168" s="209" t="s">
        <v>3546</v>
      </c>
      <c r="D2168" s="452" t="s">
        <v>139</v>
      </c>
      <c r="E2168" s="273">
        <v>0</v>
      </c>
      <c r="F2168" s="274"/>
      <c r="G2168" s="274">
        <f t="shared" si="8"/>
        <v>0</v>
      </c>
      <c r="H2168" s="274">
        <v>0</v>
      </c>
      <c r="K2168" s="274"/>
    </row>
    <row r="2169" spans="2:11" ht="13.5" customHeight="1">
      <c r="B2169" s="209" t="s">
        <v>423</v>
      </c>
      <c r="C2169" s="209" t="s">
        <v>3546</v>
      </c>
      <c r="D2169" s="216" t="s">
        <v>140</v>
      </c>
      <c r="E2169" s="273">
        <v>0</v>
      </c>
      <c r="F2169" s="274"/>
      <c r="G2169" s="274">
        <f t="shared" si="8"/>
        <v>0</v>
      </c>
      <c r="H2169" s="274">
        <v>0</v>
      </c>
      <c r="K2169" s="274"/>
    </row>
    <row r="2170" spans="2:11" ht="13.5" customHeight="1">
      <c r="B2170" s="209" t="s">
        <v>423</v>
      </c>
      <c r="C2170" s="209" t="s">
        <v>3546</v>
      </c>
      <c r="D2170" s="453" t="s">
        <v>141</v>
      </c>
      <c r="E2170" s="273">
        <v>0</v>
      </c>
      <c r="F2170" s="274"/>
      <c r="G2170" s="274">
        <f t="shared" si="8"/>
        <v>0</v>
      </c>
      <c r="H2170" s="274">
        <v>0</v>
      </c>
      <c r="K2170" s="274"/>
    </row>
    <row r="2171" spans="2:11" ht="13.5" customHeight="1">
      <c r="B2171" s="209" t="s">
        <v>425</v>
      </c>
      <c r="C2171" s="209" t="s">
        <v>3547</v>
      </c>
      <c r="D2171" s="446" t="s">
        <v>133</v>
      </c>
      <c r="E2171" s="273">
        <v>0</v>
      </c>
      <c r="F2171" s="274"/>
      <c r="G2171" s="274">
        <f t="shared" si="8"/>
        <v>0</v>
      </c>
      <c r="H2171" s="274">
        <v>0</v>
      </c>
      <c r="K2171" s="274"/>
    </row>
    <row r="2172" spans="2:11" ht="13.5" customHeight="1">
      <c r="B2172" s="209" t="s">
        <v>425</v>
      </c>
      <c r="C2172" s="209" t="s">
        <v>3547</v>
      </c>
      <c r="D2172" s="447" t="s">
        <v>134</v>
      </c>
      <c r="E2172" s="273">
        <v>0</v>
      </c>
      <c r="F2172" s="274"/>
      <c r="G2172" s="274">
        <f t="shared" si="8"/>
        <v>0</v>
      </c>
      <c r="H2172" s="274">
        <v>0</v>
      </c>
      <c r="K2172" s="274"/>
    </row>
    <row r="2173" spans="2:11" ht="13.5" customHeight="1">
      <c r="B2173" s="209" t="s">
        <v>425</v>
      </c>
      <c r="C2173" s="209" t="s">
        <v>3547</v>
      </c>
      <c r="D2173" s="448" t="s">
        <v>135</v>
      </c>
      <c r="E2173" s="273">
        <v>0</v>
      </c>
      <c r="F2173" s="274"/>
      <c r="G2173" s="274">
        <f t="shared" si="8"/>
        <v>0</v>
      </c>
      <c r="H2173" s="274">
        <v>0</v>
      </c>
      <c r="K2173" s="274"/>
    </row>
    <row r="2174" spans="2:11" ht="13.5" customHeight="1">
      <c r="B2174" s="209" t="s">
        <v>425</v>
      </c>
      <c r="C2174" s="209" t="s">
        <v>3547</v>
      </c>
      <c r="D2174" s="449" t="s">
        <v>136</v>
      </c>
      <c r="E2174" s="273">
        <v>0</v>
      </c>
      <c r="F2174" s="274"/>
      <c r="G2174" s="274">
        <f t="shared" si="8"/>
        <v>0</v>
      </c>
      <c r="H2174" s="274">
        <v>0</v>
      </c>
      <c r="K2174" s="274"/>
    </row>
    <row r="2175" spans="2:11" ht="13.5" customHeight="1">
      <c r="B2175" s="209" t="s">
        <v>425</v>
      </c>
      <c r="C2175" s="209" t="s">
        <v>3547</v>
      </c>
      <c r="D2175" s="450" t="s">
        <v>137</v>
      </c>
      <c r="E2175" s="273">
        <v>0</v>
      </c>
      <c r="F2175" s="274"/>
      <c r="G2175" s="274">
        <f t="shared" si="8"/>
        <v>0</v>
      </c>
      <c r="H2175" s="274">
        <v>0</v>
      </c>
      <c r="K2175" s="274"/>
    </row>
    <row r="2176" spans="2:11" ht="13.5" customHeight="1">
      <c r="B2176" s="209" t="s">
        <v>425</v>
      </c>
      <c r="C2176" s="209" t="s">
        <v>3547</v>
      </c>
      <c r="D2176" s="451" t="s">
        <v>138</v>
      </c>
      <c r="E2176" s="273">
        <v>0</v>
      </c>
      <c r="F2176" s="274"/>
      <c r="G2176" s="274">
        <f t="shared" si="8"/>
        <v>0</v>
      </c>
      <c r="H2176" s="274">
        <v>0</v>
      </c>
      <c r="K2176" s="274"/>
    </row>
    <row r="2177" spans="2:11" ht="13.5" customHeight="1">
      <c r="B2177" s="209" t="s">
        <v>425</v>
      </c>
      <c r="C2177" s="209" t="s">
        <v>3547</v>
      </c>
      <c r="D2177" s="452" t="s">
        <v>139</v>
      </c>
      <c r="E2177" s="273">
        <v>0</v>
      </c>
      <c r="F2177" s="274"/>
      <c r="G2177" s="274">
        <f t="shared" si="8"/>
        <v>0</v>
      </c>
      <c r="H2177" s="274">
        <v>0</v>
      </c>
      <c r="K2177" s="274"/>
    </row>
    <row r="2178" spans="2:11" ht="13.5" customHeight="1">
      <c r="B2178" s="209" t="s">
        <v>425</v>
      </c>
      <c r="C2178" s="209" t="s">
        <v>3547</v>
      </c>
      <c r="D2178" s="216" t="s">
        <v>140</v>
      </c>
      <c r="E2178" s="273">
        <v>0</v>
      </c>
      <c r="F2178" s="274"/>
      <c r="G2178" s="274">
        <f t="shared" si="8"/>
        <v>0</v>
      </c>
      <c r="H2178" s="274">
        <v>0</v>
      </c>
      <c r="K2178" s="274"/>
    </row>
    <row r="2179" spans="2:11" ht="13.5" customHeight="1">
      <c r="B2179" s="209" t="s">
        <v>425</v>
      </c>
      <c r="C2179" s="209" t="s">
        <v>3547</v>
      </c>
      <c r="D2179" s="453" t="s">
        <v>141</v>
      </c>
      <c r="E2179" s="273">
        <v>0</v>
      </c>
      <c r="F2179" s="274"/>
      <c r="G2179" s="274">
        <f t="shared" si="8"/>
        <v>0</v>
      </c>
      <c r="H2179" s="274">
        <v>0</v>
      </c>
      <c r="K2179" s="274"/>
    </row>
    <row r="2180" spans="2:11" ht="13.5" customHeight="1">
      <c r="B2180" s="209" t="s">
        <v>433</v>
      </c>
      <c r="C2180" s="209" t="s">
        <v>3548</v>
      </c>
      <c r="D2180" s="446" t="s">
        <v>133</v>
      </c>
      <c r="E2180" s="273">
        <v>0</v>
      </c>
      <c r="F2180" s="274"/>
      <c r="G2180" s="274">
        <f t="shared" si="8"/>
        <v>0</v>
      </c>
      <c r="H2180" s="274">
        <v>0</v>
      </c>
      <c r="K2180" s="274"/>
    </row>
    <row r="2181" spans="2:11" ht="13.5" customHeight="1">
      <c r="B2181" s="209" t="s">
        <v>433</v>
      </c>
      <c r="C2181" s="209" t="s">
        <v>3548</v>
      </c>
      <c r="D2181" s="447" t="s">
        <v>134</v>
      </c>
      <c r="E2181" s="273">
        <v>0</v>
      </c>
      <c r="F2181" s="274"/>
      <c r="G2181" s="274">
        <f t="shared" si="8"/>
        <v>0</v>
      </c>
      <c r="H2181" s="274">
        <v>0</v>
      </c>
      <c r="K2181" s="274"/>
    </row>
    <row r="2182" spans="2:11" ht="13.5" customHeight="1">
      <c r="B2182" s="209" t="s">
        <v>433</v>
      </c>
      <c r="C2182" s="209" t="s">
        <v>3548</v>
      </c>
      <c r="D2182" s="448" t="s">
        <v>135</v>
      </c>
      <c r="E2182" s="273">
        <v>0</v>
      </c>
      <c r="F2182" s="274"/>
      <c r="G2182" s="274">
        <f t="shared" si="8"/>
        <v>0</v>
      </c>
      <c r="H2182" s="274">
        <v>0</v>
      </c>
      <c r="K2182" s="274"/>
    </row>
    <row r="2183" spans="2:11" ht="13.5" customHeight="1">
      <c r="B2183" s="209" t="s">
        <v>433</v>
      </c>
      <c r="C2183" s="209" t="s">
        <v>3548</v>
      </c>
      <c r="D2183" s="449" t="s">
        <v>136</v>
      </c>
      <c r="E2183" s="273">
        <v>0</v>
      </c>
      <c r="F2183" s="274"/>
      <c r="G2183" s="274">
        <f t="shared" si="8"/>
        <v>0</v>
      </c>
      <c r="H2183" s="274">
        <v>0</v>
      </c>
      <c r="K2183" s="274"/>
    </row>
    <row r="2184" spans="2:11" ht="13.5" customHeight="1">
      <c r="B2184" s="209" t="s">
        <v>433</v>
      </c>
      <c r="C2184" s="209" t="s">
        <v>3548</v>
      </c>
      <c r="D2184" s="450" t="s">
        <v>137</v>
      </c>
      <c r="E2184" s="273">
        <v>0</v>
      </c>
      <c r="F2184" s="274"/>
      <c r="G2184" s="274">
        <f t="shared" si="8"/>
        <v>0</v>
      </c>
      <c r="H2184" s="274">
        <v>0</v>
      </c>
      <c r="K2184" s="274"/>
    </row>
    <row r="2185" spans="2:11" ht="13.5" customHeight="1">
      <c r="B2185" s="209" t="s">
        <v>433</v>
      </c>
      <c r="C2185" s="209" t="s">
        <v>3548</v>
      </c>
      <c r="D2185" s="451" t="s">
        <v>138</v>
      </c>
      <c r="E2185" s="273">
        <v>0</v>
      </c>
      <c r="F2185" s="274"/>
      <c r="G2185" s="274">
        <f t="shared" si="8"/>
        <v>0</v>
      </c>
      <c r="H2185" s="274">
        <v>0</v>
      </c>
      <c r="K2185" s="274"/>
    </row>
    <row r="2186" spans="2:11" ht="13.5" customHeight="1">
      <c r="B2186" s="209" t="s">
        <v>433</v>
      </c>
      <c r="C2186" s="209" t="s">
        <v>3548</v>
      </c>
      <c r="D2186" s="452" t="s">
        <v>139</v>
      </c>
      <c r="E2186" s="273">
        <v>0</v>
      </c>
      <c r="F2186" s="274"/>
      <c r="G2186" s="274">
        <f t="shared" si="8"/>
        <v>0</v>
      </c>
      <c r="H2186" s="274">
        <v>0</v>
      </c>
      <c r="K2186" s="274"/>
    </row>
    <row r="2187" spans="2:11" ht="13.5" customHeight="1">
      <c r="B2187" s="209" t="s">
        <v>433</v>
      </c>
      <c r="C2187" s="209" t="s">
        <v>3548</v>
      </c>
      <c r="D2187" s="216" t="s">
        <v>140</v>
      </c>
      <c r="E2187" s="273">
        <v>0</v>
      </c>
      <c r="F2187" s="274"/>
      <c r="G2187" s="274">
        <f t="shared" si="8"/>
        <v>0</v>
      </c>
      <c r="H2187" s="274">
        <v>0</v>
      </c>
      <c r="K2187" s="274"/>
    </row>
    <row r="2188" spans="2:11" ht="13.5" customHeight="1">
      <c r="B2188" s="209" t="s">
        <v>433</v>
      </c>
      <c r="C2188" s="209" t="s">
        <v>3548</v>
      </c>
      <c r="D2188" s="453" t="s">
        <v>141</v>
      </c>
      <c r="E2188" s="273">
        <v>0</v>
      </c>
      <c r="F2188" s="274"/>
      <c r="G2188" s="274">
        <f t="shared" si="8"/>
        <v>0</v>
      </c>
      <c r="H2188" s="274">
        <v>0</v>
      </c>
      <c r="K2188" s="274"/>
    </row>
    <row r="2189" spans="2:11" ht="13.5" customHeight="1">
      <c r="B2189" s="209" t="s">
        <v>395</v>
      </c>
      <c r="C2189" s="209" t="s">
        <v>3549</v>
      </c>
      <c r="D2189" s="446" t="s">
        <v>133</v>
      </c>
      <c r="E2189" s="273">
        <v>0</v>
      </c>
      <c r="F2189" s="274"/>
      <c r="G2189" s="274">
        <f t="shared" si="8"/>
        <v>0</v>
      </c>
      <c r="H2189" s="274">
        <v>0</v>
      </c>
      <c r="K2189" s="274"/>
    </row>
    <row r="2190" spans="2:11" ht="13.5" customHeight="1">
      <c r="B2190" s="209" t="s">
        <v>395</v>
      </c>
      <c r="C2190" s="209" t="s">
        <v>3549</v>
      </c>
      <c r="D2190" s="447" t="s">
        <v>134</v>
      </c>
      <c r="E2190" s="273">
        <v>0</v>
      </c>
      <c r="F2190" s="274"/>
      <c r="G2190" s="274">
        <f t="shared" si="8"/>
        <v>0</v>
      </c>
      <c r="H2190" s="274">
        <v>0</v>
      </c>
      <c r="K2190" s="274"/>
    </row>
    <row r="2191" spans="2:11" ht="13.5" customHeight="1">
      <c r="B2191" s="209" t="s">
        <v>395</v>
      </c>
      <c r="C2191" s="209" t="s">
        <v>3549</v>
      </c>
      <c r="D2191" s="448" t="s">
        <v>135</v>
      </c>
      <c r="E2191" s="273">
        <v>0</v>
      </c>
      <c r="F2191" s="274"/>
      <c r="G2191" s="274">
        <f t="shared" si="8"/>
        <v>0</v>
      </c>
      <c r="H2191" s="274">
        <v>0</v>
      </c>
      <c r="K2191" s="274"/>
    </row>
    <row r="2192" spans="2:11" ht="13.5" customHeight="1">
      <c r="B2192" s="209" t="s">
        <v>395</v>
      </c>
      <c r="C2192" s="209" t="s">
        <v>3549</v>
      </c>
      <c r="D2192" s="449" t="s">
        <v>136</v>
      </c>
      <c r="E2192" s="273">
        <v>0</v>
      </c>
      <c r="F2192" s="274"/>
      <c r="G2192" s="274">
        <f t="shared" si="8"/>
        <v>0</v>
      </c>
      <c r="H2192" s="274">
        <v>0</v>
      </c>
      <c r="K2192" s="274"/>
    </row>
    <row r="2193" spans="2:11" ht="13.5" customHeight="1">
      <c r="B2193" s="209" t="s">
        <v>395</v>
      </c>
      <c r="C2193" s="209" t="s">
        <v>3549</v>
      </c>
      <c r="D2193" s="450" t="s">
        <v>137</v>
      </c>
      <c r="E2193" s="273">
        <v>0</v>
      </c>
      <c r="F2193" s="274"/>
      <c r="G2193" s="274">
        <f t="shared" si="8"/>
        <v>0</v>
      </c>
      <c r="H2193" s="274">
        <v>0</v>
      </c>
      <c r="K2193" s="274"/>
    </row>
    <row r="2194" spans="2:11" ht="13.5" customHeight="1">
      <c r="B2194" s="209" t="s">
        <v>395</v>
      </c>
      <c r="C2194" s="209" t="s">
        <v>3549</v>
      </c>
      <c r="D2194" s="451" t="s">
        <v>138</v>
      </c>
      <c r="E2194" s="273">
        <v>0</v>
      </c>
      <c r="F2194" s="274"/>
      <c r="G2194" s="274">
        <f t="shared" si="8"/>
        <v>0</v>
      </c>
      <c r="H2194" s="274">
        <v>0</v>
      </c>
      <c r="K2194" s="274"/>
    </row>
    <row r="2195" spans="2:11" ht="13.5" customHeight="1">
      <c r="B2195" s="209" t="s">
        <v>395</v>
      </c>
      <c r="C2195" s="209" t="s">
        <v>3549</v>
      </c>
      <c r="D2195" s="452" t="s">
        <v>139</v>
      </c>
      <c r="E2195" s="273">
        <v>0</v>
      </c>
      <c r="F2195" s="274"/>
      <c r="G2195" s="274">
        <f t="shared" si="8"/>
        <v>0</v>
      </c>
      <c r="H2195" s="274">
        <v>0</v>
      </c>
      <c r="K2195" s="274"/>
    </row>
    <row r="2196" spans="2:11" ht="13.5" customHeight="1">
      <c r="B2196" s="209" t="s">
        <v>395</v>
      </c>
      <c r="C2196" s="209" t="s">
        <v>3549</v>
      </c>
      <c r="D2196" s="216" t="s">
        <v>140</v>
      </c>
      <c r="E2196" s="273">
        <v>0</v>
      </c>
      <c r="F2196" s="274"/>
      <c r="G2196" s="274">
        <f t="shared" si="8"/>
        <v>0</v>
      </c>
      <c r="H2196" s="274">
        <v>0</v>
      </c>
      <c r="K2196" s="274"/>
    </row>
    <row r="2197" spans="2:11" ht="13.5" customHeight="1">
      <c r="B2197" s="209" t="s">
        <v>395</v>
      </c>
      <c r="C2197" s="209" t="s">
        <v>3549</v>
      </c>
      <c r="D2197" s="453" t="s">
        <v>141</v>
      </c>
      <c r="E2197" s="273">
        <v>0</v>
      </c>
      <c r="F2197" s="274"/>
      <c r="G2197" s="274">
        <f t="shared" si="8"/>
        <v>0</v>
      </c>
      <c r="H2197" s="274">
        <v>0</v>
      </c>
      <c r="K2197" s="274"/>
    </row>
    <row r="2198" spans="2:11" ht="13.5" customHeight="1">
      <c r="B2198" s="209" t="s">
        <v>409</v>
      </c>
      <c r="C2198" s="209" t="s">
        <v>3550</v>
      </c>
      <c r="D2198" s="446" t="s">
        <v>133</v>
      </c>
      <c r="E2198" s="273">
        <v>0</v>
      </c>
      <c r="F2198" s="274"/>
      <c r="G2198" s="274">
        <f t="shared" si="8"/>
        <v>0</v>
      </c>
      <c r="H2198" s="274">
        <v>0</v>
      </c>
      <c r="K2198" s="274"/>
    </row>
    <row r="2199" spans="2:11" ht="13.5" customHeight="1">
      <c r="B2199" s="209" t="s">
        <v>409</v>
      </c>
      <c r="C2199" s="209" t="s">
        <v>3550</v>
      </c>
      <c r="D2199" s="447" t="s">
        <v>134</v>
      </c>
      <c r="E2199" s="273">
        <v>0</v>
      </c>
      <c r="F2199" s="274"/>
      <c r="G2199" s="274">
        <f t="shared" si="8"/>
        <v>0</v>
      </c>
      <c r="H2199" s="274">
        <v>0</v>
      </c>
      <c r="K2199" s="274"/>
    </row>
    <row r="2200" spans="2:11" ht="13.5" customHeight="1">
      <c r="B2200" s="209" t="s">
        <v>409</v>
      </c>
      <c r="C2200" s="209" t="s">
        <v>3550</v>
      </c>
      <c r="D2200" s="448" t="s">
        <v>135</v>
      </c>
      <c r="E2200" s="273">
        <v>0</v>
      </c>
      <c r="F2200" s="274"/>
      <c r="G2200" s="274">
        <f t="shared" si="8"/>
        <v>0</v>
      </c>
      <c r="H2200" s="274">
        <v>0</v>
      </c>
      <c r="K2200" s="274"/>
    </row>
    <row r="2201" spans="2:11" ht="13.5" customHeight="1">
      <c r="B2201" s="209" t="s">
        <v>409</v>
      </c>
      <c r="C2201" s="209" t="s">
        <v>3550</v>
      </c>
      <c r="D2201" s="449" t="s">
        <v>136</v>
      </c>
      <c r="E2201" s="273">
        <v>0</v>
      </c>
      <c r="F2201" s="274"/>
      <c r="G2201" s="274">
        <f t="shared" si="8"/>
        <v>0</v>
      </c>
      <c r="H2201" s="274">
        <v>0</v>
      </c>
      <c r="K2201" s="274"/>
    </row>
    <row r="2202" spans="2:11" ht="13.5" customHeight="1">
      <c r="B2202" s="209" t="s">
        <v>409</v>
      </c>
      <c r="C2202" s="209" t="s">
        <v>3550</v>
      </c>
      <c r="D2202" s="450" t="s">
        <v>137</v>
      </c>
      <c r="E2202" s="273">
        <v>0</v>
      </c>
      <c r="F2202" s="274"/>
      <c r="G2202" s="274">
        <f t="shared" si="8"/>
        <v>0</v>
      </c>
      <c r="H2202" s="274">
        <v>0</v>
      </c>
      <c r="K2202" s="274"/>
    </row>
    <row r="2203" spans="2:11" ht="13.5" customHeight="1">
      <c r="B2203" s="209" t="s">
        <v>409</v>
      </c>
      <c r="C2203" s="209" t="s">
        <v>3550</v>
      </c>
      <c r="D2203" s="451" t="s">
        <v>138</v>
      </c>
      <c r="E2203" s="273">
        <v>0</v>
      </c>
      <c r="F2203" s="274"/>
      <c r="G2203" s="274">
        <f t="shared" si="8"/>
        <v>0</v>
      </c>
      <c r="H2203" s="274">
        <v>0</v>
      </c>
      <c r="K2203" s="274"/>
    </row>
    <row r="2204" spans="2:11" ht="13.5" customHeight="1">
      <c r="B2204" s="209" t="s">
        <v>409</v>
      </c>
      <c r="C2204" s="209" t="s">
        <v>3550</v>
      </c>
      <c r="D2204" s="452" t="s">
        <v>139</v>
      </c>
      <c r="E2204" s="273">
        <v>0</v>
      </c>
      <c r="F2204" s="274"/>
      <c r="G2204" s="274">
        <f t="shared" si="8"/>
        <v>0</v>
      </c>
      <c r="H2204" s="274">
        <v>0</v>
      </c>
      <c r="K2204" s="274"/>
    </row>
    <row r="2205" spans="2:11" ht="13.5" customHeight="1">
      <c r="B2205" s="209" t="s">
        <v>409</v>
      </c>
      <c r="C2205" s="209" t="s">
        <v>3550</v>
      </c>
      <c r="D2205" s="216" t="s">
        <v>140</v>
      </c>
      <c r="E2205" s="273">
        <v>0</v>
      </c>
      <c r="F2205" s="274"/>
      <c r="G2205" s="274">
        <f t="shared" si="8"/>
        <v>0</v>
      </c>
      <c r="H2205" s="274">
        <v>0</v>
      </c>
      <c r="K2205" s="274"/>
    </row>
    <row r="2206" spans="2:11" ht="13.5" customHeight="1">
      <c r="B2206" s="209" t="s">
        <v>409</v>
      </c>
      <c r="C2206" s="209" t="s">
        <v>3550</v>
      </c>
      <c r="D2206" s="453" t="s">
        <v>141</v>
      </c>
      <c r="E2206" s="273">
        <v>0</v>
      </c>
      <c r="F2206" s="274"/>
      <c r="G2206" s="274">
        <f t="shared" si="8"/>
        <v>0</v>
      </c>
      <c r="H2206" s="274">
        <v>0</v>
      </c>
      <c r="K2206" s="274"/>
    </row>
    <row r="2207" spans="2:11" ht="13.5" customHeight="1">
      <c r="B2207" s="209" t="s">
        <v>435</v>
      </c>
      <c r="C2207" s="209" t="s">
        <v>3551</v>
      </c>
      <c r="D2207" s="446" t="s">
        <v>133</v>
      </c>
      <c r="E2207" s="273">
        <v>0</v>
      </c>
      <c r="F2207" s="274"/>
      <c r="G2207" s="274">
        <f t="shared" si="8"/>
        <v>0</v>
      </c>
      <c r="H2207" s="274">
        <v>0</v>
      </c>
      <c r="K2207" s="274"/>
    </row>
    <row r="2208" spans="2:11" ht="13.5" customHeight="1">
      <c r="B2208" s="209" t="s">
        <v>435</v>
      </c>
      <c r="C2208" s="209" t="s">
        <v>3551</v>
      </c>
      <c r="D2208" s="447" t="s">
        <v>134</v>
      </c>
      <c r="E2208" s="273">
        <v>0</v>
      </c>
      <c r="F2208" s="274"/>
      <c r="G2208" s="274">
        <f t="shared" si="8"/>
        <v>0</v>
      </c>
      <c r="H2208" s="274">
        <v>0</v>
      </c>
      <c r="K2208" s="274"/>
    </row>
    <row r="2209" spans="2:11" ht="13.5" customHeight="1">
      <c r="B2209" s="209" t="s">
        <v>435</v>
      </c>
      <c r="C2209" s="209" t="s">
        <v>3551</v>
      </c>
      <c r="D2209" s="448" t="s">
        <v>135</v>
      </c>
      <c r="E2209" s="273">
        <v>0</v>
      </c>
      <c r="F2209" s="274"/>
      <c r="G2209" s="274">
        <f t="shared" si="8"/>
        <v>0</v>
      </c>
      <c r="H2209" s="274">
        <v>0</v>
      </c>
      <c r="K2209" s="274"/>
    </row>
    <row r="2210" spans="2:11" ht="13.5" customHeight="1">
      <c r="B2210" s="209" t="s">
        <v>435</v>
      </c>
      <c r="C2210" s="209" t="s">
        <v>3551</v>
      </c>
      <c r="D2210" s="449" t="s">
        <v>136</v>
      </c>
      <c r="E2210" s="273">
        <v>0</v>
      </c>
      <c r="F2210" s="274"/>
      <c r="G2210" s="274">
        <f t="shared" si="8"/>
        <v>0</v>
      </c>
      <c r="H2210" s="274">
        <v>0</v>
      </c>
      <c r="K2210" s="274"/>
    </row>
    <row r="2211" spans="2:11" ht="13.5" customHeight="1">
      <c r="B2211" s="209" t="s">
        <v>435</v>
      </c>
      <c r="C2211" s="209" t="s">
        <v>3551</v>
      </c>
      <c r="D2211" s="450" t="s">
        <v>137</v>
      </c>
      <c r="E2211" s="273">
        <v>0</v>
      </c>
      <c r="F2211" s="274"/>
      <c r="G2211" s="274">
        <f t="shared" si="8"/>
        <v>0</v>
      </c>
      <c r="H2211" s="274">
        <v>0</v>
      </c>
      <c r="K2211" s="274"/>
    </row>
    <row r="2212" spans="2:11" ht="13.5" customHeight="1">
      <c r="B2212" s="209" t="s">
        <v>435</v>
      </c>
      <c r="C2212" s="209" t="s">
        <v>3551</v>
      </c>
      <c r="D2212" s="451" t="s">
        <v>138</v>
      </c>
      <c r="E2212" s="273">
        <v>0</v>
      </c>
      <c r="F2212" s="274"/>
      <c r="G2212" s="274">
        <f t="shared" si="8"/>
        <v>0</v>
      </c>
      <c r="H2212" s="274">
        <v>0</v>
      </c>
      <c r="K2212" s="274"/>
    </row>
    <row r="2213" spans="2:11" ht="13.5" customHeight="1">
      <c r="B2213" s="209" t="s">
        <v>435</v>
      </c>
      <c r="C2213" s="209" t="s">
        <v>3551</v>
      </c>
      <c r="D2213" s="452" t="s">
        <v>139</v>
      </c>
      <c r="E2213" s="273">
        <v>0</v>
      </c>
      <c r="F2213" s="274"/>
      <c r="G2213" s="274">
        <f t="shared" si="8"/>
        <v>0</v>
      </c>
      <c r="H2213" s="274">
        <v>0</v>
      </c>
      <c r="K2213" s="274"/>
    </row>
    <row r="2214" spans="2:11" ht="13.5" customHeight="1">
      <c r="B2214" s="209" t="s">
        <v>435</v>
      </c>
      <c r="C2214" s="209" t="s">
        <v>3551</v>
      </c>
      <c r="D2214" s="216" t="s">
        <v>140</v>
      </c>
      <c r="E2214" s="273">
        <v>0</v>
      </c>
      <c r="F2214" s="274"/>
      <c r="G2214" s="274">
        <f t="shared" si="8"/>
        <v>0</v>
      </c>
      <c r="H2214" s="274">
        <v>0</v>
      </c>
      <c r="K2214" s="274"/>
    </row>
    <row r="2215" spans="2:11" ht="13.5" customHeight="1">
      <c r="B2215" s="209" t="s">
        <v>435</v>
      </c>
      <c r="C2215" s="209" t="s">
        <v>3551</v>
      </c>
      <c r="D2215" s="453" t="s">
        <v>141</v>
      </c>
      <c r="E2215" s="273">
        <v>0</v>
      </c>
      <c r="F2215" s="274"/>
      <c r="G2215" s="274">
        <f t="shared" si="8"/>
        <v>0</v>
      </c>
      <c r="H2215" s="274">
        <v>0</v>
      </c>
      <c r="K2215" s="274"/>
    </row>
    <row r="2216" spans="2:11" ht="13.5" customHeight="1">
      <c r="B2216" s="209" t="s">
        <v>411</v>
      </c>
      <c r="C2216" s="209" t="s">
        <v>3552</v>
      </c>
      <c r="D2216" s="446" t="s">
        <v>133</v>
      </c>
      <c r="E2216" s="273">
        <v>0</v>
      </c>
      <c r="F2216" s="274"/>
      <c r="G2216" s="274">
        <f t="shared" si="8"/>
        <v>0</v>
      </c>
      <c r="H2216" s="274">
        <v>0</v>
      </c>
      <c r="K2216" s="274"/>
    </row>
    <row r="2217" spans="2:11" ht="13.5" customHeight="1">
      <c r="B2217" s="209" t="s">
        <v>411</v>
      </c>
      <c r="C2217" s="209" t="s">
        <v>3552</v>
      </c>
      <c r="D2217" s="447" t="s">
        <v>134</v>
      </c>
      <c r="E2217" s="273">
        <v>0</v>
      </c>
      <c r="F2217" s="274"/>
      <c r="G2217" s="274">
        <f t="shared" si="8"/>
        <v>0</v>
      </c>
      <c r="H2217" s="274">
        <v>0</v>
      </c>
      <c r="K2217" s="274"/>
    </row>
    <row r="2218" spans="2:11" ht="13.5" customHeight="1">
      <c r="B2218" s="209" t="s">
        <v>411</v>
      </c>
      <c r="C2218" s="209" t="s">
        <v>3552</v>
      </c>
      <c r="D2218" s="448" t="s">
        <v>135</v>
      </c>
      <c r="E2218" s="273">
        <v>0</v>
      </c>
      <c r="F2218" s="274"/>
      <c r="G2218" s="274">
        <f t="shared" si="8"/>
        <v>0</v>
      </c>
      <c r="H2218" s="274">
        <v>0</v>
      </c>
      <c r="K2218" s="274"/>
    </row>
    <row r="2219" spans="2:11" ht="13.5" customHeight="1">
      <c r="B2219" s="209" t="s">
        <v>411</v>
      </c>
      <c r="C2219" s="209" t="s">
        <v>3552</v>
      </c>
      <c r="D2219" s="449" t="s">
        <v>136</v>
      </c>
      <c r="E2219" s="273">
        <v>0</v>
      </c>
      <c r="F2219" s="274"/>
      <c r="G2219" s="274">
        <f t="shared" si="8"/>
        <v>0</v>
      </c>
      <c r="H2219" s="274">
        <v>0</v>
      </c>
      <c r="K2219" s="274"/>
    </row>
    <row r="2220" spans="2:11" ht="13.5" customHeight="1">
      <c r="B2220" s="209" t="s">
        <v>411</v>
      </c>
      <c r="C2220" s="209" t="s">
        <v>3552</v>
      </c>
      <c r="D2220" s="450" t="s">
        <v>137</v>
      </c>
      <c r="E2220" s="273">
        <v>0</v>
      </c>
      <c r="F2220" s="274"/>
      <c r="G2220" s="274">
        <f t="shared" si="8"/>
        <v>0</v>
      </c>
      <c r="H2220" s="274">
        <v>0</v>
      </c>
      <c r="K2220" s="274"/>
    </row>
    <row r="2221" spans="2:11" ht="13.5" customHeight="1">
      <c r="B2221" s="209" t="s">
        <v>411</v>
      </c>
      <c r="C2221" s="209" t="s">
        <v>3552</v>
      </c>
      <c r="D2221" s="451" t="s">
        <v>138</v>
      </c>
      <c r="E2221" s="273">
        <v>0</v>
      </c>
      <c r="F2221" s="274"/>
      <c r="G2221" s="274">
        <f t="shared" si="8"/>
        <v>0</v>
      </c>
      <c r="H2221" s="274">
        <v>0</v>
      </c>
      <c r="K2221" s="274"/>
    </row>
    <row r="2222" spans="2:11" ht="13.5" customHeight="1">
      <c r="B2222" s="209" t="s">
        <v>411</v>
      </c>
      <c r="C2222" s="209" t="s">
        <v>3552</v>
      </c>
      <c r="D2222" s="452" t="s">
        <v>139</v>
      </c>
      <c r="E2222" s="273">
        <v>0</v>
      </c>
      <c r="F2222" s="274"/>
      <c r="G2222" s="274">
        <f t="shared" si="8"/>
        <v>0</v>
      </c>
      <c r="H2222" s="274">
        <v>0</v>
      </c>
      <c r="K2222" s="274"/>
    </row>
    <row r="2223" spans="2:11" ht="13.5" customHeight="1">
      <c r="B2223" s="209" t="s">
        <v>411</v>
      </c>
      <c r="C2223" s="209" t="s">
        <v>3552</v>
      </c>
      <c r="D2223" s="216" t="s">
        <v>140</v>
      </c>
      <c r="E2223" s="273">
        <v>0</v>
      </c>
      <c r="F2223" s="274"/>
      <c r="G2223" s="274">
        <f t="shared" si="8"/>
        <v>0</v>
      </c>
      <c r="H2223" s="274">
        <v>0</v>
      </c>
      <c r="K2223" s="274"/>
    </row>
    <row r="2224" spans="2:11" ht="13.5" customHeight="1">
      <c r="B2224" s="209" t="s">
        <v>411</v>
      </c>
      <c r="C2224" s="209" t="s">
        <v>3552</v>
      </c>
      <c r="D2224" s="453" t="s">
        <v>141</v>
      </c>
      <c r="E2224" s="273">
        <v>0</v>
      </c>
      <c r="F2224" s="274"/>
      <c r="G2224" s="274">
        <f t="shared" si="8"/>
        <v>0</v>
      </c>
      <c r="H2224" s="274">
        <v>0</v>
      </c>
      <c r="K2224" s="274"/>
    </row>
    <row r="2225" spans="2:11" ht="13.5" customHeight="1">
      <c r="B2225" s="209" t="s">
        <v>427</v>
      </c>
      <c r="C2225" s="209" t="s">
        <v>3553</v>
      </c>
      <c r="D2225" s="446" t="s">
        <v>133</v>
      </c>
      <c r="E2225" s="273">
        <v>0</v>
      </c>
      <c r="F2225" s="274"/>
      <c r="G2225" s="274">
        <f t="shared" si="8"/>
        <v>0</v>
      </c>
      <c r="H2225" s="274">
        <v>0</v>
      </c>
      <c r="K2225" s="274"/>
    </row>
    <row r="2226" spans="2:11" ht="13.5" customHeight="1">
      <c r="B2226" s="209" t="s">
        <v>427</v>
      </c>
      <c r="C2226" s="209" t="s">
        <v>3553</v>
      </c>
      <c r="D2226" s="447" t="s">
        <v>134</v>
      </c>
      <c r="E2226" s="273">
        <v>0</v>
      </c>
      <c r="F2226" s="274"/>
      <c r="G2226" s="274">
        <f t="shared" si="8"/>
        <v>0</v>
      </c>
      <c r="H2226" s="274">
        <v>0</v>
      </c>
      <c r="K2226" s="274"/>
    </row>
    <row r="2227" spans="2:11" ht="13.5" customHeight="1">
      <c r="B2227" s="209" t="s">
        <v>427</v>
      </c>
      <c r="C2227" s="209" t="s">
        <v>3553</v>
      </c>
      <c r="D2227" s="448" t="s">
        <v>135</v>
      </c>
      <c r="E2227" s="273">
        <v>0</v>
      </c>
      <c r="F2227" s="274"/>
      <c r="G2227" s="274">
        <f t="shared" si="8"/>
        <v>0</v>
      </c>
      <c r="H2227" s="274">
        <v>0</v>
      </c>
      <c r="K2227" s="274"/>
    </row>
    <row r="2228" spans="2:11" ht="13.5" customHeight="1">
      <c r="B2228" s="209" t="s">
        <v>427</v>
      </c>
      <c r="C2228" s="209" t="s">
        <v>3553</v>
      </c>
      <c r="D2228" s="449" t="s">
        <v>136</v>
      </c>
      <c r="E2228" s="273">
        <v>0</v>
      </c>
      <c r="F2228" s="274"/>
      <c r="G2228" s="274">
        <f t="shared" si="8"/>
        <v>0</v>
      </c>
      <c r="H2228" s="274">
        <v>0</v>
      </c>
      <c r="K2228" s="274"/>
    </row>
    <row r="2229" spans="2:11" ht="13.5" customHeight="1">
      <c r="B2229" s="209" t="s">
        <v>427</v>
      </c>
      <c r="C2229" s="209" t="s">
        <v>3553</v>
      </c>
      <c r="D2229" s="450" t="s">
        <v>137</v>
      </c>
      <c r="E2229" s="273">
        <v>0</v>
      </c>
      <c r="F2229" s="274"/>
      <c r="G2229" s="274">
        <f t="shared" si="8"/>
        <v>0</v>
      </c>
      <c r="H2229" s="274">
        <v>0</v>
      </c>
      <c r="K2229" s="274"/>
    </row>
    <row r="2230" spans="2:11" ht="13.5" customHeight="1">
      <c r="B2230" s="209" t="s">
        <v>427</v>
      </c>
      <c r="C2230" s="209" t="s">
        <v>3553</v>
      </c>
      <c r="D2230" s="451" t="s">
        <v>138</v>
      </c>
      <c r="E2230" s="273">
        <v>0</v>
      </c>
      <c r="F2230" s="274"/>
      <c r="G2230" s="274">
        <f t="shared" si="8"/>
        <v>0</v>
      </c>
      <c r="H2230" s="274">
        <v>0</v>
      </c>
      <c r="K2230" s="274"/>
    </row>
    <row r="2231" spans="2:11" ht="13.5" customHeight="1">
      <c r="B2231" s="209" t="s">
        <v>427</v>
      </c>
      <c r="C2231" s="209" t="s">
        <v>3553</v>
      </c>
      <c r="D2231" s="452" t="s">
        <v>139</v>
      </c>
      <c r="E2231" s="273">
        <v>0</v>
      </c>
      <c r="F2231" s="274"/>
      <c r="G2231" s="274">
        <f t="shared" si="8"/>
        <v>0</v>
      </c>
      <c r="H2231" s="274">
        <v>0</v>
      </c>
      <c r="K2231" s="274"/>
    </row>
    <row r="2232" spans="2:11" ht="13.5" customHeight="1">
      <c r="B2232" s="209" t="s">
        <v>427</v>
      </c>
      <c r="C2232" s="209" t="s">
        <v>3553</v>
      </c>
      <c r="D2232" s="216" t="s">
        <v>140</v>
      </c>
      <c r="E2232" s="273">
        <v>0</v>
      </c>
      <c r="F2232" s="274"/>
      <c r="G2232" s="274">
        <f t="shared" si="8"/>
        <v>0</v>
      </c>
      <c r="H2232" s="274">
        <v>0</v>
      </c>
      <c r="K2232" s="274"/>
    </row>
    <row r="2233" spans="2:11" ht="13.5" customHeight="1">
      <c r="B2233" s="209" t="s">
        <v>427</v>
      </c>
      <c r="C2233" s="209" t="s">
        <v>3553</v>
      </c>
      <c r="D2233" s="453" t="s">
        <v>141</v>
      </c>
      <c r="E2233" s="273">
        <v>0</v>
      </c>
      <c r="F2233" s="274"/>
      <c r="G2233" s="274">
        <f t="shared" si="8"/>
        <v>0</v>
      </c>
      <c r="H2233" s="274">
        <v>0</v>
      </c>
      <c r="K2233" s="274"/>
    </row>
    <row r="2234" spans="2:11" ht="13.5" customHeight="1">
      <c r="B2234" s="209" t="s">
        <v>413</v>
      </c>
      <c r="C2234" s="209" t="s">
        <v>3554</v>
      </c>
      <c r="D2234" s="446" t="s">
        <v>133</v>
      </c>
      <c r="E2234" s="273">
        <v>0</v>
      </c>
      <c r="F2234" s="274"/>
      <c r="G2234" s="274">
        <f t="shared" si="8"/>
        <v>0</v>
      </c>
      <c r="H2234" s="274">
        <v>0</v>
      </c>
      <c r="K2234" s="274"/>
    </row>
    <row r="2235" spans="2:11" ht="13.5" customHeight="1">
      <c r="B2235" s="209" t="s">
        <v>413</v>
      </c>
      <c r="C2235" s="209" t="s">
        <v>3554</v>
      </c>
      <c r="D2235" s="447" t="s">
        <v>134</v>
      </c>
      <c r="E2235" s="273">
        <v>0</v>
      </c>
      <c r="F2235" s="274"/>
      <c r="G2235" s="274">
        <f t="shared" si="8"/>
        <v>0</v>
      </c>
      <c r="H2235" s="274">
        <v>0</v>
      </c>
      <c r="K2235" s="274"/>
    </row>
    <row r="2236" spans="2:11" ht="13.5" customHeight="1">
      <c r="B2236" s="209" t="s">
        <v>413</v>
      </c>
      <c r="C2236" s="209" t="s">
        <v>3554</v>
      </c>
      <c r="D2236" s="448" t="s">
        <v>135</v>
      </c>
      <c r="E2236" s="273">
        <v>0</v>
      </c>
      <c r="F2236" s="274"/>
      <c r="G2236" s="274">
        <f t="shared" si="8"/>
        <v>0</v>
      </c>
      <c r="H2236" s="274">
        <v>0</v>
      </c>
      <c r="K2236" s="274"/>
    </row>
    <row r="2237" spans="2:11" ht="13.5" customHeight="1">
      <c r="B2237" s="209" t="s">
        <v>413</v>
      </c>
      <c r="C2237" s="209" t="s">
        <v>3554</v>
      </c>
      <c r="D2237" s="449" t="s">
        <v>136</v>
      </c>
      <c r="E2237" s="273">
        <v>0</v>
      </c>
      <c r="F2237" s="274"/>
      <c r="G2237" s="274">
        <f t="shared" si="8"/>
        <v>0</v>
      </c>
      <c r="H2237" s="274">
        <v>0</v>
      </c>
      <c r="K2237" s="274"/>
    </row>
    <row r="2238" spans="2:11" ht="13.5" customHeight="1">
      <c r="B2238" s="209" t="s">
        <v>413</v>
      </c>
      <c r="C2238" s="209" t="s">
        <v>3554</v>
      </c>
      <c r="D2238" s="450" t="s">
        <v>137</v>
      </c>
      <c r="E2238" s="273">
        <v>0</v>
      </c>
      <c r="F2238" s="274"/>
      <c r="G2238" s="274">
        <f t="shared" si="8"/>
        <v>0</v>
      </c>
      <c r="H2238" s="274">
        <v>0</v>
      </c>
      <c r="K2238" s="274"/>
    </row>
    <row r="2239" spans="2:11" ht="13.5" customHeight="1">
      <c r="B2239" s="209" t="s">
        <v>413</v>
      </c>
      <c r="C2239" s="209" t="s">
        <v>3554</v>
      </c>
      <c r="D2239" s="451" t="s">
        <v>138</v>
      </c>
      <c r="E2239" s="273">
        <v>0</v>
      </c>
      <c r="F2239" s="274"/>
      <c r="G2239" s="274">
        <f t="shared" si="8"/>
        <v>0</v>
      </c>
      <c r="H2239" s="274">
        <v>0</v>
      </c>
      <c r="K2239" s="274"/>
    </row>
    <row r="2240" spans="2:11" ht="13.5" customHeight="1">
      <c r="B2240" s="209" t="s">
        <v>413</v>
      </c>
      <c r="C2240" s="209" t="s">
        <v>3554</v>
      </c>
      <c r="D2240" s="452" t="s">
        <v>139</v>
      </c>
      <c r="E2240" s="273">
        <v>0</v>
      </c>
      <c r="F2240" s="274"/>
      <c r="G2240" s="274">
        <f t="shared" si="8"/>
        <v>0</v>
      </c>
      <c r="H2240" s="274">
        <v>0</v>
      </c>
      <c r="K2240" s="274"/>
    </row>
    <row r="2241" spans="2:11" ht="13.5" customHeight="1">
      <c r="B2241" s="209" t="s">
        <v>413</v>
      </c>
      <c r="C2241" s="209" t="s">
        <v>3554</v>
      </c>
      <c r="D2241" s="216" t="s">
        <v>140</v>
      </c>
      <c r="E2241" s="273">
        <v>0</v>
      </c>
      <c r="F2241" s="274"/>
      <c r="G2241" s="274">
        <f t="shared" si="8"/>
        <v>0</v>
      </c>
      <c r="H2241" s="274">
        <v>0</v>
      </c>
      <c r="K2241" s="274"/>
    </row>
    <row r="2242" spans="2:11" ht="13.5" customHeight="1">
      <c r="B2242" s="209" t="s">
        <v>413</v>
      </c>
      <c r="C2242" s="209" t="s">
        <v>3554</v>
      </c>
      <c r="D2242" s="453" t="s">
        <v>141</v>
      </c>
      <c r="E2242" s="273">
        <v>0</v>
      </c>
      <c r="F2242" s="274"/>
      <c r="G2242" s="274">
        <f t="shared" si="8"/>
        <v>0</v>
      </c>
      <c r="H2242" s="274">
        <v>0</v>
      </c>
      <c r="K2242" s="274"/>
    </row>
    <row r="2243" spans="2:11" ht="13.5" customHeight="1">
      <c r="B2243" s="209" t="s">
        <v>1182</v>
      </c>
      <c r="C2243" s="209" t="s">
        <v>2692</v>
      </c>
      <c r="D2243" s="446" t="s">
        <v>133</v>
      </c>
      <c r="E2243" s="273">
        <v>0</v>
      </c>
      <c r="F2243" s="274"/>
      <c r="G2243" s="274">
        <f t="shared" si="8"/>
        <v>0</v>
      </c>
      <c r="H2243" s="274">
        <v>0</v>
      </c>
      <c r="K2243" s="274"/>
    </row>
    <row r="2244" spans="2:11" ht="13.5" customHeight="1">
      <c r="B2244" s="209" t="s">
        <v>1182</v>
      </c>
      <c r="C2244" s="209" t="s">
        <v>2692</v>
      </c>
      <c r="D2244" s="447" t="s">
        <v>134</v>
      </c>
      <c r="E2244" s="273">
        <v>0</v>
      </c>
      <c r="F2244" s="274"/>
      <c r="G2244" s="274">
        <f t="shared" si="8"/>
        <v>0</v>
      </c>
      <c r="H2244" s="274">
        <v>0</v>
      </c>
      <c r="K2244" s="274"/>
    </row>
    <row r="2245" spans="2:11" ht="13.5" customHeight="1">
      <c r="B2245" s="209" t="s">
        <v>1182</v>
      </c>
      <c r="C2245" s="209" t="s">
        <v>2692</v>
      </c>
      <c r="D2245" s="448" t="s">
        <v>135</v>
      </c>
      <c r="E2245" s="273">
        <v>0</v>
      </c>
      <c r="F2245" s="274"/>
      <c r="G2245" s="274">
        <f t="shared" si="8"/>
        <v>0</v>
      </c>
      <c r="H2245" s="274">
        <v>0</v>
      </c>
      <c r="K2245" s="274"/>
    </row>
    <row r="2246" spans="2:11" ht="13.5" customHeight="1">
      <c r="B2246" s="209" t="s">
        <v>1182</v>
      </c>
      <c r="C2246" s="209" t="s">
        <v>2692</v>
      </c>
      <c r="D2246" s="449" t="s">
        <v>136</v>
      </c>
      <c r="E2246" s="273">
        <v>0</v>
      </c>
      <c r="F2246" s="274"/>
      <c r="G2246" s="274">
        <f t="shared" si="8"/>
        <v>0</v>
      </c>
      <c r="H2246" s="274">
        <v>0</v>
      </c>
      <c r="K2246" s="274"/>
    </row>
    <row r="2247" spans="2:11" ht="13.5" customHeight="1">
      <c r="B2247" s="209" t="s">
        <v>1182</v>
      </c>
      <c r="C2247" s="209" t="s">
        <v>2692</v>
      </c>
      <c r="D2247" s="450" t="s">
        <v>137</v>
      </c>
      <c r="E2247" s="273">
        <v>0</v>
      </c>
      <c r="F2247" s="274"/>
      <c r="G2247" s="274">
        <f t="shared" si="8"/>
        <v>0</v>
      </c>
      <c r="H2247" s="274">
        <v>0</v>
      </c>
      <c r="K2247" s="274"/>
    </row>
    <row r="2248" spans="2:11" ht="13.5" customHeight="1">
      <c r="B2248" s="209" t="s">
        <v>1182</v>
      </c>
      <c r="C2248" s="209" t="s">
        <v>2692</v>
      </c>
      <c r="D2248" s="451" t="s">
        <v>138</v>
      </c>
      <c r="E2248" s="273">
        <v>0</v>
      </c>
      <c r="F2248" s="274"/>
      <c r="G2248" s="274">
        <f t="shared" si="8"/>
        <v>0</v>
      </c>
      <c r="H2248" s="274">
        <v>0</v>
      </c>
      <c r="K2248" s="274"/>
    </row>
    <row r="2249" spans="2:11" ht="13.5" customHeight="1">
      <c r="B2249" s="209" t="s">
        <v>1182</v>
      </c>
      <c r="C2249" s="209" t="s">
        <v>2692</v>
      </c>
      <c r="D2249" s="452" t="s">
        <v>139</v>
      </c>
      <c r="E2249" s="273">
        <v>0</v>
      </c>
      <c r="F2249" s="274"/>
      <c r="G2249" s="274">
        <f t="shared" si="8"/>
        <v>0</v>
      </c>
      <c r="H2249" s="274">
        <v>0</v>
      </c>
      <c r="K2249" s="274"/>
    </row>
    <row r="2250" spans="2:11" ht="13.5" customHeight="1">
      <c r="B2250" s="209" t="s">
        <v>1182</v>
      </c>
      <c r="C2250" s="209" t="s">
        <v>2692</v>
      </c>
      <c r="D2250" s="216" t="s">
        <v>140</v>
      </c>
      <c r="E2250" s="273">
        <v>0</v>
      </c>
      <c r="F2250" s="274"/>
      <c r="G2250" s="274">
        <f t="shared" si="8"/>
        <v>0</v>
      </c>
      <c r="H2250" s="274">
        <v>0</v>
      </c>
      <c r="K2250" s="274"/>
    </row>
    <row r="2251" spans="2:11" ht="13.5" customHeight="1">
      <c r="B2251" s="209" t="s">
        <v>1182</v>
      </c>
      <c r="C2251" s="209" t="s">
        <v>2692</v>
      </c>
      <c r="D2251" s="453" t="s">
        <v>141</v>
      </c>
      <c r="E2251" s="273">
        <v>0</v>
      </c>
      <c r="F2251" s="274"/>
      <c r="G2251" s="274">
        <f t="shared" si="8"/>
        <v>0</v>
      </c>
      <c r="H2251" s="274">
        <v>0</v>
      </c>
      <c r="K2251" s="274"/>
    </row>
    <row r="2252" spans="2:11" ht="13.5" customHeight="1">
      <c r="B2252" s="209" t="s">
        <v>1184</v>
      </c>
      <c r="C2252" s="209" t="s">
        <v>2693</v>
      </c>
      <c r="D2252" s="446" t="s">
        <v>133</v>
      </c>
      <c r="E2252" s="273">
        <v>0</v>
      </c>
      <c r="F2252" s="274"/>
      <c r="G2252" s="274">
        <f t="shared" si="8"/>
        <v>0</v>
      </c>
      <c r="H2252" s="274">
        <v>0</v>
      </c>
      <c r="K2252" s="274"/>
    </row>
    <row r="2253" spans="2:11" ht="13.5" customHeight="1">
      <c r="B2253" s="209" t="s">
        <v>1184</v>
      </c>
      <c r="C2253" s="209" t="s">
        <v>2693</v>
      </c>
      <c r="D2253" s="447" t="s">
        <v>134</v>
      </c>
      <c r="E2253" s="273">
        <v>0</v>
      </c>
      <c r="F2253" s="274"/>
      <c r="G2253" s="274">
        <f t="shared" si="8"/>
        <v>0</v>
      </c>
      <c r="H2253" s="274">
        <v>0</v>
      </c>
      <c r="K2253" s="274"/>
    </row>
    <row r="2254" spans="2:11" ht="13.5" customHeight="1">
      <c r="B2254" s="209" t="s">
        <v>1184</v>
      </c>
      <c r="C2254" s="209" t="s">
        <v>2693</v>
      </c>
      <c r="D2254" s="448" t="s">
        <v>135</v>
      </c>
      <c r="E2254" s="273">
        <v>0</v>
      </c>
      <c r="F2254" s="274"/>
      <c r="G2254" s="274">
        <f t="shared" si="8"/>
        <v>0</v>
      </c>
      <c r="H2254" s="274">
        <v>0</v>
      </c>
      <c r="K2254" s="274"/>
    </row>
    <row r="2255" spans="2:11" ht="13.5" customHeight="1">
      <c r="B2255" s="209" t="s">
        <v>1184</v>
      </c>
      <c r="C2255" s="209" t="s">
        <v>2693</v>
      </c>
      <c r="D2255" s="449" t="s">
        <v>136</v>
      </c>
      <c r="E2255" s="273">
        <v>0</v>
      </c>
      <c r="F2255" s="274"/>
      <c r="G2255" s="274">
        <f t="shared" si="8"/>
        <v>0</v>
      </c>
      <c r="H2255" s="274">
        <v>0</v>
      </c>
      <c r="K2255" s="274"/>
    </row>
    <row r="2256" spans="2:11" ht="13.5" customHeight="1">
      <c r="B2256" s="209" t="s">
        <v>1184</v>
      </c>
      <c r="C2256" s="209" t="s">
        <v>2693</v>
      </c>
      <c r="D2256" s="450" t="s">
        <v>137</v>
      </c>
      <c r="E2256" s="273">
        <v>0</v>
      </c>
      <c r="F2256" s="274"/>
      <c r="G2256" s="274">
        <f t="shared" si="8"/>
        <v>0</v>
      </c>
      <c r="H2256" s="274">
        <v>0</v>
      </c>
      <c r="K2256" s="274"/>
    </row>
    <row r="2257" spans="2:11" ht="13.5" customHeight="1">
      <c r="B2257" s="209" t="s">
        <v>1184</v>
      </c>
      <c r="C2257" s="209" t="s">
        <v>2693</v>
      </c>
      <c r="D2257" s="451" t="s">
        <v>138</v>
      </c>
      <c r="E2257" s="273">
        <v>0</v>
      </c>
      <c r="F2257" s="274"/>
      <c r="G2257" s="274">
        <f t="shared" si="8"/>
        <v>0</v>
      </c>
      <c r="H2257" s="274">
        <v>0</v>
      </c>
      <c r="K2257" s="274"/>
    </row>
    <row r="2258" spans="2:11" ht="13.5" customHeight="1">
      <c r="B2258" s="209" t="s">
        <v>1184</v>
      </c>
      <c r="C2258" s="209" t="s">
        <v>2693</v>
      </c>
      <c r="D2258" s="452" t="s">
        <v>139</v>
      </c>
      <c r="E2258" s="273">
        <v>0</v>
      </c>
      <c r="F2258" s="274"/>
      <c r="G2258" s="274">
        <f t="shared" si="8"/>
        <v>0</v>
      </c>
      <c r="H2258" s="274">
        <v>0</v>
      </c>
      <c r="K2258" s="274"/>
    </row>
    <row r="2259" spans="2:11" ht="13.5" customHeight="1">
      <c r="B2259" s="209" t="s">
        <v>1184</v>
      </c>
      <c r="C2259" s="209" t="s">
        <v>2693</v>
      </c>
      <c r="D2259" s="216" t="s">
        <v>140</v>
      </c>
      <c r="E2259" s="273">
        <v>0</v>
      </c>
      <c r="F2259" s="274"/>
      <c r="G2259" s="274">
        <f t="shared" si="8"/>
        <v>0</v>
      </c>
      <c r="H2259" s="274">
        <v>0</v>
      </c>
      <c r="K2259" s="274"/>
    </row>
    <row r="2260" spans="2:11" ht="13.5" customHeight="1">
      <c r="B2260" s="209" t="s">
        <v>1184</v>
      </c>
      <c r="C2260" s="209" t="s">
        <v>2693</v>
      </c>
      <c r="D2260" s="453" t="s">
        <v>141</v>
      </c>
      <c r="E2260" s="273">
        <v>0</v>
      </c>
      <c r="F2260" s="274"/>
      <c r="G2260" s="274">
        <f t="shared" si="8"/>
        <v>0</v>
      </c>
      <c r="H2260" s="274">
        <v>0</v>
      </c>
      <c r="K2260" s="274"/>
    </row>
    <row r="2261" spans="2:11" ht="13.5" customHeight="1">
      <c r="B2261" s="209" t="s">
        <v>875</v>
      </c>
      <c r="C2261" s="209" t="s">
        <v>2694</v>
      </c>
      <c r="D2261" s="446" t="s">
        <v>133</v>
      </c>
      <c r="E2261" s="273">
        <v>0</v>
      </c>
      <c r="F2261" s="274"/>
      <c r="G2261" s="274">
        <f t="shared" si="8"/>
        <v>0</v>
      </c>
      <c r="H2261" s="274">
        <v>0</v>
      </c>
      <c r="K2261" s="274"/>
    </row>
    <row r="2262" spans="2:11" ht="13.5" customHeight="1">
      <c r="B2262" s="209" t="s">
        <v>875</v>
      </c>
      <c r="C2262" s="209" t="s">
        <v>2694</v>
      </c>
      <c r="D2262" s="447" t="s">
        <v>134</v>
      </c>
      <c r="E2262" s="273">
        <v>0</v>
      </c>
      <c r="F2262" s="274"/>
      <c r="G2262" s="274">
        <f t="shared" si="8"/>
        <v>0</v>
      </c>
      <c r="H2262" s="274">
        <v>0</v>
      </c>
      <c r="K2262" s="274"/>
    </row>
    <row r="2263" spans="2:11" ht="13.5" customHeight="1">
      <c r="B2263" s="209" t="s">
        <v>875</v>
      </c>
      <c r="C2263" s="209" t="s">
        <v>2694</v>
      </c>
      <c r="D2263" s="448" t="s">
        <v>135</v>
      </c>
      <c r="E2263" s="273">
        <v>0</v>
      </c>
      <c r="F2263" s="274"/>
      <c r="G2263" s="274">
        <f t="shared" si="8"/>
        <v>0</v>
      </c>
      <c r="H2263" s="274">
        <v>0</v>
      </c>
      <c r="K2263" s="274"/>
    </row>
    <row r="2264" spans="2:11" ht="13.5" customHeight="1">
      <c r="B2264" s="209" t="s">
        <v>875</v>
      </c>
      <c r="C2264" s="209" t="s">
        <v>2694</v>
      </c>
      <c r="D2264" s="449" t="s">
        <v>136</v>
      </c>
      <c r="E2264" s="273">
        <v>0</v>
      </c>
      <c r="F2264" s="274"/>
      <c r="G2264" s="274">
        <f t="shared" si="8"/>
        <v>0</v>
      </c>
      <c r="H2264" s="274">
        <v>0</v>
      </c>
      <c r="K2264" s="274"/>
    </row>
    <row r="2265" spans="2:11" ht="13.5" customHeight="1">
      <c r="B2265" s="209" t="s">
        <v>875</v>
      </c>
      <c r="C2265" s="209" t="s">
        <v>2694</v>
      </c>
      <c r="D2265" s="450" t="s">
        <v>137</v>
      </c>
      <c r="E2265" s="273">
        <v>0</v>
      </c>
      <c r="F2265" s="274"/>
      <c r="G2265" s="274">
        <f t="shared" si="8"/>
        <v>0</v>
      </c>
      <c r="H2265" s="274">
        <v>0</v>
      </c>
      <c r="K2265" s="274"/>
    </row>
    <row r="2266" spans="2:11" ht="13.5" customHeight="1">
      <c r="B2266" s="209" t="s">
        <v>875</v>
      </c>
      <c r="C2266" s="209" t="s">
        <v>2694</v>
      </c>
      <c r="D2266" s="451" t="s">
        <v>138</v>
      </c>
      <c r="E2266" s="273">
        <v>0</v>
      </c>
      <c r="F2266" s="274"/>
      <c r="G2266" s="274">
        <f t="shared" si="8"/>
        <v>0</v>
      </c>
      <c r="H2266" s="274">
        <v>0</v>
      </c>
      <c r="K2266" s="274"/>
    </row>
    <row r="2267" spans="2:11" ht="13.5" customHeight="1">
      <c r="B2267" s="209" t="s">
        <v>875</v>
      </c>
      <c r="C2267" s="209" t="s">
        <v>2694</v>
      </c>
      <c r="D2267" s="452" t="s">
        <v>139</v>
      </c>
      <c r="E2267" s="273">
        <v>0</v>
      </c>
      <c r="F2267" s="274"/>
      <c r="G2267" s="274">
        <f t="shared" si="8"/>
        <v>0</v>
      </c>
      <c r="H2267" s="274">
        <v>0</v>
      </c>
      <c r="K2267" s="274"/>
    </row>
    <row r="2268" spans="2:11" ht="13.5" customHeight="1">
      <c r="B2268" s="209" t="s">
        <v>875</v>
      </c>
      <c r="C2268" s="209" t="s">
        <v>2694</v>
      </c>
      <c r="D2268" s="216" t="s">
        <v>140</v>
      </c>
      <c r="E2268" s="273">
        <v>0</v>
      </c>
      <c r="F2268" s="274"/>
      <c r="G2268" s="274">
        <f t="shared" si="8"/>
        <v>0</v>
      </c>
      <c r="H2268" s="274">
        <v>0</v>
      </c>
      <c r="K2268" s="274"/>
    </row>
    <row r="2269" spans="2:11" ht="13.5" customHeight="1">
      <c r="B2269" s="209" t="s">
        <v>875</v>
      </c>
      <c r="C2269" s="209" t="s">
        <v>2694</v>
      </c>
      <c r="D2269" s="453" t="s">
        <v>141</v>
      </c>
      <c r="E2269" s="273">
        <v>0</v>
      </c>
      <c r="F2269" s="274"/>
      <c r="G2269" s="274">
        <f t="shared" si="8"/>
        <v>0</v>
      </c>
      <c r="H2269" s="274">
        <v>0</v>
      </c>
      <c r="K2269" s="274"/>
    </row>
    <row r="2270" spans="2:11" ht="13.5" customHeight="1">
      <c r="B2270" s="209" t="s">
        <v>877</v>
      </c>
      <c r="C2270" s="209" t="s">
        <v>2695</v>
      </c>
      <c r="D2270" s="446" t="s">
        <v>133</v>
      </c>
      <c r="E2270" s="273">
        <v>0</v>
      </c>
      <c r="F2270" s="274"/>
      <c r="G2270" s="274">
        <f t="shared" si="8"/>
        <v>0</v>
      </c>
      <c r="H2270" s="274">
        <v>0</v>
      </c>
      <c r="K2270" s="274"/>
    </row>
    <row r="2271" spans="2:11" ht="13.5" customHeight="1">
      <c r="B2271" s="209" t="s">
        <v>877</v>
      </c>
      <c r="C2271" s="209" t="s">
        <v>2695</v>
      </c>
      <c r="D2271" s="447" t="s">
        <v>134</v>
      </c>
      <c r="E2271" s="273">
        <v>0</v>
      </c>
      <c r="F2271" s="274"/>
      <c r="G2271" s="274">
        <f t="shared" si="8"/>
        <v>0</v>
      </c>
      <c r="H2271" s="274">
        <v>0</v>
      </c>
      <c r="K2271" s="274"/>
    </row>
    <row r="2272" spans="2:11" ht="13.5" customHeight="1">
      <c r="B2272" s="209" t="s">
        <v>877</v>
      </c>
      <c r="C2272" s="209" t="s">
        <v>2695</v>
      </c>
      <c r="D2272" s="448" t="s">
        <v>135</v>
      </c>
      <c r="E2272" s="273">
        <v>0</v>
      </c>
      <c r="F2272" s="274"/>
      <c r="G2272" s="274">
        <f t="shared" si="8"/>
        <v>0</v>
      </c>
      <c r="H2272" s="274">
        <v>0</v>
      </c>
      <c r="K2272" s="274"/>
    </row>
    <row r="2273" spans="2:11" ht="13.5" customHeight="1">
      <c r="B2273" s="209" t="s">
        <v>877</v>
      </c>
      <c r="C2273" s="209" t="s">
        <v>2695</v>
      </c>
      <c r="D2273" s="449" t="s">
        <v>136</v>
      </c>
      <c r="E2273" s="273">
        <v>0</v>
      </c>
      <c r="F2273" s="274"/>
      <c r="G2273" s="274">
        <f t="shared" si="8"/>
        <v>0</v>
      </c>
      <c r="H2273" s="274">
        <v>0</v>
      </c>
      <c r="K2273" s="274"/>
    </row>
    <row r="2274" spans="2:11" ht="13.5" customHeight="1">
      <c r="B2274" s="209" t="s">
        <v>877</v>
      </c>
      <c r="C2274" s="209" t="s">
        <v>2695</v>
      </c>
      <c r="D2274" s="450" t="s">
        <v>137</v>
      </c>
      <c r="E2274" s="273">
        <v>0</v>
      </c>
      <c r="F2274" s="274"/>
      <c r="G2274" s="274">
        <f t="shared" si="8"/>
        <v>0</v>
      </c>
      <c r="H2274" s="274">
        <v>0</v>
      </c>
      <c r="K2274" s="274"/>
    </row>
    <row r="2275" spans="2:11" ht="13.5" customHeight="1">
      <c r="B2275" s="209" t="s">
        <v>877</v>
      </c>
      <c r="C2275" s="209" t="s">
        <v>2695</v>
      </c>
      <c r="D2275" s="451" t="s">
        <v>138</v>
      </c>
      <c r="E2275" s="273">
        <v>0</v>
      </c>
      <c r="F2275" s="274"/>
      <c r="G2275" s="274">
        <f t="shared" si="8"/>
        <v>0</v>
      </c>
      <c r="H2275" s="274">
        <v>0</v>
      </c>
      <c r="K2275" s="274"/>
    </row>
    <row r="2276" spans="2:11" ht="13.5" customHeight="1">
      <c r="B2276" s="209" t="s">
        <v>877</v>
      </c>
      <c r="C2276" s="209" t="s">
        <v>2695</v>
      </c>
      <c r="D2276" s="452" t="s">
        <v>139</v>
      </c>
      <c r="E2276" s="273">
        <v>0</v>
      </c>
      <c r="F2276" s="274"/>
      <c r="G2276" s="274">
        <f t="shared" si="8"/>
        <v>0</v>
      </c>
      <c r="H2276" s="274">
        <v>0</v>
      </c>
      <c r="K2276" s="274"/>
    </row>
    <row r="2277" spans="2:11" ht="13.5" customHeight="1">
      <c r="B2277" s="209" t="s">
        <v>877</v>
      </c>
      <c r="C2277" s="209" t="s">
        <v>2695</v>
      </c>
      <c r="D2277" s="216" t="s">
        <v>140</v>
      </c>
      <c r="E2277" s="273">
        <v>0</v>
      </c>
      <c r="F2277" s="274"/>
      <c r="G2277" s="274">
        <f t="shared" si="8"/>
        <v>0</v>
      </c>
      <c r="H2277" s="274">
        <v>0</v>
      </c>
      <c r="K2277" s="274"/>
    </row>
    <row r="2278" spans="2:11" ht="13.5" customHeight="1">
      <c r="B2278" s="209" t="s">
        <v>877</v>
      </c>
      <c r="C2278" s="209" t="s">
        <v>2695</v>
      </c>
      <c r="D2278" s="453" t="s">
        <v>141</v>
      </c>
      <c r="E2278" s="273">
        <v>0</v>
      </c>
      <c r="F2278" s="274"/>
      <c r="G2278" s="274">
        <f t="shared" si="8"/>
        <v>0</v>
      </c>
      <c r="H2278" s="274">
        <v>0</v>
      </c>
      <c r="K2278" s="274"/>
    </row>
    <row r="2279" spans="2:11" ht="13.5" customHeight="1">
      <c r="B2279" s="209" t="s">
        <v>879</v>
      </c>
      <c r="C2279" s="209" t="s">
        <v>2696</v>
      </c>
      <c r="D2279" s="446" t="s">
        <v>133</v>
      </c>
      <c r="E2279" s="273">
        <v>0</v>
      </c>
      <c r="F2279" s="274"/>
      <c r="G2279" s="274">
        <f t="shared" si="8"/>
        <v>0</v>
      </c>
      <c r="H2279" s="274">
        <v>0</v>
      </c>
      <c r="K2279" s="274"/>
    </row>
    <row r="2280" spans="2:11" ht="13.5" customHeight="1">
      <c r="B2280" s="209" t="s">
        <v>879</v>
      </c>
      <c r="C2280" s="209" t="s">
        <v>2696</v>
      </c>
      <c r="D2280" s="447" t="s">
        <v>134</v>
      </c>
      <c r="E2280" s="273">
        <v>0</v>
      </c>
      <c r="F2280" s="274"/>
      <c r="G2280" s="274">
        <f t="shared" si="8"/>
        <v>0</v>
      </c>
      <c r="H2280" s="274">
        <v>0</v>
      </c>
      <c r="K2280" s="274"/>
    </row>
    <row r="2281" spans="2:11" ht="13.5" customHeight="1">
      <c r="B2281" s="209" t="s">
        <v>879</v>
      </c>
      <c r="C2281" s="209" t="s">
        <v>2696</v>
      </c>
      <c r="D2281" s="448" t="s">
        <v>135</v>
      </c>
      <c r="E2281" s="273">
        <v>0</v>
      </c>
      <c r="F2281" s="274"/>
      <c r="G2281" s="274">
        <f t="shared" si="8"/>
        <v>0</v>
      </c>
      <c r="H2281" s="274">
        <v>0</v>
      </c>
      <c r="K2281" s="274"/>
    </row>
    <row r="2282" spans="2:11" ht="13.5" customHeight="1">
      <c r="B2282" s="209" t="s">
        <v>879</v>
      </c>
      <c r="C2282" s="209" t="s">
        <v>2696</v>
      </c>
      <c r="D2282" s="449" t="s">
        <v>136</v>
      </c>
      <c r="E2282" s="273">
        <v>0</v>
      </c>
      <c r="F2282" s="274"/>
      <c r="G2282" s="274">
        <f t="shared" si="8"/>
        <v>0</v>
      </c>
      <c r="H2282" s="274">
        <v>0</v>
      </c>
      <c r="K2282" s="274"/>
    </row>
    <row r="2283" spans="2:11" ht="13.5" customHeight="1">
      <c r="B2283" s="209" t="s">
        <v>879</v>
      </c>
      <c r="C2283" s="209" t="s">
        <v>2696</v>
      </c>
      <c r="D2283" s="450" t="s">
        <v>137</v>
      </c>
      <c r="E2283" s="273">
        <v>0</v>
      </c>
      <c r="F2283" s="274"/>
      <c r="G2283" s="274">
        <f t="shared" si="8"/>
        <v>0</v>
      </c>
      <c r="H2283" s="274">
        <v>0</v>
      </c>
      <c r="K2283" s="274"/>
    </row>
    <row r="2284" spans="2:11" ht="13.5" customHeight="1">
      <c r="B2284" s="209" t="s">
        <v>879</v>
      </c>
      <c r="C2284" s="209" t="s">
        <v>2696</v>
      </c>
      <c r="D2284" s="451" t="s">
        <v>138</v>
      </c>
      <c r="E2284" s="273">
        <v>0</v>
      </c>
      <c r="F2284" s="274"/>
      <c r="G2284" s="274">
        <f t="shared" si="8"/>
        <v>0</v>
      </c>
      <c r="H2284" s="274">
        <v>0</v>
      </c>
      <c r="K2284" s="274"/>
    </row>
    <row r="2285" spans="2:11" ht="13.5" customHeight="1">
      <c r="B2285" s="209" t="s">
        <v>879</v>
      </c>
      <c r="C2285" s="209" t="s">
        <v>2696</v>
      </c>
      <c r="D2285" s="452" t="s">
        <v>139</v>
      </c>
      <c r="E2285" s="273">
        <v>0</v>
      </c>
      <c r="F2285" s="274"/>
      <c r="G2285" s="274">
        <f t="shared" si="8"/>
        <v>0</v>
      </c>
      <c r="H2285" s="274">
        <v>0</v>
      </c>
      <c r="K2285" s="274"/>
    </row>
    <row r="2286" spans="2:11" ht="13.5" customHeight="1">
      <c r="B2286" s="209" t="s">
        <v>879</v>
      </c>
      <c r="C2286" s="209" t="s">
        <v>2696</v>
      </c>
      <c r="D2286" s="216" t="s">
        <v>140</v>
      </c>
      <c r="E2286" s="273">
        <v>0</v>
      </c>
      <c r="F2286" s="274"/>
      <c r="G2286" s="274">
        <f t="shared" si="8"/>
        <v>0</v>
      </c>
      <c r="H2286" s="274">
        <v>0</v>
      </c>
      <c r="K2286" s="274"/>
    </row>
    <row r="2287" spans="2:11" ht="13.5" customHeight="1">
      <c r="B2287" s="209" t="s">
        <v>879</v>
      </c>
      <c r="C2287" s="209" t="s">
        <v>2696</v>
      </c>
      <c r="D2287" s="453" t="s">
        <v>141</v>
      </c>
      <c r="E2287" s="273">
        <v>0</v>
      </c>
      <c r="F2287" s="274"/>
      <c r="G2287" s="274">
        <f t="shared" si="8"/>
        <v>0</v>
      </c>
      <c r="H2287" s="274">
        <v>0</v>
      </c>
      <c r="K2287" s="274"/>
    </row>
    <row r="2288" spans="2:11" ht="13.5" customHeight="1">
      <c r="B2288" s="209" t="s">
        <v>881</v>
      </c>
      <c r="C2288" s="209" t="s">
        <v>2697</v>
      </c>
      <c r="D2288" s="446" t="s">
        <v>133</v>
      </c>
      <c r="E2288" s="273">
        <v>0</v>
      </c>
      <c r="F2288" s="274"/>
      <c r="G2288" s="274">
        <f t="shared" si="8"/>
        <v>0</v>
      </c>
      <c r="H2288" s="274">
        <v>0</v>
      </c>
      <c r="K2288" s="274"/>
    </row>
    <row r="2289" spans="2:11" ht="13.5" customHeight="1">
      <c r="B2289" s="209" t="s">
        <v>881</v>
      </c>
      <c r="C2289" s="209" t="s">
        <v>2697</v>
      </c>
      <c r="D2289" s="447" t="s">
        <v>134</v>
      </c>
      <c r="E2289" s="273">
        <v>0</v>
      </c>
      <c r="F2289" s="274"/>
      <c r="G2289" s="274">
        <f t="shared" si="8"/>
        <v>0</v>
      </c>
      <c r="H2289" s="274">
        <v>0</v>
      </c>
      <c r="K2289" s="274"/>
    </row>
    <row r="2290" spans="2:11" ht="13.5" customHeight="1">
      <c r="B2290" s="209" t="s">
        <v>881</v>
      </c>
      <c r="C2290" s="209" t="s">
        <v>2697</v>
      </c>
      <c r="D2290" s="448" t="s">
        <v>135</v>
      </c>
      <c r="E2290" s="273">
        <v>0</v>
      </c>
      <c r="F2290" s="274"/>
      <c r="G2290" s="274">
        <f t="shared" si="8"/>
        <v>0</v>
      </c>
      <c r="H2290" s="274">
        <v>0</v>
      </c>
      <c r="K2290" s="274"/>
    </row>
    <row r="2291" spans="2:11" ht="13.5" customHeight="1">
      <c r="B2291" s="209" t="s">
        <v>881</v>
      </c>
      <c r="C2291" s="209" t="s">
        <v>2697</v>
      </c>
      <c r="D2291" s="449" t="s">
        <v>136</v>
      </c>
      <c r="E2291" s="273">
        <v>0</v>
      </c>
      <c r="F2291" s="274"/>
      <c r="G2291" s="274">
        <f t="shared" si="8"/>
        <v>0</v>
      </c>
      <c r="H2291" s="274">
        <v>0</v>
      </c>
      <c r="K2291" s="274"/>
    </row>
    <row r="2292" spans="2:11" ht="13.5" customHeight="1">
      <c r="B2292" s="209" t="s">
        <v>881</v>
      </c>
      <c r="C2292" s="209" t="s">
        <v>2697</v>
      </c>
      <c r="D2292" s="450" t="s">
        <v>137</v>
      </c>
      <c r="E2292" s="273">
        <v>0</v>
      </c>
      <c r="F2292" s="274"/>
      <c r="G2292" s="274">
        <f t="shared" si="8"/>
        <v>0</v>
      </c>
      <c r="H2292" s="274">
        <v>0</v>
      </c>
      <c r="K2292" s="274"/>
    </row>
    <row r="2293" spans="2:11" ht="13.5" customHeight="1">
      <c r="B2293" s="209" t="s">
        <v>881</v>
      </c>
      <c r="C2293" s="209" t="s">
        <v>2697</v>
      </c>
      <c r="D2293" s="451" t="s">
        <v>138</v>
      </c>
      <c r="E2293" s="273">
        <v>0</v>
      </c>
      <c r="F2293" s="274"/>
      <c r="G2293" s="274">
        <f t="shared" si="8"/>
        <v>0</v>
      </c>
      <c r="H2293" s="274">
        <v>0</v>
      </c>
      <c r="K2293" s="274"/>
    </row>
    <row r="2294" spans="2:11" ht="13.5" customHeight="1">
      <c r="B2294" s="209" t="s">
        <v>881</v>
      </c>
      <c r="C2294" s="209" t="s">
        <v>2697</v>
      </c>
      <c r="D2294" s="452" t="s">
        <v>139</v>
      </c>
      <c r="E2294" s="273">
        <v>0</v>
      </c>
      <c r="F2294" s="274"/>
      <c r="G2294" s="274">
        <f t="shared" si="8"/>
        <v>0</v>
      </c>
      <c r="H2294" s="274">
        <v>0</v>
      </c>
      <c r="K2294" s="274"/>
    </row>
    <row r="2295" spans="2:11" ht="13.5" customHeight="1">
      <c r="B2295" s="209" t="s">
        <v>881</v>
      </c>
      <c r="C2295" s="209" t="s">
        <v>2697</v>
      </c>
      <c r="D2295" s="216" t="s">
        <v>140</v>
      </c>
      <c r="E2295" s="273">
        <v>0</v>
      </c>
      <c r="F2295" s="274"/>
      <c r="G2295" s="274">
        <f t="shared" si="8"/>
        <v>0</v>
      </c>
      <c r="H2295" s="274">
        <v>0</v>
      </c>
      <c r="K2295" s="274"/>
    </row>
    <row r="2296" spans="2:11" ht="13.5" customHeight="1">
      <c r="B2296" s="209" t="s">
        <v>881</v>
      </c>
      <c r="C2296" s="209" t="s">
        <v>2697</v>
      </c>
      <c r="D2296" s="453" t="s">
        <v>141</v>
      </c>
      <c r="E2296" s="273">
        <v>0</v>
      </c>
      <c r="F2296" s="274"/>
      <c r="G2296" s="274">
        <f t="shared" si="8"/>
        <v>0</v>
      </c>
      <c r="H2296" s="274">
        <v>0</v>
      </c>
      <c r="K2296" s="274"/>
    </row>
    <row r="2297" spans="2:11" ht="13.5" customHeight="1">
      <c r="B2297" s="209" t="s">
        <v>1222</v>
      </c>
      <c r="C2297" s="209" t="s">
        <v>2698</v>
      </c>
      <c r="D2297" s="446" t="s">
        <v>133</v>
      </c>
      <c r="E2297" s="273">
        <v>0</v>
      </c>
      <c r="F2297" s="274"/>
      <c r="G2297" s="274">
        <f t="shared" ref="G2297:G2551" si="9">E2297*F2297</f>
        <v>0</v>
      </c>
      <c r="H2297" s="274">
        <v>0</v>
      </c>
      <c r="K2297" s="274"/>
    </row>
    <row r="2298" spans="2:11" ht="13.5" customHeight="1">
      <c r="B2298" s="209" t="s">
        <v>1222</v>
      </c>
      <c r="C2298" s="209" t="s">
        <v>2698</v>
      </c>
      <c r="D2298" s="447" t="s">
        <v>134</v>
      </c>
      <c r="E2298" s="273">
        <v>0</v>
      </c>
      <c r="F2298" s="274"/>
      <c r="G2298" s="274">
        <f t="shared" si="9"/>
        <v>0</v>
      </c>
      <c r="H2298" s="274">
        <v>0</v>
      </c>
      <c r="K2298" s="274"/>
    </row>
    <row r="2299" spans="2:11" ht="13.5" customHeight="1">
      <c r="B2299" s="209" t="s">
        <v>1222</v>
      </c>
      <c r="C2299" s="209" t="s">
        <v>2698</v>
      </c>
      <c r="D2299" s="448" t="s">
        <v>135</v>
      </c>
      <c r="E2299" s="273">
        <v>0</v>
      </c>
      <c r="F2299" s="274"/>
      <c r="G2299" s="274">
        <f t="shared" si="9"/>
        <v>0</v>
      </c>
      <c r="H2299" s="274">
        <v>0</v>
      </c>
      <c r="K2299" s="274"/>
    </row>
    <row r="2300" spans="2:11" ht="13.5" customHeight="1">
      <c r="B2300" s="209" t="s">
        <v>1222</v>
      </c>
      <c r="C2300" s="209" t="s">
        <v>2698</v>
      </c>
      <c r="D2300" s="449" t="s">
        <v>136</v>
      </c>
      <c r="E2300" s="273">
        <v>0</v>
      </c>
      <c r="F2300" s="274"/>
      <c r="G2300" s="274">
        <f t="shared" si="9"/>
        <v>0</v>
      </c>
      <c r="H2300" s="274">
        <v>0</v>
      </c>
      <c r="K2300" s="274"/>
    </row>
    <row r="2301" spans="2:11" ht="13.5" customHeight="1">
      <c r="B2301" s="209" t="s">
        <v>1222</v>
      </c>
      <c r="C2301" s="209" t="s">
        <v>2698</v>
      </c>
      <c r="D2301" s="450" t="s">
        <v>137</v>
      </c>
      <c r="E2301" s="273">
        <v>0</v>
      </c>
      <c r="F2301" s="274"/>
      <c r="G2301" s="274">
        <f t="shared" si="9"/>
        <v>0</v>
      </c>
      <c r="H2301" s="274">
        <v>0</v>
      </c>
      <c r="K2301" s="274"/>
    </row>
    <row r="2302" spans="2:11" ht="13.5" customHeight="1">
      <c r="B2302" s="209" t="s">
        <v>1222</v>
      </c>
      <c r="C2302" s="209" t="s">
        <v>2698</v>
      </c>
      <c r="D2302" s="451" t="s">
        <v>138</v>
      </c>
      <c r="E2302" s="273">
        <v>0</v>
      </c>
      <c r="F2302" s="274"/>
      <c r="G2302" s="274">
        <f t="shared" si="9"/>
        <v>0</v>
      </c>
      <c r="H2302" s="274">
        <v>0</v>
      </c>
      <c r="K2302" s="274"/>
    </row>
    <row r="2303" spans="2:11" ht="13.5" customHeight="1">
      <c r="B2303" s="209" t="s">
        <v>1222</v>
      </c>
      <c r="C2303" s="209" t="s">
        <v>2698</v>
      </c>
      <c r="D2303" s="452" t="s">
        <v>139</v>
      </c>
      <c r="E2303" s="273">
        <v>0</v>
      </c>
      <c r="F2303" s="274"/>
      <c r="G2303" s="274">
        <f t="shared" si="9"/>
        <v>0</v>
      </c>
      <c r="H2303" s="274">
        <v>0</v>
      </c>
      <c r="K2303" s="274"/>
    </row>
    <row r="2304" spans="2:11" ht="13.5" customHeight="1">
      <c r="B2304" s="209" t="s">
        <v>1222</v>
      </c>
      <c r="C2304" s="209" t="s">
        <v>2698</v>
      </c>
      <c r="D2304" s="216" t="s">
        <v>140</v>
      </c>
      <c r="E2304" s="273">
        <v>0</v>
      </c>
      <c r="F2304" s="274"/>
      <c r="G2304" s="274">
        <f t="shared" si="9"/>
        <v>0</v>
      </c>
      <c r="H2304" s="274">
        <v>0</v>
      </c>
      <c r="K2304" s="274"/>
    </row>
    <row r="2305" spans="2:11" ht="13.5" customHeight="1">
      <c r="B2305" s="209" t="s">
        <v>1222</v>
      </c>
      <c r="C2305" s="209" t="s">
        <v>2698</v>
      </c>
      <c r="D2305" s="453" t="s">
        <v>141</v>
      </c>
      <c r="E2305" s="273">
        <v>0</v>
      </c>
      <c r="F2305" s="274"/>
      <c r="G2305" s="274">
        <f t="shared" si="9"/>
        <v>0</v>
      </c>
      <c r="H2305" s="274">
        <v>0</v>
      </c>
      <c r="K2305" s="274"/>
    </row>
    <row r="2306" spans="2:11" ht="13.5" customHeight="1">
      <c r="B2306" s="209" t="s">
        <v>375</v>
      </c>
      <c r="C2306" s="209" t="s">
        <v>2699</v>
      </c>
      <c r="D2306" s="446" t="s">
        <v>133</v>
      </c>
      <c r="E2306" s="273">
        <v>0</v>
      </c>
      <c r="F2306" s="274"/>
      <c r="G2306" s="274">
        <f t="shared" si="9"/>
        <v>0</v>
      </c>
      <c r="H2306" s="274">
        <v>0</v>
      </c>
      <c r="K2306" s="274"/>
    </row>
    <row r="2307" spans="2:11" ht="13.5" customHeight="1">
      <c r="B2307" s="209" t="s">
        <v>375</v>
      </c>
      <c r="C2307" s="209" t="s">
        <v>2699</v>
      </c>
      <c r="D2307" s="447" t="s">
        <v>134</v>
      </c>
      <c r="E2307" s="273">
        <v>0</v>
      </c>
      <c r="F2307" s="274"/>
      <c r="G2307" s="274">
        <f t="shared" si="9"/>
        <v>0</v>
      </c>
      <c r="H2307" s="274">
        <v>0</v>
      </c>
      <c r="K2307" s="274"/>
    </row>
    <row r="2308" spans="2:11" ht="13.5" customHeight="1">
      <c r="B2308" s="209" t="s">
        <v>375</v>
      </c>
      <c r="C2308" s="209" t="s">
        <v>2699</v>
      </c>
      <c r="D2308" s="448" t="s">
        <v>135</v>
      </c>
      <c r="E2308" s="273">
        <v>0</v>
      </c>
      <c r="F2308" s="274"/>
      <c r="G2308" s="274">
        <f t="shared" si="9"/>
        <v>0</v>
      </c>
      <c r="H2308" s="274">
        <v>0</v>
      </c>
      <c r="K2308" s="274"/>
    </row>
    <row r="2309" spans="2:11" ht="13.5" customHeight="1">
      <c r="B2309" s="209" t="s">
        <v>375</v>
      </c>
      <c r="C2309" s="209" t="s">
        <v>2699</v>
      </c>
      <c r="D2309" s="449" t="s">
        <v>136</v>
      </c>
      <c r="E2309" s="273">
        <v>0</v>
      </c>
      <c r="F2309" s="274"/>
      <c r="G2309" s="274">
        <f t="shared" si="9"/>
        <v>0</v>
      </c>
      <c r="H2309" s="274">
        <v>0</v>
      </c>
      <c r="K2309" s="274"/>
    </row>
    <row r="2310" spans="2:11" ht="13.5" customHeight="1">
      <c r="B2310" s="209" t="s">
        <v>375</v>
      </c>
      <c r="C2310" s="209" t="s">
        <v>2699</v>
      </c>
      <c r="D2310" s="450" t="s">
        <v>137</v>
      </c>
      <c r="E2310" s="273">
        <v>0</v>
      </c>
      <c r="F2310" s="274"/>
      <c r="G2310" s="274">
        <f t="shared" si="9"/>
        <v>0</v>
      </c>
      <c r="H2310" s="274">
        <v>0</v>
      </c>
      <c r="K2310" s="274"/>
    </row>
    <row r="2311" spans="2:11" ht="13.5" customHeight="1">
      <c r="B2311" s="209" t="s">
        <v>375</v>
      </c>
      <c r="C2311" s="209" t="s">
        <v>2699</v>
      </c>
      <c r="D2311" s="451" t="s">
        <v>138</v>
      </c>
      <c r="E2311" s="273">
        <v>0</v>
      </c>
      <c r="F2311" s="274"/>
      <c r="G2311" s="274">
        <f t="shared" si="9"/>
        <v>0</v>
      </c>
      <c r="H2311" s="274">
        <v>0</v>
      </c>
      <c r="K2311" s="274"/>
    </row>
    <row r="2312" spans="2:11" ht="13.5" customHeight="1">
      <c r="B2312" s="209" t="s">
        <v>375</v>
      </c>
      <c r="C2312" s="209" t="s">
        <v>2699</v>
      </c>
      <c r="D2312" s="452" t="s">
        <v>139</v>
      </c>
      <c r="E2312" s="273">
        <v>0</v>
      </c>
      <c r="F2312" s="274"/>
      <c r="G2312" s="274">
        <f t="shared" si="9"/>
        <v>0</v>
      </c>
      <c r="H2312" s="274">
        <v>0</v>
      </c>
      <c r="K2312" s="274"/>
    </row>
    <row r="2313" spans="2:11" ht="13.5" customHeight="1">
      <c r="B2313" s="209" t="s">
        <v>375</v>
      </c>
      <c r="C2313" s="209" t="s">
        <v>2699</v>
      </c>
      <c r="D2313" s="216" t="s">
        <v>140</v>
      </c>
      <c r="E2313" s="273">
        <v>0</v>
      </c>
      <c r="F2313" s="274"/>
      <c r="G2313" s="274">
        <f t="shared" si="9"/>
        <v>0</v>
      </c>
      <c r="H2313" s="274">
        <v>0</v>
      </c>
      <c r="K2313" s="274"/>
    </row>
    <row r="2314" spans="2:11" ht="13.5" customHeight="1">
      <c r="B2314" s="209" t="s">
        <v>375</v>
      </c>
      <c r="C2314" s="209" t="s">
        <v>2699</v>
      </c>
      <c r="D2314" s="453" t="s">
        <v>141</v>
      </c>
      <c r="E2314" s="273">
        <v>0</v>
      </c>
      <c r="F2314" s="274"/>
      <c r="G2314" s="274">
        <f t="shared" si="9"/>
        <v>0</v>
      </c>
      <c r="H2314" s="274">
        <v>0</v>
      </c>
      <c r="K2314" s="274"/>
    </row>
    <row r="2315" spans="2:11" ht="13.5" customHeight="1">
      <c r="B2315" s="209" t="s">
        <v>629</v>
      </c>
      <c r="C2315" s="209" t="s">
        <v>2700</v>
      </c>
      <c r="D2315" s="446" t="s">
        <v>133</v>
      </c>
      <c r="E2315" s="273">
        <v>0</v>
      </c>
      <c r="F2315" s="274"/>
      <c r="G2315" s="274">
        <f t="shared" si="9"/>
        <v>0</v>
      </c>
      <c r="H2315" s="274">
        <v>0</v>
      </c>
      <c r="K2315" s="274"/>
    </row>
    <row r="2316" spans="2:11" ht="13.5" customHeight="1">
      <c r="B2316" s="209" t="s">
        <v>629</v>
      </c>
      <c r="C2316" s="209" t="s">
        <v>2700</v>
      </c>
      <c r="D2316" s="447" t="s">
        <v>134</v>
      </c>
      <c r="E2316" s="273">
        <v>0</v>
      </c>
      <c r="F2316" s="274"/>
      <c r="G2316" s="274">
        <f t="shared" si="9"/>
        <v>0</v>
      </c>
      <c r="H2316" s="274">
        <v>0</v>
      </c>
      <c r="K2316" s="274"/>
    </row>
    <row r="2317" spans="2:11" ht="13.5" customHeight="1">
      <c r="B2317" s="209" t="s">
        <v>629</v>
      </c>
      <c r="C2317" s="209" t="s">
        <v>2700</v>
      </c>
      <c r="D2317" s="448" t="s">
        <v>135</v>
      </c>
      <c r="E2317" s="273">
        <v>0</v>
      </c>
      <c r="F2317" s="274"/>
      <c r="G2317" s="274">
        <f t="shared" si="9"/>
        <v>0</v>
      </c>
      <c r="H2317" s="274">
        <v>0</v>
      </c>
      <c r="K2317" s="274"/>
    </row>
    <row r="2318" spans="2:11" ht="13.5" customHeight="1">
      <c r="B2318" s="209" t="s">
        <v>629</v>
      </c>
      <c r="C2318" s="209" t="s">
        <v>2700</v>
      </c>
      <c r="D2318" s="449" t="s">
        <v>136</v>
      </c>
      <c r="E2318" s="273">
        <v>0</v>
      </c>
      <c r="F2318" s="274"/>
      <c r="G2318" s="274">
        <f t="shared" si="9"/>
        <v>0</v>
      </c>
      <c r="H2318" s="274">
        <v>0</v>
      </c>
      <c r="K2318" s="274"/>
    </row>
    <row r="2319" spans="2:11" ht="13.5" customHeight="1">
      <c r="B2319" s="209" t="s">
        <v>629</v>
      </c>
      <c r="C2319" s="209" t="s">
        <v>2700</v>
      </c>
      <c r="D2319" s="450" t="s">
        <v>137</v>
      </c>
      <c r="E2319" s="273">
        <v>0</v>
      </c>
      <c r="F2319" s="274"/>
      <c r="G2319" s="274">
        <f t="shared" si="9"/>
        <v>0</v>
      </c>
      <c r="H2319" s="274">
        <v>0</v>
      </c>
      <c r="K2319" s="274"/>
    </row>
    <row r="2320" spans="2:11" ht="13.5" customHeight="1">
      <c r="B2320" s="209" t="s">
        <v>629</v>
      </c>
      <c r="C2320" s="209" t="s">
        <v>2700</v>
      </c>
      <c r="D2320" s="451" t="s">
        <v>138</v>
      </c>
      <c r="E2320" s="273">
        <v>0</v>
      </c>
      <c r="F2320" s="274"/>
      <c r="G2320" s="274">
        <f t="shared" si="9"/>
        <v>0</v>
      </c>
      <c r="H2320" s="274">
        <v>0</v>
      </c>
      <c r="K2320" s="274"/>
    </row>
    <row r="2321" spans="2:11" ht="13.5" customHeight="1">
      <c r="B2321" s="209" t="s">
        <v>629</v>
      </c>
      <c r="C2321" s="209" t="s">
        <v>2700</v>
      </c>
      <c r="D2321" s="452" t="s">
        <v>139</v>
      </c>
      <c r="E2321" s="273">
        <v>0</v>
      </c>
      <c r="F2321" s="274"/>
      <c r="G2321" s="274">
        <f t="shared" si="9"/>
        <v>0</v>
      </c>
      <c r="H2321" s="274">
        <v>0</v>
      </c>
      <c r="K2321" s="274"/>
    </row>
    <row r="2322" spans="2:11" ht="13.5" customHeight="1">
      <c r="B2322" s="209" t="s">
        <v>629</v>
      </c>
      <c r="C2322" s="209" t="s">
        <v>2700</v>
      </c>
      <c r="D2322" s="216" t="s">
        <v>140</v>
      </c>
      <c r="E2322" s="273">
        <v>0</v>
      </c>
      <c r="F2322" s="274"/>
      <c r="G2322" s="274">
        <f t="shared" si="9"/>
        <v>0</v>
      </c>
      <c r="H2322" s="274">
        <v>0</v>
      </c>
      <c r="K2322" s="274"/>
    </row>
    <row r="2323" spans="2:11" ht="13.5" customHeight="1">
      <c r="B2323" s="209" t="s">
        <v>629</v>
      </c>
      <c r="C2323" s="209" t="s">
        <v>2700</v>
      </c>
      <c r="D2323" s="453" t="s">
        <v>141</v>
      </c>
      <c r="E2323" s="273">
        <v>0</v>
      </c>
      <c r="F2323" s="274"/>
      <c r="G2323" s="274">
        <f t="shared" si="9"/>
        <v>0</v>
      </c>
      <c r="H2323" s="274">
        <v>0</v>
      </c>
      <c r="K2323" s="274"/>
    </row>
    <row r="2324" spans="2:11" ht="13.5" customHeight="1">
      <c r="B2324" s="209" t="s">
        <v>377</v>
      </c>
      <c r="C2324" s="209" t="s">
        <v>2701</v>
      </c>
      <c r="D2324" s="446" t="s">
        <v>133</v>
      </c>
      <c r="E2324" s="273">
        <v>0</v>
      </c>
      <c r="F2324" s="274"/>
      <c r="G2324" s="274">
        <f t="shared" si="9"/>
        <v>0</v>
      </c>
      <c r="H2324" s="274">
        <v>0</v>
      </c>
      <c r="K2324" s="274"/>
    </row>
    <row r="2325" spans="2:11" ht="13.5" customHeight="1">
      <c r="B2325" s="209" t="s">
        <v>377</v>
      </c>
      <c r="C2325" s="209" t="s">
        <v>2701</v>
      </c>
      <c r="D2325" s="447" t="s">
        <v>134</v>
      </c>
      <c r="E2325" s="273">
        <v>0</v>
      </c>
      <c r="F2325" s="274"/>
      <c r="G2325" s="274">
        <f t="shared" si="9"/>
        <v>0</v>
      </c>
      <c r="H2325" s="274">
        <v>0</v>
      </c>
      <c r="K2325" s="274"/>
    </row>
    <row r="2326" spans="2:11" ht="13.5" customHeight="1">
      <c r="B2326" s="209" t="s">
        <v>377</v>
      </c>
      <c r="C2326" s="209" t="s">
        <v>2701</v>
      </c>
      <c r="D2326" s="448" t="s">
        <v>135</v>
      </c>
      <c r="E2326" s="273">
        <v>0</v>
      </c>
      <c r="F2326" s="274"/>
      <c r="G2326" s="274">
        <f t="shared" si="9"/>
        <v>0</v>
      </c>
      <c r="H2326" s="274">
        <v>0</v>
      </c>
      <c r="K2326" s="274"/>
    </row>
    <row r="2327" spans="2:11" ht="13.5" customHeight="1">
      <c r="B2327" s="209" t="s">
        <v>377</v>
      </c>
      <c r="C2327" s="209" t="s">
        <v>2701</v>
      </c>
      <c r="D2327" s="449" t="s">
        <v>136</v>
      </c>
      <c r="E2327" s="273">
        <v>0</v>
      </c>
      <c r="F2327" s="274"/>
      <c r="G2327" s="274">
        <f t="shared" si="9"/>
        <v>0</v>
      </c>
      <c r="H2327" s="274">
        <v>0</v>
      </c>
      <c r="K2327" s="274"/>
    </row>
    <row r="2328" spans="2:11" ht="13.5" customHeight="1">
      <c r="B2328" s="209" t="s">
        <v>377</v>
      </c>
      <c r="C2328" s="209" t="s">
        <v>2701</v>
      </c>
      <c r="D2328" s="450" t="s">
        <v>137</v>
      </c>
      <c r="E2328" s="273">
        <v>0</v>
      </c>
      <c r="F2328" s="274"/>
      <c r="G2328" s="274">
        <f t="shared" si="9"/>
        <v>0</v>
      </c>
      <c r="H2328" s="274">
        <v>0</v>
      </c>
      <c r="K2328" s="274"/>
    </row>
    <row r="2329" spans="2:11" ht="13.5" customHeight="1">
      <c r="B2329" s="209" t="s">
        <v>377</v>
      </c>
      <c r="C2329" s="209" t="s">
        <v>2701</v>
      </c>
      <c r="D2329" s="451" t="s">
        <v>138</v>
      </c>
      <c r="E2329" s="273">
        <v>0</v>
      </c>
      <c r="F2329" s="274"/>
      <c r="G2329" s="274">
        <f t="shared" si="9"/>
        <v>0</v>
      </c>
      <c r="H2329" s="274">
        <v>0</v>
      </c>
      <c r="K2329" s="274"/>
    </row>
    <row r="2330" spans="2:11" ht="13.5" customHeight="1">
      <c r="B2330" s="209" t="s">
        <v>377</v>
      </c>
      <c r="C2330" s="209" t="s">
        <v>2701</v>
      </c>
      <c r="D2330" s="452" t="s">
        <v>139</v>
      </c>
      <c r="E2330" s="273">
        <v>0</v>
      </c>
      <c r="F2330" s="274"/>
      <c r="G2330" s="274">
        <f t="shared" si="9"/>
        <v>0</v>
      </c>
      <c r="H2330" s="274">
        <v>0</v>
      </c>
      <c r="K2330" s="274"/>
    </row>
    <row r="2331" spans="2:11" ht="13.5" customHeight="1">
      <c r="B2331" s="209" t="s">
        <v>377</v>
      </c>
      <c r="C2331" s="209" t="s">
        <v>2701</v>
      </c>
      <c r="D2331" s="216" t="s">
        <v>140</v>
      </c>
      <c r="E2331" s="273">
        <v>0</v>
      </c>
      <c r="F2331" s="274"/>
      <c r="G2331" s="274">
        <f t="shared" si="9"/>
        <v>0</v>
      </c>
      <c r="H2331" s="274">
        <v>0</v>
      </c>
      <c r="K2331" s="274"/>
    </row>
    <row r="2332" spans="2:11" ht="13.5" customHeight="1">
      <c r="B2332" s="209" t="s">
        <v>377</v>
      </c>
      <c r="C2332" s="209" t="s">
        <v>2701</v>
      </c>
      <c r="D2332" s="453" t="s">
        <v>141</v>
      </c>
      <c r="E2332" s="273">
        <v>0</v>
      </c>
      <c r="F2332" s="274"/>
      <c r="G2332" s="274">
        <f t="shared" si="9"/>
        <v>0</v>
      </c>
      <c r="H2332" s="274">
        <v>0</v>
      </c>
      <c r="K2332" s="274"/>
    </row>
    <row r="2333" spans="2:11" ht="13.5" customHeight="1">
      <c r="B2333" s="209" t="s">
        <v>631</v>
      </c>
      <c r="C2333" s="209" t="s">
        <v>2702</v>
      </c>
      <c r="D2333" s="446" t="s">
        <v>133</v>
      </c>
      <c r="E2333" s="273">
        <v>0</v>
      </c>
      <c r="F2333" s="274"/>
      <c r="G2333" s="274">
        <f t="shared" si="9"/>
        <v>0</v>
      </c>
      <c r="H2333" s="274">
        <v>0</v>
      </c>
      <c r="K2333" s="274"/>
    </row>
    <row r="2334" spans="2:11" ht="13.5" customHeight="1">
      <c r="B2334" s="209" t="s">
        <v>631</v>
      </c>
      <c r="C2334" s="209" t="s">
        <v>2702</v>
      </c>
      <c r="D2334" s="447" t="s">
        <v>134</v>
      </c>
      <c r="E2334" s="273">
        <v>0</v>
      </c>
      <c r="F2334" s="274"/>
      <c r="G2334" s="274">
        <f t="shared" si="9"/>
        <v>0</v>
      </c>
      <c r="H2334" s="274">
        <v>0</v>
      </c>
      <c r="K2334" s="274"/>
    </row>
    <row r="2335" spans="2:11" ht="13.5" customHeight="1">
      <c r="B2335" s="209" t="s">
        <v>631</v>
      </c>
      <c r="C2335" s="209" t="s">
        <v>2702</v>
      </c>
      <c r="D2335" s="448" t="s">
        <v>135</v>
      </c>
      <c r="E2335" s="273">
        <v>0</v>
      </c>
      <c r="F2335" s="274"/>
      <c r="G2335" s="274">
        <f t="shared" si="9"/>
        <v>0</v>
      </c>
      <c r="H2335" s="274">
        <v>0</v>
      </c>
      <c r="K2335" s="274"/>
    </row>
    <row r="2336" spans="2:11" ht="13.5" customHeight="1">
      <c r="B2336" s="209" t="s">
        <v>631</v>
      </c>
      <c r="C2336" s="209" t="s">
        <v>2702</v>
      </c>
      <c r="D2336" s="449" t="s">
        <v>136</v>
      </c>
      <c r="E2336" s="273">
        <v>0</v>
      </c>
      <c r="F2336" s="274"/>
      <c r="G2336" s="274">
        <f t="shared" si="9"/>
        <v>0</v>
      </c>
      <c r="H2336" s="274">
        <v>0</v>
      </c>
      <c r="K2336" s="274"/>
    </row>
    <row r="2337" spans="2:11" ht="13.5" customHeight="1">
      <c r="B2337" s="209" t="s">
        <v>631</v>
      </c>
      <c r="C2337" s="209" t="s">
        <v>2702</v>
      </c>
      <c r="D2337" s="450" t="s">
        <v>137</v>
      </c>
      <c r="E2337" s="273">
        <v>0</v>
      </c>
      <c r="F2337" s="274"/>
      <c r="G2337" s="274">
        <f t="shared" si="9"/>
        <v>0</v>
      </c>
      <c r="H2337" s="274">
        <v>0</v>
      </c>
      <c r="K2337" s="274"/>
    </row>
    <row r="2338" spans="2:11" ht="13.5" customHeight="1">
      <c r="B2338" s="209" t="s">
        <v>631</v>
      </c>
      <c r="C2338" s="209" t="s">
        <v>2702</v>
      </c>
      <c r="D2338" s="451" t="s">
        <v>138</v>
      </c>
      <c r="E2338" s="273">
        <v>0</v>
      </c>
      <c r="F2338" s="274"/>
      <c r="G2338" s="274">
        <f t="shared" si="9"/>
        <v>0</v>
      </c>
      <c r="H2338" s="274">
        <v>0</v>
      </c>
      <c r="K2338" s="274"/>
    </row>
    <row r="2339" spans="2:11" ht="13.5" customHeight="1">
      <c r="B2339" s="209" t="s">
        <v>631</v>
      </c>
      <c r="C2339" s="209" t="s">
        <v>2702</v>
      </c>
      <c r="D2339" s="452" t="s">
        <v>139</v>
      </c>
      <c r="E2339" s="273">
        <v>0</v>
      </c>
      <c r="F2339" s="274"/>
      <c r="G2339" s="274">
        <f t="shared" si="9"/>
        <v>0</v>
      </c>
      <c r="H2339" s="274">
        <v>0</v>
      </c>
      <c r="K2339" s="274"/>
    </row>
    <row r="2340" spans="2:11" ht="13.5" customHeight="1">
      <c r="B2340" s="209" t="s">
        <v>631</v>
      </c>
      <c r="C2340" s="209" t="s">
        <v>2702</v>
      </c>
      <c r="D2340" s="216" t="s">
        <v>140</v>
      </c>
      <c r="E2340" s="273">
        <v>0</v>
      </c>
      <c r="F2340" s="274"/>
      <c r="G2340" s="274">
        <f t="shared" si="9"/>
        <v>0</v>
      </c>
      <c r="H2340" s="274">
        <v>0</v>
      </c>
      <c r="K2340" s="274"/>
    </row>
    <row r="2341" spans="2:11" ht="13.5" customHeight="1">
      <c r="B2341" s="209" t="s">
        <v>631</v>
      </c>
      <c r="C2341" s="209" t="s">
        <v>2702</v>
      </c>
      <c r="D2341" s="453" t="s">
        <v>141</v>
      </c>
      <c r="E2341" s="273">
        <v>0</v>
      </c>
      <c r="F2341" s="274"/>
      <c r="G2341" s="274">
        <f t="shared" si="9"/>
        <v>0</v>
      </c>
      <c r="H2341" s="274">
        <v>0</v>
      </c>
      <c r="K2341" s="274"/>
    </row>
    <row r="2342" spans="2:11" ht="13.5" customHeight="1">
      <c r="B2342" s="209" t="s">
        <v>1224</v>
      </c>
      <c r="C2342" s="209" t="s">
        <v>2703</v>
      </c>
      <c r="D2342" s="446" t="s">
        <v>133</v>
      </c>
      <c r="E2342" s="273">
        <v>0</v>
      </c>
      <c r="F2342" s="274"/>
      <c r="G2342" s="274">
        <f t="shared" si="9"/>
        <v>0</v>
      </c>
      <c r="H2342" s="274">
        <v>0</v>
      </c>
      <c r="K2342" s="274"/>
    </row>
    <row r="2343" spans="2:11" ht="13.5" customHeight="1">
      <c r="B2343" s="209" t="s">
        <v>1224</v>
      </c>
      <c r="C2343" s="209" t="s">
        <v>2703</v>
      </c>
      <c r="D2343" s="447" t="s">
        <v>134</v>
      </c>
      <c r="E2343" s="273">
        <v>0</v>
      </c>
      <c r="F2343" s="274"/>
      <c r="G2343" s="274">
        <f t="shared" si="9"/>
        <v>0</v>
      </c>
      <c r="H2343" s="274">
        <v>0</v>
      </c>
      <c r="K2343" s="274"/>
    </row>
    <row r="2344" spans="2:11" ht="13.5" customHeight="1">
      <c r="B2344" s="209" t="s">
        <v>1224</v>
      </c>
      <c r="C2344" s="209" t="s">
        <v>2703</v>
      </c>
      <c r="D2344" s="448" t="s">
        <v>135</v>
      </c>
      <c r="E2344" s="273">
        <v>0</v>
      </c>
      <c r="F2344" s="274"/>
      <c r="G2344" s="274">
        <f t="shared" si="9"/>
        <v>0</v>
      </c>
      <c r="H2344" s="274">
        <v>0</v>
      </c>
      <c r="K2344" s="274"/>
    </row>
    <row r="2345" spans="2:11" ht="13.5" customHeight="1">
      <c r="B2345" s="209" t="s">
        <v>1224</v>
      </c>
      <c r="C2345" s="209" t="s">
        <v>2703</v>
      </c>
      <c r="D2345" s="449" t="s">
        <v>136</v>
      </c>
      <c r="E2345" s="273">
        <v>0</v>
      </c>
      <c r="F2345" s="274"/>
      <c r="G2345" s="274">
        <f t="shared" si="9"/>
        <v>0</v>
      </c>
      <c r="H2345" s="274">
        <v>0</v>
      </c>
      <c r="K2345" s="274"/>
    </row>
    <row r="2346" spans="2:11" ht="13.5" customHeight="1">
      <c r="B2346" s="209" t="s">
        <v>1224</v>
      </c>
      <c r="C2346" s="209" t="s">
        <v>2703</v>
      </c>
      <c r="D2346" s="450" t="s">
        <v>137</v>
      </c>
      <c r="E2346" s="273">
        <v>0</v>
      </c>
      <c r="F2346" s="274"/>
      <c r="G2346" s="274">
        <f t="shared" si="9"/>
        <v>0</v>
      </c>
      <c r="H2346" s="274">
        <v>0</v>
      </c>
      <c r="K2346" s="274"/>
    </row>
    <row r="2347" spans="2:11" ht="13.5" customHeight="1">
      <c r="B2347" s="209" t="s">
        <v>1224</v>
      </c>
      <c r="C2347" s="209" t="s">
        <v>2703</v>
      </c>
      <c r="D2347" s="451" t="s">
        <v>138</v>
      </c>
      <c r="E2347" s="273">
        <v>0</v>
      </c>
      <c r="F2347" s="274"/>
      <c r="G2347" s="274">
        <f t="shared" si="9"/>
        <v>0</v>
      </c>
      <c r="H2347" s="274">
        <v>0</v>
      </c>
      <c r="K2347" s="274"/>
    </row>
    <row r="2348" spans="2:11" ht="13.5" customHeight="1">
      <c r="B2348" s="209" t="s">
        <v>1224</v>
      </c>
      <c r="C2348" s="209" t="s">
        <v>2703</v>
      </c>
      <c r="D2348" s="452" t="s">
        <v>139</v>
      </c>
      <c r="E2348" s="273">
        <v>0</v>
      </c>
      <c r="F2348" s="274"/>
      <c r="G2348" s="274">
        <f t="shared" si="9"/>
        <v>0</v>
      </c>
      <c r="H2348" s="274">
        <v>0</v>
      </c>
      <c r="K2348" s="274"/>
    </row>
    <row r="2349" spans="2:11" ht="13.5" customHeight="1">
      <c r="B2349" s="209" t="s">
        <v>1224</v>
      </c>
      <c r="C2349" s="209" t="s">
        <v>2703</v>
      </c>
      <c r="D2349" s="216" t="s">
        <v>140</v>
      </c>
      <c r="E2349" s="273">
        <v>0</v>
      </c>
      <c r="F2349" s="274"/>
      <c r="G2349" s="274">
        <f t="shared" si="9"/>
        <v>0</v>
      </c>
      <c r="H2349" s="274">
        <v>0</v>
      </c>
      <c r="K2349" s="274"/>
    </row>
    <row r="2350" spans="2:11" ht="13.5" customHeight="1">
      <c r="B2350" s="209" t="s">
        <v>1224</v>
      </c>
      <c r="C2350" s="209" t="s">
        <v>2703</v>
      </c>
      <c r="D2350" s="453" t="s">
        <v>141</v>
      </c>
      <c r="E2350" s="273">
        <v>0</v>
      </c>
      <c r="F2350" s="274"/>
      <c r="G2350" s="274">
        <f t="shared" si="9"/>
        <v>0</v>
      </c>
      <c r="H2350" s="274">
        <v>0</v>
      </c>
      <c r="K2350" s="274"/>
    </row>
    <row r="2351" spans="2:11" ht="13.5" customHeight="1">
      <c r="B2351" s="209" t="s">
        <v>2704</v>
      </c>
      <c r="C2351" s="209" t="s">
        <v>2705</v>
      </c>
      <c r="D2351" s="446" t="s">
        <v>133</v>
      </c>
      <c r="E2351" s="273">
        <v>0</v>
      </c>
      <c r="F2351" s="274"/>
      <c r="G2351" s="274">
        <f t="shared" si="9"/>
        <v>0</v>
      </c>
      <c r="H2351" s="274">
        <v>0</v>
      </c>
      <c r="K2351" s="274"/>
    </row>
    <row r="2352" spans="2:11" ht="13.5" customHeight="1">
      <c r="B2352" s="209" t="s">
        <v>2704</v>
      </c>
      <c r="C2352" s="209" t="s">
        <v>2705</v>
      </c>
      <c r="D2352" s="447" t="s">
        <v>134</v>
      </c>
      <c r="E2352" s="273">
        <v>0</v>
      </c>
      <c r="F2352" s="274"/>
      <c r="G2352" s="274">
        <f t="shared" si="9"/>
        <v>0</v>
      </c>
      <c r="H2352" s="274">
        <v>0</v>
      </c>
      <c r="K2352" s="274"/>
    </row>
    <row r="2353" spans="2:11" ht="13.5" customHeight="1">
      <c r="B2353" s="209" t="s">
        <v>2704</v>
      </c>
      <c r="C2353" s="209" t="s">
        <v>2705</v>
      </c>
      <c r="D2353" s="448" t="s">
        <v>135</v>
      </c>
      <c r="E2353" s="273">
        <v>0</v>
      </c>
      <c r="F2353" s="274"/>
      <c r="G2353" s="274">
        <f t="shared" si="9"/>
        <v>0</v>
      </c>
      <c r="H2353" s="274">
        <v>0</v>
      </c>
      <c r="K2353" s="274"/>
    </row>
    <row r="2354" spans="2:11" ht="13.5" customHeight="1">
      <c r="B2354" s="209" t="s">
        <v>2704</v>
      </c>
      <c r="C2354" s="209" t="s">
        <v>2705</v>
      </c>
      <c r="D2354" s="449" t="s">
        <v>136</v>
      </c>
      <c r="E2354" s="273">
        <v>0</v>
      </c>
      <c r="F2354" s="274"/>
      <c r="G2354" s="274">
        <f t="shared" si="9"/>
        <v>0</v>
      </c>
      <c r="H2354" s="274">
        <v>0</v>
      </c>
      <c r="K2354" s="274"/>
    </row>
    <row r="2355" spans="2:11" ht="13.5" customHeight="1">
      <c r="B2355" s="209" t="s">
        <v>2704</v>
      </c>
      <c r="C2355" s="209" t="s">
        <v>2705</v>
      </c>
      <c r="D2355" s="450" t="s">
        <v>137</v>
      </c>
      <c r="E2355" s="273">
        <v>0</v>
      </c>
      <c r="F2355" s="274"/>
      <c r="G2355" s="274">
        <f t="shared" si="9"/>
        <v>0</v>
      </c>
      <c r="H2355" s="274">
        <v>0</v>
      </c>
      <c r="K2355" s="274"/>
    </row>
    <row r="2356" spans="2:11" ht="13.5" customHeight="1">
      <c r="B2356" s="209" t="s">
        <v>2704</v>
      </c>
      <c r="C2356" s="209" t="s">
        <v>2705</v>
      </c>
      <c r="D2356" s="451" t="s">
        <v>138</v>
      </c>
      <c r="E2356" s="273">
        <v>0</v>
      </c>
      <c r="F2356" s="274"/>
      <c r="G2356" s="274">
        <f t="shared" si="9"/>
        <v>0</v>
      </c>
      <c r="H2356" s="274">
        <v>0</v>
      </c>
      <c r="K2356" s="274"/>
    </row>
    <row r="2357" spans="2:11" ht="13.5" customHeight="1">
      <c r="B2357" s="209" t="s">
        <v>2704</v>
      </c>
      <c r="C2357" s="209" t="s">
        <v>2705</v>
      </c>
      <c r="D2357" s="452" t="s">
        <v>139</v>
      </c>
      <c r="E2357" s="273">
        <v>0</v>
      </c>
      <c r="F2357" s="274"/>
      <c r="G2357" s="274">
        <f t="shared" si="9"/>
        <v>0</v>
      </c>
      <c r="H2357" s="274">
        <v>0</v>
      </c>
      <c r="K2357" s="274"/>
    </row>
    <row r="2358" spans="2:11" ht="13.5" customHeight="1">
      <c r="B2358" s="209" t="s">
        <v>2704</v>
      </c>
      <c r="C2358" s="209" t="s">
        <v>2705</v>
      </c>
      <c r="D2358" s="216" t="s">
        <v>140</v>
      </c>
      <c r="E2358" s="273">
        <v>0</v>
      </c>
      <c r="F2358" s="274"/>
      <c r="G2358" s="274">
        <f t="shared" si="9"/>
        <v>0</v>
      </c>
      <c r="H2358" s="274">
        <v>0</v>
      </c>
      <c r="K2358" s="274"/>
    </row>
    <row r="2359" spans="2:11" ht="13.5" customHeight="1">
      <c r="B2359" s="209" t="s">
        <v>2704</v>
      </c>
      <c r="C2359" s="209" t="s">
        <v>2705</v>
      </c>
      <c r="D2359" s="453" t="s">
        <v>141</v>
      </c>
      <c r="E2359" s="273">
        <v>0</v>
      </c>
      <c r="F2359" s="274"/>
      <c r="G2359" s="274">
        <f t="shared" si="9"/>
        <v>0</v>
      </c>
      <c r="H2359" s="274">
        <v>0</v>
      </c>
      <c r="K2359" s="274"/>
    </row>
    <row r="2360" spans="2:11" ht="13.5" customHeight="1">
      <c r="B2360" s="209" t="s">
        <v>529</v>
      </c>
      <c r="C2360" s="209" t="s">
        <v>2706</v>
      </c>
      <c r="D2360" s="446" t="s">
        <v>133</v>
      </c>
      <c r="E2360" s="273">
        <v>0</v>
      </c>
      <c r="F2360" s="274"/>
      <c r="G2360" s="274">
        <f t="shared" si="9"/>
        <v>0</v>
      </c>
      <c r="H2360" s="274">
        <v>0</v>
      </c>
      <c r="K2360" s="274"/>
    </row>
    <row r="2361" spans="2:11" ht="13.5" customHeight="1">
      <c r="B2361" s="209" t="s">
        <v>529</v>
      </c>
      <c r="C2361" s="209" t="s">
        <v>2706</v>
      </c>
      <c r="D2361" s="447" t="s">
        <v>134</v>
      </c>
      <c r="E2361" s="273">
        <v>0</v>
      </c>
      <c r="F2361" s="274"/>
      <c r="G2361" s="274">
        <f t="shared" si="9"/>
        <v>0</v>
      </c>
      <c r="H2361" s="274">
        <v>0</v>
      </c>
      <c r="K2361" s="274"/>
    </row>
    <row r="2362" spans="2:11" ht="13.5" customHeight="1">
      <c r="B2362" s="209" t="s">
        <v>529</v>
      </c>
      <c r="C2362" s="209" t="s">
        <v>2706</v>
      </c>
      <c r="D2362" s="448" t="s">
        <v>135</v>
      </c>
      <c r="E2362" s="273">
        <v>0</v>
      </c>
      <c r="F2362" s="274"/>
      <c r="G2362" s="274">
        <f t="shared" si="9"/>
        <v>0</v>
      </c>
      <c r="H2362" s="274">
        <v>0</v>
      </c>
      <c r="K2362" s="274"/>
    </row>
    <row r="2363" spans="2:11" ht="13.5" customHeight="1">
      <c r="B2363" s="209" t="s">
        <v>529</v>
      </c>
      <c r="C2363" s="209" t="s">
        <v>2706</v>
      </c>
      <c r="D2363" s="449" t="s">
        <v>136</v>
      </c>
      <c r="E2363" s="273">
        <v>0</v>
      </c>
      <c r="F2363" s="274"/>
      <c r="G2363" s="274">
        <f t="shared" si="9"/>
        <v>0</v>
      </c>
      <c r="H2363" s="274">
        <v>0</v>
      </c>
      <c r="K2363" s="274"/>
    </row>
    <row r="2364" spans="2:11" ht="13.5" customHeight="1">
      <c r="B2364" s="209" t="s">
        <v>529</v>
      </c>
      <c r="C2364" s="209" t="s">
        <v>2706</v>
      </c>
      <c r="D2364" s="450" t="s">
        <v>137</v>
      </c>
      <c r="E2364" s="273">
        <v>0</v>
      </c>
      <c r="F2364" s="274"/>
      <c r="G2364" s="274">
        <f t="shared" si="9"/>
        <v>0</v>
      </c>
      <c r="H2364" s="274">
        <v>0</v>
      </c>
      <c r="K2364" s="274"/>
    </row>
    <row r="2365" spans="2:11" ht="13.5" customHeight="1">
      <c r="B2365" s="209" t="s">
        <v>529</v>
      </c>
      <c r="C2365" s="209" t="s">
        <v>2706</v>
      </c>
      <c r="D2365" s="451" t="s">
        <v>138</v>
      </c>
      <c r="E2365" s="273">
        <v>0</v>
      </c>
      <c r="F2365" s="274"/>
      <c r="G2365" s="274">
        <f t="shared" si="9"/>
        <v>0</v>
      </c>
      <c r="H2365" s="274">
        <v>0</v>
      </c>
      <c r="K2365" s="274"/>
    </row>
    <row r="2366" spans="2:11" ht="13.5" customHeight="1">
      <c r="B2366" s="209" t="s">
        <v>529</v>
      </c>
      <c r="C2366" s="209" t="s">
        <v>2706</v>
      </c>
      <c r="D2366" s="452" t="s">
        <v>139</v>
      </c>
      <c r="E2366" s="273">
        <v>0</v>
      </c>
      <c r="F2366" s="274"/>
      <c r="G2366" s="274">
        <f t="shared" si="9"/>
        <v>0</v>
      </c>
      <c r="H2366" s="274">
        <v>0</v>
      </c>
      <c r="K2366" s="274"/>
    </row>
    <row r="2367" spans="2:11" ht="13.5" customHeight="1">
      <c r="B2367" s="209" t="s">
        <v>529</v>
      </c>
      <c r="C2367" s="209" t="s">
        <v>2706</v>
      </c>
      <c r="D2367" s="216" t="s">
        <v>140</v>
      </c>
      <c r="E2367" s="273">
        <v>0</v>
      </c>
      <c r="F2367" s="274"/>
      <c r="G2367" s="274">
        <f t="shared" si="9"/>
        <v>0</v>
      </c>
      <c r="H2367" s="274">
        <v>0</v>
      </c>
      <c r="K2367" s="274"/>
    </row>
    <row r="2368" spans="2:11" ht="13.5" customHeight="1">
      <c r="B2368" s="209" t="s">
        <v>529</v>
      </c>
      <c r="C2368" s="209" t="s">
        <v>2706</v>
      </c>
      <c r="D2368" s="453" t="s">
        <v>141</v>
      </c>
      <c r="E2368" s="273">
        <v>0</v>
      </c>
      <c r="F2368" s="274"/>
      <c r="G2368" s="274">
        <f t="shared" si="9"/>
        <v>0</v>
      </c>
      <c r="H2368" s="274">
        <v>0</v>
      </c>
      <c r="K2368" s="274"/>
    </row>
    <row r="2369" spans="2:11" ht="13.5" customHeight="1">
      <c r="B2369" s="209" t="s">
        <v>531</v>
      </c>
      <c r="C2369" s="209" t="s">
        <v>2707</v>
      </c>
      <c r="D2369" s="446" t="s">
        <v>133</v>
      </c>
      <c r="E2369" s="273">
        <v>0</v>
      </c>
      <c r="F2369" s="274"/>
      <c r="G2369" s="274">
        <f t="shared" si="9"/>
        <v>0</v>
      </c>
      <c r="H2369" s="274">
        <v>0</v>
      </c>
      <c r="K2369" s="274"/>
    </row>
    <row r="2370" spans="2:11" ht="13.5" customHeight="1">
      <c r="B2370" s="209" t="s">
        <v>531</v>
      </c>
      <c r="C2370" s="209" t="s">
        <v>2707</v>
      </c>
      <c r="D2370" s="447" t="s">
        <v>134</v>
      </c>
      <c r="E2370" s="273">
        <v>0</v>
      </c>
      <c r="F2370" s="274"/>
      <c r="G2370" s="274">
        <f t="shared" si="9"/>
        <v>0</v>
      </c>
      <c r="H2370" s="274">
        <v>0</v>
      </c>
      <c r="K2370" s="274"/>
    </row>
    <row r="2371" spans="2:11" ht="13.5" customHeight="1">
      <c r="B2371" s="209" t="s">
        <v>531</v>
      </c>
      <c r="C2371" s="209" t="s">
        <v>2707</v>
      </c>
      <c r="D2371" s="448" t="s">
        <v>135</v>
      </c>
      <c r="E2371" s="273">
        <v>0</v>
      </c>
      <c r="F2371" s="274"/>
      <c r="G2371" s="274">
        <f t="shared" si="9"/>
        <v>0</v>
      </c>
      <c r="H2371" s="274">
        <v>0</v>
      </c>
      <c r="K2371" s="274"/>
    </row>
    <row r="2372" spans="2:11" ht="13.5" customHeight="1">
      <c r="B2372" s="209" t="s">
        <v>531</v>
      </c>
      <c r="C2372" s="209" t="s">
        <v>2707</v>
      </c>
      <c r="D2372" s="449" t="s">
        <v>136</v>
      </c>
      <c r="E2372" s="273">
        <v>0</v>
      </c>
      <c r="F2372" s="274"/>
      <c r="G2372" s="274">
        <f t="shared" si="9"/>
        <v>0</v>
      </c>
      <c r="H2372" s="274">
        <v>0</v>
      </c>
      <c r="K2372" s="274"/>
    </row>
    <row r="2373" spans="2:11" ht="13.5" customHeight="1">
      <c r="B2373" s="209" t="s">
        <v>531</v>
      </c>
      <c r="C2373" s="209" t="s">
        <v>2707</v>
      </c>
      <c r="D2373" s="450" t="s">
        <v>137</v>
      </c>
      <c r="E2373" s="273">
        <v>0</v>
      </c>
      <c r="F2373" s="274"/>
      <c r="G2373" s="274">
        <f t="shared" si="9"/>
        <v>0</v>
      </c>
      <c r="H2373" s="274">
        <v>0</v>
      </c>
      <c r="K2373" s="274"/>
    </row>
    <row r="2374" spans="2:11" ht="13.5" customHeight="1">
      <c r="B2374" s="209" t="s">
        <v>531</v>
      </c>
      <c r="C2374" s="209" t="s">
        <v>2707</v>
      </c>
      <c r="D2374" s="451" t="s">
        <v>138</v>
      </c>
      <c r="E2374" s="273">
        <v>0</v>
      </c>
      <c r="F2374" s="274"/>
      <c r="G2374" s="274">
        <f t="shared" si="9"/>
        <v>0</v>
      </c>
      <c r="H2374" s="274">
        <v>0</v>
      </c>
      <c r="K2374" s="274"/>
    </row>
    <row r="2375" spans="2:11" ht="13.5" customHeight="1">
      <c r="B2375" s="209" t="s">
        <v>531</v>
      </c>
      <c r="C2375" s="209" t="s">
        <v>2707</v>
      </c>
      <c r="D2375" s="452" t="s">
        <v>139</v>
      </c>
      <c r="E2375" s="273">
        <v>0</v>
      </c>
      <c r="F2375" s="274"/>
      <c r="G2375" s="274">
        <f t="shared" si="9"/>
        <v>0</v>
      </c>
      <c r="H2375" s="274">
        <v>0</v>
      </c>
      <c r="K2375" s="274"/>
    </row>
    <row r="2376" spans="2:11" ht="13.5" customHeight="1">
      <c r="B2376" s="209" t="s">
        <v>531</v>
      </c>
      <c r="C2376" s="209" t="s">
        <v>2707</v>
      </c>
      <c r="D2376" s="216" t="s">
        <v>140</v>
      </c>
      <c r="E2376" s="273">
        <v>0</v>
      </c>
      <c r="F2376" s="274"/>
      <c r="G2376" s="274">
        <f t="shared" si="9"/>
        <v>0</v>
      </c>
      <c r="H2376" s="274">
        <v>0</v>
      </c>
      <c r="K2376" s="274"/>
    </row>
    <row r="2377" spans="2:11" ht="13.5" customHeight="1">
      <c r="B2377" s="209" t="s">
        <v>531</v>
      </c>
      <c r="C2377" s="209" t="s">
        <v>2707</v>
      </c>
      <c r="D2377" s="453" t="s">
        <v>141</v>
      </c>
      <c r="E2377" s="273">
        <v>0</v>
      </c>
      <c r="F2377" s="274"/>
      <c r="G2377" s="274">
        <f t="shared" si="9"/>
        <v>0</v>
      </c>
      <c r="H2377" s="274">
        <v>0</v>
      </c>
      <c r="K2377" s="274"/>
    </row>
    <row r="2378" spans="2:11" ht="13.5" customHeight="1">
      <c r="B2378" s="209" t="s">
        <v>533</v>
      </c>
      <c r="C2378" s="209" t="s">
        <v>2708</v>
      </c>
      <c r="D2378" s="446" t="s">
        <v>133</v>
      </c>
      <c r="E2378" s="273">
        <v>0</v>
      </c>
      <c r="F2378" s="274"/>
      <c r="G2378" s="274">
        <f t="shared" si="9"/>
        <v>0</v>
      </c>
      <c r="H2378" s="274">
        <v>0</v>
      </c>
      <c r="K2378" s="274"/>
    </row>
    <row r="2379" spans="2:11" ht="13.5" customHeight="1">
      <c r="B2379" s="209" t="s">
        <v>533</v>
      </c>
      <c r="C2379" s="209" t="s">
        <v>2708</v>
      </c>
      <c r="D2379" s="447" t="s">
        <v>134</v>
      </c>
      <c r="E2379" s="273">
        <v>0</v>
      </c>
      <c r="F2379" s="274"/>
      <c r="G2379" s="274">
        <f t="shared" si="9"/>
        <v>0</v>
      </c>
      <c r="H2379" s="274">
        <v>0</v>
      </c>
      <c r="K2379" s="274"/>
    </row>
    <row r="2380" spans="2:11" ht="13.5" customHeight="1">
      <c r="B2380" s="209" t="s">
        <v>533</v>
      </c>
      <c r="C2380" s="209" t="s">
        <v>2708</v>
      </c>
      <c r="D2380" s="448" t="s">
        <v>135</v>
      </c>
      <c r="E2380" s="273">
        <v>0</v>
      </c>
      <c r="F2380" s="274"/>
      <c r="G2380" s="274">
        <f t="shared" si="9"/>
        <v>0</v>
      </c>
      <c r="H2380" s="274">
        <v>0</v>
      </c>
      <c r="K2380" s="274"/>
    </row>
    <row r="2381" spans="2:11" ht="13.5" customHeight="1">
      <c r="B2381" s="209" t="s">
        <v>533</v>
      </c>
      <c r="C2381" s="209" t="s">
        <v>2708</v>
      </c>
      <c r="D2381" s="449" t="s">
        <v>136</v>
      </c>
      <c r="E2381" s="273">
        <v>0</v>
      </c>
      <c r="F2381" s="274"/>
      <c r="G2381" s="274">
        <f t="shared" si="9"/>
        <v>0</v>
      </c>
      <c r="H2381" s="274">
        <v>0</v>
      </c>
      <c r="K2381" s="274"/>
    </row>
    <row r="2382" spans="2:11" ht="13.5" customHeight="1">
      <c r="B2382" s="209" t="s">
        <v>533</v>
      </c>
      <c r="C2382" s="209" t="s">
        <v>2708</v>
      </c>
      <c r="D2382" s="450" t="s">
        <v>137</v>
      </c>
      <c r="E2382" s="273">
        <v>0</v>
      </c>
      <c r="F2382" s="274"/>
      <c r="G2382" s="274">
        <f t="shared" si="9"/>
        <v>0</v>
      </c>
      <c r="H2382" s="274">
        <v>0</v>
      </c>
      <c r="K2382" s="274"/>
    </row>
    <row r="2383" spans="2:11" ht="13.5" customHeight="1">
      <c r="B2383" s="209" t="s">
        <v>533</v>
      </c>
      <c r="C2383" s="209" t="s">
        <v>2708</v>
      </c>
      <c r="D2383" s="451" t="s">
        <v>138</v>
      </c>
      <c r="E2383" s="273">
        <v>0</v>
      </c>
      <c r="F2383" s="274"/>
      <c r="G2383" s="274">
        <f t="shared" si="9"/>
        <v>0</v>
      </c>
      <c r="H2383" s="274">
        <v>0</v>
      </c>
      <c r="K2383" s="274"/>
    </row>
    <row r="2384" spans="2:11" ht="13.5" customHeight="1">
      <c r="B2384" s="209" t="s">
        <v>533</v>
      </c>
      <c r="C2384" s="209" t="s">
        <v>2708</v>
      </c>
      <c r="D2384" s="452" t="s">
        <v>139</v>
      </c>
      <c r="E2384" s="273">
        <v>0</v>
      </c>
      <c r="F2384" s="274"/>
      <c r="G2384" s="274">
        <f t="shared" si="9"/>
        <v>0</v>
      </c>
      <c r="H2384" s="274">
        <v>0</v>
      </c>
      <c r="K2384" s="274"/>
    </row>
    <row r="2385" spans="2:11" ht="13.5" customHeight="1">
      <c r="B2385" s="209" t="s">
        <v>533</v>
      </c>
      <c r="C2385" s="209" t="s">
        <v>2708</v>
      </c>
      <c r="D2385" s="216" t="s">
        <v>140</v>
      </c>
      <c r="E2385" s="273">
        <v>0</v>
      </c>
      <c r="F2385" s="274"/>
      <c r="G2385" s="274">
        <f t="shared" si="9"/>
        <v>0</v>
      </c>
      <c r="H2385" s="274">
        <v>0</v>
      </c>
      <c r="K2385" s="274"/>
    </row>
    <row r="2386" spans="2:11" ht="13.5" customHeight="1">
      <c r="B2386" s="209" t="s">
        <v>533</v>
      </c>
      <c r="C2386" s="209" t="s">
        <v>2708</v>
      </c>
      <c r="D2386" s="453" t="s">
        <v>141</v>
      </c>
      <c r="E2386" s="273">
        <v>0</v>
      </c>
      <c r="F2386" s="274"/>
      <c r="G2386" s="274">
        <f t="shared" si="9"/>
        <v>0</v>
      </c>
      <c r="H2386" s="274">
        <v>0</v>
      </c>
      <c r="K2386" s="274"/>
    </row>
    <row r="2387" spans="2:11" ht="13.5" customHeight="1">
      <c r="B2387" s="209" t="s">
        <v>618</v>
      </c>
      <c r="C2387" s="209" t="s">
        <v>2709</v>
      </c>
      <c r="D2387" s="446" t="s">
        <v>133</v>
      </c>
      <c r="E2387" s="273">
        <v>0</v>
      </c>
      <c r="F2387" s="274"/>
      <c r="G2387" s="274">
        <f t="shared" si="9"/>
        <v>0</v>
      </c>
      <c r="H2387" s="274">
        <v>0</v>
      </c>
      <c r="K2387" s="274"/>
    </row>
    <row r="2388" spans="2:11" ht="13.5" customHeight="1">
      <c r="B2388" s="209" t="s">
        <v>618</v>
      </c>
      <c r="C2388" s="209" t="s">
        <v>2709</v>
      </c>
      <c r="D2388" s="447" t="s">
        <v>134</v>
      </c>
      <c r="E2388" s="273">
        <v>0</v>
      </c>
      <c r="F2388" s="274"/>
      <c r="G2388" s="274">
        <f t="shared" si="9"/>
        <v>0</v>
      </c>
      <c r="H2388" s="274">
        <v>0</v>
      </c>
      <c r="K2388" s="274"/>
    </row>
    <row r="2389" spans="2:11" ht="13.5" customHeight="1">
      <c r="B2389" s="209" t="s">
        <v>618</v>
      </c>
      <c r="C2389" s="209" t="s">
        <v>2709</v>
      </c>
      <c r="D2389" s="448" t="s">
        <v>135</v>
      </c>
      <c r="E2389" s="273">
        <v>0</v>
      </c>
      <c r="F2389" s="274"/>
      <c r="G2389" s="274">
        <f t="shared" si="9"/>
        <v>0</v>
      </c>
      <c r="H2389" s="274">
        <v>0</v>
      </c>
      <c r="K2389" s="274"/>
    </row>
    <row r="2390" spans="2:11" ht="13.5" customHeight="1">
      <c r="B2390" s="209" t="s">
        <v>618</v>
      </c>
      <c r="C2390" s="209" t="s">
        <v>2709</v>
      </c>
      <c r="D2390" s="449" t="s">
        <v>136</v>
      </c>
      <c r="E2390" s="273">
        <v>0</v>
      </c>
      <c r="F2390" s="274"/>
      <c r="G2390" s="274">
        <f t="shared" si="9"/>
        <v>0</v>
      </c>
      <c r="H2390" s="274">
        <v>0</v>
      </c>
      <c r="K2390" s="274"/>
    </row>
    <row r="2391" spans="2:11" ht="13.5" customHeight="1">
      <c r="B2391" s="209" t="s">
        <v>618</v>
      </c>
      <c r="C2391" s="209" t="s">
        <v>2709</v>
      </c>
      <c r="D2391" s="450" t="s">
        <v>137</v>
      </c>
      <c r="E2391" s="273">
        <v>0</v>
      </c>
      <c r="F2391" s="274"/>
      <c r="G2391" s="274">
        <f t="shared" si="9"/>
        <v>0</v>
      </c>
      <c r="H2391" s="274">
        <v>0</v>
      </c>
      <c r="K2391" s="274"/>
    </row>
    <row r="2392" spans="2:11" ht="13.5" customHeight="1">
      <c r="B2392" s="209" t="s">
        <v>618</v>
      </c>
      <c r="C2392" s="209" t="s">
        <v>2709</v>
      </c>
      <c r="D2392" s="451" t="s">
        <v>138</v>
      </c>
      <c r="E2392" s="273">
        <v>0</v>
      </c>
      <c r="F2392" s="274"/>
      <c r="G2392" s="274">
        <f t="shared" si="9"/>
        <v>0</v>
      </c>
      <c r="H2392" s="274">
        <v>0</v>
      </c>
      <c r="K2392" s="274"/>
    </row>
    <row r="2393" spans="2:11" ht="13.5" customHeight="1">
      <c r="B2393" s="209" t="s">
        <v>618</v>
      </c>
      <c r="C2393" s="209" t="s">
        <v>2709</v>
      </c>
      <c r="D2393" s="452" t="s">
        <v>139</v>
      </c>
      <c r="E2393" s="273">
        <v>0</v>
      </c>
      <c r="F2393" s="274"/>
      <c r="G2393" s="274">
        <f t="shared" si="9"/>
        <v>0</v>
      </c>
      <c r="H2393" s="274">
        <v>0</v>
      </c>
      <c r="K2393" s="274"/>
    </row>
    <row r="2394" spans="2:11" ht="13.5" customHeight="1">
      <c r="B2394" s="209" t="s">
        <v>618</v>
      </c>
      <c r="C2394" s="209" t="s">
        <v>2709</v>
      </c>
      <c r="D2394" s="216" t="s">
        <v>140</v>
      </c>
      <c r="E2394" s="273">
        <v>0</v>
      </c>
      <c r="F2394" s="274"/>
      <c r="G2394" s="274">
        <f t="shared" si="9"/>
        <v>0</v>
      </c>
      <c r="H2394" s="274">
        <v>0</v>
      </c>
      <c r="K2394" s="274"/>
    </row>
    <row r="2395" spans="2:11" ht="13.5" customHeight="1">
      <c r="B2395" s="209" t="s">
        <v>618</v>
      </c>
      <c r="C2395" s="209" t="s">
        <v>2709</v>
      </c>
      <c r="D2395" s="453" t="s">
        <v>141</v>
      </c>
      <c r="E2395" s="273">
        <v>0</v>
      </c>
      <c r="F2395" s="274"/>
      <c r="G2395" s="274">
        <f t="shared" si="9"/>
        <v>0</v>
      </c>
      <c r="H2395" s="274">
        <v>0</v>
      </c>
      <c r="K2395" s="274"/>
    </row>
    <row r="2396" spans="2:11" ht="13.5" customHeight="1">
      <c r="B2396" s="209" t="s">
        <v>673</v>
      </c>
      <c r="C2396" s="209" t="s">
        <v>2710</v>
      </c>
      <c r="D2396" s="446" t="s">
        <v>133</v>
      </c>
      <c r="E2396" s="273">
        <v>0</v>
      </c>
      <c r="F2396" s="274"/>
      <c r="G2396" s="274">
        <f t="shared" si="9"/>
        <v>0</v>
      </c>
      <c r="H2396" s="274">
        <v>0</v>
      </c>
      <c r="K2396" s="274"/>
    </row>
    <row r="2397" spans="2:11" ht="13.5" customHeight="1">
      <c r="B2397" s="209" t="s">
        <v>673</v>
      </c>
      <c r="C2397" s="209" t="s">
        <v>2710</v>
      </c>
      <c r="D2397" s="447" t="s">
        <v>134</v>
      </c>
      <c r="E2397" s="273">
        <v>0</v>
      </c>
      <c r="F2397" s="274"/>
      <c r="G2397" s="274">
        <f t="shared" si="9"/>
        <v>0</v>
      </c>
      <c r="H2397" s="274">
        <v>0</v>
      </c>
      <c r="K2397" s="274"/>
    </row>
    <row r="2398" spans="2:11" ht="13.5" customHeight="1">
      <c r="B2398" s="209" t="s">
        <v>673</v>
      </c>
      <c r="C2398" s="209" t="s">
        <v>2710</v>
      </c>
      <c r="D2398" s="448" t="s">
        <v>135</v>
      </c>
      <c r="E2398" s="273">
        <v>0</v>
      </c>
      <c r="F2398" s="274"/>
      <c r="G2398" s="274">
        <f t="shared" si="9"/>
        <v>0</v>
      </c>
      <c r="H2398" s="274">
        <v>0</v>
      </c>
      <c r="K2398" s="274"/>
    </row>
    <row r="2399" spans="2:11" ht="13.5" customHeight="1">
      <c r="B2399" s="209" t="s">
        <v>673</v>
      </c>
      <c r="C2399" s="209" t="s">
        <v>2710</v>
      </c>
      <c r="D2399" s="449" t="s">
        <v>136</v>
      </c>
      <c r="E2399" s="273">
        <v>0</v>
      </c>
      <c r="F2399" s="274"/>
      <c r="G2399" s="274">
        <f t="shared" si="9"/>
        <v>0</v>
      </c>
      <c r="H2399" s="274">
        <v>0</v>
      </c>
      <c r="K2399" s="274"/>
    </row>
    <row r="2400" spans="2:11" ht="13.5" customHeight="1">
      <c r="B2400" s="209" t="s">
        <v>673</v>
      </c>
      <c r="C2400" s="209" t="s">
        <v>2710</v>
      </c>
      <c r="D2400" s="450" t="s">
        <v>137</v>
      </c>
      <c r="E2400" s="273">
        <v>0</v>
      </c>
      <c r="F2400" s="274"/>
      <c r="G2400" s="274">
        <f t="shared" si="9"/>
        <v>0</v>
      </c>
      <c r="H2400" s="274">
        <v>0</v>
      </c>
      <c r="K2400" s="274"/>
    </row>
    <row r="2401" spans="2:11" ht="13.5" customHeight="1">
      <c r="B2401" s="209" t="s">
        <v>673</v>
      </c>
      <c r="C2401" s="209" t="s">
        <v>2710</v>
      </c>
      <c r="D2401" s="451" t="s">
        <v>138</v>
      </c>
      <c r="E2401" s="273">
        <v>0</v>
      </c>
      <c r="F2401" s="274"/>
      <c r="G2401" s="274">
        <f t="shared" si="9"/>
        <v>0</v>
      </c>
      <c r="H2401" s="274">
        <v>0</v>
      </c>
      <c r="K2401" s="274"/>
    </row>
    <row r="2402" spans="2:11" ht="13.5" customHeight="1">
      <c r="B2402" s="209" t="s">
        <v>673</v>
      </c>
      <c r="C2402" s="209" t="s">
        <v>2710</v>
      </c>
      <c r="D2402" s="452" t="s">
        <v>139</v>
      </c>
      <c r="E2402" s="273">
        <v>0</v>
      </c>
      <c r="F2402" s="274"/>
      <c r="G2402" s="274">
        <f t="shared" si="9"/>
        <v>0</v>
      </c>
      <c r="H2402" s="274">
        <v>0</v>
      </c>
      <c r="K2402" s="274"/>
    </row>
    <row r="2403" spans="2:11" ht="13.5" customHeight="1">
      <c r="B2403" s="209" t="s">
        <v>673</v>
      </c>
      <c r="C2403" s="209" t="s">
        <v>2710</v>
      </c>
      <c r="D2403" s="216" t="s">
        <v>140</v>
      </c>
      <c r="E2403" s="273">
        <v>0</v>
      </c>
      <c r="F2403" s="274"/>
      <c r="G2403" s="274">
        <f t="shared" si="9"/>
        <v>0</v>
      </c>
      <c r="H2403" s="274">
        <v>0</v>
      </c>
      <c r="K2403" s="274"/>
    </row>
    <row r="2404" spans="2:11" ht="13.5" customHeight="1">
      <c r="B2404" s="209" t="s">
        <v>673</v>
      </c>
      <c r="C2404" s="209" t="s">
        <v>2710</v>
      </c>
      <c r="D2404" s="453" t="s">
        <v>141</v>
      </c>
      <c r="E2404" s="273">
        <v>0</v>
      </c>
      <c r="F2404" s="274"/>
      <c r="G2404" s="274">
        <f t="shared" si="9"/>
        <v>0</v>
      </c>
      <c r="H2404" s="274">
        <v>0</v>
      </c>
      <c r="K2404" s="274"/>
    </row>
    <row r="2405" spans="2:11" ht="13.5" customHeight="1">
      <c r="B2405" s="209" t="s">
        <v>620</v>
      </c>
      <c r="C2405" s="209" t="s">
        <v>2711</v>
      </c>
      <c r="D2405" s="446" t="s">
        <v>133</v>
      </c>
      <c r="E2405" s="273">
        <v>0</v>
      </c>
      <c r="F2405" s="274"/>
      <c r="G2405" s="274">
        <f t="shared" si="9"/>
        <v>0</v>
      </c>
      <c r="H2405" s="274">
        <v>0</v>
      </c>
      <c r="K2405" s="274"/>
    </row>
    <row r="2406" spans="2:11" ht="13.5" customHeight="1">
      <c r="B2406" s="209" t="s">
        <v>620</v>
      </c>
      <c r="C2406" s="209" t="s">
        <v>2711</v>
      </c>
      <c r="D2406" s="447" t="s">
        <v>134</v>
      </c>
      <c r="E2406" s="273">
        <v>0</v>
      </c>
      <c r="F2406" s="274"/>
      <c r="G2406" s="274">
        <f t="shared" si="9"/>
        <v>0</v>
      </c>
      <c r="H2406" s="274">
        <v>0</v>
      </c>
      <c r="K2406" s="274"/>
    </row>
    <row r="2407" spans="2:11" ht="13.5" customHeight="1">
      <c r="B2407" s="209" t="s">
        <v>620</v>
      </c>
      <c r="C2407" s="209" t="s">
        <v>2711</v>
      </c>
      <c r="D2407" s="448" t="s">
        <v>135</v>
      </c>
      <c r="E2407" s="273">
        <v>0</v>
      </c>
      <c r="F2407" s="274"/>
      <c r="G2407" s="274">
        <f t="shared" si="9"/>
        <v>0</v>
      </c>
      <c r="H2407" s="274">
        <v>0</v>
      </c>
      <c r="K2407" s="274"/>
    </row>
    <row r="2408" spans="2:11" ht="13.5" customHeight="1">
      <c r="B2408" s="209" t="s">
        <v>620</v>
      </c>
      <c r="C2408" s="209" t="s">
        <v>2711</v>
      </c>
      <c r="D2408" s="449" t="s">
        <v>136</v>
      </c>
      <c r="E2408" s="273">
        <v>0</v>
      </c>
      <c r="F2408" s="274"/>
      <c r="G2408" s="274">
        <f t="shared" si="9"/>
        <v>0</v>
      </c>
      <c r="H2408" s="274">
        <v>0</v>
      </c>
      <c r="K2408" s="274"/>
    </row>
    <row r="2409" spans="2:11" ht="13.5" customHeight="1">
      <c r="B2409" s="209" t="s">
        <v>620</v>
      </c>
      <c r="C2409" s="209" t="s">
        <v>2711</v>
      </c>
      <c r="D2409" s="450" t="s">
        <v>137</v>
      </c>
      <c r="E2409" s="273">
        <v>0</v>
      </c>
      <c r="F2409" s="274"/>
      <c r="G2409" s="274">
        <f t="shared" si="9"/>
        <v>0</v>
      </c>
      <c r="H2409" s="274">
        <v>0</v>
      </c>
      <c r="K2409" s="274"/>
    </row>
    <row r="2410" spans="2:11" ht="13.5" customHeight="1">
      <c r="B2410" s="209" t="s">
        <v>620</v>
      </c>
      <c r="C2410" s="209" t="s">
        <v>2711</v>
      </c>
      <c r="D2410" s="451" t="s">
        <v>138</v>
      </c>
      <c r="E2410" s="273">
        <v>0</v>
      </c>
      <c r="F2410" s="274"/>
      <c r="G2410" s="274">
        <f t="shared" si="9"/>
        <v>0</v>
      </c>
      <c r="H2410" s="274">
        <v>0</v>
      </c>
      <c r="K2410" s="274"/>
    </row>
    <row r="2411" spans="2:11" ht="13.5" customHeight="1">
      <c r="B2411" s="209" t="s">
        <v>620</v>
      </c>
      <c r="C2411" s="209" t="s">
        <v>2711</v>
      </c>
      <c r="D2411" s="452" t="s">
        <v>139</v>
      </c>
      <c r="E2411" s="273">
        <v>0</v>
      </c>
      <c r="F2411" s="274"/>
      <c r="G2411" s="274">
        <f t="shared" si="9"/>
        <v>0</v>
      </c>
      <c r="H2411" s="274">
        <v>0</v>
      </c>
      <c r="K2411" s="274"/>
    </row>
    <row r="2412" spans="2:11" ht="13.5" customHeight="1">
      <c r="B2412" s="209" t="s">
        <v>620</v>
      </c>
      <c r="C2412" s="209" t="s">
        <v>2711</v>
      </c>
      <c r="D2412" s="216" t="s">
        <v>140</v>
      </c>
      <c r="E2412" s="273">
        <v>0</v>
      </c>
      <c r="F2412" s="274"/>
      <c r="G2412" s="274">
        <f t="shared" si="9"/>
        <v>0</v>
      </c>
      <c r="H2412" s="274">
        <v>0</v>
      </c>
      <c r="K2412" s="274"/>
    </row>
    <row r="2413" spans="2:11" ht="13.5" customHeight="1">
      <c r="B2413" s="209" t="s">
        <v>620</v>
      </c>
      <c r="C2413" s="209" t="s">
        <v>2711</v>
      </c>
      <c r="D2413" s="453" t="s">
        <v>141</v>
      </c>
      <c r="E2413" s="273">
        <v>0</v>
      </c>
      <c r="F2413" s="274"/>
      <c r="G2413" s="274">
        <f t="shared" si="9"/>
        <v>0</v>
      </c>
      <c r="H2413" s="274">
        <v>0</v>
      </c>
      <c r="K2413" s="274"/>
    </row>
    <row r="2414" spans="2:11" ht="13.5" customHeight="1">
      <c r="B2414" s="209" t="s">
        <v>622</v>
      </c>
      <c r="C2414" s="209" t="s">
        <v>2712</v>
      </c>
      <c r="D2414" s="446" t="s">
        <v>133</v>
      </c>
      <c r="E2414" s="273">
        <v>0</v>
      </c>
      <c r="F2414" s="274"/>
      <c r="G2414" s="274">
        <f t="shared" si="9"/>
        <v>0</v>
      </c>
      <c r="H2414" s="274">
        <v>0</v>
      </c>
      <c r="K2414" s="274"/>
    </row>
    <row r="2415" spans="2:11" ht="13.5" customHeight="1">
      <c r="B2415" s="209" t="s">
        <v>622</v>
      </c>
      <c r="C2415" s="209" t="s">
        <v>2712</v>
      </c>
      <c r="D2415" s="447" t="s">
        <v>134</v>
      </c>
      <c r="E2415" s="273">
        <v>0</v>
      </c>
      <c r="F2415" s="274"/>
      <c r="G2415" s="274">
        <f t="shared" si="9"/>
        <v>0</v>
      </c>
      <c r="H2415" s="274">
        <v>0</v>
      </c>
      <c r="K2415" s="274"/>
    </row>
    <row r="2416" spans="2:11" ht="13.5" customHeight="1">
      <c r="B2416" s="209" t="s">
        <v>622</v>
      </c>
      <c r="C2416" s="209" t="s">
        <v>2712</v>
      </c>
      <c r="D2416" s="448" t="s">
        <v>135</v>
      </c>
      <c r="E2416" s="273">
        <v>0</v>
      </c>
      <c r="F2416" s="274"/>
      <c r="G2416" s="274">
        <f t="shared" si="9"/>
        <v>0</v>
      </c>
      <c r="H2416" s="274">
        <v>0</v>
      </c>
      <c r="K2416" s="274"/>
    </row>
    <row r="2417" spans="2:11" ht="13.5" customHeight="1">
      <c r="B2417" s="209" t="s">
        <v>622</v>
      </c>
      <c r="C2417" s="209" t="s">
        <v>2712</v>
      </c>
      <c r="D2417" s="449" t="s">
        <v>136</v>
      </c>
      <c r="E2417" s="273">
        <v>0</v>
      </c>
      <c r="F2417" s="274"/>
      <c r="G2417" s="274">
        <f t="shared" si="9"/>
        <v>0</v>
      </c>
      <c r="H2417" s="274">
        <v>0</v>
      </c>
      <c r="K2417" s="274"/>
    </row>
    <row r="2418" spans="2:11" ht="13.5" customHeight="1">
      <c r="B2418" s="209" t="s">
        <v>622</v>
      </c>
      <c r="C2418" s="209" t="s">
        <v>2712</v>
      </c>
      <c r="D2418" s="450" t="s">
        <v>137</v>
      </c>
      <c r="E2418" s="273">
        <v>0</v>
      </c>
      <c r="F2418" s="274"/>
      <c r="G2418" s="274">
        <f t="shared" si="9"/>
        <v>0</v>
      </c>
      <c r="H2418" s="274">
        <v>0</v>
      </c>
      <c r="K2418" s="274"/>
    </row>
    <row r="2419" spans="2:11" ht="13.5" customHeight="1">
      <c r="B2419" s="209" t="s">
        <v>622</v>
      </c>
      <c r="C2419" s="209" t="s">
        <v>2712</v>
      </c>
      <c r="D2419" s="451" t="s">
        <v>138</v>
      </c>
      <c r="E2419" s="273">
        <v>0</v>
      </c>
      <c r="F2419" s="274"/>
      <c r="G2419" s="274">
        <f t="shared" si="9"/>
        <v>0</v>
      </c>
      <c r="H2419" s="274">
        <v>0</v>
      </c>
      <c r="K2419" s="274"/>
    </row>
    <row r="2420" spans="2:11" ht="13.5" customHeight="1">
      <c r="B2420" s="209" t="s">
        <v>622</v>
      </c>
      <c r="C2420" s="209" t="s">
        <v>2712</v>
      </c>
      <c r="D2420" s="452" t="s">
        <v>139</v>
      </c>
      <c r="E2420" s="273">
        <v>0</v>
      </c>
      <c r="F2420" s="274"/>
      <c r="G2420" s="274">
        <f t="shared" si="9"/>
        <v>0</v>
      </c>
      <c r="H2420" s="274">
        <v>0</v>
      </c>
      <c r="K2420" s="274"/>
    </row>
    <row r="2421" spans="2:11" ht="13.5" customHeight="1">
      <c r="B2421" s="209" t="s">
        <v>622</v>
      </c>
      <c r="C2421" s="209" t="s">
        <v>2712</v>
      </c>
      <c r="D2421" s="216" t="s">
        <v>140</v>
      </c>
      <c r="E2421" s="273">
        <v>0</v>
      </c>
      <c r="F2421" s="274"/>
      <c r="G2421" s="274">
        <f t="shared" si="9"/>
        <v>0</v>
      </c>
      <c r="H2421" s="274">
        <v>0</v>
      </c>
      <c r="K2421" s="274"/>
    </row>
    <row r="2422" spans="2:11" ht="13.5" customHeight="1">
      <c r="B2422" s="209" t="s">
        <v>622</v>
      </c>
      <c r="C2422" s="209" t="s">
        <v>2712</v>
      </c>
      <c r="D2422" s="453" t="s">
        <v>141</v>
      </c>
      <c r="E2422" s="273">
        <v>0</v>
      </c>
      <c r="F2422" s="274"/>
      <c r="G2422" s="274">
        <f t="shared" si="9"/>
        <v>0</v>
      </c>
      <c r="H2422" s="274">
        <v>0</v>
      </c>
      <c r="K2422" s="274"/>
    </row>
    <row r="2423" spans="2:11" ht="13.5" customHeight="1">
      <c r="B2423" s="209" t="s">
        <v>633</v>
      </c>
      <c r="C2423" s="209" t="s">
        <v>2713</v>
      </c>
      <c r="D2423" s="446" t="s">
        <v>133</v>
      </c>
      <c r="E2423" s="273">
        <v>0</v>
      </c>
      <c r="F2423" s="274"/>
      <c r="G2423" s="274">
        <f t="shared" si="9"/>
        <v>0</v>
      </c>
      <c r="H2423" s="274">
        <v>0</v>
      </c>
      <c r="K2423" s="274"/>
    </row>
    <row r="2424" spans="2:11" ht="13.5" customHeight="1">
      <c r="B2424" s="209" t="s">
        <v>633</v>
      </c>
      <c r="C2424" s="209" t="s">
        <v>2713</v>
      </c>
      <c r="D2424" s="447" t="s">
        <v>134</v>
      </c>
      <c r="E2424" s="273">
        <v>0</v>
      </c>
      <c r="F2424" s="274"/>
      <c r="G2424" s="274">
        <f t="shared" si="9"/>
        <v>0</v>
      </c>
      <c r="H2424" s="274">
        <v>0</v>
      </c>
      <c r="K2424" s="274"/>
    </row>
    <row r="2425" spans="2:11" ht="13.5" customHeight="1">
      <c r="B2425" s="209" t="s">
        <v>633</v>
      </c>
      <c r="C2425" s="209" t="s">
        <v>2713</v>
      </c>
      <c r="D2425" s="448" t="s">
        <v>135</v>
      </c>
      <c r="E2425" s="273">
        <v>0</v>
      </c>
      <c r="F2425" s="274"/>
      <c r="G2425" s="274">
        <f t="shared" si="9"/>
        <v>0</v>
      </c>
      <c r="H2425" s="274">
        <v>0</v>
      </c>
      <c r="K2425" s="274"/>
    </row>
    <row r="2426" spans="2:11" ht="13.5" customHeight="1">
      <c r="B2426" s="209" t="s">
        <v>633</v>
      </c>
      <c r="C2426" s="209" t="s">
        <v>2713</v>
      </c>
      <c r="D2426" s="449" t="s">
        <v>136</v>
      </c>
      <c r="E2426" s="273">
        <v>0</v>
      </c>
      <c r="F2426" s="274"/>
      <c r="G2426" s="274">
        <f t="shared" si="9"/>
        <v>0</v>
      </c>
      <c r="H2426" s="274">
        <v>0</v>
      </c>
      <c r="K2426" s="274"/>
    </row>
    <row r="2427" spans="2:11" ht="13.5" customHeight="1">
      <c r="B2427" s="209" t="s">
        <v>633</v>
      </c>
      <c r="C2427" s="209" t="s">
        <v>2713</v>
      </c>
      <c r="D2427" s="450" t="s">
        <v>137</v>
      </c>
      <c r="E2427" s="273">
        <v>0</v>
      </c>
      <c r="F2427" s="274"/>
      <c r="G2427" s="274">
        <f t="shared" si="9"/>
        <v>0</v>
      </c>
      <c r="H2427" s="274">
        <v>0</v>
      </c>
      <c r="K2427" s="274"/>
    </row>
    <row r="2428" spans="2:11" ht="13.5" customHeight="1">
      <c r="B2428" s="209" t="s">
        <v>633</v>
      </c>
      <c r="C2428" s="209" t="s">
        <v>2713</v>
      </c>
      <c r="D2428" s="451" t="s">
        <v>138</v>
      </c>
      <c r="E2428" s="273">
        <v>0</v>
      </c>
      <c r="F2428" s="274"/>
      <c r="G2428" s="274">
        <f t="shared" si="9"/>
        <v>0</v>
      </c>
      <c r="H2428" s="274">
        <v>0</v>
      </c>
      <c r="K2428" s="274"/>
    </row>
    <row r="2429" spans="2:11" ht="13.5" customHeight="1">
      <c r="B2429" s="209" t="s">
        <v>633</v>
      </c>
      <c r="C2429" s="209" t="s">
        <v>2713</v>
      </c>
      <c r="D2429" s="452" t="s">
        <v>139</v>
      </c>
      <c r="E2429" s="273">
        <v>0</v>
      </c>
      <c r="F2429" s="274"/>
      <c r="G2429" s="274">
        <f t="shared" si="9"/>
        <v>0</v>
      </c>
      <c r="H2429" s="274">
        <v>0</v>
      </c>
      <c r="K2429" s="274"/>
    </row>
    <row r="2430" spans="2:11" ht="13.5" customHeight="1">
      <c r="B2430" s="209" t="s">
        <v>633</v>
      </c>
      <c r="C2430" s="209" t="s">
        <v>2713</v>
      </c>
      <c r="D2430" s="216" t="s">
        <v>140</v>
      </c>
      <c r="E2430" s="273">
        <v>0</v>
      </c>
      <c r="F2430" s="274"/>
      <c r="G2430" s="274">
        <f t="shared" si="9"/>
        <v>0</v>
      </c>
      <c r="H2430" s="274">
        <v>0</v>
      </c>
      <c r="K2430" s="274"/>
    </row>
    <row r="2431" spans="2:11" ht="13.5" customHeight="1">
      <c r="B2431" s="209" t="s">
        <v>633</v>
      </c>
      <c r="C2431" s="209" t="s">
        <v>2713</v>
      </c>
      <c r="D2431" s="453" t="s">
        <v>141</v>
      </c>
      <c r="E2431" s="273">
        <v>0</v>
      </c>
      <c r="F2431" s="274"/>
      <c r="G2431" s="274">
        <f t="shared" si="9"/>
        <v>0</v>
      </c>
      <c r="H2431" s="274">
        <v>0</v>
      </c>
      <c r="K2431" s="274"/>
    </row>
    <row r="2432" spans="2:11" ht="13.5" customHeight="1">
      <c r="B2432" s="209" t="s">
        <v>578</v>
      </c>
      <c r="C2432" s="209" t="s">
        <v>2714</v>
      </c>
      <c r="D2432" s="446" t="s">
        <v>133</v>
      </c>
      <c r="E2432" s="273">
        <v>0</v>
      </c>
      <c r="F2432" s="274"/>
      <c r="G2432" s="274">
        <f t="shared" si="9"/>
        <v>0</v>
      </c>
      <c r="H2432" s="274">
        <v>0</v>
      </c>
      <c r="K2432" s="274"/>
    </row>
    <row r="2433" spans="2:11" ht="13.5" customHeight="1">
      <c r="B2433" s="209" t="s">
        <v>578</v>
      </c>
      <c r="C2433" s="209" t="s">
        <v>2714</v>
      </c>
      <c r="D2433" s="447" t="s">
        <v>134</v>
      </c>
      <c r="E2433" s="273">
        <v>0</v>
      </c>
      <c r="F2433" s="274"/>
      <c r="G2433" s="274">
        <f t="shared" si="9"/>
        <v>0</v>
      </c>
      <c r="H2433" s="274">
        <v>0</v>
      </c>
      <c r="K2433" s="274"/>
    </row>
    <row r="2434" spans="2:11" ht="13.5" customHeight="1">
      <c r="B2434" s="209" t="s">
        <v>578</v>
      </c>
      <c r="C2434" s="209" t="s">
        <v>2714</v>
      </c>
      <c r="D2434" s="448" t="s">
        <v>135</v>
      </c>
      <c r="E2434" s="273">
        <v>0</v>
      </c>
      <c r="F2434" s="274"/>
      <c r="G2434" s="274">
        <f t="shared" si="9"/>
        <v>0</v>
      </c>
      <c r="H2434" s="274">
        <v>0</v>
      </c>
      <c r="K2434" s="274"/>
    </row>
    <row r="2435" spans="2:11" ht="13.5" customHeight="1">
      <c r="B2435" s="209" t="s">
        <v>578</v>
      </c>
      <c r="C2435" s="209" t="s">
        <v>2714</v>
      </c>
      <c r="D2435" s="449" t="s">
        <v>136</v>
      </c>
      <c r="E2435" s="273">
        <v>0</v>
      </c>
      <c r="F2435" s="274"/>
      <c r="G2435" s="274">
        <f t="shared" si="9"/>
        <v>0</v>
      </c>
      <c r="H2435" s="274">
        <v>0</v>
      </c>
      <c r="K2435" s="274"/>
    </row>
    <row r="2436" spans="2:11" ht="13.5" customHeight="1">
      <c r="B2436" s="209" t="s">
        <v>578</v>
      </c>
      <c r="C2436" s="209" t="s">
        <v>2714</v>
      </c>
      <c r="D2436" s="450" t="s">
        <v>137</v>
      </c>
      <c r="E2436" s="273">
        <v>0</v>
      </c>
      <c r="F2436" s="274"/>
      <c r="G2436" s="274">
        <f t="shared" si="9"/>
        <v>0</v>
      </c>
      <c r="H2436" s="274">
        <v>0</v>
      </c>
      <c r="K2436" s="274"/>
    </row>
    <row r="2437" spans="2:11" ht="13.5" customHeight="1">
      <c r="B2437" s="209" t="s">
        <v>578</v>
      </c>
      <c r="C2437" s="209" t="s">
        <v>2714</v>
      </c>
      <c r="D2437" s="451" t="s">
        <v>138</v>
      </c>
      <c r="E2437" s="273">
        <v>0</v>
      </c>
      <c r="F2437" s="274"/>
      <c r="G2437" s="274">
        <f t="shared" si="9"/>
        <v>0</v>
      </c>
      <c r="H2437" s="274">
        <v>0</v>
      </c>
      <c r="K2437" s="274"/>
    </row>
    <row r="2438" spans="2:11" ht="13.5" customHeight="1">
      <c r="B2438" s="209" t="s">
        <v>578</v>
      </c>
      <c r="C2438" s="209" t="s">
        <v>2714</v>
      </c>
      <c r="D2438" s="452" t="s">
        <v>139</v>
      </c>
      <c r="E2438" s="273">
        <v>0</v>
      </c>
      <c r="F2438" s="274"/>
      <c r="G2438" s="274">
        <f t="shared" si="9"/>
        <v>0</v>
      </c>
      <c r="H2438" s="274">
        <v>0</v>
      </c>
      <c r="K2438" s="274"/>
    </row>
    <row r="2439" spans="2:11" ht="13.5" customHeight="1">
      <c r="B2439" s="209" t="s">
        <v>578</v>
      </c>
      <c r="C2439" s="209" t="s">
        <v>2714</v>
      </c>
      <c r="D2439" s="216" t="s">
        <v>140</v>
      </c>
      <c r="E2439" s="273">
        <v>0</v>
      </c>
      <c r="F2439" s="274"/>
      <c r="G2439" s="274">
        <f t="shared" si="9"/>
        <v>0</v>
      </c>
      <c r="H2439" s="274">
        <v>0</v>
      </c>
      <c r="K2439" s="274"/>
    </row>
    <row r="2440" spans="2:11" ht="13.5" customHeight="1">
      <c r="B2440" s="209" t="s">
        <v>578</v>
      </c>
      <c r="C2440" s="209" t="s">
        <v>2714</v>
      </c>
      <c r="D2440" s="453" t="s">
        <v>141</v>
      </c>
      <c r="E2440" s="273">
        <v>0</v>
      </c>
      <c r="F2440" s="274"/>
      <c r="G2440" s="274">
        <f t="shared" si="9"/>
        <v>0</v>
      </c>
      <c r="H2440" s="274">
        <v>0</v>
      </c>
      <c r="K2440" s="274"/>
    </row>
    <row r="2441" spans="2:11" ht="13.5" customHeight="1">
      <c r="B2441" s="209" t="s">
        <v>562</v>
      </c>
      <c r="C2441" s="209" t="s">
        <v>2715</v>
      </c>
      <c r="D2441" s="446" t="s">
        <v>133</v>
      </c>
      <c r="E2441" s="273">
        <v>0</v>
      </c>
      <c r="F2441" s="274"/>
      <c r="G2441" s="274">
        <f t="shared" si="9"/>
        <v>0</v>
      </c>
      <c r="H2441" s="274">
        <v>0</v>
      </c>
      <c r="K2441" s="274"/>
    </row>
    <row r="2442" spans="2:11" ht="13.5" customHeight="1">
      <c r="B2442" s="209" t="s">
        <v>562</v>
      </c>
      <c r="C2442" s="209" t="s">
        <v>2715</v>
      </c>
      <c r="D2442" s="447" t="s">
        <v>134</v>
      </c>
      <c r="E2442" s="273">
        <v>0</v>
      </c>
      <c r="F2442" s="274"/>
      <c r="G2442" s="274">
        <f t="shared" si="9"/>
        <v>0</v>
      </c>
      <c r="H2442" s="274">
        <v>0</v>
      </c>
      <c r="K2442" s="274"/>
    </row>
    <row r="2443" spans="2:11" ht="13.5" customHeight="1">
      <c r="B2443" s="209" t="s">
        <v>562</v>
      </c>
      <c r="C2443" s="209" t="s">
        <v>2715</v>
      </c>
      <c r="D2443" s="448" t="s">
        <v>135</v>
      </c>
      <c r="E2443" s="273">
        <v>0</v>
      </c>
      <c r="F2443" s="274"/>
      <c r="G2443" s="274">
        <f t="shared" si="9"/>
        <v>0</v>
      </c>
      <c r="H2443" s="274">
        <v>0</v>
      </c>
      <c r="K2443" s="274"/>
    </row>
    <row r="2444" spans="2:11" ht="13.5" customHeight="1">
      <c r="B2444" s="209" t="s">
        <v>562</v>
      </c>
      <c r="C2444" s="209" t="s">
        <v>2715</v>
      </c>
      <c r="D2444" s="449" t="s">
        <v>136</v>
      </c>
      <c r="E2444" s="273">
        <v>0</v>
      </c>
      <c r="F2444" s="274"/>
      <c r="G2444" s="274">
        <f t="shared" si="9"/>
        <v>0</v>
      </c>
      <c r="H2444" s="274">
        <v>0</v>
      </c>
      <c r="K2444" s="274"/>
    </row>
    <row r="2445" spans="2:11" ht="13.5" customHeight="1">
      <c r="B2445" s="209" t="s">
        <v>562</v>
      </c>
      <c r="C2445" s="209" t="s">
        <v>2715</v>
      </c>
      <c r="D2445" s="450" t="s">
        <v>137</v>
      </c>
      <c r="E2445" s="273">
        <v>0</v>
      </c>
      <c r="F2445" s="274"/>
      <c r="G2445" s="274">
        <f t="shared" si="9"/>
        <v>0</v>
      </c>
      <c r="H2445" s="274">
        <v>0</v>
      </c>
      <c r="K2445" s="274"/>
    </row>
    <row r="2446" spans="2:11" ht="13.5" customHeight="1">
      <c r="B2446" s="209" t="s">
        <v>562</v>
      </c>
      <c r="C2446" s="209" t="s">
        <v>2715</v>
      </c>
      <c r="D2446" s="451" t="s">
        <v>138</v>
      </c>
      <c r="E2446" s="273">
        <v>0</v>
      </c>
      <c r="F2446" s="274"/>
      <c r="G2446" s="274">
        <f t="shared" si="9"/>
        <v>0</v>
      </c>
      <c r="H2446" s="274">
        <v>0</v>
      </c>
      <c r="K2446" s="274"/>
    </row>
    <row r="2447" spans="2:11" ht="13.5" customHeight="1">
      <c r="B2447" s="209" t="s">
        <v>562</v>
      </c>
      <c r="C2447" s="209" t="s">
        <v>2715</v>
      </c>
      <c r="D2447" s="452" t="s">
        <v>139</v>
      </c>
      <c r="E2447" s="273">
        <v>0</v>
      </c>
      <c r="F2447" s="274"/>
      <c r="G2447" s="274">
        <f t="shared" si="9"/>
        <v>0</v>
      </c>
      <c r="H2447" s="274">
        <v>0</v>
      </c>
      <c r="K2447" s="274"/>
    </row>
    <row r="2448" spans="2:11" ht="13.5" customHeight="1">
      <c r="B2448" s="209" t="s">
        <v>562</v>
      </c>
      <c r="C2448" s="209" t="s">
        <v>2715</v>
      </c>
      <c r="D2448" s="216" t="s">
        <v>140</v>
      </c>
      <c r="E2448" s="273">
        <v>0</v>
      </c>
      <c r="F2448" s="274"/>
      <c r="G2448" s="274">
        <f t="shared" si="9"/>
        <v>0</v>
      </c>
      <c r="H2448" s="274">
        <v>0</v>
      </c>
      <c r="K2448" s="274"/>
    </row>
    <row r="2449" spans="2:11" ht="13.5" customHeight="1">
      <c r="B2449" s="209" t="s">
        <v>562</v>
      </c>
      <c r="C2449" s="209" t="s">
        <v>2715</v>
      </c>
      <c r="D2449" s="453" t="s">
        <v>141</v>
      </c>
      <c r="E2449" s="273">
        <v>0</v>
      </c>
      <c r="F2449" s="274"/>
      <c r="G2449" s="274">
        <f t="shared" si="9"/>
        <v>0</v>
      </c>
      <c r="H2449" s="274">
        <v>0</v>
      </c>
      <c r="K2449" s="274"/>
    </row>
    <row r="2450" spans="2:11" ht="13.5" customHeight="1">
      <c r="B2450" s="209" t="s">
        <v>564</v>
      </c>
      <c r="C2450" s="209" t="s">
        <v>2716</v>
      </c>
      <c r="D2450" s="446" t="s">
        <v>133</v>
      </c>
      <c r="E2450" s="273">
        <v>0</v>
      </c>
      <c r="F2450" s="274"/>
      <c r="G2450" s="274">
        <f t="shared" si="9"/>
        <v>0</v>
      </c>
      <c r="H2450" s="274">
        <v>0</v>
      </c>
      <c r="K2450" s="274"/>
    </row>
    <row r="2451" spans="2:11" ht="13.5" customHeight="1">
      <c r="B2451" s="209" t="s">
        <v>564</v>
      </c>
      <c r="C2451" s="209" t="s">
        <v>2716</v>
      </c>
      <c r="D2451" s="447" t="s">
        <v>134</v>
      </c>
      <c r="E2451" s="273">
        <v>0</v>
      </c>
      <c r="F2451" s="274"/>
      <c r="G2451" s="274">
        <f t="shared" si="9"/>
        <v>0</v>
      </c>
      <c r="H2451" s="274">
        <v>0</v>
      </c>
      <c r="K2451" s="274"/>
    </row>
    <row r="2452" spans="2:11" ht="13.5" customHeight="1">
      <c r="B2452" s="209" t="s">
        <v>564</v>
      </c>
      <c r="C2452" s="209" t="s">
        <v>2716</v>
      </c>
      <c r="D2452" s="448" t="s">
        <v>135</v>
      </c>
      <c r="E2452" s="273">
        <v>0</v>
      </c>
      <c r="F2452" s="274"/>
      <c r="G2452" s="274">
        <f t="shared" si="9"/>
        <v>0</v>
      </c>
      <c r="H2452" s="274">
        <v>0</v>
      </c>
      <c r="K2452" s="274"/>
    </row>
    <row r="2453" spans="2:11" ht="13.5" customHeight="1">
      <c r="B2453" s="209" t="s">
        <v>564</v>
      </c>
      <c r="C2453" s="209" t="s">
        <v>2716</v>
      </c>
      <c r="D2453" s="449" t="s">
        <v>136</v>
      </c>
      <c r="E2453" s="273">
        <v>0</v>
      </c>
      <c r="F2453" s="274"/>
      <c r="G2453" s="274">
        <f t="shared" si="9"/>
        <v>0</v>
      </c>
      <c r="H2453" s="274">
        <v>0</v>
      </c>
      <c r="K2453" s="274"/>
    </row>
    <row r="2454" spans="2:11" ht="13.5" customHeight="1">
      <c r="B2454" s="209" t="s">
        <v>564</v>
      </c>
      <c r="C2454" s="209" t="s">
        <v>2716</v>
      </c>
      <c r="D2454" s="450" t="s">
        <v>137</v>
      </c>
      <c r="E2454" s="273">
        <v>0</v>
      </c>
      <c r="F2454" s="274"/>
      <c r="G2454" s="274">
        <f t="shared" si="9"/>
        <v>0</v>
      </c>
      <c r="H2454" s="274">
        <v>0</v>
      </c>
      <c r="K2454" s="274"/>
    </row>
    <row r="2455" spans="2:11" ht="13.5" customHeight="1">
      <c r="B2455" s="209" t="s">
        <v>564</v>
      </c>
      <c r="C2455" s="209" t="s">
        <v>2716</v>
      </c>
      <c r="D2455" s="451" t="s">
        <v>138</v>
      </c>
      <c r="E2455" s="273">
        <v>0</v>
      </c>
      <c r="F2455" s="274"/>
      <c r="G2455" s="274">
        <f t="shared" si="9"/>
        <v>0</v>
      </c>
      <c r="H2455" s="274">
        <v>0</v>
      </c>
      <c r="K2455" s="274"/>
    </row>
    <row r="2456" spans="2:11" ht="13.5" customHeight="1">
      <c r="B2456" s="209" t="s">
        <v>564</v>
      </c>
      <c r="C2456" s="209" t="s">
        <v>2716</v>
      </c>
      <c r="D2456" s="452" t="s">
        <v>139</v>
      </c>
      <c r="E2456" s="273">
        <v>0</v>
      </c>
      <c r="F2456" s="274"/>
      <c r="G2456" s="274">
        <f t="shared" si="9"/>
        <v>0</v>
      </c>
      <c r="H2456" s="274">
        <v>0</v>
      </c>
      <c r="K2456" s="274"/>
    </row>
    <row r="2457" spans="2:11" ht="13.5" customHeight="1">
      <c r="B2457" s="209" t="s">
        <v>564</v>
      </c>
      <c r="C2457" s="209" t="s">
        <v>2716</v>
      </c>
      <c r="D2457" s="216" t="s">
        <v>140</v>
      </c>
      <c r="E2457" s="273">
        <v>0</v>
      </c>
      <c r="F2457" s="274"/>
      <c r="G2457" s="274">
        <f t="shared" si="9"/>
        <v>0</v>
      </c>
      <c r="H2457" s="274">
        <v>0</v>
      </c>
      <c r="K2457" s="274"/>
    </row>
    <row r="2458" spans="2:11" ht="13.5" customHeight="1">
      <c r="B2458" s="209" t="s">
        <v>564</v>
      </c>
      <c r="C2458" s="209" t="s">
        <v>2716</v>
      </c>
      <c r="D2458" s="453" t="s">
        <v>141</v>
      </c>
      <c r="E2458" s="273">
        <v>0</v>
      </c>
      <c r="F2458" s="274"/>
      <c r="G2458" s="274">
        <f t="shared" si="9"/>
        <v>0</v>
      </c>
      <c r="H2458" s="274">
        <v>0</v>
      </c>
      <c r="K2458" s="274"/>
    </row>
    <row r="2459" spans="2:11" ht="13.5" customHeight="1">
      <c r="B2459" s="209" t="s">
        <v>580</v>
      </c>
      <c r="C2459" s="209" t="s">
        <v>2717</v>
      </c>
      <c r="D2459" s="446" t="s">
        <v>133</v>
      </c>
      <c r="E2459" s="273">
        <v>0</v>
      </c>
      <c r="F2459" s="274"/>
      <c r="G2459" s="274">
        <f t="shared" si="9"/>
        <v>0</v>
      </c>
      <c r="H2459" s="274">
        <v>0</v>
      </c>
      <c r="K2459" s="274"/>
    </row>
    <row r="2460" spans="2:11" ht="13.5" customHeight="1">
      <c r="B2460" s="209" t="s">
        <v>580</v>
      </c>
      <c r="C2460" s="209" t="s">
        <v>2717</v>
      </c>
      <c r="D2460" s="447" t="s">
        <v>134</v>
      </c>
      <c r="E2460" s="273">
        <v>0</v>
      </c>
      <c r="F2460" s="274"/>
      <c r="G2460" s="274">
        <f t="shared" si="9"/>
        <v>0</v>
      </c>
      <c r="H2460" s="274">
        <v>0</v>
      </c>
      <c r="K2460" s="274"/>
    </row>
    <row r="2461" spans="2:11" ht="13.5" customHeight="1">
      <c r="B2461" s="209" t="s">
        <v>580</v>
      </c>
      <c r="C2461" s="209" t="s">
        <v>2717</v>
      </c>
      <c r="D2461" s="448" t="s">
        <v>135</v>
      </c>
      <c r="E2461" s="273">
        <v>0</v>
      </c>
      <c r="F2461" s="274"/>
      <c r="G2461" s="274">
        <f t="shared" si="9"/>
        <v>0</v>
      </c>
      <c r="H2461" s="274">
        <v>0</v>
      </c>
      <c r="K2461" s="274"/>
    </row>
    <row r="2462" spans="2:11" ht="13.5" customHeight="1">
      <c r="B2462" s="209" t="s">
        <v>580</v>
      </c>
      <c r="C2462" s="209" t="s">
        <v>2717</v>
      </c>
      <c r="D2462" s="449" t="s">
        <v>136</v>
      </c>
      <c r="E2462" s="273">
        <v>0</v>
      </c>
      <c r="F2462" s="274"/>
      <c r="G2462" s="274">
        <f t="shared" si="9"/>
        <v>0</v>
      </c>
      <c r="H2462" s="274">
        <v>0</v>
      </c>
      <c r="K2462" s="274"/>
    </row>
    <row r="2463" spans="2:11" ht="13.5" customHeight="1">
      <c r="B2463" s="209" t="s">
        <v>580</v>
      </c>
      <c r="C2463" s="209" t="s">
        <v>2717</v>
      </c>
      <c r="D2463" s="450" t="s">
        <v>137</v>
      </c>
      <c r="E2463" s="273">
        <v>0</v>
      </c>
      <c r="F2463" s="274"/>
      <c r="G2463" s="274">
        <f t="shared" si="9"/>
        <v>0</v>
      </c>
      <c r="H2463" s="274">
        <v>0</v>
      </c>
      <c r="K2463" s="274"/>
    </row>
    <row r="2464" spans="2:11" ht="13.5" customHeight="1">
      <c r="B2464" s="209" t="s">
        <v>580</v>
      </c>
      <c r="C2464" s="209" t="s">
        <v>2717</v>
      </c>
      <c r="D2464" s="451" t="s">
        <v>138</v>
      </c>
      <c r="E2464" s="273">
        <v>0</v>
      </c>
      <c r="F2464" s="274"/>
      <c r="G2464" s="274">
        <f t="shared" si="9"/>
        <v>0</v>
      </c>
      <c r="H2464" s="274">
        <v>0</v>
      </c>
      <c r="K2464" s="274"/>
    </row>
    <row r="2465" spans="2:11" ht="13.5" customHeight="1">
      <c r="B2465" s="209" t="s">
        <v>580</v>
      </c>
      <c r="C2465" s="209" t="s">
        <v>2717</v>
      </c>
      <c r="D2465" s="452" t="s">
        <v>139</v>
      </c>
      <c r="E2465" s="273">
        <v>0</v>
      </c>
      <c r="F2465" s="274"/>
      <c r="G2465" s="274">
        <f t="shared" si="9"/>
        <v>0</v>
      </c>
      <c r="H2465" s="274">
        <v>0</v>
      </c>
      <c r="K2465" s="274"/>
    </row>
    <row r="2466" spans="2:11" ht="13.5" customHeight="1">
      <c r="B2466" s="209" t="s">
        <v>580</v>
      </c>
      <c r="C2466" s="209" t="s">
        <v>2717</v>
      </c>
      <c r="D2466" s="216" t="s">
        <v>140</v>
      </c>
      <c r="E2466" s="273">
        <v>0</v>
      </c>
      <c r="F2466" s="274"/>
      <c r="G2466" s="274">
        <f t="shared" si="9"/>
        <v>0</v>
      </c>
      <c r="H2466" s="274">
        <v>0</v>
      </c>
      <c r="K2466" s="274"/>
    </row>
    <row r="2467" spans="2:11" ht="13.5" customHeight="1">
      <c r="B2467" s="209" t="s">
        <v>580</v>
      </c>
      <c r="C2467" s="209" t="s">
        <v>2717</v>
      </c>
      <c r="D2467" s="453" t="s">
        <v>141</v>
      </c>
      <c r="E2467" s="273">
        <v>0</v>
      </c>
      <c r="F2467" s="274"/>
      <c r="G2467" s="274">
        <f t="shared" si="9"/>
        <v>0</v>
      </c>
      <c r="H2467" s="274">
        <v>0</v>
      </c>
      <c r="K2467" s="274"/>
    </row>
    <row r="2468" spans="2:11" ht="13.5" customHeight="1">
      <c r="B2468" s="209" t="s">
        <v>547</v>
      </c>
      <c r="C2468" s="209" t="s">
        <v>2718</v>
      </c>
      <c r="D2468" s="446" t="s">
        <v>133</v>
      </c>
      <c r="E2468" s="273">
        <v>0</v>
      </c>
      <c r="F2468" s="274"/>
      <c r="G2468" s="274">
        <f t="shared" si="9"/>
        <v>0</v>
      </c>
      <c r="H2468" s="274">
        <v>0</v>
      </c>
      <c r="K2468" s="274"/>
    </row>
    <row r="2469" spans="2:11" ht="13.5" customHeight="1">
      <c r="B2469" s="209" t="s">
        <v>547</v>
      </c>
      <c r="C2469" s="209" t="s">
        <v>2718</v>
      </c>
      <c r="D2469" s="447" t="s">
        <v>134</v>
      </c>
      <c r="E2469" s="273">
        <v>0</v>
      </c>
      <c r="F2469" s="274"/>
      <c r="G2469" s="274">
        <f t="shared" si="9"/>
        <v>0</v>
      </c>
      <c r="H2469" s="274">
        <v>0</v>
      </c>
      <c r="K2469" s="274"/>
    </row>
    <row r="2470" spans="2:11" ht="13.5" customHeight="1">
      <c r="B2470" s="209" t="s">
        <v>547</v>
      </c>
      <c r="C2470" s="209" t="s">
        <v>2718</v>
      </c>
      <c r="D2470" s="448" t="s">
        <v>135</v>
      </c>
      <c r="E2470" s="273">
        <v>0</v>
      </c>
      <c r="F2470" s="274"/>
      <c r="G2470" s="274">
        <f t="shared" si="9"/>
        <v>0</v>
      </c>
      <c r="H2470" s="274">
        <v>0</v>
      </c>
      <c r="K2470" s="274"/>
    </row>
    <row r="2471" spans="2:11" ht="13.5" customHeight="1">
      <c r="B2471" s="209" t="s">
        <v>547</v>
      </c>
      <c r="C2471" s="209" t="s">
        <v>2718</v>
      </c>
      <c r="D2471" s="449" t="s">
        <v>136</v>
      </c>
      <c r="E2471" s="273">
        <v>0</v>
      </c>
      <c r="F2471" s="274"/>
      <c r="G2471" s="274">
        <f t="shared" si="9"/>
        <v>0</v>
      </c>
      <c r="H2471" s="274">
        <v>0</v>
      </c>
      <c r="K2471" s="274"/>
    </row>
    <row r="2472" spans="2:11" ht="13.5" customHeight="1">
      <c r="B2472" s="209" t="s">
        <v>547</v>
      </c>
      <c r="C2472" s="209" t="s">
        <v>2718</v>
      </c>
      <c r="D2472" s="450" t="s">
        <v>137</v>
      </c>
      <c r="E2472" s="273">
        <v>0</v>
      </c>
      <c r="F2472" s="274"/>
      <c r="G2472" s="274">
        <f t="shared" si="9"/>
        <v>0</v>
      </c>
      <c r="H2472" s="274">
        <v>0</v>
      </c>
      <c r="K2472" s="274"/>
    </row>
    <row r="2473" spans="2:11" ht="13.5" customHeight="1">
      <c r="B2473" s="209" t="s">
        <v>547</v>
      </c>
      <c r="C2473" s="209" t="s">
        <v>2718</v>
      </c>
      <c r="D2473" s="451" t="s">
        <v>138</v>
      </c>
      <c r="E2473" s="273">
        <v>0</v>
      </c>
      <c r="F2473" s="274"/>
      <c r="G2473" s="274">
        <f t="shared" si="9"/>
        <v>0</v>
      </c>
      <c r="H2473" s="274">
        <v>0</v>
      </c>
      <c r="K2473" s="274"/>
    </row>
    <row r="2474" spans="2:11" ht="13.5" customHeight="1">
      <c r="B2474" s="209" t="s">
        <v>547</v>
      </c>
      <c r="C2474" s="209" t="s">
        <v>2718</v>
      </c>
      <c r="D2474" s="452" t="s">
        <v>139</v>
      </c>
      <c r="E2474" s="273">
        <v>0</v>
      </c>
      <c r="F2474" s="274"/>
      <c r="G2474" s="274">
        <f t="shared" si="9"/>
        <v>0</v>
      </c>
      <c r="H2474" s="274">
        <v>0</v>
      </c>
      <c r="K2474" s="274"/>
    </row>
    <row r="2475" spans="2:11" ht="13.5" customHeight="1">
      <c r="B2475" s="209" t="s">
        <v>547</v>
      </c>
      <c r="C2475" s="209" t="s">
        <v>2718</v>
      </c>
      <c r="D2475" s="216" t="s">
        <v>140</v>
      </c>
      <c r="E2475" s="273">
        <v>0</v>
      </c>
      <c r="F2475" s="274"/>
      <c r="G2475" s="274">
        <f t="shared" si="9"/>
        <v>0</v>
      </c>
      <c r="H2475" s="274">
        <v>0</v>
      </c>
      <c r="K2475" s="274"/>
    </row>
    <row r="2476" spans="2:11" ht="13.5" customHeight="1">
      <c r="B2476" s="209" t="s">
        <v>547</v>
      </c>
      <c r="C2476" s="209" t="s">
        <v>2718</v>
      </c>
      <c r="D2476" s="453" t="s">
        <v>141</v>
      </c>
      <c r="E2476" s="273">
        <v>0</v>
      </c>
      <c r="F2476" s="274"/>
      <c r="G2476" s="274">
        <f t="shared" si="9"/>
        <v>0</v>
      </c>
      <c r="H2476" s="274">
        <v>0</v>
      </c>
      <c r="K2476" s="274"/>
    </row>
    <row r="2477" spans="2:11" ht="13.5" customHeight="1">
      <c r="B2477" s="209" t="s">
        <v>549</v>
      </c>
      <c r="C2477" s="209" t="s">
        <v>2719</v>
      </c>
      <c r="D2477" s="446" t="s">
        <v>133</v>
      </c>
      <c r="E2477" s="273">
        <v>0</v>
      </c>
      <c r="F2477" s="274"/>
      <c r="G2477" s="274">
        <f t="shared" si="9"/>
        <v>0</v>
      </c>
      <c r="H2477" s="274">
        <v>0</v>
      </c>
      <c r="K2477" s="274"/>
    </row>
    <row r="2478" spans="2:11" ht="13.5" customHeight="1">
      <c r="B2478" s="209" t="s">
        <v>549</v>
      </c>
      <c r="C2478" s="209" t="s">
        <v>2719</v>
      </c>
      <c r="D2478" s="447" t="s">
        <v>134</v>
      </c>
      <c r="E2478" s="273">
        <v>0</v>
      </c>
      <c r="F2478" s="274"/>
      <c r="G2478" s="274">
        <f t="shared" si="9"/>
        <v>0</v>
      </c>
      <c r="H2478" s="274">
        <v>0</v>
      </c>
      <c r="K2478" s="274"/>
    </row>
    <row r="2479" spans="2:11" ht="13.5" customHeight="1">
      <c r="B2479" s="209" t="s">
        <v>549</v>
      </c>
      <c r="C2479" s="209" t="s">
        <v>2719</v>
      </c>
      <c r="D2479" s="448" t="s">
        <v>135</v>
      </c>
      <c r="E2479" s="273">
        <v>0</v>
      </c>
      <c r="F2479" s="274"/>
      <c r="G2479" s="274">
        <f t="shared" si="9"/>
        <v>0</v>
      </c>
      <c r="H2479" s="274">
        <v>0</v>
      </c>
      <c r="K2479" s="274"/>
    </row>
    <row r="2480" spans="2:11" ht="13.5" customHeight="1">
      <c r="B2480" s="209" t="s">
        <v>549</v>
      </c>
      <c r="C2480" s="209" t="s">
        <v>2719</v>
      </c>
      <c r="D2480" s="449" t="s">
        <v>136</v>
      </c>
      <c r="E2480" s="273">
        <v>0</v>
      </c>
      <c r="F2480" s="274"/>
      <c r="G2480" s="274">
        <f t="shared" si="9"/>
        <v>0</v>
      </c>
      <c r="H2480" s="274">
        <v>0</v>
      </c>
      <c r="K2480" s="274"/>
    </row>
    <row r="2481" spans="2:11" ht="13.5" customHeight="1">
      <c r="B2481" s="209" t="s">
        <v>549</v>
      </c>
      <c r="C2481" s="209" t="s">
        <v>2719</v>
      </c>
      <c r="D2481" s="450" t="s">
        <v>137</v>
      </c>
      <c r="E2481" s="273">
        <v>0</v>
      </c>
      <c r="F2481" s="274"/>
      <c r="G2481" s="274">
        <f t="shared" si="9"/>
        <v>0</v>
      </c>
      <c r="H2481" s="274">
        <v>0</v>
      </c>
      <c r="K2481" s="274"/>
    </row>
    <row r="2482" spans="2:11" ht="13.5" customHeight="1">
      <c r="B2482" s="209" t="s">
        <v>549</v>
      </c>
      <c r="C2482" s="209" t="s">
        <v>2719</v>
      </c>
      <c r="D2482" s="451" t="s">
        <v>138</v>
      </c>
      <c r="E2482" s="273">
        <v>0</v>
      </c>
      <c r="F2482" s="274"/>
      <c r="G2482" s="274">
        <f t="shared" si="9"/>
        <v>0</v>
      </c>
      <c r="H2482" s="274">
        <v>0</v>
      </c>
      <c r="K2482" s="274"/>
    </row>
    <row r="2483" spans="2:11" ht="13.5" customHeight="1">
      <c r="B2483" s="209" t="s">
        <v>549</v>
      </c>
      <c r="C2483" s="209" t="s">
        <v>2719</v>
      </c>
      <c r="D2483" s="452" t="s">
        <v>139</v>
      </c>
      <c r="E2483" s="273">
        <v>0</v>
      </c>
      <c r="F2483" s="274"/>
      <c r="G2483" s="274">
        <f t="shared" si="9"/>
        <v>0</v>
      </c>
      <c r="H2483" s="274">
        <v>0</v>
      </c>
      <c r="K2483" s="274"/>
    </row>
    <row r="2484" spans="2:11" ht="13.5" customHeight="1">
      <c r="B2484" s="209" t="s">
        <v>549</v>
      </c>
      <c r="C2484" s="209" t="s">
        <v>2719</v>
      </c>
      <c r="D2484" s="216" t="s">
        <v>140</v>
      </c>
      <c r="E2484" s="273">
        <v>0</v>
      </c>
      <c r="F2484" s="274"/>
      <c r="G2484" s="274">
        <f t="shared" si="9"/>
        <v>0</v>
      </c>
      <c r="H2484" s="274">
        <v>0</v>
      </c>
      <c r="K2484" s="274"/>
    </row>
    <row r="2485" spans="2:11" ht="13.5" customHeight="1">
      <c r="B2485" s="209" t="s">
        <v>549</v>
      </c>
      <c r="C2485" s="209" t="s">
        <v>2719</v>
      </c>
      <c r="D2485" s="453" t="s">
        <v>141</v>
      </c>
      <c r="E2485" s="273">
        <v>0</v>
      </c>
      <c r="F2485" s="274"/>
      <c r="G2485" s="274">
        <f t="shared" si="9"/>
        <v>0</v>
      </c>
      <c r="H2485" s="274">
        <v>0</v>
      </c>
      <c r="K2485" s="274"/>
    </row>
    <row r="2486" spans="2:11" ht="13.5" customHeight="1">
      <c r="B2486" s="209" t="s">
        <v>551</v>
      </c>
      <c r="C2486" s="209" t="s">
        <v>2720</v>
      </c>
      <c r="D2486" s="446" t="s">
        <v>133</v>
      </c>
      <c r="E2486" s="273">
        <v>0</v>
      </c>
      <c r="F2486" s="274"/>
      <c r="G2486" s="274">
        <f t="shared" si="9"/>
        <v>0</v>
      </c>
      <c r="H2486" s="274">
        <v>0</v>
      </c>
      <c r="K2486" s="274"/>
    </row>
    <row r="2487" spans="2:11" ht="13.5" customHeight="1">
      <c r="B2487" s="209" t="s">
        <v>551</v>
      </c>
      <c r="C2487" s="209" t="s">
        <v>2720</v>
      </c>
      <c r="D2487" s="447" t="s">
        <v>134</v>
      </c>
      <c r="E2487" s="273">
        <v>0</v>
      </c>
      <c r="F2487" s="274"/>
      <c r="G2487" s="274">
        <f t="shared" si="9"/>
        <v>0</v>
      </c>
      <c r="H2487" s="274">
        <v>0</v>
      </c>
      <c r="K2487" s="274"/>
    </row>
    <row r="2488" spans="2:11" ht="13.5" customHeight="1">
      <c r="B2488" s="209" t="s">
        <v>551</v>
      </c>
      <c r="C2488" s="209" t="s">
        <v>2720</v>
      </c>
      <c r="D2488" s="448" t="s">
        <v>135</v>
      </c>
      <c r="E2488" s="273">
        <v>0</v>
      </c>
      <c r="F2488" s="274"/>
      <c r="G2488" s="274">
        <f t="shared" si="9"/>
        <v>0</v>
      </c>
      <c r="H2488" s="274">
        <v>0</v>
      </c>
      <c r="K2488" s="274"/>
    </row>
    <row r="2489" spans="2:11" ht="13.5" customHeight="1">
      <c r="B2489" s="209" t="s">
        <v>551</v>
      </c>
      <c r="C2489" s="209" t="s">
        <v>2720</v>
      </c>
      <c r="D2489" s="449" t="s">
        <v>136</v>
      </c>
      <c r="E2489" s="273">
        <v>0</v>
      </c>
      <c r="F2489" s="274"/>
      <c r="G2489" s="274">
        <f t="shared" si="9"/>
        <v>0</v>
      </c>
      <c r="H2489" s="274">
        <v>0</v>
      </c>
      <c r="K2489" s="274"/>
    </row>
    <row r="2490" spans="2:11" ht="13.5" customHeight="1">
      <c r="B2490" s="209" t="s">
        <v>551</v>
      </c>
      <c r="C2490" s="209" t="s">
        <v>2720</v>
      </c>
      <c r="D2490" s="450" t="s">
        <v>137</v>
      </c>
      <c r="E2490" s="273">
        <v>0</v>
      </c>
      <c r="F2490" s="274"/>
      <c r="G2490" s="274">
        <f t="shared" si="9"/>
        <v>0</v>
      </c>
      <c r="H2490" s="274">
        <v>0</v>
      </c>
      <c r="K2490" s="274"/>
    </row>
    <row r="2491" spans="2:11" ht="13.5" customHeight="1">
      <c r="B2491" s="209" t="s">
        <v>551</v>
      </c>
      <c r="C2491" s="209" t="s">
        <v>2720</v>
      </c>
      <c r="D2491" s="451" t="s">
        <v>138</v>
      </c>
      <c r="E2491" s="273">
        <v>0</v>
      </c>
      <c r="F2491" s="274"/>
      <c r="G2491" s="274">
        <f t="shared" si="9"/>
        <v>0</v>
      </c>
      <c r="H2491" s="274">
        <v>0</v>
      </c>
      <c r="K2491" s="274"/>
    </row>
    <row r="2492" spans="2:11" ht="13.5" customHeight="1">
      <c r="B2492" s="209" t="s">
        <v>551</v>
      </c>
      <c r="C2492" s="209" t="s">
        <v>2720</v>
      </c>
      <c r="D2492" s="452" t="s">
        <v>139</v>
      </c>
      <c r="E2492" s="273">
        <v>0</v>
      </c>
      <c r="F2492" s="274"/>
      <c r="G2492" s="274">
        <f t="shared" si="9"/>
        <v>0</v>
      </c>
      <c r="H2492" s="274">
        <v>0</v>
      </c>
      <c r="K2492" s="274"/>
    </row>
    <row r="2493" spans="2:11" ht="13.5" customHeight="1">
      <c r="B2493" s="209" t="s">
        <v>551</v>
      </c>
      <c r="C2493" s="209" t="s">
        <v>2720</v>
      </c>
      <c r="D2493" s="216" t="s">
        <v>140</v>
      </c>
      <c r="E2493" s="273">
        <v>0</v>
      </c>
      <c r="F2493" s="274"/>
      <c r="G2493" s="274">
        <f t="shared" si="9"/>
        <v>0</v>
      </c>
      <c r="H2493" s="274">
        <v>0</v>
      </c>
      <c r="K2493" s="274"/>
    </row>
    <row r="2494" spans="2:11" ht="13.5" customHeight="1">
      <c r="B2494" s="209" t="s">
        <v>551</v>
      </c>
      <c r="C2494" s="209" t="s">
        <v>2720</v>
      </c>
      <c r="D2494" s="453" t="s">
        <v>141</v>
      </c>
      <c r="E2494" s="273">
        <v>0</v>
      </c>
      <c r="F2494" s="274"/>
      <c r="G2494" s="274">
        <f t="shared" si="9"/>
        <v>0</v>
      </c>
      <c r="H2494" s="274">
        <v>0</v>
      </c>
      <c r="K2494" s="274"/>
    </row>
    <row r="2495" spans="2:11" ht="13.5" customHeight="1">
      <c r="B2495" s="209" t="s">
        <v>582</v>
      </c>
      <c r="C2495" s="209" t="s">
        <v>2721</v>
      </c>
      <c r="D2495" s="446" t="s">
        <v>133</v>
      </c>
      <c r="E2495" s="273">
        <v>0</v>
      </c>
      <c r="F2495" s="274"/>
      <c r="G2495" s="274">
        <f t="shared" si="9"/>
        <v>0</v>
      </c>
      <c r="H2495" s="274">
        <v>0</v>
      </c>
      <c r="K2495" s="274"/>
    </row>
    <row r="2496" spans="2:11" ht="13.5" customHeight="1">
      <c r="B2496" s="209" t="s">
        <v>582</v>
      </c>
      <c r="C2496" s="209" t="s">
        <v>2721</v>
      </c>
      <c r="D2496" s="447" t="s">
        <v>134</v>
      </c>
      <c r="E2496" s="273">
        <v>0</v>
      </c>
      <c r="F2496" s="274"/>
      <c r="G2496" s="274">
        <f t="shared" si="9"/>
        <v>0</v>
      </c>
      <c r="H2496" s="274">
        <v>0</v>
      </c>
      <c r="K2496" s="274"/>
    </row>
    <row r="2497" spans="2:11" ht="13.5" customHeight="1">
      <c r="B2497" s="209" t="s">
        <v>582</v>
      </c>
      <c r="C2497" s="209" t="s">
        <v>2721</v>
      </c>
      <c r="D2497" s="448" t="s">
        <v>135</v>
      </c>
      <c r="E2497" s="273">
        <v>0</v>
      </c>
      <c r="F2497" s="274"/>
      <c r="G2497" s="274">
        <f t="shared" si="9"/>
        <v>0</v>
      </c>
      <c r="H2497" s="274">
        <v>0</v>
      </c>
      <c r="K2497" s="274"/>
    </row>
    <row r="2498" spans="2:11" ht="13.5" customHeight="1">
      <c r="B2498" s="209" t="s">
        <v>582</v>
      </c>
      <c r="C2498" s="209" t="s">
        <v>2721</v>
      </c>
      <c r="D2498" s="449" t="s">
        <v>136</v>
      </c>
      <c r="E2498" s="273">
        <v>0</v>
      </c>
      <c r="F2498" s="274"/>
      <c r="G2498" s="274">
        <f t="shared" si="9"/>
        <v>0</v>
      </c>
      <c r="H2498" s="274">
        <v>0</v>
      </c>
      <c r="K2498" s="274"/>
    </row>
    <row r="2499" spans="2:11" ht="13.5" customHeight="1">
      <c r="B2499" s="209" t="s">
        <v>582</v>
      </c>
      <c r="C2499" s="209" t="s">
        <v>2721</v>
      </c>
      <c r="D2499" s="450" t="s">
        <v>137</v>
      </c>
      <c r="E2499" s="273">
        <v>0</v>
      </c>
      <c r="F2499" s="274"/>
      <c r="G2499" s="274">
        <f t="shared" si="9"/>
        <v>0</v>
      </c>
      <c r="H2499" s="274">
        <v>0</v>
      </c>
      <c r="K2499" s="274"/>
    </row>
    <row r="2500" spans="2:11" ht="13.5" customHeight="1">
      <c r="B2500" s="209" t="s">
        <v>582</v>
      </c>
      <c r="C2500" s="209" t="s">
        <v>2721</v>
      </c>
      <c r="D2500" s="451" t="s">
        <v>138</v>
      </c>
      <c r="E2500" s="273">
        <v>0</v>
      </c>
      <c r="F2500" s="274"/>
      <c r="G2500" s="274">
        <f t="shared" si="9"/>
        <v>0</v>
      </c>
      <c r="H2500" s="274">
        <v>0</v>
      </c>
      <c r="K2500" s="274"/>
    </row>
    <row r="2501" spans="2:11" ht="13.5" customHeight="1">
      <c r="B2501" s="209" t="s">
        <v>582</v>
      </c>
      <c r="C2501" s="209" t="s">
        <v>2721</v>
      </c>
      <c r="D2501" s="452" t="s">
        <v>139</v>
      </c>
      <c r="E2501" s="273">
        <v>0</v>
      </c>
      <c r="F2501" s="274"/>
      <c r="G2501" s="274">
        <f t="shared" si="9"/>
        <v>0</v>
      </c>
      <c r="H2501" s="274">
        <v>0</v>
      </c>
      <c r="K2501" s="274"/>
    </row>
    <row r="2502" spans="2:11" ht="13.5" customHeight="1">
      <c r="B2502" s="209" t="s">
        <v>582</v>
      </c>
      <c r="C2502" s="209" t="s">
        <v>2721</v>
      </c>
      <c r="D2502" s="216" t="s">
        <v>140</v>
      </c>
      <c r="E2502" s="273">
        <v>0</v>
      </c>
      <c r="F2502" s="274"/>
      <c r="G2502" s="274">
        <f t="shared" si="9"/>
        <v>0</v>
      </c>
      <c r="H2502" s="274">
        <v>0</v>
      </c>
      <c r="K2502" s="274"/>
    </row>
    <row r="2503" spans="2:11" ht="13.5" customHeight="1">
      <c r="B2503" s="209" t="s">
        <v>582</v>
      </c>
      <c r="C2503" s="209" t="s">
        <v>2721</v>
      </c>
      <c r="D2503" s="453" t="s">
        <v>141</v>
      </c>
      <c r="E2503" s="273">
        <v>0</v>
      </c>
      <c r="F2503" s="274"/>
      <c r="G2503" s="274">
        <f t="shared" si="9"/>
        <v>0</v>
      </c>
      <c r="H2503" s="274">
        <v>0</v>
      </c>
      <c r="K2503" s="274"/>
    </row>
    <row r="2504" spans="2:11" ht="13.5" customHeight="1">
      <c r="B2504" s="209" t="s">
        <v>584</v>
      </c>
      <c r="C2504" s="209" t="s">
        <v>2722</v>
      </c>
      <c r="D2504" s="446" t="s">
        <v>133</v>
      </c>
      <c r="E2504" s="273">
        <v>0</v>
      </c>
      <c r="F2504" s="274"/>
      <c r="G2504" s="274">
        <f t="shared" si="9"/>
        <v>0</v>
      </c>
      <c r="H2504" s="274">
        <v>0</v>
      </c>
      <c r="K2504" s="274"/>
    </row>
    <row r="2505" spans="2:11" ht="13.5" customHeight="1">
      <c r="B2505" s="209" t="s">
        <v>584</v>
      </c>
      <c r="C2505" s="209" t="s">
        <v>2722</v>
      </c>
      <c r="D2505" s="447" t="s">
        <v>134</v>
      </c>
      <c r="E2505" s="273">
        <v>0</v>
      </c>
      <c r="F2505" s="274"/>
      <c r="G2505" s="274">
        <f t="shared" si="9"/>
        <v>0</v>
      </c>
      <c r="H2505" s="274">
        <v>0</v>
      </c>
      <c r="K2505" s="274"/>
    </row>
    <row r="2506" spans="2:11" ht="13.5" customHeight="1">
      <c r="B2506" s="209" t="s">
        <v>584</v>
      </c>
      <c r="C2506" s="209" t="s">
        <v>2722</v>
      </c>
      <c r="D2506" s="448" t="s">
        <v>135</v>
      </c>
      <c r="E2506" s="273">
        <v>0</v>
      </c>
      <c r="F2506" s="274"/>
      <c r="G2506" s="274">
        <f t="shared" si="9"/>
        <v>0</v>
      </c>
      <c r="H2506" s="274">
        <v>0</v>
      </c>
      <c r="K2506" s="274"/>
    </row>
    <row r="2507" spans="2:11" ht="13.5" customHeight="1">
      <c r="B2507" s="209" t="s">
        <v>584</v>
      </c>
      <c r="C2507" s="209" t="s">
        <v>2722</v>
      </c>
      <c r="D2507" s="449" t="s">
        <v>136</v>
      </c>
      <c r="E2507" s="273">
        <v>0</v>
      </c>
      <c r="F2507" s="274"/>
      <c r="G2507" s="274">
        <f t="shared" si="9"/>
        <v>0</v>
      </c>
      <c r="H2507" s="274">
        <v>0</v>
      </c>
      <c r="K2507" s="274"/>
    </row>
    <row r="2508" spans="2:11" ht="13.5" customHeight="1">
      <c r="B2508" s="209" t="s">
        <v>584</v>
      </c>
      <c r="C2508" s="209" t="s">
        <v>2722</v>
      </c>
      <c r="D2508" s="450" t="s">
        <v>137</v>
      </c>
      <c r="E2508" s="273">
        <v>0</v>
      </c>
      <c r="F2508" s="274"/>
      <c r="G2508" s="274">
        <f t="shared" si="9"/>
        <v>0</v>
      </c>
      <c r="H2508" s="274">
        <v>0</v>
      </c>
      <c r="K2508" s="274"/>
    </row>
    <row r="2509" spans="2:11" ht="13.5" customHeight="1">
      <c r="B2509" s="209" t="s">
        <v>584</v>
      </c>
      <c r="C2509" s="209" t="s">
        <v>2722</v>
      </c>
      <c r="D2509" s="451" t="s">
        <v>138</v>
      </c>
      <c r="E2509" s="273">
        <v>0</v>
      </c>
      <c r="F2509" s="274"/>
      <c r="G2509" s="274">
        <f t="shared" si="9"/>
        <v>0</v>
      </c>
      <c r="H2509" s="274">
        <v>0</v>
      </c>
      <c r="K2509" s="274"/>
    </row>
    <row r="2510" spans="2:11" ht="13.5" customHeight="1">
      <c r="B2510" s="209" t="s">
        <v>584</v>
      </c>
      <c r="C2510" s="209" t="s">
        <v>2722</v>
      </c>
      <c r="D2510" s="452" t="s">
        <v>139</v>
      </c>
      <c r="E2510" s="273">
        <v>0</v>
      </c>
      <c r="F2510" s="274"/>
      <c r="G2510" s="274">
        <f t="shared" si="9"/>
        <v>0</v>
      </c>
      <c r="H2510" s="274">
        <v>0</v>
      </c>
      <c r="K2510" s="274"/>
    </row>
    <row r="2511" spans="2:11" ht="13.5" customHeight="1">
      <c r="B2511" s="209" t="s">
        <v>584</v>
      </c>
      <c r="C2511" s="209" t="s">
        <v>2722</v>
      </c>
      <c r="D2511" s="216" t="s">
        <v>140</v>
      </c>
      <c r="E2511" s="273">
        <v>0</v>
      </c>
      <c r="F2511" s="274"/>
      <c r="G2511" s="274">
        <f t="shared" si="9"/>
        <v>0</v>
      </c>
      <c r="H2511" s="274">
        <v>0</v>
      </c>
      <c r="K2511" s="274"/>
    </row>
    <row r="2512" spans="2:11" ht="13.5" customHeight="1">
      <c r="B2512" s="209" t="s">
        <v>584</v>
      </c>
      <c r="C2512" s="209" t="s">
        <v>2722</v>
      </c>
      <c r="D2512" s="453" t="s">
        <v>141</v>
      </c>
      <c r="E2512" s="273">
        <v>0</v>
      </c>
      <c r="F2512" s="274"/>
      <c r="G2512" s="274">
        <f t="shared" si="9"/>
        <v>0</v>
      </c>
      <c r="H2512" s="274">
        <v>0</v>
      </c>
      <c r="K2512" s="274"/>
    </row>
    <row r="2513" spans="2:11" ht="13.5" customHeight="1">
      <c r="B2513" s="209" t="s">
        <v>834</v>
      </c>
      <c r="C2513" s="209" t="s">
        <v>2781</v>
      </c>
      <c r="D2513" s="446" t="s">
        <v>133</v>
      </c>
      <c r="E2513" s="273">
        <v>0</v>
      </c>
      <c r="F2513" s="274"/>
      <c r="G2513" s="274">
        <f t="shared" si="9"/>
        <v>0</v>
      </c>
      <c r="H2513" s="274">
        <v>0</v>
      </c>
      <c r="K2513" s="274"/>
    </row>
    <row r="2514" spans="2:11" ht="13.5" customHeight="1">
      <c r="B2514" s="209" t="s">
        <v>834</v>
      </c>
      <c r="C2514" s="209" t="s">
        <v>2781</v>
      </c>
      <c r="D2514" s="447" t="s">
        <v>134</v>
      </c>
      <c r="E2514" s="273">
        <v>0</v>
      </c>
      <c r="F2514" s="274"/>
      <c r="G2514" s="274">
        <f t="shared" si="9"/>
        <v>0</v>
      </c>
      <c r="H2514" s="274">
        <v>0</v>
      </c>
      <c r="K2514" s="274"/>
    </row>
    <row r="2515" spans="2:11" ht="13.5" customHeight="1">
      <c r="B2515" s="209" t="s">
        <v>834</v>
      </c>
      <c r="C2515" s="209" t="s">
        <v>2781</v>
      </c>
      <c r="D2515" s="448" t="s">
        <v>135</v>
      </c>
      <c r="E2515" s="273">
        <v>0</v>
      </c>
      <c r="F2515" s="274"/>
      <c r="G2515" s="274">
        <f t="shared" si="9"/>
        <v>0</v>
      </c>
      <c r="H2515" s="274">
        <v>0</v>
      </c>
      <c r="K2515" s="274"/>
    </row>
    <row r="2516" spans="2:11" ht="13.5" customHeight="1">
      <c r="B2516" s="209" t="s">
        <v>834</v>
      </c>
      <c r="C2516" s="209" t="s">
        <v>2781</v>
      </c>
      <c r="D2516" s="449" t="s">
        <v>136</v>
      </c>
      <c r="E2516" s="273">
        <v>0</v>
      </c>
      <c r="F2516" s="274"/>
      <c r="G2516" s="274">
        <f t="shared" si="9"/>
        <v>0</v>
      </c>
      <c r="H2516" s="274">
        <v>0</v>
      </c>
      <c r="K2516" s="274"/>
    </row>
    <row r="2517" spans="2:11" ht="13.5" customHeight="1">
      <c r="B2517" s="209" t="s">
        <v>834</v>
      </c>
      <c r="C2517" s="209" t="s">
        <v>2781</v>
      </c>
      <c r="D2517" s="450" t="s">
        <v>137</v>
      </c>
      <c r="E2517" s="273">
        <v>0</v>
      </c>
      <c r="F2517" s="274"/>
      <c r="G2517" s="274">
        <f t="shared" si="9"/>
        <v>0</v>
      </c>
      <c r="H2517" s="274">
        <v>0</v>
      </c>
      <c r="K2517" s="274"/>
    </row>
    <row r="2518" spans="2:11" ht="13.5" customHeight="1">
      <c r="B2518" s="209" t="s">
        <v>834</v>
      </c>
      <c r="C2518" s="209" t="s">
        <v>2781</v>
      </c>
      <c r="D2518" s="451" t="s">
        <v>138</v>
      </c>
      <c r="E2518" s="273">
        <v>0</v>
      </c>
      <c r="F2518" s="274"/>
      <c r="G2518" s="274">
        <f t="shared" si="9"/>
        <v>0</v>
      </c>
      <c r="H2518" s="274">
        <v>0</v>
      </c>
      <c r="K2518" s="274"/>
    </row>
    <row r="2519" spans="2:11" ht="13.5" customHeight="1">
      <c r="B2519" s="209" t="s">
        <v>834</v>
      </c>
      <c r="C2519" s="209" t="s">
        <v>2781</v>
      </c>
      <c r="D2519" s="452" t="s">
        <v>139</v>
      </c>
      <c r="E2519" s="273">
        <v>0</v>
      </c>
      <c r="F2519" s="274"/>
      <c r="G2519" s="274">
        <f t="shared" si="9"/>
        <v>0</v>
      </c>
      <c r="H2519" s="274">
        <v>0</v>
      </c>
      <c r="K2519" s="274"/>
    </row>
    <row r="2520" spans="2:11" ht="13.5" customHeight="1">
      <c r="B2520" s="209" t="s">
        <v>834</v>
      </c>
      <c r="C2520" s="209" t="s">
        <v>2781</v>
      </c>
      <c r="D2520" s="216" t="s">
        <v>140</v>
      </c>
      <c r="E2520" s="273">
        <v>0</v>
      </c>
      <c r="F2520" s="274"/>
      <c r="G2520" s="274">
        <f t="shared" si="9"/>
        <v>0</v>
      </c>
      <c r="H2520" s="274">
        <v>0</v>
      </c>
      <c r="K2520" s="274"/>
    </row>
    <row r="2521" spans="2:11" ht="13.5" customHeight="1">
      <c r="B2521" s="209" t="s">
        <v>834</v>
      </c>
      <c r="C2521" s="209" t="s">
        <v>2781</v>
      </c>
      <c r="D2521" s="453" t="s">
        <v>141</v>
      </c>
      <c r="E2521" s="273">
        <v>0</v>
      </c>
      <c r="F2521" s="274"/>
      <c r="G2521" s="274">
        <f t="shared" si="9"/>
        <v>0</v>
      </c>
      <c r="H2521" s="274">
        <v>0</v>
      </c>
      <c r="K2521" s="274"/>
    </row>
    <row r="2522" spans="2:11" ht="13.5" customHeight="1">
      <c r="B2522" s="209" t="s">
        <v>826</v>
      </c>
      <c r="C2522" s="209" t="s">
        <v>2782</v>
      </c>
      <c r="D2522" s="446" t="s">
        <v>133</v>
      </c>
      <c r="E2522" s="273">
        <v>0</v>
      </c>
      <c r="F2522" s="274"/>
      <c r="G2522" s="274">
        <f t="shared" si="9"/>
        <v>0</v>
      </c>
      <c r="H2522" s="274">
        <v>0</v>
      </c>
      <c r="K2522" s="274"/>
    </row>
    <row r="2523" spans="2:11" ht="13.5" customHeight="1">
      <c r="B2523" s="209" t="s">
        <v>826</v>
      </c>
      <c r="C2523" s="209" t="s">
        <v>2782</v>
      </c>
      <c r="D2523" s="447" t="s">
        <v>134</v>
      </c>
      <c r="E2523" s="273">
        <v>0</v>
      </c>
      <c r="F2523" s="274"/>
      <c r="G2523" s="274">
        <f t="shared" si="9"/>
        <v>0</v>
      </c>
      <c r="H2523" s="274">
        <v>0</v>
      </c>
      <c r="K2523" s="274"/>
    </row>
    <row r="2524" spans="2:11" ht="13.5" customHeight="1">
      <c r="B2524" s="209" t="s">
        <v>826</v>
      </c>
      <c r="C2524" s="209" t="s">
        <v>2782</v>
      </c>
      <c r="D2524" s="448" t="s">
        <v>135</v>
      </c>
      <c r="E2524" s="273">
        <v>0</v>
      </c>
      <c r="F2524" s="274"/>
      <c r="G2524" s="274">
        <f t="shared" si="9"/>
        <v>0</v>
      </c>
      <c r="H2524" s="274">
        <v>0</v>
      </c>
      <c r="K2524" s="274"/>
    </row>
    <row r="2525" spans="2:11" ht="13.5" customHeight="1">
      <c r="B2525" s="209" t="s">
        <v>826</v>
      </c>
      <c r="C2525" s="209" t="s">
        <v>2782</v>
      </c>
      <c r="D2525" s="449" t="s">
        <v>136</v>
      </c>
      <c r="E2525" s="273">
        <v>0</v>
      </c>
      <c r="F2525" s="274"/>
      <c r="G2525" s="274">
        <f t="shared" si="9"/>
        <v>0</v>
      </c>
      <c r="H2525" s="274">
        <v>0</v>
      </c>
      <c r="K2525" s="274"/>
    </row>
    <row r="2526" spans="2:11" ht="13.5" customHeight="1">
      <c r="B2526" s="209" t="s">
        <v>826</v>
      </c>
      <c r="C2526" s="209" t="s">
        <v>2782</v>
      </c>
      <c r="D2526" s="450" t="s">
        <v>137</v>
      </c>
      <c r="E2526" s="273">
        <v>0</v>
      </c>
      <c r="F2526" s="274"/>
      <c r="G2526" s="274">
        <f t="shared" si="9"/>
        <v>0</v>
      </c>
      <c r="H2526" s="274">
        <v>0</v>
      </c>
      <c r="K2526" s="274"/>
    </row>
    <row r="2527" spans="2:11" ht="13.5" customHeight="1">
      <c r="B2527" s="209" t="s">
        <v>826</v>
      </c>
      <c r="C2527" s="209" t="s">
        <v>2782</v>
      </c>
      <c r="D2527" s="451" t="s">
        <v>138</v>
      </c>
      <c r="E2527" s="273">
        <v>0</v>
      </c>
      <c r="F2527" s="274"/>
      <c r="G2527" s="274">
        <f t="shared" si="9"/>
        <v>0</v>
      </c>
      <c r="H2527" s="274">
        <v>0</v>
      </c>
      <c r="K2527" s="274"/>
    </row>
    <row r="2528" spans="2:11" ht="13.5" customHeight="1">
      <c r="B2528" s="209" t="s">
        <v>826</v>
      </c>
      <c r="C2528" s="209" t="s">
        <v>2782</v>
      </c>
      <c r="D2528" s="452" t="s">
        <v>139</v>
      </c>
      <c r="E2528" s="273">
        <v>0</v>
      </c>
      <c r="F2528" s="274"/>
      <c r="G2528" s="274">
        <f t="shared" si="9"/>
        <v>0</v>
      </c>
      <c r="H2528" s="274">
        <v>0</v>
      </c>
      <c r="K2528" s="274"/>
    </row>
    <row r="2529" spans="2:11" ht="13.5" customHeight="1">
      <c r="B2529" s="209" t="s">
        <v>826</v>
      </c>
      <c r="C2529" s="209" t="s">
        <v>2782</v>
      </c>
      <c r="D2529" s="216" t="s">
        <v>140</v>
      </c>
      <c r="E2529" s="273">
        <v>0</v>
      </c>
      <c r="F2529" s="274"/>
      <c r="G2529" s="274">
        <f t="shared" si="9"/>
        <v>0</v>
      </c>
      <c r="H2529" s="274">
        <v>0</v>
      </c>
      <c r="K2529" s="274"/>
    </row>
    <row r="2530" spans="2:11" ht="13.5" customHeight="1">
      <c r="B2530" s="209" t="s">
        <v>826</v>
      </c>
      <c r="C2530" s="209" t="s">
        <v>2782</v>
      </c>
      <c r="D2530" s="453" t="s">
        <v>141</v>
      </c>
      <c r="E2530" s="273">
        <v>0</v>
      </c>
      <c r="F2530" s="274"/>
      <c r="G2530" s="274">
        <f t="shared" si="9"/>
        <v>0</v>
      </c>
      <c r="H2530" s="274">
        <v>0</v>
      </c>
      <c r="K2530" s="274"/>
    </row>
    <row r="2531" spans="2:11" ht="13.5" customHeight="1">
      <c r="B2531" s="209" t="s">
        <v>828</v>
      </c>
      <c r="C2531" s="209" t="s">
        <v>2783</v>
      </c>
      <c r="D2531" s="446" t="s">
        <v>133</v>
      </c>
      <c r="E2531" s="273">
        <v>0</v>
      </c>
      <c r="F2531" s="274"/>
      <c r="G2531" s="274">
        <f t="shared" si="9"/>
        <v>0</v>
      </c>
      <c r="H2531" s="274">
        <v>0</v>
      </c>
      <c r="K2531" s="274"/>
    </row>
    <row r="2532" spans="2:11" ht="13.5" customHeight="1">
      <c r="B2532" s="209" t="s">
        <v>828</v>
      </c>
      <c r="C2532" s="209" t="s">
        <v>2783</v>
      </c>
      <c r="D2532" s="447" t="s">
        <v>134</v>
      </c>
      <c r="E2532" s="273">
        <v>0</v>
      </c>
      <c r="F2532" s="274"/>
      <c r="G2532" s="274">
        <f t="shared" si="9"/>
        <v>0</v>
      </c>
      <c r="H2532" s="274">
        <v>0</v>
      </c>
      <c r="K2532" s="274"/>
    </row>
    <row r="2533" spans="2:11" ht="13.5" customHeight="1">
      <c r="B2533" s="209" t="s">
        <v>828</v>
      </c>
      <c r="C2533" s="209" t="s">
        <v>2783</v>
      </c>
      <c r="D2533" s="448" t="s">
        <v>135</v>
      </c>
      <c r="E2533" s="273">
        <v>0</v>
      </c>
      <c r="F2533" s="274"/>
      <c r="G2533" s="274">
        <f t="shared" si="9"/>
        <v>0</v>
      </c>
      <c r="H2533" s="274">
        <v>0</v>
      </c>
      <c r="K2533" s="274"/>
    </row>
    <row r="2534" spans="2:11" ht="13.5" customHeight="1">
      <c r="B2534" s="209" t="s">
        <v>828</v>
      </c>
      <c r="C2534" s="209" t="s">
        <v>2783</v>
      </c>
      <c r="D2534" s="449" t="s">
        <v>136</v>
      </c>
      <c r="E2534" s="273">
        <v>0</v>
      </c>
      <c r="F2534" s="274"/>
      <c r="G2534" s="274">
        <f t="shared" si="9"/>
        <v>0</v>
      </c>
      <c r="H2534" s="274">
        <v>0</v>
      </c>
      <c r="K2534" s="274"/>
    </row>
    <row r="2535" spans="2:11" ht="13.5" customHeight="1">
      <c r="B2535" s="209" t="s">
        <v>828</v>
      </c>
      <c r="C2535" s="209" t="s">
        <v>2783</v>
      </c>
      <c r="D2535" s="450" t="s">
        <v>137</v>
      </c>
      <c r="E2535" s="273">
        <v>0</v>
      </c>
      <c r="F2535" s="274"/>
      <c r="G2535" s="274">
        <f t="shared" si="9"/>
        <v>0</v>
      </c>
      <c r="H2535" s="274">
        <v>0</v>
      </c>
      <c r="K2535" s="274"/>
    </row>
    <row r="2536" spans="2:11" ht="13.5" customHeight="1">
      <c r="B2536" s="209" t="s">
        <v>828</v>
      </c>
      <c r="C2536" s="209" t="s">
        <v>2783</v>
      </c>
      <c r="D2536" s="451" t="s">
        <v>138</v>
      </c>
      <c r="E2536" s="273">
        <v>0</v>
      </c>
      <c r="F2536" s="274"/>
      <c r="G2536" s="274">
        <f t="shared" si="9"/>
        <v>0</v>
      </c>
      <c r="H2536" s="274">
        <v>0</v>
      </c>
      <c r="K2536" s="274"/>
    </row>
    <row r="2537" spans="2:11" ht="13.5" customHeight="1">
      <c r="B2537" s="209" t="s">
        <v>828</v>
      </c>
      <c r="C2537" s="209" t="s">
        <v>2783</v>
      </c>
      <c r="D2537" s="452" t="s">
        <v>139</v>
      </c>
      <c r="E2537" s="273">
        <v>0</v>
      </c>
      <c r="F2537" s="274"/>
      <c r="G2537" s="274">
        <f t="shared" si="9"/>
        <v>0</v>
      </c>
      <c r="H2537" s="274">
        <v>0</v>
      </c>
      <c r="K2537" s="274"/>
    </row>
    <row r="2538" spans="2:11" ht="13.5" customHeight="1">
      <c r="B2538" s="209" t="s">
        <v>828</v>
      </c>
      <c r="C2538" s="209" t="s">
        <v>2783</v>
      </c>
      <c r="D2538" s="216" t="s">
        <v>140</v>
      </c>
      <c r="E2538" s="273">
        <v>0</v>
      </c>
      <c r="F2538" s="274"/>
      <c r="G2538" s="274">
        <f t="shared" si="9"/>
        <v>0</v>
      </c>
      <c r="H2538" s="274">
        <v>0</v>
      </c>
      <c r="K2538" s="274"/>
    </row>
    <row r="2539" spans="2:11" ht="13.5" customHeight="1">
      <c r="B2539" s="209" t="s">
        <v>828</v>
      </c>
      <c r="C2539" s="209" t="s">
        <v>2783</v>
      </c>
      <c r="D2539" s="453" t="s">
        <v>141</v>
      </c>
      <c r="E2539" s="273">
        <v>0</v>
      </c>
      <c r="F2539" s="274"/>
      <c r="G2539" s="274">
        <f t="shared" si="9"/>
        <v>0</v>
      </c>
      <c r="H2539" s="274">
        <v>0</v>
      </c>
      <c r="K2539" s="274"/>
    </row>
    <row r="2540" spans="2:11" ht="13.5" customHeight="1">
      <c r="B2540" s="209" t="s">
        <v>830</v>
      </c>
      <c r="C2540" s="209" t="s">
        <v>2784</v>
      </c>
      <c r="D2540" s="446" t="s">
        <v>133</v>
      </c>
      <c r="E2540" s="273">
        <v>0</v>
      </c>
      <c r="F2540" s="274"/>
      <c r="G2540" s="274">
        <f t="shared" si="9"/>
        <v>0</v>
      </c>
      <c r="H2540" s="274">
        <v>0</v>
      </c>
      <c r="K2540" s="274"/>
    </row>
    <row r="2541" spans="2:11" ht="13.5" customHeight="1">
      <c r="B2541" s="209" t="s">
        <v>830</v>
      </c>
      <c r="C2541" s="209" t="s">
        <v>2784</v>
      </c>
      <c r="D2541" s="447" t="s">
        <v>134</v>
      </c>
      <c r="E2541" s="273">
        <v>0</v>
      </c>
      <c r="F2541" s="274"/>
      <c r="G2541" s="274">
        <f t="shared" si="9"/>
        <v>0</v>
      </c>
      <c r="H2541" s="274">
        <v>0</v>
      </c>
      <c r="K2541" s="274"/>
    </row>
    <row r="2542" spans="2:11" ht="13.5" customHeight="1">
      <c r="B2542" s="209" t="s">
        <v>830</v>
      </c>
      <c r="C2542" s="209" t="s">
        <v>2784</v>
      </c>
      <c r="D2542" s="448" t="s">
        <v>135</v>
      </c>
      <c r="E2542" s="273">
        <v>0</v>
      </c>
      <c r="F2542" s="274"/>
      <c r="G2542" s="274">
        <f t="shared" si="9"/>
        <v>0</v>
      </c>
      <c r="H2542" s="274">
        <v>0</v>
      </c>
      <c r="K2542" s="274"/>
    </row>
    <row r="2543" spans="2:11" ht="13.5" customHeight="1">
      <c r="B2543" s="209" t="s">
        <v>830</v>
      </c>
      <c r="C2543" s="209" t="s">
        <v>2784</v>
      </c>
      <c r="D2543" s="449" t="s">
        <v>136</v>
      </c>
      <c r="E2543" s="273">
        <v>0</v>
      </c>
      <c r="F2543" s="274"/>
      <c r="G2543" s="274">
        <f t="shared" si="9"/>
        <v>0</v>
      </c>
      <c r="H2543" s="274">
        <v>0</v>
      </c>
      <c r="K2543" s="274"/>
    </row>
    <row r="2544" spans="2:11" ht="13.5" customHeight="1">
      <c r="B2544" s="209" t="s">
        <v>830</v>
      </c>
      <c r="C2544" s="209" t="s">
        <v>2784</v>
      </c>
      <c r="D2544" s="450" t="s">
        <v>137</v>
      </c>
      <c r="E2544" s="273">
        <v>0</v>
      </c>
      <c r="F2544" s="274"/>
      <c r="G2544" s="274">
        <f t="shared" si="9"/>
        <v>0</v>
      </c>
      <c r="H2544" s="274">
        <v>0</v>
      </c>
      <c r="K2544" s="274"/>
    </row>
    <row r="2545" spans="2:11" ht="13.5" customHeight="1">
      <c r="B2545" s="209" t="s">
        <v>830</v>
      </c>
      <c r="C2545" s="209" t="s">
        <v>2784</v>
      </c>
      <c r="D2545" s="451" t="s">
        <v>138</v>
      </c>
      <c r="E2545" s="273">
        <v>0</v>
      </c>
      <c r="F2545" s="274"/>
      <c r="G2545" s="274">
        <f t="shared" si="9"/>
        <v>0</v>
      </c>
      <c r="H2545" s="274">
        <v>0</v>
      </c>
      <c r="K2545" s="274"/>
    </row>
    <row r="2546" spans="2:11" ht="13.5" customHeight="1">
      <c r="B2546" s="209" t="s">
        <v>830</v>
      </c>
      <c r="C2546" s="209" t="s">
        <v>2784</v>
      </c>
      <c r="D2546" s="452" t="s">
        <v>139</v>
      </c>
      <c r="E2546" s="273">
        <v>0</v>
      </c>
      <c r="F2546" s="274"/>
      <c r="G2546" s="274">
        <f t="shared" si="9"/>
        <v>0</v>
      </c>
      <c r="H2546" s="274">
        <v>0</v>
      </c>
      <c r="K2546" s="274"/>
    </row>
    <row r="2547" spans="2:11" ht="13.5" customHeight="1">
      <c r="B2547" s="209" t="s">
        <v>830</v>
      </c>
      <c r="C2547" s="209" t="s">
        <v>2784</v>
      </c>
      <c r="D2547" s="216" t="s">
        <v>140</v>
      </c>
      <c r="E2547" s="273">
        <v>0</v>
      </c>
      <c r="F2547" s="274"/>
      <c r="G2547" s="274">
        <f t="shared" si="9"/>
        <v>0</v>
      </c>
      <c r="H2547" s="274">
        <v>0</v>
      </c>
      <c r="K2547" s="274"/>
    </row>
    <row r="2548" spans="2:11" ht="13.5" customHeight="1">
      <c r="B2548" s="209" t="s">
        <v>830</v>
      </c>
      <c r="C2548" s="209" t="s">
        <v>2784</v>
      </c>
      <c r="D2548" s="453" t="s">
        <v>141</v>
      </c>
      <c r="E2548" s="273">
        <v>0</v>
      </c>
      <c r="F2548" s="274"/>
      <c r="G2548" s="274">
        <f t="shared" si="9"/>
        <v>0</v>
      </c>
      <c r="H2548" s="274">
        <v>0</v>
      </c>
      <c r="K2548" s="274"/>
    </row>
    <row r="2549" spans="2:11" ht="13.5" customHeight="1">
      <c r="B2549" s="209" t="s">
        <v>832</v>
      </c>
      <c r="C2549" s="209" t="s">
        <v>2785</v>
      </c>
      <c r="D2549" s="446" t="s">
        <v>133</v>
      </c>
      <c r="E2549" s="273">
        <v>0</v>
      </c>
      <c r="F2549" s="274"/>
      <c r="G2549" s="274">
        <f t="shared" si="9"/>
        <v>0</v>
      </c>
      <c r="H2549" s="274">
        <v>0</v>
      </c>
      <c r="K2549" s="274"/>
    </row>
    <row r="2550" spans="2:11" ht="13.5" customHeight="1">
      <c r="B2550" s="209" t="s">
        <v>832</v>
      </c>
      <c r="C2550" s="209" t="s">
        <v>2785</v>
      </c>
      <c r="D2550" s="447" t="s">
        <v>134</v>
      </c>
      <c r="E2550" s="273">
        <v>0</v>
      </c>
      <c r="F2550" s="274"/>
      <c r="G2550" s="274">
        <f t="shared" si="9"/>
        <v>0</v>
      </c>
      <c r="H2550" s="274">
        <v>0</v>
      </c>
      <c r="K2550" s="274"/>
    </row>
    <row r="2551" spans="2:11" ht="13.5" customHeight="1">
      <c r="B2551" s="209" t="s">
        <v>832</v>
      </c>
      <c r="C2551" s="209" t="s">
        <v>2785</v>
      </c>
      <c r="D2551" s="448" t="s">
        <v>135</v>
      </c>
      <c r="E2551" s="273">
        <v>0</v>
      </c>
      <c r="F2551" s="274"/>
      <c r="G2551" s="274">
        <f t="shared" si="9"/>
        <v>0</v>
      </c>
      <c r="H2551" s="274">
        <v>0</v>
      </c>
      <c r="K2551" s="274"/>
    </row>
    <row r="2552" spans="2:11" ht="13.5" customHeight="1">
      <c r="B2552" s="209" t="s">
        <v>832</v>
      </c>
      <c r="C2552" s="209" t="s">
        <v>2785</v>
      </c>
      <c r="D2552" s="449" t="s">
        <v>136</v>
      </c>
      <c r="E2552" s="273">
        <v>0</v>
      </c>
      <c r="F2552" s="274"/>
      <c r="G2552" s="274">
        <f t="shared" ref="G2552:G2806" si="10">E2552*F2552</f>
        <v>0</v>
      </c>
      <c r="H2552" s="274">
        <v>0</v>
      </c>
      <c r="K2552" s="274"/>
    </row>
    <row r="2553" spans="2:11" ht="13.5" customHeight="1">
      <c r="B2553" s="209" t="s">
        <v>832</v>
      </c>
      <c r="C2553" s="209" t="s">
        <v>2785</v>
      </c>
      <c r="D2553" s="450" t="s">
        <v>137</v>
      </c>
      <c r="E2553" s="273">
        <v>0</v>
      </c>
      <c r="F2553" s="274"/>
      <c r="G2553" s="274">
        <f t="shared" si="10"/>
        <v>0</v>
      </c>
      <c r="H2553" s="274">
        <v>0</v>
      </c>
      <c r="K2553" s="274"/>
    </row>
    <row r="2554" spans="2:11" ht="13.5" customHeight="1">
      <c r="B2554" s="209" t="s">
        <v>832</v>
      </c>
      <c r="C2554" s="209" t="s">
        <v>2785</v>
      </c>
      <c r="D2554" s="451" t="s">
        <v>138</v>
      </c>
      <c r="E2554" s="273">
        <v>0</v>
      </c>
      <c r="F2554" s="274"/>
      <c r="G2554" s="274">
        <f t="shared" si="10"/>
        <v>0</v>
      </c>
      <c r="H2554" s="274">
        <v>0</v>
      </c>
      <c r="K2554" s="274"/>
    </row>
    <row r="2555" spans="2:11" ht="13.5" customHeight="1">
      <c r="B2555" s="209" t="s">
        <v>832</v>
      </c>
      <c r="C2555" s="209" t="s">
        <v>2785</v>
      </c>
      <c r="D2555" s="452" t="s">
        <v>139</v>
      </c>
      <c r="E2555" s="273">
        <v>0</v>
      </c>
      <c r="F2555" s="274"/>
      <c r="G2555" s="274">
        <f t="shared" si="10"/>
        <v>0</v>
      </c>
      <c r="H2555" s="274">
        <v>0</v>
      </c>
      <c r="K2555" s="274"/>
    </row>
    <row r="2556" spans="2:11" ht="13.5" customHeight="1">
      <c r="B2556" s="209" t="s">
        <v>832</v>
      </c>
      <c r="C2556" s="209" t="s">
        <v>2785</v>
      </c>
      <c r="D2556" s="216" t="s">
        <v>140</v>
      </c>
      <c r="E2556" s="273">
        <v>0</v>
      </c>
      <c r="F2556" s="274"/>
      <c r="G2556" s="274">
        <f t="shared" si="10"/>
        <v>0</v>
      </c>
      <c r="H2556" s="274">
        <v>0</v>
      </c>
      <c r="K2556" s="274"/>
    </row>
    <row r="2557" spans="2:11" ht="13.5" customHeight="1">
      <c r="B2557" s="209" t="s">
        <v>832</v>
      </c>
      <c r="C2557" s="209" t="s">
        <v>2785</v>
      </c>
      <c r="D2557" s="453" t="s">
        <v>141</v>
      </c>
      <c r="E2557" s="273">
        <v>0</v>
      </c>
      <c r="F2557" s="274"/>
      <c r="G2557" s="274">
        <f t="shared" si="10"/>
        <v>0</v>
      </c>
      <c r="H2557" s="274">
        <v>0</v>
      </c>
      <c r="K2557" s="274"/>
    </row>
    <row r="2558" spans="2:11" ht="13.5" customHeight="1">
      <c r="B2558" s="209" t="s">
        <v>789</v>
      </c>
      <c r="C2558" s="209" t="s">
        <v>2802</v>
      </c>
      <c r="D2558" s="446" t="s">
        <v>133</v>
      </c>
      <c r="E2558" s="273">
        <v>0</v>
      </c>
      <c r="F2558" s="274"/>
      <c r="G2558" s="274">
        <f t="shared" si="10"/>
        <v>0</v>
      </c>
      <c r="H2558" s="274">
        <v>0</v>
      </c>
      <c r="K2558" s="274"/>
    </row>
    <row r="2559" spans="2:11" ht="13.5" customHeight="1">
      <c r="B2559" s="209" t="s">
        <v>789</v>
      </c>
      <c r="C2559" s="209" t="s">
        <v>2802</v>
      </c>
      <c r="D2559" s="447" t="s">
        <v>134</v>
      </c>
      <c r="E2559" s="273">
        <v>0</v>
      </c>
      <c r="F2559" s="274"/>
      <c r="G2559" s="274">
        <f t="shared" si="10"/>
        <v>0</v>
      </c>
      <c r="H2559" s="274">
        <v>0</v>
      </c>
      <c r="K2559" s="274"/>
    </row>
    <row r="2560" spans="2:11" ht="13.5" customHeight="1">
      <c r="B2560" s="209" t="s">
        <v>789</v>
      </c>
      <c r="C2560" s="209" t="s">
        <v>2802</v>
      </c>
      <c r="D2560" s="448" t="s">
        <v>135</v>
      </c>
      <c r="E2560" s="273">
        <v>0</v>
      </c>
      <c r="F2560" s="274"/>
      <c r="G2560" s="274">
        <f t="shared" si="10"/>
        <v>0</v>
      </c>
      <c r="H2560" s="274">
        <v>0</v>
      </c>
      <c r="K2560" s="274"/>
    </row>
    <row r="2561" spans="2:11" ht="13.5" customHeight="1">
      <c r="B2561" s="209" t="s">
        <v>789</v>
      </c>
      <c r="C2561" s="209" t="s">
        <v>2802</v>
      </c>
      <c r="D2561" s="449" t="s">
        <v>136</v>
      </c>
      <c r="E2561" s="273">
        <v>0</v>
      </c>
      <c r="F2561" s="274"/>
      <c r="G2561" s="274">
        <f t="shared" si="10"/>
        <v>0</v>
      </c>
      <c r="H2561" s="274">
        <v>0</v>
      </c>
      <c r="K2561" s="274"/>
    </row>
    <row r="2562" spans="2:11" ht="13.5" customHeight="1">
      <c r="B2562" s="209" t="s">
        <v>789</v>
      </c>
      <c r="C2562" s="209" t="s">
        <v>2802</v>
      </c>
      <c r="D2562" s="450" t="s">
        <v>137</v>
      </c>
      <c r="E2562" s="273">
        <v>0</v>
      </c>
      <c r="F2562" s="274"/>
      <c r="G2562" s="274">
        <f t="shared" si="10"/>
        <v>0</v>
      </c>
      <c r="H2562" s="274">
        <v>0</v>
      </c>
      <c r="K2562" s="274"/>
    </row>
    <row r="2563" spans="2:11" ht="13.5" customHeight="1">
      <c r="B2563" s="209" t="s">
        <v>789</v>
      </c>
      <c r="C2563" s="209" t="s">
        <v>2802</v>
      </c>
      <c r="D2563" s="451" t="s">
        <v>138</v>
      </c>
      <c r="E2563" s="273">
        <v>0</v>
      </c>
      <c r="F2563" s="274"/>
      <c r="G2563" s="274">
        <f t="shared" si="10"/>
        <v>0</v>
      </c>
      <c r="H2563" s="274">
        <v>0</v>
      </c>
      <c r="K2563" s="274"/>
    </row>
    <row r="2564" spans="2:11" ht="13.5" customHeight="1">
      <c r="B2564" s="209" t="s">
        <v>789</v>
      </c>
      <c r="C2564" s="209" t="s">
        <v>2802</v>
      </c>
      <c r="D2564" s="452" t="s">
        <v>139</v>
      </c>
      <c r="E2564" s="273">
        <v>0</v>
      </c>
      <c r="F2564" s="274"/>
      <c r="G2564" s="274">
        <f t="shared" si="10"/>
        <v>0</v>
      </c>
      <c r="H2564" s="274">
        <v>0</v>
      </c>
      <c r="K2564" s="274"/>
    </row>
    <row r="2565" spans="2:11" ht="13.5" customHeight="1">
      <c r="B2565" s="209" t="s">
        <v>789</v>
      </c>
      <c r="C2565" s="209" t="s">
        <v>2802</v>
      </c>
      <c r="D2565" s="216" t="s">
        <v>140</v>
      </c>
      <c r="E2565" s="273">
        <v>0</v>
      </c>
      <c r="F2565" s="274"/>
      <c r="G2565" s="274">
        <f t="shared" si="10"/>
        <v>0</v>
      </c>
      <c r="H2565" s="274">
        <v>0</v>
      </c>
      <c r="K2565" s="274"/>
    </row>
    <row r="2566" spans="2:11" ht="13.5" customHeight="1">
      <c r="B2566" s="209" t="s">
        <v>789</v>
      </c>
      <c r="C2566" s="209" t="s">
        <v>2802</v>
      </c>
      <c r="D2566" s="453" t="s">
        <v>141</v>
      </c>
      <c r="E2566" s="273">
        <v>0</v>
      </c>
      <c r="F2566" s="274"/>
      <c r="G2566" s="274">
        <f t="shared" si="10"/>
        <v>0</v>
      </c>
      <c r="H2566" s="274">
        <v>0</v>
      </c>
      <c r="K2566" s="274"/>
    </row>
    <row r="2567" spans="2:11" ht="13.5" customHeight="1">
      <c r="B2567" s="209" t="s">
        <v>760</v>
      </c>
      <c r="C2567" s="209" t="s">
        <v>2803</v>
      </c>
      <c r="D2567" s="446" t="s">
        <v>133</v>
      </c>
      <c r="E2567" s="273">
        <v>0</v>
      </c>
      <c r="F2567" s="274"/>
      <c r="G2567" s="274">
        <f t="shared" si="10"/>
        <v>0</v>
      </c>
      <c r="H2567" s="274">
        <v>0</v>
      </c>
      <c r="K2567" s="274"/>
    </row>
    <row r="2568" spans="2:11" ht="13.5" customHeight="1">
      <c r="B2568" s="209" t="s">
        <v>760</v>
      </c>
      <c r="C2568" s="209" t="s">
        <v>2803</v>
      </c>
      <c r="D2568" s="447" t="s">
        <v>134</v>
      </c>
      <c r="E2568" s="273">
        <v>0</v>
      </c>
      <c r="F2568" s="274"/>
      <c r="G2568" s="274">
        <f t="shared" si="10"/>
        <v>0</v>
      </c>
      <c r="H2568" s="274">
        <v>0</v>
      </c>
      <c r="K2568" s="274"/>
    </row>
    <row r="2569" spans="2:11" ht="13.5" customHeight="1">
      <c r="B2569" s="209" t="s">
        <v>760</v>
      </c>
      <c r="C2569" s="209" t="s">
        <v>2803</v>
      </c>
      <c r="D2569" s="448" t="s">
        <v>135</v>
      </c>
      <c r="E2569" s="273">
        <v>0</v>
      </c>
      <c r="F2569" s="274"/>
      <c r="G2569" s="274">
        <f t="shared" si="10"/>
        <v>0</v>
      </c>
      <c r="H2569" s="274">
        <v>0</v>
      </c>
      <c r="K2569" s="274"/>
    </row>
    <row r="2570" spans="2:11" ht="13.5" customHeight="1">
      <c r="B2570" s="209" t="s">
        <v>760</v>
      </c>
      <c r="C2570" s="209" t="s">
        <v>2803</v>
      </c>
      <c r="D2570" s="449" t="s">
        <v>136</v>
      </c>
      <c r="E2570" s="273">
        <v>0</v>
      </c>
      <c r="F2570" s="274"/>
      <c r="G2570" s="274">
        <f t="shared" si="10"/>
        <v>0</v>
      </c>
      <c r="H2570" s="274">
        <v>0</v>
      </c>
      <c r="K2570" s="274"/>
    </row>
    <row r="2571" spans="2:11" ht="13.5" customHeight="1">
      <c r="B2571" s="209" t="s">
        <v>760</v>
      </c>
      <c r="C2571" s="209" t="s">
        <v>2803</v>
      </c>
      <c r="D2571" s="450" t="s">
        <v>137</v>
      </c>
      <c r="E2571" s="273">
        <v>0</v>
      </c>
      <c r="F2571" s="274"/>
      <c r="G2571" s="274">
        <f t="shared" si="10"/>
        <v>0</v>
      </c>
      <c r="H2571" s="274">
        <v>0</v>
      </c>
      <c r="K2571" s="274"/>
    </row>
    <row r="2572" spans="2:11" ht="13.5" customHeight="1">
      <c r="B2572" s="209" t="s">
        <v>760</v>
      </c>
      <c r="C2572" s="209" t="s">
        <v>2803</v>
      </c>
      <c r="D2572" s="451" t="s">
        <v>138</v>
      </c>
      <c r="E2572" s="273">
        <v>0</v>
      </c>
      <c r="F2572" s="274"/>
      <c r="G2572" s="274">
        <f t="shared" si="10"/>
        <v>0</v>
      </c>
      <c r="H2572" s="274">
        <v>0</v>
      </c>
      <c r="K2572" s="274"/>
    </row>
    <row r="2573" spans="2:11" ht="13.5" customHeight="1">
      <c r="B2573" s="209" t="s">
        <v>760</v>
      </c>
      <c r="C2573" s="209" t="s">
        <v>2803</v>
      </c>
      <c r="D2573" s="452" t="s">
        <v>139</v>
      </c>
      <c r="E2573" s="273">
        <v>0</v>
      </c>
      <c r="F2573" s="274"/>
      <c r="G2573" s="274">
        <f t="shared" si="10"/>
        <v>0</v>
      </c>
      <c r="H2573" s="274">
        <v>0</v>
      </c>
      <c r="K2573" s="274"/>
    </row>
    <row r="2574" spans="2:11" ht="13.5" customHeight="1">
      <c r="B2574" s="209" t="s">
        <v>760</v>
      </c>
      <c r="C2574" s="209" t="s">
        <v>2803</v>
      </c>
      <c r="D2574" s="216" t="s">
        <v>140</v>
      </c>
      <c r="E2574" s="273">
        <v>0</v>
      </c>
      <c r="F2574" s="274"/>
      <c r="G2574" s="274">
        <f t="shared" si="10"/>
        <v>0</v>
      </c>
      <c r="H2574" s="274">
        <v>0</v>
      </c>
      <c r="K2574" s="274"/>
    </row>
    <row r="2575" spans="2:11" ht="13.5" customHeight="1">
      <c r="B2575" s="209" t="s">
        <v>760</v>
      </c>
      <c r="C2575" s="209" t="s">
        <v>2803</v>
      </c>
      <c r="D2575" s="453" t="s">
        <v>141</v>
      </c>
      <c r="E2575" s="273">
        <v>0</v>
      </c>
      <c r="F2575" s="274"/>
      <c r="G2575" s="274">
        <f t="shared" si="10"/>
        <v>0</v>
      </c>
      <c r="H2575" s="274">
        <v>0</v>
      </c>
      <c r="K2575" s="274"/>
    </row>
    <row r="2576" spans="2:11" ht="13.5" customHeight="1">
      <c r="B2576" s="209" t="s">
        <v>762</v>
      </c>
      <c r="C2576" s="209" t="s">
        <v>2804</v>
      </c>
      <c r="D2576" s="446" t="s">
        <v>133</v>
      </c>
      <c r="E2576" s="273">
        <v>0</v>
      </c>
      <c r="F2576" s="274"/>
      <c r="G2576" s="274">
        <f t="shared" si="10"/>
        <v>0</v>
      </c>
      <c r="H2576" s="274">
        <v>0</v>
      </c>
      <c r="K2576" s="274"/>
    </row>
    <row r="2577" spans="2:11" ht="13.5" customHeight="1">
      <c r="B2577" s="209" t="s">
        <v>762</v>
      </c>
      <c r="C2577" s="209" t="s">
        <v>2804</v>
      </c>
      <c r="D2577" s="447" t="s">
        <v>134</v>
      </c>
      <c r="E2577" s="273">
        <v>0</v>
      </c>
      <c r="F2577" s="274"/>
      <c r="G2577" s="274">
        <f t="shared" si="10"/>
        <v>0</v>
      </c>
      <c r="H2577" s="274">
        <v>0</v>
      </c>
      <c r="K2577" s="274"/>
    </row>
    <row r="2578" spans="2:11" ht="13.5" customHeight="1">
      <c r="B2578" s="209" t="s">
        <v>762</v>
      </c>
      <c r="C2578" s="209" t="s">
        <v>2804</v>
      </c>
      <c r="D2578" s="448" t="s">
        <v>135</v>
      </c>
      <c r="E2578" s="273">
        <v>0</v>
      </c>
      <c r="F2578" s="274"/>
      <c r="G2578" s="274">
        <f t="shared" si="10"/>
        <v>0</v>
      </c>
      <c r="H2578" s="274">
        <v>0</v>
      </c>
      <c r="K2578" s="274"/>
    </row>
    <row r="2579" spans="2:11" ht="13.5" customHeight="1">
      <c r="B2579" s="209" t="s">
        <v>762</v>
      </c>
      <c r="C2579" s="209" t="s">
        <v>2804</v>
      </c>
      <c r="D2579" s="449" t="s">
        <v>136</v>
      </c>
      <c r="E2579" s="273">
        <v>0</v>
      </c>
      <c r="F2579" s="274"/>
      <c r="G2579" s="274">
        <f t="shared" si="10"/>
        <v>0</v>
      </c>
      <c r="H2579" s="274">
        <v>0</v>
      </c>
      <c r="K2579" s="274"/>
    </row>
    <row r="2580" spans="2:11" ht="13.5" customHeight="1">
      <c r="B2580" s="209" t="s">
        <v>762</v>
      </c>
      <c r="C2580" s="209" t="s">
        <v>2804</v>
      </c>
      <c r="D2580" s="450" t="s">
        <v>137</v>
      </c>
      <c r="E2580" s="273">
        <v>0</v>
      </c>
      <c r="F2580" s="274"/>
      <c r="G2580" s="274">
        <f t="shared" si="10"/>
        <v>0</v>
      </c>
      <c r="H2580" s="274">
        <v>0</v>
      </c>
      <c r="K2580" s="274"/>
    </row>
    <row r="2581" spans="2:11" ht="13.5" customHeight="1">
      <c r="B2581" s="209" t="s">
        <v>762</v>
      </c>
      <c r="C2581" s="209" t="s">
        <v>2804</v>
      </c>
      <c r="D2581" s="451" t="s">
        <v>138</v>
      </c>
      <c r="E2581" s="273">
        <v>0</v>
      </c>
      <c r="F2581" s="274"/>
      <c r="G2581" s="274">
        <f t="shared" si="10"/>
        <v>0</v>
      </c>
      <c r="H2581" s="274">
        <v>0</v>
      </c>
      <c r="K2581" s="274"/>
    </row>
    <row r="2582" spans="2:11" ht="13.5" customHeight="1">
      <c r="B2582" s="209" t="s">
        <v>762</v>
      </c>
      <c r="C2582" s="209" t="s">
        <v>2804</v>
      </c>
      <c r="D2582" s="452" t="s">
        <v>139</v>
      </c>
      <c r="E2582" s="273">
        <v>0</v>
      </c>
      <c r="F2582" s="274"/>
      <c r="G2582" s="274">
        <f t="shared" si="10"/>
        <v>0</v>
      </c>
      <c r="H2582" s="274">
        <v>0</v>
      </c>
      <c r="K2582" s="274"/>
    </row>
    <row r="2583" spans="2:11" ht="13.5" customHeight="1">
      <c r="B2583" s="209" t="s">
        <v>762</v>
      </c>
      <c r="C2583" s="209" t="s">
        <v>2804</v>
      </c>
      <c r="D2583" s="216" t="s">
        <v>140</v>
      </c>
      <c r="E2583" s="273">
        <v>0</v>
      </c>
      <c r="F2583" s="274"/>
      <c r="G2583" s="274">
        <f t="shared" si="10"/>
        <v>0</v>
      </c>
      <c r="H2583" s="274">
        <v>0</v>
      </c>
      <c r="K2583" s="274"/>
    </row>
    <row r="2584" spans="2:11" ht="13.5" customHeight="1">
      <c r="B2584" s="209" t="s">
        <v>762</v>
      </c>
      <c r="C2584" s="209" t="s">
        <v>2804</v>
      </c>
      <c r="D2584" s="453" t="s">
        <v>141</v>
      </c>
      <c r="E2584" s="273">
        <v>0</v>
      </c>
      <c r="F2584" s="274"/>
      <c r="G2584" s="274">
        <f t="shared" si="10"/>
        <v>0</v>
      </c>
      <c r="H2584" s="274">
        <v>0</v>
      </c>
      <c r="K2584" s="274"/>
    </row>
    <row r="2585" spans="2:11" ht="13.5" customHeight="1">
      <c r="B2585" s="209" t="s">
        <v>764</v>
      </c>
      <c r="C2585" s="209" t="s">
        <v>2805</v>
      </c>
      <c r="D2585" s="446" t="s">
        <v>133</v>
      </c>
      <c r="E2585" s="273">
        <v>0</v>
      </c>
      <c r="F2585" s="274"/>
      <c r="G2585" s="274">
        <f t="shared" si="10"/>
        <v>0</v>
      </c>
      <c r="H2585" s="274">
        <v>0</v>
      </c>
      <c r="K2585" s="274"/>
    </row>
    <row r="2586" spans="2:11" ht="13.5" customHeight="1">
      <c r="B2586" s="209" t="s">
        <v>764</v>
      </c>
      <c r="C2586" s="209" t="s">
        <v>2805</v>
      </c>
      <c r="D2586" s="447" t="s">
        <v>134</v>
      </c>
      <c r="E2586" s="273">
        <v>0</v>
      </c>
      <c r="F2586" s="274"/>
      <c r="G2586" s="274">
        <f t="shared" si="10"/>
        <v>0</v>
      </c>
      <c r="H2586" s="274">
        <v>0</v>
      </c>
      <c r="K2586" s="274"/>
    </row>
    <row r="2587" spans="2:11" ht="13.5" customHeight="1">
      <c r="B2587" s="209" t="s">
        <v>764</v>
      </c>
      <c r="C2587" s="209" t="s">
        <v>2805</v>
      </c>
      <c r="D2587" s="448" t="s">
        <v>135</v>
      </c>
      <c r="E2587" s="273">
        <v>0</v>
      </c>
      <c r="F2587" s="274"/>
      <c r="G2587" s="274">
        <f t="shared" si="10"/>
        <v>0</v>
      </c>
      <c r="H2587" s="274">
        <v>0</v>
      </c>
      <c r="K2587" s="274"/>
    </row>
    <row r="2588" spans="2:11" ht="13.5" customHeight="1">
      <c r="B2588" s="209" t="s">
        <v>764</v>
      </c>
      <c r="C2588" s="209" t="s">
        <v>2805</v>
      </c>
      <c r="D2588" s="449" t="s">
        <v>136</v>
      </c>
      <c r="E2588" s="273">
        <v>0</v>
      </c>
      <c r="F2588" s="274"/>
      <c r="G2588" s="274">
        <f t="shared" si="10"/>
        <v>0</v>
      </c>
      <c r="H2588" s="274">
        <v>0</v>
      </c>
      <c r="K2588" s="274"/>
    </row>
    <row r="2589" spans="2:11" ht="13.5" customHeight="1">
      <c r="B2589" s="209" t="s">
        <v>764</v>
      </c>
      <c r="C2589" s="209" t="s">
        <v>2805</v>
      </c>
      <c r="D2589" s="450" t="s">
        <v>137</v>
      </c>
      <c r="E2589" s="273">
        <v>0</v>
      </c>
      <c r="F2589" s="274"/>
      <c r="G2589" s="274">
        <f t="shared" si="10"/>
        <v>0</v>
      </c>
      <c r="H2589" s="274">
        <v>0</v>
      </c>
      <c r="K2589" s="274"/>
    </row>
    <row r="2590" spans="2:11" ht="13.5" customHeight="1">
      <c r="B2590" s="209" t="s">
        <v>764</v>
      </c>
      <c r="C2590" s="209" t="s">
        <v>2805</v>
      </c>
      <c r="D2590" s="451" t="s">
        <v>138</v>
      </c>
      <c r="E2590" s="273">
        <v>0</v>
      </c>
      <c r="F2590" s="274"/>
      <c r="G2590" s="274">
        <f t="shared" si="10"/>
        <v>0</v>
      </c>
      <c r="H2590" s="274">
        <v>0</v>
      </c>
      <c r="K2590" s="274"/>
    </row>
    <row r="2591" spans="2:11" ht="13.5" customHeight="1">
      <c r="B2591" s="209" t="s">
        <v>764</v>
      </c>
      <c r="C2591" s="209" t="s">
        <v>2805</v>
      </c>
      <c r="D2591" s="452" t="s">
        <v>139</v>
      </c>
      <c r="E2591" s="273">
        <v>0</v>
      </c>
      <c r="F2591" s="274"/>
      <c r="G2591" s="274">
        <f t="shared" si="10"/>
        <v>0</v>
      </c>
      <c r="H2591" s="274">
        <v>0</v>
      </c>
      <c r="K2591" s="274"/>
    </row>
    <row r="2592" spans="2:11" ht="13.5" customHeight="1">
      <c r="B2592" s="209" t="s">
        <v>764</v>
      </c>
      <c r="C2592" s="209" t="s">
        <v>2805</v>
      </c>
      <c r="D2592" s="216" t="s">
        <v>140</v>
      </c>
      <c r="E2592" s="273">
        <v>0</v>
      </c>
      <c r="F2592" s="274"/>
      <c r="G2592" s="274">
        <f t="shared" si="10"/>
        <v>0</v>
      </c>
      <c r="H2592" s="274">
        <v>0</v>
      </c>
      <c r="K2592" s="274"/>
    </row>
    <row r="2593" spans="2:11" ht="13.5" customHeight="1">
      <c r="B2593" s="209" t="s">
        <v>764</v>
      </c>
      <c r="C2593" s="209" t="s">
        <v>2805</v>
      </c>
      <c r="D2593" s="453" t="s">
        <v>141</v>
      </c>
      <c r="E2593" s="273">
        <v>0</v>
      </c>
      <c r="F2593" s="274"/>
      <c r="G2593" s="274">
        <f t="shared" si="10"/>
        <v>0</v>
      </c>
      <c r="H2593" s="274">
        <v>0</v>
      </c>
      <c r="K2593" s="274"/>
    </row>
    <row r="2594" spans="2:11" ht="13.5" customHeight="1">
      <c r="B2594" s="209" t="s">
        <v>766</v>
      </c>
      <c r="C2594" s="209" t="s">
        <v>2806</v>
      </c>
      <c r="D2594" s="446" t="s">
        <v>133</v>
      </c>
      <c r="E2594" s="273">
        <v>0</v>
      </c>
      <c r="F2594" s="274"/>
      <c r="G2594" s="274">
        <f t="shared" si="10"/>
        <v>0</v>
      </c>
      <c r="H2594" s="274">
        <v>0</v>
      </c>
      <c r="K2594" s="274"/>
    </row>
    <row r="2595" spans="2:11" ht="13.5" customHeight="1">
      <c r="B2595" s="209" t="s">
        <v>766</v>
      </c>
      <c r="C2595" s="209" t="s">
        <v>2806</v>
      </c>
      <c r="D2595" s="447" t="s">
        <v>134</v>
      </c>
      <c r="E2595" s="273">
        <v>0</v>
      </c>
      <c r="F2595" s="274"/>
      <c r="G2595" s="274">
        <f t="shared" si="10"/>
        <v>0</v>
      </c>
      <c r="H2595" s="274">
        <v>0</v>
      </c>
      <c r="K2595" s="274"/>
    </row>
    <row r="2596" spans="2:11" ht="13.5" customHeight="1">
      <c r="B2596" s="209" t="s">
        <v>766</v>
      </c>
      <c r="C2596" s="209" t="s">
        <v>2806</v>
      </c>
      <c r="D2596" s="448" t="s">
        <v>135</v>
      </c>
      <c r="E2596" s="273">
        <v>0</v>
      </c>
      <c r="F2596" s="274"/>
      <c r="G2596" s="274">
        <f t="shared" si="10"/>
        <v>0</v>
      </c>
      <c r="H2596" s="274">
        <v>0</v>
      </c>
      <c r="K2596" s="274"/>
    </row>
    <row r="2597" spans="2:11" ht="13.5" customHeight="1">
      <c r="B2597" s="209" t="s">
        <v>766</v>
      </c>
      <c r="C2597" s="209" t="s">
        <v>2806</v>
      </c>
      <c r="D2597" s="449" t="s">
        <v>136</v>
      </c>
      <c r="E2597" s="273">
        <v>0</v>
      </c>
      <c r="F2597" s="274"/>
      <c r="G2597" s="274">
        <f t="shared" si="10"/>
        <v>0</v>
      </c>
      <c r="H2597" s="274">
        <v>0</v>
      </c>
      <c r="K2597" s="274"/>
    </row>
    <row r="2598" spans="2:11" ht="13.5" customHeight="1">
      <c r="B2598" s="209" t="s">
        <v>766</v>
      </c>
      <c r="C2598" s="209" t="s">
        <v>2806</v>
      </c>
      <c r="D2598" s="450" t="s">
        <v>137</v>
      </c>
      <c r="E2598" s="273">
        <v>0</v>
      </c>
      <c r="F2598" s="274"/>
      <c r="G2598" s="274">
        <f t="shared" si="10"/>
        <v>0</v>
      </c>
      <c r="H2598" s="274">
        <v>0</v>
      </c>
      <c r="K2598" s="274"/>
    </row>
    <row r="2599" spans="2:11" ht="13.5" customHeight="1">
      <c r="B2599" s="209" t="s">
        <v>766</v>
      </c>
      <c r="C2599" s="209" t="s">
        <v>2806</v>
      </c>
      <c r="D2599" s="451" t="s">
        <v>138</v>
      </c>
      <c r="E2599" s="273">
        <v>0</v>
      </c>
      <c r="F2599" s="274"/>
      <c r="G2599" s="274">
        <f t="shared" si="10"/>
        <v>0</v>
      </c>
      <c r="H2599" s="274">
        <v>0</v>
      </c>
      <c r="K2599" s="274"/>
    </row>
    <row r="2600" spans="2:11" ht="13.5" customHeight="1">
      <c r="B2600" s="209" t="s">
        <v>766</v>
      </c>
      <c r="C2600" s="209" t="s">
        <v>2806</v>
      </c>
      <c r="D2600" s="452" t="s">
        <v>139</v>
      </c>
      <c r="E2600" s="273">
        <v>0</v>
      </c>
      <c r="F2600" s="274"/>
      <c r="G2600" s="274">
        <f t="shared" si="10"/>
        <v>0</v>
      </c>
      <c r="H2600" s="274">
        <v>0</v>
      </c>
      <c r="K2600" s="274"/>
    </row>
    <row r="2601" spans="2:11" ht="13.5" customHeight="1">
      <c r="B2601" s="209" t="s">
        <v>766</v>
      </c>
      <c r="C2601" s="209" t="s">
        <v>2806</v>
      </c>
      <c r="D2601" s="216" t="s">
        <v>140</v>
      </c>
      <c r="E2601" s="273">
        <v>0</v>
      </c>
      <c r="F2601" s="274"/>
      <c r="G2601" s="274">
        <f t="shared" si="10"/>
        <v>0</v>
      </c>
      <c r="H2601" s="274">
        <v>0</v>
      </c>
      <c r="K2601" s="274"/>
    </row>
    <row r="2602" spans="2:11" ht="13.5" customHeight="1">
      <c r="B2602" s="209" t="s">
        <v>766</v>
      </c>
      <c r="C2602" s="209" t="s">
        <v>2806</v>
      </c>
      <c r="D2602" s="453" t="s">
        <v>141</v>
      </c>
      <c r="E2602" s="273">
        <v>0</v>
      </c>
      <c r="F2602" s="274"/>
      <c r="G2602" s="274">
        <f t="shared" si="10"/>
        <v>0</v>
      </c>
      <c r="H2602" s="274">
        <v>0</v>
      </c>
      <c r="K2602" s="274"/>
    </row>
    <row r="2603" spans="2:11" ht="13.5" customHeight="1">
      <c r="B2603" s="209" t="s">
        <v>783</v>
      </c>
      <c r="C2603" s="209" t="s">
        <v>2807</v>
      </c>
      <c r="D2603" s="446" t="s">
        <v>133</v>
      </c>
      <c r="E2603" s="273">
        <v>0</v>
      </c>
      <c r="F2603" s="274"/>
      <c r="G2603" s="274">
        <f t="shared" si="10"/>
        <v>0</v>
      </c>
      <c r="H2603" s="274">
        <v>0</v>
      </c>
      <c r="K2603" s="274"/>
    </row>
    <row r="2604" spans="2:11" ht="13.5" customHeight="1">
      <c r="B2604" s="209" t="s">
        <v>783</v>
      </c>
      <c r="C2604" s="209" t="s">
        <v>2807</v>
      </c>
      <c r="D2604" s="447" t="s">
        <v>134</v>
      </c>
      <c r="E2604" s="273">
        <v>0</v>
      </c>
      <c r="F2604" s="274"/>
      <c r="G2604" s="274">
        <f t="shared" si="10"/>
        <v>0</v>
      </c>
      <c r="H2604" s="274">
        <v>0</v>
      </c>
      <c r="K2604" s="274"/>
    </row>
    <row r="2605" spans="2:11" ht="13.5" customHeight="1">
      <c r="B2605" s="209" t="s">
        <v>783</v>
      </c>
      <c r="C2605" s="209" t="s">
        <v>2807</v>
      </c>
      <c r="D2605" s="448" t="s">
        <v>135</v>
      </c>
      <c r="E2605" s="273">
        <v>0</v>
      </c>
      <c r="F2605" s="274"/>
      <c r="G2605" s="274">
        <f t="shared" si="10"/>
        <v>0</v>
      </c>
      <c r="H2605" s="274">
        <v>0</v>
      </c>
      <c r="K2605" s="274"/>
    </row>
    <row r="2606" spans="2:11" ht="13.5" customHeight="1">
      <c r="B2606" s="209" t="s">
        <v>783</v>
      </c>
      <c r="C2606" s="209" t="s">
        <v>2807</v>
      </c>
      <c r="D2606" s="449" t="s">
        <v>136</v>
      </c>
      <c r="E2606" s="273">
        <v>0</v>
      </c>
      <c r="F2606" s="274"/>
      <c r="G2606" s="274">
        <f t="shared" si="10"/>
        <v>0</v>
      </c>
      <c r="H2606" s="274">
        <v>0</v>
      </c>
      <c r="K2606" s="274"/>
    </row>
    <row r="2607" spans="2:11" ht="13.5" customHeight="1">
      <c r="B2607" s="209" t="s">
        <v>783</v>
      </c>
      <c r="C2607" s="209" t="s">
        <v>2807</v>
      </c>
      <c r="D2607" s="450" t="s">
        <v>137</v>
      </c>
      <c r="E2607" s="273">
        <v>0</v>
      </c>
      <c r="F2607" s="274"/>
      <c r="G2607" s="274">
        <f t="shared" si="10"/>
        <v>0</v>
      </c>
      <c r="H2607" s="274">
        <v>0</v>
      </c>
      <c r="K2607" s="274"/>
    </row>
    <row r="2608" spans="2:11" ht="13.5" customHeight="1">
      <c r="B2608" s="209" t="s">
        <v>783</v>
      </c>
      <c r="C2608" s="209" t="s">
        <v>2807</v>
      </c>
      <c r="D2608" s="451" t="s">
        <v>138</v>
      </c>
      <c r="E2608" s="273">
        <v>0</v>
      </c>
      <c r="F2608" s="274"/>
      <c r="G2608" s="274">
        <f t="shared" si="10"/>
        <v>0</v>
      </c>
      <c r="H2608" s="274">
        <v>0</v>
      </c>
      <c r="K2608" s="274"/>
    </row>
    <row r="2609" spans="2:11" ht="13.5" customHeight="1">
      <c r="B2609" s="209" t="s">
        <v>783</v>
      </c>
      <c r="C2609" s="209" t="s">
        <v>2807</v>
      </c>
      <c r="D2609" s="452" t="s">
        <v>139</v>
      </c>
      <c r="E2609" s="273">
        <v>0</v>
      </c>
      <c r="F2609" s="274"/>
      <c r="G2609" s="274">
        <f t="shared" si="10"/>
        <v>0</v>
      </c>
      <c r="H2609" s="274">
        <v>0</v>
      </c>
      <c r="K2609" s="274"/>
    </row>
    <row r="2610" spans="2:11" ht="13.5" customHeight="1">
      <c r="B2610" s="209" t="s">
        <v>783</v>
      </c>
      <c r="C2610" s="209" t="s">
        <v>2807</v>
      </c>
      <c r="D2610" s="216" t="s">
        <v>140</v>
      </c>
      <c r="E2610" s="273">
        <v>0</v>
      </c>
      <c r="F2610" s="274"/>
      <c r="G2610" s="274">
        <f t="shared" si="10"/>
        <v>0</v>
      </c>
      <c r="H2610" s="274">
        <v>0</v>
      </c>
      <c r="K2610" s="274"/>
    </row>
    <row r="2611" spans="2:11" ht="13.5" customHeight="1">
      <c r="B2611" s="209" t="s">
        <v>783</v>
      </c>
      <c r="C2611" s="209" t="s">
        <v>2807</v>
      </c>
      <c r="D2611" s="453" t="s">
        <v>141</v>
      </c>
      <c r="E2611" s="273">
        <v>0</v>
      </c>
      <c r="F2611" s="274"/>
      <c r="G2611" s="274">
        <f t="shared" si="10"/>
        <v>0</v>
      </c>
      <c r="H2611" s="274">
        <v>0</v>
      </c>
      <c r="K2611" s="274"/>
    </row>
    <row r="2612" spans="2:11" ht="13.5" customHeight="1">
      <c r="B2612" s="209" t="s">
        <v>777</v>
      </c>
      <c r="C2612" s="209" t="s">
        <v>2808</v>
      </c>
      <c r="D2612" s="446" t="s">
        <v>133</v>
      </c>
      <c r="E2612" s="273">
        <v>0</v>
      </c>
      <c r="F2612" s="274"/>
      <c r="G2612" s="274">
        <f t="shared" si="10"/>
        <v>0</v>
      </c>
      <c r="H2612" s="274">
        <v>0</v>
      </c>
      <c r="K2612" s="274"/>
    </row>
    <row r="2613" spans="2:11" ht="13.5" customHeight="1">
      <c r="B2613" s="209" t="s">
        <v>777</v>
      </c>
      <c r="C2613" s="209" t="s">
        <v>2808</v>
      </c>
      <c r="D2613" s="447" t="s">
        <v>134</v>
      </c>
      <c r="E2613" s="273">
        <v>0</v>
      </c>
      <c r="F2613" s="274"/>
      <c r="G2613" s="274">
        <f t="shared" si="10"/>
        <v>0</v>
      </c>
      <c r="H2613" s="274">
        <v>0</v>
      </c>
      <c r="K2613" s="274"/>
    </row>
    <row r="2614" spans="2:11" ht="13.5" customHeight="1">
      <c r="B2614" s="209" t="s">
        <v>777</v>
      </c>
      <c r="C2614" s="209" t="s">
        <v>2808</v>
      </c>
      <c r="D2614" s="448" t="s">
        <v>135</v>
      </c>
      <c r="E2614" s="273">
        <v>0</v>
      </c>
      <c r="F2614" s="274"/>
      <c r="G2614" s="274">
        <f t="shared" si="10"/>
        <v>0</v>
      </c>
      <c r="H2614" s="274">
        <v>0</v>
      </c>
      <c r="K2614" s="274"/>
    </row>
    <row r="2615" spans="2:11" ht="13.5" customHeight="1">
      <c r="B2615" s="209" t="s">
        <v>777</v>
      </c>
      <c r="C2615" s="209" t="s">
        <v>2808</v>
      </c>
      <c r="D2615" s="449" t="s">
        <v>136</v>
      </c>
      <c r="E2615" s="273">
        <v>0</v>
      </c>
      <c r="F2615" s="274"/>
      <c r="G2615" s="274">
        <f t="shared" si="10"/>
        <v>0</v>
      </c>
      <c r="H2615" s="274">
        <v>0</v>
      </c>
      <c r="K2615" s="274"/>
    </row>
    <row r="2616" spans="2:11" ht="13.5" customHeight="1">
      <c r="B2616" s="209" t="s">
        <v>777</v>
      </c>
      <c r="C2616" s="209" t="s">
        <v>2808</v>
      </c>
      <c r="D2616" s="450" t="s">
        <v>137</v>
      </c>
      <c r="E2616" s="273">
        <v>0</v>
      </c>
      <c r="F2616" s="274"/>
      <c r="G2616" s="274">
        <f t="shared" si="10"/>
        <v>0</v>
      </c>
      <c r="H2616" s="274">
        <v>0</v>
      </c>
      <c r="K2616" s="274"/>
    </row>
    <row r="2617" spans="2:11" ht="13.5" customHeight="1">
      <c r="B2617" s="209" t="s">
        <v>777</v>
      </c>
      <c r="C2617" s="209" t="s">
        <v>2808</v>
      </c>
      <c r="D2617" s="451" t="s">
        <v>138</v>
      </c>
      <c r="E2617" s="273">
        <v>0</v>
      </c>
      <c r="F2617" s="274"/>
      <c r="G2617" s="274">
        <f t="shared" si="10"/>
        <v>0</v>
      </c>
      <c r="H2617" s="274">
        <v>0</v>
      </c>
      <c r="K2617" s="274"/>
    </row>
    <row r="2618" spans="2:11" ht="13.5" customHeight="1">
      <c r="B2618" s="209" t="s">
        <v>777</v>
      </c>
      <c r="C2618" s="209" t="s">
        <v>2808</v>
      </c>
      <c r="D2618" s="452" t="s">
        <v>139</v>
      </c>
      <c r="E2618" s="273">
        <v>0</v>
      </c>
      <c r="F2618" s="274"/>
      <c r="G2618" s="274">
        <f t="shared" si="10"/>
        <v>0</v>
      </c>
      <c r="H2618" s="274">
        <v>0</v>
      </c>
      <c r="K2618" s="274"/>
    </row>
    <row r="2619" spans="2:11" ht="13.5" customHeight="1">
      <c r="B2619" s="209" t="s">
        <v>777</v>
      </c>
      <c r="C2619" s="209" t="s">
        <v>2808</v>
      </c>
      <c r="D2619" s="216" t="s">
        <v>140</v>
      </c>
      <c r="E2619" s="273">
        <v>0</v>
      </c>
      <c r="F2619" s="274"/>
      <c r="G2619" s="274">
        <f t="shared" si="10"/>
        <v>0</v>
      </c>
      <c r="H2619" s="274">
        <v>0</v>
      </c>
      <c r="K2619" s="274"/>
    </row>
    <row r="2620" spans="2:11" ht="13.5" customHeight="1">
      <c r="B2620" s="209" t="s">
        <v>777</v>
      </c>
      <c r="C2620" s="209" t="s">
        <v>2808</v>
      </c>
      <c r="D2620" s="453" t="s">
        <v>141</v>
      </c>
      <c r="E2620" s="273">
        <v>0</v>
      </c>
      <c r="F2620" s="274"/>
      <c r="G2620" s="274">
        <f t="shared" si="10"/>
        <v>0</v>
      </c>
      <c r="H2620" s="274">
        <v>0</v>
      </c>
      <c r="K2620" s="274"/>
    </row>
    <row r="2621" spans="2:11" ht="13.5" customHeight="1">
      <c r="B2621" s="209" t="s">
        <v>779</v>
      </c>
      <c r="C2621" s="209" t="s">
        <v>2809</v>
      </c>
      <c r="D2621" s="446" t="s">
        <v>133</v>
      </c>
      <c r="E2621" s="273">
        <v>0</v>
      </c>
      <c r="F2621" s="274"/>
      <c r="G2621" s="274">
        <f t="shared" si="10"/>
        <v>0</v>
      </c>
      <c r="H2621" s="274">
        <v>0</v>
      </c>
      <c r="K2621" s="274"/>
    </row>
    <row r="2622" spans="2:11" ht="13.5" customHeight="1">
      <c r="B2622" s="209" t="s">
        <v>779</v>
      </c>
      <c r="C2622" s="209" t="s">
        <v>2809</v>
      </c>
      <c r="D2622" s="447" t="s">
        <v>134</v>
      </c>
      <c r="E2622" s="273">
        <v>0</v>
      </c>
      <c r="F2622" s="274"/>
      <c r="G2622" s="274">
        <f t="shared" si="10"/>
        <v>0</v>
      </c>
      <c r="H2622" s="274">
        <v>0</v>
      </c>
      <c r="K2622" s="274"/>
    </row>
    <row r="2623" spans="2:11" ht="13.5" customHeight="1">
      <c r="B2623" s="209" t="s">
        <v>779</v>
      </c>
      <c r="C2623" s="209" t="s">
        <v>2809</v>
      </c>
      <c r="D2623" s="448" t="s">
        <v>135</v>
      </c>
      <c r="E2623" s="273">
        <v>0</v>
      </c>
      <c r="F2623" s="274"/>
      <c r="G2623" s="274">
        <f t="shared" si="10"/>
        <v>0</v>
      </c>
      <c r="H2623" s="274">
        <v>0</v>
      </c>
      <c r="K2623" s="274"/>
    </row>
    <row r="2624" spans="2:11" ht="13.5" customHeight="1">
      <c r="B2624" s="209" t="s">
        <v>779</v>
      </c>
      <c r="C2624" s="209" t="s">
        <v>2809</v>
      </c>
      <c r="D2624" s="449" t="s">
        <v>136</v>
      </c>
      <c r="E2624" s="273">
        <v>0</v>
      </c>
      <c r="F2624" s="274"/>
      <c r="G2624" s="274">
        <f t="shared" si="10"/>
        <v>0</v>
      </c>
      <c r="H2624" s="274">
        <v>0</v>
      </c>
      <c r="K2624" s="274"/>
    </row>
    <row r="2625" spans="2:11" ht="13.5" customHeight="1">
      <c r="B2625" s="209" t="s">
        <v>779</v>
      </c>
      <c r="C2625" s="209" t="s">
        <v>2809</v>
      </c>
      <c r="D2625" s="450" t="s">
        <v>137</v>
      </c>
      <c r="E2625" s="273">
        <v>0</v>
      </c>
      <c r="F2625" s="274"/>
      <c r="G2625" s="274">
        <f t="shared" si="10"/>
        <v>0</v>
      </c>
      <c r="H2625" s="274">
        <v>0</v>
      </c>
      <c r="K2625" s="274"/>
    </row>
    <row r="2626" spans="2:11" ht="13.5" customHeight="1">
      <c r="B2626" s="209" t="s">
        <v>779</v>
      </c>
      <c r="C2626" s="209" t="s">
        <v>2809</v>
      </c>
      <c r="D2626" s="451" t="s">
        <v>138</v>
      </c>
      <c r="E2626" s="273">
        <v>0</v>
      </c>
      <c r="F2626" s="274"/>
      <c r="G2626" s="274">
        <f t="shared" si="10"/>
        <v>0</v>
      </c>
      <c r="H2626" s="274">
        <v>0</v>
      </c>
      <c r="K2626" s="274"/>
    </row>
    <row r="2627" spans="2:11" ht="13.5" customHeight="1">
      <c r="B2627" s="209" t="s">
        <v>779</v>
      </c>
      <c r="C2627" s="209" t="s">
        <v>2809</v>
      </c>
      <c r="D2627" s="452" t="s">
        <v>139</v>
      </c>
      <c r="E2627" s="273">
        <v>0</v>
      </c>
      <c r="F2627" s="274"/>
      <c r="G2627" s="274">
        <f t="shared" si="10"/>
        <v>0</v>
      </c>
      <c r="H2627" s="274">
        <v>0</v>
      </c>
      <c r="K2627" s="274"/>
    </row>
    <row r="2628" spans="2:11" ht="13.5" customHeight="1">
      <c r="B2628" s="209" t="s">
        <v>779</v>
      </c>
      <c r="C2628" s="209" t="s">
        <v>2809</v>
      </c>
      <c r="D2628" s="216" t="s">
        <v>140</v>
      </c>
      <c r="E2628" s="273">
        <v>0</v>
      </c>
      <c r="F2628" s="274"/>
      <c r="G2628" s="274">
        <f t="shared" si="10"/>
        <v>0</v>
      </c>
      <c r="H2628" s="274">
        <v>0</v>
      </c>
      <c r="K2628" s="274"/>
    </row>
    <row r="2629" spans="2:11" ht="13.5" customHeight="1">
      <c r="B2629" s="209" t="s">
        <v>779</v>
      </c>
      <c r="C2629" s="209" t="s">
        <v>2809</v>
      </c>
      <c r="D2629" s="453" t="s">
        <v>141</v>
      </c>
      <c r="E2629" s="273">
        <v>0</v>
      </c>
      <c r="F2629" s="274"/>
      <c r="G2629" s="274">
        <f t="shared" si="10"/>
        <v>0</v>
      </c>
      <c r="H2629" s="274">
        <v>0</v>
      </c>
      <c r="K2629" s="274"/>
    </row>
    <row r="2630" spans="2:11" ht="13.5" customHeight="1">
      <c r="B2630" s="209" t="s">
        <v>795</v>
      </c>
      <c r="C2630" s="209" t="s">
        <v>2810</v>
      </c>
      <c r="D2630" s="446" t="s">
        <v>133</v>
      </c>
      <c r="E2630" s="273">
        <v>0</v>
      </c>
      <c r="F2630" s="274"/>
      <c r="G2630" s="274">
        <f t="shared" si="10"/>
        <v>0</v>
      </c>
      <c r="H2630" s="274">
        <v>0</v>
      </c>
      <c r="K2630" s="274"/>
    </row>
    <row r="2631" spans="2:11" ht="13.5" customHeight="1">
      <c r="B2631" s="209" t="s">
        <v>795</v>
      </c>
      <c r="C2631" s="209" t="s">
        <v>2810</v>
      </c>
      <c r="D2631" s="447" t="s">
        <v>134</v>
      </c>
      <c r="E2631" s="273">
        <v>0</v>
      </c>
      <c r="F2631" s="274"/>
      <c r="G2631" s="274">
        <f t="shared" si="10"/>
        <v>0</v>
      </c>
      <c r="H2631" s="274">
        <v>0</v>
      </c>
      <c r="K2631" s="274"/>
    </row>
    <row r="2632" spans="2:11" ht="13.5" customHeight="1">
      <c r="B2632" s="209" t="s">
        <v>795</v>
      </c>
      <c r="C2632" s="209" t="s">
        <v>2810</v>
      </c>
      <c r="D2632" s="448" t="s">
        <v>135</v>
      </c>
      <c r="E2632" s="273">
        <v>0</v>
      </c>
      <c r="F2632" s="274"/>
      <c r="G2632" s="274">
        <f t="shared" si="10"/>
        <v>0</v>
      </c>
      <c r="H2632" s="274">
        <v>0</v>
      </c>
      <c r="K2632" s="274"/>
    </row>
    <row r="2633" spans="2:11" ht="13.5" customHeight="1">
      <c r="B2633" s="209" t="s">
        <v>795</v>
      </c>
      <c r="C2633" s="209" t="s">
        <v>2810</v>
      </c>
      <c r="D2633" s="449" t="s">
        <v>136</v>
      </c>
      <c r="E2633" s="273">
        <v>0</v>
      </c>
      <c r="F2633" s="274"/>
      <c r="G2633" s="274">
        <f t="shared" si="10"/>
        <v>0</v>
      </c>
      <c r="H2633" s="274">
        <v>0</v>
      </c>
      <c r="K2633" s="274"/>
    </row>
    <row r="2634" spans="2:11" ht="13.5" customHeight="1">
      <c r="B2634" s="209" t="s">
        <v>795</v>
      </c>
      <c r="C2634" s="209" t="s">
        <v>2810</v>
      </c>
      <c r="D2634" s="450" t="s">
        <v>137</v>
      </c>
      <c r="E2634" s="273">
        <v>0</v>
      </c>
      <c r="F2634" s="274"/>
      <c r="G2634" s="274">
        <f t="shared" si="10"/>
        <v>0</v>
      </c>
      <c r="H2634" s="274">
        <v>0</v>
      </c>
      <c r="K2634" s="274"/>
    </row>
    <row r="2635" spans="2:11" ht="13.5" customHeight="1">
      <c r="B2635" s="209" t="s">
        <v>795</v>
      </c>
      <c r="C2635" s="209" t="s">
        <v>2810</v>
      </c>
      <c r="D2635" s="451" t="s">
        <v>138</v>
      </c>
      <c r="E2635" s="273">
        <v>0</v>
      </c>
      <c r="F2635" s="274"/>
      <c r="G2635" s="274">
        <f t="shared" si="10"/>
        <v>0</v>
      </c>
      <c r="H2635" s="274">
        <v>0</v>
      </c>
      <c r="K2635" s="274"/>
    </row>
    <row r="2636" spans="2:11" ht="13.5" customHeight="1">
      <c r="B2636" s="209" t="s">
        <v>795</v>
      </c>
      <c r="C2636" s="209" t="s">
        <v>2810</v>
      </c>
      <c r="D2636" s="452" t="s">
        <v>139</v>
      </c>
      <c r="E2636" s="273">
        <v>0</v>
      </c>
      <c r="F2636" s="274"/>
      <c r="G2636" s="274">
        <f t="shared" si="10"/>
        <v>0</v>
      </c>
      <c r="H2636" s="274">
        <v>0</v>
      </c>
      <c r="K2636" s="274"/>
    </row>
    <row r="2637" spans="2:11" ht="13.5" customHeight="1">
      <c r="B2637" s="209" t="s">
        <v>795</v>
      </c>
      <c r="C2637" s="209" t="s">
        <v>2810</v>
      </c>
      <c r="D2637" s="216" t="s">
        <v>140</v>
      </c>
      <c r="E2637" s="273">
        <v>0</v>
      </c>
      <c r="F2637" s="274"/>
      <c r="G2637" s="274">
        <f t="shared" si="10"/>
        <v>0</v>
      </c>
      <c r="H2637" s="274">
        <v>0</v>
      </c>
      <c r="K2637" s="274"/>
    </row>
    <row r="2638" spans="2:11" ht="13.5" customHeight="1">
      <c r="B2638" s="209" t="s">
        <v>795</v>
      </c>
      <c r="C2638" s="209" t="s">
        <v>2810</v>
      </c>
      <c r="D2638" s="453" t="s">
        <v>141</v>
      </c>
      <c r="E2638" s="273">
        <v>0</v>
      </c>
      <c r="F2638" s="274"/>
      <c r="G2638" s="274">
        <f t="shared" si="10"/>
        <v>0</v>
      </c>
      <c r="H2638" s="274">
        <v>0</v>
      </c>
      <c r="K2638" s="274"/>
    </row>
    <row r="2639" spans="2:11" ht="13.5" customHeight="1">
      <c r="B2639" s="209" t="s">
        <v>797</v>
      </c>
      <c r="C2639" s="209" t="s">
        <v>2811</v>
      </c>
      <c r="D2639" s="446" t="s">
        <v>133</v>
      </c>
      <c r="E2639" s="273">
        <v>0</v>
      </c>
      <c r="F2639" s="274"/>
      <c r="G2639" s="274">
        <f t="shared" si="10"/>
        <v>0</v>
      </c>
      <c r="H2639" s="274">
        <v>0</v>
      </c>
      <c r="K2639" s="274"/>
    </row>
    <row r="2640" spans="2:11" ht="13.5" customHeight="1">
      <c r="B2640" s="209" t="s">
        <v>797</v>
      </c>
      <c r="C2640" s="209" t="s">
        <v>2811</v>
      </c>
      <c r="D2640" s="447" t="s">
        <v>134</v>
      </c>
      <c r="E2640" s="273">
        <v>0</v>
      </c>
      <c r="F2640" s="274"/>
      <c r="G2640" s="274">
        <f t="shared" si="10"/>
        <v>0</v>
      </c>
      <c r="H2640" s="274">
        <v>0</v>
      </c>
      <c r="K2640" s="274"/>
    </row>
    <row r="2641" spans="2:11" ht="13.5" customHeight="1">
      <c r="B2641" s="209" t="s">
        <v>797</v>
      </c>
      <c r="C2641" s="209" t="s">
        <v>2811</v>
      </c>
      <c r="D2641" s="448" t="s">
        <v>135</v>
      </c>
      <c r="E2641" s="273">
        <v>0</v>
      </c>
      <c r="F2641" s="274"/>
      <c r="G2641" s="274">
        <f t="shared" si="10"/>
        <v>0</v>
      </c>
      <c r="H2641" s="274">
        <v>0</v>
      </c>
      <c r="K2641" s="274"/>
    </row>
    <row r="2642" spans="2:11" ht="13.5" customHeight="1">
      <c r="B2642" s="209" t="s">
        <v>797</v>
      </c>
      <c r="C2642" s="209" t="s">
        <v>2811</v>
      </c>
      <c r="D2642" s="449" t="s">
        <v>136</v>
      </c>
      <c r="E2642" s="273">
        <v>0</v>
      </c>
      <c r="F2642" s="274"/>
      <c r="G2642" s="274">
        <f t="shared" si="10"/>
        <v>0</v>
      </c>
      <c r="H2642" s="274">
        <v>0</v>
      </c>
      <c r="K2642" s="274"/>
    </row>
    <row r="2643" spans="2:11" ht="13.5" customHeight="1">
      <c r="B2643" s="209" t="s">
        <v>797</v>
      </c>
      <c r="C2643" s="209" t="s">
        <v>2811</v>
      </c>
      <c r="D2643" s="450" t="s">
        <v>137</v>
      </c>
      <c r="E2643" s="273">
        <v>0</v>
      </c>
      <c r="F2643" s="274"/>
      <c r="G2643" s="274">
        <f t="shared" si="10"/>
        <v>0</v>
      </c>
      <c r="H2643" s="274">
        <v>0</v>
      </c>
      <c r="K2643" s="274"/>
    </row>
    <row r="2644" spans="2:11" ht="13.5" customHeight="1">
      <c r="B2644" s="209" t="s">
        <v>797</v>
      </c>
      <c r="C2644" s="209" t="s">
        <v>2811</v>
      </c>
      <c r="D2644" s="451" t="s">
        <v>138</v>
      </c>
      <c r="E2644" s="273">
        <v>0</v>
      </c>
      <c r="F2644" s="274"/>
      <c r="G2644" s="274">
        <f t="shared" si="10"/>
        <v>0</v>
      </c>
      <c r="H2644" s="274">
        <v>0</v>
      </c>
      <c r="K2644" s="274"/>
    </row>
    <row r="2645" spans="2:11" ht="13.5" customHeight="1">
      <c r="B2645" s="209" t="s">
        <v>797</v>
      </c>
      <c r="C2645" s="209" t="s">
        <v>2811</v>
      </c>
      <c r="D2645" s="452" t="s">
        <v>139</v>
      </c>
      <c r="E2645" s="273">
        <v>0</v>
      </c>
      <c r="F2645" s="274"/>
      <c r="G2645" s="274">
        <f t="shared" si="10"/>
        <v>0</v>
      </c>
      <c r="H2645" s="274">
        <v>0</v>
      </c>
      <c r="K2645" s="274"/>
    </row>
    <row r="2646" spans="2:11" ht="13.5" customHeight="1">
      <c r="B2646" s="209" t="s">
        <v>797</v>
      </c>
      <c r="C2646" s="209" t="s">
        <v>2811</v>
      </c>
      <c r="D2646" s="216" t="s">
        <v>140</v>
      </c>
      <c r="E2646" s="273">
        <v>0</v>
      </c>
      <c r="F2646" s="274"/>
      <c r="G2646" s="274">
        <f t="shared" si="10"/>
        <v>0</v>
      </c>
      <c r="H2646" s="274">
        <v>0</v>
      </c>
      <c r="K2646" s="274"/>
    </row>
    <row r="2647" spans="2:11" ht="13.5" customHeight="1">
      <c r="B2647" s="209" t="s">
        <v>797</v>
      </c>
      <c r="C2647" s="209" t="s">
        <v>2811</v>
      </c>
      <c r="D2647" s="453" t="s">
        <v>141</v>
      </c>
      <c r="E2647" s="273">
        <v>0</v>
      </c>
      <c r="F2647" s="274"/>
      <c r="G2647" s="274">
        <f t="shared" si="10"/>
        <v>0</v>
      </c>
      <c r="H2647" s="274">
        <v>0</v>
      </c>
      <c r="K2647" s="274"/>
    </row>
    <row r="2648" spans="2:11" ht="13.5" customHeight="1">
      <c r="B2648" s="209" t="s">
        <v>785</v>
      </c>
      <c r="C2648" s="209" t="s">
        <v>2812</v>
      </c>
      <c r="D2648" s="446" t="s">
        <v>133</v>
      </c>
      <c r="E2648" s="273">
        <v>0</v>
      </c>
      <c r="F2648" s="274"/>
      <c r="G2648" s="274">
        <f t="shared" si="10"/>
        <v>0</v>
      </c>
      <c r="H2648" s="274">
        <v>0</v>
      </c>
      <c r="K2648" s="274"/>
    </row>
    <row r="2649" spans="2:11" ht="13.5" customHeight="1">
      <c r="B2649" s="209" t="s">
        <v>785</v>
      </c>
      <c r="C2649" s="209" t="s">
        <v>2812</v>
      </c>
      <c r="D2649" s="447" t="s">
        <v>134</v>
      </c>
      <c r="E2649" s="273">
        <v>0</v>
      </c>
      <c r="F2649" s="274"/>
      <c r="G2649" s="274">
        <f t="shared" si="10"/>
        <v>0</v>
      </c>
      <c r="H2649" s="274">
        <v>0</v>
      </c>
      <c r="K2649" s="274"/>
    </row>
    <row r="2650" spans="2:11" ht="13.5" customHeight="1">
      <c r="B2650" s="209" t="s">
        <v>785</v>
      </c>
      <c r="C2650" s="209" t="s">
        <v>2812</v>
      </c>
      <c r="D2650" s="448" t="s">
        <v>135</v>
      </c>
      <c r="E2650" s="273">
        <v>0</v>
      </c>
      <c r="F2650" s="274"/>
      <c r="G2650" s="274">
        <f t="shared" si="10"/>
        <v>0</v>
      </c>
      <c r="H2650" s="274">
        <v>0</v>
      </c>
      <c r="K2650" s="274"/>
    </row>
    <row r="2651" spans="2:11" ht="13.5" customHeight="1">
      <c r="B2651" s="209" t="s">
        <v>785</v>
      </c>
      <c r="C2651" s="209" t="s">
        <v>2812</v>
      </c>
      <c r="D2651" s="449" t="s">
        <v>136</v>
      </c>
      <c r="E2651" s="273">
        <v>0</v>
      </c>
      <c r="F2651" s="274"/>
      <c r="G2651" s="274">
        <f t="shared" si="10"/>
        <v>0</v>
      </c>
      <c r="H2651" s="274">
        <v>0</v>
      </c>
      <c r="K2651" s="274"/>
    </row>
    <row r="2652" spans="2:11" ht="13.5" customHeight="1">
      <c r="B2652" s="209" t="s">
        <v>785</v>
      </c>
      <c r="C2652" s="209" t="s">
        <v>2812</v>
      </c>
      <c r="D2652" s="450" t="s">
        <v>137</v>
      </c>
      <c r="E2652" s="273">
        <v>0</v>
      </c>
      <c r="F2652" s="274"/>
      <c r="G2652" s="274">
        <f t="shared" si="10"/>
        <v>0</v>
      </c>
      <c r="H2652" s="274">
        <v>0</v>
      </c>
      <c r="K2652" s="274"/>
    </row>
    <row r="2653" spans="2:11" ht="13.5" customHeight="1">
      <c r="B2653" s="209" t="s">
        <v>785</v>
      </c>
      <c r="C2653" s="209" t="s">
        <v>2812</v>
      </c>
      <c r="D2653" s="451" t="s">
        <v>138</v>
      </c>
      <c r="E2653" s="273">
        <v>0</v>
      </c>
      <c r="F2653" s="274"/>
      <c r="G2653" s="274">
        <f t="shared" si="10"/>
        <v>0</v>
      </c>
      <c r="H2653" s="274">
        <v>0</v>
      </c>
      <c r="K2653" s="274"/>
    </row>
    <row r="2654" spans="2:11" ht="13.5" customHeight="1">
      <c r="B2654" s="209" t="s">
        <v>785</v>
      </c>
      <c r="C2654" s="209" t="s">
        <v>2812</v>
      </c>
      <c r="D2654" s="452" t="s">
        <v>139</v>
      </c>
      <c r="E2654" s="273">
        <v>0</v>
      </c>
      <c r="F2654" s="274"/>
      <c r="G2654" s="274">
        <f t="shared" si="10"/>
        <v>0</v>
      </c>
      <c r="H2654" s="274">
        <v>0</v>
      </c>
      <c r="K2654" s="274"/>
    </row>
    <row r="2655" spans="2:11" ht="13.5" customHeight="1">
      <c r="B2655" s="209" t="s">
        <v>785</v>
      </c>
      <c r="C2655" s="209" t="s">
        <v>2812</v>
      </c>
      <c r="D2655" s="216" t="s">
        <v>140</v>
      </c>
      <c r="E2655" s="273">
        <v>0</v>
      </c>
      <c r="F2655" s="274"/>
      <c r="G2655" s="274">
        <f t="shared" si="10"/>
        <v>0</v>
      </c>
      <c r="H2655" s="274">
        <v>0</v>
      </c>
      <c r="K2655" s="274"/>
    </row>
    <row r="2656" spans="2:11" ht="13.5" customHeight="1">
      <c r="B2656" s="209" t="s">
        <v>785</v>
      </c>
      <c r="C2656" s="209" t="s">
        <v>2812</v>
      </c>
      <c r="D2656" s="453" t="s">
        <v>141</v>
      </c>
      <c r="E2656" s="273">
        <v>0</v>
      </c>
      <c r="F2656" s="274"/>
      <c r="G2656" s="274">
        <f t="shared" si="10"/>
        <v>0</v>
      </c>
      <c r="H2656" s="274">
        <v>0</v>
      </c>
      <c r="K2656" s="274"/>
    </row>
    <row r="2657" spans="2:11" ht="13.5" customHeight="1">
      <c r="B2657" s="209" t="s">
        <v>801</v>
      </c>
      <c r="C2657" s="209" t="s">
        <v>2813</v>
      </c>
      <c r="D2657" s="446" t="s">
        <v>133</v>
      </c>
      <c r="E2657" s="273">
        <v>0</v>
      </c>
      <c r="F2657" s="274"/>
      <c r="G2657" s="274">
        <f t="shared" si="10"/>
        <v>0</v>
      </c>
      <c r="H2657" s="274">
        <v>0</v>
      </c>
      <c r="K2657" s="274"/>
    </row>
    <row r="2658" spans="2:11" ht="13.5" customHeight="1">
      <c r="B2658" s="209" t="s">
        <v>801</v>
      </c>
      <c r="C2658" s="209" t="s">
        <v>2813</v>
      </c>
      <c r="D2658" s="447" t="s">
        <v>134</v>
      </c>
      <c r="E2658" s="273">
        <v>0</v>
      </c>
      <c r="F2658" s="274"/>
      <c r="G2658" s="274">
        <f t="shared" si="10"/>
        <v>0</v>
      </c>
      <c r="H2658" s="274">
        <v>0</v>
      </c>
      <c r="K2658" s="274"/>
    </row>
    <row r="2659" spans="2:11" ht="13.5" customHeight="1">
      <c r="B2659" s="209" t="s">
        <v>801</v>
      </c>
      <c r="C2659" s="209" t="s">
        <v>2813</v>
      </c>
      <c r="D2659" s="448" t="s">
        <v>135</v>
      </c>
      <c r="E2659" s="273">
        <v>0</v>
      </c>
      <c r="F2659" s="274"/>
      <c r="G2659" s="274">
        <f t="shared" si="10"/>
        <v>0</v>
      </c>
      <c r="H2659" s="274">
        <v>0</v>
      </c>
      <c r="K2659" s="274"/>
    </row>
    <row r="2660" spans="2:11" ht="13.5" customHeight="1">
      <c r="B2660" s="209" t="s">
        <v>801</v>
      </c>
      <c r="C2660" s="209" t="s">
        <v>2813</v>
      </c>
      <c r="D2660" s="449" t="s">
        <v>136</v>
      </c>
      <c r="E2660" s="273">
        <v>0</v>
      </c>
      <c r="F2660" s="274"/>
      <c r="G2660" s="274">
        <f t="shared" si="10"/>
        <v>0</v>
      </c>
      <c r="H2660" s="274">
        <v>0</v>
      </c>
      <c r="K2660" s="274"/>
    </row>
    <row r="2661" spans="2:11" ht="13.5" customHeight="1">
      <c r="B2661" s="209" t="s">
        <v>801</v>
      </c>
      <c r="C2661" s="209" t="s">
        <v>2813</v>
      </c>
      <c r="D2661" s="450" t="s">
        <v>137</v>
      </c>
      <c r="E2661" s="273">
        <v>0</v>
      </c>
      <c r="F2661" s="274"/>
      <c r="G2661" s="274">
        <f t="shared" si="10"/>
        <v>0</v>
      </c>
      <c r="H2661" s="274">
        <v>0</v>
      </c>
      <c r="K2661" s="274"/>
    </row>
    <row r="2662" spans="2:11" ht="13.5" customHeight="1">
      <c r="B2662" s="209" t="s">
        <v>801</v>
      </c>
      <c r="C2662" s="209" t="s">
        <v>2813</v>
      </c>
      <c r="D2662" s="451" t="s">
        <v>138</v>
      </c>
      <c r="E2662" s="273">
        <v>0</v>
      </c>
      <c r="F2662" s="274"/>
      <c r="G2662" s="274">
        <f t="shared" si="10"/>
        <v>0</v>
      </c>
      <c r="H2662" s="274">
        <v>0</v>
      </c>
      <c r="K2662" s="274"/>
    </row>
    <row r="2663" spans="2:11" ht="13.5" customHeight="1">
      <c r="B2663" s="209" t="s">
        <v>801</v>
      </c>
      <c r="C2663" s="209" t="s">
        <v>2813</v>
      </c>
      <c r="D2663" s="452" t="s">
        <v>139</v>
      </c>
      <c r="E2663" s="273">
        <v>0</v>
      </c>
      <c r="F2663" s="274"/>
      <c r="G2663" s="274">
        <f t="shared" si="10"/>
        <v>0</v>
      </c>
      <c r="H2663" s="274">
        <v>0</v>
      </c>
      <c r="K2663" s="274"/>
    </row>
    <row r="2664" spans="2:11" ht="13.5" customHeight="1">
      <c r="B2664" s="209" t="s">
        <v>801</v>
      </c>
      <c r="C2664" s="209" t="s">
        <v>2813</v>
      </c>
      <c r="D2664" s="216" t="s">
        <v>140</v>
      </c>
      <c r="E2664" s="273">
        <v>0</v>
      </c>
      <c r="F2664" s="274"/>
      <c r="G2664" s="274">
        <f t="shared" si="10"/>
        <v>0</v>
      </c>
      <c r="H2664" s="274">
        <v>0</v>
      </c>
      <c r="K2664" s="274"/>
    </row>
    <row r="2665" spans="2:11" ht="13.5" customHeight="1">
      <c r="B2665" s="209" t="s">
        <v>801</v>
      </c>
      <c r="C2665" s="209" t="s">
        <v>2813</v>
      </c>
      <c r="D2665" s="453" t="s">
        <v>141</v>
      </c>
      <c r="E2665" s="273">
        <v>0</v>
      </c>
      <c r="F2665" s="274"/>
      <c r="G2665" s="274">
        <f t="shared" si="10"/>
        <v>0</v>
      </c>
      <c r="H2665" s="274">
        <v>0</v>
      </c>
      <c r="K2665" s="274"/>
    </row>
    <row r="2666" spans="2:11" ht="13.5" customHeight="1">
      <c r="B2666" s="209" t="s">
        <v>799</v>
      </c>
      <c r="C2666" s="209" t="s">
        <v>2814</v>
      </c>
      <c r="D2666" s="446" t="s">
        <v>133</v>
      </c>
      <c r="E2666" s="273">
        <v>0</v>
      </c>
      <c r="F2666" s="274"/>
      <c r="G2666" s="274">
        <f t="shared" si="10"/>
        <v>0</v>
      </c>
      <c r="H2666" s="274">
        <v>0</v>
      </c>
      <c r="K2666" s="274"/>
    </row>
    <row r="2667" spans="2:11" ht="13.5" customHeight="1">
      <c r="B2667" s="209" t="s">
        <v>799</v>
      </c>
      <c r="C2667" s="209" t="s">
        <v>2814</v>
      </c>
      <c r="D2667" s="447" t="s">
        <v>134</v>
      </c>
      <c r="E2667" s="273">
        <v>0</v>
      </c>
      <c r="F2667" s="274"/>
      <c r="G2667" s="274">
        <f t="shared" si="10"/>
        <v>0</v>
      </c>
      <c r="H2667" s="274">
        <v>0</v>
      </c>
      <c r="K2667" s="274"/>
    </row>
    <row r="2668" spans="2:11" ht="13.5" customHeight="1">
      <c r="B2668" s="209" t="s">
        <v>799</v>
      </c>
      <c r="C2668" s="209" t="s">
        <v>2814</v>
      </c>
      <c r="D2668" s="448" t="s">
        <v>135</v>
      </c>
      <c r="E2668" s="273">
        <v>0</v>
      </c>
      <c r="F2668" s="274"/>
      <c r="G2668" s="274">
        <f t="shared" si="10"/>
        <v>0</v>
      </c>
      <c r="H2668" s="274">
        <v>0</v>
      </c>
      <c r="K2668" s="274"/>
    </row>
    <row r="2669" spans="2:11" ht="13.5" customHeight="1">
      <c r="B2669" s="209" t="s">
        <v>799</v>
      </c>
      <c r="C2669" s="209" t="s">
        <v>2814</v>
      </c>
      <c r="D2669" s="449" t="s">
        <v>136</v>
      </c>
      <c r="E2669" s="273">
        <v>0</v>
      </c>
      <c r="F2669" s="274"/>
      <c r="G2669" s="274">
        <f t="shared" si="10"/>
        <v>0</v>
      </c>
      <c r="H2669" s="274">
        <v>0</v>
      </c>
      <c r="K2669" s="274"/>
    </row>
    <row r="2670" spans="2:11" ht="13.5" customHeight="1">
      <c r="B2670" s="209" t="s">
        <v>799</v>
      </c>
      <c r="C2670" s="209" t="s">
        <v>2814</v>
      </c>
      <c r="D2670" s="450" t="s">
        <v>137</v>
      </c>
      <c r="E2670" s="273">
        <v>0</v>
      </c>
      <c r="F2670" s="274"/>
      <c r="G2670" s="274">
        <f t="shared" si="10"/>
        <v>0</v>
      </c>
      <c r="H2670" s="274">
        <v>0</v>
      </c>
      <c r="K2670" s="274"/>
    </row>
    <row r="2671" spans="2:11" ht="13.5" customHeight="1">
      <c r="B2671" s="209" t="s">
        <v>799</v>
      </c>
      <c r="C2671" s="209" t="s">
        <v>2814</v>
      </c>
      <c r="D2671" s="451" t="s">
        <v>138</v>
      </c>
      <c r="E2671" s="273">
        <v>0</v>
      </c>
      <c r="F2671" s="274"/>
      <c r="G2671" s="274">
        <f t="shared" si="10"/>
        <v>0</v>
      </c>
      <c r="H2671" s="274">
        <v>0</v>
      </c>
      <c r="K2671" s="274"/>
    </row>
    <row r="2672" spans="2:11" ht="13.5" customHeight="1">
      <c r="B2672" s="209" t="s">
        <v>799</v>
      </c>
      <c r="C2672" s="209" t="s">
        <v>2814</v>
      </c>
      <c r="D2672" s="452" t="s">
        <v>139</v>
      </c>
      <c r="E2672" s="273">
        <v>0</v>
      </c>
      <c r="F2672" s="274"/>
      <c r="G2672" s="274">
        <f t="shared" si="10"/>
        <v>0</v>
      </c>
      <c r="H2672" s="274">
        <v>0</v>
      </c>
      <c r="K2672" s="274"/>
    </row>
    <row r="2673" spans="2:11" ht="13.5" customHeight="1">
      <c r="B2673" s="209" t="s">
        <v>799</v>
      </c>
      <c r="C2673" s="209" t="s">
        <v>2814</v>
      </c>
      <c r="D2673" s="216" t="s">
        <v>140</v>
      </c>
      <c r="E2673" s="273">
        <v>0</v>
      </c>
      <c r="F2673" s="274"/>
      <c r="G2673" s="274">
        <f t="shared" si="10"/>
        <v>0</v>
      </c>
      <c r="H2673" s="274">
        <v>0</v>
      </c>
      <c r="K2673" s="274"/>
    </row>
    <row r="2674" spans="2:11" ht="13.5" customHeight="1">
      <c r="B2674" s="209" t="s">
        <v>799</v>
      </c>
      <c r="C2674" s="209" t="s">
        <v>2814</v>
      </c>
      <c r="D2674" s="453" t="s">
        <v>141</v>
      </c>
      <c r="E2674" s="273">
        <v>0</v>
      </c>
      <c r="F2674" s="274"/>
      <c r="G2674" s="274">
        <f t="shared" si="10"/>
        <v>0</v>
      </c>
      <c r="H2674" s="274">
        <v>0</v>
      </c>
      <c r="K2674" s="274"/>
    </row>
    <row r="2675" spans="2:11" ht="13.5" customHeight="1">
      <c r="B2675" s="209" t="s">
        <v>781</v>
      </c>
      <c r="C2675" s="209" t="s">
        <v>2815</v>
      </c>
      <c r="D2675" s="446" t="s">
        <v>133</v>
      </c>
      <c r="E2675" s="273">
        <v>0</v>
      </c>
      <c r="F2675" s="274"/>
      <c r="G2675" s="274">
        <f t="shared" si="10"/>
        <v>0</v>
      </c>
      <c r="H2675" s="274">
        <v>0</v>
      </c>
      <c r="K2675" s="274"/>
    </row>
    <row r="2676" spans="2:11" ht="13.5" customHeight="1">
      <c r="B2676" s="209" t="s">
        <v>781</v>
      </c>
      <c r="C2676" s="209" t="s">
        <v>2815</v>
      </c>
      <c r="D2676" s="447" t="s">
        <v>134</v>
      </c>
      <c r="E2676" s="273">
        <v>0</v>
      </c>
      <c r="F2676" s="274"/>
      <c r="G2676" s="274">
        <f t="shared" si="10"/>
        <v>0</v>
      </c>
      <c r="H2676" s="274">
        <v>0</v>
      </c>
      <c r="K2676" s="274"/>
    </row>
    <row r="2677" spans="2:11" ht="13.5" customHeight="1">
      <c r="B2677" s="209" t="s">
        <v>781</v>
      </c>
      <c r="C2677" s="209" t="s">
        <v>2815</v>
      </c>
      <c r="D2677" s="448" t="s">
        <v>135</v>
      </c>
      <c r="E2677" s="273">
        <v>0</v>
      </c>
      <c r="F2677" s="274"/>
      <c r="G2677" s="274">
        <f t="shared" si="10"/>
        <v>0</v>
      </c>
      <c r="H2677" s="274">
        <v>0</v>
      </c>
      <c r="K2677" s="274"/>
    </row>
    <row r="2678" spans="2:11" ht="13.5" customHeight="1">
      <c r="B2678" s="209" t="s">
        <v>781</v>
      </c>
      <c r="C2678" s="209" t="s">
        <v>2815</v>
      </c>
      <c r="D2678" s="449" t="s">
        <v>136</v>
      </c>
      <c r="E2678" s="273">
        <v>0</v>
      </c>
      <c r="F2678" s="274"/>
      <c r="G2678" s="274">
        <f t="shared" si="10"/>
        <v>0</v>
      </c>
      <c r="H2678" s="274">
        <v>0</v>
      </c>
      <c r="K2678" s="274"/>
    </row>
    <row r="2679" spans="2:11" ht="13.5" customHeight="1">
      <c r="B2679" s="209" t="s">
        <v>781</v>
      </c>
      <c r="C2679" s="209" t="s">
        <v>2815</v>
      </c>
      <c r="D2679" s="450" t="s">
        <v>137</v>
      </c>
      <c r="E2679" s="273">
        <v>0</v>
      </c>
      <c r="F2679" s="274"/>
      <c r="G2679" s="274">
        <f t="shared" si="10"/>
        <v>0</v>
      </c>
      <c r="H2679" s="274">
        <v>0</v>
      </c>
      <c r="K2679" s="274"/>
    </row>
    <row r="2680" spans="2:11" ht="13.5" customHeight="1">
      <c r="B2680" s="209" t="s">
        <v>781</v>
      </c>
      <c r="C2680" s="209" t="s">
        <v>2815</v>
      </c>
      <c r="D2680" s="451" t="s">
        <v>138</v>
      </c>
      <c r="E2680" s="273">
        <v>0</v>
      </c>
      <c r="F2680" s="274"/>
      <c r="G2680" s="274">
        <f t="shared" si="10"/>
        <v>0</v>
      </c>
      <c r="H2680" s="274">
        <v>0</v>
      </c>
      <c r="K2680" s="274"/>
    </row>
    <row r="2681" spans="2:11" ht="13.5" customHeight="1">
      <c r="B2681" s="209" t="s">
        <v>781</v>
      </c>
      <c r="C2681" s="209" t="s">
        <v>2815</v>
      </c>
      <c r="D2681" s="452" t="s">
        <v>139</v>
      </c>
      <c r="E2681" s="273">
        <v>0</v>
      </c>
      <c r="F2681" s="274"/>
      <c r="G2681" s="274">
        <f t="shared" si="10"/>
        <v>0</v>
      </c>
      <c r="H2681" s="274">
        <v>0</v>
      </c>
      <c r="K2681" s="274"/>
    </row>
    <row r="2682" spans="2:11" ht="13.5" customHeight="1">
      <c r="B2682" s="209" t="s">
        <v>781</v>
      </c>
      <c r="C2682" s="209" t="s">
        <v>2815</v>
      </c>
      <c r="D2682" s="216" t="s">
        <v>140</v>
      </c>
      <c r="E2682" s="273">
        <v>0</v>
      </c>
      <c r="F2682" s="274"/>
      <c r="G2682" s="274">
        <f t="shared" si="10"/>
        <v>0</v>
      </c>
      <c r="H2682" s="274">
        <v>0</v>
      </c>
      <c r="K2682" s="274"/>
    </row>
    <row r="2683" spans="2:11" ht="13.5" customHeight="1">
      <c r="B2683" s="209" t="s">
        <v>781</v>
      </c>
      <c r="C2683" s="209" t="s">
        <v>2815</v>
      </c>
      <c r="D2683" s="453" t="s">
        <v>141</v>
      </c>
      <c r="E2683" s="273">
        <v>0</v>
      </c>
      <c r="F2683" s="274"/>
      <c r="G2683" s="274">
        <f t="shared" si="10"/>
        <v>0</v>
      </c>
      <c r="H2683" s="274">
        <v>0</v>
      </c>
      <c r="K2683" s="274"/>
    </row>
    <row r="2684" spans="2:11" ht="13.5" customHeight="1">
      <c r="B2684" s="209" t="s">
        <v>787</v>
      </c>
      <c r="C2684" s="209" t="s">
        <v>2816</v>
      </c>
      <c r="D2684" s="446" t="s">
        <v>133</v>
      </c>
      <c r="E2684" s="273">
        <v>0</v>
      </c>
      <c r="F2684" s="274"/>
      <c r="G2684" s="274">
        <f t="shared" si="10"/>
        <v>0</v>
      </c>
      <c r="H2684" s="274">
        <v>0</v>
      </c>
      <c r="K2684" s="274"/>
    </row>
    <row r="2685" spans="2:11" ht="13.5" customHeight="1">
      <c r="B2685" s="209" t="s">
        <v>787</v>
      </c>
      <c r="C2685" s="209" t="s">
        <v>2816</v>
      </c>
      <c r="D2685" s="447" t="s">
        <v>134</v>
      </c>
      <c r="E2685" s="273">
        <v>0</v>
      </c>
      <c r="F2685" s="274"/>
      <c r="G2685" s="274">
        <f t="shared" si="10"/>
        <v>0</v>
      </c>
      <c r="H2685" s="274">
        <v>0</v>
      </c>
      <c r="K2685" s="274"/>
    </row>
    <row r="2686" spans="2:11" ht="13.5" customHeight="1">
      <c r="B2686" s="209" t="s">
        <v>787</v>
      </c>
      <c r="C2686" s="209" t="s">
        <v>2816</v>
      </c>
      <c r="D2686" s="448" t="s">
        <v>135</v>
      </c>
      <c r="E2686" s="273">
        <v>0</v>
      </c>
      <c r="F2686" s="274"/>
      <c r="G2686" s="274">
        <f t="shared" si="10"/>
        <v>0</v>
      </c>
      <c r="H2686" s="274">
        <v>0</v>
      </c>
      <c r="K2686" s="274"/>
    </row>
    <row r="2687" spans="2:11" ht="13.5" customHeight="1">
      <c r="B2687" s="209" t="s">
        <v>787</v>
      </c>
      <c r="C2687" s="209" t="s">
        <v>2816</v>
      </c>
      <c r="D2687" s="449" t="s">
        <v>136</v>
      </c>
      <c r="E2687" s="273">
        <v>0</v>
      </c>
      <c r="F2687" s="274"/>
      <c r="G2687" s="274">
        <f t="shared" si="10"/>
        <v>0</v>
      </c>
      <c r="H2687" s="274">
        <v>0</v>
      </c>
      <c r="K2687" s="274"/>
    </row>
    <row r="2688" spans="2:11" ht="13.5" customHeight="1">
      <c r="B2688" s="209" t="s">
        <v>787</v>
      </c>
      <c r="C2688" s="209" t="s">
        <v>2816</v>
      </c>
      <c r="D2688" s="450" t="s">
        <v>137</v>
      </c>
      <c r="E2688" s="273">
        <v>0</v>
      </c>
      <c r="F2688" s="274"/>
      <c r="G2688" s="274">
        <f t="shared" si="10"/>
        <v>0</v>
      </c>
      <c r="H2688" s="274">
        <v>0</v>
      </c>
      <c r="K2688" s="274"/>
    </row>
    <row r="2689" spans="2:11" ht="13.5" customHeight="1">
      <c r="B2689" s="209" t="s">
        <v>787</v>
      </c>
      <c r="C2689" s="209" t="s">
        <v>2816</v>
      </c>
      <c r="D2689" s="451" t="s">
        <v>138</v>
      </c>
      <c r="E2689" s="273">
        <v>0</v>
      </c>
      <c r="F2689" s="274"/>
      <c r="G2689" s="274">
        <f t="shared" si="10"/>
        <v>0</v>
      </c>
      <c r="H2689" s="274">
        <v>0</v>
      </c>
      <c r="K2689" s="274"/>
    </row>
    <row r="2690" spans="2:11" ht="13.5" customHeight="1">
      <c r="B2690" s="209" t="s">
        <v>787</v>
      </c>
      <c r="C2690" s="209" t="s">
        <v>2816</v>
      </c>
      <c r="D2690" s="452" t="s">
        <v>139</v>
      </c>
      <c r="E2690" s="273">
        <v>0</v>
      </c>
      <c r="F2690" s="274"/>
      <c r="G2690" s="274">
        <f t="shared" si="10"/>
        <v>0</v>
      </c>
      <c r="H2690" s="274">
        <v>0</v>
      </c>
      <c r="K2690" s="274"/>
    </row>
    <row r="2691" spans="2:11" ht="13.5" customHeight="1">
      <c r="B2691" s="209" t="s">
        <v>787</v>
      </c>
      <c r="C2691" s="209" t="s">
        <v>2816</v>
      </c>
      <c r="D2691" s="216" t="s">
        <v>140</v>
      </c>
      <c r="E2691" s="273">
        <v>0</v>
      </c>
      <c r="F2691" s="274"/>
      <c r="G2691" s="274">
        <f t="shared" si="10"/>
        <v>0</v>
      </c>
      <c r="H2691" s="274">
        <v>0</v>
      </c>
      <c r="K2691" s="274"/>
    </row>
    <row r="2692" spans="2:11" ht="13.5" customHeight="1">
      <c r="B2692" s="209" t="s">
        <v>787</v>
      </c>
      <c r="C2692" s="209" t="s">
        <v>2816</v>
      </c>
      <c r="D2692" s="453" t="s">
        <v>141</v>
      </c>
      <c r="E2692" s="273">
        <v>0</v>
      </c>
      <c r="F2692" s="274"/>
      <c r="G2692" s="274">
        <f t="shared" si="10"/>
        <v>0</v>
      </c>
      <c r="H2692" s="274">
        <v>0</v>
      </c>
      <c r="K2692" s="274"/>
    </row>
    <row r="2693" spans="2:11" ht="13.5" customHeight="1">
      <c r="B2693" s="209" t="s">
        <v>791</v>
      </c>
      <c r="C2693" s="209" t="s">
        <v>2817</v>
      </c>
      <c r="D2693" s="446" t="s">
        <v>133</v>
      </c>
      <c r="E2693" s="273">
        <v>0</v>
      </c>
      <c r="F2693" s="274"/>
      <c r="G2693" s="274">
        <f t="shared" si="10"/>
        <v>0</v>
      </c>
      <c r="H2693" s="274">
        <v>0</v>
      </c>
      <c r="K2693" s="274"/>
    </row>
    <row r="2694" spans="2:11" ht="13.5" customHeight="1">
      <c r="B2694" s="209" t="s">
        <v>791</v>
      </c>
      <c r="C2694" s="209" t="s">
        <v>2817</v>
      </c>
      <c r="D2694" s="447" t="s">
        <v>134</v>
      </c>
      <c r="E2694" s="273">
        <v>0</v>
      </c>
      <c r="F2694" s="274"/>
      <c r="G2694" s="274">
        <f t="shared" si="10"/>
        <v>0</v>
      </c>
      <c r="H2694" s="274">
        <v>0</v>
      </c>
      <c r="K2694" s="274"/>
    </row>
    <row r="2695" spans="2:11" ht="13.5" customHeight="1">
      <c r="B2695" s="209" t="s">
        <v>791</v>
      </c>
      <c r="C2695" s="209" t="s">
        <v>2817</v>
      </c>
      <c r="D2695" s="448" t="s">
        <v>135</v>
      </c>
      <c r="E2695" s="273">
        <v>0</v>
      </c>
      <c r="F2695" s="274"/>
      <c r="G2695" s="274">
        <f t="shared" si="10"/>
        <v>0</v>
      </c>
      <c r="H2695" s="274">
        <v>0</v>
      </c>
      <c r="K2695" s="274"/>
    </row>
    <row r="2696" spans="2:11" ht="13.5" customHeight="1">
      <c r="B2696" s="209" t="s">
        <v>791</v>
      </c>
      <c r="C2696" s="209" t="s">
        <v>2817</v>
      </c>
      <c r="D2696" s="449" t="s">
        <v>136</v>
      </c>
      <c r="E2696" s="273">
        <v>0</v>
      </c>
      <c r="F2696" s="274"/>
      <c r="G2696" s="274">
        <f t="shared" si="10"/>
        <v>0</v>
      </c>
      <c r="H2696" s="274">
        <v>0</v>
      </c>
      <c r="K2696" s="274"/>
    </row>
    <row r="2697" spans="2:11" ht="13.5" customHeight="1">
      <c r="B2697" s="209" t="s">
        <v>791</v>
      </c>
      <c r="C2697" s="209" t="s">
        <v>2817</v>
      </c>
      <c r="D2697" s="450" t="s">
        <v>137</v>
      </c>
      <c r="E2697" s="273">
        <v>0</v>
      </c>
      <c r="F2697" s="274"/>
      <c r="G2697" s="274">
        <f t="shared" si="10"/>
        <v>0</v>
      </c>
      <c r="H2697" s="274">
        <v>0</v>
      </c>
      <c r="K2697" s="274"/>
    </row>
    <row r="2698" spans="2:11" ht="13.5" customHeight="1">
      <c r="B2698" s="209" t="s">
        <v>791</v>
      </c>
      <c r="C2698" s="209" t="s">
        <v>2817</v>
      </c>
      <c r="D2698" s="451" t="s">
        <v>138</v>
      </c>
      <c r="E2698" s="273">
        <v>0</v>
      </c>
      <c r="F2698" s="274"/>
      <c r="G2698" s="274">
        <f t="shared" si="10"/>
        <v>0</v>
      </c>
      <c r="H2698" s="274">
        <v>0</v>
      </c>
      <c r="K2698" s="274"/>
    </row>
    <row r="2699" spans="2:11" ht="13.5" customHeight="1">
      <c r="B2699" s="209" t="s">
        <v>791</v>
      </c>
      <c r="C2699" s="209" t="s">
        <v>2817</v>
      </c>
      <c r="D2699" s="452" t="s">
        <v>139</v>
      </c>
      <c r="E2699" s="273">
        <v>0</v>
      </c>
      <c r="F2699" s="274"/>
      <c r="G2699" s="274">
        <f t="shared" si="10"/>
        <v>0</v>
      </c>
      <c r="H2699" s="274">
        <v>0</v>
      </c>
      <c r="K2699" s="274"/>
    </row>
    <row r="2700" spans="2:11" ht="13.5" customHeight="1">
      <c r="B2700" s="209" t="s">
        <v>791</v>
      </c>
      <c r="C2700" s="209" t="s">
        <v>2817</v>
      </c>
      <c r="D2700" s="216" t="s">
        <v>140</v>
      </c>
      <c r="E2700" s="273">
        <v>0</v>
      </c>
      <c r="F2700" s="274"/>
      <c r="G2700" s="274">
        <f t="shared" si="10"/>
        <v>0</v>
      </c>
      <c r="H2700" s="274">
        <v>0</v>
      </c>
      <c r="K2700" s="274"/>
    </row>
    <row r="2701" spans="2:11" ht="13.5" customHeight="1">
      <c r="B2701" s="209" t="s">
        <v>791</v>
      </c>
      <c r="C2701" s="209" t="s">
        <v>2817</v>
      </c>
      <c r="D2701" s="453" t="s">
        <v>141</v>
      </c>
      <c r="E2701" s="273">
        <v>0</v>
      </c>
      <c r="F2701" s="274"/>
      <c r="G2701" s="274">
        <f t="shared" si="10"/>
        <v>0</v>
      </c>
      <c r="H2701" s="274">
        <v>0</v>
      </c>
      <c r="K2701" s="274"/>
    </row>
    <row r="2702" spans="2:11" ht="13.5" customHeight="1">
      <c r="B2702" s="209" t="s">
        <v>793</v>
      </c>
      <c r="C2702" s="209" t="s">
        <v>2818</v>
      </c>
      <c r="D2702" s="446" t="s">
        <v>133</v>
      </c>
      <c r="E2702" s="273">
        <v>0</v>
      </c>
      <c r="F2702" s="274"/>
      <c r="G2702" s="274">
        <f t="shared" si="10"/>
        <v>0</v>
      </c>
      <c r="H2702" s="274">
        <v>0</v>
      </c>
      <c r="K2702" s="274"/>
    </row>
    <row r="2703" spans="2:11" ht="13.5" customHeight="1">
      <c r="B2703" s="209" t="s">
        <v>793</v>
      </c>
      <c r="C2703" s="209" t="s">
        <v>2818</v>
      </c>
      <c r="D2703" s="447" t="s">
        <v>134</v>
      </c>
      <c r="E2703" s="273">
        <v>0</v>
      </c>
      <c r="F2703" s="274"/>
      <c r="G2703" s="274">
        <f t="shared" si="10"/>
        <v>0</v>
      </c>
      <c r="H2703" s="274">
        <v>0</v>
      </c>
      <c r="K2703" s="274"/>
    </row>
    <row r="2704" spans="2:11" ht="13.5" customHeight="1">
      <c r="B2704" s="209" t="s">
        <v>793</v>
      </c>
      <c r="C2704" s="209" t="s">
        <v>2818</v>
      </c>
      <c r="D2704" s="448" t="s">
        <v>135</v>
      </c>
      <c r="E2704" s="273">
        <v>0</v>
      </c>
      <c r="F2704" s="274"/>
      <c r="G2704" s="274">
        <f t="shared" si="10"/>
        <v>0</v>
      </c>
      <c r="H2704" s="274">
        <v>0</v>
      </c>
      <c r="K2704" s="274"/>
    </row>
    <row r="2705" spans="2:11" ht="13.5" customHeight="1">
      <c r="B2705" s="209" t="s">
        <v>793</v>
      </c>
      <c r="C2705" s="209" t="s">
        <v>2818</v>
      </c>
      <c r="D2705" s="449" t="s">
        <v>136</v>
      </c>
      <c r="E2705" s="273">
        <v>0</v>
      </c>
      <c r="F2705" s="274"/>
      <c r="G2705" s="274">
        <f t="shared" si="10"/>
        <v>0</v>
      </c>
      <c r="H2705" s="274">
        <v>0</v>
      </c>
      <c r="K2705" s="274"/>
    </row>
    <row r="2706" spans="2:11" ht="13.5" customHeight="1">
      <c r="B2706" s="209" t="s">
        <v>793</v>
      </c>
      <c r="C2706" s="209" t="s">
        <v>2818</v>
      </c>
      <c r="D2706" s="450" t="s">
        <v>137</v>
      </c>
      <c r="E2706" s="273">
        <v>0</v>
      </c>
      <c r="F2706" s="274"/>
      <c r="G2706" s="274">
        <f t="shared" si="10"/>
        <v>0</v>
      </c>
      <c r="H2706" s="274">
        <v>0</v>
      </c>
      <c r="K2706" s="274"/>
    </row>
    <row r="2707" spans="2:11" ht="13.5" customHeight="1">
      <c r="B2707" s="209" t="s">
        <v>793</v>
      </c>
      <c r="C2707" s="209" t="s">
        <v>2818</v>
      </c>
      <c r="D2707" s="451" t="s">
        <v>138</v>
      </c>
      <c r="E2707" s="273">
        <v>0</v>
      </c>
      <c r="F2707" s="274"/>
      <c r="G2707" s="274">
        <f t="shared" si="10"/>
        <v>0</v>
      </c>
      <c r="H2707" s="274">
        <v>0</v>
      </c>
      <c r="K2707" s="274"/>
    </row>
    <row r="2708" spans="2:11" ht="13.5" customHeight="1">
      <c r="B2708" s="209" t="s">
        <v>793</v>
      </c>
      <c r="C2708" s="209" t="s">
        <v>2818</v>
      </c>
      <c r="D2708" s="452" t="s">
        <v>139</v>
      </c>
      <c r="E2708" s="273">
        <v>0</v>
      </c>
      <c r="F2708" s="274"/>
      <c r="G2708" s="274">
        <f t="shared" si="10"/>
        <v>0</v>
      </c>
      <c r="H2708" s="274">
        <v>0</v>
      </c>
      <c r="K2708" s="274"/>
    </row>
    <row r="2709" spans="2:11" ht="13.5" customHeight="1">
      <c r="B2709" s="209" t="s">
        <v>793</v>
      </c>
      <c r="C2709" s="209" t="s">
        <v>2818</v>
      </c>
      <c r="D2709" s="216" t="s">
        <v>140</v>
      </c>
      <c r="E2709" s="273">
        <v>0</v>
      </c>
      <c r="F2709" s="274"/>
      <c r="G2709" s="274">
        <f t="shared" si="10"/>
        <v>0</v>
      </c>
      <c r="H2709" s="274">
        <v>0</v>
      </c>
      <c r="K2709" s="274"/>
    </row>
    <row r="2710" spans="2:11" ht="13.5" customHeight="1">
      <c r="B2710" s="209" t="s">
        <v>793</v>
      </c>
      <c r="C2710" s="209" t="s">
        <v>2818</v>
      </c>
      <c r="D2710" s="453" t="s">
        <v>141</v>
      </c>
      <c r="E2710" s="273">
        <v>0</v>
      </c>
      <c r="F2710" s="274"/>
      <c r="G2710" s="274">
        <f t="shared" si="10"/>
        <v>0</v>
      </c>
      <c r="H2710" s="274">
        <v>0</v>
      </c>
      <c r="K2710" s="274"/>
    </row>
    <row r="2711" spans="2:11" ht="13.5" customHeight="1">
      <c r="B2711" s="209" t="s">
        <v>716</v>
      </c>
      <c r="C2711" s="209" t="s">
        <v>2826</v>
      </c>
      <c r="D2711" s="446" t="s">
        <v>133</v>
      </c>
      <c r="E2711" s="273">
        <v>0</v>
      </c>
      <c r="F2711" s="274"/>
      <c r="G2711" s="274">
        <f t="shared" si="10"/>
        <v>0</v>
      </c>
      <c r="H2711" s="274">
        <v>0</v>
      </c>
      <c r="K2711" s="274"/>
    </row>
    <row r="2712" spans="2:11" ht="13.5" customHeight="1">
      <c r="B2712" s="209" t="s">
        <v>716</v>
      </c>
      <c r="C2712" s="209" t="s">
        <v>2826</v>
      </c>
      <c r="D2712" s="447" t="s">
        <v>134</v>
      </c>
      <c r="E2712" s="273">
        <v>0</v>
      </c>
      <c r="F2712" s="274"/>
      <c r="G2712" s="274">
        <f t="shared" si="10"/>
        <v>0</v>
      </c>
      <c r="H2712" s="274">
        <v>0</v>
      </c>
      <c r="K2712" s="274"/>
    </row>
    <row r="2713" spans="2:11" ht="13.5" customHeight="1">
      <c r="B2713" s="209" t="s">
        <v>716</v>
      </c>
      <c r="C2713" s="209" t="s">
        <v>2826</v>
      </c>
      <c r="D2713" s="448" t="s">
        <v>135</v>
      </c>
      <c r="E2713" s="273">
        <v>0</v>
      </c>
      <c r="F2713" s="274"/>
      <c r="G2713" s="274">
        <f t="shared" si="10"/>
        <v>0</v>
      </c>
      <c r="H2713" s="274">
        <v>0</v>
      </c>
      <c r="K2713" s="274"/>
    </row>
    <row r="2714" spans="2:11" ht="13.5" customHeight="1">
      <c r="B2714" s="209" t="s">
        <v>716</v>
      </c>
      <c r="C2714" s="209" t="s">
        <v>2826</v>
      </c>
      <c r="D2714" s="449" t="s">
        <v>136</v>
      </c>
      <c r="E2714" s="273">
        <v>0</v>
      </c>
      <c r="F2714" s="274"/>
      <c r="G2714" s="274">
        <f t="shared" si="10"/>
        <v>0</v>
      </c>
      <c r="H2714" s="274">
        <v>0</v>
      </c>
      <c r="K2714" s="274"/>
    </row>
    <row r="2715" spans="2:11" ht="13.5" customHeight="1">
      <c r="B2715" s="209" t="s">
        <v>716</v>
      </c>
      <c r="C2715" s="209" t="s">
        <v>2826</v>
      </c>
      <c r="D2715" s="450" t="s">
        <v>137</v>
      </c>
      <c r="E2715" s="273">
        <v>0</v>
      </c>
      <c r="F2715" s="274"/>
      <c r="G2715" s="274">
        <f t="shared" si="10"/>
        <v>0</v>
      </c>
      <c r="H2715" s="274">
        <v>0</v>
      </c>
      <c r="K2715" s="274"/>
    </row>
    <row r="2716" spans="2:11" ht="13.5" customHeight="1">
      <c r="B2716" s="209" t="s">
        <v>716</v>
      </c>
      <c r="C2716" s="209" t="s">
        <v>2826</v>
      </c>
      <c r="D2716" s="451" t="s">
        <v>138</v>
      </c>
      <c r="E2716" s="273">
        <v>0</v>
      </c>
      <c r="F2716" s="274"/>
      <c r="G2716" s="274">
        <f t="shared" si="10"/>
        <v>0</v>
      </c>
      <c r="H2716" s="274">
        <v>0</v>
      </c>
      <c r="K2716" s="274"/>
    </row>
    <row r="2717" spans="2:11" ht="13.5" customHeight="1">
      <c r="B2717" s="209" t="s">
        <v>716</v>
      </c>
      <c r="C2717" s="209" t="s">
        <v>2826</v>
      </c>
      <c r="D2717" s="452" t="s">
        <v>139</v>
      </c>
      <c r="E2717" s="273">
        <v>0</v>
      </c>
      <c r="F2717" s="274"/>
      <c r="G2717" s="274">
        <f t="shared" si="10"/>
        <v>0</v>
      </c>
      <c r="H2717" s="274">
        <v>0</v>
      </c>
      <c r="K2717" s="274"/>
    </row>
    <row r="2718" spans="2:11" ht="13.5" customHeight="1">
      <c r="B2718" s="209" t="s">
        <v>716</v>
      </c>
      <c r="C2718" s="209" t="s">
        <v>2826</v>
      </c>
      <c r="D2718" s="216" t="s">
        <v>140</v>
      </c>
      <c r="E2718" s="273">
        <v>0</v>
      </c>
      <c r="F2718" s="274"/>
      <c r="G2718" s="274">
        <f t="shared" si="10"/>
        <v>0</v>
      </c>
      <c r="H2718" s="274">
        <v>0</v>
      </c>
      <c r="K2718" s="274"/>
    </row>
    <row r="2719" spans="2:11" ht="13.5" customHeight="1">
      <c r="B2719" s="209" t="s">
        <v>716</v>
      </c>
      <c r="C2719" s="209" t="s">
        <v>2826</v>
      </c>
      <c r="D2719" s="453" t="s">
        <v>141</v>
      </c>
      <c r="E2719" s="273">
        <v>0</v>
      </c>
      <c r="F2719" s="274"/>
      <c r="G2719" s="274">
        <f t="shared" si="10"/>
        <v>0</v>
      </c>
      <c r="H2719" s="274">
        <v>0</v>
      </c>
      <c r="K2719" s="274"/>
    </row>
    <row r="2720" spans="2:11" ht="13.5" customHeight="1">
      <c r="B2720" s="209" t="s">
        <v>718</v>
      </c>
      <c r="C2720" s="209" t="s">
        <v>2827</v>
      </c>
      <c r="D2720" s="446" t="s">
        <v>133</v>
      </c>
      <c r="E2720" s="273">
        <v>0</v>
      </c>
      <c r="F2720" s="274"/>
      <c r="G2720" s="274">
        <f t="shared" si="10"/>
        <v>0</v>
      </c>
      <c r="H2720" s="274">
        <v>0</v>
      </c>
      <c r="K2720" s="274"/>
    </row>
    <row r="2721" spans="2:11" ht="13.5" customHeight="1">
      <c r="B2721" s="209" t="s">
        <v>718</v>
      </c>
      <c r="C2721" s="209" t="s">
        <v>2827</v>
      </c>
      <c r="D2721" s="447" t="s">
        <v>134</v>
      </c>
      <c r="E2721" s="273">
        <v>0</v>
      </c>
      <c r="F2721" s="274"/>
      <c r="G2721" s="274">
        <f t="shared" si="10"/>
        <v>0</v>
      </c>
      <c r="H2721" s="274">
        <v>0</v>
      </c>
      <c r="K2721" s="274"/>
    </row>
    <row r="2722" spans="2:11" ht="13.5" customHeight="1">
      <c r="B2722" s="209" t="s">
        <v>718</v>
      </c>
      <c r="C2722" s="209" t="s">
        <v>2827</v>
      </c>
      <c r="D2722" s="448" t="s">
        <v>135</v>
      </c>
      <c r="E2722" s="273">
        <v>0</v>
      </c>
      <c r="F2722" s="274"/>
      <c r="G2722" s="274">
        <f t="shared" si="10"/>
        <v>0</v>
      </c>
      <c r="H2722" s="274">
        <v>0</v>
      </c>
      <c r="K2722" s="274"/>
    </row>
    <row r="2723" spans="2:11" ht="13.5" customHeight="1">
      <c r="B2723" s="209" t="s">
        <v>718</v>
      </c>
      <c r="C2723" s="209" t="s">
        <v>2827</v>
      </c>
      <c r="D2723" s="449" t="s">
        <v>136</v>
      </c>
      <c r="E2723" s="273">
        <v>0</v>
      </c>
      <c r="F2723" s="274"/>
      <c r="G2723" s="274">
        <f t="shared" si="10"/>
        <v>0</v>
      </c>
      <c r="H2723" s="274">
        <v>0</v>
      </c>
      <c r="K2723" s="274"/>
    </row>
    <row r="2724" spans="2:11" ht="13.5" customHeight="1">
      <c r="B2724" s="209" t="s">
        <v>718</v>
      </c>
      <c r="C2724" s="209" t="s">
        <v>2827</v>
      </c>
      <c r="D2724" s="450" t="s">
        <v>137</v>
      </c>
      <c r="E2724" s="273">
        <v>0</v>
      </c>
      <c r="F2724" s="274"/>
      <c r="G2724" s="274">
        <f t="shared" si="10"/>
        <v>0</v>
      </c>
      <c r="H2724" s="274">
        <v>0</v>
      </c>
      <c r="K2724" s="274"/>
    </row>
    <row r="2725" spans="2:11" ht="13.5" customHeight="1">
      <c r="B2725" s="209" t="s">
        <v>718</v>
      </c>
      <c r="C2725" s="209" t="s">
        <v>2827</v>
      </c>
      <c r="D2725" s="451" t="s">
        <v>138</v>
      </c>
      <c r="E2725" s="273">
        <v>0</v>
      </c>
      <c r="F2725" s="274"/>
      <c r="G2725" s="274">
        <f t="shared" si="10"/>
        <v>0</v>
      </c>
      <c r="H2725" s="274">
        <v>0</v>
      </c>
      <c r="K2725" s="274"/>
    </row>
    <row r="2726" spans="2:11" ht="13.5" customHeight="1">
      <c r="B2726" s="209" t="s">
        <v>718</v>
      </c>
      <c r="C2726" s="209" t="s">
        <v>2827</v>
      </c>
      <c r="D2726" s="452" t="s">
        <v>139</v>
      </c>
      <c r="E2726" s="273">
        <v>0</v>
      </c>
      <c r="F2726" s="274"/>
      <c r="G2726" s="274">
        <f t="shared" si="10"/>
        <v>0</v>
      </c>
      <c r="H2726" s="274">
        <v>0</v>
      </c>
      <c r="K2726" s="274"/>
    </row>
    <row r="2727" spans="2:11" ht="13.5" customHeight="1">
      <c r="B2727" s="209" t="s">
        <v>718</v>
      </c>
      <c r="C2727" s="209" t="s">
        <v>2827</v>
      </c>
      <c r="D2727" s="216" t="s">
        <v>140</v>
      </c>
      <c r="E2727" s="273">
        <v>0</v>
      </c>
      <c r="F2727" s="274"/>
      <c r="G2727" s="274">
        <f t="shared" si="10"/>
        <v>0</v>
      </c>
      <c r="H2727" s="274">
        <v>0</v>
      </c>
      <c r="K2727" s="274"/>
    </row>
    <row r="2728" spans="2:11" ht="13.5" customHeight="1">
      <c r="B2728" s="209" t="s">
        <v>718</v>
      </c>
      <c r="C2728" s="209" t="s">
        <v>2827</v>
      </c>
      <c r="D2728" s="453" t="s">
        <v>141</v>
      </c>
      <c r="E2728" s="273">
        <v>0</v>
      </c>
      <c r="F2728" s="274"/>
      <c r="G2728" s="274">
        <f t="shared" si="10"/>
        <v>0</v>
      </c>
      <c r="H2728" s="274">
        <v>0</v>
      </c>
      <c r="K2728" s="274"/>
    </row>
    <row r="2729" spans="2:11" ht="13.5" customHeight="1">
      <c r="B2729" s="209" t="s">
        <v>720</v>
      </c>
      <c r="C2729" s="209" t="s">
        <v>2828</v>
      </c>
      <c r="D2729" s="446" t="s">
        <v>133</v>
      </c>
      <c r="E2729" s="273">
        <v>0</v>
      </c>
      <c r="F2729" s="274"/>
      <c r="G2729" s="274">
        <f t="shared" si="10"/>
        <v>0</v>
      </c>
      <c r="H2729" s="274">
        <v>0</v>
      </c>
      <c r="K2729" s="274"/>
    </row>
    <row r="2730" spans="2:11" ht="13.5" customHeight="1">
      <c r="B2730" s="209" t="s">
        <v>720</v>
      </c>
      <c r="C2730" s="209" t="s">
        <v>2828</v>
      </c>
      <c r="D2730" s="447" t="s">
        <v>134</v>
      </c>
      <c r="E2730" s="273">
        <v>0</v>
      </c>
      <c r="F2730" s="274"/>
      <c r="G2730" s="274">
        <f t="shared" si="10"/>
        <v>0</v>
      </c>
      <c r="H2730" s="274">
        <v>0</v>
      </c>
      <c r="K2730" s="274"/>
    </row>
    <row r="2731" spans="2:11" ht="13.5" customHeight="1">
      <c r="B2731" s="209" t="s">
        <v>720</v>
      </c>
      <c r="C2731" s="209" t="s">
        <v>2828</v>
      </c>
      <c r="D2731" s="448" t="s">
        <v>135</v>
      </c>
      <c r="E2731" s="273">
        <v>0</v>
      </c>
      <c r="F2731" s="274"/>
      <c r="G2731" s="274">
        <f t="shared" si="10"/>
        <v>0</v>
      </c>
      <c r="H2731" s="274">
        <v>0</v>
      </c>
      <c r="K2731" s="274"/>
    </row>
    <row r="2732" spans="2:11" ht="13.5" customHeight="1">
      <c r="B2732" s="209" t="s">
        <v>720</v>
      </c>
      <c r="C2732" s="209" t="s">
        <v>2828</v>
      </c>
      <c r="D2732" s="449" t="s">
        <v>136</v>
      </c>
      <c r="E2732" s="273">
        <v>0</v>
      </c>
      <c r="F2732" s="274"/>
      <c r="G2732" s="274">
        <f t="shared" si="10"/>
        <v>0</v>
      </c>
      <c r="H2732" s="274">
        <v>0</v>
      </c>
      <c r="K2732" s="274"/>
    </row>
    <row r="2733" spans="2:11" ht="13.5" customHeight="1">
      <c r="B2733" s="209" t="s">
        <v>720</v>
      </c>
      <c r="C2733" s="209" t="s">
        <v>2828</v>
      </c>
      <c r="D2733" s="450" t="s">
        <v>137</v>
      </c>
      <c r="E2733" s="273">
        <v>0</v>
      </c>
      <c r="F2733" s="274"/>
      <c r="G2733" s="274">
        <f t="shared" si="10"/>
        <v>0</v>
      </c>
      <c r="H2733" s="274">
        <v>0</v>
      </c>
      <c r="K2733" s="274"/>
    </row>
    <row r="2734" spans="2:11" ht="13.5" customHeight="1">
      <c r="B2734" s="209" t="s">
        <v>720</v>
      </c>
      <c r="C2734" s="209" t="s">
        <v>2828</v>
      </c>
      <c r="D2734" s="451" t="s">
        <v>138</v>
      </c>
      <c r="E2734" s="273">
        <v>0</v>
      </c>
      <c r="F2734" s="274"/>
      <c r="G2734" s="274">
        <f t="shared" si="10"/>
        <v>0</v>
      </c>
      <c r="H2734" s="274">
        <v>0</v>
      </c>
      <c r="K2734" s="274"/>
    </row>
    <row r="2735" spans="2:11" ht="13.5" customHeight="1">
      <c r="B2735" s="209" t="s">
        <v>720</v>
      </c>
      <c r="C2735" s="209" t="s">
        <v>2828</v>
      </c>
      <c r="D2735" s="452" t="s">
        <v>139</v>
      </c>
      <c r="E2735" s="273">
        <v>0</v>
      </c>
      <c r="F2735" s="274"/>
      <c r="G2735" s="274">
        <f t="shared" si="10"/>
        <v>0</v>
      </c>
      <c r="H2735" s="274">
        <v>0</v>
      </c>
      <c r="K2735" s="274"/>
    </row>
    <row r="2736" spans="2:11" ht="13.5" customHeight="1">
      <c r="B2736" s="209" t="s">
        <v>720</v>
      </c>
      <c r="C2736" s="209" t="s">
        <v>2828</v>
      </c>
      <c r="D2736" s="216" t="s">
        <v>140</v>
      </c>
      <c r="E2736" s="273">
        <v>0</v>
      </c>
      <c r="F2736" s="274"/>
      <c r="G2736" s="274">
        <f t="shared" si="10"/>
        <v>0</v>
      </c>
      <c r="H2736" s="274">
        <v>0</v>
      </c>
      <c r="K2736" s="274"/>
    </row>
    <row r="2737" spans="2:11" ht="13.5" customHeight="1">
      <c r="B2737" s="209" t="s">
        <v>720</v>
      </c>
      <c r="C2737" s="209" t="s">
        <v>2828</v>
      </c>
      <c r="D2737" s="453" t="s">
        <v>141</v>
      </c>
      <c r="E2737" s="273">
        <v>0</v>
      </c>
      <c r="F2737" s="274"/>
      <c r="G2737" s="274">
        <f t="shared" si="10"/>
        <v>0</v>
      </c>
      <c r="H2737" s="274">
        <v>0</v>
      </c>
      <c r="K2737" s="274"/>
    </row>
    <row r="2738" spans="2:11" ht="13.5" customHeight="1">
      <c r="B2738" s="209" t="s">
        <v>722</v>
      </c>
      <c r="C2738" s="209" t="s">
        <v>2829</v>
      </c>
      <c r="D2738" s="446" t="s">
        <v>133</v>
      </c>
      <c r="E2738" s="273">
        <v>0</v>
      </c>
      <c r="F2738" s="274"/>
      <c r="G2738" s="274">
        <f t="shared" si="10"/>
        <v>0</v>
      </c>
      <c r="H2738" s="274">
        <v>0</v>
      </c>
      <c r="K2738" s="274"/>
    </row>
    <row r="2739" spans="2:11" ht="13.5" customHeight="1">
      <c r="B2739" s="209" t="s">
        <v>722</v>
      </c>
      <c r="C2739" s="209" t="s">
        <v>2829</v>
      </c>
      <c r="D2739" s="447" t="s">
        <v>134</v>
      </c>
      <c r="E2739" s="273">
        <v>0</v>
      </c>
      <c r="F2739" s="274"/>
      <c r="G2739" s="274">
        <f t="shared" si="10"/>
        <v>0</v>
      </c>
      <c r="H2739" s="274">
        <v>0</v>
      </c>
      <c r="K2739" s="274"/>
    </row>
    <row r="2740" spans="2:11" ht="13.5" customHeight="1">
      <c r="B2740" s="209" t="s">
        <v>722</v>
      </c>
      <c r="C2740" s="209" t="s">
        <v>2829</v>
      </c>
      <c r="D2740" s="448" t="s">
        <v>135</v>
      </c>
      <c r="E2740" s="273">
        <v>0</v>
      </c>
      <c r="F2740" s="274"/>
      <c r="G2740" s="274">
        <f t="shared" si="10"/>
        <v>0</v>
      </c>
      <c r="H2740" s="274">
        <v>0</v>
      </c>
      <c r="K2740" s="274"/>
    </row>
    <row r="2741" spans="2:11" ht="13.5" customHeight="1">
      <c r="B2741" s="209" t="s">
        <v>722</v>
      </c>
      <c r="C2741" s="209" t="s">
        <v>2829</v>
      </c>
      <c r="D2741" s="449" t="s">
        <v>136</v>
      </c>
      <c r="E2741" s="273">
        <v>0</v>
      </c>
      <c r="F2741" s="274"/>
      <c r="G2741" s="274">
        <f t="shared" si="10"/>
        <v>0</v>
      </c>
      <c r="H2741" s="274">
        <v>0</v>
      </c>
      <c r="K2741" s="274"/>
    </row>
    <row r="2742" spans="2:11" ht="13.5" customHeight="1">
      <c r="B2742" s="209" t="s">
        <v>722</v>
      </c>
      <c r="C2742" s="209" t="s">
        <v>2829</v>
      </c>
      <c r="D2742" s="450" t="s">
        <v>137</v>
      </c>
      <c r="E2742" s="273">
        <v>0</v>
      </c>
      <c r="F2742" s="274"/>
      <c r="G2742" s="274">
        <f t="shared" si="10"/>
        <v>0</v>
      </c>
      <c r="H2742" s="274">
        <v>0</v>
      </c>
      <c r="K2742" s="274"/>
    </row>
    <row r="2743" spans="2:11" ht="13.5" customHeight="1">
      <c r="B2743" s="209" t="s">
        <v>722</v>
      </c>
      <c r="C2743" s="209" t="s">
        <v>2829</v>
      </c>
      <c r="D2743" s="451" t="s">
        <v>138</v>
      </c>
      <c r="E2743" s="273">
        <v>0</v>
      </c>
      <c r="F2743" s="274"/>
      <c r="G2743" s="274">
        <f t="shared" si="10"/>
        <v>0</v>
      </c>
      <c r="H2743" s="274">
        <v>0</v>
      </c>
      <c r="K2743" s="274"/>
    </row>
    <row r="2744" spans="2:11" ht="13.5" customHeight="1">
      <c r="B2744" s="209" t="s">
        <v>722</v>
      </c>
      <c r="C2744" s="209" t="s">
        <v>2829</v>
      </c>
      <c r="D2744" s="452" t="s">
        <v>139</v>
      </c>
      <c r="E2744" s="273">
        <v>0</v>
      </c>
      <c r="F2744" s="274"/>
      <c r="G2744" s="274">
        <f t="shared" si="10"/>
        <v>0</v>
      </c>
      <c r="H2744" s="274">
        <v>0</v>
      </c>
      <c r="K2744" s="274"/>
    </row>
    <row r="2745" spans="2:11" ht="13.5" customHeight="1">
      <c r="B2745" s="209" t="s">
        <v>722</v>
      </c>
      <c r="C2745" s="209" t="s">
        <v>2829</v>
      </c>
      <c r="D2745" s="216" t="s">
        <v>140</v>
      </c>
      <c r="E2745" s="273">
        <v>0</v>
      </c>
      <c r="F2745" s="274"/>
      <c r="G2745" s="274">
        <f t="shared" si="10"/>
        <v>0</v>
      </c>
      <c r="H2745" s="274">
        <v>0</v>
      </c>
      <c r="K2745" s="274"/>
    </row>
    <row r="2746" spans="2:11" ht="13.5" customHeight="1">
      <c r="B2746" s="209" t="s">
        <v>722</v>
      </c>
      <c r="C2746" s="209" t="s">
        <v>2829</v>
      </c>
      <c r="D2746" s="453" t="s">
        <v>141</v>
      </c>
      <c r="E2746" s="273">
        <v>0</v>
      </c>
      <c r="F2746" s="274"/>
      <c r="G2746" s="274">
        <f t="shared" si="10"/>
        <v>0</v>
      </c>
      <c r="H2746" s="274">
        <v>0</v>
      </c>
      <c r="K2746" s="274"/>
    </row>
    <row r="2747" spans="2:11" ht="13.5" customHeight="1">
      <c r="B2747" s="209" t="s">
        <v>708</v>
      </c>
      <c r="C2747" s="209" t="s">
        <v>2830</v>
      </c>
      <c r="D2747" s="446" t="s">
        <v>133</v>
      </c>
      <c r="E2747" s="273">
        <v>0</v>
      </c>
      <c r="F2747" s="274"/>
      <c r="G2747" s="274">
        <f t="shared" si="10"/>
        <v>0</v>
      </c>
      <c r="H2747" s="274">
        <v>0</v>
      </c>
      <c r="K2747" s="274"/>
    </row>
    <row r="2748" spans="2:11" ht="13.5" customHeight="1">
      <c r="B2748" s="209" t="s">
        <v>708</v>
      </c>
      <c r="C2748" s="209" t="s">
        <v>2830</v>
      </c>
      <c r="D2748" s="447" t="s">
        <v>134</v>
      </c>
      <c r="E2748" s="273">
        <v>0</v>
      </c>
      <c r="F2748" s="274"/>
      <c r="G2748" s="274">
        <f t="shared" si="10"/>
        <v>0</v>
      </c>
      <c r="H2748" s="274">
        <v>0</v>
      </c>
      <c r="K2748" s="274"/>
    </row>
    <row r="2749" spans="2:11" ht="13.5" customHeight="1">
      <c r="B2749" s="209" t="s">
        <v>708</v>
      </c>
      <c r="C2749" s="209" t="s">
        <v>2830</v>
      </c>
      <c r="D2749" s="448" t="s">
        <v>135</v>
      </c>
      <c r="E2749" s="273">
        <v>0</v>
      </c>
      <c r="F2749" s="274"/>
      <c r="G2749" s="274">
        <f t="shared" si="10"/>
        <v>0</v>
      </c>
      <c r="H2749" s="274">
        <v>0</v>
      </c>
      <c r="K2749" s="274"/>
    </row>
    <row r="2750" spans="2:11" ht="13.5" customHeight="1">
      <c r="B2750" s="209" t="s">
        <v>708</v>
      </c>
      <c r="C2750" s="209" t="s">
        <v>2830</v>
      </c>
      <c r="D2750" s="449" t="s">
        <v>136</v>
      </c>
      <c r="E2750" s="273">
        <v>0</v>
      </c>
      <c r="F2750" s="274"/>
      <c r="G2750" s="274">
        <f t="shared" si="10"/>
        <v>0</v>
      </c>
      <c r="H2750" s="274">
        <v>0</v>
      </c>
      <c r="K2750" s="274"/>
    </row>
    <row r="2751" spans="2:11" ht="13.5" customHeight="1">
      <c r="B2751" s="209" t="s">
        <v>708</v>
      </c>
      <c r="C2751" s="209" t="s">
        <v>2830</v>
      </c>
      <c r="D2751" s="450" t="s">
        <v>137</v>
      </c>
      <c r="E2751" s="273">
        <v>0</v>
      </c>
      <c r="F2751" s="274"/>
      <c r="G2751" s="274">
        <f t="shared" si="10"/>
        <v>0</v>
      </c>
      <c r="H2751" s="274">
        <v>0</v>
      </c>
      <c r="K2751" s="274"/>
    </row>
    <row r="2752" spans="2:11" ht="13.5" customHeight="1">
      <c r="B2752" s="209" t="s">
        <v>708</v>
      </c>
      <c r="C2752" s="209" t="s">
        <v>2830</v>
      </c>
      <c r="D2752" s="451" t="s">
        <v>138</v>
      </c>
      <c r="E2752" s="273">
        <v>0</v>
      </c>
      <c r="F2752" s="274"/>
      <c r="G2752" s="274">
        <f t="shared" si="10"/>
        <v>0</v>
      </c>
      <c r="H2752" s="274">
        <v>0</v>
      </c>
      <c r="K2752" s="274"/>
    </row>
    <row r="2753" spans="2:11" ht="13.5" customHeight="1">
      <c r="B2753" s="209" t="s">
        <v>708</v>
      </c>
      <c r="C2753" s="209" t="s">
        <v>2830</v>
      </c>
      <c r="D2753" s="452" t="s">
        <v>139</v>
      </c>
      <c r="E2753" s="273">
        <v>0</v>
      </c>
      <c r="F2753" s="274"/>
      <c r="G2753" s="274">
        <f t="shared" si="10"/>
        <v>0</v>
      </c>
      <c r="H2753" s="274">
        <v>0</v>
      </c>
      <c r="K2753" s="274"/>
    </row>
    <row r="2754" spans="2:11" ht="13.5" customHeight="1">
      <c r="B2754" s="209" t="s">
        <v>708</v>
      </c>
      <c r="C2754" s="209" t="s">
        <v>2830</v>
      </c>
      <c r="D2754" s="216" t="s">
        <v>140</v>
      </c>
      <c r="E2754" s="273">
        <v>0</v>
      </c>
      <c r="F2754" s="274"/>
      <c r="G2754" s="274">
        <f t="shared" si="10"/>
        <v>0</v>
      </c>
      <c r="H2754" s="274">
        <v>0</v>
      </c>
      <c r="K2754" s="274"/>
    </row>
    <row r="2755" spans="2:11" ht="13.5" customHeight="1">
      <c r="B2755" s="209" t="s">
        <v>708</v>
      </c>
      <c r="C2755" s="209" t="s">
        <v>2830</v>
      </c>
      <c r="D2755" s="453" t="s">
        <v>141</v>
      </c>
      <c r="E2755" s="273">
        <v>0</v>
      </c>
      <c r="F2755" s="274"/>
      <c r="G2755" s="274">
        <f t="shared" si="10"/>
        <v>0</v>
      </c>
      <c r="H2755" s="274">
        <v>0</v>
      </c>
      <c r="K2755" s="274"/>
    </row>
    <row r="2756" spans="2:11" ht="13.5" customHeight="1">
      <c r="B2756" s="209" t="s">
        <v>702</v>
      </c>
      <c r="C2756" s="209" t="s">
        <v>2831</v>
      </c>
      <c r="D2756" s="446" t="s">
        <v>133</v>
      </c>
      <c r="E2756" s="273">
        <v>0</v>
      </c>
      <c r="F2756" s="274"/>
      <c r="G2756" s="274">
        <f t="shared" si="10"/>
        <v>0</v>
      </c>
      <c r="H2756" s="274">
        <v>0</v>
      </c>
      <c r="K2756" s="274"/>
    </row>
    <row r="2757" spans="2:11" ht="13.5" customHeight="1">
      <c r="B2757" s="209" t="s">
        <v>702</v>
      </c>
      <c r="C2757" s="209" t="s">
        <v>2831</v>
      </c>
      <c r="D2757" s="447" t="s">
        <v>134</v>
      </c>
      <c r="E2757" s="273">
        <v>0</v>
      </c>
      <c r="F2757" s="274"/>
      <c r="G2757" s="274">
        <f t="shared" si="10"/>
        <v>0</v>
      </c>
      <c r="H2757" s="274">
        <v>0</v>
      </c>
      <c r="K2757" s="274"/>
    </row>
    <row r="2758" spans="2:11" ht="13.5" customHeight="1">
      <c r="B2758" s="209" t="s">
        <v>702</v>
      </c>
      <c r="C2758" s="209" t="s">
        <v>2831</v>
      </c>
      <c r="D2758" s="448" t="s">
        <v>135</v>
      </c>
      <c r="E2758" s="273">
        <v>0</v>
      </c>
      <c r="F2758" s="274"/>
      <c r="G2758" s="274">
        <f t="shared" si="10"/>
        <v>0</v>
      </c>
      <c r="H2758" s="274">
        <v>0</v>
      </c>
      <c r="K2758" s="274"/>
    </row>
    <row r="2759" spans="2:11" ht="13.5" customHeight="1">
      <c r="B2759" s="209" t="s">
        <v>702</v>
      </c>
      <c r="C2759" s="209" t="s">
        <v>2831</v>
      </c>
      <c r="D2759" s="449" t="s">
        <v>136</v>
      </c>
      <c r="E2759" s="273">
        <v>0</v>
      </c>
      <c r="F2759" s="274"/>
      <c r="G2759" s="274">
        <f t="shared" si="10"/>
        <v>0</v>
      </c>
      <c r="H2759" s="274">
        <v>0</v>
      </c>
      <c r="K2759" s="274"/>
    </row>
    <row r="2760" spans="2:11" ht="13.5" customHeight="1">
      <c r="B2760" s="209" t="s">
        <v>702</v>
      </c>
      <c r="C2760" s="209" t="s">
        <v>2831</v>
      </c>
      <c r="D2760" s="450" t="s">
        <v>137</v>
      </c>
      <c r="E2760" s="273">
        <v>0</v>
      </c>
      <c r="F2760" s="274"/>
      <c r="G2760" s="274">
        <f t="shared" si="10"/>
        <v>0</v>
      </c>
      <c r="H2760" s="274">
        <v>0</v>
      </c>
      <c r="K2760" s="274"/>
    </row>
    <row r="2761" spans="2:11" ht="13.5" customHeight="1">
      <c r="B2761" s="209" t="s">
        <v>702</v>
      </c>
      <c r="C2761" s="209" t="s">
        <v>2831</v>
      </c>
      <c r="D2761" s="451" t="s">
        <v>138</v>
      </c>
      <c r="E2761" s="273">
        <v>0</v>
      </c>
      <c r="F2761" s="274"/>
      <c r="G2761" s="274">
        <f t="shared" si="10"/>
        <v>0</v>
      </c>
      <c r="H2761" s="274">
        <v>0</v>
      </c>
      <c r="K2761" s="274"/>
    </row>
    <row r="2762" spans="2:11" ht="13.5" customHeight="1">
      <c r="B2762" s="209" t="s">
        <v>702</v>
      </c>
      <c r="C2762" s="209" t="s">
        <v>2831</v>
      </c>
      <c r="D2762" s="452" t="s">
        <v>139</v>
      </c>
      <c r="E2762" s="273">
        <v>0</v>
      </c>
      <c r="F2762" s="274"/>
      <c r="G2762" s="274">
        <f t="shared" si="10"/>
        <v>0</v>
      </c>
      <c r="H2762" s="274">
        <v>0</v>
      </c>
      <c r="K2762" s="274"/>
    </row>
    <row r="2763" spans="2:11" ht="13.5" customHeight="1">
      <c r="B2763" s="209" t="s">
        <v>702</v>
      </c>
      <c r="C2763" s="209" t="s">
        <v>2831</v>
      </c>
      <c r="D2763" s="216" t="s">
        <v>140</v>
      </c>
      <c r="E2763" s="273">
        <v>0</v>
      </c>
      <c r="F2763" s="274"/>
      <c r="G2763" s="274">
        <f t="shared" si="10"/>
        <v>0</v>
      </c>
      <c r="H2763" s="274">
        <v>0</v>
      </c>
      <c r="K2763" s="274"/>
    </row>
    <row r="2764" spans="2:11" ht="13.5" customHeight="1">
      <c r="B2764" s="209" t="s">
        <v>702</v>
      </c>
      <c r="C2764" s="209" t="s">
        <v>2831</v>
      </c>
      <c r="D2764" s="453" t="s">
        <v>141</v>
      </c>
      <c r="E2764" s="273">
        <v>0</v>
      </c>
      <c r="F2764" s="274"/>
      <c r="G2764" s="274">
        <f t="shared" si="10"/>
        <v>0</v>
      </c>
      <c r="H2764" s="274">
        <v>0</v>
      </c>
      <c r="K2764" s="274"/>
    </row>
    <row r="2765" spans="2:11" ht="13.5" customHeight="1">
      <c r="B2765" s="209" t="s">
        <v>694</v>
      </c>
      <c r="C2765" s="209" t="s">
        <v>2832</v>
      </c>
      <c r="D2765" s="446" t="s">
        <v>133</v>
      </c>
      <c r="E2765" s="273">
        <v>0</v>
      </c>
      <c r="F2765" s="274"/>
      <c r="G2765" s="274">
        <f t="shared" si="10"/>
        <v>0</v>
      </c>
      <c r="H2765" s="274">
        <v>0</v>
      </c>
      <c r="K2765" s="274"/>
    </row>
    <row r="2766" spans="2:11" ht="13.5" customHeight="1">
      <c r="B2766" s="209" t="s">
        <v>694</v>
      </c>
      <c r="C2766" s="209" t="s">
        <v>2832</v>
      </c>
      <c r="D2766" s="447" t="s">
        <v>134</v>
      </c>
      <c r="E2766" s="273">
        <v>0</v>
      </c>
      <c r="F2766" s="274"/>
      <c r="G2766" s="274">
        <f t="shared" si="10"/>
        <v>0</v>
      </c>
      <c r="H2766" s="274">
        <v>0</v>
      </c>
      <c r="K2766" s="274"/>
    </row>
    <row r="2767" spans="2:11" ht="13.5" customHeight="1">
      <c r="B2767" s="209" t="s">
        <v>694</v>
      </c>
      <c r="C2767" s="209" t="s">
        <v>2832</v>
      </c>
      <c r="D2767" s="448" t="s">
        <v>135</v>
      </c>
      <c r="E2767" s="273">
        <v>0</v>
      </c>
      <c r="F2767" s="274"/>
      <c r="G2767" s="274">
        <f t="shared" si="10"/>
        <v>0</v>
      </c>
      <c r="H2767" s="274">
        <v>0</v>
      </c>
      <c r="K2767" s="274"/>
    </row>
    <row r="2768" spans="2:11" ht="13.5" customHeight="1">
      <c r="B2768" s="209" t="s">
        <v>694</v>
      </c>
      <c r="C2768" s="209" t="s">
        <v>2832</v>
      </c>
      <c r="D2768" s="449" t="s">
        <v>136</v>
      </c>
      <c r="E2768" s="273">
        <v>0</v>
      </c>
      <c r="F2768" s="274"/>
      <c r="G2768" s="274">
        <f t="shared" si="10"/>
        <v>0</v>
      </c>
      <c r="H2768" s="274">
        <v>0</v>
      </c>
      <c r="K2768" s="274"/>
    </row>
    <row r="2769" spans="2:11" ht="13.5" customHeight="1">
      <c r="B2769" s="209" t="s">
        <v>694</v>
      </c>
      <c r="C2769" s="209" t="s">
        <v>2832</v>
      </c>
      <c r="D2769" s="450" t="s">
        <v>137</v>
      </c>
      <c r="E2769" s="273">
        <v>0</v>
      </c>
      <c r="F2769" s="274"/>
      <c r="G2769" s="274">
        <f t="shared" si="10"/>
        <v>0</v>
      </c>
      <c r="H2769" s="274">
        <v>0</v>
      </c>
      <c r="K2769" s="274"/>
    </row>
    <row r="2770" spans="2:11" ht="13.5" customHeight="1">
      <c r="B2770" s="209" t="s">
        <v>694</v>
      </c>
      <c r="C2770" s="209" t="s">
        <v>2832</v>
      </c>
      <c r="D2770" s="451" t="s">
        <v>138</v>
      </c>
      <c r="E2770" s="273">
        <v>0</v>
      </c>
      <c r="F2770" s="274"/>
      <c r="G2770" s="274">
        <f t="shared" si="10"/>
        <v>0</v>
      </c>
      <c r="H2770" s="274">
        <v>0</v>
      </c>
      <c r="K2770" s="274"/>
    </row>
    <row r="2771" spans="2:11" ht="13.5" customHeight="1">
      <c r="B2771" s="209" t="s">
        <v>694</v>
      </c>
      <c r="C2771" s="209" t="s">
        <v>2832</v>
      </c>
      <c r="D2771" s="452" t="s">
        <v>139</v>
      </c>
      <c r="E2771" s="273">
        <v>0</v>
      </c>
      <c r="F2771" s="274"/>
      <c r="G2771" s="274">
        <f t="shared" si="10"/>
        <v>0</v>
      </c>
      <c r="H2771" s="274">
        <v>0</v>
      </c>
      <c r="K2771" s="274"/>
    </row>
    <row r="2772" spans="2:11" ht="13.5" customHeight="1">
      <c r="B2772" s="209" t="s">
        <v>694</v>
      </c>
      <c r="C2772" s="209" t="s">
        <v>2832</v>
      </c>
      <c r="D2772" s="216" t="s">
        <v>140</v>
      </c>
      <c r="E2772" s="273">
        <v>0</v>
      </c>
      <c r="F2772" s="274"/>
      <c r="G2772" s="274">
        <f t="shared" si="10"/>
        <v>0</v>
      </c>
      <c r="H2772" s="274">
        <v>0</v>
      </c>
      <c r="K2772" s="274"/>
    </row>
    <row r="2773" spans="2:11" ht="13.5" customHeight="1">
      <c r="B2773" s="209" t="s">
        <v>694</v>
      </c>
      <c r="C2773" s="209" t="s">
        <v>2832</v>
      </c>
      <c r="D2773" s="453" t="s">
        <v>141</v>
      </c>
      <c r="E2773" s="273">
        <v>0</v>
      </c>
      <c r="F2773" s="274"/>
      <c r="G2773" s="274">
        <f t="shared" si="10"/>
        <v>0</v>
      </c>
      <c r="H2773" s="274">
        <v>0</v>
      </c>
      <c r="K2773" s="274"/>
    </row>
    <row r="2774" spans="2:11" ht="13.5" customHeight="1">
      <c r="B2774" s="209" t="s">
        <v>696</v>
      </c>
      <c r="C2774" s="209" t="s">
        <v>2833</v>
      </c>
      <c r="D2774" s="446" t="s">
        <v>133</v>
      </c>
      <c r="E2774" s="273">
        <v>0</v>
      </c>
      <c r="F2774" s="274"/>
      <c r="G2774" s="274">
        <f t="shared" si="10"/>
        <v>0</v>
      </c>
      <c r="H2774" s="274">
        <v>0</v>
      </c>
      <c r="K2774" s="274"/>
    </row>
    <row r="2775" spans="2:11" ht="13.5" customHeight="1">
      <c r="B2775" s="209" t="s">
        <v>696</v>
      </c>
      <c r="C2775" s="209" t="s">
        <v>2833</v>
      </c>
      <c r="D2775" s="447" t="s">
        <v>134</v>
      </c>
      <c r="E2775" s="273">
        <v>0</v>
      </c>
      <c r="F2775" s="274"/>
      <c r="G2775" s="274">
        <f t="shared" si="10"/>
        <v>0</v>
      </c>
      <c r="H2775" s="274">
        <v>0</v>
      </c>
      <c r="K2775" s="274"/>
    </row>
    <row r="2776" spans="2:11" ht="13.5" customHeight="1">
      <c r="B2776" s="209" t="s">
        <v>696</v>
      </c>
      <c r="C2776" s="209" t="s">
        <v>2833</v>
      </c>
      <c r="D2776" s="448" t="s">
        <v>135</v>
      </c>
      <c r="E2776" s="273">
        <v>0</v>
      </c>
      <c r="F2776" s="274"/>
      <c r="G2776" s="274">
        <f t="shared" si="10"/>
        <v>0</v>
      </c>
      <c r="H2776" s="274">
        <v>0</v>
      </c>
      <c r="K2776" s="274"/>
    </row>
    <row r="2777" spans="2:11" ht="13.5" customHeight="1">
      <c r="B2777" s="209" t="s">
        <v>696</v>
      </c>
      <c r="C2777" s="209" t="s">
        <v>2833</v>
      </c>
      <c r="D2777" s="449" t="s">
        <v>136</v>
      </c>
      <c r="E2777" s="273">
        <v>0</v>
      </c>
      <c r="F2777" s="274"/>
      <c r="G2777" s="274">
        <f t="shared" si="10"/>
        <v>0</v>
      </c>
      <c r="H2777" s="274">
        <v>0</v>
      </c>
      <c r="K2777" s="274"/>
    </row>
    <row r="2778" spans="2:11" ht="13.5" customHeight="1">
      <c r="B2778" s="209" t="s">
        <v>696</v>
      </c>
      <c r="C2778" s="209" t="s">
        <v>2833</v>
      </c>
      <c r="D2778" s="450" t="s">
        <v>137</v>
      </c>
      <c r="E2778" s="273">
        <v>0</v>
      </c>
      <c r="F2778" s="274"/>
      <c r="G2778" s="274">
        <f t="shared" si="10"/>
        <v>0</v>
      </c>
      <c r="H2778" s="274">
        <v>0</v>
      </c>
      <c r="K2778" s="274"/>
    </row>
    <row r="2779" spans="2:11" ht="13.5" customHeight="1">
      <c r="B2779" s="209" t="s">
        <v>696</v>
      </c>
      <c r="C2779" s="209" t="s">
        <v>2833</v>
      </c>
      <c r="D2779" s="451" t="s">
        <v>138</v>
      </c>
      <c r="E2779" s="273">
        <v>0</v>
      </c>
      <c r="F2779" s="274"/>
      <c r="G2779" s="274">
        <f t="shared" si="10"/>
        <v>0</v>
      </c>
      <c r="H2779" s="274">
        <v>0</v>
      </c>
      <c r="K2779" s="274"/>
    </row>
    <row r="2780" spans="2:11" ht="13.5" customHeight="1">
      <c r="B2780" s="209" t="s">
        <v>696</v>
      </c>
      <c r="C2780" s="209" t="s">
        <v>2833</v>
      </c>
      <c r="D2780" s="452" t="s">
        <v>139</v>
      </c>
      <c r="E2780" s="273">
        <v>0</v>
      </c>
      <c r="F2780" s="274"/>
      <c r="G2780" s="274">
        <f t="shared" si="10"/>
        <v>0</v>
      </c>
      <c r="H2780" s="274">
        <v>0</v>
      </c>
      <c r="K2780" s="274"/>
    </row>
    <row r="2781" spans="2:11" ht="13.5" customHeight="1">
      <c r="B2781" s="209" t="s">
        <v>696</v>
      </c>
      <c r="C2781" s="209" t="s">
        <v>2833</v>
      </c>
      <c r="D2781" s="216" t="s">
        <v>140</v>
      </c>
      <c r="E2781" s="273">
        <v>0</v>
      </c>
      <c r="F2781" s="274"/>
      <c r="G2781" s="274">
        <f t="shared" si="10"/>
        <v>0</v>
      </c>
      <c r="H2781" s="274">
        <v>0</v>
      </c>
      <c r="K2781" s="274"/>
    </row>
    <row r="2782" spans="2:11" ht="13.5" customHeight="1">
      <c r="B2782" s="209" t="s">
        <v>696</v>
      </c>
      <c r="C2782" s="209" t="s">
        <v>2833</v>
      </c>
      <c r="D2782" s="453" t="s">
        <v>141</v>
      </c>
      <c r="E2782" s="273">
        <v>0</v>
      </c>
      <c r="F2782" s="274"/>
      <c r="G2782" s="274">
        <f t="shared" si="10"/>
        <v>0</v>
      </c>
      <c r="H2782" s="274">
        <v>0</v>
      </c>
      <c r="K2782" s="274"/>
    </row>
    <row r="2783" spans="2:11" ht="13.5" customHeight="1">
      <c r="B2783" s="209" t="s">
        <v>698</v>
      </c>
      <c r="C2783" s="209" t="s">
        <v>2834</v>
      </c>
      <c r="D2783" s="446" t="s">
        <v>133</v>
      </c>
      <c r="E2783" s="273">
        <v>0</v>
      </c>
      <c r="F2783" s="274"/>
      <c r="G2783" s="274">
        <f t="shared" si="10"/>
        <v>0</v>
      </c>
      <c r="H2783" s="274">
        <v>0</v>
      </c>
      <c r="K2783" s="274"/>
    </row>
    <row r="2784" spans="2:11" ht="13.5" customHeight="1">
      <c r="B2784" s="209" t="s">
        <v>698</v>
      </c>
      <c r="C2784" s="209" t="s">
        <v>2834</v>
      </c>
      <c r="D2784" s="447" t="s">
        <v>134</v>
      </c>
      <c r="E2784" s="273">
        <v>0</v>
      </c>
      <c r="F2784" s="274"/>
      <c r="G2784" s="274">
        <f t="shared" si="10"/>
        <v>0</v>
      </c>
      <c r="H2784" s="274">
        <v>0</v>
      </c>
      <c r="K2784" s="274"/>
    </row>
    <row r="2785" spans="2:11" ht="13.5" customHeight="1">
      <c r="B2785" s="209" t="s">
        <v>698</v>
      </c>
      <c r="C2785" s="209" t="s">
        <v>2834</v>
      </c>
      <c r="D2785" s="448" t="s">
        <v>135</v>
      </c>
      <c r="E2785" s="273">
        <v>0</v>
      </c>
      <c r="F2785" s="274"/>
      <c r="G2785" s="274">
        <f t="shared" si="10"/>
        <v>0</v>
      </c>
      <c r="H2785" s="274">
        <v>0</v>
      </c>
      <c r="K2785" s="274"/>
    </row>
    <row r="2786" spans="2:11" ht="13.5" customHeight="1">
      <c r="B2786" s="209" t="s">
        <v>698</v>
      </c>
      <c r="C2786" s="209" t="s">
        <v>2834</v>
      </c>
      <c r="D2786" s="449" t="s">
        <v>136</v>
      </c>
      <c r="E2786" s="273">
        <v>0</v>
      </c>
      <c r="F2786" s="274"/>
      <c r="G2786" s="274">
        <f t="shared" si="10"/>
        <v>0</v>
      </c>
      <c r="H2786" s="274">
        <v>0</v>
      </c>
      <c r="K2786" s="274"/>
    </row>
    <row r="2787" spans="2:11" ht="13.5" customHeight="1">
      <c r="B2787" s="209" t="s">
        <v>698</v>
      </c>
      <c r="C2787" s="209" t="s">
        <v>2834</v>
      </c>
      <c r="D2787" s="450" t="s">
        <v>137</v>
      </c>
      <c r="E2787" s="273">
        <v>0</v>
      </c>
      <c r="F2787" s="274"/>
      <c r="G2787" s="274">
        <f t="shared" si="10"/>
        <v>0</v>
      </c>
      <c r="H2787" s="274">
        <v>0</v>
      </c>
      <c r="K2787" s="274"/>
    </row>
    <row r="2788" spans="2:11" ht="13.5" customHeight="1">
      <c r="B2788" s="209" t="s">
        <v>698</v>
      </c>
      <c r="C2788" s="209" t="s">
        <v>2834</v>
      </c>
      <c r="D2788" s="451" t="s">
        <v>138</v>
      </c>
      <c r="E2788" s="273">
        <v>0</v>
      </c>
      <c r="F2788" s="274"/>
      <c r="G2788" s="274">
        <f t="shared" si="10"/>
        <v>0</v>
      </c>
      <c r="H2788" s="274">
        <v>0</v>
      </c>
      <c r="K2788" s="274"/>
    </row>
    <row r="2789" spans="2:11" ht="13.5" customHeight="1">
      <c r="B2789" s="209" t="s">
        <v>698</v>
      </c>
      <c r="C2789" s="209" t="s">
        <v>2834</v>
      </c>
      <c r="D2789" s="452" t="s">
        <v>139</v>
      </c>
      <c r="E2789" s="273">
        <v>0</v>
      </c>
      <c r="F2789" s="274"/>
      <c r="G2789" s="274">
        <f t="shared" si="10"/>
        <v>0</v>
      </c>
      <c r="H2789" s="274">
        <v>0</v>
      </c>
      <c r="K2789" s="274"/>
    </row>
    <row r="2790" spans="2:11" ht="13.5" customHeight="1">
      <c r="B2790" s="209" t="s">
        <v>698</v>
      </c>
      <c r="C2790" s="209" t="s">
        <v>2834</v>
      </c>
      <c r="D2790" s="216" t="s">
        <v>140</v>
      </c>
      <c r="E2790" s="273">
        <v>0</v>
      </c>
      <c r="F2790" s="274"/>
      <c r="G2790" s="274">
        <f t="shared" si="10"/>
        <v>0</v>
      </c>
      <c r="H2790" s="274">
        <v>0</v>
      </c>
      <c r="K2790" s="274"/>
    </row>
    <row r="2791" spans="2:11" ht="13.5" customHeight="1">
      <c r="B2791" s="209" t="s">
        <v>698</v>
      </c>
      <c r="C2791" s="209" t="s">
        <v>2834</v>
      </c>
      <c r="D2791" s="453" t="s">
        <v>141</v>
      </c>
      <c r="E2791" s="273">
        <v>0</v>
      </c>
      <c r="F2791" s="274"/>
      <c r="G2791" s="274">
        <f t="shared" si="10"/>
        <v>0</v>
      </c>
      <c r="H2791" s="274">
        <v>0</v>
      </c>
      <c r="K2791" s="274"/>
    </row>
    <row r="2792" spans="2:11" ht="13.5" customHeight="1">
      <c r="B2792" s="209" t="s">
        <v>700</v>
      </c>
      <c r="C2792" s="209" t="s">
        <v>2835</v>
      </c>
      <c r="D2792" s="446" t="s">
        <v>133</v>
      </c>
      <c r="E2792" s="273">
        <v>0</v>
      </c>
      <c r="F2792" s="274"/>
      <c r="G2792" s="274">
        <f t="shared" si="10"/>
        <v>0</v>
      </c>
      <c r="H2792" s="274">
        <v>0</v>
      </c>
      <c r="K2792" s="274"/>
    </row>
    <row r="2793" spans="2:11" ht="13.5" customHeight="1">
      <c r="B2793" s="209" t="s">
        <v>700</v>
      </c>
      <c r="C2793" s="209" t="s">
        <v>2835</v>
      </c>
      <c r="D2793" s="447" t="s">
        <v>134</v>
      </c>
      <c r="E2793" s="273">
        <v>0</v>
      </c>
      <c r="F2793" s="274"/>
      <c r="G2793" s="274">
        <f t="shared" si="10"/>
        <v>0</v>
      </c>
      <c r="H2793" s="274">
        <v>0</v>
      </c>
      <c r="K2793" s="274"/>
    </row>
    <row r="2794" spans="2:11" ht="13.5" customHeight="1">
      <c r="B2794" s="209" t="s">
        <v>700</v>
      </c>
      <c r="C2794" s="209" t="s">
        <v>2835</v>
      </c>
      <c r="D2794" s="448" t="s">
        <v>135</v>
      </c>
      <c r="E2794" s="273">
        <v>0</v>
      </c>
      <c r="F2794" s="274"/>
      <c r="G2794" s="274">
        <f t="shared" si="10"/>
        <v>0</v>
      </c>
      <c r="H2794" s="274">
        <v>0</v>
      </c>
      <c r="K2794" s="274"/>
    </row>
    <row r="2795" spans="2:11" ht="13.5" customHeight="1">
      <c r="B2795" s="209" t="s">
        <v>700</v>
      </c>
      <c r="C2795" s="209" t="s">
        <v>2835</v>
      </c>
      <c r="D2795" s="449" t="s">
        <v>136</v>
      </c>
      <c r="E2795" s="273">
        <v>0</v>
      </c>
      <c r="F2795" s="274"/>
      <c r="G2795" s="274">
        <f t="shared" si="10"/>
        <v>0</v>
      </c>
      <c r="H2795" s="274">
        <v>0</v>
      </c>
      <c r="K2795" s="274"/>
    </row>
    <row r="2796" spans="2:11" ht="13.5" customHeight="1">
      <c r="B2796" s="209" t="s">
        <v>700</v>
      </c>
      <c r="C2796" s="209" t="s">
        <v>2835</v>
      </c>
      <c r="D2796" s="450" t="s">
        <v>137</v>
      </c>
      <c r="E2796" s="273">
        <v>0</v>
      </c>
      <c r="F2796" s="274"/>
      <c r="G2796" s="274">
        <f t="shared" si="10"/>
        <v>0</v>
      </c>
      <c r="H2796" s="274">
        <v>0</v>
      </c>
      <c r="K2796" s="274"/>
    </row>
    <row r="2797" spans="2:11" ht="13.5" customHeight="1">
      <c r="B2797" s="209" t="s">
        <v>700</v>
      </c>
      <c r="C2797" s="209" t="s">
        <v>2835</v>
      </c>
      <c r="D2797" s="451" t="s">
        <v>138</v>
      </c>
      <c r="E2797" s="273">
        <v>0</v>
      </c>
      <c r="F2797" s="274"/>
      <c r="G2797" s="274">
        <f t="shared" si="10"/>
        <v>0</v>
      </c>
      <c r="H2797" s="274">
        <v>0</v>
      </c>
      <c r="K2797" s="274"/>
    </row>
    <row r="2798" spans="2:11" ht="13.5" customHeight="1">
      <c r="B2798" s="209" t="s">
        <v>700</v>
      </c>
      <c r="C2798" s="209" t="s">
        <v>2835</v>
      </c>
      <c r="D2798" s="452" t="s">
        <v>139</v>
      </c>
      <c r="E2798" s="273">
        <v>0</v>
      </c>
      <c r="F2798" s="274"/>
      <c r="G2798" s="274">
        <f t="shared" si="10"/>
        <v>0</v>
      </c>
      <c r="H2798" s="274">
        <v>0</v>
      </c>
      <c r="K2798" s="274"/>
    </row>
    <row r="2799" spans="2:11" ht="13.5" customHeight="1">
      <c r="B2799" s="209" t="s">
        <v>700</v>
      </c>
      <c r="C2799" s="209" t="s">
        <v>2835</v>
      </c>
      <c r="D2799" s="216" t="s">
        <v>140</v>
      </c>
      <c r="E2799" s="273">
        <v>0</v>
      </c>
      <c r="F2799" s="274"/>
      <c r="G2799" s="274">
        <f t="shared" si="10"/>
        <v>0</v>
      </c>
      <c r="H2799" s="274">
        <v>0</v>
      </c>
      <c r="K2799" s="274"/>
    </row>
    <row r="2800" spans="2:11" ht="13.5" customHeight="1">
      <c r="B2800" s="209" t="s">
        <v>700</v>
      </c>
      <c r="C2800" s="209" t="s">
        <v>2835</v>
      </c>
      <c r="D2800" s="453" t="s">
        <v>141</v>
      </c>
      <c r="E2800" s="273">
        <v>0</v>
      </c>
      <c r="F2800" s="274"/>
      <c r="G2800" s="274">
        <f t="shared" si="10"/>
        <v>0</v>
      </c>
      <c r="H2800" s="274">
        <v>0</v>
      </c>
      <c r="K2800" s="274"/>
    </row>
    <row r="2801" spans="2:11" ht="13.5" customHeight="1">
      <c r="B2801" s="209" t="s">
        <v>710</v>
      </c>
      <c r="C2801" s="209" t="s">
        <v>2836</v>
      </c>
      <c r="D2801" s="446" t="s">
        <v>133</v>
      </c>
      <c r="E2801" s="273">
        <v>0</v>
      </c>
      <c r="F2801" s="274"/>
      <c r="G2801" s="274">
        <f t="shared" si="10"/>
        <v>0</v>
      </c>
      <c r="H2801" s="274">
        <v>0</v>
      </c>
      <c r="K2801" s="274"/>
    </row>
    <row r="2802" spans="2:11" ht="13.5" customHeight="1">
      <c r="B2802" s="209" t="s">
        <v>710</v>
      </c>
      <c r="C2802" s="209" t="s">
        <v>2836</v>
      </c>
      <c r="D2802" s="447" t="s">
        <v>134</v>
      </c>
      <c r="E2802" s="273">
        <v>0</v>
      </c>
      <c r="F2802" s="274"/>
      <c r="G2802" s="274">
        <f t="shared" si="10"/>
        <v>0</v>
      </c>
      <c r="H2802" s="274">
        <v>0</v>
      </c>
      <c r="K2802" s="274"/>
    </row>
    <row r="2803" spans="2:11" ht="13.5" customHeight="1">
      <c r="B2803" s="209" t="s">
        <v>710</v>
      </c>
      <c r="C2803" s="209" t="s">
        <v>2836</v>
      </c>
      <c r="D2803" s="448" t="s">
        <v>135</v>
      </c>
      <c r="E2803" s="273">
        <v>0</v>
      </c>
      <c r="F2803" s="274"/>
      <c r="G2803" s="274">
        <f t="shared" si="10"/>
        <v>0</v>
      </c>
      <c r="H2803" s="274">
        <v>0</v>
      </c>
      <c r="K2803" s="274"/>
    </row>
    <row r="2804" spans="2:11" ht="13.5" customHeight="1">
      <c r="B2804" s="209" t="s">
        <v>710</v>
      </c>
      <c r="C2804" s="209" t="s">
        <v>2836</v>
      </c>
      <c r="D2804" s="449" t="s">
        <v>136</v>
      </c>
      <c r="E2804" s="273">
        <v>0</v>
      </c>
      <c r="F2804" s="274"/>
      <c r="G2804" s="274">
        <f t="shared" si="10"/>
        <v>0</v>
      </c>
      <c r="H2804" s="274">
        <v>0</v>
      </c>
      <c r="K2804" s="274"/>
    </row>
    <row r="2805" spans="2:11" ht="13.5" customHeight="1">
      <c r="B2805" s="209" t="s">
        <v>710</v>
      </c>
      <c r="C2805" s="209" t="s">
        <v>2836</v>
      </c>
      <c r="D2805" s="450" t="s">
        <v>137</v>
      </c>
      <c r="E2805" s="273">
        <v>0</v>
      </c>
      <c r="F2805" s="274"/>
      <c r="G2805" s="274">
        <f t="shared" si="10"/>
        <v>0</v>
      </c>
      <c r="H2805" s="274">
        <v>0</v>
      </c>
      <c r="K2805" s="274"/>
    </row>
    <row r="2806" spans="2:11" ht="13.5" customHeight="1">
      <c r="B2806" s="209" t="s">
        <v>710</v>
      </c>
      <c r="C2806" s="209" t="s">
        <v>2836</v>
      </c>
      <c r="D2806" s="451" t="s">
        <v>138</v>
      </c>
      <c r="E2806" s="273">
        <v>0</v>
      </c>
      <c r="F2806" s="274"/>
      <c r="G2806" s="274">
        <f t="shared" si="10"/>
        <v>0</v>
      </c>
      <c r="H2806" s="274">
        <v>0</v>
      </c>
      <c r="K2806" s="274"/>
    </row>
    <row r="2807" spans="2:11" ht="13.5" customHeight="1">
      <c r="B2807" s="209" t="s">
        <v>710</v>
      </c>
      <c r="C2807" s="209" t="s">
        <v>2836</v>
      </c>
      <c r="D2807" s="452" t="s">
        <v>139</v>
      </c>
      <c r="E2807" s="273">
        <v>0</v>
      </c>
      <c r="F2807" s="274"/>
      <c r="G2807" s="274">
        <f t="shared" ref="G2807:G3061" si="11">E2807*F2807</f>
        <v>0</v>
      </c>
      <c r="H2807" s="274">
        <v>0</v>
      </c>
      <c r="K2807" s="274"/>
    </row>
    <row r="2808" spans="2:11" ht="13.5" customHeight="1">
      <c r="B2808" s="209" t="s">
        <v>710</v>
      </c>
      <c r="C2808" s="209" t="s">
        <v>2836</v>
      </c>
      <c r="D2808" s="216" t="s">
        <v>140</v>
      </c>
      <c r="E2808" s="273">
        <v>0</v>
      </c>
      <c r="F2808" s="274"/>
      <c r="G2808" s="274">
        <f t="shared" si="11"/>
        <v>0</v>
      </c>
      <c r="H2808" s="274">
        <v>0</v>
      </c>
      <c r="K2808" s="274"/>
    </row>
    <row r="2809" spans="2:11" ht="13.5" customHeight="1">
      <c r="B2809" s="209" t="s">
        <v>710</v>
      </c>
      <c r="C2809" s="209" t="s">
        <v>2836</v>
      </c>
      <c r="D2809" s="453" t="s">
        <v>141</v>
      </c>
      <c r="E2809" s="273">
        <v>0</v>
      </c>
      <c r="F2809" s="274"/>
      <c r="G2809" s="274">
        <f t="shared" si="11"/>
        <v>0</v>
      </c>
      <c r="H2809" s="274">
        <v>0</v>
      </c>
      <c r="K2809" s="274"/>
    </row>
    <row r="2810" spans="2:11" ht="13.5" customHeight="1">
      <c r="B2810" s="209" t="s">
        <v>724</v>
      </c>
      <c r="C2810" s="209" t="s">
        <v>2837</v>
      </c>
      <c r="D2810" s="446" t="s">
        <v>133</v>
      </c>
      <c r="E2810" s="273">
        <v>0</v>
      </c>
      <c r="F2810" s="274"/>
      <c r="G2810" s="274">
        <f t="shared" si="11"/>
        <v>0</v>
      </c>
      <c r="H2810" s="274">
        <v>0</v>
      </c>
      <c r="K2810" s="274"/>
    </row>
    <row r="2811" spans="2:11" ht="13.5" customHeight="1">
      <c r="B2811" s="209" t="s">
        <v>724</v>
      </c>
      <c r="C2811" s="209" t="s">
        <v>2837</v>
      </c>
      <c r="D2811" s="447" t="s">
        <v>134</v>
      </c>
      <c r="E2811" s="273">
        <v>0</v>
      </c>
      <c r="F2811" s="274"/>
      <c r="G2811" s="274">
        <f t="shared" si="11"/>
        <v>0</v>
      </c>
      <c r="H2811" s="274">
        <v>0</v>
      </c>
      <c r="K2811" s="274"/>
    </row>
    <row r="2812" spans="2:11" ht="13.5" customHeight="1">
      <c r="B2812" s="209" t="s">
        <v>724</v>
      </c>
      <c r="C2812" s="209" t="s">
        <v>2837</v>
      </c>
      <c r="D2812" s="448" t="s">
        <v>135</v>
      </c>
      <c r="E2812" s="273">
        <v>0</v>
      </c>
      <c r="F2812" s="274"/>
      <c r="G2812" s="274">
        <f t="shared" si="11"/>
        <v>0</v>
      </c>
      <c r="H2812" s="274">
        <v>0</v>
      </c>
      <c r="K2812" s="274"/>
    </row>
    <row r="2813" spans="2:11" ht="13.5" customHeight="1">
      <c r="B2813" s="209" t="s">
        <v>724</v>
      </c>
      <c r="C2813" s="209" t="s">
        <v>2837</v>
      </c>
      <c r="D2813" s="449" t="s">
        <v>136</v>
      </c>
      <c r="E2813" s="273">
        <v>0</v>
      </c>
      <c r="F2813" s="274"/>
      <c r="G2813" s="274">
        <f t="shared" si="11"/>
        <v>0</v>
      </c>
      <c r="H2813" s="274">
        <v>0</v>
      </c>
      <c r="K2813" s="274"/>
    </row>
    <row r="2814" spans="2:11" ht="13.5" customHeight="1">
      <c r="B2814" s="209" t="s">
        <v>724</v>
      </c>
      <c r="C2814" s="209" t="s">
        <v>2837</v>
      </c>
      <c r="D2814" s="450" t="s">
        <v>137</v>
      </c>
      <c r="E2814" s="273">
        <v>0</v>
      </c>
      <c r="F2814" s="274"/>
      <c r="G2814" s="274">
        <f t="shared" si="11"/>
        <v>0</v>
      </c>
      <c r="H2814" s="274">
        <v>0</v>
      </c>
      <c r="K2814" s="274"/>
    </row>
    <row r="2815" spans="2:11" ht="13.5" customHeight="1">
      <c r="B2815" s="209" t="s">
        <v>724</v>
      </c>
      <c r="C2815" s="209" t="s">
        <v>2837</v>
      </c>
      <c r="D2815" s="451" t="s">
        <v>138</v>
      </c>
      <c r="E2815" s="273">
        <v>0</v>
      </c>
      <c r="F2815" s="274"/>
      <c r="G2815" s="274">
        <f t="shared" si="11"/>
        <v>0</v>
      </c>
      <c r="H2815" s="274">
        <v>0</v>
      </c>
      <c r="K2815" s="274"/>
    </row>
    <row r="2816" spans="2:11" ht="13.5" customHeight="1">
      <c r="B2816" s="209" t="s">
        <v>724</v>
      </c>
      <c r="C2816" s="209" t="s">
        <v>2837</v>
      </c>
      <c r="D2816" s="452" t="s">
        <v>139</v>
      </c>
      <c r="E2816" s="273">
        <v>0</v>
      </c>
      <c r="F2816" s="274"/>
      <c r="G2816" s="274">
        <f t="shared" si="11"/>
        <v>0</v>
      </c>
      <c r="H2816" s="274">
        <v>0</v>
      </c>
      <c r="K2816" s="274"/>
    </row>
    <row r="2817" spans="2:11" ht="13.5" customHeight="1">
      <c r="B2817" s="209" t="s">
        <v>724</v>
      </c>
      <c r="C2817" s="209" t="s">
        <v>2837</v>
      </c>
      <c r="D2817" s="216" t="s">
        <v>140</v>
      </c>
      <c r="E2817" s="273">
        <v>0</v>
      </c>
      <c r="F2817" s="274"/>
      <c r="G2817" s="274">
        <f t="shared" si="11"/>
        <v>0</v>
      </c>
      <c r="H2817" s="274">
        <v>0</v>
      </c>
      <c r="K2817" s="274"/>
    </row>
    <row r="2818" spans="2:11" ht="13.5" customHeight="1">
      <c r="B2818" s="209" t="s">
        <v>724</v>
      </c>
      <c r="C2818" s="209" t="s">
        <v>2837</v>
      </c>
      <c r="D2818" s="453" t="s">
        <v>141</v>
      </c>
      <c r="E2818" s="273">
        <v>0</v>
      </c>
      <c r="F2818" s="274"/>
      <c r="G2818" s="274">
        <f t="shared" si="11"/>
        <v>0</v>
      </c>
      <c r="H2818" s="274">
        <v>0</v>
      </c>
      <c r="K2818" s="274"/>
    </row>
    <row r="2819" spans="2:11" ht="13.5" customHeight="1">
      <c r="B2819" s="209" t="s">
        <v>712</v>
      </c>
      <c r="C2819" s="209" t="s">
        <v>2838</v>
      </c>
      <c r="D2819" s="446" t="s">
        <v>133</v>
      </c>
      <c r="E2819" s="273">
        <v>0</v>
      </c>
      <c r="F2819" s="274"/>
      <c r="G2819" s="274">
        <f t="shared" si="11"/>
        <v>0</v>
      </c>
      <c r="H2819" s="274">
        <v>0</v>
      </c>
      <c r="K2819" s="274"/>
    </row>
    <row r="2820" spans="2:11" ht="13.5" customHeight="1">
      <c r="B2820" s="209" t="s">
        <v>712</v>
      </c>
      <c r="C2820" s="209" t="s">
        <v>2838</v>
      </c>
      <c r="D2820" s="447" t="s">
        <v>134</v>
      </c>
      <c r="E2820" s="273">
        <v>0</v>
      </c>
      <c r="F2820" s="274"/>
      <c r="G2820" s="274">
        <f t="shared" si="11"/>
        <v>0</v>
      </c>
      <c r="H2820" s="274">
        <v>0</v>
      </c>
      <c r="K2820" s="274"/>
    </row>
    <row r="2821" spans="2:11" ht="13.5" customHeight="1">
      <c r="B2821" s="209" t="s">
        <v>712</v>
      </c>
      <c r="C2821" s="209" t="s">
        <v>2838</v>
      </c>
      <c r="D2821" s="448" t="s">
        <v>135</v>
      </c>
      <c r="E2821" s="273">
        <v>0</v>
      </c>
      <c r="F2821" s="274"/>
      <c r="G2821" s="274">
        <f t="shared" si="11"/>
        <v>0</v>
      </c>
      <c r="H2821" s="274">
        <v>0</v>
      </c>
      <c r="K2821" s="274"/>
    </row>
    <row r="2822" spans="2:11" ht="13.5" customHeight="1">
      <c r="B2822" s="209" t="s">
        <v>712</v>
      </c>
      <c r="C2822" s="209" t="s">
        <v>2838</v>
      </c>
      <c r="D2822" s="449" t="s">
        <v>136</v>
      </c>
      <c r="E2822" s="273">
        <v>0</v>
      </c>
      <c r="F2822" s="274"/>
      <c r="G2822" s="274">
        <f t="shared" si="11"/>
        <v>0</v>
      </c>
      <c r="H2822" s="274">
        <v>0</v>
      </c>
      <c r="K2822" s="274"/>
    </row>
    <row r="2823" spans="2:11" ht="13.5" customHeight="1">
      <c r="B2823" s="209" t="s">
        <v>712</v>
      </c>
      <c r="C2823" s="209" t="s">
        <v>2838</v>
      </c>
      <c r="D2823" s="450" t="s">
        <v>137</v>
      </c>
      <c r="E2823" s="273">
        <v>0</v>
      </c>
      <c r="F2823" s="274"/>
      <c r="G2823" s="274">
        <f t="shared" si="11"/>
        <v>0</v>
      </c>
      <c r="H2823" s="274">
        <v>0</v>
      </c>
      <c r="K2823" s="274"/>
    </row>
    <row r="2824" spans="2:11" ht="13.5" customHeight="1">
      <c r="B2824" s="209" t="s">
        <v>712</v>
      </c>
      <c r="C2824" s="209" t="s">
        <v>2838</v>
      </c>
      <c r="D2824" s="451" t="s">
        <v>138</v>
      </c>
      <c r="E2824" s="273">
        <v>0</v>
      </c>
      <c r="F2824" s="274"/>
      <c r="G2824" s="274">
        <f t="shared" si="11"/>
        <v>0</v>
      </c>
      <c r="H2824" s="274">
        <v>0</v>
      </c>
      <c r="K2824" s="274"/>
    </row>
    <row r="2825" spans="2:11" ht="13.5" customHeight="1">
      <c r="B2825" s="209" t="s">
        <v>712</v>
      </c>
      <c r="C2825" s="209" t="s">
        <v>2838</v>
      </c>
      <c r="D2825" s="452" t="s">
        <v>139</v>
      </c>
      <c r="E2825" s="273">
        <v>0</v>
      </c>
      <c r="F2825" s="274"/>
      <c r="G2825" s="274">
        <f t="shared" si="11"/>
        <v>0</v>
      </c>
      <c r="H2825" s="274">
        <v>0</v>
      </c>
      <c r="K2825" s="274"/>
    </row>
    <row r="2826" spans="2:11" ht="13.5" customHeight="1">
      <c r="B2826" s="209" t="s">
        <v>712</v>
      </c>
      <c r="C2826" s="209" t="s">
        <v>2838</v>
      </c>
      <c r="D2826" s="216" t="s">
        <v>140</v>
      </c>
      <c r="E2826" s="273">
        <v>0</v>
      </c>
      <c r="F2826" s="274"/>
      <c r="G2826" s="274">
        <f t="shared" si="11"/>
        <v>0</v>
      </c>
      <c r="H2826" s="274">
        <v>0</v>
      </c>
      <c r="K2826" s="274"/>
    </row>
    <row r="2827" spans="2:11" ht="13.5" customHeight="1">
      <c r="B2827" s="209" t="s">
        <v>712</v>
      </c>
      <c r="C2827" s="209" t="s">
        <v>2838</v>
      </c>
      <c r="D2827" s="453" t="s">
        <v>141</v>
      </c>
      <c r="E2827" s="273">
        <v>0</v>
      </c>
      <c r="F2827" s="274"/>
      <c r="G2827" s="274">
        <f t="shared" si="11"/>
        <v>0</v>
      </c>
      <c r="H2827" s="274">
        <v>0</v>
      </c>
      <c r="K2827" s="274"/>
    </row>
    <row r="2828" spans="2:11" ht="13.5" customHeight="1">
      <c r="B2828" s="209" t="s">
        <v>714</v>
      </c>
      <c r="C2828" s="209" t="s">
        <v>2839</v>
      </c>
      <c r="D2828" s="446" t="s">
        <v>133</v>
      </c>
      <c r="E2828" s="273">
        <v>0</v>
      </c>
      <c r="F2828" s="274"/>
      <c r="G2828" s="274">
        <f t="shared" si="11"/>
        <v>0</v>
      </c>
      <c r="H2828" s="274">
        <v>0</v>
      </c>
      <c r="K2828" s="274"/>
    </row>
    <row r="2829" spans="2:11" ht="13.5" customHeight="1">
      <c r="B2829" s="209" t="s">
        <v>714</v>
      </c>
      <c r="C2829" s="209" t="s">
        <v>2839</v>
      </c>
      <c r="D2829" s="447" t="s">
        <v>134</v>
      </c>
      <c r="E2829" s="273">
        <v>0</v>
      </c>
      <c r="F2829" s="274"/>
      <c r="G2829" s="274">
        <f t="shared" si="11"/>
        <v>0</v>
      </c>
      <c r="H2829" s="274">
        <v>0</v>
      </c>
      <c r="K2829" s="274"/>
    </row>
    <row r="2830" spans="2:11" ht="13.5" customHeight="1">
      <c r="B2830" s="209" t="s">
        <v>714</v>
      </c>
      <c r="C2830" s="209" t="s">
        <v>2839</v>
      </c>
      <c r="D2830" s="448" t="s">
        <v>135</v>
      </c>
      <c r="E2830" s="273">
        <v>0</v>
      </c>
      <c r="F2830" s="274"/>
      <c r="G2830" s="274">
        <f t="shared" si="11"/>
        <v>0</v>
      </c>
      <c r="H2830" s="274">
        <v>0</v>
      </c>
      <c r="K2830" s="274"/>
    </row>
    <row r="2831" spans="2:11" ht="13.5" customHeight="1">
      <c r="B2831" s="209" t="s">
        <v>714</v>
      </c>
      <c r="C2831" s="209" t="s">
        <v>2839</v>
      </c>
      <c r="D2831" s="449" t="s">
        <v>136</v>
      </c>
      <c r="E2831" s="273">
        <v>0</v>
      </c>
      <c r="F2831" s="274"/>
      <c r="G2831" s="274">
        <f t="shared" si="11"/>
        <v>0</v>
      </c>
      <c r="H2831" s="274">
        <v>0</v>
      </c>
      <c r="K2831" s="274"/>
    </row>
    <row r="2832" spans="2:11" ht="13.5" customHeight="1">
      <c r="B2832" s="209" t="s">
        <v>714</v>
      </c>
      <c r="C2832" s="209" t="s">
        <v>2839</v>
      </c>
      <c r="D2832" s="450" t="s">
        <v>137</v>
      </c>
      <c r="E2832" s="273">
        <v>0</v>
      </c>
      <c r="F2832" s="274"/>
      <c r="G2832" s="274">
        <f t="shared" si="11"/>
        <v>0</v>
      </c>
      <c r="H2832" s="274">
        <v>0</v>
      </c>
      <c r="K2832" s="274"/>
    </row>
    <row r="2833" spans="2:11" ht="13.5" customHeight="1">
      <c r="B2833" s="209" t="s">
        <v>714</v>
      </c>
      <c r="C2833" s="209" t="s">
        <v>2839</v>
      </c>
      <c r="D2833" s="451" t="s">
        <v>138</v>
      </c>
      <c r="E2833" s="273">
        <v>0</v>
      </c>
      <c r="F2833" s="274"/>
      <c r="G2833" s="274">
        <f t="shared" si="11"/>
        <v>0</v>
      </c>
      <c r="H2833" s="274">
        <v>0</v>
      </c>
      <c r="K2833" s="274"/>
    </row>
    <row r="2834" spans="2:11" ht="13.5" customHeight="1">
      <c r="B2834" s="209" t="s">
        <v>714</v>
      </c>
      <c r="C2834" s="209" t="s">
        <v>2839</v>
      </c>
      <c r="D2834" s="452" t="s">
        <v>139</v>
      </c>
      <c r="E2834" s="273">
        <v>0</v>
      </c>
      <c r="F2834" s="274"/>
      <c r="G2834" s="274">
        <f t="shared" si="11"/>
        <v>0</v>
      </c>
      <c r="H2834" s="274">
        <v>0</v>
      </c>
      <c r="K2834" s="274"/>
    </row>
    <row r="2835" spans="2:11" ht="13.5" customHeight="1">
      <c r="B2835" s="209" t="s">
        <v>714</v>
      </c>
      <c r="C2835" s="209" t="s">
        <v>2839</v>
      </c>
      <c r="D2835" s="216" t="s">
        <v>140</v>
      </c>
      <c r="E2835" s="273">
        <v>0</v>
      </c>
      <c r="F2835" s="274"/>
      <c r="G2835" s="274">
        <f t="shared" si="11"/>
        <v>0</v>
      </c>
      <c r="H2835" s="274">
        <v>0</v>
      </c>
      <c r="K2835" s="274"/>
    </row>
    <row r="2836" spans="2:11" ht="13.5" customHeight="1">
      <c r="B2836" s="209" t="s">
        <v>714</v>
      </c>
      <c r="C2836" s="209" t="s">
        <v>2839</v>
      </c>
      <c r="D2836" s="453" t="s">
        <v>141</v>
      </c>
      <c r="E2836" s="273">
        <v>0</v>
      </c>
      <c r="F2836" s="274"/>
      <c r="G2836" s="274">
        <f t="shared" si="11"/>
        <v>0</v>
      </c>
      <c r="H2836" s="274">
        <v>0</v>
      </c>
      <c r="K2836" s="274"/>
    </row>
    <row r="2837" spans="2:11" ht="13.5" customHeight="1">
      <c r="B2837" s="209" t="s">
        <v>706</v>
      </c>
      <c r="C2837" s="209" t="s">
        <v>2840</v>
      </c>
      <c r="D2837" s="446" t="s">
        <v>133</v>
      </c>
      <c r="E2837" s="273">
        <v>0</v>
      </c>
      <c r="F2837" s="274"/>
      <c r="G2837" s="274">
        <f t="shared" si="11"/>
        <v>0</v>
      </c>
      <c r="H2837" s="274">
        <v>0</v>
      </c>
      <c r="K2837" s="274"/>
    </row>
    <row r="2838" spans="2:11" ht="13.5" customHeight="1">
      <c r="B2838" s="209" t="s">
        <v>706</v>
      </c>
      <c r="C2838" s="209" t="s">
        <v>2840</v>
      </c>
      <c r="D2838" s="447" t="s">
        <v>134</v>
      </c>
      <c r="E2838" s="273">
        <v>0</v>
      </c>
      <c r="F2838" s="274"/>
      <c r="G2838" s="274">
        <f t="shared" si="11"/>
        <v>0</v>
      </c>
      <c r="H2838" s="274">
        <v>0</v>
      </c>
      <c r="K2838" s="274"/>
    </row>
    <row r="2839" spans="2:11" ht="13.5" customHeight="1">
      <c r="B2839" s="209" t="s">
        <v>706</v>
      </c>
      <c r="C2839" s="209" t="s">
        <v>2840</v>
      </c>
      <c r="D2839" s="448" t="s">
        <v>135</v>
      </c>
      <c r="E2839" s="273">
        <v>0</v>
      </c>
      <c r="F2839" s="274"/>
      <c r="G2839" s="274">
        <f t="shared" si="11"/>
        <v>0</v>
      </c>
      <c r="H2839" s="274">
        <v>0</v>
      </c>
      <c r="K2839" s="274"/>
    </row>
    <row r="2840" spans="2:11" ht="13.5" customHeight="1">
      <c r="B2840" s="209" t="s">
        <v>706</v>
      </c>
      <c r="C2840" s="209" t="s">
        <v>2840</v>
      </c>
      <c r="D2840" s="449" t="s">
        <v>136</v>
      </c>
      <c r="E2840" s="273">
        <v>0</v>
      </c>
      <c r="F2840" s="274"/>
      <c r="G2840" s="274">
        <f t="shared" si="11"/>
        <v>0</v>
      </c>
      <c r="H2840" s="274">
        <v>0</v>
      </c>
      <c r="K2840" s="274"/>
    </row>
    <row r="2841" spans="2:11" ht="13.5" customHeight="1">
      <c r="B2841" s="209" t="s">
        <v>706</v>
      </c>
      <c r="C2841" s="209" t="s">
        <v>2840</v>
      </c>
      <c r="D2841" s="450" t="s">
        <v>137</v>
      </c>
      <c r="E2841" s="273">
        <v>0</v>
      </c>
      <c r="F2841" s="274"/>
      <c r="G2841" s="274">
        <f t="shared" si="11"/>
        <v>0</v>
      </c>
      <c r="H2841" s="274">
        <v>0</v>
      </c>
      <c r="K2841" s="274"/>
    </row>
    <row r="2842" spans="2:11" ht="13.5" customHeight="1">
      <c r="B2842" s="209" t="s">
        <v>706</v>
      </c>
      <c r="C2842" s="209" t="s">
        <v>2840</v>
      </c>
      <c r="D2842" s="451" t="s">
        <v>138</v>
      </c>
      <c r="E2842" s="273">
        <v>0</v>
      </c>
      <c r="F2842" s="274"/>
      <c r="G2842" s="274">
        <f t="shared" si="11"/>
        <v>0</v>
      </c>
      <c r="H2842" s="274">
        <v>0</v>
      </c>
      <c r="K2842" s="274"/>
    </row>
    <row r="2843" spans="2:11" ht="13.5" customHeight="1">
      <c r="B2843" s="209" t="s">
        <v>706</v>
      </c>
      <c r="C2843" s="209" t="s">
        <v>2840</v>
      </c>
      <c r="D2843" s="452" t="s">
        <v>139</v>
      </c>
      <c r="E2843" s="273">
        <v>0</v>
      </c>
      <c r="F2843" s="274"/>
      <c r="G2843" s="274">
        <f t="shared" si="11"/>
        <v>0</v>
      </c>
      <c r="H2843" s="274">
        <v>0</v>
      </c>
      <c r="K2843" s="274"/>
    </row>
    <row r="2844" spans="2:11" ht="13.5" customHeight="1">
      <c r="B2844" s="209" t="s">
        <v>706</v>
      </c>
      <c r="C2844" s="209" t="s">
        <v>2840</v>
      </c>
      <c r="D2844" s="216" t="s">
        <v>140</v>
      </c>
      <c r="E2844" s="273">
        <v>0</v>
      </c>
      <c r="F2844" s="274"/>
      <c r="G2844" s="274">
        <f t="shared" si="11"/>
        <v>0</v>
      </c>
      <c r="H2844" s="274">
        <v>0</v>
      </c>
      <c r="K2844" s="274"/>
    </row>
    <row r="2845" spans="2:11" ht="13.5" customHeight="1">
      <c r="B2845" s="209" t="s">
        <v>706</v>
      </c>
      <c r="C2845" s="209" t="s">
        <v>2840</v>
      </c>
      <c r="D2845" s="453" t="s">
        <v>141</v>
      </c>
      <c r="E2845" s="273">
        <v>0</v>
      </c>
      <c r="F2845" s="274"/>
      <c r="G2845" s="274">
        <f t="shared" si="11"/>
        <v>0</v>
      </c>
      <c r="H2845" s="274">
        <v>0</v>
      </c>
      <c r="K2845" s="274"/>
    </row>
    <row r="2846" spans="2:11" ht="13.5" customHeight="1">
      <c r="B2846" s="209" t="s">
        <v>704</v>
      </c>
      <c r="C2846" s="209" t="s">
        <v>2841</v>
      </c>
      <c r="D2846" s="446" t="s">
        <v>133</v>
      </c>
      <c r="E2846" s="273">
        <v>0</v>
      </c>
      <c r="F2846" s="274"/>
      <c r="G2846" s="274">
        <f t="shared" si="11"/>
        <v>0</v>
      </c>
      <c r="H2846" s="274">
        <v>0</v>
      </c>
      <c r="K2846" s="274"/>
    </row>
    <row r="2847" spans="2:11" ht="13.5" customHeight="1">
      <c r="B2847" s="209" t="s">
        <v>704</v>
      </c>
      <c r="C2847" s="209" t="s">
        <v>2841</v>
      </c>
      <c r="D2847" s="447" t="s">
        <v>134</v>
      </c>
      <c r="E2847" s="273">
        <v>0</v>
      </c>
      <c r="F2847" s="274"/>
      <c r="G2847" s="274">
        <f t="shared" si="11"/>
        <v>0</v>
      </c>
      <c r="H2847" s="274">
        <v>0</v>
      </c>
      <c r="K2847" s="274"/>
    </row>
    <row r="2848" spans="2:11" ht="13.5" customHeight="1">
      <c r="B2848" s="209" t="s">
        <v>704</v>
      </c>
      <c r="C2848" s="209" t="s">
        <v>2841</v>
      </c>
      <c r="D2848" s="448" t="s">
        <v>135</v>
      </c>
      <c r="E2848" s="273">
        <v>0</v>
      </c>
      <c r="F2848" s="274"/>
      <c r="G2848" s="274">
        <f t="shared" si="11"/>
        <v>0</v>
      </c>
      <c r="H2848" s="274">
        <v>0</v>
      </c>
      <c r="K2848" s="274"/>
    </row>
    <row r="2849" spans="2:11" ht="13.5" customHeight="1">
      <c r="B2849" s="209" t="s">
        <v>704</v>
      </c>
      <c r="C2849" s="209" t="s">
        <v>2841</v>
      </c>
      <c r="D2849" s="449" t="s">
        <v>136</v>
      </c>
      <c r="E2849" s="273">
        <v>0</v>
      </c>
      <c r="F2849" s="274"/>
      <c r="G2849" s="274">
        <f t="shared" si="11"/>
        <v>0</v>
      </c>
      <c r="H2849" s="274">
        <v>0</v>
      </c>
      <c r="K2849" s="274"/>
    </row>
    <row r="2850" spans="2:11" ht="13.5" customHeight="1">
      <c r="B2850" s="209" t="s">
        <v>704</v>
      </c>
      <c r="C2850" s="209" t="s">
        <v>2841</v>
      </c>
      <c r="D2850" s="450" t="s">
        <v>137</v>
      </c>
      <c r="E2850" s="273">
        <v>0</v>
      </c>
      <c r="F2850" s="274"/>
      <c r="G2850" s="274">
        <f t="shared" si="11"/>
        <v>0</v>
      </c>
      <c r="H2850" s="274">
        <v>0</v>
      </c>
      <c r="K2850" s="274"/>
    </row>
    <row r="2851" spans="2:11" ht="13.5" customHeight="1">
      <c r="B2851" s="209" t="s">
        <v>704</v>
      </c>
      <c r="C2851" s="209" t="s">
        <v>2841</v>
      </c>
      <c r="D2851" s="451" t="s">
        <v>138</v>
      </c>
      <c r="E2851" s="273">
        <v>0</v>
      </c>
      <c r="F2851" s="274"/>
      <c r="G2851" s="274">
        <f t="shared" si="11"/>
        <v>0</v>
      </c>
      <c r="H2851" s="274">
        <v>0</v>
      </c>
      <c r="K2851" s="274"/>
    </row>
    <row r="2852" spans="2:11" ht="13.5" customHeight="1">
      <c r="B2852" s="209" t="s">
        <v>704</v>
      </c>
      <c r="C2852" s="209" t="s">
        <v>2841</v>
      </c>
      <c r="D2852" s="452" t="s">
        <v>139</v>
      </c>
      <c r="E2852" s="273">
        <v>0</v>
      </c>
      <c r="F2852" s="274"/>
      <c r="G2852" s="274">
        <f t="shared" si="11"/>
        <v>0</v>
      </c>
      <c r="H2852" s="274">
        <v>0</v>
      </c>
      <c r="K2852" s="274"/>
    </row>
    <row r="2853" spans="2:11" ht="13.5" customHeight="1">
      <c r="B2853" s="209" t="s">
        <v>704</v>
      </c>
      <c r="C2853" s="209" t="s">
        <v>2841</v>
      </c>
      <c r="D2853" s="216" t="s">
        <v>140</v>
      </c>
      <c r="E2853" s="273">
        <v>0</v>
      </c>
      <c r="F2853" s="274"/>
      <c r="G2853" s="274">
        <f t="shared" si="11"/>
        <v>0</v>
      </c>
      <c r="H2853" s="274">
        <v>0</v>
      </c>
      <c r="K2853" s="274"/>
    </row>
    <row r="2854" spans="2:11" ht="13.5" customHeight="1">
      <c r="B2854" s="209" t="s">
        <v>704</v>
      </c>
      <c r="C2854" s="209" t="s">
        <v>2841</v>
      </c>
      <c r="D2854" s="453" t="s">
        <v>141</v>
      </c>
      <c r="E2854" s="273">
        <v>0</v>
      </c>
      <c r="F2854" s="274"/>
      <c r="G2854" s="274">
        <f t="shared" si="11"/>
        <v>0</v>
      </c>
      <c r="H2854" s="274">
        <v>0</v>
      </c>
      <c r="K2854" s="274"/>
    </row>
    <row r="2855" spans="2:11" ht="13.5" customHeight="1">
      <c r="B2855" s="209" t="s">
        <v>381</v>
      </c>
      <c r="C2855" s="209" t="s">
        <v>2842</v>
      </c>
      <c r="D2855" s="446" t="s">
        <v>133</v>
      </c>
      <c r="E2855" s="273">
        <v>0</v>
      </c>
      <c r="F2855" s="274"/>
      <c r="G2855" s="274">
        <f t="shared" si="11"/>
        <v>0</v>
      </c>
      <c r="H2855" s="274">
        <v>0</v>
      </c>
      <c r="K2855" s="274"/>
    </row>
    <row r="2856" spans="2:11" ht="13.5" customHeight="1">
      <c r="B2856" s="209" t="s">
        <v>381</v>
      </c>
      <c r="C2856" s="209" t="s">
        <v>2842</v>
      </c>
      <c r="D2856" s="447" t="s">
        <v>134</v>
      </c>
      <c r="E2856" s="273">
        <v>0</v>
      </c>
      <c r="F2856" s="274"/>
      <c r="G2856" s="274">
        <f t="shared" si="11"/>
        <v>0</v>
      </c>
      <c r="H2856" s="274">
        <v>0</v>
      </c>
      <c r="K2856" s="274"/>
    </row>
    <row r="2857" spans="2:11" ht="13.5" customHeight="1">
      <c r="B2857" s="209" t="s">
        <v>381</v>
      </c>
      <c r="C2857" s="209" t="s">
        <v>2842</v>
      </c>
      <c r="D2857" s="448" t="s">
        <v>135</v>
      </c>
      <c r="E2857" s="273">
        <v>0</v>
      </c>
      <c r="F2857" s="274"/>
      <c r="G2857" s="274">
        <f t="shared" si="11"/>
        <v>0</v>
      </c>
      <c r="H2857" s="274">
        <v>0</v>
      </c>
      <c r="K2857" s="274"/>
    </row>
    <row r="2858" spans="2:11" ht="13.5" customHeight="1">
      <c r="B2858" s="209" t="s">
        <v>381</v>
      </c>
      <c r="C2858" s="209" t="s">
        <v>2842</v>
      </c>
      <c r="D2858" s="449" t="s">
        <v>136</v>
      </c>
      <c r="E2858" s="273">
        <v>0</v>
      </c>
      <c r="F2858" s="274"/>
      <c r="G2858" s="274">
        <f t="shared" si="11"/>
        <v>0</v>
      </c>
      <c r="H2858" s="274">
        <v>0</v>
      </c>
      <c r="K2858" s="274"/>
    </row>
    <row r="2859" spans="2:11" ht="13.5" customHeight="1">
      <c r="B2859" s="209" t="s">
        <v>381</v>
      </c>
      <c r="C2859" s="209" t="s">
        <v>2842</v>
      </c>
      <c r="D2859" s="450" t="s">
        <v>137</v>
      </c>
      <c r="E2859" s="273">
        <v>0</v>
      </c>
      <c r="F2859" s="274"/>
      <c r="G2859" s="274">
        <f t="shared" si="11"/>
        <v>0</v>
      </c>
      <c r="H2859" s="274">
        <v>0</v>
      </c>
      <c r="K2859" s="274"/>
    </row>
    <row r="2860" spans="2:11" ht="13.5" customHeight="1">
      <c r="B2860" s="209" t="s">
        <v>381</v>
      </c>
      <c r="C2860" s="209" t="s">
        <v>2842</v>
      </c>
      <c r="D2860" s="451" t="s">
        <v>138</v>
      </c>
      <c r="E2860" s="273">
        <v>0</v>
      </c>
      <c r="F2860" s="274"/>
      <c r="G2860" s="274">
        <f t="shared" si="11"/>
        <v>0</v>
      </c>
      <c r="H2860" s="274">
        <v>0</v>
      </c>
      <c r="K2860" s="274"/>
    </row>
    <row r="2861" spans="2:11" ht="13.5" customHeight="1">
      <c r="B2861" s="209" t="s">
        <v>381</v>
      </c>
      <c r="C2861" s="209" t="s">
        <v>2842</v>
      </c>
      <c r="D2861" s="452" t="s">
        <v>139</v>
      </c>
      <c r="E2861" s="273">
        <v>0</v>
      </c>
      <c r="F2861" s="274"/>
      <c r="G2861" s="274">
        <f t="shared" si="11"/>
        <v>0</v>
      </c>
      <c r="H2861" s="274">
        <v>0</v>
      </c>
      <c r="K2861" s="274"/>
    </row>
    <row r="2862" spans="2:11" ht="13.5" customHeight="1">
      <c r="B2862" s="209" t="s">
        <v>381</v>
      </c>
      <c r="C2862" s="209" t="s">
        <v>2842</v>
      </c>
      <c r="D2862" s="216" t="s">
        <v>140</v>
      </c>
      <c r="E2862" s="273">
        <v>0</v>
      </c>
      <c r="F2862" s="274"/>
      <c r="G2862" s="274">
        <f t="shared" si="11"/>
        <v>0</v>
      </c>
      <c r="H2862" s="274">
        <v>0</v>
      </c>
      <c r="K2862" s="274"/>
    </row>
    <row r="2863" spans="2:11" ht="13.5" customHeight="1">
      <c r="B2863" s="209" t="s">
        <v>381</v>
      </c>
      <c r="C2863" s="209" t="s">
        <v>2842</v>
      </c>
      <c r="D2863" s="453" t="s">
        <v>141</v>
      </c>
      <c r="E2863" s="273">
        <v>0</v>
      </c>
      <c r="F2863" s="274"/>
      <c r="G2863" s="274">
        <f t="shared" si="11"/>
        <v>0</v>
      </c>
      <c r="H2863" s="274">
        <v>0</v>
      </c>
      <c r="K2863" s="274"/>
    </row>
    <row r="2864" spans="2:11" ht="13.5" customHeight="1">
      <c r="B2864" s="209" t="s">
        <v>391</v>
      </c>
      <c r="C2864" s="209" t="s">
        <v>2843</v>
      </c>
      <c r="D2864" s="446" t="s">
        <v>133</v>
      </c>
      <c r="E2864" s="273">
        <v>0</v>
      </c>
      <c r="F2864" s="274"/>
      <c r="G2864" s="274">
        <f t="shared" si="11"/>
        <v>0</v>
      </c>
      <c r="H2864" s="274">
        <v>0</v>
      </c>
      <c r="K2864" s="274"/>
    </row>
    <row r="2865" spans="2:11" ht="13.5" customHeight="1">
      <c r="B2865" s="209" t="s">
        <v>391</v>
      </c>
      <c r="C2865" s="209" t="s">
        <v>2843</v>
      </c>
      <c r="D2865" s="447" t="s">
        <v>134</v>
      </c>
      <c r="E2865" s="273">
        <v>0</v>
      </c>
      <c r="F2865" s="274"/>
      <c r="G2865" s="274">
        <f t="shared" si="11"/>
        <v>0</v>
      </c>
      <c r="H2865" s="274">
        <v>0</v>
      </c>
      <c r="K2865" s="274"/>
    </row>
    <row r="2866" spans="2:11" ht="13.5" customHeight="1">
      <c r="B2866" s="209" t="s">
        <v>391</v>
      </c>
      <c r="C2866" s="209" t="s">
        <v>2843</v>
      </c>
      <c r="D2866" s="448" t="s">
        <v>135</v>
      </c>
      <c r="E2866" s="273">
        <v>0</v>
      </c>
      <c r="F2866" s="274"/>
      <c r="G2866" s="274">
        <f t="shared" si="11"/>
        <v>0</v>
      </c>
      <c r="H2866" s="274">
        <v>0</v>
      </c>
      <c r="K2866" s="274"/>
    </row>
    <row r="2867" spans="2:11" ht="13.5" customHeight="1">
      <c r="B2867" s="209" t="s">
        <v>391</v>
      </c>
      <c r="C2867" s="209" t="s">
        <v>2843</v>
      </c>
      <c r="D2867" s="449" t="s">
        <v>136</v>
      </c>
      <c r="E2867" s="273">
        <v>0</v>
      </c>
      <c r="F2867" s="274"/>
      <c r="G2867" s="274">
        <f t="shared" si="11"/>
        <v>0</v>
      </c>
      <c r="H2867" s="274">
        <v>0</v>
      </c>
      <c r="K2867" s="274"/>
    </row>
    <row r="2868" spans="2:11" ht="13.5" customHeight="1">
      <c r="B2868" s="209" t="s">
        <v>391</v>
      </c>
      <c r="C2868" s="209" t="s">
        <v>2843</v>
      </c>
      <c r="D2868" s="450" t="s">
        <v>137</v>
      </c>
      <c r="E2868" s="273">
        <v>0</v>
      </c>
      <c r="F2868" s="274"/>
      <c r="G2868" s="274">
        <f t="shared" si="11"/>
        <v>0</v>
      </c>
      <c r="H2868" s="274">
        <v>0</v>
      </c>
      <c r="K2868" s="274"/>
    </row>
    <row r="2869" spans="2:11" ht="13.5" customHeight="1">
      <c r="B2869" s="209" t="s">
        <v>391</v>
      </c>
      <c r="C2869" s="209" t="s">
        <v>2843</v>
      </c>
      <c r="D2869" s="451" t="s">
        <v>138</v>
      </c>
      <c r="E2869" s="273">
        <v>0</v>
      </c>
      <c r="F2869" s="274"/>
      <c r="G2869" s="274">
        <f t="shared" si="11"/>
        <v>0</v>
      </c>
      <c r="H2869" s="274">
        <v>0</v>
      </c>
      <c r="K2869" s="274"/>
    </row>
    <row r="2870" spans="2:11" ht="13.5" customHeight="1">
      <c r="B2870" s="209" t="s">
        <v>391</v>
      </c>
      <c r="C2870" s="209" t="s">
        <v>2843</v>
      </c>
      <c r="D2870" s="452" t="s">
        <v>139</v>
      </c>
      <c r="E2870" s="273">
        <v>0</v>
      </c>
      <c r="F2870" s="274"/>
      <c r="G2870" s="274">
        <f t="shared" si="11"/>
        <v>0</v>
      </c>
      <c r="H2870" s="274">
        <v>0</v>
      </c>
      <c r="K2870" s="274"/>
    </row>
    <row r="2871" spans="2:11" ht="13.5" customHeight="1">
      <c r="B2871" s="209" t="s">
        <v>391</v>
      </c>
      <c r="C2871" s="209" t="s">
        <v>2843</v>
      </c>
      <c r="D2871" s="216" t="s">
        <v>140</v>
      </c>
      <c r="E2871" s="273">
        <v>0</v>
      </c>
      <c r="F2871" s="274"/>
      <c r="G2871" s="274">
        <f t="shared" si="11"/>
        <v>0</v>
      </c>
      <c r="H2871" s="274">
        <v>0</v>
      </c>
      <c r="K2871" s="274"/>
    </row>
    <row r="2872" spans="2:11" ht="13.5" customHeight="1">
      <c r="B2872" s="209" t="s">
        <v>391</v>
      </c>
      <c r="C2872" s="209" t="s">
        <v>2843</v>
      </c>
      <c r="D2872" s="453" t="s">
        <v>141</v>
      </c>
      <c r="E2872" s="273">
        <v>0</v>
      </c>
      <c r="F2872" s="274"/>
      <c r="G2872" s="274">
        <f t="shared" si="11"/>
        <v>0</v>
      </c>
      <c r="H2872" s="274">
        <v>0</v>
      </c>
      <c r="K2872" s="274"/>
    </row>
    <row r="2873" spans="2:11" ht="13.5" customHeight="1">
      <c r="B2873" s="209" t="s">
        <v>387</v>
      </c>
      <c r="C2873" s="209" t="s">
        <v>2844</v>
      </c>
      <c r="D2873" s="446" t="s">
        <v>133</v>
      </c>
      <c r="E2873" s="273">
        <v>0</v>
      </c>
      <c r="F2873" s="274"/>
      <c r="G2873" s="274">
        <f t="shared" si="11"/>
        <v>0</v>
      </c>
      <c r="H2873" s="274">
        <v>0</v>
      </c>
      <c r="K2873" s="274"/>
    </row>
    <row r="2874" spans="2:11" ht="13.5" customHeight="1">
      <c r="B2874" s="209" t="s">
        <v>387</v>
      </c>
      <c r="C2874" s="209" t="s">
        <v>2844</v>
      </c>
      <c r="D2874" s="447" t="s">
        <v>134</v>
      </c>
      <c r="E2874" s="273">
        <v>0</v>
      </c>
      <c r="F2874" s="274"/>
      <c r="G2874" s="274">
        <f t="shared" si="11"/>
        <v>0</v>
      </c>
      <c r="H2874" s="274">
        <v>0</v>
      </c>
      <c r="K2874" s="274"/>
    </row>
    <row r="2875" spans="2:11" ht="13.5" customHeight="1">
      <c r="B2875" s="209" t="s">
        <v>387</v>
      </c>
      <c r="C2875" s="209" t="s">
        <v>2844</v>
      </c>
      <c r="D2875" s="448" t="s">
        <v>135</v>
      </c>
      <c r="E2875" s="273">
        <v>0</v>
      </c>
      <c r="F2875" s="274"/>
      <c r="G2875" s="274">
        <f t="shared" si="11"/>
        <v>0</v>
      </c>
      <c r="H2875" s="274">
        <v>0</v>
      </c>
      <c r="K2875" s="274"/>
    </row>
    <row r="2876" spans="2:11" ht="13.5" customHeight="1">
      <c r="B2876" s="209" t="s">
        <v>387</v>
      </c>
      <c r="C2876" s="209" t="s">
        <v>2844</v>
      </c>
      <c r="D2876" s="449" t="s">
        <v>136</v>
      </c>
      <c r="E2876" s="273">
        <v>0</v>
      </c>
      <c r="F2876" s="274"/>
      <c r="G2876" s="274">
        <f t="shared" si="11"/>
        <v>0</v>
      </c>
      <c r="H2876" s="274">
        <v>0</v>
      </c>
      <c r="K2876" s="274"/>
    </row>
    <row r="2877" spans="2:11" ht="13.5" customHeight="1">
      <c r="B2877" s="209" t="s">
        <v>387</v>
      </c>
      <c r="C2877" s="209" t="s">
        <v>2844</v>
      </c>
      <c r="D2877" s="450" t="s">
        <v>137</v>
      </c>
      <c r="E2877" s="273">
        <v>0</v>
      </c>
      <c r="F2877" s="274"/>
      <c r="G2877" s="274">
        <f t="shared" si="11"/>
        <v>0</v>
      </c>
      <c r="H2877" s="274">
        <v>0</v>
      </c>
      <c r="K2877" s="274"/>
    </row>
    <row r="2878" spans="2:11" ht="13.5" customHeight="1">
      <c r="B2878" s="209" t="s">
        <v>387</v>
      </c>
      <c r="C2878" s="209" t="s">
        <v>2844</v>
      </c>
      <c r="D2878" s="451" t="s">
        <v>138</v>
      </c>
      <c r="E2878" s="273">
        <v>0</v>
      </c>
      <c r="F2878" s="274"/>
      <c r="G2878" s="274">
        <f t="shared" si="11"/>
        <v>0</v>
      </c>
      <c r="H2878" s="274">
        <v>0</v>
      </c>
      <c r="K2878" s="274"/>
    </row>
    <row r="2879" spans="2:11" ht="13.5" customHeight="1">
      <c r="B2879" s="209" t="s">
        <v>387</v>
      </c>
      <c r="C2879" s="209" t="s">
        <v>2844</v>
      </c>
      <c r="D2879" s="452" t="s">
        <v>139</v>
      </c>
      <c r="E2879" s="273">
        <v>0</v>
      </c>
      <c r="F2879" s="274"/>
      <c r="G2879" s="274">
        <f t="shared" si="11"/>
        <v>0</v>
      </c>
      <c r="H2879" s="274">
        <v>0</v>
      </c>
      <c r="K2879" s="274"/>
    </row>
    <row r="2880" spans="2:11" ht="13.5" customHeight="1">
      <c r="B2880" s="209" t="s">
        <v>387</v>
      </c>
      <c r="C2880" s="209" t="s">
        <v>2844</v>
      </c>
      <c r="D2880" s="216" t="s">
        <v>140</v>
      </c>
      <c r="E2880" s="273">
        <v>0</v>
      </c>
      <c r="F2880" s="274"/>
      <c r="G2880" s="274">
        <f t="shared" si="11"/>
        <v>0</v>
      </c>
      <c r="H2880" s="274">
        <v>0</v>
      </c>
      <c r="K2880" s="274"/>
    </row>
    <row r="2881" spans="2:11" ht="13.5" customHeight="1">
      <c r="B2881" s="209" t="s">
        <v>387</v>
      </c>
      <c r="C2881" s="209" t="s">
        <v>2844</v>
      </c>
      <c r="D2881" s="453" t="s">
        <v>141</v>
      </c>
      <c r="E2881" s="273">
        <v>0</v>
      </c>
      <c r="F2881" s="274"/>
      <c r="G2881" s="274">
        <f t="shared" si="11"/>
        <v>0</v>
      </c>
      <c r="H2881" s="274">
        <v>0</v>
      </c>
      <c r="K2881" s="274"/>
    </row>
    <row r="2882" spans="2:11" ht="13.5" customHeight="1">
      <c r="B2882" s="209" t="s">
        <v>383</v>
      </c>
      <c r="C2882" s="209" t="s">
        <v>2845</v>
      </c>
      <c r="D2882" s="446" t="s">
        <v>133</v>
      </c>
      <c r="E2882" s="273">
        <v>0</v>
      </c>
      <c r="F2882" s="274"/>
      <c r="G2882" s="274">
        <f t="shared" si="11"/>
        <v>0</v>
      </c>
      <c r="H2882" s="274">
        <v>0</v>
      </c>
      <c r="K2882" s="274"/>
    </row>
    <row r="2883" spans="2:11" ht="13.5" customHeight="1">
      <c r="B2883" s="209" t="s">
        <v>383</v>
      </c>
      <c r="C2883" s="209" t="s">
        <v>2845</v>
      </c>
      <c r="D2883" s="447" t="s">
        <v>134</v>
      </c>
      <c r="E2883" s="273">
        <v>0</v>
      </c>
      <c r="F2883" s="274"/>
      <c r="G2883" s="274">
        <f t="shared" si="11"/>
        <v>0</v>
      </c>
      <c r="H2883" s="274">
        <v>0</v>
      </c>
      <c r="K2883" s="274"/>
    </row>
    <row r="2884" spans="2:11" ht="13.5" customHeight="1">
      <c r="B2884" s="209" t="s">
        <v>383</v>
      </c>
      <c r="C2884" s="209" t="s">
        <v>2845</v>
      </c>
      <c r="D2884" s="448" t="s">
        <v>135</v>
      </c>
      <c r="E2884" s="273">
        <v>0</v>
      </c>
      <c r="F2884" s="274"/>
      <c r="G2884" s="274">
        <f t="shared" si="11"/>
        <v>0</v>
      </c>
      <c r="H2884" s="274">
        <v>0</v>
      </c>
      <c r="K2884" s="274"/>
    </row>
    <row r="2885" spans="2:11" ht="13.5" customHeight="1">
      <c r="B2885" s="209" t="s">
        <v>383</v>
      </c>
      <c r="C2885" s="209" t="s">
        <v>2845</v>
      </c>
      <c r="D2885" s="449" t="s">
        <v>136</v>
      </c>
      <c r="E2885" s="273">
        <v>0</v>
      </c>
      <c r="F2885" s="274"/>
      <c r="G2885" s="274">
        <f t="shared" si="11"/>
        <v>0</v>
      </c>
      <c r="H2885" s="274">
        <v>0</v>
      </c>
      <c r="K2885" s="274"/>
    </row>
    <row r="2886" spans="2:11" ht="13.5" customHeight="1">
      <c r="B2886" s="209" t="s">
        <v>383</v>
      </c>
      <c r="C2886" s="209" t="s">
        <v>2845</v>
      </c>
      <c r="D2886" s="450" t="s">
        <v>137</v>
      </c>
      <c r="E2886" s="273">
        <v>0</v>
      </c>
      <c r="F2886" s="274"/>
      <c r="G2886" s="274">
        <f t="shared" si="11"/>
        <v>0</v>
      </c>
      <c r="H2886" s="274">
        <v>0</v>
      </c>
      <c r="K2886" s="274"/>
    </row>
    <row r="2887" spans="2:11" ht="13.5" customHeight="1">
      <c r="B2887" s="209" t="s">
        <v>383</v>
      </c>
      <c r="C2887" s="209" t="s">
        <v>2845</v>
      </c>
      <c r="D2887" s="451" t="s">
        <v>138</v>
      </c>
      <c r="E2887" s="273">
        <v>0</v>
      </c>
      <c r="F2887" s="274"/>
      <c r="G2887" s="274">
        <f t="shared" si="11"/>
        <v>0</v>
      </c>
      <c r="H2887" s="274">
        <v>0</v>
      </c>
      <c r="K2887" s="274"/>
    </row>
    <row r="2888" spans="2:11" ht="13.5" customHeight="1">
      <c r="B2888" s="209" t="s">
        <v>383</v>
      </c>
      <c r="C2888" s="209" t="s">
        <v>2845</v>
      </c>
      <c r="D2888" s="452" t="s">
        <v>139</v>
      </c>
      <c r="E2888" s="273">
        <v>0</v>
      </c>
      <c r="F2888" s="274"/>
      <c r="G2888" s="274">
        <f t="shared" si="11"/>
        <v>0</v>
      </c>
      <c r="H2888" s="274">
        <v>0</v>
      </c>
      <c r="K2888" s="274"/>
    </row>
    <row r="2889" spans="2:11" ht="13.5" customHeight="1">
      <c r="B2889" s="209" t="s">
        <v>383</v>
      </c>
      <c r="C2889" s="209" t="s">
        <v>2845</v>
      </c>
      <c r="D2889" s="216" t="s">
        <v>140</v>
      </c>
      <c r="E2889" s="273">
        <v>0</v>
      </c>
      <c r="F2889" s="274"/>
      <c r="G2889" s="274">
        <f t="shared" si="11"/>
        <v>0</v>
      </c>
      <c r="H2889" s="274">
        <v>0</v>
      </c>
      <c r="K2889" s="274"/>
    </row>
    <row r="2890" spans="2:11" ht="13.5" customHeight="1">
      <c r="B2890" s="209" t="s">
        <v>383</v>
      </c>
      <c r="C2890" s="209" t="s">
        <v>2845</v>
      </c>
      <c r="D2890" s="453" t="s">
        <v>141</v>
      </c>
      <c r="E2890" s="273">
        <v>0</v>
      </c>
      <c r="F2890" s="274"/>
      <c r="G2890" s="274">
        <f t="shared" si="11"/>
        <v>0</v>
      </c>
      <c r="H2890" s="274">
        <v>0</v>
      </c>
      <c r="K2890" s="274"/>
    </row>
    <row r="2891" spans="2:11" ht="13.5" customHeight="1">
      <c r="B2891" s="209" t="s">
        <v>385</v>
      </c>
      <c r="C2891" s="209" t="s">
        <v>2846</v>
      </c>
      <c r="D2891" s="446" t="s">
        <v>133</v>
      </c>
      <c r="E2891" s="273">
        <v>0</v>
      </c>
      <c r="F2891" s="274"/>
      <c r="G2891" s="274">
        <f t="shared" si="11"/>
        <v>0</v>
      </c>
      <c r="H2891" s="274">
        <v>0</v>
      </c>
      <c r="K2891" s="274"/>
    </row>
    <row r="2892" spans="2:11" ht="13.5" customHeight="1">
      <c r="B2892" s="209" t="s">
        <v>385</v>
      </c>
      <c r="C2892" s="209" t="s">
        <v>2846</v>
      </c>
      <c r="D2892" s="447" t="s">
        <v>134</v>
      </c>
      <c r="E2892" s="273">
        <v>0</v>
      </c>
      <c r="F2892" s="274"/>
      <c r="G2892" s="274">
        <f t="shared" si="11"/>
        <v>0</v>
      </c>
      <c r="H2892" s="274">
        <v>0</v>
      </c>
      <c r="K2892" s="274"/>
    </row>
    <row r="2893" spans="2:11" ht="13.5" customHeight="1">
      <c r="B2893" s="209" t="s">
        <v>385</v>
      </c>
      <c r="C2893" s="209" t="s">
        <v>2846</v>
      </c>
      <c r="D2893" s="448" t="s">
        <v>135</v>
      </c>
      <c r="E2893" s="273">
        <v>0</v>
      </c>
      <c r="F2893" s="274"/>
      <c r="G2893" s="274">
        <f t="shared" si="11"/>
        <v>0</v>
      </c>
      <c r="H2893" s="274">
        <v>0</v>
      </c>
      <c r="K2893" s="274"/>
    </row>
    <row r="2894" spans="2:11" ht="13.5" customHeight="1">
      <c r="B2894" s="209" t="s">
        <v>385</v>
      </c>
      <c r="C2894" s="209" t="s">
        <v>2846</v>
      </c>
      <c r="D2894" s="449" t="s">
        <v>136</v>
      </c>
      <c r="E2894" s="273">
        <v>0</v>
      </c>
      <c r="F2894" s="274"/>
      <c r="G2894" s="274">
        <f t="shared" si="11"/>
        <v>0</v>
      </c>
      <c r="H2894" s="274">
        <v>0</v>
      </c>
      <c r="K2894" s="274"/>
    </row>
    <row r="2895" spans="2:11" ht="13.5" customHeight="1">
      <c r="B2895" s="209" t="s">
        <v>385</v>
      </c>
      <c r="C2895" s="209" t="s">
        <v>2846</v>
      </c>
      <c r="D2895" s="450" t="s">
        <v>137</v>
      </c>
      <c r="E2895" s="273">
        <v>0</v>
      </c>
      <c r="F2895" s="274"/>
      <c r="G2895" s="274">
        <f t="shared" si="11"/>
        <v>0</v>
      </c>
      <c r="H2895" s="274">
        <v>0</v>
      </c>
      <c r="K2895" s="274"/>
    </row>
    <row r="2896" spans="2:11" ht="13.5" customHeight="1">
      <c r="B2896" s="209" t="s">
        <v>385</v>
      </c>
      <c r="C2896" s="209" t="s">
        <v>2846</v>
      </c>
      <c r="D2896" s="451" t="s">
        <v>138</v>
      </c>
      <c r="E2896" s="273">
        <v>0</v>
      </c>
      <c r="F2896" s="274"/>
      <c r="G2896" s="274">
        <f t="shared" si="11"/>
        <v>0</v>
      </c>
      <c r="H2896" s="274">
        <v>0</v>
      </c>
      <c r="K2896" s="274"/>
    </row>
    <row r="2897" spans="2:11" ht="13.5" customHeight="1">
      <c r="B2897" s="209" t="s">
        <v>385</v>
      </c>
      <c r="C2897" s="209" t="s">
        <v>2846</v>
      </c>
      <c r="D2897" s="452" t="s">
        <v>139</v>
      </c>
      <c r="E2897" s="273">
        <v>0</v>
      </c>
      <c r="F2897" s="274"/>
      <c r="G2897" s="274">
        <f t="shared" si="11"/>
        <v>0</v>
      </c>
      <c r="H2897" s="274">
        <v>0</v>
      </c>
      <c r="K2897" s="274"/>
    </row>
    <row r="2898" spans="2:11" ht="13.5" customHeight="1">
      <c r="B2898" s="209" t="s">
        <v>385</v>
      </c>
      <c r="C2898" s="209" t="s">
        <v>2846</v>
      </c>
      <c r="D2898" s="216" t="s">
        <v>140</v>
      </c>
      <c r="E2898" s="273">
        <v>0</v>
      </c>
      <c r="F2898" s="274"/>
      <c r="G2898" s="274">
        <f t="shared" si="11"/>
        <v>0</v>
      </c>
      <c r="H2898" s="274">
        <v>0</v>
      </c>
      <c r="K2898" s="274"/>
    </row>
    <row r="2899" spans="2:11" ht="13.5" customHeight="1">
      <c r="B2899" s="209" t="s">
        <v>385</v>
      </c>
      <c r="C2899" s="209" t="s">
        <v>2846</v>
      </c>
      <c r="D2899" s="453" t="s">
        <v>141</v>
      </c>
      <c r="E2899" s="273">
        <v>0</v>
      </c>
      <c r="F2899" s="274"/>
      <c r="G2899" s="274">
        <f t="shared" si="11"/>
        <v>0</v>
      </c>
      <c r="H2899" s="274">
        <v>0</v>
      </c>
      <c r="K2899" s="274"/>
    </row>
    <row r="2900" spans="2:11" ht="13.5" customHeight="1">
      <c r="B2900" s="209" t="s">
        <v>389</v>
      </c>
      <c r="C2900" s="209" t="s">
        <v>2847</v>
      </c>
      <c r="D2900" s="446" t="s">
        <v>133</v>
      </c>
      <c r="E2900" s="273">
        <v>0</v>
      </c>
      <c r="F2900" s="274"/>
      <c r="G2900" s="274">
        <f t="shared" si="11"/>
        <v>0</v>
      </c>
      <c r="H2900" s="274">
        <v>0</v>
      </c>
      <c r="K2900" s="274"/>
    </row>
    <row r="2901" spans="2:11" ht="13.5" customHeight="1">
      <c r="B2901" s="209" t="s">
        <v>389</v>
      </c>
      <c r="C2901" s="209" t="s">
        <v>2847</v>
      </c>
      <c r="D2901" s="447" t="s">
        <v>134</v>
      </c>
      <c r="E2901" s="273">
        <v>0</v>
      </c>
      <c r="F2901" s="274"/>
      <c r="G2901" s="274">
        <f t="shared" si="11"/>
        <v>0</v>
      </c>
      <c r="H2901" s="274">
        <v>0</v>
      </c>
      <c r="K2901" s="274"/>
    </row>
    <row r="2902" spans="2:11" ht="13.5" customHeight="1">
      <c r="B2902" s="209" t="s">
        <v>389</v>
      </c>
      <c r="C2902" s="209" t="s">
        <v>2847</v>
      </c>
      <c r="D2902" s="448" t="s">
        <v>135</v>
      </c>
      <c r="E2902" s="273">
        <v>0</v>
      </c>
      <c r="F2902" s="274"/>
      <c r="G2902" s="274">
        <f t="shared" si="11"/>
        <v>0</v>
      </c>
      <c r="H2902" s="274">
        <v>0</v>
      </c>
      <c r="K2902" s="274"/>
    </row>
    <row r="2903" spans="2:11" ht="13.5" customHeight="1">
      <c r="B2903" s="209" t="s">
        <v>389</v>
      </c>
      <c r="C2903" s="209" t="s">
        <v>2847</v>
      </c>
      <c r="D2903" s="449" t="s">
        <v>136</v>
      </c>
      <c r="E2903" s="273">
        <v>0</v>
      </c>
      <c r="F2903" s="274"/>
      <c r="G2903" s="274">
        <f t="shared" si="11"/>
        <v>0</v>
      </c>
      <c r="H2903" s="274">
        <v>0</v>
      </c>
      <c r="K2903" s="274"/>
    </row>
    <row r="2904" spans="2:11" ht="13.5" customHeight="1">
      <c r="B2904" s="209" t="s">
        <v>389</v>
      </c>
      <c r="C2904" s="209" t="s">
        <v>2847</v>
      </c>
      <c r="D2904" s="450" t="s">
        <v>137</v>
      </c>
      <c r="E2904" s="273">
        <v>0</v>
      </c>
      <c r="F2904" s="274"/>
      <c r="G2904" s="274">
        <f t="shared" si="11"/>
        <v>0</v>
      </c>
      <c r="H2904" s="274">
        <v>0</v>
      </c>
      <c r="K2904" s="274"/>
    </row>
    <row r="2905" spans="2:11" ht="13.5" customHeight="1">
      <c r="B2905" s="209" t="s">
        <v>389</v>
      </c>
      <c r="C2905" s="209" t="s">
        <v>2847</v>
      </c>
      <c r="D2905" s="451" t="s">
        <v>138</v>
      </c>
      <c r="E2905" s="273">
        <v>0</v>
      </c>
      <c r="F2905" s="274"/>
      <c r="G2905" s="274">
        <f t="shared" si="11"/>
        <v>0</v>
      </c>
      <c r="H2905" s="274">
        <v>0</v>
      </c>
      <c r="K2905" s="274"/>
    </row>
    <row r="2906" spans="2:11" ht="13.5" customHeight="1">
      <c r="B2906" s="209" t="s">
        <v>389</v>
      </c>
      <c r="C2906" s="209" t="s">
        <v>2847</v>
      </c>
      <c r="D2906" s="452" t="s">
        <v>139</v>
      </c>
      <c r="E2906" s="273">
        <v>0</v>
      </c>
      <c r="F2906" s="274"/>
      <c r="G2906" s="274">
        <f t="shared" si="11"/>
        <v>0</v>
      </c>
      <c r="H2906" s="274">
        <v>0</v>
      </c>
      <c r="K2906" s="274"/>
    </row>
    <row r="2907" spans="2:11" ht="13.5" customHeight="1">
      <c r="B2907" s="209" t="s">
        <v>389</v>
      </c>
      <c r="C2907" s="209" t="s">
        <v>2847</v>
      </c>
      <c r="D2907" s="216" t="s">
        <v>140</v>
      </c>
      <c r="E2907" s="273">
        <v>0</v>
      </c>
      <c r="F2907" s="274"/>
      <c r="G2907" s="274">
        <f t="shared" si="11"/>
        <v>0</v>
      </c>
      <c r="H2907" s="274">
        <v>0</v>
      </c>
      <c r="K2907" s="274"/>
    </row>
    <row r="2908" spans="2:11" ht="13.5" customHeight="1">
      <c r="B2908" s="209" t="s">
        <v>389</v>
      </c>
      <c r="C2908" s="209" t="s">
        <v>2847</v>
      </c>
      <c r="D2908" s="453" t="s">
        <v>141</v>
      </c>
      <c r="E2908" s="273">
        <v>0</v>
      </c>
      <c r="F2908" s="274"/>
      <c r="G2908" s="274">
        <f t="shared" si="11"/>
        <v>0</v>
      </c>
      <c r="H2908" s="274">
        <v>0</v>
      </c>
      <c r="K2908" s="274"/>
    </row>
    <row r="2909" spans="2:11" ht="13.5" customHeight="1">
      <c r="B2909" s="209" t="s">
        <v>1226</v>
      </c>
      <c r="C2909" s="209" t="s">
        <v>2848</v>
      </c>
      <c r="D2909" s="446" t="s">
        <v>133</v>
      </c>
      <c r="E2909" s="273">
        <v>0</v>
      </c>
      <c r="F2909" s="274"/>
      <c r="G2909" s="274">
        <f t="shared" si="11"/>
        <v>0</v>
      </c>
      <c r="H2909" s="274">
        <v>0</v>
      </c>
      <c r="K2909" s="274"/>
    </row>
    <row r="2910" spans="2:11" ht="13.5" customHeight="1">
      <c r="B2910" s="209" t="s">
        <v>1226</v>
      </c>
      <c r="C2910" s="209" t="s">
        <v>2848</v>
      </c>
      <c r="D2910" s="447" t="s">
        <v>134</v>
      </c>
      <c r="E2910" s="273">
        <v>0</v>
      </c>
      <c r="F2910" s="274"/>
      <c r="G2910" s="274">
        <f t="shared" si="11"/>
        <v>0</v>
      </c>
      <c r="H2910" s="274">
        <v>0</v>
      </c>
      <c r="K2910" s="274"/>
    </row>
    <row r="2911" spans="2:11" ht="13.5" customHeight="1">
      <c r="B2911" s="209" t="s">
        <v>1226</v>
      </c>
      <c r="C2911" s="209" t="s">
        <v>2848</v>
      </c>
      <c r="D2911" s="448" t="s">
        <v>135</v>
      </c>
      <c r="E2911" s="273">
        <v>0</v>
      </c>
      <c r="F2911" s="274"/>
      <c r="G2911" s="274">
        <f t="shared" si="11"/>
        <v>0</v>
      </c>
      <c r="H2911" s="274">
        <v>0</v>
      </c>
      <c r="K2911" s="274"/>
    </row>
    <row r="2912" spans="2:11" ht="13.5" customHeight="1">
      <c r="B2912" s="209" t="s">
        <v>1226</v>
      </c>
      <c r="C2912" s="209" t="s">
        <v>2848</v>
      </c>
      <c r="D2912" s="449" t="s">
        <v>136</v>
      </c>
      <c r="E2912" s="273">
        <v>0</v>
      </c>
      <c r="F2912" s="274"/>
      <c r="G2912" s="274">
        <f t="shared" si="11"/>
        <v>0</v>
      </c>
      <c r="H2912" s="274">
        <v>0</v>
      </c>
      <c r="K2912" s="274"/>
    </row>
    <row r="2913" spans="2:11" ht="13.5" customHeight="1">
      <c r="B2913" s="209" t="s">
        <v>1226</v>
      </c>
      <c r="C2913" s="209" t="s">
        <v>2848</v>
      </c>
      <c r="D2913" s="450" t="s">
        <v>137</v>
      </c>
      <c r="E2913" s="273">
        <v>0</v>
      </c>
      <c r="F2913" s="274"/>
      <c r="G2913" s="274">
        <f t="shared" si="11"/>
        <v>0</v>
      </c>
      <c r="H2913" s="274">
        <v>0</v>
      </c>
      <c r="K2913" s="274"/>
    </row>
    <row r="2914" spans="2:11" ht="13.5" customHeight="1">
      <c r="B2914" s="209" t="s">
        <v>1226</v>
      </c>
      <c r="C2914" s="209" t="s">
        <v>2848</v>
      </c>
      <c r="D2914" s="451" t="s">
        <v>138</v>
      </c>
      <c r="E2914" s="273">
        <v>0</v>
      </c>
      <c r="F2914" s="274"/>
      <c r="G2914" s="274">
        <f t="shared" si="11"/>
        <v>0</v>
      </c>
      <c r="H2914" s="274">
        <v>0</v>
      </c>
      <c r="K2914" s="274"/>
    </row>
    <row r="2915" spans="2:11" ht="13.5" customHeight="1">
      <c r="B2915" s="209" t="s">
        <v>1226</v>
      </c>
      <c r="C2915" s="209" t="s">
        <v>2848</v>
      </c>
      <c r="D2915" s="452" t="s">
        <v>139</v>
      </c>
      <c r="E2915" s="273">
        <v>0</v>
      </c>
      <c r="F2915" s="274"/>
      <c r="G2915" s="274">
        <f t="shared" si="11"/>
        <v>0</v>
      </c>
      <c r="H2915" s="274">
        <v>0</v>
      </c>
      <c r="K2915" s="274"/>
    </row>
    <row r="2916" spans="2:11" ht="13.5" customHeight="1">
      <c r="B2916" s="209" t="s">
        <v>1226</v>
      </c>
      <c r="C2916" s="209" t="s">
        <v>2848</v>
      </c>
      <c r="D2916" s="216" t="s">
        <v>140</v>
      </c>
      <c r="E2916" s="273">
        <v>0</v>
      </c>
      <c r="F2916" s="274"/>
      <c r="G2916" s="274">
        <f t="shared" si="11"/>
        <v>0</v>
      </c>
      <c r="H2916" s="274">
        <v>0</v>
      </c>
      <c r="K2916" s="274"/>
    </row>
    <row r="2917" spans="2:11" ht="13.5" customHeight="1">
      <c r="B2917" s="209" t="s">
        <v>1226</v>
      </c>
      <c r="C2917" s="209" t="s">
        <v>2848</v>
      </c>
      <c r="D2917" s="453" t="s">
        <v>141</v>
      </c>
      <c r="E2917" s="273">
        <v>0</v>
      </c>
      <c r="F2917" s="274"/>
      <c r="G2917" s="274">
        <f t="shared" si="11"/>
        <v>0</v>
      </c>
      <c r="H2917" s="274">
        <v>0</v>
      </c>
      <c r="K2917" s="274"/>
    </row>
    <row r="2918" spans="2:11" ht="13.5" customHeight="1">
      <c r="B2918" s="209" t="s">
        <v>845</v>
      </c>
      <c r="C2918" s="209" t="s">
        <v>2849</v>
      </c>
      <c r="D2918" s="446" t="s">
        <v>133</v>
      </c>
      <c r="E2918" s="273">
        <v>0</v>
      </c>
      <c r="F2918" s="274"/>
      <c r="G2918" s="274">
        <f t="shared" si="11"/>
        <v>0</v>
      </c>
      <c r="H2918" s="274">
        <v>0</v>
      </c>
      <c r="K2918" s="274"/>
    </row>
    <row r="2919" spans="2:11" ht="13.5" customHeight="1">
      <c r="B2919" s="209" t="s">
        <v>845</v>
      </c>
      <c r="C2919" s="209" t="s">
        <v>2849</v>
      </c>
      <c r="D2919" s="447" t="s">
        <v>134</v>
      </c>
      <c r="E2919" s="273">
        <v>0</v>
      </c>
      <c r="F2919" s="274"/>
      <c r="G2919" s="274">
        <f t="shared" si="11"/>
        <v>0</v>
      </c>
      <c r="H2919" s="274">
        <v>0</v>
      </c>
      <c r="K2919" s="274"/>
    </row>
    <row r="2920" spans="2:11" ht="13.5" customHeight="1">
      <c r="B2920" s="209" t="s">
        <v>845</v>
      </c>
      <c r="C2920" s="209" t="s">
        <v>2849</v>
      </c>
      <c r="D2920" s="448" t="s">
        <v>135</v>
      </c>
      <c r="E2920" s="273">
        <v>0</v>
      </c>
      <c r="F2920" s="274"/>
      <c r="G2920" s="274">
        <f t="shared" si="11"/>
        <v>0</v>
      </c>
      <c r="H2920" s="274">
        <v>0</v>
      </c>
      <c r="K2920" s="274"/>
    </row>
    <row r="2921" spans="2:11" ht="13.5" customHeight="1">
      <c r="B2921" s="209" t="s">
        <v>845</v>
      </c>
      <c r="C2921" s="209" t="s">
        <v>2849</v>
      </c>
      <c r="D2921" s="449" t="s">
        <v>136</v>
      </c>
      <c r="E2921" s="273">
        <v>0</v>
      </c>
      <c r="F2921" s="274"/>
      <c r="G2921" s="274">
        <f t="shared" si="11"/>
        <v>0</v>
      </c>
      <c r="H2921" s="274">
        <v>0</v>
      </c>
      <c r="K2921" s="274"/>
    </row>
    <row r="2922" spans="2:11" ht="13.5" customHeight="1">
      <c r="B2922" s="209" t="s">
        <v>845</v>
      </c>
      <c r="C2922" s="209" t="s">
        <v>2849</v>
      </c>
      <c r="D2922" s="450" t="s">
        <v>137</v>
      </c>
      <c r="E2922" s="273">
        <v>0</v>
      </c>
      <c r="F2922" s="274"/>
      <c r="G2922" s="274">
        <f t="shared" si="11"/>
        <v>0</v>
      </c>
      <c r="H2922" s="274">
        <v>0</v>
      </c>
      <c r="K2922" s="274"/>
    </row>
    <row r="2923" spans="2:11" ht="13.5" customHeight="1">
      <c r="B2923" s="209" t="s">
        <v>845</v>
      </c>
      <c r="C2923" s="209" t="s">
        <v>2849</v>
      </c>
      <c r="D2923" s="451" t="s">
        <v>138</v>
      </c>
      <c r="E2923" s="273">
        <v>0</v>
      </c>
      <c r="F2923" s="274"/>
      <c r="G2923" s="274">
        <f t="shared" si="11"/>
        <v>0</v>
      </c>
      <c r="H2923" s="274">
        <v>0</v>
      </c>
      <c r="K2923" s="274"/>
    </row>
    <row r="2924" spans="2:11" ht="13.5" customHeight="1">
      <c r="B2924" s="209" t="s">
        <v>845</v>
      </c>
      <c r="C2924" s="209" t="s">
        <v>2849</v>
      </c>
      <c r="D2924" s="452" t="s">
        <v>139</v>
      </c>
      <c r="E2924" s="273">
        <v>0</v>
      </c>
      <c r="F2924" s="274"/>
      <c r="G2924" s="274">
        <f t="shared" si="11"/>
        <v>0</v>
      </c>
      <c r="H2924" s="274">
        <v>0</v>
      </c>
      <c r="K2924" s="274"/>
    </row>
    <row r="2925" spans="2:11" ht="13.5" customHeight="1">
      <c r="B2925" s="209" t="s">
        <v>845</v>
      </c>
      <c r="C2925" s="209" t="s">
        <v>2849</v>
      </c>
      <c r="D2925" s="216" t="s">
        <v>140</v>
      </c>
      <c r="E2925" s="273">
        <v>0</v>
      </c>
      <c r="F2925" s="274"/>
      <c r="G2925" s="274">
        <f t="shared" si="11"/>
        <v>0</v>
      </c>
      <c r="H2925" s="274">
        <v>0</v>
      </c>
      <c r="K2925" s="274"/>
    </row>
    <row r="2926" spans="2:11" ht="13.5" customHeight="1">
      <c r="B2926" s="209" t="s">
        <v>845</v>
      </c>
      <c r="C2926" s="209" t="s">
        <v>2849</v>
      </c>
      <c r="D2926" s="453" t="s">
        <v>141</v>
      </c>
      <c r="E2926" s="273">
        <v>0</v>
      </c>
      <c r="F2926" s="274"/>
      <c r="G2926" s="274">
        <f t="shared" si="11"/>
        <v>0</v>
      </c>
      <c r="H2926" s="274">
        <v>0</v>
      </c>
      <c r="K2926" s="274"/>
    </row>
    <row r="2927" spans="2:11" ht="13.5" customHeight="1">
      <c r="B2927" s="209" t="s">
        <v>853</v>
      </c>
      <c r="C2927" s="209" t="s">
        <v>2850</v>
      </c>
      <c r="D2927" s="446" t="s">
        <v>133</v>
      </c>
      <c r="E2927" s="273">
        <v>0</v>
      </c>
      <c r="F2927" s="274"/>
      <c r="G2927" s="274">
        <f t="shared" si="11"/>
        <v>0</v>
      </c>
      <c r="H2927" s="274">
        <v>0</v>
      </c>
      <c r="K2927" s="274"/>
    </row>
    <row r="2928" spans="2:11" ht="13.5" customHeight="1">
      <c r="B2928" s="209" t="s">
        <v>853</v>
      </c>
      <c r="C2928" s="209" t="s">
        <v>2850</v>
      </c>
      <c r="D2928" s="447" t="s">
        <v>134</v>
      </c>
      <c r="E2928" s="273">
        <v>0</v>
      </c>
      <c r="F2928" s="274"/>
      <c r="G2928" s="274">
        <f t="shared" si="11"/>
        <v>0</v>
      </c>
      <c r="H2928" s="274">
        <v>0</v>
      </c>
      <c r="K2928" s="274"/>
    </row>
    <row r="2929" spans="2:11" ht="13.5" customHeight="1">
      <c r="B2929" s="209" t="s">
        <v>853</v>
      </c>
      <c r="C2929" s="209" t="s">
        <v>2850</v>
      </c>
      <c r="D2929" s="448" t="s">
        <v>135</v>
      </c>
      <c r="E2929" s="273">
        <v>0</v>
      </c>
      <c r="F2929" s="274"/>
      <c r="G2929" s="274">
        <f t="shared" si="11"/>
        <v>0</v>
      </c>
      <c r="H2929" s="274">
        <v>0</v>
      </c>
      <c r="K2929" s="274"/>
    </row>
    <row r="2930" spans="2:11" ht="13.5" customHeight="1">
      <c r="B2930" s="209" t="s">
        <v>853</v>
      </c>
      <c r="C2930" s="209" t="s">
        <v>2850</v>
      </c>
      <c r="D2930" s="449" t="s">
        <v>136</v>
      </c>
      <c r="E2930" s="273">
        <v>0</v>
      </c>
      <c r="F2930" s="274"/>
      <c r="G2930" s="274">
        <f t="shared" si="11"/>
        <v>0</v>
      </c>
      <c r="H2930" s="274">
        <v>0</v>
      </c>
      <c r="K2930" s="274"/>
    </row>
    <row r="2931" spans="2:11" ht="13.5" customHeight="1">
      <c r="B2931" s="209" t="s">
        <v>853</v>
      </c>
      <c r="C2931" s="209" t="s">
        <v>2850</v>
      </c>
      <c r="D2931" s="450" t="s">
        <v>137</v>
      </c>
      <c r="E2931" s="273">
        <v>0</v>
      </c>
      <c r="F2931" s="274"/>
      <c r="G2931" s="274">
        <f t="shared" si="11"/>
        <v>0</v>
      </c>
      <c r="H2931" s="274">
        <v>0</v>
      </c>
      <c r="K2931" s="274"/>
    </row>
    <row r="2932" spans="2:11" ht="13.5" customHeight="1">
      <c r="B2932" s="209" t="s">
        <v>853</v>
      </c>
      <c r="C2932" s="209" t="s">
        <v>2850</v>
      </c>
      <c r="D2932" s="451" t="s">
        <v>138</v>
      </c>
      <c r="E2932" s="273">
        <v>0</v>
      </c>
      <c r="F2932" s="274"/>
      <c r="G2932" s="274">
        <f t="shared" si="11"/>
        <v>0</v>
      </c>
      <c r="H2932" s="274">
        <v>0</v>
      </c>
      <c r="K2932" s="274"/>
    </row>
    <row r="2933" spans="2:11" ht="13.5" customHeight="1">
      <c r="B2933" s="209" t="s">
        <v>853</v>
      </c>
      <c r="C2933" s="209" t="s">
        <v>2850</v>
      </c>
      <c r="D2933" s="452" t="s">
        <v>139</v>
      </c>
      <c r="E2933" s="273">
        <v>0</v>
      </c>
      <c r="F2933" s="274"/>
      <c r="G2933" s="274">
        <f t="shared" si="11"/>
        <v>0</v>
      </c>
      <c r="H2933" s="274">
        <v>0</v>
      </c>
      <c r="K2933" s="274"/>
    </row>
    <row r="2934" spans="2:11" ht="13.5" customHeight="1">
      <c r="B2934" s="209" t="s">
        <v>853</v>
      </c>
      <c r="C2934" s="209" t="s">
        <v>2850</v>
      </c>
      <c r="D2934" s="216" t="s">
        <v>140</v>
      </c>
      <c r="E2934" s="273">
        <v>0</v>
      </c>
      <c r="F2934" s="274"/>
      <c r="G2934" s="274">
        <f t="shared" si="11"/>
        <v>0</v>
      </c>
      <c r="H2934" s="274">
        <v>0</v>
      </c>
      <c r="K2934" s="274"/>
    </row>
    <row r="2935" spans="2:11" ht="13.5" customHeight="1">
      <c r="B2935" s="209" t="s">
        <v>853</v>
      </c>
      <c r="C2935" s="209" t="s">
        <v>2850</v>
      </c>
      <c r="D2935" s="453" t="s">
        <v>141</v>
      </c>
      <c r="E2935" s="273">
        <v>0</v>
      </c>
      <c r="F2935" s="274"/>
      <c r="G2935" s="274">
        <f t="shared" si="11"/>
        <v>0</v>
      </c>
      <c r="H2935" s="274">
        <v>0</v>
      </c>
      <c r="K2935" s="274"/>
    </row>
    <row r="2936" spans="2:11" ht="13.5" customHeight="1">
      <c r="B2936" s="209" t="s">
        <v>855</v>
      </c>
      <c r="C2936" s="209" t="s">
        <v>2851</v>
      </c>
      <c r="D2936" s="446" t="s">
        <v>133</v>
      </c>
      <c r="E2936" s="273">
        <v>0</v>
      </c>
      <c r="F2936" s="274"/>
      <c r="G2936" s="274">
        <f t="shared" si="11"/>
        <v>0</v>
      </c>
      <c r="H2936" s="274">
        <v>0</v>
      </c>
      <c r="K2936" s="274"/>
    </row>
    <row r="2937" spans="2:11" ht="13.5" customHeight="1">
      <c r="B2937" s="209" t="s">
        <v>855</v>
      </c>
      <c r="C2937" s="209" t="s">
        <v>2851</v>
      </c>
      <c r="D2937" s="447" t="s">
        <v>134</v>
      </c>
      <c r="E2937" s="273">
        <v>0</v>
      </c>
      <c r="F2937" s="274"/>
      <c r="G2937" s="274">
        <f t="shared" si="11"/>
        <v>0</v>
      </c>
      <c r="H2937" s="274">
        <v>0</v>
      </c>
      <c r="K2937" s="274"/>
    </row>
    <row r="2938" spans="2:11" ht="13.5" customHeight="1">
      <c r="B2938" s="209" t="s">
        <v>855</v>
      </c>
      <c r="C2938" s="209" t="s">
        <v>2851</v>
      </c>
      <c r="D2938" s="448" t="s">
        <v>135</v>
      </c>
      <c r="E2938" s="273">
        <v>0</v>
      </c>
      <c r="F2938" s="274"/>
      <c r="G2938" s="274">
        <f t="shared" si="11"/>
        <v>0</v>
      </c>
      <c r="H2938" s="274">
        <v>0</v>
      </c>
      <c r="K2938" s="274"/>
    </row>
    <row r="2939" spans="2:11" ht="13.5" customHeight="1">
      <c r="B2939" s="209" t="s">
        <v>855</v>
      </c>
      <c r="C2939" s="209" t="s">
        <v>2851</v>
      </c>
      <c r="D2939" s="449" t="s">
        <v>136</v>
      </c>
      <c r="E2939" s="273">
        <v>0</v>
      </c>
      <c r="F2939" s="274"/>
      <c r="G2939" s="274">
        <f t="shared" si="11"/>
        <v>0</v>
      </c>
      <c r="H2939" s="274">
        <v>0</v>
      </c>
      <c r="K2939" s="274"/>
    </row>
    <row r="2940" spans="2:11" ht="13.5" customHeight="1">
      <c r="B2940" s="209" t="s">
        <v>855</v>
      </c>
      <c r="C2940" s="209" t="s">
        <v>2851</v>
      </c>
      <c r="D2940" s="450" t="s">
        <v>137</v>
      </c>
      <c r="E2940" s="273">
        <v>0</v>
      </c>
      <c r="F2940" s="274"/>
      <c r="G2940" s="274">
        <f t="shared" si="11"/>
        <v>0</v>
      </c>
      <c r="H2940" s="274">
        <v>0</v>
      </c>
      <c r="K2940" s="274"/>
    </row>
    <row r="2941" spans="2:11" ht="13.5" customHeight="1">
      <c r="B2941" s="209" t="s">
        <v>855</v>
      </c>
      <c r="C2941" s="209" t="s">
        <v>2851</v>
      </c>
      <c r="D2941" s="451" t="s">
        <v>138</v>
      </c>
      <c r="E2941" s="273">
        <v>0</v>
      </c>
      <c r="F2941" s="274"/>
      <c r="G2941" s="274">
        <f t="shared" si="11"/>
        <v>0</v>
      </c>
      <c r="H2941" s="274">
        <v>0</v>
      </c>
      <c r="K2941" s="274"/>
    </row>
    <row r="2942" spans="2:11" ht="13.5" customHeight="1">
      <c r="B2942" s="209" t="s">
        <v>855</v>
      </c>
      <c r="C2942" s="209" t="s">
        <v>2851</v>
      </c>
      <c r="D2942" s="452" t="s">
        <v>139</v>
      </c>
      <c r="E2942" s="273">
        <v>0</v>
      </c>
      <c r="F2942" s="274"/>
      <c r="G2942" s="274">
        <f t="shared" si="11"/>
        <v>0</v>
      </c>
      <c r="H2942" s="274">
        <v>0</v>
      </c>
      <c r="K2942" s="274"/>
    </row>
    <row r="2943" spans="2:11" ht="13.5" customHeight="1">
      <c r="B2943" s="209" t="s">
        <v>855</v>
      </c>
      <c r="C2943" s="209" t="s">
        <v>2851</v>
      </c>
      <c r="D2943" s="216" t="s">
        <v>140</v>
      </c>
      <c r="E2943" s="273">
        <v>0</v>
      </c>
      <c r="F2943" s="274"/>
      <c r="G2943" s="274">
        <f t="shared" si="11"/>
        <v>0</v>
      </c>
      <c r="H2943" s="274">
        <v>0</v>
      </c>
      <c r="K2943" s="274"/>
    </row>
    <row r="2944" spans="2:11" ht="13.5" customHeight="1">
      <c r="B2944" s="209" t="s">
        <v>855</v>
      </c>
      <c r="C2944" s="209" t="s">
        <v>2851</v>
      </c>
      <c r="D2944" s="453" t="s">
        <v>141</v>
      </c>
      <c r="E2944" s="273">
        <v>0</v>
      </c>
      <c r="F2944" s="274"/>
      <c r="G2944" s="274">
        <f t="shared" si="11"/>
        <v>0</v>
      </c>
      <c r="H2944" s="274">
        <v>0</v>
      </c>
      <c r="K2944" s="274"/>
    </row>
    <row r="2945" spans="2:11" ht="13.5" customHeight="1">
      <c r="B2945" s="209" t="s">
        <v>867</v>
      </c>
      <c r="C2945" s="209" t="s">
        <v>2852</v>
      </c>
      <c r="D2945" s="446" t="s">
        <v>133</v>
      </c>
      <c r="E2945" s="273">
        <v>0</v>
      </c>
      <c r="F2945" s="274"/>
      <c r="G2945" s="274">
        <f t="shared" si="11"/>
        <v>0</v>
      </c>
      <c r="H2945" s="274">
        <v>0</v>
      </c>
      <c r="K2945" s="274"/>
    </row>
    <row r="2946" spans="2:11" ht="13.5" customHeight="1">
      <c r="B2946" s="209" t="s">
        <v>867</v>
      </c>
      <c r="C2946" s="209" t="s">
        <v>2852</v>
      </c>
      <c r="D2946" s="447" t="s">
        <v>134</v>
      </c>
      <c r="E2946" s="273">
        <v>0</v>
      </c>
      <c r="F2946" s="274"/>
      <c r="G2946" s="274">
        <f t="shared" si="11"/>
        <v>0</v>
      </c>
      <c r="H2946" s="274">
        <v>0</v>
      </c>
      <c r="K2946" s="274"/>
    </row>
    <row r="2947" spans="2:11" ht="13.5" customHeight="1">
      <c r="B2947" s="209" t="s">
        <v>867</v>
      </c>
      <c r="C2947" s="209" t="s">
        <v>2852</v>
      </c>
      <c r="D2947" s="448" t="s">
        <v>135</v>
      </c>
      <c r="E2947" s="273">
        <v>0</v>
      </c>
      <c r="F2947" s="274"/>
      <c r="G2947" s="274">
        <f t="shared" si="11"/>
        <v>0</v>
      </c>
      <c r="H2947" s="274">
        <v>0</v>
      </c>
      <c r="K2947" s="274"/>
    </row>
    <row r="2948" spans="2:11" ht="13.5" customHeight="1">
      <c r="B2948" s="209" t="s">
        <v>867</v>
      </c>
      <c r="C2948" s="209" t="s">
        <v>2852</v>
      </c>
      <c r="D2948" s="449" t="s">
        <v>136</v>
      </c>
      <c r="E2948" s="273">
        <v>0</v>
      </c>
      <c r="F2948" s="274"/>
      <c r="G2948" s="274">
        <f t="shared" si="11"/>
        <v>0</v>
      </c>
      <c r="H2948" s="274">
        <v>0</v>
      </c>
      <c r="K2948" s="274"/>
    </row>
    <row r="2949" spans="2:11" ht="13.5" customHeight="1">
      <c r="B2949" s="209" t="s">
        <v>867</v>
      </c>
      <c r="C2949" s="209" t="s">
        <v>2852</v>
      </c>
      <c r="D2949" s="450" t="s">
        <v>137</v>
      </c>
      <c r="E2949" s="273">
        <v>0</v>
      </c>
      <c r="F2949" s="274"/>
      <c r="G2949" s="274">
        <f t="shared" si="11"/>
        <v>0</v>
      </c>
      <c r="H2949" s="274">
        <v>0</v>
      </c>
      <c r="K2949" s="274"/>
    </row>
    <row r="2950" spans="2:11" ht="13.5" customHeight="1">
      <c r="B2950" s="209" t="s">
        <v>867</v>
      </c>
      <c r="C2950" s="209" t="s">
        <v>2852</v>
      </c>
      <c r="D2950" s="451" t="s">
        <v>138</v>
      </c>
      <c r="E2950" s="273">
        <v>0</v>
      </c>
      <c r="F2950" s="274"/>
      <c r="G2950" s="274">
        <f t="shared" si="11"/>
        <v>0</v>
      </c>
      <c r="H2950" s="274">
        <v>0</v>
      </c>
      <c r="K2950" s="274"/>
    </row>
    <row r="2951" spans="2:11" ht="13.5" customHeight="1">
      <c r="B2951" s="209" t="s">
        <v>867</v>
      </c>
      <c r="C2951" s="209" t="s">
        <v>2852</v>
      </c>
      <c r="D2951" s="452" t="s">
        <v>139</v>
      </c>
      <c r="E2951" s="273">
        <v>0</v>
      </c>
      <c r="F2951" s="274"/>
      <c r="G2951" s="274">
        <f t="shared" si="11"/>
        <v>0</v>
      </c>
      <c r="H2951" s="274">
        <v>0</v>
      </c>
      <c r="K2951" s="274"/>
    </row>
    <row r="2952" spans="2:11" ht="13.5" customHeight="1">
      <c r="B2952" s="209" t="s">
        <v>867</v>
      </c>
      <c r="C2952" s="209" t="s">
        <v>2852</v>
      </c>
      <c r="D2952" s="216" t="s">
        <v>140</v>
      </c>
      <c r="E2952" s="273">
        <v>0</v>
      </c>
      <c r="F2952" s="274"/>
      <c r="G2952" s="274">
        <f t="shared" si="11"/>
        <v>0</v>
      </c>
      <c r="H2952" s="274">
        <v>0</v>
      </c>
      <c r="K2952" s="274"/>
    </row>
    <row r="2953" spans="2:11" ht="13.5" customHeight="1">
      <c r="B2953" s="209" t="s">
        <v>867</v>
      </c>
      <c r="C2953" s="209" t="s">
        <v>2852</v>
      </c>
      <c r="D2953" s="453" t="s">
        <v>141</v>
      </c>
      <c r="E2953" s="273">
        <v>0</v>
      </c>
      <c r="F2953" s="274"/>
      <c r="G2953" s="274">
        <f t="shared" si="11"/>
        <v>0</v>
      </c>
      <c r="H2953" s="274">
        <v>0</v>
      </c>
      <c r="K2953" s="274"/>
    </row>
    <row r="2954" spans="2:11" ht="13.5" customHeight="1">
      <c r="B2954" s="209" t="s">
        <v>869</v>
      </c>
      <c r="C2954" s="209" t="s">
        <v>2853</v>
      </c>
      <c r="D2954" s="446" t="s">
        <v>133</v>
      </c>
      <c r="E2954" s="273">
        <v>0</v>
      </c>
      <c r="F2954" s="274"/>
      <c r="G2954" s="274">
        <f t="shared" si="11"/>
        <v>0</v>
      </c>
      <c r="H2954" s="274">
        <v>0</v>
      </c>
      <c r="K2954" s="274"/>
    </row>
    <row r="2955" spans="2:11" ht="13.5" customHeight="1">
      <c r="B2955" s="209" t="s">
        <v>869</v>
      </c>
      <c r="C2955" s="209" t="s">
        <v>2853</v>
      </c>
      <c r="D2955" s="447" t="s">
        <v>134</v>
      </c>
      <c r="E2955" s="273">
        <v>0</v>
      </c>
      <c r="F2955" s="274"/>
      <c r="G2955" s="274">
        <f t="shared" si="11"/>
        <v>0</v>
      </c>
      <c r="H2955" s="274">
        <v>0</v>
      </c>
      <c r="K2955" s="274"/>
    </row>
    <row r="2956" spans="2:11" ht="13.5" customHeight="1">
      <c r="B2956" s="209" t="s">
        <v>869</v>
      </c>
      <c r="C2956" s="209" t="s">
        <v>2853</v>
      </c>
      <c r="D2956" s="448" t="s">
        <v>135</v>
      </c>
      <c r="E2956" s="273">
        <v>0</v>
      </c>
      <c r="F2956" s="274"/>
      <c r="G2956" s="274">
        <f t="shared" si="11"/>
        <v>0</v>
      </c>
      <c r="H2956" s="274">
        <v>0</v>
      </c>
      <c r="K2956" s="274"/>
    </row>
    <row r="2957" spans="2:11" ht="13.5" customHeight="1">
      <c r="B2957" s="209" t="s">
        <v>869</v>
      </c>
      <c r="C2957" s="209" t="s">
        <v>2853</v>
      </c>
      <c r="D2957" s="449" t="s">
        <v>136</v>
      </c>
      <c r="E2957" s="273">
        <v>0</v>
      </c>
      <c r="F2957" s="274"/>
      <c r="G2957" s="274">
        <f t="shared" si="11"/>
        <v>0</v>
      </c>
      <c r="H2957" s="274">
        <v>0</v>
      </c>
      <c r="K2957" s="274"/>
    </row>
    <row r="2958" spans="2:11" ht="13.5" customHeight="1">
      <c r="B2958" s="209" t="s">
        <v>869</v>
      </c>
      <c r="C2958" s="209" t="s">
        <v>2853</v>
      </c>
      <c r="D2958" s="450" t="s">
        <v>137</v>
      </c>
      <c r="E2958" s="273">
        <v>0</v>
      </c>
      <c r="F2958" s="274"/>
      <c r="G2958" s="274">
        <f t="shared" si="11"/>
        <v>0</v>
      </c>
      <c r="H2958" s="274">
        <v>0</v>
      </c>
      <c r="K2958" s="274"/>
    </row>
    <row r="2959" spans="2:11" ht="13.5" customHeight="1">
      <c r="B2959" s="209" t="s">
        <v>869</v>
      </c>
      <c r="C2959" s="209" t="s">
        <v>2853</v>
      </c>
      <c r="D2959" s="451" t="s">
        <v>138</v>
      </c>
      <c r="E2959" s="273">
        <v>0</v>
      </c>
      <c r="F2959" s="274"/>
      <c r="G2959" s="274">
        <f t="shared" si="11"/>
        <v>0</v>
      </c>
      <c r="H2959" s="274">
        <v>0</v>
      </c>
      <c r="K2959" s="274"/>
    </row>
    <row r="2960" spans="2:11" ht="13.5" customHeight="1">
      <c r="B2960" s="209" t="s">
        <v>869</v>
      </c>
      <c r="C2960" s="209" t="s">
        <v>2853</v>
      </c>
      <c r="D2960" s="452" t="s">
        <v>139</v>
      </c>
      <c r="E2960" s="273">
        <v>0</v>
      </c>
      <c r="F2960" s="274"/>
      <c r="G2960" s="274">
        <f t="shared" si="11"/>
        <v>0</v>
      </c>
      <c r="H2960" s="274">
        <v>0</v>
      </c>
      <c r="K2960" s="274"/>
    </row>
    <row r="2961" spans="2:11" ht="13.5" customHeight="1">
      <c r="B2961" s="209" t="s">
        <v>869</v>
      </c>
      <c r="C2961" s="209" t="s">
        <v>2853</v>
      </c>
      <c r="D2961" s="216" t="s">
        <v>140</v>
      </c>
      <c r="E2961" s="273">
        <v>0</v>
      </c>
      <c r="F2961" s="274"/>
      <c r="G2961" s="274">
        <f t="shared" si="11"/>
        <v>0</v>
      </c>
      <c r="H2961" s="274">
        <v>0</v>
      </c>
      <c r="K2961" s="274"/>
    </row>
    <row r="2962" spans="2:11" ht="13.5" customHeight="1">
      <c r="B2962" s="209" t="s">
        <v>869</v>
      </c>
      <c r="C2962" s="209" t="s">
        <v>2853</v>
      </c>
      <c r="D2962" s="453" t="s">
        <v>141</v>
      </c>
      <c r="E2962" s="273">
        <v>0</v>
      </c>
      <c r="F2962" s="274"/>
      <c r="G2962" s="274">
        <f t="shared" si="11"/>
        <v>0</v>
      </c>
      <c r="H2962" s="274">
        <v>0</v>
      </c>
      <c r="K2962" s="274"/>
    </row>
    <row r="2963" spans="2:11" ht="13.5" customHeight="1">
      <c r="B2963" s="209" t="s">
        <v>873</v>
      </c>
      <c r="C2963" s="209" t="s">
        <v>2854</v>
      </c>
      <c r="D2963" s="446" t="s">
        <v>133</v>
      </c>
      <c r="E2963" s="273">
        <v>0</v>
      </c>
      <c r="F2963" s="274"/>
      <c r="G2963" s="274">
        <f t="shared" si="11"/>
        <v>0</v>
      </c>
      <c r="H2963" s="274">
        <v>0</v>
      </c>
      <c r="K2963" s="274"/>
    </row>
    <row r="2964" spans="2:11" ht="13.5" customHeight="1">
      <c r="B2964" s="209" t="s">
        <v>873</v>
      </c>
      <c r="C2964" s="209" t="s">
        <v>2854</v>
      </c>
      <c r="D2964" s="447" t="s">
        <v>134</v>
      </c>
      <c r="E2964" s="273">
        <v>0</v>
      </c>
      <c r="F2964" s="274"/>
      <c r="G2964" s="274">
        <f t="shared" si="11"/>
        <v>0</v>
      </c>
      <c r="H2964" s="274">
        <v>0</v>
      </c>
      <c r="K2964" s="274"/>
    </row>
    <row r="2965" spans="2:11" ht="13.5" customHeight="1">
      <c r="B2965" s="209" t="s">
        <v>873</v>
      </c>
      <c r="C2965" s="209" t="s">
        <v>2854</v>
      </c>
      <c r="D2965" s="448" t="s">
        <v>135</v>
      </c>
      <c r="E2965" s="273">
        <v>0</v>
      </c>
      <c r="F2965" s="274"/>
      <c r="G2965" s="274">
        <f t="shared" si="11"/>
        <v>0</v>
      </c>
      <c r="H2965" s="274">
        <v>0</v>
      </c>
      <c r="K2965" s="274"/>
    </row>
    <row r="2966" spans="2:11" ht="13.5" customHeight="1">
      <c r="B2966" s="209" t="s">
        <v>873</v>
      </c>
      <c r="C2966" s="209" t="s">
        <v>2854</v>
      </c>
      <c r="D2966" s="449" t="s">
        <v>136</v>
      </c>
      <c r="E2966" s="273">
        <v>0</v>
      </c>
      <c r="F2966" s="274"/>
      <c r="G2966" s="274">
        <f t="shared" si="11"/>
        <v>0</v>
      </c>
      <c r="H2966" s="274">
        <v>0</v>
      </c>
      <c r="K2966" s="274"/>
    </row>
    <row r="2967" spans="2:11" ht="13.5" customHeight="1">
      <c r="B2967" s="209" t="s">
        <v>873</v>
      </c>
      <c r="C2967" s="209" t="s">
        <v>2854</v>
      </c>
      <c r="D2967" s="450" t="s">
        <v>137</v>
      </c>
      <c r="E2967" s="273">
        <v>0</v>
      </c>
      <c r="F2967" s="274"/>
      <c r="G2967" s="274">
        <f t="shared" si="11"/>
        <v>0</v>
      </c>
      <c r="H2967" s="274">
        <v>0</v>
      </c>
      <c r="K2967" s="274"/>
    </row>
    <row r="2968" spans="2:11" ht="13.5" customHeight="1">
      <c r="B2968" s="209" t="s">
        <v>873</v>
      </c>
      <c r="C2968" s="209" t="s">
        <v>2854</v>
      </c>
      <c r="D2968" s="451" t="s">
        <v>138</v>
      </c>
      <c r="E2968" s="273">
        <v>0</v>
      </c>
      <c r="F2968" s="274"/>
      <c r="G2968" s="274">
        <f t="shared" si="11"/>
        <v>0</v>
      </c>
      <c r="H2968" s="274">
        <v>0</v>
      </c>
      <c r="K2968" s="274"/>
    </row>
    <row r="2969" spans="2:11" ht="13.5" customHeight="1">
      <c r="B2969" s="209" t="s">
        <v>873</v>
      </c>
      <c r="C2969" s="209" t="s">
        <v>2854</v>
      </c>
      <c r="D2969" s="452" t="s">
        <v>139</v>
      </c>
      <c r="E2969" s="273">
        <v>0</v>
      </c>
      <c r="F2969" s="274"/>
      <c r="G2969" s="274">
        <f t="shared" si="11"/>
        <v>0</v>
      </c>
      <c r="H2969" s="274">
        <v>0</v>
      </c>
      <c r="K2969" s="274"/>
    </row>
    <row r="2970" spans="2:11" ht="13.5" customHeight="1">
      <c r="B2970" s="209" t="s">
        <v>873</v>
      </c>
      <c r="C2970" s="209" t="s">
        <v>2854</v>
      </c>
      <c r="D2970" s="216" t="s">
        <v>140</v>
      </c>
      <c r="E2970" s="273">
        <v>0</v>
      </c>
      <c r="F2970" s="274"/>
      <c r="G2970" s="274">
        <f t="shared" si="11"/>
        <v>0</v>
      </c>
      <c r="H2970" s="274">
        <v>0</v>
      </c>
      <c r="K2970" s="274"/>
    </row>
    <row r="2971" spans="2:11" ht="13.5" customHeight="1">
      <c r="B2971" s="209" t="s">
        <v>873</v>
      </c>
      <c r="C2971" s="209" t="s">
        <v>2854</v>
      </c>
      <c r="D2971" s="453" t="s">
        <v>141</v>
      </c>
      <c r="E2971" s="273">
        <v>0</v>
      </c>
      <c r="F2971" s="274"/>
      <c r="G2971" s="274">
        <f t="shared" si="11"/>
        <v>0</v>
      </c>
      <c r="H2971" s="274">
        <v>0</v>
      </c>
      <c r="K2971" s="274"/>
    </row>
    <row r="2972" spans="2:11" ht="13.5" customHeight="1">
      <c r="B2972" s="209" t="s">
        <v>859</v>
      </c>
      <c r="C2972" s="209" t="s">
        <v>2855</v>
      </c>
      <c r="D2972" s="446" t="s">
        <v>133</v>
      </c>
      <c r="E2972" s="273">
        <v>0</v>
      </c>
      <c r="F2972" s="274"/>
      <c r="G2972" s="274">
        <f t="shared" si="11"/>
        <v>0</v>
      </c>
      <c r="H2972" s="274">
        <v>0</v>
      </c>
      <c r="K2972" s="274"/>
    </row>
    <row r="2973" spans="2:11" ht="13.5" customHeight="1">
      <c r="B2973" s="209" t="s">
        <v>859</v>
      </c>
      <c r="C2973" s="209" t="s">
        <v>2855</v>
      </c>
      <c r="D2973" s="447" t="s">
        <v>134</v>
      </c>
      <c r="E2973" s="273">
        <v>0</v>
      </c>
      <c r="F2973" s="274"/>
      <c r="G2973" s="274">
        <f t="shared" si="11"/>
        <v>0</v>
      </c>
      <c r="H2973" s="274">
        <v>0</v>
      </c>
      <c r="K2973" s="274"/>
    </row>
    <row r="2974" spans="2:11" ht="13.5" customHeight="1">
      <c r="B2974" s="209" t="s">
        <v>859</v>
      </c>
      <c r="C2974" s="209" t="s">
        <v>2855</v>
      </c>
      <c r="D2974" s="448" t="s">
        <v>135</v>
      </c>
      <c r="E2974" s="273">
        <v>0</v>
      </c>
      <c r="F2974" s="274"/>
      <c r="G2974" s="274">
        <f t="shared" si="11"/>
        <v>0</v>
      </c>
      <c r="H2974" s="274">
        <v>0</v>
      </c>
      <c r="K2974" s="274"/>
    </row>
    <row r="2975" spans="2:11" ht="13.5" customHeight="1">
      <c r="B2975" s="209" t="s">
        <v>859</v>
      </c>
      <c r="C2975" s="209" t="s">
        <v>2855</v>
      </c>
      <c r="D2975" s="449" t="s">
        <v>136</v>
      </c>
      <c r="E2975" s="273">
        <v>0</v>
      </c>
      <c r="F2975" s="274"/>
      <c r="G2975" s="274">
        <f t="shared" si="11"/>
        <v>0</v>
      </c>
      <c r="H2975" s="274">
        <v>0</v>
      </c>
      <c r="K2975" s="274"/>
    </row>
    <row r="2976" spans="2:11" ht="13.5" customHeight="1">
      <c r="B2976" s="209" t="s">
        <v>859</v>
      </c>
      <c r="C2976" s="209" t="s">
        <v>2855</v>
      </c>
      <c r="D2976" s="450" t="s">
        <v>137</v>
      </c>
      <c r="E2976" s="273">
        <v>0</v>
      </c>
      <c r="F2976" s="274"/>
      <c r="G2976" s="274">
        <f t="shared" si="11"/>
        <v>0</v>
      </c>
      <c r="H2976" s="274">
        <v>0</v>
      </c>
      <c r="K2976" s="274"/>
    </row>
    <row r="2977" spans="2:11" ht="13.5" customHeight="1">
      <c r="B2977" s="209" t="s">
        <v>859</v>
      </c>
      <c r="C2977" s="209" t="s">
        <v>2855</v>
      </c>
      <c r="D2977" s="451" t="s">
        <v>138</v>
      </c>
      <c r="E2977" s="273">
        <v>0</v>
      </c>
      <c r="F2977" s="274"/>
      <c r="G2977" s="274">
        <f t="shared" si="11"/>
        <v>0</v>
      </c>
      <c r="H2977" s="274">
        <v>0</v>
      </c>
      <c r="K2977" s="274"/>
    </row>
    <row r="2978" spans="2:11" ht="13.5" customHeight="1">
      <c r="B2978" s="209" t="s">
        <v>859</v>
      </c>
      <c r="C2978" s="209" t="s">
        <v>2855</v>
      </c>
      <c r="D2978" s="452" t="s">
        <v>139</v>
      </c>
      <c r="E2978" s="273">
        <v>0</v>
      </c>
      <c r="F2978" s="274"/>
      <c r="G2978" s="274">
        <f t="shared" si="11"/>
        <v>0</v>
      </c>
      <c r="H2978" s="274">
        <v>0</v>
      </c>
      <c r="K2978" s="274"/>
    </row>
    <row r="2979" spans="2:11" ht="13.5" customHeight="1">
      <c r="B2979" s="209" t="s">
        <v>859</v>
      </c>
      <c r="C2979" s="209" t="s">
        <v>2855</v>
      </c>
      <c r="D2979" s="216" t="s">
        <v>140</v>
      </c>
      <c r="E2979" s="273">
        <v>0</v>
      </c>
      <c r="F2979" s="274"/>
      <c r="G2979" s="274">
        <f t="shared" si="11"/>
        <v>0</v>
      </c>
      <c r="H2979" s="274">
        <v>0</v>
      </c>
      <c r="K2979" s="274"/>
    </row>
    <row r="2980" spans="2:11" ht="13.5" customHeight="1">
      <c r="B2980" s="209" t="s">
        <v>859</v>
      </c>
      <c r="C2980" s="209" t="s">
        <v>2855</v>
      </c>
      <c r="D2980" s="453" t="s">
        <v>141</v>
      </c>
      <c r="E2980" s="273">
        <v>0</v>
      </c>
      <c r="F2980" s="274"/>
      <c r="G2980" s="274">
        <f t="shared" si="11"/>
        <v>0</v>
      </c>
      <c r="H2980" s="274">
        <v>0</v>
      </c>
      <c r="K2980" s="274"/>
    </row>
    <row r="2981" spans="2:11" ht="13.5" customHeight="1">
      <c r="B2981" s="209" t="s">
        <v>861</v>
      </c>
      <c r="C2981" s="209" t="s">
        <v>2856</v>
      </c>
      <c r="D2981" s="446" t="s">
        <v>133</v>
      </c>
      <c r="E2981" s="273">
        <v>0</v>
      </c>
      <c r="F2981" s="274"/>
      <c r="G2981" s="274">
        <f t="shared" si="11"/>
        <v>0</v>
      </c>
      <c r="H2981" s="274">
        <v>0</v>
      </c>
      <c r="K2981" s="274"/>
    </row>
    <row r="2982" spans="2:11" ht="13.5" customHeight="1">
      <c r="B2982" s="209" t="s">
        <v>861</v>
      </c>
      <c r="C2982" s="209" t="s">
        <v>2856</v>
      </c>
      <c r="D2982" s="447" t="s">
        <v>134</v>
      </c>
      <c r="E2982" s="273">
        <v>0</v>
      </c>
      <c r="F2982" s="274"/>
      <c r="G2982" s="274">
        <f t="shared" si="11"/>
        <v>0</v>
      </c>
      <c r="H2982" s="274">
        <v>0</v>
      </c>
      <c r="K2982" s="274"/>
    </row>
    <row r="2983" spans="2:11" ht="13.5" customHeight="1">
      <c r="B2983" s="209" t="s">
        <v>861</v>
      </c>
      <c r="C2983" s="209" t="s">
        <v>2856</v>
      </c>
      <c r="D2983" s="448" t="s">
        <v>135</v>
      </c>
      <c r="E2983" s="273">
        <v>0</v>
      </c>
      <c r="F2983" s="274"/>
      <c r="G2983" s="274">
        <f t="shared" si="11"/>
        <v>0</v>
      </c>
      <c r="H2983" s="274">
        <v>0</v>
      </c>
      <c r="K2983" s="274"/>
    </row>
    <row r="2984" spans="2:11" ht="13.5" customHeight="1">
      <c r="B2984" s="209" t="s">
        <v>861</v>
      </c>
      <c r="C2984" s="209" t="s">
        <v>2856</v>
      </c>
      <c r="D2984" s="449" t="s">
        <v>136</v>
      </c>
      <c r="E2984" s="273">
        <v>0</v>
      </c>
      <c r="F2984" s="274"/>
      <c r="G2984" s="274">
        <f t="shared" si="11"/>
        <v>0</v>
      </c>
      <c r="H2984" s="274">
        <v>0</v>
      </c>
      <c r="K2984" s="274"/>
    </row>
    <row r="2985" spans="2:11" ht="13.5" customHeight="1">
      <c r="B2985" s="209" t="s">
        <v>861</v>
      </c>
      <c r="C2985" s="209" t="s">
        <v>2856</v>
      </c>
      <c r="D2985" s="450" t="s">
        <v>137</v>
      </c>
      <c r="E2985" s="273">
        <v>0</v>
      </c>
      <c r="F2985" s="274"/>
      <c r="G2985" s="274">
        <f t="shared" si="11"/>
        <v>0</v>
      </c>
      <c r="H2985" s="274">
        <v>0</v>
      </c>
      <c r="K2985" s="274"/>
    </row>
    <row r="2986" spans="2:11" ht="13.5" customHeight="1">
      <c r="B2986" s="209" t="s">
        <v>861</v>
      </c>
      <c r="C2986" s="209" t="s">
        <v>2856</v>
      </c>
      <c r="D2986" s="451" t="s">
        <v>138</v>
      </c>
      <c r="E2986" s="273">
        <v>0</v>
      </c>
      <c r="F2986" s="274"/>
      <c r="G2986" s="274">
        <f t="shared" si="11"/>
        <v>0</v>
      </c>
      <c r="H2986" s="274">
        <v>0</v>
      </c>
      <c r="K2986" s="274"/>
    </row>
    <row r="2987" spans="2:11" ht="13.5" customHeight="1">
      <c r="B2987" s="209" t="s">
        <v>861</v>
      </c>
      <c r="C2987" s="209" t="s">
        <v>2856</v>
      </c>
      <c r="D2987" s="452" t="s">
        <v>139</v>
      </c>
      <c r="E2987" s="273">
        <v>0</v>
      </c>
      <c r="F2987" s="274"/>
      <c r="G2987" s="274">
        <f t="shared" si="11"/>
        <v>0</v>
      </c>
      <c r="H2987" s="274">
        <v>0</v>
      </c>
      <c r="K2987" s="274"/>
    </row>
    <row r="2988" spans="2:11" ht="13.5" customHeight="1">
      <c r="B2988" s="209" t="s">
        <v>861</v>
      </c>
      <c r="C2988" s="209" t="s">
        <v>2856</v>
      </c>
      <c r="D2988" s="216" t="s">
        <v>140</v>
      </c>
      <c r="E2988" s="273">
        <v>0</v>
      </c>
      <c r="F2988" s="274"/>
      <c r="G2988" s="274">
        <f t="shared" si="11"/>
        <v>0</v>
      </c>
      <c r="H2988" s="274">
        <v>0</v>
      </c>
      <c r="K2988" s="274"/>
    </row>
    <row r="2989" spans="2:11" ht="13.5" customHeight="1">
      <c r="B2989" s="209" t="s">
        <v>861</v>
      </c>
      <c r="C2989" s="209" t="s">
        <v>2856</v>
      </c>
      <c r="D2989" s="453" t="s">
        <v>141</v>
      </c>
      <c r="E2989" s="273">
        <v>0</v>
      </c>
      <c r="F2989" s="274"/>
      <c r="G2989" s="274">
        <f t="shared" si="11"/>
        <v>0</v>
      </c>
      <c r="H2989" s="274">
        <v>0</v>
      </c>
      <c r="K2989" s="274"/>
    </row>
    <row r="2990" spans="2:11" ht="13.5" customHeight="1">
      <c r="B2990" s="209" t="s">
        <v>863</v>
      </c>
      <c r="C2990" s="209" t="s">
        <v>2857</v>
      </c>
      <c r="D2990" s="446" t="s">
        <v>133</v>
      </c>
      <c r="E2990" s="273">
        <v>0</v>
      </c>
      <c r="F2990" s="274"/>
      <c r="G2990" s="274">
        <f t="shared" si="11"/>
        <v>0</v>
      </c>
      <c r="H2990" s="274">
        <v>0</v>
      </c>
      <c r="K2990" s="274"/>
    </row>
    <row r="2991" spans="2:11" ht="13.5" customHeight="1">
      <c r="B2991" s="209" t="s">
        <v>863</v>
      </c>
      <c r="C2991" s="209" t="s">
        <v>2857</v>
      </c>
      <c r="D2991" s="447" t="s">
        <v>134</v>
      </c>
      <c r="E2991" s="273">
        <v>0</v>
      </c>
      <c r="F2991" s="274"/>
      <c r="G2991" s="274">
        <f t="shared" si="11"/>
        <v>0</v>
      </c>
      <c r="H2991" s="274">
        <v>0</v>
      </c>
      <c r="K2991" s="274"/>
    </row>
    <row r="2992" spans="2:11" ht="13.5" customHeight="1">
      <c r="B2992" s="209" t="s">
        <v>863</v>
      </c>
      <c r="C2992" s="209" t="s">
        <v>2857</v>
      </c>
      <c r="D2992" s="448" t="s">
        <v>135</v>
      </c>
      <c r="E2992" s="273">
        <v>0</v>
      </c>
      <c r="F2992" s="274"/>
      <c r="G2992" s="274">
        <f t="shared" si="11"/>
        <v>0</v>
      </c>
      <c r="H2992" s="274">
        <v>0</v>
      </c>
      <c r="K2992" s="274"/>
    </row>
    <row r="2993" spans="2:11" ht="13.5" customHeight="1">
      <c r="B2993" s="209" t="s">
        <v>863</v>
      </c>
      <c r="C2993" s="209" t="s">
        <v>2857</v>
      </c>
      <c r="D2993" s="449" t="s">
        <v>136</v>
      </c>
      <c r="E2993" s="273">
        <v>0</v>
      </c>
      <c r="F2993" s="274"/>
      <c r="G2993" s="274">
        <f t="shared" si="11"/>
        <v>0</v>
      </c>
      <c r="H2993" s="274">
        <v>0</v>
      </c>
      <c r="K2993" s="274"/>
    </row>
    <row r="2994" spans="2:11" ht="13.5" customHeight="1">
      <c r="B2994" s="209" t="s">
        <v>863</v>
      </c>
      <c r="C2994" s="209" t="s">
        <v>2857</v>
      </c>
      <c r="D2994" s="450" t="s">
        <v>137</v>
      </c>
      <c r="E2994" s="273">
        <v>0</v>
      </c>
      <c r="F2994" s="274"/>
      <c r="G2994" s="274">
        <f t="shared" si="11"/>
        <v>0</v>
      </c>
      <c r="H2994" s="274">
        <v>0</v>
      </c>
      <c r="K2994" s="274"/>
    </row>
    <row r="2995" spans="2:11" ht="13.5" customHeight="1">
      <c r="B2995" s="209" t="s">
        <v>863</v>
      </c>
      <c r="C2995" s="209" t="s">
        <v>2857</v>
      </c>
      <c r="D2995" s="451" t="s">
        <v>138</v>
      </c>
      <c r="E2995" s="273">
        <v>0</v>
      </c>
      <c r="F2995" s="274"/>
      <c r="G2995" s="274">
        <f t="shared" si="11"/>
        <v>0</v>
      </c>
      <c r="H2995" s="274">
        <v>0</v>
      </c>
      <c r="K2995" s="274"/>
    </row>
    <row r="2996" spans="2:11" ht="13.5" customHeight="1">
      <c r="B2996" s="209" t="s">
        <v>863</v>
      </c>
      <c r="C2996" s="209" t="s">
        <v>2857</v>
      </c>
      <c r="D2996" s="452" t="s">
        <v>139</v>
      </c>
      <c r="E2996" s="273">
        <v>0</v>
      </c>
      <c r="F2996" s="274"/>
      <c r="G2996" s="274">
        <f t="shared" si="11"/>
        <v>0</v>
      </c>
      <c r="H2996" s="274">
        <v>0</v>
      </c>
      <c r="K2996" s="274"/>
    </row>
    <row r="2997" spans="2:11" ht="13.5" customHeight="1">
      <c r="B2997" s="209" t="s">
        <v>863</v>
      </c>
      <c r="C2997" s="209" t="s">
        <v>2857</v>
      </c>
      <c r="D2997" s="216" t="s">
        <v>140</v>
      </c>
      <c r="E2997" s="273">
        <v>0</v>
      </c>
      <c r="F2997" s="274"/>
      <c r="G2997" s="274">
        <f t="shared" si="11"/>
        <v>0</v>
      </c>
      <c r="H2997" s="274">
        <v>0</v>
      </c>
      <c r="K2997" s="274"/>
    </row>
    <row r="2998" spans="2:11" ht="13.5" customHeight="1">
      <c r="B2998" s="209" t="s">
        <v>863</v>
      </c>
      <c r="C2998" s="209" t="s">
        <v>2857</v>
      </c>
      <c r="D2998" s="453" t="s">
        <v>141</v>
      </c>
      <c r="E2998" s="273">
        <v>0</v>
      </c>
      <c r="F2998" s="274"/>
      <c r="G2998" s="274">
        <f t="shared" si="11"/>
        <v>0</v>
      </c>
      <c r="H2998" s="274">
        <v>0</v>
      </c>
      <c r="K2998" s="274"/>
    </row>
    <row r="2999" spans="2:11" ht="13.5" customHeight="1">
      <c r="B2999" s="209" t="s">
        <v>624</v>
      </c>
      <c r="C2999" s="209" t="s">
        <v>2858</v>
      </c>
      <c r="D2999" s="446" t="s">
        <v>133</v>
      </c>
      <c r="E2999" s="273">
        <v>0</v>
      </c>
      <c r="F2999" s="274"/>
      <c r="G2999" s="274">
        <f t="shared" si="11"/>
        <v>0</v>
      </c>
      <c r="H2999" s="274">
        <v>0</v>
      </c>
      <c r="K2999" s="274"/>
    </row>
    <row r="3000" spans="2:11" ht="13.5" customHeight="1">
      <c r="B3000" s="209" t="s">
        <v>624</v>
      </c>
      <c r="C3000" s="209" t="s">
        <v>2858</v>
      </c>
      <c r="D3000" s="447" t="s">
        <v>134</v>
      </c>
      <c r="E3000" s="273">
        <v>0</v>
      </c>
      <c r="F3000" s="274"/>
      <c r="G3000" s="274">
        <f t="shared" si="11"/>
        <v>0</v>
      </c>
      <c r="H3000" s="274">
        <v>0</v>
      </c>
      <c r="K3000" s="274"/>
    </row>
    <row r="3001" spans="2:11" ht="13.5" customHeight="1">
      <c r="B3001" s="209" t="s">
        <v>624</v>
      </c>
      <c r="C3001" s="209" t="s">
        <v>2858</v>
      </c>
      <c r="D3001" s="448" t="s">
        <v>135</v>
      </c>
      <c r="E3001" s="273">
        <v>0</v>
      </c>
      <c r="F3001" s="274"/>
      <c r="G3001" s="274">
        <f t="shared" si="11"/>
        <v>0</v>
      </c>
      <c r="H3001" s="274">
        <v>0</v>
      </c>
      <c r="K3001" s="274"/>
    </row>
    <row r="3002" spans="2:11" ht="13.5" customHeight="1">
      <c r="B3002" s="209" t="s">
        <v>624</v>
      </c>
      <c r="C3002" s="209" t="s">
        <v>2858</v>
      </c>
      <c r="D3002" s="449" t="s">
        <v>136</v>
      </c>
      <c r="E3002" s="273">
        <v>0</v>
      </c>
      <c r="F3002" s="274"/>
      <c r="G3002" s="274">
        <f t="shared" si="11"/>
        <v>0</v>
      </c>
      <c r="H3002" s="274">
        <v>0</v>
      </c>
      <c r="K3002" s="274"/>
    </row>
    <row r="3003" spans="2:11" ht="13.5" customHeight="1">
      <c r="B3003" s="209" t="s">
        <v>624</v>
      </c>
      <c r="C3003" s="209" t="s">
        <v>2858</v>
      </c>
      <c r="D3003" s="450" t="s">
        <v>137</v>
      </c>
      <c r="E3003" s="273">
        <v>0</v>
      </c>
      <c r="F3003" s="274"/>
      <c r="G3003" s="274">
        <f t="shared" si="11"/>
        <v>0</v>
      </c>
      <c r="H3003" s="274">
        <v>0</v>
      </c>
      <c r="K3003" s="274"/>
    </row>
    <row r="3004" spans="2:11" ht="13.5" customHeight="1">
      <c r="B3004" s="209" t="s">
        <v>624</v>
      </c>
      <c r="C3004" s="209" t="s">
        <v>2858</v>
      </c>
      <c r="D3004" s="451" t="s">
        <v>138</v>
      </c>
      <c r="E3004" s="273">
        <v>0</v>
      </c>
      <c r="F3004" s="274"/>
      <c r="G3004" s="274">
        <f t="shared" si="11"/>
        <v>0</v>
      </c>
      <c r="H3004" s="274">
        <v>0</v>
      </c>
      <c r="K3004" s="274"/>
    </row>
    <row r="3005" spans="2:11" ht="13.5" customHeight="1">
      <c r="B3005" s="209" t="s">
        <v>624</v>
      </c>
      <c r="C3005" s="209" t="s">
        <v>2858</v>
      </c>
      <c r="D3005" s="452" t="s">
        <v>139</v>
      </c>
      <c r="E3005" s="273">
        <v>0</v>
      </c>
      <c r="F3005" s="274"/>
      <c r="G3005" s="274">
        <f t="shared" si="11"/>
        <v>0</v>
      </c>
      <c r="H3005" s="274">
        <v>0</v>
      </c>
      <c r="K3005" s="274"/>
    </row>
    <row r="3006" spans="2:11" ht="13.5" customHeight="1">
      <c r="B3006" s="209" t="s">
        <v>624</v>
      </c>
      <c r="C3006" s="209" t="s">
        <v>2858</v>
      </c>
      <c r="D3006" s="216" t="s">
        <v>140</v>
      </c>
      <c r="E3006" s="273">
        <v>0</v>
      </c>
      <c r="F3006" s="274"/>
      <c r="G3006" s="274">
        <f t="shared" si="11"/>
        <v>0</v>
      </c>
      <c r="H3006" s="274">
        <v>0</v>
      </c>
      <c r="K3006" s="274"/>
    </row>
    <row r="3007" spans="2:11" ht="13.5" customHeight="1">
      <c r="B3007" s="209" t="s">
        <v>624</v>
      </c>
      <c r="C3007" s="209" t="s">
        <v>2858</v>
      </c>
      <c r="D3007" s="453" t="s">
        <v>141</v>
      </c>
      <c r="E3007" s="273">
        <v>0</v>
      </c>
      <c r="F3007" s="274"/>
      <c r="G3007" s="274">
        <f t="shared" si="11"/>
        <v>0</v>
      </c>
      <c r="H3007" s="274">
        <v>0</v>
      </c>
      <c r="K3007" s="274"/>
    </row>
    <row r="3008" spans="2:11" ht="13.5" customHeight="1">
      <c r="B3008" s="209" t="s">
        <v>628</v>
      </c>
      <c r="C3008" s="209" t="s">
        <v>2859</v>
      </c>
      <c r="D3008" s="446" t="s">
        <v>133</v>
      </c>
      <c r="E3008" s="273">
        <v>0</v>
      </c>
      <c r="F3008" s="274"/>
      <c r="G3008" s="274">
        <f t="shared" si="11"/>
        <v>0</v>
      </c>
      <c r="H3008" s="274">
        <v>0</v>
      </c>
      <c r="K3008" s="274"/>
    </row>
    <row r="3009" spans="2:11" ht="13.5" customHeight="1">
      <c r="B3009" s="209" t="s">
        <v>628</v>
      </c>
      <c r="C3009" s="209" t="s">
        <v>2859</v>
      </c>
      <c r="D3009" s="447" t="s">
        <v>134</v>
      </c>
      <c r="E3009" s="273">
        <v>0</v>
      </c>
      <c r="F3009" s="274"/>
      <c r="G3009" s="274">
        <f t="shared" si="11"/>
        <v>0</v>
      </c>
      <c r="H3009" s="274">
        <v>0</v>
      </c>
      <c r="K3009" s="274"/>
    </row>
    <row r="3010" spans="2:11" ht="13.5" customHeight="1">
      <c r="B3010" s="209" t="s">
        <v>628</v>
      </c>
      <c r="C3010" s="209" t="s">
        <v>2859</v>
      </c>
      <c r="D3010" s="448" t="s">
        <v>135</v>
      </c>
      <c r="E3010" s="273">
        <v>0</v>
      </c>
      <c r="F3010" s="274"/>
      <c r="G3010" s="274">
        <f t="shared" si="11"/>
        <v>0</v>
      </c>
      <c r="H3010" s="274">
        <v>0</v>
      </c>
      <c r="K3010" s="274"/>
    </row>
    <row r="3011" spans="2:11" ht="13.5" customHeight="1">
      <c r="B3011" s="209" t="s">
        <v>628</v>
      </c>
      <c r="C3011" s="209" t="s">
        <v>2859</v>
      </c>
      <c r="D3011" s="449" t="s">
        <v>136</v>
      </c>
      <c r="E3011" s="273">
        <v>0</v>
      </c>
      <c r="F3011" s="274"/>
      <c r="G3011" s="274">
        <f t="shared" si="11"/>
        <v>0</v>
      </c>
      <c r="H3011" s="274">
        <v>0</v>
      </c>
      <c r="K3011" s="274"/>
    </row>
    <row r="3012" spans="2:11" ht="13.5" customHeight="1">
      <c r="B3012" s="209" t="s">
        <v>628</v>
      </c>
      <c r="C3012" s="209" t="s">
        <v>2859</v>
      </c>
      <c r="D3012" s="450" t="s">
        <v>137</v>
      </c>
      <c r="E3012" s="273">
        <v>0</v>
      </c>
      <c r="F3012" s="274"/>
      <c r="G3012" s="274">
        <f t="shared" si="11"/>
        <v>0</v>
      </c>
      <c r="H3012" s="274">
        <v>0</v>
      </c>
      <c r="K3012" s="274"/>
    </row>
    <row r="3013" spans="2:11" ht="13.5" customHeight="1">
      <c r="B3013" s="209" t="s">
        <v>628</v>
      </c>
      <c r="C3013" s="209" t="s">
        <v>2859</v>
      </c>
      <c r="D3013" s="451" t="s">
        <v>138</v>
      </c>
      <c r="E3013" s="273">
        <v>0</v>
      </c>
      <c r="F3013" s="274"/>
      <c r="G3013" s="274">
        <f t="shared" si="11"/>
        <v>0</v>
      </c>
      <c r="H3013" s="274">
        <v>0</v>
      </c>
      <c r="K3013" s="274"/>
    </row>
    <row r="3014" spans="2:11" ht="13.5" customHeight="1">
      <c r="B3014" s="209" t="s">
        <v>628</v>
      </c>
      <c r="C3014" s="209" t="s">
        <v>2859</v>
      </c>
      <c r="D3014" s="452" t="s">
        <v>139</v>
      </c>
      <c r="E3014" s="273">
        <v>0</v>
      </c>
      <c r="F3014" s="274"/>
      <c r="G3014" s="274">
        <f t="shared" si="11"/>
        <v>0</v>
      </c>
      <c r="H3014" s="274">
        <v>0</v>
      </c>
      <c r="K3014" s="274"/>
    </row>
    <row r="3015" spans="2:11" ht="13.5" customHeight="1">
      <c r="B3015" s="209" t="s">
        <v>628</v>
      </c>
      <c r="C3015" s="209" t="s">
        <v>2859</v>
      </c>
      <c r="D3015" s="216" t="s">
        <v>140</v>
      </c>
      <c r="E3015" s="273">
        <v>0</v>
      </c>
      <c r="F3015" s="274"/>
      <c r="G3015" s="274">
        <f t="shared" si="11"/>
        <v>0</v>
      </c>
      <c r="H3015" s="274">
        <v>0</v>
      </c>
      <c r="K3015" s="274"/>
    </row>
    <row r="3016" spans="2:11" ht="13.5" customHeight="1">
      <c r="B3016" s="209" t="s">
        <v>628</v>
      </c>
      <c r="C3016" s="209" t="s">
        <v>2859</v>
      </c>
      <c r="D3016" s="453" t="s">
        <v>141</v>
      </c>
      <c r="E3016" s="273">
        <v>0</v>
      </c>
      <c r="F3016" s="274"/>
      <c r="G3016" s="274">
        <f t="shared" si="11"/>
        <v>0</v>
      </c>
      <c r="H3016" s="274">
        <v>0</v>
      </c>
      <c r="K3016" s="274"/>
    </row>
    <row r="3017" spans="2:11" ht="13.5" customHeight="1">
      <c r="B3017" s="209" t="s">
        <v>865</v>
      </c>
      <c r="C3017" s="209" t="s">
        <v>2860</v>
      </c>
      <c r="D3017" s="446" t="s">
        <v>133</v>
      </c>
      <c r="E3017" s="273">
        <v>0</v>
      </c>
      <c r="F3017" s="274"/>
      <c r="G3017" s="274">
        <f t="shared" si="11"/>
        <v>0</v>
      </c>
      <c r="H3017" s="274">
        <v>0</v>
      </c>
      <c r="K3017" s="274"/>
    </row>
    <row r="3018" spans="2:11" ht="13.5" customHeight="1">
      <c r="B3018" s="209" t="s">
        <v>865</v>
      </c>
      <c r="C3018" s="209" t="s">
        <v>2860</v>
      </c>
      <c r="D3018" s="447" t="s">
        <v>134</v>
      </c>
      <c r="E3018" s="273">
        <v>0</v>
      </c>
      <c r="F3018" s="274"/>
      <c r="G3018" s="274">
        <f t="shared" si="11"/>
        <v>0</v>
      </c>
      <c r="H3018" s="274">
        <v>0</v>
      </c>
      <c r="K3018" s="274"/>
    </row>
    <row r="3019" spans="2:11" ht="13.5" customHeight="1">
      <c r="B3019" s="209" t="s">
        <v>865</v>
      </c>
      <c r="C3019" s="209" t="s">
        <v>2860</v>
      </c>
      <c r="D3019" s="448" t="s">
        <v>135</v>
      </c>
      <c r="E3019" s="273">
        <v>0</v>
      </c>
      <c r="F3019" s="274"/>
      <c r="G3019" s="274">
        <f t="shared" si="11"/>
        <v>0</v>
      </c>
      <c r="H3019" s="274">
        <v>0</v>
      </c>
      <c r="K3019" s="274"/>
    </row>
    <row r="3020" spans="2:11" ht="13.5" customHeight="1">
      <c r="B3020" s="209" t="s">
        <v>865</v>
      </c>
      <c r="C3020" s="209" t="s">
        <v>2860</v>
      </c>
      <c r="D3020" s="449" t="s">
        <v>136</v>
      </c>
      <c r="E3020" s="273">
        <v>0</v>
      </c>
      <c r="F3020" s="274"/>
      <c r="G3020" s="274">
        <f t="shared" si="11"/>
        <v>0</v>
      </c>
      <c r="H3020" s="274">
        <v>0</v>
      </c>
      <c r="K3020" s="274"/>
    </row>
    <row r="3021" spans="2:11" ht="13.5" customHeight="1">
      <c r="B3021" s="209" t="s">
        <v>865</v>
      </c>
      <c r="C3021" s="209" t="s">
        <v>2860</v>
      </c>
      <c r="D3021" s="450" t="s">
        <v>137</v>
      </c>
      <c r="E3021" s="273">
        <v>0</v>
      </c>
      <c r="F3021" s="274"/>
      <c r="G3021" s="274">
        <f t="shared" si="11"/>
        <v>0</v>
      </c>
      <c r="H3021" s="274">
        <v>0</v>
      </c>
      <c r="K3021" s="274"/>
    </row>
    <row r="3022" spans="2:11" ht="13.5" customHeight="1">
      <c r="B3022" s="209" t="s">
        <v>865</v>
      </c>
      <c r="C3022" s="209" t="s">
        <v>2860</v>
      </c>
      <c r="D3022" s="451" t="s">
        <v>138</v>
      </c>
      <c r="E3022" s="273">
        <v>0</v>
      </c>
      <c r="F3022" s="274"/>
      <c r="G3022" s="274">
        <f t="shared" si="11"/>
        <v>0</v>
      </c>
      <c r="H3022" s="274">
        <v>0</v>
      </c>
      <c r="K3022" s="274"/>
    </row>
    <row r="3023" spans="2:11" ht="13.5" customHeight="1">
      <c r="B3023" s="209" t="s">
        <v>865</v>
      </c>
      <c r="C3023" s="209" t="s">
        <v>2860</v>
      </c>
      <c r="D3023" s="452" t="s">
        <v>139</v>
      </c>
      <c r="E3023" s="273">
        <v>0</v>
      </c>
      <c r="F3023" s="274"/>
      <c r="G3023" s="274">
        <f t="shared" si="11"/>
        <v>0</v>
      </c>
      <c r="H3023" s="274">
        <v>0</v>
      </c>
      <c r="K3023" s="274"/>
    </row>
    <row r="3024" spans="2:11" ht="13.5" customHeight="1">
      <c r="B3024" s="209" t="s">
        <v>865</v>
      </c>
      <c r="C3024" s="209" t="s">
        <v>2860</v>
      </c>
      <c r="D3024" s="216" t="s">
        <v>140</v>
      </c>
      <c r="E3024" s="273">
        <v>0</v>
      </c>
      <c r="F3024" s="274"/>
      <c r="G3024" s="274">
        <f t="shared" si="11"/>
        <v>0</v>
      </c>
      <c r="H3024" s="274">
        <v>0</v>
      </c>
      <c r="K3024" s="274"/>
    </row>
    <row r="3025" spans="2:11" ht="13.5" customHeight="1">
      <c r="B3025" s="209" t="s">
        <v>865</v>
      </c>
      <c r="C3025" s="209" t="s">
        <v>2860</v>
      </c>
      <c r="D3025" s="453" t="s">
        <v>141</v>
      </c>
      <c r="E3025" s="273">
        <v>0</v>
      </c>
      <c r="F3025" s="274"/>
      <c r="G3025" s="274">
        <f t="shared" si="11"/>
        <v>0</v>
      </c>
      <c r="H3025" s="274">
        <v>0</v>
      </c>
      <c r="K3025" s="274"/>
    </row>
    <row r="3026" spans="2:11" ht="13.5" customHeight="1">
      <c r="B3026" s="209" t="s">
        <v>871</v>
      </c>
      <c r="C3026" s="209" t="s">
        <v>2861</v>
      </c>
      <c r="D3026" s="446" t="s">
        <v>133</v>
      </c>
      <c r="E3026" s="273">
        <v>0</v>
      </c>
      <c r="F3026" s="274"/>
      <c r="G3026" s="274">
        <f t="shared" si="11"/>
        <v>0</v>
      </c>
      <c r="H3026" s="274">
        <v>0</v>
      </c>
      <c r="K3026" s="274"/>
    </row>
    <row r="3027" spans="2:11" ht="13.5" customHeight="1">
      <c r="B3027" s="209" t="s">
        <v>871</v>
      </c>
      <c r="C3027" s="209" t="s">
        <v>2861</v>
      </c>
      <c r="D3027" s="447" t="s">
        <v>134</v>
      </c>
      <c r="E3027" s="273">
        <v>0</v>
      </c>
      <c r="F3027" s="274"/>
      <c r="G3027" s="274">
        <f t="shared" si="11"/>
        <v>0</v>
      </c>
      <c r="H3027" s="274">
        <v>0</v>
      </c>
      <c r="K3027" s="274"/>
    </row>
    <row r="3028" spans="2:11" ht="13.5" customHeight="1">
      <c r="B3028" s="209" t="s">
        <v>871</v>
      </c>
      <c r="C3028" s="209" t="s">
        <v>2861</v>
      </c>
      <c r="D3028" s="448" t="s">
        <v>135</v>
      </c>
      <c r="E3028" s="273">
        <v>0</v>
      </c>
      <c r="F3028" s="274"/>
      <c r="G3028" s="274">
        <f t="shared" si="11"/>
        <v>0</v>
      </c>
      <c r="H3028" s="274">
        <v>0</v>
      </c>
      <c r="K3028" s="274"/>
    </row>
    <row r="3029" spans="2:11" ht="13.5" customHeight="1">
      <c r="B3029" s="209" t="s">
        <v>871</v>
      </c>
      <c r="C3029" s="209" t="s">
        <v>2861</v>
      </c>
      <c r="D3029" s="449" t="s">
        <v>136</v>
      </c>
      <c r="E3029" s="273">
        <v>0</v>
      </c>
      <c r="F3029" s="274"/>
      <c r="G3029" s="274">
        <f t="shared" si="11"/>
        <v>0</v>
      </c>
      <c r="H3029" s="274">
        <v>0</v>
      </c>
      <c r="K3029" s="274"/>
    </row>
    <row r="3030" spans="2:11" ht="13.5" customHeight="1">
      <c r="B3030" s="209" t="s">
        <v>871</v>
      </c>
      <c r="C3030" s="209" t="s">
        <v>2861</v>
      </c>
      <c r="D3030" s="450" t="s">
        <v>137</v>
      </c>
      <c r="E3030" s="273">
        <v>0</v>
      </c>
      <c r="F3030" s="274"/>
      <c r="G3030" s="274">
        <f t="shared" si="11"/>
        <v>0</v>
      </c>
      <c r="H3030" s="274">
        <v>0</v>
      </c>
      <c r="K3030" s="274"/>
    </row>
    <row r="3031" spans="2:11" ht="13.5" customHeight="1">
      <c r="B3031" s="209" t="s">
        <v>871</v>
      </c>
      <c r="C3031" s="209" t="s">
        <v>2861</v>
      </c>
      <c r="D3031" s="451" t="s">
        <v>138</v>
      </c>
      <c r="E3031" s="273">
        <v>0</v>
      </c>
      <c r="F3031" s="274"/>
      <c r="G3031" s="274">
        <f t="shared" si="11"/>
        <v>0</v>
      </c>
      <c r="H3031" s="274">
        <v>0</v>
      </c>
      <c r="K3031" s="274"/>
    </row>
    <row r="3032" spans="2:11" ht="13.5" customHeight="1">
      <c r="B3032" s="209" t="s">
        <v>871</v>
      </c>
      <c r="C3032" s="209" t="s">
        <v>2861</v>
      </c>
      <c r="D3032" s="452" t="s">
        <v>139</v>
      </c>
      <c r="E3032" s="273">
        <v>0</v>
      </c>
      <c r="F3032" s="274"/>
      <c r="G3032" s="274">
        <f t="shared" si="11"/>
        <v>0</v>
      </c>
      <c r="H3032" s="274">
        <v>0</v>
      </c>
      <c r="K3032" s="274"/>
    </row>
    <row r="3033" spans="2:11" ht="13.5" customHeight="1">
      <c r="B3033" s="209" t="s">
        <v>871</v>
      </c>
      <c r="C3033" s="209" t="s">
        <v>2861</v>
      </c>
      <c r="D3033" s="216" t="s">
        <v>140</v>
      </c>
      <c r="E3033" s="273">
        <v>0</v>
      </c>
      <c r="F3033" s="274"/>
      <c r="G3033" s="274">
        <f t="shared" si="11"/>
        <v>0</v>
      </c>
      <c r="H3033" s="274">
        <v>0</v>
      </c>
      <c r="K3033" s="274"/>
    </row>
    <row r="3034" spans="2:11" ht="13.5" customHeight="1">
      <c r="B3034" s="209" t="s">
        <v>871</v>
      </c>
      <c r="C3034" s="209" t="s">
        <v>2861</v>
      </c>
      <c r="D3034" s="453" t="s">
        <v>141</v>
      </c>
      <c r="E3034" s="273">
        <v>0</v>
      </c>
      <c r="F3034" s="274"/>
      <c r="G3034" s="274">
        <f t="shared" si="11"/>
        <v>0</v>
      </c>
      <c r="H3034" s="274">
        <v>0</v>
      </c>
      <c r="K3034" s="274"/>
    </row>
    <row r="3035" spans="2:11" ht="13.5" customHeight="1">
      <c r="B3035" s="209" t="s">
        <v>847</v>
      </c>
      <c r="C3035" s="209" t="s">
        <v>2862</v>
      </c>
      <c r="D3035" s="446" t="s">
        <v>133</v>
      </c>
      <c r="E3035" s="273">
        <v>0</v>
      </c>
      <c r="F3035" s="274"/>
      <c r="G3035" s="274">
        <f t="shared" si="11"/>
        <v>0</v>
      </c>
      <c r="H3035" s="274">
        <v>0</v>
      </c>
      <c r="K3035" s="274"/>
    </row>
    <row r="3036" spans="2:11" ht="13.5" customHeight="1">
      <c r="B3036" s="209" t="s">
        <v>847</v>
      </c>
      <c r="C3036" s="209" t="s">
        <v>2862</v>
      </c>
      <c r="D3036" s="447" t="s">
        <v>134</v>
      </c>
      <c r="E3036" s="273">
        <v>0</v>
      </c>
      <c r="F3036" s="274"/>
      <c r="G3036" s="274">
        <f t="shared" si="11"/>
        <v>0</v>
      </c>
      <c r="H3036" s="274">
        <v>0</v>
      </c>
      <c r="K3036" s="274"/>
    </row>
    <row r="3037" spans="2:11" ht="13.5" customHeight="1">
      <c r="B3037" s="209" t="s">
        <v>847</v>
      </c>
      <c r="C3037" s="209" t="s">
        <v>2862</v>
      </c>
      <c r="D3037" s="448" t="s">
        <v>135</v>
      </c>
      <c r="E3037" s="273">
        <v>0</v>
      </c>
      <c r="F3037" s="274"/>
      <c r="G3037" s="274">
        <f t="shared" si="11"/>
        <v>0</v>
      </c>
      <c r="H3037" s="274">
        <v>0</v>
      </c>
      <c r="K3037" s="274"/>
    </row>
    <row r="3038" spans="2:11" ht="13.5" customHeight="1">
      <c r="B3038" s="209" t="s">
        <v>847</v>
      </c>
      <c r="C3038" s="209" t="s">
        <v>2862</v>
      </c>
      <c r="D3038" s="449" t="s">
        <v>136</v>
      </c>
      <c r="E3038" s="273">
        <v>0</v>
      </c>
      <c r="F3038" s="274"/>
      <c r="G3038" s="274">
        <f t="shared" si="11"/>
        <v>0</v>
      </c>
      <c r="H3038" s="274">
        <v>0</v>
      </c>
      <c r="K3038" s="274"/>
    </row>
    <row r="3039" spans="2:11" ht="13.5" customHeight="1">
      <c r="B3039" s="209" t="s">
        <v>847</v>
      </c>
      <c r="C3039" s="209" t="s">
        <v>2862</v>
      </c>
      <c r="D3039" s="450" t="s">
        <v>137</v>
      </c>
      <c r="E3039" s="273">
        <v>0</v>
      </c>
      <c r="F3039" s="274"/>
      <c r="G3039" s="274">
        <f t="shared" si="11"/>
        <v>0</v>
      </c>
      <c r="H3039" s="274">
        <v>0</v>
      </c>
      <c r="K3039" s="274"/>
    </row>
    <row r="3040" spans="2:11" ht="13.5" customHeight="1">
      <c r="B3040" s="209" t="s">
        <v>847</v>
      </c>
      <c r="C3040" s="209" t="s">
        <v>2862</v>
      </c>
      <c r="D3040" s="451" t="s">
        <v>138</v>
      </c>
      <c r="E3040" s="273">
        <v>0</v>
      </c>
      <c r="F3040" s="274"/>
      <c r="G3040" s="274">
        <f t="shared" si="11"/>
        <v>0</v>
      </c>
      <c r="H3040" s="274">
        <v>0</v>
      </c>
      <c r="K3040" s="274"/>
    </row>
    <row r="3041" spans="2:11" ht="13.5" customHeight="1">
      <c r="B3041" s="209" t="s">
        <v>847</v>
      </c>
      <c r="C3041" s="209" t="s">
        <v>2862</v>
      </c>
      <c r="D3041" s="452" t="s">
        <v>139</v>
      </c>
      <c r="E3041" s="273">
        <v>0</v>
      </c>
      <c r="F3041" s="274"/>
      <c r="G3041" s="274">
        <f t="shared" si="11"/>
        <v>0</v>
      </c>
      <c r="H3041" s="274">
        <v>0</v>
      </c>
      <c r="K3041" s="274"/>
    </row>
    <row r="3042" spans="2:11" ht="13.5" customHeight="1">
      <c r="B3042" s="209" t="s">
        <v>847</v>
      </c>
      <c r="C3042" s="209" t="s">
        <v>2862</v>
      </c>
      <c r="D3042" s="216" t="s">
        <v>140</v>
      </c>
      <c r="E3042" s="273">
        <v>0</v>
      </c>
      <c r="F3042" s="274"/>
      <c r="G3042" s="274">
        <f t="shared" si="11"/>
        <v>0</v>
      </c>
      <c r="H3042" s="274">
        <v>0</v>
      </c>
      <c r="K3042" s="274"/>
    </row>
    <row r="3043" spans="2:11" ht="13.5" customHeight="1">
      <c r="B3043" s="209" t="s">
        <v>847</v>
      </c>
      <c r="C3043" s="209" t="s">
        <v>2862</v>
      </c>
      <c r="D3043" s="453" t="s">
        <v>141</v>
      </c>
      <c r="E3043" s="273">
        <v>0</v>
      </c>
      <c r="F3043" s="274"/>
      <c r="G3043" s="274">
        <f t="shared" si="11"/>
        <v>0</v>
      </c>
      <c r="H3043" s="274">
        <v>0</v>
      </c>
      <c r="K3043" s="274"/>
    </row>
    <row r="3044" spans="2:11" ht="13.5" customHeight="1">
      <c r="B3044" s="209" t="s">
        <v>1213</v>
      </c>
      <c r="C3044" s="209" t="s">
        <v>2873</v>
      </c>
      <c r="D3044" s="446" t="s">
        <v>133</v>
      </c>
      <c r="E3044" s="273">
        <v>0</v>
      </c>
      <c r="F3044" s="274"/>
      <c r="G3044" s="274">
        <f t="shared" si="11"/>
        <v>0</v>
      </c>
      <c r="H3044" s="274">
        <v>0</v>
      </c>
      <c r="K3044" s="274"/>
    </row>
    <row r="3045" spans="2:11" ht="13.5" customHeight="1">
      <c r="B3045" s="209" t="s">
        <v>1213</v>
      </c>
      <c r="C3045" s="209" t="s">
        <v>2873</v>
      </c>
      <c r="D3045" s="447" t="s">
        <v>134</v>
      </c>
      <c r="E3045" s="273">
        <v>0</v>
      </c>
      <c r="F3045" s="274"/>
      <c r="G3045" s="274">
        <f t="shared" si="11"/>
        <v>0</v>
      </c>
      <c r="H3045" s="274">
        <v>0</v>
      </c>
      <c r="K3045" s="274"/>
    </row>
    <row r="3046" spans="2:11" ht="13.5" customHeight="1">
      <c r="B3046" s="209" t="s">
        <v>1213</v>
      </c>
      <c r="C3046" s="209" t="s">
        <v>2873</v>
      </c>
      <c r="D3046" s="448" t="s">
        <v>135</v>
      </c>
      <c r="E3046" s="273">
        <v>0</v>
      </c>
      <c r="F3046" s="274"/>
      <c r="G3046" s="274">
        <f t="shared" si="11"/>
        <v>0</v>
      </c>
      <c r="H3046" s="274">
        <v>0</v>
      </c>
      <c r="K3046" s="274"/>
    </row>
    <row r="3047" spans="2:11" ht="13.5" customHeight="1">
      <c r="B3047" s="209" t="s">
        <v>1213</v>
      </c>
      <c r="C3047" s="209" t="s">
        <v>2873</v>
      </c>
      <c r="D3047" s="449" t="s">
        <v>136</v>
      </c>
      <c r="E3047" s="273">
        <v>0</v>
      </c>
      <c r="F3047" s="274"/>
      <c r="G3047" s="274">
        <f t="shared" si="11"/>
        <v>0</v>
      </c>
      <c r="H3047" s="274">
        <v>0</v>
      </c>
      <c r="K3047" s="274"/>
    </row>
    <row r="3048" spans="2:11" ht="13.5" customHeight="1">
      <c r="B3048" s="209" t="s">
        <v>1213</v>
      </c>
      <c r="C3048" s="209" t="s">
        <v>2873</v>
      </c>
      <c r="D3048" s="450" t="s">
        <v>137</v>
      </c>
      <c r="E3048" s="273">
        <v>0</v>
      </c>
      <c r="F3048" s="274"/>
      <c r="G3048" s="274">
        <f t="shared" si="11"/>
        <v>0</v>
      </c>
      <c r="H3048" s="274">
        <v>0</v>
      </c>
      <c r="K3048" s="274"/>
    </row>
    <row r="3049" spans="2:11" ht="13.5" customHeight="1">
      <c r="B3049" s="209" t="s">
        <v>1213</v>
      </c>
      <c r="C3049" s="209" t="s">
        <v>2873</v>
      </c>
      <c r="D3049" s="451" t="s">
        <v>138</v>
      </c>
      <c r="E3049" s="273">
        <v>0</v>
      </c>
      <c r="F3049" s="274"/>
      <c r="G3049" s="274">
        <f t="shared" si="11"/>
        <v>0</v>
      </c>
      <c r="H3049" s="274">
        <v>0</v>
      </c>
      <c r="K3049" s="274"/>
    </row>
    <row r="3050" spans="2:11" ht="13.5" customHeight="1">
      <c r="B3050" s="209" t="s">
        <v>1213</v>
      </c>
      <c r="C3050" s="209" t="s">
        <v>2873</v>
      </c>
      <c r="D3050" s="452" t="s">
        <v>139</v>
      </c>
      <c r="E3050" s="273">
        <v>0</v>
      </c>
      <c r="F3050" s="274"/>
      <c r="G3050" s="274">
        <f t="shared" si="11"/>
        <v>0</v>
      </c>
      <c r="H3050" s="274">
        <v>0</v>
      </c>
      <c r="K3050" s="274"/>
    </row>
    <row r="3051" spans="2:11" ht="13.5" customHeight="1">
      <c r="B3051" s="209" t="s">
        <v>1213</v>
      </c>
      <c r="C3051" s="209" t="s">
        <v>2873</v>
      </c>
      <c r="D3051" s="216" t="s">
        <v>140</v>
      </c>
      <c r="E3051" s="273">
        <v>0</v>
      </c>
      <c r="F3051" s="274"/>
      <c r="G3051" s="274">
        <f t="shared" si="11"/>
        <v>0</v>
      </c>
      <c r="H3051" s="274">
        <v>0</v>
      </c>
      <c r="K3051" s="274"/>
    </row>
    <row r="3052" spans="2:11" ht="13.5" customHeight="1">
      <c r="B3052" s="209" t="s">
        <v>1213</v>
      </c>
      <c r="C3052" s="209" t="s">
        <v>2873</v>
      </c>
      <c r="D3052" s="453" t="s">
        <v>141</v>
      </c>
      <c r="E3052" s="273">
        <v>0</v>
      </c>
      <c r="F3052" s="274"/>
      <c r="G3052" s="274">
        <f t="shared" si="11"/>
        <v>0</v>
      </c>
      <c r="H3052" s="274">
        <v>0</v>
      </c>
      <c r="K3052" s="274"/>
    </row>
    <row r="3053" spans="2:11" ht="13.5" customHeight="1">
      <c r="B3053" s="209" t="s">
        <v>1201</v>
      </c>
      <c r="C3053" s="209" t="s">
        <v>2874</v>
      </c>
      <c r="D3053" s="446" t="s">
        <v>133</v>
      </c>
      <c r="E3053" s="273">
        <v>0</v>
      </c>
      <c r="F3053" s="274"/>
      <c r="G3053" s="274">
        <f t="shared" si="11"/>
        <v>0</v>
      </c>
      <c r="H3053" s="274">
        <v>0</v>
      </c>
      <c r="K3053" s="274"/>
    </row>
    <row r="3054" spans="2:11" ht="13.5" customHeight="1">
      <c r="B3054" s="209" t="s">
        <v>1201</v>
      </c>
      <c r="C3054" s="209" t="s">
        <v>2874</v>
      </c>
      <c r="D3054" s="447" t="s">
        <v>134</v>
      </c>
      <c r="E3054" s="273">
        <v>0</v>
      </c>
      <c r="F3054" s="274"/>
      <c r="G3054" s="274">
        <f t="shared" si="11"/>
        <v>0</v>
      </c>
      <c r="H3054" s="274">
        <v>0</v>
      </c>
      <c r="K3054" s="274"/>
    </row>
    <row r="3055" spans="2:11" ht="13.5" customHeight="1">
      <c r="B3055" s="209" t="s">
        <v>1201</v>
      </c>
      <c r="C3055" s="209" t="s">
        <v>2874</v>
      </c>
      <c r="D3055" s="448" t="s">
        <v>135</v>
      </c>
      <c r="E3055" s="273">
        <v>0</v>
      </c>
      <c r="F3055" s="274"/>
      <c r="G3055" s="274">
        <f t="shared" si="11"/>
        <v>0</v>
      </c>
      <c r="H3055" s="274">
        <v>0</v>
      </c>
      <c r="K3055" s="274"/>
    </row>
    <row r="3056" spans="2:11" ht="13.5" customHeight="1">
      <c r="B3056" s="209" t="s">
        <v>1201</v>
      </c>
      <c r="C3056" s="209" t="s">
        <v>2874</v>
      </c>
      <c r="D3056" s="449" t="s">
        <v>136</v>
      </c>
      <c r="E3056" s="273">
        <v>0</v>
      </c>
      <c r="F3056" s="274"/>
      <c r="G3056" s="274">
        <f t="shared" si="11"/>
        <v>0</v>
      </c>
      <c r="H3056" s="274">
        <v>0</v>
      </c>
      <c r="K3056" s="274"/>
    </row>
    <row r="3057" spans="2:11" ht="13.5" customHeight="1">
      <c r="B3057" s="209" t="s">
        <v>1201</v>
      </c>
      <c r="C3057" s="209" t="s">
        <v>2874</v>
      </c>
      <c r="D3057" s="450" t="s">
        <v>137</v>
      </c>
      <c r="E3057" s="273">
        <v>0</v>
      </c>
      <c r="F3057" s="274"/>
      <c r="G3057" s="274">
        <f t="shared" si="11"/>
        <v>0</v>
      </c>
      <c r="H3057" s="274">
        <v>0</v>
      </c>
      <c r="K3057" s="274"/>
    </row>
    <row r="3058" spans="2:11" ht="13.5" customHeight="1">
      <c r="B3058" s="209" t="s">
        <v>1201</v>
      </c>
      <c r="C3058" s="209" t="s">
        <v>2874</v>
      </c>
      <c r="D3058" s="451" t="s">
        <v>138</v>
      </c>
      <c r="E3058" s="273">
        <v>0</v>
      </c>
      <c r="F3058" s="274"/>
      <c r="G3058" s="274">
        <f t="shared" si="11"/>
        <v>0</v>
      </c>
      <c r="H3058" s="274">
        <v>0</v>
      </c>
      <c r="K3058" s="274"/>
    </row>
    <row r="3059" spans="2:11" ht="13.5" customHeight="1">
      <c r="B3059" s="209" t="s">
        <v>1201</v>
      </c>
      <c r="C3059" s="209" t="s">
        <v>2874</v>
      </c>
      <c r="D3059" s="452" t="s">
        <v>139</v>
      </c>
      <c r="E3059" s="273">
        <v>0</v>
      </c>
      <c r="F3059" s="274"/>
      <c r="G3059" s="274">
        <f t="shared" si="11"/>
        <v>0</v>
      </c>
      <c r="H3059" s="274">
        <v>0</v>
      </c>
      <c r="K3059" s="274"/>
    </row>
    <row r="3060" spans="2:11" ht="13.5" customHeight="1">
      <c r="B3060" s="209" t="s">
        <v>1201</v>
      </c>
      <c r="C3060" s="209" t="s">
        <v>2874</v>
      </c>
      <c r="D3060" s="216" t="s">
        <v>140</v>
      </c>
      <c r="E3060" s="273">
        <v>0</v>
      </c>
      <c r="F3060" s="274"/>
      <c r="G3060" s="274">
        <f t="shared" si="11"/>
        <v>0</v>
      </c>
      <c r="H3060" s="274">
        <v>0</v>
      </c>
      <c r="K3060" s="274"/>
    </row>
    <row r="3061" spans="2:11" ht="13.5" customHeight="1">
      <c r="B3061" s="209" t="s">
        <v>1201</v>
      </c>
      <c r="C3061" s="209" t="s">
        <v>2874</v>
      </c>
      <c r="D3061" s="453" t="s">
        <v>141</v>
      </c>
      <c r="E3061" s="273">
        <v>0</v>
      </c>
      <c r="F3061" s="274"/>
      <c r="G3061" s="274">
        <f t="shared" si="11"/>
        <v>0</v>
      </c>
      <c r="H3061" s="274">
        <v>0</v>
      </c>
      <c r="K3061" s="274"/>
    </row>
    <row r="3062" spans="2:11" ht="13.5" customHeight="1">
      <c r="B3062" s="209" t="s">
        <v>1203</v>
      </c>
      <c r="C3062" s="209" t="s">
        <v>2875</v>
      </c>
      <c r="D3062" s="446" t="s">
        <v>133</v>
      </c>
      <c r="E3062" s="273">
        <v>0</v>
      </c>
      <c r="F3062" s="274"/>
      <c r="G3062" s="274">
        <f t="shared" ref="G3062:G3316" si="12">E3062*F3062</f>
        <v>0</v>
      </c>
      <c r="H3062" s="274">
        <v>0</v>
      </c>
      <c r="K3062" s="274"/>
    </row>
    <row r="3063" spans="2:11" ht="13.5" customHeight="1">
      <c r="B3063" s="209" t="s">
        <v>1203</v>
      </c>
      <c r="C3063" s="209" t="s">
        <v>2875</v>
      </c>
      <c r="D3063" s="447" t="s">
        <v>134</v>
      </c>
      <c r="E3063" s="273">
        <v>0</v>
      </c>
      <c r="F3063" s="274"/>
      <c r="G3063" s="274">
        <f t="shared" si="12"/>
        <v>0</v>
      </c>
      <c r="H3063" s="274">
        <v>0</v>
      </c>
      <c r="K3063" s="274"/>
    </row>
    <row r="3064" spans="2:11" ht="13.5" customHeight="1">
      <c r="B3064" s="209" t="s">
        <v>1203</v>
      </c>
      <c r="C3064" s="209" t="s">
        <v>2875</v>
      </c>
      <c r="D3064" s="448" t="s">
        <v>135</v>
      </c>
      <c r="E3064" s="273">
        <v>0</v>
      </c>
      <c r="F3064" s="274"/>
      <c r="G3064" s="274">
        <f t="shared" si="12"/>
        <v>0</v>
      </c>
      <c r="H3064" s="274">
        <v>0</v>
      </c>
      <c r="K3064" s="274"/>
    </row>
    <row r="3065" spans="2:11" ht="13.5" customHeight="1">
      <c r="B3065" s="209" t="s">
        <v>1203</v>
      </c>
      <c r="C3065" s="209" t="s">
        <v>2875</v>
      </c>
      <c r="D3065" s="449" t="s">
        <v>136</v>
      </c>
      <c r="E3065" s="273">
        <v>0</v>
      </c>
      <c r="F3065" s="274"/>
      <c r="G3065" s="274">
        <f t="shared" si="12"/>
        <v>0</v>
      </c>
      <c r="H3065" s="274">
        <v>0</v>
      </c>
      <c r="K3065" s="274"/>
    </row>
    <row r="3066" spans="2:11" ht="13.5" customHeight="1">
      <c r="B3066" s="209" t="s">
        <v>1203</v>
      </c>
      <c r="C3066" s="209" t="s">
        <v>2875</v>
      </c>
      <c r="D3066" s="450" t="s">
        <v>137</v>
      </c>
      <c r="E3066" s="273">
        <v>0</v>
      </c>
      <c r="F3066" s="274"/>
      <c r="G3066" s="274">
        <f t="shared" si="12"/>
        <v>0</v>
      </c>
      <c r="H3066" s="274">
        <v>0</v>
      </c>
      <c r="K3066" s="274"/>
    </row>
    <row r="3067" spans="2:11" ht="13.5" customHeight="1">
      <c r="B3067" s="209" t="s">
        <v>1203</v>
      </c>
      <c r="C3067" s="209" t="s">
        <v>2875</v>
      </c>
      <c r="D3067" s="451" t="s">
        <v>138</v>
      </c>
      <c r="E3067" s="273">
        <v>0</v>
      </c>
      <c r="F3067" s="274"/>
      <c r="G3067" s="274">
        <f t="shared" si="12"/>
        <v>0</v>
      </c>
      <c r="H3067" s="274">
        <v>0</v>
      </c>
      <c r="K3067" s="274"/>
    </row>
    <row r="3068" spans="2:11" ht="13.5" customHeight="1">
      <c r="B3068" s="209" t="s">
        <v>1203</v>
      </c>
      <c r="C3068" s="209" t="s">
        <v>2875</v>
      </c>
      <c r="D3068" s="452" t="s">
        <v>139</v>
      </c>
      <c r="E3068" s="273">
        <v>0</v>
      </c>
      <c r="F3068" s="274"/>
      <c r="G3068" s="274">
        <f t="shared" si="12"/>
        <v>0</v>
      </c>
      <c r="H3068" s="274">
        <v>0</v>
      </c>
      <c r="K3068" s="274"/>
    </row>
    <row r="3069" spans="2:11" ht="13.5" customHeight="1">
      <c r="B3069" s="209" t="s">
        <v>1203</v>
      </c>
      <c r="C3069" s="209" t="s">
        <v>2875</v>
      </c>
      <c r="D3069" s="216" t="s">
        <v>140</v>
      </c>
      <c r="E3069" s="273">
        <v>0</v>
      </c>
      <c r="F3069" s="274"/>
      <c r="G3069" s="274">
        <f t="shared" si="12"/>
        <v>0</v>
      </c>
      <c r="H3069" s="274">
        <v>0</v>
      </c>
      <c r="K3069" s="274"/>
    </row>
    <row r="3070" spans="2:11" ht="13.5" customHeight="1">
      <c r="B3070" s="209" t="s">
        <v>1203</v>
      </c>
      <c r="C3070" s="209" t="s">
        <v>2875</v>
      </c>
      <c r="D3070" s="453" t="s">
        <v>141</v>
      </c>
      <c r="E3070" s="273">
        <v>0</v>
      </c>
      <c r="F3070" s="274"/>
      <c r="G3070" s="274">
        <f t="shared" si="12"/>
        <v>0</v>
      </c>
      <c r="H3070" s="274">
        <v>0</v>
      </c>
      <c r="K3070" s="274"/>
    </row>
    <row r="3071" spans="2:11" ht="13.5" customHeight="1">
      <c r="B3071" s="209" t="s">
        <v>1199</v>
      </c>
      <c r="C3071" s="209" t="s">
        <v>2876</v>
      </c>
      <c r="D3071" s="446" t="s">
        <v>133</v>
      </c>
      <c r="E3071" s="273">
        <v>0</v>
      </c>
      <c r="F3071" s="274"/>
      <c r="G3071" s="274">
        <f t="shared" si="12"/>
        <v>0</v>
      </c>
      <c r="H3071" s="274">
        <v>0</v>
      </c>
      <c r="K3071" s="274"/>
    </row>
    <row r="3072" spans="2:11" ht="13.5" customHeight="1">
      <c r="B3072" s="209" t="s">
        <v>1199</v>
      </c>
      <c r="C3072" s="209" t="s">
        <v>2876</v>
      </c>
      <c r="D3072" s="447" t="s">
        <v>134</v>
      </c>
      <c r="E3072" s="273">
        <v>0</v>
      </c>
      <c r="F3072" s="274"/>
      <c r="G3072" s="274">
        <f t="shared" si="12"/>
        <v>0</v>
      </c>
      <c r="H3072" s="274">
        <v>0</v>
      </c>
      <c r="K3072" s="274"/>
    </row>
    <row r="3073" spans="2:11" ht="13.5" customHeight="1">
      <c r="B3073" s="209" t="s">
        <v>1199</v>
      </c>
      <c r="C3073" s="209" t="s">
        <v>2876</v>
      </c>
      <c r="D3073" s="448" t="s">
        <v>135</v>
      </c>
      <c r="E3073" s="273">
        <v>0</v>
      </c>
      <c r="F3073" s="274"/>
      <c r="G3073" s="274">
        <f t="shared" si="12"/>
        <v>0</v>
      </c>
      <c r="H3073" s="274">
        <v>0</v>
      </c>
      <c r="K3073" s="274"/>
    </row>
    <row r="3074" spans="2:11" ht="13.5" customHeight="1">
      <c r="B3074" s="209" t="s">
        <v>1199</v>
      </c>
      <c r="C3074" s="209" t="s">
        <v>2876</v>
      </c>
      <c r="D3074" s="449" t="s">
        <v>136</v>
      </c>
      <c r="E3074" s="273">
        <v>0</v>
      </c>
      <c r="F3074" s="274"/>
      <c r="G3074" s="274">
        <f t="shared" si="12"/>
        <v>0</v>
      </c>
      <c r="H3074" s="274">
        <v>0</v>
      </c>
      <c r="K3074" s="274"/>
    </row>
    <row r="3075" spans="2:11" ht="13.5" customHeight="1">
      <c r="B3075" s="209" t="s">
        <v>1199</v>
      </c>
      <c r="C3075" s="209" t="s">
        <v>2876</v>
      </c>
      <c r="D3075" s="450" t="s">
        <v>137</v>
      </c>
      <c r="E3075" s="273">
        <v>0</v>
      </c>
      <c r="F3075" s="274"/>
      <c r="G3075" s="274">
        <f t="shared" si="12"/>
        <v>0</v>
      </c>
      <c r="H3075" s="274">
        <v>0</v>
      </c>
      <c r="K3075" s="274"/>
    </row>
    <row r="3076" spans="2:11" ht="13.5" customHeight="1">
      <c r="B3076" s="209" t="s">
        <v>1199</v>
      </c>
      <c r="C3076" s="209" t="s">
        <v>2876</v>
      </c>
      <c r="D3076" s="451" t="s">
        <v>138</v>
      </c>
      <c r="E3076" s="273">
        <v>0</v>
      </c>
      <c r="F3076" s="274"/>
      <c r="G3076" s="274">
        <f t="shared" si="12"/>
        <v>0</v>
      </c>
      <c r="H3076" s="274">
        <v>0</v>
      </c>
      <c r="K3076" s="274"/>
    </row>
    <row r="3077" spans="2:11" ht="13.5" customHeight="1">
      <c r="B3077" s="209" t="s">
        <v>1199</v>
      </c>
      <c r="C3077" s="209" t="s">
        <v>2876</v>
      </c>
      <c r="D3077" s="452" t="s">
        <v>139</v>
      </c>
      <c r="E3077" s="273">
        <v>0</v>
      </c>
      <c r="F3077" s="274"/>
      <c r="G3077" s="274">
        <f t="shared" si="12"/>
        <v>0</v>
      </c>
      <c r="H3077" s="274">
        <v>0</v>
      </c>
      <c r="K3077" s="274"/>
    </row>
    <row r="3078" spans="2:11" ht="13.5" customHeight="1">
      <c r="B3078" s="209" t="s">
        <v>1199</v>
      </c>
      <c r="C3078" s="209" t="s">
        <v>2876</v>
      </c>
      <c r="D3078" s="216" t="s">
        <v>140</v>
      </c>
      <c r="E3078" s="273">
        <v>0</v>
      </c>
      <c r="F3078" s="274"/>
      <c r="G3078" s="274">
        <f t="shared" si="12"/>
        <v>0</v>
      </c>
      <c r="H3078" s="274">
        <v>0</v>
      </c>
      <c r="K3078" s="274"/>
    </row>
    <row r="3079" spans="2:11" ht="13.5" customHeight="1">
      <c r="B3079" s="209" t="s">
        <v>1199</v>
      </c>
      <c r="C3079" s="209" t="s">
        <v>2876</v>
      </c>
      <c r="D3079" s="453" t="s">
        <v>141</v>
      </c>
      <c r="E3079" s="273">
        <v>0</v>
      </c>
      <c r="F3079" s="274"/>
      <c r="G3079" s="274">
        <f t="shared" si="12"/>
        <v>0</v>
      </c>
      <c r="H3079" s="274">
        <v>0</v>
      </c>
      <c r="K3079" s="274"/>
    </row>
    <row r="3080" spans="2:11" ht="13.5" customHeight="1">
      <c r="B3080" s="209" t="s">
        <v>1193</v>
      </c>
      <c r="C3080" s="209" t="s">
        <v>2877</v>
      </c>
      <c r="D3080" s="446" t="s">
        <v>133</v>
      </c>
      <c r="E3080" s="273">
        <v>0</v>
      </c>
      <c r="F3080" s="274"/>
      <c r="G3080" s="274">
        <f t="shared" si="12"/>
        <v>0</v>
      </c>
      <c r="H3080" s="274">
        <v>0</v>
      </c>
      <c r="K3080" s="274"/>
    </row>
    <row r="3081" spans="2:11" ht="13.5" customHeight="1">
      <c r="B3081" s="209" t="s">
        <v>1193</v>
      </c>
      <c r="C3081" s="209" t="s">
        <v>2877</v>
      </c>
      <c r="D3081" s="447" t="s">
        <v>134</v>
      </c>
      <c r="E3081" s="273">
        <v>0</v>
      </c>
      <c r="F3081" s="274"/>
      <c r="G3081" s="274">
        <f t="shared" si="12"/>
        <v>0</v>
      </c>
      <c r="H3081" s="274">
        <v>0</v>
      </c>
      <c r="K3081" s="274"/>
    </row>
    <row r="3082" spans="2:11" ht="13.5" customHeight="1">
      <c r="B3082" s="209" t="s">
        <v>1193</v>
      </c>
      <c r="C3082" s="209" t="s">
        <v>2877</v>
      </c>
      <c r="D3082" s="448" t="s">
        <v>135</v>
      </c>
      <c r="E3082" s="273">
        <v>0</v>
      </c>
      <c r="F3082" s="274"/>
      <c r="G3082" s="274">
        <f t="shared" si="12"/>
        <v>0</v>
      </c>
      <c r="H3082" s="274">
        <v>0</v>
      </c>
      <c r="K3082" s="274"/>
    </row>
    <row r="3083" spans="2:11" ht="13.5" customHeight="1">
      <c r="B3083" s="209" t="s">
        <v>1193</v>
      </c>
      <c r="C3083" s="209" t="s">
        <v>2877</v>
      </c>
      <c r="D3083" s="449" t="s">
        <v>136</v>
      </c>
      <c r="E3083" s="273">
        <v>0</v>
      </c>
      <c r="F3083" s="274"/>
      <c r="G3083" s="274">
        <f t="shared" si="12"/>
        <v>0</v>
      </c>
      <c r="H3083" s="274">
        <v>0</v>
      </c>
      <c r="K3083" s="274"/>
    </row>
    <row r="3084" spans="2:11" ht="13.5" customHeight="1">
      <c r="B3084" s="209" t="s">
        <v>1193</v>
      </c>
      <c r="C3084" s="209" t="s">
        <v>2877</v>
      </c>
      <c r="D3084" s="450" t="s">
        <v>137</v>
      </c>
      <c r="E3084" s="273">
        <v>0</v>
      </c>
      <c r="F3084" s="274"/>
      <c r="G3084" s="274">
        <f t="shared" si="12"/>
        <v>0</v>
      </c>
      <c r="H3084" s="274">
        <v>0</v>
      </c>
      <c r="K3084" s="274"/>
    </row>
    <row r="3085" spans="2:11" ht="13.5" customHeight="1">
      <c r="B3085" s="209" t="s">
        <v>1193</v>
      </c>
      <c r="C3085" s="209" t="s">
        <v>2877</v>
      </c>
      <c r="D3085" s="451" t="s">
        <v>138</v>
      </c>
      <c r="E3085" s="273">
        <v>0</v>
      </c>
      <c r="F3085" s="274"/>
      <c r="G3085" s="274">
        <f t="shared" si="12"/>
        <v>0</v>
      </c>
      <c r="H3085" s="274">
        <v>0</v>
      </c>
      <c r="K3085" s="274"/>
    </row>
    <row r="3086" spans="2:11" ht="13.5" customHeight="1">
      <c r="B3086" s="209" t="s">
        <v>1193</v>
      </c>
      <c r="C3086" s="209" t="s">
        <v>2877</v>
      </c>
      <c r="D3086" s="452" t="s">
        <v>139</v>
      </c>
      <c r="E3086" s="273">
        <v>0</v>
      </c>
      <c r="F3086" s="274"/>
      <c r="G3086" s="274">
        <f t="shared" si="12"/>
        <v>0</v>
      </c>
      <c r="H3086" s="274">
        <v>0</v>
      </c>
      <c r="K3086" s="274"/>
    </row>
    <row r="3087" spans="2:11" ht="13.5" customHeight="1">
      <c r="B3087" s="209" t="s">
        <v>1193</v>
      </c>
      <c r="C3087" s="209" t="s">
        <v>2877</v>
      </c>
      <c r="D3087" s="216" t="s">
        <v>140</v>
      </c>
      <c r="E3087" s="273">
        <v>0</v>
      </c>
      <c r="F3087" s="274"/>
      <c r="G3087" s="274">
        <f t="shared" si="12"/>
        <v>0</v>
      </c>
      <c r="H3087" s="274">
        <v>0</v>
      </c>
      <c r="K3087" s="274"/>
    </row>
    <row r="3088" spans="2:11" ht="13.5" customHeight="1">
      <c r="B3088" s="209" t="s">
        <v>1193</v>
      </c>
      <c r="C3088" s="209" t="s">
        <v>2877</v>
      </c>
      <c r="D3088" s="453" t="s">
        <v>141</v>
      </c>
      <c r="E3088" s="273">
        <v>0</v>
      </c>
      <c r="F3088" s="274"/>
      <c r="G3088" s="274">
        <f t="shared" si="12"/>
        <v>0</v>
      </c>
      <c r="H3088" s="274">
        <v>0</v>
      </c>
      <c r="K3088" s="274"/>
    </row>
    <row r="3089" spans="2:11" ht="13.5" customHeight="1">
      <c r="B3089" s="209" t="s">
        <v>1187</v>
      </c>
      <c r="C3089" s="209" t="s">
        <v>2878</v>
      </c>
      <c r="D3089" s="446" t="s">
        <v>133</v>
      </c>
      <c r="E3089" s="273">
        <v>0</v>
      </c>
      <c r="F3089" s="274"/>
      <c r="G3089" s="274">
        <f t="shared" si="12"/>
        <v>0</v>
      </c>
      <c r="H3089" s="274">
        <v>0</v>
      </c>
      <c r="K3089" s="274"/>
    </row>
    <row r="3090" spans="2:11" ht="13.5" customHeight="1">
      <c r="B3090" s="209" t="s">
        <v>1187</v>
      </c>
      <c r="C3090" s="209" t="s">
        <v>2878</v>
      </c>
      <c r="D3090" s="447" t="s">
        <v>134</v>
      </c>
      <c r="E3090" s="273">
        <v>0</v>
      </c>
      <c r="F3090" s="274"/>
      <c r="G3090" s="274">
        <f t="shared" si="12"/>
        <v>0</v>
      </c>
      <c r="H3090" s="274">
        <v>0</v>
      </c>
      <c r="K3090" s="274"/>
    </row>
    <row r="3091" spans="2:11" ht="13.5" customHeight="1">
      <c r="B3091" s="209" t="s">
        <v>1187</v>
      </c>
      <c r="C3091" s="209" t="s">
        <v>2878</v>
      </c>
      <c r="D3091" s="448" t="s">
        <v>135</v>
      </c>
      <c r="E3091" s="273">
        <v>0</v>
      </c>
      <c r="F3091" s="274"/>
      <c r="G3091" s="274">
        <f t="shared" si="12"/>
        <v>0</v>
      </c>
      <c r="H3091" s="274">
        <v>0</v>
      </c>
      <c r="K3091" s="274"/>
    </row>
    <row r="3092" spans="2:11" ht="13.5" customHeight="1">
      <c r="B3092" s="209" t="s">
        <v>1187</v>
      </c>
      <c r="C3092" s="209" t="s">
        <v>2878</v>
      </c>
      <c r="D3092" s="449" t="s">
        <v>136</v>
      </c>
      <c r="E3092" s="273">
        <v>0</v>
      </c>
      <c r="F3092" s="274"/>
      <c r="G3092" s="274">
        <f t="shared" si="12"/>
        <v>0</v>
      </c>
      <c r="H3092" s="274">
        <v>0</v>
      </c>
      <c r="K3092" s="274"/>
    </row>
    <row r="3093" spans="2:11" ht="13.5" customHeight="1">
      <c r="B3093" s="209" t="s">
        <v>1187</v>
      </c>
      <c r="C3093" s="209" t="s">
        <v>2878</v>
      </c>
      <c r="D3093" s="450" t="s">
        <v>137</v>
      </c>
      <c r="E3093" s="273">
        <v>0</v>
      </c>
      <c r="F3093" s="274"/>
      <c r="G3093" s="274">
        <f t="shared" si="12"/>
        <v>0</v>
      </c>
      <c r="H3093" s="274">
        <v>0</v>
      </c>
      <c r="K3093" s="274"/>
    </row>
    <row r="3094" spans="2:11" ht="13.5" customHeight="1">
      <c r="B3094" s="209" t="s">
        <v>1187</v>
      </c>
      <c r="C3094" s="209" t="s">
        <v>2878</v>
      </c>
      <c r="D3094" s="451" t="s">
        <v>138</v>
      </c>
      <c r="E3094" s="273">
        <v>0</v>
      </c>
      <c r="F3094" s="274"/>
      <c r="G3094" s="274">
        <f t="shared" si="12"/>
        <v>0</v>
      </c>
      <c r="H3094" s="274">
        <v>0</v>
      </c>
      <c r="K3094" s="274"/>
    </row>
    <row r="3095" spans="2:11" ht="13.5" customHeight="1">
      <c r="B3095" s="209" t="s">
        <v>1187</v>
      </c>
      <c r="C3095" s="209" t="s">
        <v>2878</v>
      </c>
      <c r="D3095" s="452" t="s">
        <v>139</v>
      </c>
      <c r="E3095" s="273">
        <v>0</v>
      </c>
      <c r="F3095" s="274"/>
      <c r="G3095" s="274">
        <f t="shared" si="12"/>
        <v>0</v>
      </c>
      <c r="H3095" s="274">
        <v>0</v>
      </c>
      <c r="K3095" s="274"/>
    </row>
    <row r="3096" spans="2:11" ht="13.5" customHeight="1">
      <c r="B3096" s="209" t="s">
        <v>1187</v>
      </c>
      <c r="C3096" s="209" t="s">
        <v>2878</v>
      </c>
      <c r="D3096" s="216" t="s">
        <v>140</v>
      </c>
      <c r="E3096" s="273">
        <v>0</v>
      </c>
      <c r="F3096" s="274"/>
      <c r="G3096" s="274">
        <f t="shared" si="12"/>
        <v>0</v>
      </c>
      <c r="H3096" s="274">
        <v>0</v>
      </c>
      <c r="K3096" s="274"/>
    </row>
    <row r="3097" spans="2:11" ht="13.5" customHeight="1">
      <c r="B3097" s="209" t="s">
        <v>1187</v>
      </c>
      <c r="C3097" s="209" t="s">
        <v>2878</v>
      </c>
      <c r="D3097" s="453" t="s">
        <v>141</v>
      </c>
      <c r="E3097" s="273">
        <v>0</v>
      </c>
      <c r="F3097" s="274"/>
      <c r="G3097" s="274">
        <f t="shared" si="12"/>
        <v>0</v>
      </c>
      <c r="H3097" s="274">
        <v>0</v>
      </c>
      <c r="K3097" s="274"/>
    </row>
    <row r="3098" spans="2:11" ht="13.5" customHeight="1">
      <c r="B3098" s="209" t="s">
        <v>1189</v>
      </c>
      <c r="C3098" s="209" t="s">
        <v>2879</v>
      </c>
      <c r="D3098" s="446" t="s">
        <v>133</v>
      </c>
      <c r="E3098" s="273">
        <v>0</v>
      </c>
      <c r="F3098" s="274"/>
      <c r="G3098" s="274">
        <f t="shared" si="12"/>
        <v>0</v>
      </c>
      <c r="H3098" s="274">
        <v>0</v>
      </c>
      <c r="K3098" s="274"/>
    </row>
    <row r="3099" spans="2:11" ht="13.5" customHeight="1">
      <c r="B3099" s="209" t="s">
        <v>1189</v>
      </c>
      <c r="C3099" s="209" t="s">
        <v>2879</v>
      </c>
      <c r="D3099" s="447" t="s">
        <v>134</v>
      </c>
      <c r="E3099" s="273">
        <v>0</v>
      </c>
      <c r="F3099" s="274"/>
      <c r="G3099" s="274">
        <f t="shared" si="12"/>
        <v>0</v>
      </c>
      <c r="H3099" s="274">
        <v>0</v>
      </c>
      <c r="K3099" s="274"/>
    </row>
    <row r="3100" spans="2:11" ht="13.5" customHeight="1">
      <c r="B3100" s="209" t="s">
        <v>1189</v>
      </c>
      <c r="C3100" s="209" t="s">
        <v>2879</v>
      </c>
      <c r="D3100" s="448" t="s">
        <v>135</v>
      </c>
      <c r="E3100" s="273">
        <v>0</v>
      </c>
      <c r="F3100" s="274"/>
      <c r="G3100" s="274">
        <f t="shared" si="12"/>
        <v>0</v>
      </c>
      <c r="H3100" s="274">
        <v>0</v>
      </c>
      <c r="K3100" s="274"/>
    </row>
    <row r="3101" spans="2:11" ht="13.5" customHeight="1">
      <c r="B3101" s="209" t="s">
        <v>1189</v>
      </c>
      <c r="C3101" s="209" t="s">
        <v>2879</v>
      </c>
      <c r="D3101" s="449" t="s">
        <v>136</v>
      </c>
      <c r="E3101" s="273">
        <v>0</v>
      </c>
      <c r="F3101" s="274"/>
      <c r="G3101" s="274">
        <f t="shared" si="12"/>
        <v>0</v>
      </c>
      <c r="H3101" s="274">
        <v>0</v>
      </c>
      <c r="K3101" s="274"/>
    </row>
    <row r="3102" spans="2:11" ht="13.5" customHeight="1">
      <c r="B3102" s="209" t="s">
        <v>1189</v>
      </c>
      <c r="C3102" s="209" t="s">
        <v>2879</v>
      </c>
      <c r="D3102" s="450" t="s">
        <v>137</v>
      </c>
      <c r="E3102" s="273">
        <v>0</v>
      </c>
      <c r="F3102" s="274"/>
      <c r="G3102" s="274">
        <f t="shared" si="12"/>
        <v>0</v>
      </c>
      <c r="H3102" s="274">
        <v>0</v>
      </c>
      <c r="K3102" s="274"/>
    </row>
    <row r="3103" spans="2:11" ht="13.5" customHeight="1">
      <c r="B3103" s="209" t="s">
        <v>1189</v>
      </c>
      <c r="C3103" s="209" t="s">
        <v>2879</v>
      </c>
      <c r="D3103" s="451" t="s">
        <v>138</v>
      </c>
      <c r="E3103" s="273">
        <v>0</v>
      </c>
      <c r="F3103" s="274"/>
      <c r="G3103" s="274">
        <f t="shared" si="12"/>
        <v>0</v>
      </c>
      <c r="H3103" s="274">
        <v>0</v>
      </c>
      <c r="K3103" s="274"/>
    </row>
    <row r="3104" spans="2:11" ht="13.5" customHeight="1">
      <c r="B3104" s="209" t="s">
        <v>1189</v>
      </c>
      <c r="C3104" s="209" t="s">
        <v>2879</v>
      </c>
      <c r="D3104" s="452" t="s">
        <v>139</v>
      </c>
      <c r="E3104" s="273">
        <v>0</v>
      </c>
      <c r="F3104" s="274"/>
      <c r="G3104" s="274">
        <f t="shared" si="12"/>
        <v>0</v>
      </c>
      <c r="H3104" s="274">
        <v>0</v>
      </c>
      <c r="K3104" s="274"/>
    </row>
    <row r="3105" spans="2:11" ht="13.5" customHeight="1">
      <c r="B3105" s="209" t="s">
        <v>1189</v>
      </c>
      <c r="C3105" s="209" t="s">
        <v>2879</v>
      </c>
      <c r="D3105" s="216" t="s">
        <v>140</v>
      </c>
      <c r="E3105" s="273">
        <v>0</v>
      </c>
      <c r="F3105" s="274"/>
      <c r="G3105" s="274">
        <f t="shared" si="12"/>
        <v>0</v>
      </c>
      <c r="H3105" s="274">
        <v>0</v>
      </c>
      <c r="K3105" s="274"/>
    </row>
    <row r="3106" spans="2:11" ht="13.5" customHeight="1">
      <c r="B3106" s="209" t="s">
        <v>1189</v>
      </c>
      <c r="C3106" s="209" t="s">
        <v>2879</v>
      </c>
      <c r="D3106" s="453" t="s">
        <v>141</v>
      </c>
      <c r="E3106" s="273">
        <v>0</v>
      </c>
      <c r="F3106" s="274"/>
      <c r="G3106" s="274">
        <f t="shared" si="12"/>
        <v>0</v>
      </c>
      <c r="H3106" s="274">
        <v>0</v>
      </c>
      <c r="K3106" s="274"/>
    </row>
    <row r="3107" spans="2:11" ht="13.5" customHeight="1">
      <c r="B3107" s="209" t="s">
        <v>1205</v>
      </c>
      <c r="C3107" s="209" t="s">
        <v>2880</v>
      </c>
      <c r="D3107" s="446" t="s">
        <v>133</v>
      </c>
      <c r="E3107" s="273">
        <v>0</v>
      </c>
      <c r="F3107" s="274"/>
      <c r="G3107" s="274">
        <f t="shared" si="12"/>
        <v>0</v>
      </c>
      <c r="H3107" s="274">
        <v>0</v>
      </c>
      <c r="K3107" s="274"/>
    </row>
    <row r="3108" spans="2:11" ht="13.5" customHeight="1">
      <c r="B3108" s="209" t="s">
        <v>1205</v>
      </c>
      <c r="C3108" s="209" t="s">
        <v>2880</v>
      </c>
      <c r="D3108" s="447" t="s">
        <v>134</v>
      </c>
      <c r="E3108" s="273">
        <v>0</v>
      </c>
      <c r="F3108" s="274"/>
      <c r="G3108" s="274">
        <f t="shared" si="12"/>
        <v>0</v>
      </c>
      <c r="H3108" s="274">
        <v>0</v>
      </c>
      <c r="K3108" s="274"/>
    </row>
    <row r="3109" spans="2:11" ht="13.5" customHeight="1">
      <c r="B3109" s="209" t="s">
        <v>1205</v>
      </c>
      <c r="C3109" s="209" t="s">
        <v>2880</v>
      </c>
      <c r="D3109" s="448" t="s">
        <v>135</v>
      </c>
      <c r="E3109" s="273">
        <v>0</v>
      </c>
      <c r="F3109" s="274"/>
      <c r="G3109" s="274">
        <f t="shared" si="12"/>
        <v>0</v>
      </c>
      <c r="H3109" s="274">
        <v>0</v>
      </c>
      <c r="K3109" s="274"/>
    </row>
    <row r="3110" spans="2:11" ht="13.5" customHeight="1">
      <c r="B3110" s="209" t="s">
        <v>1205</v>
      </c>
      <c r="C3110" s="209" t="s">
        <v>2880</v>
      </c>
      <c r="D3110" s="449" t="s">
        <v>136</v>
      </c>
      <c r="E3110" s="273">
        <v>0</v>
      </c>
      <c r="F3110" s="274"/>
      <c r="G3110" s="274">
        <f t="shared" si="12"/>
        <v>0</v>
      </c>
      <c r="H3110" s="274">
        <v>0</v>
      </c>
      <c r="K3110" s="274"/>
    </row>
    <row r="3111" spans="2:11" ht="13.5" customHeight="1">
      <c r="B3111" s="209" t="s">
        <v>1205</v>
      </c>
      <c r="C3111" s="209" t="s">
        <v>2880</v>
      </c>
      <c r="D3111" s="450" t="s">
        <v>137</v>
      </c>
      <c r="E3111" s="273">
        <v>0</v>
      </c>
      <c r="F3111" s="274"/>
      <c r="G3111" s="274">
        <f t="shared" si="12"/>
        <v>0</v>
      </c>
      <c r="H3111" s="274">
        <v>0</v>
      </c>
      <c r="K3111" s="274"/>
    </row>
    <row r="3112" spans="2:11" ht="13.5" customHeight="1">
      <c r="B3112" s="209" t="s">
        <v>1205</v>
      </c>
      <c r="C3112" s="209" t="s">
        <v>2880</v>
      </c>
      <c r="D3112" s="451" t="s">
        <v>138</v>
      </c>
      <c r="E3112" s="273">
        <v>0</v>
      </c>
      <c r="F3112" s="274"/>
      <c r="G3112" s="274">
        <f t="shared" si="12"/>
        <v>0</v>
      </c>
      <c r="H3112" s="274">
        <v>0</v>
      </c>
      <c r="K3112" s="274"/>
    </row>
    <row r="3113" spans="2:11" ht="13.5" customHeight="1">
      <c r="B3113" s="209" t="s">
        <v>1205</v>
      </c>
      <c r="C3113" s="209" t="s">
        <v>2880</v>
      </c>
      <c r="D3113" s="452" t="s">
        <v>139</v>
      </c>
      <c r="E3113" s="273">
        <v>0</v>
      </c>
      <c r="F3113" s="274"/>
      <c r="G3113" s="274">
        <f t="shared" si="12"/>
        <v>0</v>
      </c>
      <c r="H3113" s="274">
        <v>0</v>
      </c>
      <c r="K3113" s="274"/>
    </row>
    <row r="3114" spans="2:11" ht="13.5" customHeight="1">
      <c r="B3114" s="209" t="s">
        <v>1205</v>
      </c>
      <c r="C3114" s="209" t="s">
        <v>2880</v>
      </c>
      <c r="D3114" s="216" t="s">
        <v>140</v>
      </c>
      <c r="E3114" s="273">
        <v>0</v>
      </c>
      <c r="F3114" s="274"/>
      <c r="G3114" s="274">
        <f t="shared" si="12"/>
        <v>0</v>
      </c>
      <c r="H3114" s="274">
        <v>0</v>
      </c>
      <c r="K3114" s="274"/>
    </row>
    <row r="3115" spans="2:11" ht="13.5" customHeight="1">
      <c r="B3115" s="209" t="s">
        <v>1205</v>
      </c>
      <c r="C3115" s="209" t="s">
        <v>2880</v>
      </c>
      <c r="D3115" s="453" t="s">
        <v>141</v>
      </c>
      <c r="E3115" s="273">
        <v>0</v>
      </c>
      <c r="F3115" s="274"/>
      <c r="G3115" s="274">
        <f t="shared" si="12"/>
        <v>0</v>
      </c>
      <c r="H3115" s="274">
        <v>0</v>
      </c>
      <c r="K3115" s="274"/>
    </row>
    <row r="3116" spans="2:11" ht="13.5" customHeight="1">
      <c r="B3116" s="209" t="s">
        <v>1207</v>
      </c>
      <c r="C3116" s="209" t="s">
        <v>2881</v>
      </c>
      <c r="D3116" s="446" t="s">
        <v>133</v>
      </c>
      <c r="E3116" s="273">
        <v>0</v>
      </c>
      <c r="F3116" s="274"/>
      <c r="G3116" s="274">
        <f t="shared" si="12"/>
        <v>0</v>
      </c>
      <c r="H3116" s="274">
        <v>0</v>
      </c>
      <c r="K3116" s="274"/>
    </row>
    <row r="3117" spans="2:11" ht="13.5" customHeight="1">
      <c r="B3117" s="209" t="s">
        <v>1207</v>
      </c>
      <c r="C3117" s="209" t="s">
        <v>2881</v>
      </c>
      <c r="D3117" s="447" t="s">
        <v>134</v>
      </c>
      <c r="E3117" s="273">
        <v>0</v>
      </c>
      <c r="F3117" s="274"/>
      <c r="G3117" s="274">
        <f t="shared" si="12"/>
        <v>0</v>
      </c>
      <c r="H3117" s="274">
        <v>0</v>
      </c>
      <c r="K3117" s="274"/>
    </row>
    <row r="3118" spans="2:11" ht="13.5" customHeight="1">
      <c r="B3118" s="209" t="s">
        <v>1207</v>
      </c>
      <c r="C3118" s="209" t="s">
        <v>2881</v>
      </c>
      <c r="D3118" s="448" t="s">
        <v>135</v>
      </c>
      <c r="E3118" s="273">
        <v>0</v>
      </c>
      <c r="F3118" s="274"/>
      <c r="G3118" s="274">
        <f t="shared" si="12"/>
        <v>0</v>
      </c>
      <c r="H3118" s="274">
        <v>0</v>
      </c>
      <c r="K3118" s="274"/>
    </row>
    <row r="3119" spans="2:11" ht="13.5" customHeight="1">
      <c r="B3119" s="209" t="s">
        <v>1207</v>
      </c>
      <c r="C3119" s="209" t="s">
        <v>2881</v>
      </c>
      <c r="D3119" s="449" t="s">
        <v>136</v>
      </c>
      <c r="E3119" s="273">
        <v>0</v>
      </c>
      <c r="F3119" s="274"/>
      <c r="G3119" s="274">
        <f t="shared" si="12"/>
        <v>0</v>
      </c>
      <c r="H3119" s="274">
        <v>0</v>
      </c>
      <c r="K3119" s="274"/>
    </row>
    <row r="3120" spans="2:11" ht="13.5" customHeight="1">
      <c r="B3120" s="209" t="s">
        <v>1207</v>
      </c>
      <c r="C3120" s="209" t="s">
        <v>2881</v>
      </c>
      <c r="D3120" s="450" t="s">
        <v>137</v>
      </c>
      <c r="E3120" s="273">
        <v>0</v>
      </c>
      <c r="F3120" s="274"/>
      <c r="G3120" s="274">
        <f t="shared" si="12"/>
        <v>0</v>
      </c>
      <c r="H3120" s="274">
        <v>0</v>
      </c>
      <c r="K3120" s="274"/>
    </row>
    <row r="3121" spans="2:11" ht="13.5" customHeight="1">
      <c r="B3121" s="209" t="s">
        <v>1207</v>
      </c>
      <c r="C3121" s="209" t="s">
        <v>2881</v>
      </c>
      <c r="D3121" s="451" t="s">
        <v>138</v>
      </c>
      <c r="E3121" s="273">
        <v>0</v>
      </c>
      <c r="F3121" s="274"/>
      <c r="G3121" s="274">
        <f t="shared" si="12"/>
        <v>0</v>
      </c>
      <c r="H3121" s="274">
        <v>0</v>
      </c>
      <c r="K3121" s="274"/>
    </row>
    <row r="3122" spans="2:11" ht="13.5" customHeight="1">
      <c r="B3122" s="209" t="s">
        <v>1207</v>
      </c>
      <c r="C3122" s="209" t="s">
        <v>2881</v>
      </c>
      <c r="D3122" s="452" t="s">
        <v>139</v>
      </c>
      <c r="E3122" s="273">
        <v>0</v>
      </c>
      <c r="F3122" s="274"/>
      <c r="G3122" s="274">
        <f t="shared" si="12"/>
        <v>0</v>
      </c>
      <c r="H3122" s="274">
        <v>0</v>
      </c>
      <c r="K3122" s="274"/>
    </row>
    <row r="3123" spans="2:11" ht="13.5" customHeight="1">
      <c r="B3123" s="209" t="s">
        <v>1207</v>
      </c>
      <c r="C3123" s="209" t="s">
        <v>2881</v>
      </c>
      <c r="D3123" s="216" t="s">
        <v>140</v>
      </c>
      <c r="E3123" s="273">
        <v>0</v>
      </c>
      <c r="F3123" s="274"/>
      <c r="G3123" s="274">
        <f t="shared" si="12"/>
        <v>0</v>
      </c>
      <c r="H3123" s="274">
        <v>0</v>
      </c>
      <c r="K3123" s="274"/>
    </row>
    <row r="3124" spans="2:11" ht="13.5" customHeight="1">
      <c r="B3124" s="209" t="s">
        <v>1207</v>
      </c>
      <c r="C3124" s="209" t="s">
        <v>2881</v>
      </c>
      <c r="D3124" s="453" t="s">
        <v>141</v>
      </c>
      <c r="E3124" s="273">
        <v>0</v>
      </c>
      <c r="F3124" s="274"/>
      <c r="G3124" s="274">
        <f t="shared" si="12"/>
        <v>0</v>
      </c>
      <c r="H3124" s="274">
        <v>0</v>
      </c>
      <c r="K3124" s="274"/>
    </row>
    <row r="3125" spans="2:11" ht="13.5" customHeight="1">
      <c r="B3125" s="209" t="s">
        <v>1195</v>
      </c>
      <c r="C3125" s="209" t="s">
        <v>2882</v>
      </c>
      <c r="D3125" s="446" t="s">
        <v>133</v>
      </c>
      <c r="E3125" s="273">
        <v>0</v>
      </c>
      <c r="F3125" s="274"/>
      <c r="G3125" s="274">
        <f t="shared" si="12"/>
        <v>0</v>
      </c>
      <c r="H3125" s="274">
        <v>0</v>
      </c>
      <c r="K3125" s="274"/>
    </row>
    <row r="3126" spans="2:11" ht="13.5" customHeight="1">
      <c r="B3126" s="209" t="s">
        <v>1195</v>
      </c>
      <c r="C3126" s="209" t="s">
        <v>2882</v>
      </c>
      <c r="D3126" s="447" t="s">
        <v>134</v>
      </c>
      <c r="E3126" s="273">
        <v>0</v>
      </c>
      <c r="F3126" s="274"/>
      <c r="G3126" s="274">
        <f t="shared" si="12"/>
        <v>0</v>
      </c>
      <c r="H3126" s="274">
        <v>0</v>
      </c>
      <c r="K3126" s="274"/>
    </row>
    <row r="3127" spans="2:11" ht="13.5" customHeight="1">
      <c r="B3127" s="209" t="s">
        <v>1195</v>
      </c>
      <c r="C3127" s="209" t="s">
        <v>2882</v>
      </c>
      <c r="D3127" s="448" t="s">
        <v>135</v>
      </c>
      <c r="E3127" s="273">
        <v>0</v>
      </c>
      <c r="F3127" s="274"/>
      <c r="G3127" s="274">
        <f t="shared" si="12"/>
        <v>0</v>
      </c>
      <c r="H3127" s="274">
        <v>0</v>
      </c>
      <c r="K3127" s="274"/>
    </row>
    <row r="3128" spans="2:11" ht="13.5" customHeight="1">
      <c r="B3128" s="209" t="s">
        <v>1195</v>
      </c>
      <c r="C3128" s="209" t="s">
        <v>2882</v>
      </c>
      <c r="D3128" s="449" t="s">
        <v>136</v>
      </c>
      <c r="E3128" s="273">
        <v>0</v>
      </c>
      <c r="F3128" s="274"/>
      <c r="G3128" s="274">
        <f t="shared" si="12"/>
        <v>0</v>
      </c>
      <c r="H3128" s="274">
        <v>0</v>
      </c>
      <c r="K3128" s="274"/>
    </row>
    <row r="3129" spans="2:11" ht="13.5" customHeight="1">
      <c r="B3129" s="209" t="s">
        <v>1195</v>
      </c>
      <c r="C3129" s="209" t="s">
        <v>2882</v>
      </c>
      <c r="D3129" s="450" t="s">
        <v>137</v>
      </c>
      <c r="E3129" s="273">
        <v>0</v>
      </c>
      <c r="F3129" s="274"/>
      <c r="G3129" s="274">
        <f t="shared" si="12"/>
        <v>0</v>
      </c>
      <c r="H3129" s="274">
        <v>0</v>
      </c>
      <c r="K3129" s="274"/>
    </row>
    <row r="3130" spans="2:11" ht="13.5" customHeight="1">
      <c r="B3130" s="209" t="s">
        <v>1195</v>
      </c>
      <c r="C3130" s="209" t="s">
        <v>2882</v>
      </c>
      <c r="D3130" s="451" t="s">
        <v>138</v>
      </c>
      <c r="E3130" s="273">
        <v>0</v>
      </c>
      <c r="F3130" s="274"/>
      <c r="G3130" s="274">
        <f t="shared" si="12"/>
        <v>0</v>
      </c>
      <c r="H3130" s="274">
        <v>0</v>
      </c>
      <c r="K3130" s="274"/>
    </row>
    <row r="3131" spans="2:11" ht="13.5" customHeight="1">
      <c r="B3131" s="209" t="s">
        <v>1195</v>
      </c>
      <c r="C3131" s="209" t="s">
        <v>2882</v>
      </c>
      <c r="D3131" s="452" t="s">
        <v>139</v>
      </c>
      <c r="E3131" s="273">
        <v>0</v>
      </c>
      <c r="F3131" s="274"/>
      <c r="G3131" s="274">
        <f t="shared" si="12"/>
        <v>0</v>
      </c>
      <c r="H3131" s="274">
        <v>0</v>
      </c>
      <c r="K3131" s="274"/>
    </row>
    <row r="3132" spans="2:11" ht="13.5" customHeight="1">
      <c r="B3132" s="209" t="s">
        <v>1195</v>
      </c>
      <c r="C3132" s="209" t="s">
        <v>2882</v>
      </c>
      <c r="D3132" s="216" t="s">
        <v>140</v>
      </c>
      <c r="E3132" s="273">
        <v>0</v>
      </c>
      <c r="F3132" s="274"/>
      <c r="G3132" s="274">
        <f t="shared" si="12"/>
        <v>0</v>
      </c>
      <c r="H3132" s="274">
        <v>0</v>
      </c>
      <c r="K3132" s="274"/>
    </row>
    <row r="3133" spans="2:11" ht="13.5" customHeight="1">
      <c r="B3133" s="209" t="s">
        <v>1195</v>
      </c>
      <c r="C3133" s="209" t="s">
        <v>2882</v>
      </c>
      <c r="D3133" s="453" t="s">
        <v>141</v>
      </c>
      <c r="E3133" s="273">
        <v>0</v>
      </c>
      <c r="F3133" s="274"/>
      <c r="G3133" s="274">
        <f t="shared" si="12"/>
        <v>0</v>
      </c>
      <c r="H3133" s="274">
        <v>0</v>
      </c>
      <c r="K3133" s="274"/>
    </row>
    <row r="3134" spans="2:11" ht="13.5" customHeight="1">
      <c r="B3134" s="209" t="s">
        <v>1197</v>
      </c>
      <c r="C3134" s="209" t="s">
        <v>2883</v>
      </c>
      <c r="D3134" s="446" t="s">
        <v>133</v>
      </c>
      <c r="E3134" s="273">
        <v>0</v>
      </c>
      <c r="F3134" s="274"/>
      <c r="G3134" s="274">
        <f t="shared" si="12"/>
        <v>0</v>
      </c>
      <c r="H3134" s="274">
        <v>0</v>
      </c>
      <c r="K3134" s="274"/>
    </row>
    <row r="3135" spans="2:11" ht="13.5" customHeight="1">
      <c r="B3135" s="209" t="s">
        <v>1197</v>
      </c>
      <c r="C3135" s="209" t="s">
        <v>2883</v>
      </c>
      <c r="D3135" s="447" t="s">
        <v>134</v>
      </c>
      <c r="E3135" s="273">
        <v>0</v>
      </c>
      <c r="F3135" s="274"/>
      <c r="G3135" s="274">
        <f t="shared" si="12"/>
        <v>0</v>
      </c>
      <c r="H3135" s="274">
        <v>0</v>
      </c>
      <c r="K3135" s="274"/>
    </row>
    <row r="3136" spans="2:11" ht="13.5" customHeight="1">
      <c r="B3136" s="209" t="s">
        <v>1197</v>
      </c>
      <c r="C3136" s="209" t="s">
        <v>2883</v>
      </c>
      <c r="D3136" s="448" t="s">
        <v>135</v>
      </c>
      <c r="E3136" s="273">
        <v>0</v>
      </c>
      <c r="F3136" s="274"/>
      <c r="G3136" s="274">
        <f t="shared" si="12"/>
        <v>0</v>
      </c>
      <c r="H3136" s="274">
        <v>0</v>
      </c>
      <c r="K3136" s="274"/>
    </row>
    <row r="3137" spans="2:11" ht="13.5" customHeight="1">
      <c r="B3137" s="209" t="s">
        <v>1197</v>
      </c>
      <c r="C3137" s="209" t="s">
        <v>2883</v>
      </c>
      <c r="D3137" s="449" t="s">
        <v>136</v>
      </c>
      <c r="E3137" s="273">
        <v>0</v>
      </c>
      <c r="F3137" s="274"/>
      <c r="G3137" s="274">
        <f t="shared" si="12"/>
        <v>0</v>
      </c>
      <c r="H3137" s="274">
        <v>0</v>
      </c>
      <c r="K3137" s="274"/>
    </row>
    <row r="3138" spans="2:11" ht="13.5" customHeight="1">
      <c r="B3138" s="209" t="s">
        <v>1197</v>
      </c>
      <c r="C3138" s="209" t="s">
        <v>2883</v>
      </c>
      <c r="D3138" s="450" t="s">
        <v>137</v>
      </c>
      <c r="E3138" s="273">
        <v>0</v>
      </c>
      <c r="F3138" s="274"/>
      <c r="G3138" s="274">
        <f t="shared" si="12"/>
        <v>0</v>
      </c>
      <c r="H3138" s="274">
        <v>0</v>
      </c>
      <c r="K3138" s="274"/>
    </row>
    <row r="3139" spans="2:11" ht="13.5" customHeight="1">
      <c r="B3139" s="209" t="s">
        <v>1197</v>
      </c>
      <c r="C3139" s="209" t="s">
        <v>2883</v>
      </c>
      <c r="D3139" s="451" t="s">
        <v>138</v>
      </c>
      <c r="E3139" s="273">
        <v>0</v>
      </c>
      <c r="F3139" s="274"/>
      <c r="G3139" s="274">
        <f t="shared" si="12"/>
        <v>0</v>
      </c>
      <c r="H3139" s="274">
        <v>0</v>
      </c>
      <c r="K3139" s="274"/>
    </row>
    <row r="3140" spans="2:11" ht="13.5" customHeight="1">
      <c r="B3140" s="209" t="s">
        <v>1197</v>
      </c>
      <c r="C3140" s="209" t="s">
        <v>2883</v>
      </c>
      <c r="D3140" s="452" t="s">
        <v>139</v>
      </c>
      <c r="E3140" s="273">
        <v>0</v>
      </c>
      <c r="F3140" s="274"/>
      <c r="G3140" s="274">
        <f t="shared" si="12"/>
        <v>0</v>
      </c>
      <c r="H3140" s="274">
        <v>0</v>
      </c>
      <c r="K3140" s="274"/>
    </row>
    <row r="3141" spans="2:11" ht="13.5" customHeight="1">
      <c r="B3141" s="209" t="s">
        <v>1197</v>
      </c>
      <c r="C3141" s="209" t="s">
        <v>2883</v>
      </c>
      <c r="D3141" s="216" t="s">
        <v>140</v>
      </c>
      <c r="E3141" s="273">
        <v>0</v>
      </c>
      <c r="F3141" s="274"/>
      <c r="G3141" s="274">
        <f t="shared" si="12"/>
        <v>0</v>
      </c>
      <c r="H3141" s="274">
        <v>0</v>
      </c>
      <c r="K3141" s="274"/>
    </row>
    <row r="3142" spans="2:11" ht="13.5" customHeight="1">
      <c r="B3142" s="209" t="s">
        <v>1197</v>
      </c>
      <c r="C3142" s="209" t="s">
        <v>2883</v>
      </c>
      <c r="D3142" s="453" t="s">
        <v>141</v>
      </c>
      <c r="E3142" s="273">
        <v>0</v>
      </c>
      <c r="F3142" s="274"/>
      <c r="G3142" s="274">
        <f t="shared" si="12"/>
        <v>0</v>
      </c>
      <c r="H3142" s="274">
        <v>0</v>
      </c>
      <c r="K3142" s="274"/>
    </row>
    <row r="3143" spans="2:11" ht="13.5" customHeight="1">
      <c r="B3143" s="209" t="s">
        <v>1191</v>
      </c>
      <c r="C3143" s="209" t="s">
        <v>2884</v>
      </c>
      <c r="D3143" s="446" t="s">
        <v>133</v>
      </c>
      <c r="E3143" s="273">
        <v>0</v>
      </c>
      <c r="F3143" s="274"/>
      <c r="G3143" s="274">
        <f t="shared" si="12"/>
        <v>0</v>
      </c>
      <c r="H3143" s="274">
        <v>0</v>
      </c>
      <c r="K3143" s="274"/>
    </row>
    <row r="3144" spans="2:11" ht="13.5" customHeight="1">
      <c r="B3144" s="209" t="s">
        <v>1191</v>
      </c>
      <c r="C3144" s="209" t="s">
        <v>2884</v>
      </c>
      <c r="D3144" s="447" t="s">
        <v>134</v>
      </c>
      <c r="E3144" s="273">
        <v>0</v>
      </c>
      <c r="F3144" s="274"/>
      <c r="G3144" s="274">
        <f t="shared" si="12"/>
        <v>0</v>
      </c>
      <c r="H3144" s="274">
        <v>0</v>
      </c>
      <c r="K3144" s="274"/>
    </row>
    <row r="3145" spans="2:11" ht="13.5" customHeight="1">
      <c r="B3145" s="209" t="s">
        <v>1191</v>
      </c>
      <c r="C3145" s="209" t="s">
        <v>2884</v>
      </c>
      <c r="D3145" s="448" t="s">
        <v>135</v>
      </c>
      <c r="E3145" s="273">
        <v>0</v>
      </c>
      <c r="F3145" s="274"/>
      <c r="G3145" s="274">
        <f t="shared" si="12"/>
        <v>0</v>
      </c>
      <c r="H3145" s="274">
        <v>0</v>
      </c>
      <c r="K3145" s="274"/>
    </row>
    <row r="3146" spans="2:11" ht="13.5" customHeight="1">
      <c r="B3146" s="209" t="s">
        <v>1191</v>
      </c>
      <c r="C3146" s="209" t="s">
        <v>2884</v>
      </c>
      <c r="D3146" s="449" t="s">
        <v>136</v>
      </c>
      <c r="E3146" s="273">
        <v>0</v>
      </c>
      <c r="F3146" s="274"/>
      <c r="G3146" s="274">
        <f t="shared" si="12"/>
        <v>0</v>
      </c>
      <c r="H3146" s="274">
        <v>0</v>
      </c>
      <c r="K3146" s="274"/>
    </row>
    <row r="3147" spans="2:11" ht="13.5" customHeight="1">
      <c r="B3147" s="209" t="s">
        <v>1191</v>
      </c>
      <c r="C3147" s="209" t="s">
        <v>2884</v>
      </c>
      <c r="D3147" s="450" t="s">
        <v>137</v>
      </c>
      <c r="E3147" s="273">
        <v>0</v>
      </c>
      <c r="F3147" s="274"/>
      <c r="G3147" s="274">
        <f t="shared" si="12"/>
        <v>0</v>
      </c>
      <c r="H3147" s="274">
        <v>0</v>
      </c>
      <c r="K3147" s="274"/>
    </row>
    <row r="3148" spans="2:11" ht="13.5" customHeight="1">
      <c r="B3148" s="209" t="s">
        <v>1191</v>
      </c>
      <c r="C3148" s="209" t="s">
        <v>2884</v>
      </c>
      <c r="D3148" s="451" t="s">
        <v>138</v>
      </c>
      <c r="E3148" s="273">
        <v>0</v>
      </c>
      <c r="F3148" s="274"/>
      <c r="G3148" s="274">
        <f t="shared" si="12"/>
        <v>0</v>
      </c>
      <c r="H3148" s="274">
        <v>0</v>
      </c>
      <c r="K3148" s="274"/>
    </row>
    <row r="3149" spans="2:11" ht="13.5" customHeight="1">
      <c r="B3149" s="209" t="s">
        <v>1191</v>
      </c>
      <c r="C3149" s="209" t="s">
        <v>2884</v>
      </c>
      <c r="D3149" s="452" t="s">
        <v>139</v>
      </c>
      <c r="E3149" s="273">
        <v>0</v>
      </c>
      <c r="F3149" s="274"/>
      <c r="G3149" s="274">
        <f t="shared" si="12"/>
        <v>0</v>
      </c>
      <c r="H3149" s="274">
        <v>0</v>
      </c>
      <c r="K3149" s="274"/>
    </row>
    <row r="3150" spans="2:11" ht="13.5" customHeight="1">
      <c r="B3150" s="209" t="s">
        <v>1191</v>
      </c>
      <c r="C3150" s="209" t="s">
        <v>2884</v>
      </c>
      <c r="D3150" s="216" t="s">
        <v>140</v>
      </c>
      <c r="E3150" s="273">
        <v>0</v>
      </c>
      <c r="F3150" s="274"/>
      <c r="G3150" s="274">
        <f t="shared" si="12"/>
        <v>0</v>
      </c>
      <c r="H3150" s="274">
        <v>0</v>
      </c>
      <c r="K3150" s="274"/>
    </row>
    <row r="3151" spans="2:11" ht="13.5" customHeight="1">
      <c r="B3151" s="209" t="s">
        <v>1191</v>
      </c>
      <c r="C3151" s="209" t="s">
        <v>2884</v>
      </c>
      <c r="D3151" s="453" t="s">
        <v>141</v>
      </c>
      <c r="E3151" s="273">
        <v>0</v>
      </c>
      <c r="F3151" s="274"/>
      <c r="G3151" s="274">
        <f t="shared" si="12"/>
        <v>0</v>
      </c>
      <c r="H3151" s="274">
        <v>0</v>
      </c>
      <c r="K3151" s="274"/>
    </row>
    <row r="3152" spans="2:11" ht="13.5" customHeight="1">
      <c r="B3152" s="209" t="s">
        <v>1245</v>
      </c>
      <c r="C3152" s="209" t="s">
        <v>2885</v>
      </c>
      <c r="D3152" s="446" t="s">
        <v>133</v>
      </c>
      <c r="E3152" s="273">
        <v>0</v>
      </c>
      <c r="F3152" s="274"/>
      <c r="G3152" s="274">
        <f t="shared" si="12"/>
        <v>0</v>
      </c>
      <c r="H3152" s="274">
        <v>0</v>
      </c>
      <c r="K3152" s="274"/>
    </row>
    <row r="3153" spans="2:11" ht="13.5" customHeight="1">
      <c r="B3153" s="209" t="s">
        <v>1245</v>
      </c>
      <c r="C3153" s="209" t="s">
        <v>2885</v>
      </c>
      <c r="D3153" s="447" t="s">
        <v>134</v>
      </c>
      <c r="E3153" s="273">
        <v>0</v>
      </c>
      <c r="F3153" s="274"/>
      <c r="G3153" s="274">
        <f t="shared" si="12"/>
        <v>0</v>
      </c>
      <c r="H3153" s="274">
        <v>0</v>
      </c>
      <c r="K3153" s="274"/>
    </row>
    <row r="3154" spans="2:11" ht="13.5" customHeight="1">
      <c r="B3154" s="209" t="s">
        <v>1245</v>
      </c>
      <c r="C3154" s="209" t="s">
        <v>2885</v>
      </c>
      <c r="D3154" s="448" t="s">
        <v>135</v>
      </c>
      <c r="E3154" s="273">
        <v>0</v>
      </c>
      <c r="F3154" s="274"/>
      <c r="G3154" s="274">
        <f t="shared" si="12"/>
        <v>0</v>
      </c>
      <c r="H3154" s="274">
        <v>0</v>
      </c>
      <c r="K3154" s="274"/>
    </row>
    <row r="3155" spans="2:11" ht="13.5" customHeight="1">
      <c r="B3155" s="209" t="s">
        <v>1245</v>
      </c>
      <c r="C3155" s="209" t="s">
        <v>2885</v>
      </c>
      <c r="D3155" s="449" t="s">
        <v>136</v>
      </c>
      <c r="E3155" s="273">
        <v>0</v>
      </c>
      <c r="F3155" s="274"/>
      <c r="G3155" s="274">
        <f t="shared" si="12"/>
        <v>0</v>
      </c>
      <c r="H3155" s="274">
        <v>0</v>
      </c>
      <c r="K3155" s="274"/>
    </row>
    <row r="3156" spans="2:11" ht="13.5" customHeight="1">
      <c r="B3156" s="209" t="s">
        <v>1245</v>
      </c>
      <c r="C3156" s="209" t="s">
        <v>2885</v>
      </c>
      <c r="D3156" s="450" t="s">
        <v>137</v>
      </c>
      <c r="E3156" s="273">
        <v>0</v>
      </c>
      <c r="F3156" s="274"/>
      <c r="G3156" s="274">
        <f t="shared" si="12"/>
        <v>0</v>
      </c>
      <c r="H3156" s="274">
        <v>0</v>
      </c>
      <c r="K3156" s="274"/>
    </row>
    <row r="3157" spans="2:11" ht="13.5" customHeight="1">
      <c r="B3157" s="209" t="s">
        <v>1245</v>
      </c>
      <c r="C3157" s="209" t="s">
        <v>2885</v>
      </c>
      <c r="D3157" s="451" t="s">
        <v>138</v>
      </c>
      <c r="E3157" s="273">
        <v>0</v>
      </c>
      <c r="F3157" s="274"/>
      <c r="G3157" s="274">
        <f t="shared" si="12"/>
        <v>0</v>
      </c>
      <c r="H3157" s="274">
        <v>0</v>
      </c>
      <c r="K3157" s="274"/>
    </row>
    <row r="3158" spans="2:11" ht="13.5" customHeight="1">
      <c r="B3158" s="209" t="s">
        <v>1245</v>
      </c>
      <c r="C3158" s="209" t="s">
        <v>2885</v>
      </c>
      <c r="D3158" s="452" t="s">
        <v>139</v>
      </c>
      <c r="E3158" s="273">
        <v>0</v>
      </c>
      <c r="F3158" s="274"/>
      <c r="G3158" s="274">
        <f t="shared" si="12"/>
        <v>0</v>
      </c>
      <c r="H3158" s="274">
        <v>0</v>
      </c>
      <c r="K3158" s="274"/>
    </row>
    <row r="3159" spans="2:11" ht="13.5" customHeight="1">
      <c r="B3159" s="209" t="s">
        <v>1245</v>
      </c>
      <c r="C3159" s="209" t="s">
        <v>2885</v>
      </c>
      <c r="D3159" s="216" t="s">
        <v>140</v>
      </c>
      <c r="E3159" s="273">
        <v>0</v>
      </c>
      <c r="F3159" s="274"/>
      <c r="G3159" s="274">
        <f t="shared" si="12"/>
        <v>0</v>
      </c>
      <c r="H3159" s="274">
        <v>0</v>
      </c>
      <c r="K3159" s="274"/>
    </row>
    <row r="3160" spans="2:11" ht="13.5" customHeight="1">
      <c r="B3160" s="209" t="s">
        <v>1245</v>
      </c>
      <c r="C3160" s="209" t="s">
        <v>2885</v>
      </c>
      <c r="D3160" s="453" t="s">
        <v>141</v>
      </c>
      <c r="E3160" s="273">
        <v>0</v>
      </c>
      <c r="F3160" s="274"/>
      <c r="G3160" s="274">
        <f t="shared" si="12"/>
        <v>0</v>
      </c>
      <c r="H3160" s="274">
        <v>0</v>
      </c>
      <c r="K3160" s="274"/>
    </row>
    <row r="3161" spans="2:11" ht="13.5" customHeight="1">
      <c r="B3161" s="209" t="s">
        <v>566</v>
      </c>
      <c r="C3161" s="209" t="s">
        <v>2886</v>
      </c>
      <c r="D3161" s="446" t="s">
        <v>133</v>
      </c>
      <c r="E3161" s="273">
        <v>0</v>
      </c>
      <c r="F3161" s="274"/>
      <c r="G3161" s="274">
        <f t="shared" si="12"/>
        <v>0</v>
      </c>
      <c r="H3161" s="274">
        <v>0</v>
      </c>
      <c r="K3161" s="274"/>
    </row>
    <row r="3162" spans="2:11" ht="13.5" customHeight="1">
      <c r="B3162" s="209" t="s">
        <v>566</v>
      </c>
      <c r="C3162" s="209" t="s">
        <v>2886</v>
      </c>
      <c r="D3162" s="447" t="s">
        <v>134</v>
      </c>
      <c r="E3162" s="273">
        <v>0</v>
      </c>
      <c r="F3162" s="274"/>
      <c r="G3162" s="274">
        <f t="shared" si="12"/>
        <v>0</v>
      </c>
      <c r="H3162" s="274">
        <v>0</v>
      </c>
      <c r="K3162" s="274"/>
    </row>
    <row r="3163" spans="2:11" ht="13.5" customHeight="1">
      <c r="B3163" s="209" t="s">
        <v>566</v>
      </c>
      <c r="C3163" s="209" t="s">
        <v>2886</v>
      </c>
      <c r="D3163" s="448" t="s">
        <v>135</v>
      </c>
      <c r="E3163" s="273">
        <v>0</v>
      </c>
      <c r="F3163" s="274"/>
      <c r="G3163" s="274">
        <f t="shared" si="12"/>
        <v>0</v>
      </c>
      <c r="H3163" s="274">
        <v>0</v>
      </c>
      <c r="K3163" s="274"/>
    </row>
    <row r="3164" spans="2:11" ht="13.5" customHeight="1">
      <c r="B3164" s="209" t="s">
        <v>566</v>
      </c>
      <c r="C3164" s="209" t="s">
        <v>2886</v>
      </c>
      <c r="D3164" s="449" t="s">
        <v>136</v>
      </c>
      <c r="E3164" s="273">
        <v>0</v>
      </c>
      <c r="F3164" s="274"/>
      <c r="G3164" s="274">
        <f t="shared" si="12"/>
        <v>0</v>
      </c>
      <c r="H3164" s="274">
        <v>0</v>
      </c>
      <c r="K3164" s="274"/>
    </row>
    <row r="3165" spans="2:11" ht="13.5" customHeight="1">
      <c r="B3165" s="209" t="s">
        <v>566</v>
      </c>
      <c r="C3165" s="209" t="s">
        <v>2886</v>
      </c>
      <c r="D3165" s="450" t="s">
        <v>137</v>
      </c>
      <c r="E3165" s="273">
        <v>0</v>
      </c>
      <c r="F3165" s="274"/>
      <c r="G3165" s="274">
        <f t="shared" si="12"/>
        <v>0</v>
      </c>
      <c r="H3165" s="274">
        <v>0</v>
      </c>
      <c r="K3165" s="274"/>
    </row>
    <row r="3166" spans="2:11" ht="13.5" customHeight="1">
      <c r="B3166" s="209" t="s">
        <v>566</v>
      </c>
      <c r="C3166" s="209" t="s">
        <v>2886</v>
      </c>
      <c r="D3166" s="451" t="s">
        <v>138</v>
      </c>
      <c r="E3166" s="273">
        <v>0</v>
      </c>
      <c r="F3166" s="274"/>
      <c r="G3166" s="274">
        <f t="shared" si="12"/>
        <v>0</v>
      </c>
      <c r="H3166" s="274">
        <v>0</v>
      </c>
      <c r="K3166" s="274"/>
    </row>
    <row r="3167" spans="2:11" ht="13.5" customHeight="1">
      <c r="B3167" s="209" t="s">
        <v>566</v>
      </c>
      <c r="C3167" s="209" t="s">
        <v>2886</v>
      </c>
      <c r="D3167" s="452" t="s">
        <v>139</v>
      </c>
      <c r="E3167" s="273">
        <v>0</v>
      </c>
      <c r="F3167" s="274"/>
      <c r="G3167" s="274">
        <f t="shared" si="12"/>
        <v>0</v>
      </c>
      <c r="H3167" s="274">
        <v>0</v>
      </c>
      <c r="K3167" s="274"/>
    </row>
    <row r="3168" spans="2:11" ht="13.5" customHeight="1">
      <c r="B3168" s="209" t="s">
        <v>566</v>
      </c>
      <c r="C3168" s="209" t="s">
        <v>2886</v>
      </c>
      <c r="D3168" s="216" t="s">
        <v>140</v>
      </c>
      <c r="E3168" s="273">
        <v>0</v>
      </c>
      <c r="F3168" s="274"/>
      <c r="G3168" s="274">
        <f t="shared" si="12"/>
        <v>0</v>
      </c>
      <c r="H3168" s="274">
        <v>0</v>
      </c>
      <c r="K3168" s="274"/>
    </row>
    <row r="3169" spans="2:11" ht="13.5" customHeight="1">
      <c r="B3169" s="209" t="s">
        <v>566</v>
      </c>
      <c r="C3169" s="209" t="s">
        <v>2886</v>
      </c>
      <c r="D3169" s="453" t="s">
        <v>141</v>
      </c>
      <c r="E3169" s="273">
        <v>0</v>
      </c>
      <c r="F3169" s="274"/>
      <c r="G3169" s="274">
        <f t="shared" si="12"/>
        <v>0</v>
      </c>
      <c r="H3169" s="274">
        <v>0</v>
      </c>
      <c r="K3169" s="274"/>
    </row>
    <row r="3170" spans="2:11" ht="13.5" customHeight="1">
      <c r="B3170" s="209" t="s">
        <v>588</v>
      </c>
      <c r="C3170" s="209" t="s">
        <v>2887</v>
      </c>
      <c r="D3170" s="446" t="s">
        <v>133</v>
      </c>
      <c r="E3170" s="273">
        <v>0</v>
      </c>
      <c r="F3170" s="274"/>
      <c r="G3170" s="274">
        <f t="shared" si="12"/>
        <v>0</v>
      </c>
      <c r="H3170" s="274">
        <v>0</v>
      </c>
      <c r="K3170" s="274"/>
    </row>
    <row r="3171" spans="2:11" ht="13.5" customHeight="1">
      <c r="B3171" s="209" t="s">
        <v>588</v>
      </c>
      <c r="C3171" s="209" t="s">
        <v>2887</v>
      </c>
      <c r="D3171" s="447" t="s">
        <v>134</v>
      </c>
      <c r="E3171" s="273">
        <v>0</v>
      </c>
      <c r="F3171" s="274"/>
      <c r="G3171" s="274">
        <f t="shared" si="12"/>
        <v>0</v>
      </c>
      <c r="H3171" s="274">
        <v>0</v>
      </c>
      <c r="K3171" s="274"/>
    </row>
    <row r="3172" spans="2:11" ht="13.5" customHeight="1">
      <c r="B3172" s="209" t="s">
        <v>588</v>
      </c>
      <c r="C3172" s="209" t="s">
        <v>2887</v>
      </c>
      <c r="D3172" s="448" t="s">
        <v>135</v>
      </c>
      <c r="E3172" s="273">
        <v>0</v>
      </c>
      <c r="F3172" s="274"/>
      <c r="G3172" s="274">
        <f t="shared" si="12"/>
        <v>0</v>
      </c>
      <c r="H3172" s="274">
        <v>0</v>
      </c>
      <c r="K3172" s="274"/>
    </row>
    <row r="3173" spans="2:11" ht="13.5" customHeight="1">
      <c r="B3173" s="209" t="s">
        <v>588</v>
      </c>
      <c r="C3173" s="209" t="s">
        <v>2887</v>
      </c>
      <c r="D3173" s="449" t="s">
        <v>136</v>
      </c>
      <c r="E3173" s="273">
        <v>0</v>
      </c>
      <c r="F3173" s="274"/>
      <c r="G3173" s="274">
        <f t="shared" si="12"/>
        <v>0</v>
      </c>
      <c r="H3173" s="274">
        <v>0</v>
      </c>
      <c r="K3173" s="274"/>
    </row>
    <row r="3174" spans="2:11" ht="13.5" customHeight="1">
      <c r="B3174" s="209" t="s">
        <v>588</v>
      </c>
      <c r="C3174" s="209" t="s">
        <v>2887</v>
      </c>
      <c r="D3174" s="450" t="s">
        <v>137</v>
      </c>
      <c r="E3174" s="273">
        <v>0</v>
      </c>
      <c r="F3174" s="274"/>
      <c r="G3174" s="274">
        <f t="shared" si="12"/>
        <v>0</v>
      </c>
      <c r="H3174" s="274">
        <v>0</v>
      </c>
      <c r="K3174" s="274"/>
    </row>
    <row r="3175" spans="2:11" ht="13.5" customHeight="1">
      <c r="B3175" s="209" t="s">
        <v>588</v>
      </c>
      <c r="C3175" s="209" t="s">
        <v>2887</v>
      </c>
      <c r="D3175" s="451" t="s">
        <v>138</v>
      </c>
      <c r="E3175" s="273">
        <v>0</v>
      </c>
      <c r="F3175" s="274"/>
      <c r="G3175" s="274">
        <f t="shared" si="12"/>
        <v>0</v>
      </c>
      <c r="H3175" s="274">
        <v>0</v>
      </c>
      <c r="K3175" s="274"/>
    </row>
    <row r="3176" spans="2:11" ht="13.5" customHeight="1">
      <c r="B3176" s="209" t="s">
        <v>588</v>
      </c>
      <c r="C3176" s="209" t="s">
        <v>2887</v>
      </c>
      <c r="D3176" s="452" t="s">
        <v>139</v>
      </c>
      <c r="E3176" s="273">
        <v>0</v>
      </c>
      <c r="F3176" s="274"/>
      <c r="G3176" s="274">
        <f t="shared" si="12"/>
        <v>0</v>
      </c>
      <c r="H3176" s="274">
        <v>0</v>
      </c>
      <c r="K3176" s="274"/>
    </row>
    <row r="3177" spans="2:11" ht="13.5" customHeight="1">
      <c r="B3177" s="209" t="s">
        <v>588</v>
      </c>
      <c r="C3177" s="209" t="s">
        <v>2887</v>
      </c>
      <c r="D3177" s="216" t="s">
        <v>140</v>
      </c>
      <c r="E3177" s="273">
        <v>0</v>
      </c>
      <c r="F3177" s="274"/>
      <c r="G3177" s="274">
        <f t="shared" si="12"/>
        <v>0</v>
      </c>
      <c r="H3177" s="274">
        <v>0</v>
      </c>
      <c r="K3177" s="274"/>
    </row>
    <row r="3178" spans="2:11" ht="13.5" customHeight="1">
      <c r="B3178" s="209" t="s">
        <v>588</v>
      </c>
      <c r="C3178" s="209" t="s">
        <v>2887</v>
      </c>
      <c r="D3178" s="453" t="s">
        <v>141</v>
      </c>
      <c r="E3178" s="273">
        <v>0</v>
      </c>
      <c r="F3178" s="274"/>
      <c r="G3178" s="274">
        <f t="shared" si="12"/>
        <v>0</v>
      </c>
      <c r="H3178" s="274">
        <v>0</v>
      </c>
      <c r="K3178" s="274"/>
    </row>
    <row r="3179" spans="2:11" ht="13.5" customHeight="1">
      <c r="B3179" s="209" t="s">
        <v>626</v>
      </c>
      <c r="C3179" s="209" t="s">
        <v>2888</v>
      </c>
      <c r="D3179" s="446" t="s">
        <v>133</v>
      </c>
      <c r="E3179" s="273">
        <v>0</v>
      </c>
      <c r="F3179" s="274"/>
      <c r="G3179" s="274">
        <f t="shared" si="12"/>
        <v>0</v>
      </c>
      <c r="H3179" s="274">
        <v>0</v>
      </c>
      <c r="K3179" s="274"/>
    </row>
    <row r="3180" spans="2:11" ht="13.5" customHeight="1">
      <c r="B3180" s="209" t="s">
        <v>626</v>
      </c>
      <c r="C3180" s="209" t="s">
        <v>2888</v>
      </c>
      <c r="D3180" s="447" t="s">
        <v>134</v>
      </c>
      <c r="E3180" s="273">
        <v>0</v>
      </c>
      <c r="F3180" s="274"/>
      <c r="G3180" s="274">
        <f t="shared" si="12"/>
        <v>0</v>
      </c>
      <c r="H3180" s="274">
        <v>0</v>
      </c>
      <c r="K3180" s="274"/>
    </row>
    <row r="3181" spans="2:11" ht="13.5" customHeight="1">
      <c r="B3181" s="209" t="s">
        <v>626</v>
      </c>
      <c r="C3181" s="209" t="s">
        <v>2888</v>
      </c>
      <c r="D3181" s="448" t="s">
        <v>135</v>
      </c>
      <c r="E3181" s="273">
        <v>0</v>
      </c>
      <c r="F3181" s="274"/>
      <c r="G3181" s="274">
        <f t="shared" si="12"/>
        <v>0</v>
      </c>
      <c r="H3181" s="274">
        <v>0</v>
      </c>
      <c r="K3181" s="274"/>
    </row>
    <row r="3182" spans="2:11" ht="13.5" customHeight="1">
      <c r="B3182" s="209" t="s">
        <v>626</v>
      </c>
      <c r="C3182" s="209" t="s">
        <v>2888</v>
      </c>
      <c r="D3182" s="449" t="s">
        <v>136</v>
      </c>
      <c r="E3182" s="273">
        <v>0</v>
      </c>
      <c r="F3182" s="274"/>
      <c r="G3182" s="274">
        <f t="shared" si="12"/>
        <v>0</v>
      </c>
      <c r="H3182" s="274">
        <v>0</v>
      </c>
      <c r="K3182" s="274"/>
    </row>
    <row r="3183" spans="2:11" ht="13.5" customHeight="1">
      <c r="B3183" s="209" t="s">
        <v>626</v>
      </c>
      <c r="C3183" s="209" t="s">
        <v>2888</v>
      </c>
      <c r="D3183" s="450" t="s">
        <v>137</v>
      </c>
      <c r="E3183" s="273">
        <v>0</v>
      </c>
      <c r="F3183" s="274"/>
      <c r="G3183" s="274">
        <f t="shared" si="12"/>
        <v>0</v>
      </c>
      <c r="H3183" s="274">
        <v>0</v>
      </c>
      <c r="K3183" s="274"/>
    </row>
    <row r="3184" spans="2:11" ht="13.5" customHeight="1">
      <c r="B3184" s="209" t="s">
        <v>626</v>
      </c>
      <c r="C3184" s="209" t="s">
        <v>2888</v>
      </c>
      <c r="D3184" s="451" t="s">
        <v>138</v>
      </c>
      <c r="E3184" s="273">
        <v>0</v>
      </c>
      <c r="F3184" s="274"/>
      <c r="G3184" s="274">
        <f t="shared" si="12"/>
        <v>0</v>
      </c>
      <c r="H3184" s="274">
        <v>0</v>
      </c>
      <c r="K3184" s="274"/>
    </row>
    <row r="3185" spans="2:11" ht="13.5" customHeight="1">
      <c r="B3185" s="209" t="s">
        <v>626</v>
      </c>
      <c r="C3185" s="209" t="s">
        <v>2888</v>
      </c>
      <c r="D3185" s="452" t="s">
        <v>139</v>
      </c>
      <c r="E3185" s="273">
        <v>0</v>
      </c>
      <c r="F3185" s="274"/>
      <c r="G3185" s="274">
        <f t="shared" si="12"/>
        <v>0</v>
      </c>
      <c r="H3185" s="274">
        <v>0</v>
      </c>
      <c r="K3185" s="274"/>
    </row>
    <row r="3186" spans="2:11" ht="13.5" customHeight="1">
      <c r="B3186" s="209" t="s">
        <v>626</v>
      </c>
      <c r="C3186" s="209" t="s">
        <v>2888</v>
      </c>
      <c r="D3186" s="216" t="s">
        <v>140</v>
      </c>
      <c r="E3186" s="273">
        <v>0</v>
      </c>
      <c r="F3186" s="274"/>
      <c r="G3186" s="274">
        <f t="shared" si="12"/>
        <v>0</v>
      </c>
      <c r="H3186" s="274">
        <v>0</v>
      </c>
      <c r="K3186" s="274"/>
    </row>
    <row r="3187" spans="2:11" ht="13.5" customHeight="1">
      <c r="B3187" s="209" t="s">
        <v>626</v>
      </c>
      <c r="C3187" s="209" t="s">
        <v>2888</v>
      </c>
      <c r="D3187" s="453" t="s">
        <v>141</v>
      </c>
      <c r="E3187" s="273">
        <v>0</v>
      </c>
      <c r="F3187" s="274"/>
      <c r="G3187" s="274">
        <f t="shared" si="12"/>
        <v>0</v>
      </c>
      <c r="H3187" s="274">
        <v>0</v>
      </c>
      <c r="K3187" s="274"/>
    </row>
    <row r="3188" spans="2:11" ht="13.5" customHeight="1">
      <c r="B3188" s="209" t="s">
        <v>596</v>
      </c>
      <c r="C3188" s="209" t="s">
        <v>2889</v>
      </c>
      <c r="D3188" s="446" t="s">
        <v>133</v>
      </c>
      <c r="E3188" s="273">
        <v>0</v>
      </c>
      <c r="F3188" s="274"/>
      <c r="G3188" s="274">
        <f t="shared" si="12"/>
        <v>0</v>
      </c>
      <c r="H3188" s="274">
        <v>0</v>
      </c>
      <c r="K3188" s="274"/>
    </row>
    <row r="3189" spans="2:11" ht="13.5" customHeight="1">
      <c r="B3189" s="209" t="s">
        <v>596</v>
      </c>
      <c r="C3189" s="209" t="s">
        <v>2889</v>
      </c>
      <c r="D3189" s="447" t="s">
        <v>134</v>
      </c>
      <c r="E3189" s="273">
        <v>0</v>
      </c>
      <c r="F3189" s="274"/>
      <c r="G3189" s="274">
        <f t="shared" si="12"/>
        <v>0</v>
      </c>
      <c r="H3189" s="274">
        <v>0</v>
      </c>
      <c r="K3189" s="274"/>
    </row>
    <row r="3190" spans="2:11" ht="13.5" customHeight="1">
      <c r="B3190" s="209" t="s">
        <v>596</v>
      </c>
      <c r="C3190" s="209" t="s">
        <v>2889</v>
      </c>
      <c r="D3190" s="448" t="s">
        <v>135</v>
      </c>
      <c r="E3190" s="273">
        <v>0</v>
      </c>
      <c r="F3190" s="274"/>
      <c r="G3190" s="274">
        <f t="shared" si="12"/>
        <v>0</v>
      </c>
      <c r="H3190" s="274">
        <v>0</v>
      </c>
      <c r="K3190" s="274"/>
    </row>
    <row r="3191" spans="2:11" ht="13.5" customHeight="1">
      <c r="B3191" s="209" t="s">
        <v>596</v>
      </c>
      <c r="C3191" s="209" t="s">
        <v>2889</v>
      </c>
      <c r="D3191" s="449" t="s">
        <v>136</v>
      </c>
      <c r="E3191" s="273">
        <v>0</v>
      </c>
      <c r="F3191" s="274"/>
      <c r="G3191" s="274">
        <f t="shared" si="12"/>
        <v>0</v>
      </c>
      <c r="H3191" s="274">
        <v>0</v>
      </c>
      <c r="K3191" s="274"/>
    </row>
    <row r="3192" spans="2:11" ht="13.5" customHeight="1">
      <c r="B3192" s="209" t="s">
        <v>596</v>
      </c>
      <c r="C3192" s="209" t="s">
        <v>2889</v>
      </c>
      <c r="D3192" s="450" t="s">
        <v>137</v>
      </c>
      <c r="E3192" s="273">
        <v>0</v>
      </c>
      <c r="F3192" s="274"/>
      <c r="G3192" s="274">
        <f t="shared" si="12"/>
        <v>0</v>
      </c>
      <c r="H3192" s="274">
        <v>0</v>
      </c>
      <c r="K3192" s="274"/>
    </row>
    <row r="3193" spans="2:11" ht="13.5" customHeight="1">
      <c r="B3193" s="209" t="s">
        <v>596</v>
      </c>
      <c r="C3193" s="209" t="s">
        <v>2889</v>
      </c>
      <c r="D3193" s="451" t="s">
        <v>138</v>
      </c>
      <c r="E3193" s="273">
        <v>0</v>
      </c>
      <c r="F3193" s="274"/>
      <c r="G3193" s="274">
        <f t="shared" si="12"/>
        <v>0</v>
      </c>
      <c r="H3193" s="274">
        <v>0</v>
      </c>
      <c r="K3193" s="274"/>
    </row>
    <row r="3194" spans="2:11" ht="13.5" customHeight="1">
      <c r="B3194" s="209" t="s">
        <v>596</v>
      </c>
      <c r="C3194" s="209" t="s">
        <v>2889</v>
      </c>
      <c r="D3194" s="452" t="s">
        <v>139</v>
      </c>
      <c r="E3194" s="273">
        <v>0</v>
      </c>
      <c r="F3194" s="274"/>
      <c r="G3194" s="274">
        <f t="shared" si="12"/>
        <v>0</v>
      </c>
      <c r="H3194" s="274">
        <v>0</v>
      </c>
      <c r="K3194" s="274"/>
    </row>
    <row r="3195" spans="2:11" ht="13.5" customHeight="1">
      <c r="B3195" s="209" t="s">
        <v>596</v>
      </c>
      <c r="C3195" s="209" t="s">
        <v>2889</v>
      </c>
      <c r="D3195" s="216" t="s">
        <v>140</v>
      </c>
      <c r="E3195" s="273">
        <v>0</v>
      </c>
      <c r="F3195" s="274"/>
      <c r="G3195" s="274">
        <f t="shared" si="12"/>
        <v>0</v>
      </c>
      <c r="H3195" s="274">
        <v>0</v>
      </c>
      <c r="K3195" s="274"/>
    </row>
    <row r="3196" spans="2:11" ht="13.5" customHeight="1">
      <c r="B3196" s="209" t="s">
        <v>596</v>
      </c>
      <c r="C3196" s="209" t="s">
        <v>2889</v>
      </c>
      <c r="D3196" s="453" t="s">
        <v>141</v>
      </c>
      <c r="E3196" s="273">
        <v>0</v>
      </c>
      <c r="F3196" s="274"/>
      <c r="G3196" s="274">
        <f t="shared" si="12"/>
        <v>0</v>
      </c>
      <c r="H3196" s="274">
        <v>0</v>
      </c>
      <c r="K3196" s="274"/>
    </row>
    <row r="3197" spans="2:11" ht="13.5" customHeight="1">
      <c r="B3197" s="209" t="s">
        <v>590</v>
      </c>
      <c r="C3197" s="209" t="s">
        <v>2890</v>
      </c>
      <c r="D3197" s="446" t="s">
        <v>133</v>
      </c>
      <c r="E3197" s="273">
        <v>0</v>
      </c>
      <c r="F3197" s="274"/>
      <c r="G3197" s="274">
        <f t="shared" si="12"/>
        <v>0</v>
      </c>
      <c r="H3197" s="274">
        <v>0</v>
      </c>
      <c r="K3197" s="274"/>
    </row>
    <row r="3198" spans="2:11" ht="13.5" customHeight="1">
      <c r="B3198" s="209" t="s">
        <v>590</v>
      </c>
      <c r="C3198" s="209" t="s">
        <v>2890</v>
      </c>
      <c r="D3198" s="447" t="s">
        <v>134</v>
      </c>
      <c r="E3198" s="273">
        <v>0</v>
      </c>
      <c r="F3198" s="274"/>
      <c r="G3198" s="274">
        <f t="shared" si="12"/>
        <v>0</v>
      </c>
      <c r="H3198" s="274">
        <v>0</v>
      </c>
      <c r="K3198" s="274"/>
    </row>
    <row r="3199" spans="2:11" ht="13.5" customHeight="1">
      <c r="B3199" s="209" t="s">
        <v>590</v>
      </c>
      <c r="C3199" s="209" t="s">
        <v>2890</v>
      </c>
      <c r="D3199" s="448" t="s">
        <v>135</v>
      </c>
      <c r="E3199" s="273">
        <v>0</v>
      </c>
      <c r="F3199" s="274"/>
      <c r="G3199" s="274">
        <f t="shared" si="12"/>
        <v>0</v>
      </c>
      <c r="H3199" s="274">
        <v>0</v>
      </c>
      <c r="K3199" s="274"/>
    </row>
    <row r="3200" spans="2:11" ht="13.5" customHeight="1">
      <c r="B3200" s="209" t="s">
        <v>590</v>
      </c>
      <c r="C3200" s="209" t="s">
        <v>2890</v>
      </c>
      <c r="D3200" s="449" t="s">
        <v>136</v>
      </c>
      <c r="E3200" s="273">
        <v>0</v>
      </c>
      <c r="F3200" s="274"/>
      <c r="G3200" s="274">
        <f t="shared" si="12"/>
        <v>0</v>
      </c>
      <c r="H3200" s="274">
        <v>0</v>
      </c>
      <c r="K3200" s="274"/>
    </row>
    <row r="3201" spans="2:11" ht="13.5" customHeight="1">
      <c r="B3201" s="209" t="s">
        <v>590</v>
      </c>
      <c r="C3201" s="209" t="s">
        <v>2890</v>
      </c>
      <c r="D3201" s="450" t="s">
        <v>137</v>
      </c>
      <c r="E3201" s="273">
        <v>0</v>
      </c>
      <c r="F3201" s="274"/>
      <c r="G3201" s="274">
        <f t="shared" si="12"/>
        <v>0</v>
      </c>
      <c r="H3201" s="274">
        <v>0</v>
      </c>
      <c r="K3201" s="274"/>
    </row>
    <row r="3202" spans="2:11" ht="13.5" customHeight="1">
      <c r="B3202" s="209" t="s">
        <v>590</v>
      </c>
      <c r="C3202" s="209" t="s">
        <v>2890</v>
      </c>
      <c r="D3202" s="451" t="s">
        <v>138</v>
      </c>
      <c r="E3202" s="273">
        <v>0</v>
      </c>
      <c r="F3202" s="274"/>
      <c r="G3202" s="274">
        <f t="shared" si="12"/>
        <v>0</v>
      </c>
      <c r="H3202" s="274">
        <v>0</v>
      </c>
      <c r="K3202" s="274"/>
    </row>
    <row r="3203" spans="2:11" ht="13.5" customHeight="1">
      <c r="B3203" s="209" t="s">
        <v>590</v>
      </c>
      <c r="C3203" s="209" t="s">
        <v>2890</v>
      </c>
      <c r="D3203" s="452" t="s">
        <v>139</v>
      </c>
      <c r="E3203" s="273">
        <v>0</v>
      </c>
      <c r="F3203" s="274"/>
      <c r="G3203" s="274">
        <f t="shared" si="12"/>
        <v>0</v>
      </c>
      <c r="H3203" s="274">
        <v>0</v>
      </c>
      <c r="K3203" s="274"/>
    </row>
    <row r="3204" spans="2:11" ht="13.5" customHeight="1">
      <c r="B3204" s="209" t="s">
        <v>590</v>
      </c>
      <c r="C3204" s="209" t="s">
        <v>2890</v>
      </c>
      <c r="D3204" s="216" t="s">
        <v>140</v>
      </c>
      <c r="E3204" s="273">
        <v>0</v>
      </c>
      <c r="F3204" s="274"/>
      <c r="G3204" s="274">
        <f t="shared" si="12"/>
        <v>0</v>
      </c>
      <c r="H3204" s="274">
        <v>0</v>
      </c>
      <c r="K3204" s="274"/>
    </row>
    <row r="3205" spans="2:11" ht="13.5" customHeight="1">
      <c r="B3205" s="209" t="s">
        <v>590</v>
      </c>
      <c r="C3205" s="209" t="s">
        <v>2890</v>
      </c>
      <c r="D3205" s="453" t="s">
        <v>141</v>
      </c>
      <c r="E3205" s="273">
        <v>0</v>
      </c>
      <c r="F3205" s="274"/>
      <c r="G3205" s="274">
        <f t="shared" si="12"/>
        <v>0</v>
      </c>
      <c r="H3205" s="274">
        <v>0</v>
      </c>
      <c r="K3205" s="274"/>
    </row>
    <row r="3206" spans="2:11" ht="13.5" customHeight="1">
      <c r="B3206" s="209" t="s">
        <v>592</v>
      </c>
      <c r="C3206" s="209" t="s">
        <v>2891</v>
      </c>
      <c r="D3206" s="446" t="s">
        <v>133</v>
      </c>
      <c r="E3206" s="273">
        <v>0</v>
      </c>
      <c r="F3206" s="274"/>
      <c r="G3206" s="274">
        <f t="shared" si="12"/>
        <v>0</v>
      </c>
      <c r="H3206" s="274">
        <v>0</v>
      </c>
      <c r="K3206" s="274"/>
    </row>
    <row r="3207" spans="2:11" ht="13.5" customHeight="1">
      <c r="B3207" s="209" t="s">
        <v>592</v>
      </c>
      <c r="C3207" s="209" t="s">
        <v>2891</v>
      </c>
      <c r="D3207" s="447" t="s">
        <v>134</v>
      </c>
      <c r="E3207" s="273">
        <v>0</v>
      </c>
      <c r="F3207" s="274"/>
      <c r="G3207" s="274">
        <f t="shared" si="12"/>
        <v>0</v>
      </c>
      <c r="H3207" s="274">
        <v>0</v>
      </c>
      <c r="K3207" s="274"/>
    </row>
    <row r="3208" spans="2:11" ht="13.5" customHeight="1">
      <c r="B3208" s="209" t="s">
        <v>592</v>
      </c>
      <c r="C3208" s="209" t="s">
        <v>2891</v>
      </c>
      <c r="D3208" s="448" t="s">
        <v>135</v>
      </c>
      <c r="E3208" s="273">
        <v>0</v>
      </c>
      <c r="F3208" s="274"/>
      <c r="G3208" s="274">
        <f t="shared" si="12"/>
        <v>0</v>
      </c>
      <c r="H3208" s="274">
        <v>0</v>
      </c>
      <c r="K3208" s="274"/>
    </row>
    <row r="3209" spans="2:11" ht="13.5" customHeight="1">
      <c r="B3209" s="209" t="s">
        <v>592</v>
      </c>
      <c r="C3209" s="209" t="s">
        <v>2891</v>
      </c>
      <c r="D3209" s="449" t="s">
        <v>136</v>
      </c>
      <c r="E3209" s="273">
        <v>0</v>
      </c>
      <c r="F3209" s="274"/>
      <c r="G3209" s="274">
        <f t="shared" si="12"/>
        <v>0</v>
      </c>
      <c r="H3209" s="274">
        <v>0</v>
      </c>
      <c r="K3209" s="274"/>
    </row>
    <row r="3210" spans="2:11" ht="13.5" customHeight="1">
      <c r="B3210" s="209" t="s">
        <v>592</v>
      </c>
      <c r="C3210" s="209" t="s">
        <v>2891</v>
      </c>
      <c r="D3210" s="450" t="s">
        <v>137</v>
      </c>
      <c r="E3210" s="273">
        <v>0</v>
      </c>
      <c r="F3210" s="274"/>
      <c r="G3210" s="274">
        <f t="shared" si="12"/>
        <v>0</v>
      </c>
      <c r="H3210" s="274">
        <v>0</v>
      </c>
      <c r="K3210" s="274"/>
    </row>
    <row r="3211" spans="2:11" ht="13.5" customHeight="1">
      <c r="B3211" s="209" t="s">
        <v>592</v>
      </c>
      <c r="C3211" s="209" t="s">
        <v>2891</v>
      </c>
      <c r="D3211" s="451" t="s">
        <v>138</v>
      </c>
      <c r="E3211" s="273">
        <v>0</v>
      </c>
      <c r="F3211" s="274"/>
      <c r="G3211" s="274">
        <f t="shared" si="12"/>
        <v>0</v>
      </c>
      <c r="H3211" s="274">
        <v>0</v>
      </c>
      <c r="K3211" s="274"/>
    </row>
    <row r="3212" spans="2:11" ht="13.5" customHeight="1">
      <c r="B3212" s="209" t="s">
        <v>592</v>
      </c>
      <c r="C3212" s="209" t="s">
        <v>2891</v>
      </c>
      <c r="D3212" s="452" t="s">
        <v>139</v>
      </c>
      <c r="E3212" s="273">
        <v>0</v>
      </c>
      <c r="F3212" s="274"/>
      <c r="G3212" s="274">
        <f t="shared" si="12"/>
        <v>0</v>
      </c>
      <c r="H3212" s="274">
        <v>0</v>
      </c>
      <c r="K3212" s="274"/>
    </row>
    <row r="3213" spans="2:11" ht="13.5" customHeight="1">
      <c r="B3213" s="209" t="s">
        <v>592</v>
      </c>
      <c r="C3213" s="209" t="s">
        <v>2891</v>
      </c>
      <c r="D3213" s="216" t="s">
        <v>140</v>
      </c>
      <c r="E3213" s="273">
        <v>0</v>
      </c>
      <c r="F3213" s="274"/>
      <c r="G3213" s="274">
        <f t="shared" si="12"/>
        <v>0</v>
      </c>
      <c r="H3213" s="274">
        <v>0</v>
      </c>
      <c r="K3213" s="274"/>
    </row>
    <row r="3214" spans="2:11" ht="13.5" customHeight="1">
      <c r="B3214" s="209" t="s">
        <v>592</v>
      </c>
      <c r="C3214" s="209" t="s">
        <v>2891</v>
      </c>
      <c r="D3214" s="453" t="s">
        <v>141</v>
      </c>
      <c r="E3214" s="273">
        <v>0</v>
      </c>
      <c r="F3214" s="274"/>
      <c r="G3214" s="274">
        <f t="shared" si="12"/>
        <v>0</v>
      </c>
      <c r="H3214" s="274">
        <v>0</v>
      </c>
      <c r="K3214" s="274"/>
    </row>
    <row r="3215" spans="2:11" ht="13.5" customHeight="1">
      <c r="B3215" s="209" t="s">
        <v>568</v>
      </c>
      <c r="C3215" s="209" t="s">
        <v>2892</v>
      </c>
      <c r="D3215" s="446" t="s">
        <v>133</v>
      </c>
      <c r="E3215" s="273">
        <v>0</v>
      </c>
      <c r="F3215" s="274"/>
      <c r="G3215" s="274">
        <f t="shared" si="12"/>
        <v>0</v>
      </c>
      <c r="H3215" s="274">
        <v>0</v>
      </c>
      <c r="K3215" s="274"/>
    </row>
    <row r="3216" spans="2:11" ht="13.5" customHeight="1">
      <c r="B3216" s="209" t="s">
        <v>568</v>
      </c>
      <c r="C3216" s="209" t="s">
        <v>2892</v>
      </c>
      <c r="D3216" s="447" t="s">
        <v>134</v>
      </c>
      <c r="E3216" s="273">
        <v>0</v>
      </c>
      <c r="F3216" s="274"/>
      <c r="G3216" s="274">
        <f t="shared" si="12"/>
        <v>0</v>
      </c>
      <c r="H3216" s="274">
        <v>0</v>
      </c>
      <c r="K3216" s="274"/>
    </row>
    <row r="3217" spans="2:11" ht="13.5" customHeight="1">
      <c r="B3217" s="209" t="s">
        <v>568</v>
      </c>
      <c r="C3217" s="209" t="s">
        <v>2892</v>
      </c>
      <c r="D3217" s="448" t="s">
        <v>135</v>
      </c>
      <c r="E3217" s="273">
        <v>0</v>
      </c>
      <c r="F3217" s="274"/>
      <c r="G3217" s="274">
        <f t="shared" si="12"/>
        <v>0</v>
      </c>
      <c r="H3217" s="274">
        <v>0</v>
      </c>
      <c r="K3217" s="274"/>
    </row>
    <row r="3218" spans="2:11" ht="13.5" customHeight="1">
      <c r="B3218" s="209" t="s">
        <v>568</v>
      </c>
      <c r="C3218" s="209" t="s">
        <v>2892</v>
      </c>
      <c r="D3218" s="449" t="s">
        <v>136</v>
      </c>
      <c r="E3218" s="273">
        <v>0</v>
      </c>
      <c r="F3218" s="274"/>
      <c r="G3218" s="274">
        <f t="shared" si="12"/>
        <v>0</v>
      </c>
      <c r="H3218" s="274">
        <v>0</v>
      </c>
      <c r="K3218" s="274"/>
    </row>
    <row r="3219" spans="2:11" ht="13.5" customHeight="1">
      <c r="B3219" s="209" t="s">
        <v>568</v>
      </c>
      <c r="C3219" s="209" t="s">
        <v>2892</v>
      </c>
      <c r="D3219" s="450" t="s">
        <v>137</v>
      </c>
      <c r="E3219" s="273">
        <v>0</v>
      </c>
      <c r="F3219" s="274"/>
      <c r="G3219" s="274">
        <f t="shared" si="12"/>
        <v>0</v>
      </c>
      <c r="H3219" s="274">
        <v>0</v>
      </c>
      <c r="K3219" s="274"/>
    </row>
    <row r="3220" spans="2:11" ht="13.5" customHeight="1">
      <c r="B3220" s="209" t="s">
        <v>568</v>
      </c>
      <c r="C3220" s="209" t="s">
        <v>2892</v>
      </c>
      <c r="D3220" s="451" t="s">
        <v>138</v>
      </c>
      <c r="E3220" s="273">
        <v>0</v>
      </c>
      <c r="F3220" s="274"/>
      <c r="G3220" s="274">
        <f t="shared" si="12"/>
        <v>0</v>
      </c>
      <c r="H3220" s="274">
        <v>0</v>
      </c>
      <c r="K3220" s="274"/>
    </row>
    <row r="3221" spans="2:11" ht="13.5" customHeight="1">
      <c r="B3221" s="209" t="s">
        <v>568</v>
      </c>
      <c r="C3221" s="209" t="s">
        <v>2892</v>
      </c>
      <c r="D3221" s="452" t="s">
        <v>139</v>
      </c>
      <c r="E3221" s="273">
        <v>0</v>
      </c>
      <c r="F3221" s="274"/>
      <c r="G3221" s="274">
        <f t="shared" si="12"/>
        <v>0</v>
      </c>
      <c r="H3221" s="274">
        <v>0</v>
      </c>
      <c r="K3221" s="274"/>
    </row>
    <row r="3222" spans="2:11" ht="13.5" customHeight="1">
      <c r="B3222" s="209" t="s">
        <v>568</v>
      </c>
      <c r="C3222" s="209" t="s">
        <v>2892</v>
      </c>
      <c r="D3222" s="216" t="s">
        <v>140</v>
      </c>
      <c r="E3222" s="273">
        <v>0</v>
      </c>
      <c r="F3222" s="274"/>
      <c r="G3222" s="274">
        <f t="shared" si="12"/>
        <v>0</v>
      </c>
      <c r="H3222" s="274">
        <v>0</v>
      </c>
      <c r="K3222" s="274"/>
    </row>
    <row r="3223" spans="2:11" ht="13.5" customHeight="1">
      <c r="B3223" s="209" t="s">
        <v>568</v>
      </c>
      <c r="C3223" s="209" t="s">
        <v>2892</v>
      </c>
      <c r="D3223" s="453" t="s">
        <v>141</v>
      </c>
      <c r="E3223" s="273">
        <v>0</v>
      </c>
      <c r="F3223" s="274"/>
      <c r="G3223" s="274">
        <f t="shared" si="12"/>
        <v>0</v>
      </c>
      <c r="H3223" s="274">
        <v>0</v>
      </c>
      <c r="K3223" s="274"/>
    </row>
    <row r="3224" spans="2:11" ht="13.5" customHeight="1">
      <c r="B3224" s="209" t="s">
        <v>570</v>
      </c>
      <c r="C3224" s="209" t="s">
        <v>2893</v>
      </c>
      <c r="D3224" s="446" t="s">
        <v>133</v>
      </c>
      <c r="E3224" s="273">
        <v>0</v>
      </c>
      <c r="F3224" s="274"/>
      <c r="G3224" s="274">
        <f t="shared" si="12"/>
        <v>0</v>
      </c>
      <c r="H3224" s="274">
        <v>0</v>
      </c>
      <c r="K3224" s="274"/>
    </row>
    <row r="3225" spans="2:11" ht="13.5" customHeight="1">
      <c r="B3225" s="209" t="s">
        <v>570</v>
      </c>
      <c r="C3225" s="209" t="s">
        <v>2893</v>
      </c>
      <c r="D3225" s="447" t="s">
        <v>134</v>
      </c>
      <c r="E3225" s="273">
        <v>0</v>
      </c>
      <c r="F3225" s="274"/>
      <c r="G3225" s="274">
        <f t="shared" si="12"/>
        <v>0</v>
      </c>
      <c r="H3225" s="274">
        <v>0</v>
      </c>
      <c r="K3225" s="274"/>
    </row>
    <row r="3226" spans="2:11" ht="13.5" customHeight="1">
      <c r="B3226" s="209" t="s">
        <v>570</v>
      </c>
      <c r="C3226" s="209" t="s">
        <v>2893</v>
      </c>
      <c r="D3226" s="448" t="s">
        <v>135</v>
      </c>
      <c r="E3226" s="273">
        <v>0</v>
      </c>
      <c r="F3226" s="274"/>
      <c r="G3226" s="274">
        <f t="shared" si="12"/>
        <v>0</v>
      </c>
      <c r="H3226" s="274">
        <v>0</v>
      </c>
      <c r="K3226" s="274"/>
    </row>
    <row r="3227" spans="2:11" ht="13.5" customHeight="1">
      <c r="B3227" s="209" t="s">
        <v>570</v>
      </c>
      <c r="C3227" s="209" t="s">
        <v>2893</v>
      </c>
      <c r="D3227" s="449" t="s">
        <v>136</v>
      </c>
      <c r="E3227" s="273">
        <v>0</v>
      </c>
      <c r="F3227" s="274"/>
      <c r="G3227" s="274">
        <f t="shared" si="12"/>
        <v>0</v>
      </c>
      <c r="H3227" s="274">
        <v>0</v>
      </c>
      <c r="K3227" s="274"/>
    </row>
    <row r="3228" spans="2:11" ht="13.5" customHeight="1">
      <c r="B3228" s="209" t="s">
        <v>570</v>
      </c>
      <c r="C3228" s="209" t="s">
        <v>2893</v>
      </c>
      <c r="D3228" s="450" t="s">
        <v>137</v>
      </c>
      <c r="E3228" s="273">
        <v>0</v>
      </c>
      <c r="F3228" s="274"/>
      <c r="G3228" s="274">
        <f t="shared" si="12"/>
        <v>0</v>
      </c>
      <c r="H3228" s="274">
        <v>0</v>
      </c>
      <c r="K3228" s="274"/>
    </row>
    <row r="3229" spans="2:11" ht="13.5" customHeight="1">
      <c r="B3229" s="209" t="s">
        <v>570</v>
      </c>
      <c r="C3229" s="209" t="s">
        <v>2893</v>
      </c>
      <c r="D3229" s="451" t="s">
        <v>138</v>
      </c>
      <c r="E3229" s="273">
        <v>0</v>
      </c>
      <c r="F3229" s="274"/>
      <c r="G3229" s="274">
        <f t="shared" si="12"/>
        <v>0</v>
      </c>
      <c r="H3229" s="274">
        <v>0</v>
      </c>
      <c r="K3229" s="274"/>
    </row>
    <row r="3230" spans="2:11" ht="13.5" customHeight="1">
      <c r="B3230" s="209" t="s">
        <v>570</v>
      </c>
      <c r="C3230" s="209" t="s">
        <v>2893</v>
      </c>
      <c r="D3230" s="452" t="s">
        <v>139</v>
      </c>
      <c r="E3230" s="273">
        <v>0</v>
      </c>
      <c r="F3230" s="274"/>
      <c r="G3230" s="274">
        <f t="shared" si="12"/>
        <v>0</v>
      </c>
      <c r="H3230" s="274">
        <v>0</v>
      </c>
      <c r="K3230" s="274"/>
    </row>
    <row r="3231" spans="2:11" ht="13.5" customHeight="1">
      <c r="B3231" s="209" t="s">
        <v>570</v>
      </c>
      <c r="C3231" s="209" t="s">
        <v>2893</v>
      </c>
      <c r="D3231" s="216" t="s">
        <v>140</v>
      </c>
      <c r="E3231" s="273">
        <v>0</v>
      </c>
      <c r="F3231" s="274"/>
      <c r="G3231" s="274">
        <f t="shared" si="12"/>
        <v>0</v>
      </c>
      <c r="H3231" s="274">
        <v>0</v>
      </c>
      <c r="K3231" s="274"/>
    </row>
    <row r="3232" spans="2:11" ht="13.5" customHeight="1">
      <c r="B3232" s="209" t="s">
        <v>570</v>
      </c>
      <c r="C3232" s="209" t="s">
        <v>2893</v>
      </c>
      <c r="D3232" s="453" t="s">
        <v>141</v>
      </c>
      <c r="E3232" s="273">
        <v>0</v>
      </c>
      <c r="F3232" s="274"/>
      <c r="G3232" s="274">
        <f t="shared" si="12"/>
        <v>0</v>
      </c>
      <c r="H3232" s="274">
        <v>0</v>
      </c>
      <c r="K3232" s="274"/>
    </row>
    <row r="3233" spans="2:11" ht="13.5" customHeight="1">
      <c r="B3233" s="209" t="s">
        <v>598</v>
      </c>
      <c r="C3233" s="209" t="s">
        <v>2894</v>
      </c>
      <c r="D3233" s="446" t="s">
        <v>133</v>
      </c>
      <c r="E3233" s="273">
        <v>0</v>
      </c>
      <c r="F3233" s="274"/>
      <c r="G3233" s="274">
        <f t="shared" si="12"/>
        <v>0</v>
      </c>
      <c r="H3233" s="274">
        <v>0</v>
      </c>
      <c r="K3233" s="274"/>
    </row>
    <row r="3234" spans="2:11" ht="13.5" customHeight="1">
      <c r="B3234" s="209" t="s">
        <v>598</v>
      </c>
      <c r="C3234" s="209" t="s">
        <v>2894</v>
      </c>
      <c r="D3234" s="447" t="s">
        <v>134</v>
      </c>
      <c r="E3234" s="273">
        <v>0</v>
      </c>
      <c r="F3234" s="274"/>
      <c r="G3234" s="274">
        <f t="shared" si="12"/>
        <v>0</v>
      </c>
      <c r="H3234" s="274">
        <v>0</v>
      </c>
      <c r="K3234" s="274"/>
    </row>
    <row r="3235" spans="2:11" ht="13.5" customHeight="1">
      <c r="B3235" s="209" t="s">
        <v>598</v>
      </c>
      <c r="C3235" s="209" t="s">
        <v>2894</v>
      </c>
      <c r="D3235" s="448" t="s">
        <v>135</v>
      </c>
      <c r="E3235" s="273">
        <v>0</v>
      </c>
      <c r="F3235" s="274"/>
      <c r="G3235" s="274">
        <f t="shared" si="12"/>
        <v>0</v>
      </c>
      <c r="H3235" s="274">
        <v>0</v>
      </c>
      <c r="K3235" s="274"/>
    </row>
    <row r="3236" spans="2:11" ht="13.5" customHeight="1">
      <c r="B3236" s="209" t="s">
        <v>598</v>
      </c>
      <c r="C3236" s="209" t="s">
        <v>2894</v>
      </c>
      <c r="D3236" s="449" t="s">
        <v>136</v>
      </c>
      <c r="E3236" s="273">
        <v>0</v>
      </c>
      <c r="F3236" s="274"/>
      <c r="G3236" s="274">
        <f t="shared" si="12"/>
        <v>0</v>
      </c>
      <c r="H3236" s="274">
        <v>0</v>
      </c>
      <c r="K3236" s="274"/>
    </row>
    <row r="3237" spans="2:11" ht="13.5" customHeight="1">
      <c r="B3237" s="209" t="s">
        <v>598</v>
      </c>
      <c r="C3237" s="209" t="s">
        <v>2894</v>
      </c>
      <c r="D3237" s="450" t="s">
        <v>137</v>
      </c>
      <c r="E3237" s="273">
        <v>0</v>
      </c>
      <c r="F3237" s="274"/>
      <c r="G3237" s="274">
        <f t="shared" si="12"/>
        <v>0</v>
      </c>
      <c r="H3237" s="274">
        <v>0</v>
      </c>
      <c r="K3237" s="274"/>
    </row>
    <row r="3238" spans="2:11" ht="13.5" customHeight="1">
      <c r="B3238" s="209" t="s">
        <v>598</v>
      </c>
      <c r="C3238" s="209" t="s">
        <v>2894</v>
      </c>
      <c r="D3238" s="451" t="s">
        <v>138</v>
      </c>
      <c r="E3238" s="273">
        <v>0</v>
      </c>
      <c r="F3238" s="274"/>
      <c r="G3238" s="274">
        <f t="shared" si="12"/>
        <v>0</v>
      </c>
      <c r="H3238" s="274">
        <v>0</v>
      </c>
      <c r="K3238" s="274"/>
    </row>
    <row r="3239" spans="2:11" ht="13.5" customHeight="1">
      <c r="B3239" s="209" t="s">
        <v>598</v>
      </c>
      <c r="C3239" s="209" t="s">
        <v>2894</v>
      </c>
      <c r="D3239" s="452" t="s">
        <v>139</v>
      </c>
      <c r="E3239" s="273">
        <v>0</v>
      </c>
      <c r="F3239" s="274"/>
      <c r="G3239" s="274">
        <f t="shared" si="12"/>
        <v>0</v>
      </c>
      <c r="H3239" s="274">
        <v>0</v>
      </c>
      <c r="K3239" s="274"/>
    </row>
    <row r="3240" spans="2:11" ht="13.5" customHeight="1">
      <c r="B3240" s="209" t="s">
        <v>598</v>
      </c>
      <c r="C3240" s="209" t="s">
        <v>2894</v>
      </c>
      <c r="D3240" s="216" t="s">
        <v>140</v>
      </c>
      <c r="E3240" s="273">
        <v>0</v>
      </c>
      <c r="F3240" s="274"/>
      <c r="G3240" s="274">
        <f t="shared" si="12"/>
        <v>0</v>
      </c>
      <c r="H3240" s="274">
        <v>0</v>
      </c>
      <c r="K3240" s="274"/>
    </row>
    <row r="3241" spans="2:11" ht="13.5" customHeight="1">
      <c r="B3241" s="209" t="s">
        <v>598</v>
      </c>
      <c r="C3241" s="209" t="s">
        <v>2894</v>
      </c>
      <c r="D3241" s="453" t="s">
        <v>141</v>
      </c>
      <c r="E3241" s="273">
        <v>0</v>
      </c>
      <c r="F3241" s="274"/>
      <c r="G3241" s="274">
        <f t="shared" si="12"/>
        <v>0</v>
      </c>
      <c r="H3241" s="274">
        <v>0</v>
      </c>
      <c r="K3241" s="274"/>
    </row>
    <row r="3242" spans="2:11" ht="13.5" customHeight="1">
      <c r="B3242" s="209" t="s">
        <v>572</v>
      </c>
      <c r="C3242" s="209" t="s">
        <v>2895</v>
      </c>
      <c r="D3242" s="446" t="s">
        <v>133</v>
      </c>
      <c r="E3242" s="273">
        <v>0</v>
      </c>
      <c r="F3242" s="274"/>
      <c r="G3242" s="274">
        <f t="shared" si="12"/>
        <v>0</v>
      </c>
      <c r="H3242" s="274">
        <v>0</v>
      </c>
      <c r="K3242" s="274"/>
    </row>
    <row r="3243" spans="2:11" ht="13.5" customHeight="1">
      <c r="B3243" s="209" t="s">
        <v>572</v>
      </c>
      <c r="C3243" s="209" t="s">
        <v>2895</v>
      </c>
      <c r="D3243" s="447" t="s">
        <v>134</v>
      </c>
      <c r="E3243" s="273">
        <v>0</v>
      </c>
      <c r="F3243" s="274"/>
      <c r="G3243" s="274">
        <f t="shared" si="12"/>
        <v>0</v>
      </c>
      <c r="H3243" s="274">
        <v>0</v>
      </c>
      <c r="K3243" s="274"/>
    </row>
    <row r="3244" spans="2:11" ht="13.5" customHeight="1">
      <c r="B3244" s="209" t="s">
        <v>572</v>
      </c>
      <c r="C3244" s="209" t="s">
        <v>2895</v>
      </c>
      <c r="D3244" s="448" t="s">
        <v>135</v>
      </c>
      <c r="E3244" s="273">
        <v>0</v>
      </c>
      <c r="F3244" s="274"/>
      <c r="G3244" s="274">
        <f t="shared" si="12"/>
        <v>0</v>
      </c>
      <c r="H3244" s="274">
        <v>0</v>
      </c>
      <c r="K3244" s="274"/>
    </row>
    <row r="3245" spans="2:11" ht="13.5" customHeight="1">
      <c r="B3245" s="209" t="s">
        <v>572</v>
      </c>
      <c r="C3245" s="209" t="s">
        <v>2895</v>
      </c>
      <c r="D3245" s="449" t="s">
        <v>136</v>
      </c>
      <c r="E3245" s="273">
        <v>0</v>
      </c>
      <c r="F3245" s="274"/>
      <c r="G3245" s="274">
        <f t="shared" si="12"/>
        <v>0</v>
      </c>
      <c r="H3245" s="274">
        <v>0</v>
      </c>
      <c r="K3245" s="274"/>
    </row>
    <row r="3246" spans="2:11" ht="13.5" customHeight="1">
      <c r="B3246" s="209" t="s">
        <v>572</v>
      </c>
      <c r="C3246" s="209" t="s">
        <v>2895</v>
      </c>
      <c r="D3246" s="450" t="s">
        <v>137</v>
      </c>
      <c r="E3246" s="273">
        <v>0</v>
      </c>
      <c r="F3246" s="274"/>
      <c r="G3246" s="274">
        <f t="shared" si="12"/>
        <v>0</v>
      </c>
      <c r="H3246" s="274">
        <v>0</v>
      </c>
      <c r="K3246" s="274"/>
    </row>
    <row r="3247" spans="2:11" ht="13.5" customHeight="1">
      <c r="B3247" s="209" t="s">
        <v>572</v>
      </c>
      <c r="C3247" s="209" t="s">
        <v>2895</v>
      </c>
      <c r="D3247" s="451" t="s">
        <v>138</v>
      </c>
      <c r="E3247" s="273">
        <v>0</v>
      </c>
      <c r="F3247" s="274"/>
      <c r="G3247" s="274">
        <f t="shared" si="12"/>
        <v>0</v>
      </c>
      <c r="H3247" s="274">
        <v>0</v>
      </c>
      <c r="K3247" s="274"/>
    </row>
    <row r="3248" spans="2:11" ht="13.5" customHeight="1">
      <c r="B3248" s="209" t="s">
        <v>572</v>
      </c>
      <c r="C3248" s="209" t="s">
        <v>2895</v>
      </c>
      <c r="D3248" s="452" t="s">
        <v>139</v>
      </c>
      <c r="E3248" s="273">
        <v>0</v>
      </c>
      <c r="F3248" s="274"/>
      <c r="G3248" s="274">
        <f t="shared" si="12"/>
        <v>0</v>
      </c>
      <c r="H3248" s="274">
        <v>0</v>
      </c>
      <c r="K3248" s="274"/>
    </row>
    <row r="3249" spans="2:11" ht="13.5" customHeight="1">
      <c r="B3249" s="209" t="s">
        <v>572</v>
      </c>
      <c r="C3249" s="209" t="s">
        <v>2895</v>
      </c>
      <c r="D3249" s="216" t="s">
        <v>140</v>
      </c>
      <c r="E3249" s="273">
        <v>0</v>
      </c>
      <c r="F3249" s="274"/>
      <c r="G3249" s="274">
        <f t="shared" si="12"/>
        <v>0</v>
      </c>
      <c r="H3249" s="274">
        <v>0</v>
      </c>
      <c r="K3249" s="274"/>
    </row>
    <row r="3250" spans="2:11" ht="13.5" customHeight="1">
      <c r="B3250" s="209" t="s">
        <v>572</v>
      </c>
      <c r="C3250" s="209" t="s">
        <v>2895</v>
      </c>
      <c r="D3250" s="453" t="s">
        <v>141</v>
      </c>
      <c r="E3250" s="273">
        <v>0</v>
      </c>
      <c r="F3250" s="274"/>
      <c r="G3250" s="274">
        <f t="shared" si="12"/>
        <v>0</v>
      </c>
      <c r="H3250" s="274">
        <v>0</v>
      </c>
      <c r="K3250" s="274"/>
    </row>
    <row r="3251" spans="2:11" ht="13.5" customHeight="1">
      <c r="B3251" s="209" t="s">
        <v>574</v>
      </c>
      <c r="C3251" s="209" t="s">
        <v>2896</v>
      </c>
      <c r="D3251" s="446" t="s">
        <v>133</v>
      </c>
      <c r="E3251" s="273">
        <v>0</v>
      </c>
      <c r="F3251" s="274"/>
      <c r="G3251" s="274">
        <f t="shared" si="12"/>
        <v>0</v>
      </c>
      <c r="H3251" s="274">
        <v>0</v>
      </c>
      <c r="K3251" s="274"/>
    </row>
    <row r="3252" spans="2:11" ht="13.5" customHeight="1">
      <c r="B3252" s="209" t="s">
        <v>574</v>
      </c>
      <c r="C3252" s="209" t="s">
        <v>2896</v>
      </c>
      <c r="D3252" s="447" t="s">
        <v>134</v>
      </c>
      <c r="E3252" s="273">
        <v>0</v>
      </c>
      <c r="F3252" s="274"/>
      <c r="G3252" s="274">
        <f t="shared" si="12"/>
        <v>0</v>
      </c>
      <c r="H3252" s="274">
        <v>0</v>
      </c>
      <c r="K3252" s="274"/>
    </row>
    <row r="3253" spans="2:11" ht="13.5" customHeight="1">
      <c r="B3253" s="209" t="s">
        <v>574</v>
      </c>
      <c r="C3253" s="209" t="s">
        <v>2896</v>
      </c>
      <c r="D3253" s="448" t="s">
        <v>135</v>
      </c>
      <c r="E3253" s="273">
        <v>0</v>
      </c>
      <c r="F3253" s="274"/>
      <c r="G3253" s="274">
        <f t="shared" si="12"/>
        <v>0</v>
      </c>
      <c r="H3253" s="274">
        <v>0</v>
      </c>
      <c r="K3253" s="274"/>
    </row>
    <row r="3254" spans="2:11" ht="13.5" customHeight="1">
      <c r="B3254" s="209" t="s">
        <v>574</v>
      </c>
      <c r="C3254" s="209" t="s">
        <v>2896</v>
      </c>
      <c r="D3254" s="449" t="s">
        <v>136</v>
      </c>
      <c r="E3254" s="273">
        <v>0</v>
      </c>
      <c r="F3254" s="274"/>
      <c r="G3254" s="274">
        <f t="shared" si="12"/>
        <v>0</v>
      </c>
      <c r="H3254" s="274">
        <v>0</v>
      </c>
      <c r="K3254" s="274"/>
    </row>
    <row r="3255" spans="2:11" ht="13.5" customHeight="1">
      <c r="B3255" s="209" t="s">
        <v>574</v>
      </c>
      <c r="C3255" s="209" t="s">
        <v>2896</v>
      </c>
      <c r="D3255" s="450" t="s">
        <v>137</v>
      </c>
      <c r="E3255" s="273">
        <v>0</v>
      </c>
      <c r="F3255" s="274"/>
      <c r="G3255" s="274">
        <f t="shared" si="12"/>
        <v>0</v>
      </c>
      <c r="H3255" s="274">
        <v>0</v>
      </c>
      <c r="K3255" s="274"/>
    </row>
    <row r="3256" spans="2:11" ht="13.5" customHeight="1">
      <c r="B3256" s="209" t="s">
        <v>574</v>
      </c>
      <c r="C3256" s="209" t="s">
        <v>2896</v>
      </c>
      <c r="D3256" s="451" t="s">
        <v>138</v>
      </c>
      <c r="E3256" s="273">
        <v>0</v>
      </c>
      <c r="F3256" s="274"/>
      <c r="G3256" s="274">
        <f t="shared" si="12"/>
        <v>0</v>
      </c>
      <c r="H3256" s="274">
        <v>0</v>
      </c>
      <c r="K3256" s="274"/>
    </row>
    <row r="3257" spans="2:11" ht="13.5" customHeight="1">
      <c r="B3257" s="209" t="s">
        <v>574</v>
      </c>
      <c r="C3257" s="209" t="s">
        <v>2896</v>
      </c>
      <c r="D3257" s="452" t="s">
        <v>139</v>
      </c>
      <c r="E3257" s="273">
        <v>0</v>
      </c>
      <c r="F3257" s="274"/>
      <c r="G3257" s="274">
        <f t="shared" si="12"/>
        <v>0</v>
      </c>
      <c r="H3257" s="274">
        <v>0</v>
      </c>
      <c r="K3257" s="274"/>
    </row>
    <row r="3258" spans="2:11" ht="13.5" customHeight="1">
      <c r="B3258" s="209" t="s">
        <v>574</v>
      </c>
      <c r="C3258" s="209" t="s">
        <v>2896</v>
      </c>
      <c r="D3258" s="216" t="s">
        <v>140</v>
      </c>
      <c r="E3258" s="273">
        <v>0</v>
      </c>
      <c r="F3258" s="274"/>
      <c r="G3258" s="274">
        <f t="shared" si="12"/>
        <v>0</v>
      </c>
      <c r="H3258" s="274">
        <v>0</v>
      </c>
      <c r="K3258" s="274"/>
    </row>
    <row r="3259" spans="2:11" ht="13.5" customHeight="1">
      <c r="B3259" s="209" t="s">
        <v>574</v>
      </c>
      <c r="C3259" s="209" t="s">
        <v>2896</v>
      </c>
      <c r="D3259" s="453" t="s">
        <v>141</v>
      </c>
      <c r="E3259" s="273">
        <v>0</v>
      </c>
      <c r="F3259" s="274"/>
      <c r="G3259" s="274">
        <f t="shared" si="12"/>
        <v>0</v>
      </c>
      <c r="H3259" s="274">
        <v>0</v>
      </c>
      <c r="K3259" s="274"/>
    </row>
    <row r="3260" spans="2:11" ht="13.5" customHeight="1">
      <c r="B3260" s="209" t="s">
        <v>553</v>
      </c>
      <c r="C3260" s="209" t="s">
        <v>2897</v>
      </c>
      <c r="D3260" s="446" t="s">
        <v>133</v>
      </c>
      <c r="E3260" s="273">
        <v>0</v>
      </c>
      <c r="F3260" s="274"/>
      <c r="G3260" s="274">
        <f t="shared" si="12"/>
        <v>0</v>
      </c>
      <c r="H3260" s="274">
        <v>0</v>
      </c>
      <c r="K3260" s="274"/>
    </row>
    <row r="3261" spans="2:11" ht="13.5" customHeight="1">
      <c r="B3261" s="209" t="s">
        <v>553</v>
      </c>
      <c r="C3261" s="209" t="s">
        <v>2897</v>
      </c>
      <c r="D3261" s="447" t="s">
        <v>134</v>
      </c>
      <c r="E3261" s="273">
        <v>0</v>
      </c>
      <c r="F3261" s="274"/>
      <c r="G3261" s="274">
        <f t="shared" si="12"/>
        <v>0</v>
      </c>
      <c r="H3261" s="274">
        <v>0</v>
      </c>
      <c r="K3261" s="274"/>
    </row>
    <row r="3262" spans="2:11" ht="13.5" customHeight="1">
      <c r="B3262" s="209" t="s">
        <v>553</v>
      </c>
      <c r="C3262" s="209" t="s">
        <v>2897</v>
      </c>
      <c r="D3262" s="448" t="s">
        <v>135</v>
      </c>
      <c r="E3262" s="273">
        <v>0</v>
      </c>
      <c r="F3262" s="274"/>
      <c r="G3262" s="274">
        <f t="shared" si="12"/>
        <v>0</v>
      </c>
      <c r="H3262" s="274">
        <v>0</v>
      </c>
      <c r="K3262" s="274"/>
    </row>
    <row r="3263" spans="2:11" ht="13.5" customHeight="1">
      <c r="B3263" s="209" t="s">
        <v>553</v>
      </c>
      <c r="C3263" s="209" t="s">
        <v>2897</v>
      </c>
      <c r="D3263" s="449" t="s">
        <v>136</v>
      </c>
      <c r="E3263" s="273">
        <v>0</v>
      </c>
      <c r="F3263" s="274"/>
      <c r="G3263" s="274">
        <f t="shared" si="12"/>
        <v>0</v>
      </c>
      <c r="H3263" s="274">
        <v>0</v>
      </c>
      <c r="K3263" s="274"/>
    </row>
    <row r="3264" spans="2:11" ht="13.5" customHeight="1">
      <c r="B3264" s="209" t="s">
        <v>553</v>
      </c>
      <c r="C3264" s="209" t="s">
        <v>2897</v>
      </c>
      <c r="D3264" s="450" t="s">
        <v>137</v>
      </c>
      <c r="E3264" s="273">
        <v>0</v>
      </c>
      <c r="F3264" s="274"/>
      <c r="G3264" s="274">
        <f t="shared" si="12"/>
        <v>0</v>
      </c>
      <c r="H3264" s="274">
        <v>0</v>
      </c>
      <c r="K3264" s="274"/>
    </row>
    <row r="3265" spans="2:11" ht="13.5" customHeight="1">
      <c r="B3265" s="209" t="s">
        <v>553</v>
      </c>
      <c r="C3265" s="209" t="s">
        <v>2897</v>
      </c>
      <c r="D3265" s="451" t="s">
        <v>138</v>
      </c>
      <c r="E3265" s="273">
        <v>0</v>
      </c>
      <c r="F3265" s="274"/>
      <c r="G3265" s="274">
        <f t="shared" si="12"/>
        <v>0</v>
      </c>
      <c r="H3265" s="274">
        <v>0</v>
      </c>
      <c r="K3265" s="274"/>
    </row>
    <row r="3266" spans="2:11" ht="13.5" customHeight="1">
      <c r="B3266" s="209" t="s">
        <v>553</v>
      </c>
      <c r="C3266" s="209" t="s">
        <v>2897</v>
      </c>
      <c r="D3266" s="452" t="s">
        <v>139</v>
      </c>
      <c r="E3266" s="273">
        <v>0</v>
      </c>
      <c r="F3266" s="274"/>
      <c r="G3266" s="274">
        <f t="shared" si="12"/>
        <v>0</v>
      </c>
      <c r="H3266" s="274">
        <v>0</v>
      </c>
      <c r="K3266" s="274"/>
    </row>
    <row r="3267" spans="2:11" ht="13.5" customHeight="1">
      <c r="B3267" s="209" t="s">
        <v>553</v>
      </c>
      <c r="C3267" s="209" t="s">
        <v>2897</v>
      </c>
      <c r="D3267" s="216" t="s">
        <v>140</v>
      </c>
      <c r="E3267" s="273">
        <v>0</v>
      </c>
      <c r="F3267" s="274"/>
      <c r="G3267" s="274">
        <f t="shared" si="12"/>
        <v>0</v>
      </c>
      <c r="H3267" s="274">
        <v>0</v>
      </c>
      <c r="K3267" s="274"/>
    </row>
    <row r="3268" spans="2:11" ht="13.5" customHeight="1">
      <c r="B3268" s="209" t="s">
        <v>553</v>
      </c>
      <c r="C3268" s="209" t="s">
        <v>2897</v>
      </c>
      <c r="D3268" s="453" t="s">
        <v>141</v>
      </c>
      <c r="E3268" s="273">
        <v>0</v>
      </c>
      <c r="F3268" s="274"/>
      <c r="G3268" s="274">
        <f t="shared" si="12"/>
        <v>0</v>
      </c>
      <c r="H3268" s="274">
        <v>0</v>
      </c>
      <c r="K3268" s="274"/>
    </row>
    <row r="3269" spans="2:11" ht="13.5" customHeight="1">
      <c r="B3269" s="209" t="s">
        <v>541</v>
      </c>
      <c r="C3269" s="209" t="s">
        <v>2898</v>
      </c>
      <c r="D3269" s="446" t="s">
        <v>133</v>
      </c>
      <c r="E3269" s="273">
        <v>0</v>
      </c>
      <c r="F3269" s="274"/>
      <c r="G3269" s="274">
        <f t="shared" si="12"/>
        <v>0</v>
      </c>
      <c r="H3269" s="274">
        <v>0</v>
      </c>
      <c r="K3269" s="274"/>
    </row>
    <row r="3270" spans="2:11" ht="13.5" customHeight="1">
      <c r="B3270" s="209" t="s">
        <v>541</v>
      </c>
      <c r="C3270" s="209" t="s">
        <v>2898</v>
      </c>
      <c r="D3270" s="447" t="s">
        <v>134</v>
      </c>
      <c r="E3270" s="273">
        <v>0</v>
      </c>
      <c r="F3270" s="274"/>
      <c r="G3270" s="274">
        <f t="shared" si="12"/>
        <v>0</v>
      </c>
      <c r="H3270" s="274">
        <v>0</v>
      </c>
      <c r="K3270" s="274"/>
    </row>
    <row r="3271" spans="2:11" ht="13.5" customHeight="1">
      <c r="B3271" s="209" t="s">
        <v>541</v>
      </c>
      <c r="C3271" s="209" t="s">
        <v>2898</v>
      </c>
      <c r="D3271" s="448" t="s">
        <v>135</v>
      </c>
      <c r="E3271" s="273">
        <v>0</v>
      </c>
      <c r="F3271" s="274"/>
      <c r="G3271" s="274">
        <f t="shared" si="12"/>
        <v>0</v>
      </c>
      <c r="H3271" s="274">
        <v>0</v>
      </c>
      <c r="K3271" s="274"/>
    </row>
    <row r="3272" spans="2:11" ht="13.5" customHeight="1">
      <c r="B3272" s="209" t="s">
        <v>541</v>
      </c>
      <c r="C3272" s="209" t="s">
        <v>2898</v>
      </c>
      <c r="D3272" s="449" t="s">
        <v>136</v>
      </c>
      <c r="E3272" s="273">
        <v>0</v>
      </c>
      <c r="F3272" s="274"/>
      <c r="G3272" s="274">
        <f t="shared" si="12"/>
        <v>0</v>
      </c>
      <c r="H3272" s="274">
        <v>0</v>
      </c>
      <c r="K3272" s="274"/>
    </row>
    <row r="3273" spans="2:11" ht="13.5" customHeight="1">
      <c r="B3273" s="209" t="s">
        <v>541</v>
      </c>
      <c r="C3273" s="209" t="s">
        <v>2898</v>
      </c>
      <c r="D3273" s="450" t="s">
        <v>137</v>
      </c>
      <c r="E3273" s="273">
        <v>0</v>
      </c>
      <c r="F3273" s="274"/>
      <c r="G3273" s="274">
        <f t="shared" si="12"/>
        <v>0</v>
      </c>
      <c r="H3273" s="274">
        <v>0</v>
      </c>
      <c r="K3273" s="274"/>
    </row>
    <row r="3274" spans="2:11" ht="13.5" customHeight="1">
      <c r="B3274" s="209" t="s">
        <v>541</v>
      </c>
      <c r="C3274" s="209" t="s">
        <v>2898</v>
      </c>
      <c r="D3274" s="451" t="s">
        <v>138</v>
      </c>
      <c r="E3274" s="273">
        <v>0</v>
      </c>
      <c r="F3274" s="274"/>
      <c r="G3274" s="274">
        <f t="shared" si="12"/>
        <v>0</v>
      </c>
      <c r="H3274" s="274">
        <v>0</v>
      </c>
      <c r="K3274" s="274"/>
    </row>
    <row r="3275" spans="2:11" ht="13.5" customHeight="1">
      <c r="B3275" s="209" t="s">
        <v>541</v>
      </c>
      <c r="C3275" s="209" t="s">
        <v>2898</v>
      </c>
      <c r="D3275" s="452" t="s">
        <v>139</v>
      </c>
      <c r="E3275" s="273">
        <v>0</v>
      </c>
      <c r="F3275" s="274"/>
      <c r="G3275" s="274">
        <f t="shared" si="12"/>
        <v>0</v>
      </c>
      <c r="H3275" s="274">
        <v>0</v>
      </c>
      <c r="K3275" s="274"/>
    </row>
    <row r="3276" spans="2:11" ht="13.5" customHeight="1">
      <c r="B3276" s="209" t="s">
        <v>541</v>
      </c>
      <c r="C3276" s="209" t="s">
        <v>2898</v>
      </c>
      <c r="D3276" s="216" t="s">
        <v>140</v>
      </c>
      <c r="E3276" s="273">
        <v>0</v>
      </c>
      <c r="F3276" s="274"/>
      <c r="G3276" s="274">
        <f t="shared" si="12"/>
        <v>0</v>
      </c>
      <c r="H3276" s="274">
        <v>0</v>
      </c>
      <c r="K3276" s="274"/>
    </row>
    <row r="3277" spans="2:11" ht="13.5" customHeight="1">
      <c r="B3277" s="209" t="s">
        <v>541</v>
      </c>
      <c r="C3277" s="209" t="s">
        <v>2898</v>
      </c>
      <c r="D3277" s="453" t="s">
        <v>141</v>
      </c>
      <c r="E3277" s="273">
        <v>0</v>
      </c>
      <c r="F3277" s="274"/>
      <c r="G3277" s="274">
        <f t="shared" si="12"/>
        <v>0</v>
      </c>
      <c r="H3277" s="274">
        <v>0</v>
      </c>
      <c r="K3277" s="274"/>
    </row>
    <row r="3278" spans="2:11" ht="13.5" customHeight="1">
      <c r="B3278" s="209" t="s">
        <v>521</v>
      </c>
      <c r="C3278" s="209" t="s">
        <v>2899</v>
      </c>
      <c r="D3278" s="446" t="s">
        <v>133</v>
      </c>
      <c r="E3278" s="273">
        <v>0</v>
      </c>
      <c r="F3278" s="274"/>
      <c r="G3278" s="274">
        <f t="shared" si="12"/>
        <v>0</v>
      </c>
      <c r="H3278" s="274">
        <v>0</v>
      </c>
      <c r="K3278" s="274"/>
    </row>
    <row r="3279" spans="2:11" ht="13.5" customHeight="1">
      <c r="B3279" s="209" t="s">
        <v>521</v>
      </c>
      <c r="C3279" s="209" t="s">
        <v>2899</v>
      </c>
      <c r="D3279" s="447" t="s">
        <v>134</v>
      </c>
      <c r="E3279" s="273">
        <v>0</v>
      </c>
      <c r="F3279" s="274"/>
      <c r="G3279" s="274">
        <f t="shared" si="12"/>
        <v>0</v>
      </c>
      <c r="H3279" s="274">
        <v>0</v>
      </c>
      <c r="K3279" s="274"/>
    </row>
    <row r="3280" spans="2:11" ht="13.5" customHeight="1">
      <c r="B3280" s="209" t="s">
        <v>521</v>
      </c>
      <c r="C3280" s="209" t="s">
        <v>2899</v>
      </c>
      <c r="D3280" s="448" t="s">
        <v>135</v>
      </c>
      <c r="E3280" s="273">
        <v>0</v>
      </c>
      <c r="F3280" s="274"/>
      <c r="G3280" s="274">
        <f t="shared" si="12"/>
        <v>0</v>
      </c>
      <c r="H3280" s="274">
        <v>0</v>
      </c>
      <c r="K3280" s="274"/>
    </row>
    <row r="3281" spans="2:11" ht="13.5" customHeight="1">
      <c r="B3281" s="209" t="s">
        <v>521</v>
      </c>
      <c r="C3281" s="209" t="s">
        <v>2899</v>
      </c>
      <c r="D3281" s="449" t="s">
        <v>136</v>
      </c>
      <c r="E3281" s="273">
        <v>0</v>
      </c>
      <c r="F3281" s="274"/>
      <c r="G3281" s="274">
        <f t="shared" si="12"/>
        <v>0</v>
      </c>
      <c r="H3281" s="274">
        <v>0</v>
      </c>
      <c r="K3281" s="274"/>
    </row>
    <row r="3282" spans="2:11" ht="13.5" customHeight="1">
      <c r="B3282" s="209" t="s">
        <v>521</v>
      </c>
      <c r="C3282" s="209" t="s">
        <v>2899</v>
      </c>
      <c r="D3282" s="450" t="s">
        <v>137</v>
      </c>
      <c r="E3282" s="273">
        <v>0</v>
      </c>
      <c r="F3282" s="274"/>
      <c r="G3282" s="274">
        <f t="shared" si="12"/>
        <v>0</v>
      </c>
      <c r="H3282" s="274">
        <v>0</v>
      </c>
      <c r="K3282" s="274"/>
    </row>
    <row r="3283" spans="2:11" ht="13.5" customHeight="1">
      <c r="B3283" s="209" t="s">
        <v>521</v>
      </c>
      <c r="C3283" s="209" t="s">
        <v>2899</v>
      </c>
      <c r="D3283" s="451" t="s">
        <v>138</v>
      </c>
      <c r="E3283" s="273">
        <v>0</v>
      </c>
      <c r="F3283" s="274"/>
      <c r="G3283" s="274">
        <f t="shared" si="12"/>
        <v>0</v>
      </c>
      <c r="H3283" s="274">
        <v>0</v>
      </c>
      <c r="K3283" s="274"/>
    </row>
    <row r="3284" spans="2:11" ht="13.5" customHeight="1">
      <c r="B3284" s="209" t="s">
        <v>521</v>
      </c>
      <c r="C3284" s="209" t="s">
        <v>2899</v>
      </c>
      <c r="D3284" s="452" t="s">
        <v>139</v>
      </c>
      <c r="E3284" s="273">
        <v>0</v>
      </c>
      <c r="F3284" s="274"/>
      <c r="G3284" s="274">
        <f t="shared" si="12"/>
        <v>0</v>
      </c>
      <c r="H3284" s="274">
        <v>0</v>
      </c>
      <c r="K3284" s="274"/>
    </row>
    <row r="3285" spans="2:11" ht="13.5" customHeight="1">
      <c r="B3285" s="209" t="s">
        <v>521</v>
      </c>
      <c r="C3285" s="209" t="s">
        <v>2899</v>
      </c>
      <c r="D3285" s="216" t="s">
        <v>140</v>
      </c>
      <c r="E3285" s="273">
        <v>0</v>
      </c>
      <c r="F3285" s="274"/>
      <c r="G3285" s="274">
        <f t="shared" si="12"/>
        <v>0</v>
      </c>
      <c r="H3285" s="274">
        <v>0</v>
      </c>
      <c r="K3285" s="274"/>
    </row>
    <row r="3286" spans="2:11" ht="13.5" customHeight="1">
      <c r="B3286" s="209" t="s">
        <v>521</v>
      </c>
      <c r="C3286" s="209" t="s">
        <v>2899</v>
      </c>
      <c r="D3286" s="453" t="s">
        <v>141</v>
      </c>
      <c r="E3286" s="273">
        <v>0</v>
      </c>
      <c r="F3286" s="274"/>
      <c r="G3286" s="274">
        <f t="shared" si="12"/>
        <v>0</v>
      </c>
      <c r="H3286" s="274">
        <v>0</v>
      </c>
      <c r="K3286" s="274"/>
    </row>
    <row r="3287" spans="2:11" ht="13.5" customHeight="1">
      <c r="B3287" s="209" t="s">
        <v>523</v>
      </c>
      <c r="C3287" s="209" t="s">
        <v>2900</v>
      </c>
      <c r="D3287" s="446" t="s">
        <v>133</v>
      </c>
      <c r="E3287" s="273">
        <v>0</v>
      </c>
      <c r="F3287" s="274"/>
      <c r="G3287" s="274">
        <f t="shared" si="12"/>
        <v>0</v>
      </c>
      <c r="H3287" s="274">
        <v>0</v>
      </c>
      <c r="K3287" s="274"/>
    </row>
    <row r="3288" spans="2:11" ht="13.5" customHeight="1">
      <c r="B3288" s="209" t="s">
        <v>523</v>
      </c>
      <c r="C3288" s="209" t="s">
        <v>2900</v>
      </c>
      <c r="D3288" s="447" t="s">
        <v>134</v>
      </c>
      <c r="E3288" s="273">
        <v>0</v>
      </c>
      <c r="F3288" s="274"/>
      <c r="G3288" s="274">
        <f t="shared" si="12"/>
        <v>0</v>
      </c>
      <c r="H3288" s="274">
        <v>0</v>
      </c>
      <c r="K3288" s="274"/>
    </row>
    <row r="3289" spans="2:11" ht="13.5" customHeight="1">
      <c r="B3289" s="209" t="s">
        <v>523</v>
      </c>
      <c r="C3289" s="209" t="s">
        <v>2900</v>
      </c>
      <c r="D3289" s="448" t="s">
        <v>135</v>
      </c>
      <c r="E3289" s="273">
        <v>0</v>
      </c>
      <c r="F3289" s="274"/>
      <c r="G3289" s="274">
        <f t="shared" si="12"/>
        <v>0</v>
      </c>
      <c r="H3289" s="274">
        <v>0</v>
      </c>
      <c r="K3289" s="274"/>
    </row>
    <row r="3290" spans="2:11" ht="13.5" customHeight="1">
      <c r="B3290" s="209" t="s">
        <v>523</v>
      </c>
      <c r="C3290" s="209" t="s">
        <v>2900</v>
      </c>
      <c r="D3290" s="449" t="s">
        <v>136</v>
      </c>
      <c r="E3290" s="273">
        <v>0</v>
      </c>
      <c r="F3290" s="274"/>
      <c r="G3290" s="274">
        <f t="shared" si="12"/>
        <v>0</v>
      </c>
      <c r="H3290" s="274">
        <v>0</v>
      </c>
      <c r="K3290" s="274"/>
    </row>
    <row r="3291" spans="2:11" ht="13.5" customHeight="1">
      <c r="B3291" s="209" t="s">
        <v>523</v>
      </c>
      <c r="C3291" s="209" t="s">
        <v>2900</v>
      </c>
      <c r="D3291" s="450" t="s">
        <v>137</v>
      </c>
      <c r="E3291" s="273">
        <v>0</v>
      </c>
      <c r="F3291" s="274"/>
      <c r="G3291" s="274">
        <f t="shared" si="12"/>
        <v>0</v>
      </c>
      <c r="H3291" s="274">
        <v>0</v>
      </c>
      <c r="K3291" s="274"/>
    </row>
    <row r="3292" spans="2:11" ht="13.5" customHeight="1">
      <c r="B3292" s="209" t="s">
        <v>523</v>
      </c>
      <c r="C3292" s="209" t="s">
        <v>2900</v>
      </c>
      <c r="D3292" s="451" t="s">
        <v>138</v>
      </c>
      <c r="E3292" s="273">
        <v>0</v>
      </c>
      <c r="F3292" s="274"/>
      <c r="G3292" s="274">
        <f t="shared" si="12"/>
        <v>0</v>
      </c>
      <c r="H3292" s="274">
        <v>0</v>
      </c>
      <c r="K3292" s="274"/>
    </row>
    <row r="3293" spans="2:11" ht="13.5" customHeight="1">
      <c r="B3293" s="209" t="s">
        <v>523</v>
      </c>
      <c r="C3293" s="209" t="s">
        <v>2900</v>
      </c>
      <c r="D3293" s="452" t="s">
        <v>139</v>
      </c>
      <c r="E3293" s="273">
        <v>0</v>
      </c>
      <c r="F3293" s="274"/>
      <c r="G3293" s="274">
        <f t="shared" si="12"/>
        <v>0</v>
      </c>
      <c r="H3293" s="274">
        <v>0</v>
      </c>
      <c r="K3293" s="274"/>
    </row>
    <row r="3294" spans="2:11" ht="13.5" customHeight="1">
      <c r="B3294" s="209" t="s">
        <v>523</v>
      </c>
      <c r="C3294" s="209" t="s">
        <v>2900</v>
      </c>
      <c r="D3294" s="216" t="s">
        <v>140</v>
      </c>
      <c r="E3294" s="273">
        <v>0</v>
      </c>
      <c r="F3294" s="274"/>
      <c r="G3294" s="274">
        <f t="shared" si="12"/>
        <v>0</v>
      </c>
      <c r="H3294" s="274">
        <v>0</v>
      </c>
      <c r="K3294" s="274"/>
    </row>
    <row r="3295" spans="2:11" ht="13.5" customHeight="1">
      <c r="B3295" s="209" t="s">
        <v>523</v>
      </c>
      <c r="C3295" s="209" t="s">
        <v>2900</v>
      </c>
      <c r="D3295" s="453" t="s">
        <v>141</v>
      </c>
      <c r="E3295" s="273">
        <v>0</v>
      </c>
      <c r="F3295" s="274"/>
      <c r="G3295" s="274">
        <f t="shared" si="12"/>
        <v>0</v>
      </c>
      <c r="H3295" s="274">
        <v>0</v>
      </c>
      <c r="K3295" s="274"/>
    </row>
    <row r="3296" spans="2:11" ht="13.5" customHeight="1">
      <c r="B3296" s="209" t="s">
        <v>525</v>
      </c>
      <c r="C3296" s="209" t="s">
        <v>2901</v>
      </c>
      <c r="D3296" s="446" t="s">
        <v>133</v>
      </c>
      <c r="E3296" s="273">
        <v>0</v>
      </c>
      <c r="F3296" s="274"/>
      <c r="G3296" s="274">
        <f t="shared" si="12"/>
        <v>0</v>
      </c>
      <c r="H3296" s="274">
        <v>0</v>
      </c>
      <c r="K3296" s="274"/>
    </row>
    <row r="3297" spans="2:11" ht="13.5" customHeight="1">
      <c r="B3297" s="209" t="s">
        <v>525</v>
      </c>
      <c r="C3297" s="209" t="s">
        <v>2901</v>
      </c>
      <c r="D3297" s="447" t="s">
        <v>134</v>
      </c>
      <c r="E3297" s="273">
        <v>0</v>
      </c>
      <c r="F3297" s="274"/>
      <c r="G3297" s="274">
        <f t="shared" si="12"/>
        <v>0</v>
      </c>
      <c r="H3297" s="274">
        <v>0</v>
      </c>
      <c r="K3297" s="274"/>
    </row>
    <row r="3298" spans="2:11" ht="13.5" customHeight="1">
      <c r="B3298" s="209" t="s">
        <v>525</v>
      </c>
      <c r="C3298" s="209" t="s">
        <v>2901</v>
      </c>
      <c r="D3298" s="448" t="s">
        <v>135</v>
      </c>
      <c r="E3298" s="273">
        <v>0</v>
      </c>
      <c r="F3298" s="274"/>
      <c r="G3298" s="274">
        <f t="shared" si="12"/>
        <v>0</v>
      </c>
      <c r="H3298" s="274">
        <v>0</v>
      </c>
      <c r="K3298" s="274"/>
    </row>
    <row r="3299" spans="2:11" ht="13.5" customHeight="1">
      <c r="B3299" s="209" t="s">
        <v>525</v>
      </c>
      <c r="C3299" s="209" t="s">
        <v>2901</v>
      </c>
      <c r="D3299" s="449" t="s">
        <v>136</v>
      </c>
      <c r="E3299" s="273">
        <v>0</v>
      </c>
      <c r="F3299" s="274"/>
      <c r="G3299" s="274">
        <f t="shared" si="12"/>
        <v>0</v>
      </c>
      <c r="H3299" s="274">
        <v>0</v>
      </c>
      <c r="K3299" s="274"/>
    </row>
    <row r="3300" spans="2:11" ht="13.5" customHeight="1">
      <c r="B3300" s="209" t="s">
        <v>525</v>
      </c>
      <c r="C3300" s="209" t="s">
        <v>2901</v>
      </c>
      <c r="D3300" s="450" t="s">
        <v>137</v>
      </c>
      <c r="E3300" s="273">
        <v>0</v>
      </c>
      <c r="F3300" s="274"/>
      <c r="G3300" s="274">
        <f t="shared" si="12"/>
        <v>0</v>
      </c>
      <c r="H3300" s="274">
        <v>0</v>
      </c>
      <c r="K3300" s="274"/>
    </row>
    <row r="3301" spans="2:11" ht="13.5" customHeight="1">
      <c r="B3301" s="209" t="s">
        <v>525</v>
      </c>
      <c r="C3301" s="209" t="s">
        <v>2901</v>
      </c>
      <c r="D3301" s="451" t="s">
        <v>138</v>
      </c>
      <c r="E3301" s="273">
        <v>0</v>
      </c>
      <c r="F3301" s="274"/>
      <c r="G3301" s="274">
        <f t="shared" si="12"/>
        <v>0</v>
      </c>
      <c r="H3301" s="274">
        <v>0</v>
      </c>
      <c r="K3301" s="274"/>
    </row>
    <row r="3302" spans="2:11" ht="13.5" customHeight="1">
      <c r="B3302" s="209" t="s">
        <v>525</v>
      </c>
      <c r="C3302" s="209" t="s">
        <v>2901</v>
      </c>
      <c r="D3302" s="452" t="s">
        <v>139</v>
      </c>
      <c r="E3302" s="273">
        <v>0</v>
      </c>
      <c r="F3302" s="274"/>
      <c r="G3302" s="274">
        <f t="shared" si="12"/>
        <v>0</v>
      </c>
      <c r="H3302" s="274">
        <v>0</v>
      </c>
      <c r="K3302" s="274"/>
    </row>
    <row r="3303" spans="2:11" ht="13.5" customHeight="1">
      <c r="B3303" s="209" t="s">
        <v>525</v>
      </c>
      <c r="C3303" s="209" t="s">
        <v>2901</v>
      </c>
      <c r="D3303" s="216" t="s">
        <v>140</v>
      </c>
      <c r="E3303" s="273">
        <v>0</v>
      </c>
      <c r="F3303" s="274"/>
      <c r="G3303" s="274">
        <f t="shared" si="12"/>
        <v>0</v>
      </c>
      <c r="H3303" s="274">
        <v>0</v>
      </c>
      <c r="K3303" s="274"/>
    </row>
    <row r="3304" spans="2:11" ht="13.5" customHeight="1">
      <c r="B3304" s="209" t="s">
        <v>525</v>
      </c>
      <c r="C3304" s="209" t="s">
        <v>2901</v>
      </c>
      <c r="D3304" s="453" t="s">
        <v>141</v>
      </c>
      <c r="E3304" s="273">
        <v>0</v>
      </c>
      <c r="F3304" s="274"/>
      <c r="G3304" s="274">
        <f t="shared" si="12"/>
        <v>0</v>
      </c>
      <c r="H3304" s="274">
        <v>0</v>
      </c>
      <c r="K3304" s="274"/>
    </row>
    <row r="3305" spans="2:11" ht="13.5" customHeight="1">
      <c r="B3305" s="209" t="s">
        <v>527</v>
      </c>
      <c r="C3305" s="209" t="s">
        <v>2902</v>
      </c>
      <c r="D3305" s="446" t="s">
        <v>133</v>
      </c>
      <c r="E3305" s="273">
        <v>0</v>
      </c>
      <c r="F3305" s="274"/>
      <c r="G3305" s="274">
        <f t="shared" si="12"/>
        <v>0</v>
      </c>
      <c r="H3305" s="274">
        <v>0</v>
      </c>
      <c r="K3305" s="274"/>
    </row>
    <row r="3306" spans="2:11" ht="13.5" customHeight="1">
      <c r="B3306" s="209" t="s">
        <v>527</v>
      </c>
      <c r="C3306" s="209" t="s">
        <v>2902</v>
      </c>
      <c r="D3306" s="447" t="s">
        <v>134</v>
      </c>
      <c r="E3306" s="273">
        <v>0</v>
      </c>
      <c r="F3306" s="274"/>
      <c r="G3306" s="274">
        <f t="shared" si="12"/>
        <v>0</v>
      </c>
      <c r="H3306" s="274">
        <v>0</v>
      </c>
      <c r="K3306" s="274"/>
    </row>
    <row r="3307" spans="2:11" ht="13.5" customHeight="1">
      <c r="B3307" s="209" t="s">
        <v>527</v>
      </c>
      <c r="C3307" s="209" t="s">
        <v>2902</v>
      </c>
      <c r="D3307" s="448" t="s">
        <v>135</v>
      </c>
      <c r="E3307" s="273">
        <v>0</v>
      </c>
      <c r="F3307" s="274"/>
      <c r="G3307" s="274">
        <f t="shared" si="12"/>
        <v>0</v>
      </c>
      <c r="H3307" s="274">
        <v>0</v>
      </c>
      <c r="K3307" s="274"/>
    </row>
    <row r="3308" spans="2:11" ht="13.5" customHeight="1">
      <c r="B3308" s="209" t="s">
        <v>527</v>
      </c>
      <c r="C3308" s="209" t="s">
        <v>2902</v>
      </c>
      <c r="D3308" s="449" t="s">
        <v>136</v>
      </c>
      <c r="E3308" s="273">
        <v>0</v>
      </c>
      <c r="F3308" s="274"/>
      <c r="G3308" s="274">
        <f t="shared" si="12"/>
        <v>0</v>
      </c>
      <c r="H3308" s="274">
        <v>0</v>
      </c>
      <c r="K3308" s="274"/>
    </row>
    <row r="3309" spans="2:11" ht="13.5" customHeight="1">
      <c r="B3309" s="209" t="s">
        <v>527</v>
      </c>
      <c r="C3309" s="209" t="s">
        <v>2902</v>
      </c>
      <c r="D3309" s="450" t="s">
        <v>137</v>
      </c>
      <c r="E3309" s="273">
        <v>0</v>
      </c>
      <c r="F3309" s="274"/>
      <c r="G3309" s="274">
        <f t="shared" si="12"/>
        <v>0</v>
      </c>
      <c r="H3309" s="274">
        <v>0</v>
      </c>
      <c r="K3309" s="274"/>
    </row>
    <row r="3310" spans="2:11" ht="13.5" customHeight="1">
      <c r="B3310" s="209" t="s">
        <v>527</v>
      </c>
      <c r="C3310" s="209" t="s">
        <v>2902</v>
      </c>
      <c r="D3310" s="451" t="s">
        <v>138</v>
      </c>
      <c r="E3310" s="273">
        <v>0</v>
      </c>
      <c r="F3310" s="274"/>
      <c r="G3310" s="274">
        <f t="shared" si="12"/>
        <v>0</v>
      </c>
      <c r="H3310" s="274">
        <v>0</v>
      </c>
      <c r="K3310" s="274"/>
    </row>
    <row r="3311" spans="2:11" ht="13.5" customHeight="1">
      <c r="B3311" s="209" t="s">
        <v>527</v>
      </c>
      <c r="C3311" s="209" t="s">
        <v>2902</v>
      </c>
      <c r="D3311" s="452" t="s">
        <v>139</v>
      </c>
      <c r="E3311" s="273">
        <v>0</v>
      </c>
      <c r="F3311" s="274"/>
      <c r="G3311" s="274">
        <f t="shared" si="12"/>
        <v>0</v>
      </c>
      <c r="H3311" s="274">
        <v>0</v>
      </c>
      <c r="K3311" s="274"/>
    </row>
    <row r="3312" spans="2:11" ht="13.5" customHeight="1">
      <c r="B3312" s="209" t="s">
        <v>527</v>
      </c>
      <c r="C3312" s="209" t="s">
        <v>2902</v>
      </c>
      <c r="D3312" s="216" t="s">
        <v>140</v>
      </c>
      <c r="E3312" s="273">
        <v>0</v>
      </c>
      <c r="F3312" s="274"/>
      <c r="G3312" s="274">
        <f t="shared" si="12"/>
        <v>0</v>
      </c>
      <c r="H3312" s="274">
        <v>0</v>
      </c>
      <c r="K3312" s="274"/>
    </row>
    <row r="3313" spans="2:11" ht="13.5" customHeight="1">
      <c r="B3313" s="209" t="s">
        <v>527</v>
      </c>
      <c r="C3313" s="209" t="s">
        <v>2902</v>
      </c>
      <c r="D3313" s="453" t="s">
        <v>141</v>
      </c>
      <c r="E3313" s="273">
        <v>0</v>
      </c>
      <c r="F3313" s="274"/>
      <c r="G3313" s="274">
        <f t="shared" si="12"/>
        <v>0</v>
      </c>
      <c r="H3313" s="274">
        <v>0</v>
      </c>
      <c r="K3313" s="274"/>
    </row>
    <row r="3314" spans="2:11" ht="13.5" customHeight="1">
      <c r="B3314" s="209" t="s">
        <v>543</v>
      </c>
      <c r="C3314" s="209" t="s">
        <v>2903</v>
      </c>
      <c r="D3314" s="446" t="s">
        <v>133</v>
      </c>
      <c r="E3314" s="273">
        <v>0</v>
      </c>
      <c r="F3314" s="274"/>
      <c r="G3314" s="274">
        <f t="shared" si="12"/>
        <v>0</v>
      </c>
      <c r="H3314" s="274">
        <v>0</v>
      </c>
      <c r="K3314" s="274"/>
    </row>
    <row r="3315" spans="2:11" ht="13.5" customHeight="1">
      <c r="B3315" s="209" t="s">
        <v>543</v>
      </c>
      <c r="C3315" s="209" t="s">
        <v>2903</v>
      </c>
      <c r="D3315" s="447" t="s">
        <v>134</v>
      </c>
      <c r="E3315" s="273">
        <v>0</v>
      </c>
      <c r="F3315" s="274"/>
      <c r="G3315" s="274">
        <f t="shared" si="12"/>
        <v>0</v>
      </c>
      <c r="H3315" s="274">
        <v>0</v>
      </c>
      <c r="K3315" s="274"/>
    </row>
    <row r="3316" spans="2:11" ht="13.5" customHeight="1">
      <c r="B3316" s="209" t="s">
        <v>543</v>
      </c>
      <c r="C3316" s="209" t="s">
        <v>2903</v>
      </c>
      <c r="D3316" s="448" t="s">
        <v>135</v>
      </c>
      <c r="E3316" s="273">
        <v>0</v>
      </c>
      <c r="F3316" s="274"/>
      <c r="G3316" s="274">
        <f t="shared" si="12"/>
        <v>0</v>
      </c>
      <c r="H3316" s="274">
        <v>0</v>
      </c>
      <c r="K3316" s="274"/>
    </row>
    <row r="3317" spans="2:11" ht="13.5" customHeight="1">
      <c r="B3317" s="209" t="s">
        <v>543</v>
      </c>
      <c r="C3317" s="209" t="s">
        <v>2903</v>
      </c>
      <c r="D3317" s="449" t="s">
        <v>136</v>
      </c>
      <c r="E3317" s="273">
        <v>0</v>
      </c>
      <c r="F3317" s="274"/>
      <c r="G3317" s="274">
        <f t="shared" ref="G3317:G3571" si="13">E3317*F3317</f>
        <v>0</v>
      </c>
      <c r="H3317" s="274">
        <v>0</v>
      </c>
      <c r="K3317" s="274"/>
    </row>
    <row r="3318" spans="2:11" ht="13.5" customHeight="1">
      <c r="B3318" s="209" t="s">
        <v>543</v>
      </c>
      <c r="C3318" s="209" t="s">
        <v>2903</v>
      </c>
      <c r="D3318" s="450" t="s">
        <v>137</v>
      </c>
      <c r="E3318" s="273">
        <v>0</v>
      </c>
      <c r="F3318" s="274"/>
      <c r="G3318" s="274">
        <f t="shared" si="13"/>
        <v>0</v>
      </c>
      <c r="H3318" s="274">
        <v>0</v>
      </c>
      <c r="K3318" s="274"/>
    </row>
    <row r="3319" spans="2:11" ht="13.5" customHeight="1">
      <c r="B3319" s="209" t="s">
        <v>543</v>
      </c>
      <c r="C3319" s="209" t="s">
        <v>2903</v>
      </c>
      <c r="D3319" s="451" t="s">
        <v>138</v>
      </c>
      <c r="E3319" s="273">
        <v>0</v>
      </c>
      <c r="F3319" s="274"/>
      <c r="G3319" s="274">
        <f t="shared" si="13"/>
        <v>0</v>
      </c>
      <c r="H3319" s="274">
        <v>0</v>
      </c>
      <c r="K3319" s="274"/>
    </row>
    <row r="3320" spans="2:11" ht="13.5" customHeight="1">
      <c r="B3320" s="209" t="s">
        <v>543</v>
      </c>
      <c r="C3320" s="209" t="s">
        <v>2903</v>
      </c>
      <c r="D3320" s="452" t="s">
        <v>139</v>
      </c>
      <c r="E3320" s="273">
        <v>0</v>
      </c>
      <c r="F3320" s="274"/>
      <c r="G3320" s="274">
        <f t="shared" si="13"/>
        <v>0</v>
      </c>
      <c r="H3320" s="274">
        <v>0</v>
      </c>
      <c r="K3320" s="274"/>
    </row>
    <row r="3321" spans="2:11" ht="13.5" customHeight="1">
      <c r="B3321" s="209" t="s">
        <v>543</v>
      </c>
      <c r="C3321" s="209" t="s">
        <v>2903</v>
      </c>
      <c r="D3321" s="216" t="s">
        <v>140</v>
      </c>
      <c r="E3321" s="273">
        <v>0</v>
      </c>
      <c r="F3321" s="274"/>
      <c r="G3321" s="274">
        <f t="shared" si="13"/>
        <v>0</v>
      </c>
      <c r="H3321" s="274">
        <v>0</v>
      </c>
      <c r="K3321" s="274"/>
    </row>
    <row r="3322" spans="2:11" ht="13.5" customHeight="1">
      <c r="B3322" s="209" t="s">
        <v>543</v>
      </c>
      <c r="C3322" s="209" t="s">
        <v>2903</v>
      </c>
      <c r="D3322" s="453" t="s">
        <v>141</v>
      </c>
      <c r="E3322" s="273">
        <v>0</v>
      </c>
      <c r="F3322" s="274"/>
      <c r="G3322" s="274">
        <f t="shared" si="13"/>
        <v>0</v>
      </c>
      <c r="H3322" s="274">
        <v>0</v>
      </c>
      <c r="K3322" s="274"/>
    </row>
    <row r="3323" spans="2:11" ht="13.5" customHeight="1">
      <c r="B3323" s="209" t="s">
        <v>576</v>
      </c>
      <c r="C3323" s="209" t="s">
        <v>2904</v>
      </c>
      <c r="D3323" s="446" t="s">
        <v>133</v>
      </c>
      <c r="E3323" s="273">
        <v>0</v>
      </c>
      <c r="F3323" s="274"/>
      <c r="G3323" s="274">
        <f t="shared" si="13"/>
        <v>0</v>
      </c>
      <c r="H3323" s="274">
        <v>0</v>
      </c>
      <c r="K3323" s="274"/>
    </row>
    <row r="3324" spans="2:11" ht="13.5" customHeight="1">
      <c r="B3324" s="209" t="s">
        <v>576</v>
      </c>
      <c r="C3324" s="209" t="s">
        <v>2904</v>
      </c>
      <c r="D3324" s="447" t="s">
        <v>134</v>
      </c>
      <c r="E3324" s="273">
        <v>0</v>
      </c>
      <c r="F3324" s="274"/>
      <c r="G3324" s="274">
        <f t="shared" si="13"/>
        <v>0</v>
      </c>
      <c r="H3324" s="274">
        <v>0</v>
      </c>
      <c r="K3324" s="274"/>
    </row>
    <row r="3325" spans="2:11" ht="13.5" customHeight="1">
      <c r="B3325" s="209" t="s">
        <v>576</v>
      </c>
      <c r="C3325" s="209" t="s">
        <v>2904</v>
      </c>
      <c r="D3325" s="448" t="s">
        <v>135</v>
      </c>
      <c r="E3325" s="273">
        <v>0</v>
      </c>
      <c r="F3325" s="274"/>
      <c r="G3325" s="274">
        <f t="shared" si="13"/>
        <v>0</v>
      </c>
      <c r="H3325" s="274">
        <v>0</v>
      </c>
      <c r="K3325" s="274"/>
    </row>
    <row r="3326" spans="2:11" ht="13.5" customHeight="1">
      <c r="B3326" s="209" t="s">
        <v>576</v>
      </c>
      <c r="C3326" s="209" t="s">
        <v>2904</v>
      </c>
      <c r="D3326" s="449" t="s">
        <v>136</v>
      </c>
      <c r="E3326" s="273">
        <v>0</v>
      </c>
      <c r="F3326" s="274"/>
      <c r="G3326" s="274">
        <f t="shared" si="13"/>
        <v>0</v>
      </c>
      <c r="H3326" s="274">
        <v>0</v>
      </c>
      <c r="K3326" s="274"/>
    </row>
    <row r="3327" spans="2:11" ht="13.5" customHeight="1">
      <c r="B3327" s="209" t="s">
        <v>576</v>
      </c>
      <c r="C3327" s="209" t="s">
        <v>2904</v>
      </c>
      <c r="D3327" s="450" t="s">
        <v>137</v>
      </c>
      <c r="E3327" s="273">
        <v>0</v>
      </c>
      <c r="F3327" s="274"/>
      <c r="G3327" s="274">
        <f t="shared" si="13"/>
        <v>0</v>
      </c>
      <c r="H3327" s="274">
        <v>0</v>
      </c>
      <c r="K3327" s="274"/>
    </row>
    <row r="3328" spans="2:11" ht="13.5" customHeight="1">
      <c r="B3328" s="209" t="s">
        <v>576</v>
      </c>
      <c r="C3328" s="209" t="s">
        <v>2904</v>
      </c>
      <c r="D3328" s="451" t="s">
        <v>138</v>
      </c>
      <c r="E3328" s="273">
        <v>0</v>
      </c>
      <c r="F3328" s="274"/>
      <c r="G3328" s="274">
        <f t="shared" si="13"/>
        <v>0</v>
      </c>
      <c r="H3328" s="274">
        <v>0</v>
      </c>
      <c r="K3328" s="274"/>
    </row>
    <row r="3329" spans="2:11" ht="13.5" customHeight="1">
      <c r="B3329" s="209" t="s">
        <v>576</v>
      </c>
      <c r="C3329" s="209" t="s">
        <v>2904</v>
      </c>
      <c r="D3329" s="452" t="s">
        <v>139</v>
      </c>
      <c r="E3329" s="273">
        <v>0</v>
      </c>
      <c r="F3329" s="274"/>
      <c r="G3329" s="274">
        <f t="shared" si="13"/>
        <v>0</v>
      </c>
      <c r="H3329" s="274">
        <v>0</v>
      </c>
      <c r="K3329" s="274"/>
    </row>
    <row r="3330" spans="2:11" ht="13.5" customHeight="1">
      <c r="B3330" s="209" t="s">
        <v>576</v>
      </c>
      <c r="C3330" s="209" t="s">
        <v>2904</v>
      </c>
      <c r="D3330" s="216" t="s">
        <v>140</v>
      </c>
      <c r="E3330" s="273">
        <v>0</v>
      </c>
      <c r="F3330" s="274"/>
      <c r="G3330" s="274">
        <f t="shared" si="13"/>
        <v>0</v>
      </c>
      <c r="H3330" s="274">
        <v>0</v>
      </c>
      <c r="K3330" s="274"/>
    </row>
    <row r="3331" spans="2:11" ht="13.5" customHeight="1">
      <c r="B3331" s="209" t="s">
        <v>576</v>
      </c>
      <c r="C3331" s="209" t="s">
        <v>2904</v>
      </c>
      <c r="D3331" s="453" t="s">
        <v>141</v>
      </c>
      <c r="E3331" s="273">
        <v>0</v>
      </c>
      <c r="F3331" s="274"/>
      <c r="G3331" s="274">
        <f t="shared" si="13"/>
        <v>0</v>
      </c>
      <c r="H3331" s="274">
        <v>0</v>
      </c>
      <c r="K3331" s="274"/>
    </row>
    <row r="3332" spans="2:11" ht="13.5" customHeight="1">
      <c r="B3332" s="209" t="s">
        <v>555</v>
      </c>
      <c r="C3332" s="209" t="s">
        <v>2905</v>
      </c>
      <c r="D3332" s="446" t="s">
        <v>133</v>
      </c>
      <c r="E3332" s="273">
        <v>0</v>
      </c>
      <c r="F3332" s="274"/>
      <c r="G3332" s="274">
        <f t="shared" si="13"/>
        <v>0</v>
      </c>
      <c r="H3332" s="274">
        <v>0</v>
      </c>
      <c r="K3332" s="274"/>
    </row>
    <row r="3333" spans="2:11" ht="13.5" customHeight="1">
      <c r="B3333" s="209" t="s">
        <v>555</v>
      </c>
      <c r="C3333" s="209" t="s">
        <v>2905</v>
      </c>
      <c r="D3333" s="447" t="s">
        <v>134</v>
      </c>
      <c r="E3333" s="273">
        <v>0</v>
      </c>
      <c r="F3333" s="274"/>
      <c r="G3333" s="274">
        <f t="shared" si="13"/>
        <v>0</v>
      </c>
      <c r="H3333" s="274">
        <v>0</v>
      </c>
      <c r="K3333" s="274"/>
    </row>
    <row r="3334" spans="2:11" ht="13.5" customHeight="1">
      <c r="B3334" s="209" t="s">
        <v>555</v>
      </c>
      <c r="C3334" s="209" t="s">
        <v>2905</v>
      </c>
      <c r="D3334" s="448" t="s">
        <v>135</v>
      </c>
      <c r="E3334" s="273">
        <v>0</v>
      </c>
      <c r="F3334" s="274"/>
      <c r="G3334" s="274">
        <f t="shared" si="13"/>
        <v>0</v>
      </c>
      <c r="H3334" s="274">
        <v>0</v>
      </c>
      <c r="K3334" s="274"/>
    </row>
    <row r="3335" spans="2:11" ht="13.5" customHeight="1">
      <c r="B3335" s="209" t="s">
        <v>555</v>
      </c>
      <c r="C3335" s="209" t="s">
        <v>2905</v>
      </c>
      <c r="D3335" s="449" t="s">
        <v>136</v>
      </c>
      <c r="E3335" s="273">
        <v>0</v>
      </c>
      <c r="F3335" s="274"/>
      <c r="G3335" s="274">
        <f t="shared" si="13"/>
        <v>0</v>
      </c>
      <c r="H3335" s="274">
        <v>0</v>
      </c>
      <c r="K3335" s="274"/>
    </row>
    <row r="3336" spans="2:11" ht="13.5" customHeight="1">
      <c r="B3336" s="209" t="s">
        <v>555</v>
      </c>
      <c r="C3336" s="209" t="s">
        <v>2905</v>
      </c>
      <c r="D3336" s="450" t="s">
        <v>137</v>
      </c>
      <c r="E3336" s="273">
        <v>0</v>
      </c>
      <c r="F3336" s="274"/>
      <c r="G3336" s="274">
        <f t="shared" si="13"/>
        <v>0</v>
      </c>
      <c r="H3336" s="274">
        <v>0</v>
      </c>
      <c r="K3336" s="274"/>
    </row>
    <row r="3337" spans="2:11" ht="13.5" customHeight="1">
      <c r="B3337" s="209" t="s">
        <v>555</v>
      </c>
      <c r="C3337" s="209" t="s">
        <v>2905</v>
      </c>
      <c r="D3337" s="451" t="s">
        <v>138</v>
      </c>
      <c r="E3337" s="273">
        <v>0</v>
      </c>
      <c r="F3337" s="274"/>
      <c r="G3337" s="274">
        <f t="shared" si="13"/>
        <v>0</v>
      </c>
      <c r="H3337" s="274">
        <v>0</v>
      </c>
      <c r="K3337" s="274"/>
    </row>
    <row r="3338" spans="2:11" ht="13.5" customHeight="1">
      <c r="B3338" s="209" t="s">
        <v>555</v>
      </c>
      <c r="C3338" s="209" t="s">
        <v>2905</v>
      </c>
      <c r="D3338" s="452" t="s">
        <v>139</v>
      </c>
      <c r="E3338" s="273">
        <v>0</v>
      </c>
      <c r="F3338" s="274"/>
      <c r="G3338" s="274">
        <f t="shared" si="13"/>
        <v>0</v>
      </c>
      <c r="H3338" s="274">
        <v>0</v>
      </c>
      <c r="K3338" s="274"/>
    </row>
    <row r="3339" spans="2:11" ht="13.5" customHeight="1">
      <c r="B3339" s="209" t="s">
        <v>555</v>
      </c>
      <c r="C3339" s="209" t="s">
        <v>2905</v>
      </c>
      <c r="D3339" s="216" t="s">
        <v>140</v>
      </c>
      <c r="E3339" s="273">
        <v>0</v>
      </c>
      <c r="F3339" s="274"/>
      <c r="G3339" s="274">
        <f t="shared" si="13"/>
        <v>0</v>
      </c>
      <c r="H3339" s="274">
        <v>0</v>
      </c>
      <c r="K3339" s="274"/>
    </row>
    <row r="3340" spans="2:11" ht="13.5" customHeight="1">
      <c r="B3340" s="209" t="s">
        <v>555</v>
      </c>
      <c r="C3340" s="209" t="s">
        <v>2905</v>
      </c>
      <c r="D3340" s="453" t="s">
        <v>141</v>
      </c>
      <c r="E3340" s="273">
        <v>0</v>
      </c>
      <c r="F3340" s="274"/>
      <c r="G3340" s="274">
        <f t="shared" si="13"/>
        <v>0</v>
      </c>
      <c r="H3340" s="274">
        <v>0</v>
      </c>
      <c r="K3340" s="274"/>
    </row>
    <row r="3341" spans="2:11" ht="13.5" customHeight="1">
      <c r="B3341" s="209" t="s">
        <v>557</v>
      </c>
      <c r="C3341" s="209" t="s">
        <v>2906</v>
      </c>
      <c r="D3341" s="446" t="s">
        <v>133</v>
      </c>
      <c r="E3341" s="273">
        <v>0</v>
      </c>
      <c r="F3341" s="274"/>
      <c r="G3341" s="274">
        <f t="shared" si="13"/>
        <v>0</v>
      </c>
      <c r="H3341" s="274">
        <v>0</v>
      </c>
      <c r="K3341" s="274"/>
    </row>
    <row r="3342" spans="2:11" ht="13.5" customHeight="1">
      <c r="B3342" s="209" t="s">
        <v>557</v>
      </c>
      <c r="C3342" s="209" t="s">
        <v>2906</v>
      </c>
      <c r="D3342" s="447" t="s">
        <v>134</v>
      </c>
      <c r="E3342" s="273">
        <v>0</v>
      </c>
      <c r="F3342" s="274"/>
      <c r="G3342" s="274">
        <f t="shared" si="13"/>
        <v>0</v>
      </c>
      <c r="H3342" s="274">
        <v>0</v>
      </c>
      <c r="K3342" s="274"/>
    </row>
    <row r="3343" spans="2:11" ht="13.5" customHeight="1">
      <c r="B3343" s="209" t="s">
        <v>557</v>
      </c>
      <c r="C3343" s="209" t="s">
        <v>2906</v>
      </c>
      <c r="D3343" s="448" t="s">
        <v>135</v>
      </c>
      <c r="E3343" s="273">
        <v>0</v>
      </c>
      <c r="F3343" s="274"/>
      <c r="G3343" s="274">
        <f t="shared" si="13"/>
        <v>0</v>
      </c>
      <c r="H3343" s="274">
        <v>0</v>
      </c>
      <c r="K3343" s="274"/>
    </row>
    <row r="3344" spans="2:11" ht="13.5" customHeight="1">
      <c r="B3344" s="209" t="s">
        <v>557</v>
      </c>
      <c r="C3344" s="209" t="s">
        <v>2906</v>
      </c>
      <c r="D3344" s="449" t="s">
        <v>136</v>
      </c>
      <c r="E3344" s="273">
        <v>0</v>
      </c>
      <c r="F3344" s="274"/>
      <c r="G3344" s="274">
        <f t="shared" si="13"/>
        <v>0</v>
      </c>
      <c r="H3344" s="274">
        <v>0</v>
      </c>
      <c r="K3344" s="274"/>
    </row>
    <row r="3345" spans="2:11" ht="13.5" customHeight="1">
      <c r="B3345" s="209" t="s">
        <v>557</v>
      </c>
      <c r="C3345" s="209" t="s">
        <v>2906</v>
      </c>
      <c r="D3345" s="450" t="s">
        <v>137</v>
      </c>
      <c r="E3345" s="273">
        <v>0</v>
      </c>
      <c r="F3345" s="274"/>
      <c r="G3345" s="274">
        <f t="shared" si="13"/>
        <v>0</v>
      </c>
      <c r="H3345" s="274">
        <v>0</v>
      </c>
      <c r="K3345" s="274"/>
    </row>
    <row r="3346" spans="2:11" ht="13.5" customHeight="1">
      <c r="B3346" s="209" t="s">
        <v>557</v>
      </c>
      <c r="C3346" s="209" t="s">
        <v>2906</v>
      </c>
      <c r="D3346" s="451" t="s">
        <v>138</v>
      </c>
      <c r="E3346" s="273">
        <v>0</v>
      </c>
      <c r="F3346" s="274"/>
      <c r="G3346" s="274">
        <f t="shared" si="13"/>
        <v>0</v>
      </c>
      <c r="H3346" s="274">
        <v>0</v>
      </c>
      <c r="K3346" s="274"/>
    </row>
    <row r="3347" spans="2:11" ht="13.5" customHeight="1">
      <c r="B3347" s="209" t="s">
        <v>557</v>
      </c>
      <c r="C3347" s="209" t="s">
        <v>2906</v>
      </c>
      <c r="D3347" s="452" t="s">
        <v>139</v>
      </c>
      <c r="E3347" s="273">
        <v>0</v>
      </c>
      <c r="F3347" s="274"/>
      <c r="G3347" s="274">
        <f t="shared" si="13"/>
        <v>0</v>
      </c>
      <c r="H3347" s="274">
        <v>0</v>
      </c>
      <c r="K3347" s="274"/>
    </row>
    <row r="3348" spans="2:11" ht="13.5" customHeight="1">
      <c r="B3348" s="209" t="s">
        <v>557</v>
      </c>
      <c r="C3348" s="209" t="s">
        <v>2906</v>
      </c>
      <c r="D3348" s="216" t="s">
        <v>140</v>
      </c>
      <c r="E3348" s="273">
        <v>0</v>
      </c>
      <c r="F3348" s="274"/>
      <c r="G3348" s="274">
        <f t="shared" si="13"/>
        <v>0</v>
      </c>
      <c r="H3348" s="274">
        <v>0</v>
      </c>
      <c r="K3348" s="274"/>
    </row>
    <row r="3349" spans="2:11" ht="13.5" customHeight="1">
      <c r="B3349" s="209" t="s">
        <v>557</v>
      </c>
      <c r="C3349" s="209" t="s">
        <v>2906</v>
      </c>
      <c r="D3349" s="453" t="s">
        <v>141</v>
      </c>
      <c r="E3349" s="273">
        <v>0</v>
      </c>
      <c r="F3349" s="274"/>
      <c r="G3349" s="274">
        <f t="shared" si="13"/>
        <v>0</v>
      </c>
      <c r="H3349" s="274">
        <v>0</v>
      </c>
      <c r="K3349" s="274"/>
    </row>
    <row r="3350" spans="2:11" ht="13.5" customHeight="1">
      <c r="B3350" s="209" t="s">
        <v>594</v>
      </c>
      <c r="C3350" s="209" t="s">
        <v>2907</v>
      </c>
      <c r="D3350" s="446" t="s">
        <v>133</v>
      </c>
      <c r="E3350" s="273">
        <v>0</v>
      </c>
      <c r="F3350" s="274"/>
      <c r="G3350" s="274">
        <f t="shared" si="13"/>
        <v>0</v>
      </c>
      <c r="H3350" s="274">
        <v>0</v>
      </c>
      <c r="K3350" s="274"/>
    </row>
    <row r="3351" spans="2:11" ht="13.5" customHeight="1">
      <c r="B3351" s="209" t="s">
        <v>594</v>
      </c>
      <c r="C3351" s="209" t="s">
        <v>2907</v>
      </c>
      <c r="D3351" s="447" t="s">
        <v>134</v>
      </c>
      <c r="E3351" s="273">
        <v>0</v>
      </c>
      <c r="F3351" s="274"/>
      <c r="G3351" s="274">
        <f t="shared" si="13"/>
        <v>0</v>
      </c>
      <c r="H3351" s="274">
        <v>0</v>
      </c>
      <c r="K3351" s="274"/>
    </row>
    <row r="3352" spans="2:11" ht="13.5" customHeight="1">
      <c r="B3352" s="209" t="s">
        <v>594</v>
      </c>
      <c r="C3352" s="209" t="s">
        <v>2907</v>
      </c>
      <c r="D3352" s="448" t="s">
        <v>135</v>
      </c>
      <c r="E3352" s="273">
        <v>0</v>
      </c>
      <c r="F3352" s="274"/>
      <c r="G3352" s="274">
        <f t="shared" si="13"/>
        <v>0</v>
      </c>
      <c r="H3352" s="274">
        <v>0</v>
      </c>
      <c r="K3352" s="274"/>
    </row>
    <row r="3353" spans="2:11" ht="13.5" customHeight="1">
      <c r="B3353" s="209" t="s">
        <v>594</v>
      </c>
      <c r="C3353" s="209" t="s">
        <v>2907</v>
      </c>
      <c r="D3353" s="449" t="s">
        <v>136</v>
      </c>
      <c r="E3353" s="273">
        <v>0</v>
      </c>
      <c r="F3353" s="274"/>
      <c r="G3353" s="274">
        <f t="shared" si="13"/>
        <v>0</v>
      </c>
      <c r="H3353" s="274">
        <v>0</v>
      </c>
      <c r="K3353" s="274"/>
    </row>
    <row r="3354" spans="2:11" ht="13.5" customHeight="1">
      <c r="B3354" s="209" t="s">
        <v>594</v>
      </c>
      <c r="C3354" s="209" t="s">
        <v>2907</v>
      </c>
      <c r="D3354" s="450" t="s">
        <v>137</v>
      </c>
      <c r="E3354" s="273">
        <v>0</v>
      </c>
      <c r="F3354" s="274"/>
      <c r="G3354" s="274">
        <f t="shared" si="13"/>
        <v>0</v>
      </c>
      <c r="H3354" s="274">
        <v>0</v>
      </c>
      <c r="K3354" s="274"/>
    </row>
    <row r="3355" spans="2:11" ht="13.5" customHeight="1">
      <c r="B3355" s="209" t="s">
        <v>594</v>
      </c>
      <c r="C3355" s="209" t="s">
        <v>2907</v>
      </c>
      <c r="D3355" s="451" t="s">
        <v>138</v>
      </c>
      <c r="E3355" s="273">
        <v>0</v>
      </c>
      <c r="F3355" s="274"/>
      <c r="G3355" s="274">
        <f t="shared" si="13"/>
        <v>0</v>
      </c>
      <c r="H3355" s="274">
        <v>0</v>
      </c>
      <c r="K3355" s="274"/>
    </row>
    <row r="3356" spans="2:11" ht="13.5" customHeight="1">
      <c r="B3356" s="209" t="s">
        <v>594</v>
      </c>
      <c r="C3356" s="209" t="s">
        <v>2907</v>
      </c>
      <c r="D3356" s="452" t="s">
        <v>139</v>
      </c>
      <c r="E3356" s="273">
        <v>0</v>
      </c>
      <c r="F3356" s="274"/>
      <c r="G3356" s="274">
        <f t="shared" si="13"/>
        <v>0</v>
      </c>
      <c r="H3356" s="274">
        <v>0</v>
      </c>
      <c r="K3356" s="274"/>
    </row>
    <row r="3357" spans="2:11" ht="13.5" customHeight="1">
      <c r="B3357" s="209" t="s">
        <v>594</v>
      </c>
      <c r="C3357" s="209" t="s">
        <v>2907</v>
      </c>
      <c r="D3357" s="216" t="s">
        <v>140</v>
      </c>
      <c r="E3357" s="273">
        <v>0</v>
      </c>
      <c r="F3357" s="274"/>
      <c r="G3357" s="274">
        <f t="shared" si="13"/>
        <v>0</v>
      </c>
      <c r="H3357" s="274">
        <v>0</v>
      </c>
      <c r="K3357" s="274"/>
    </row>
    <row r="3358" spans="2:11" ht="13.5" customHeight="1">
      <c r="B3358" s="209" t="s">
        <v>594</v>
      </c>
      <c r="C3358" s="209" t="s">
        <v>2907</v>
      </c>
      <c r="D3358" s="453" t="s">
        <v>141</v>
      </c>
      <c r="E3358" s="273">
        <v>0</v>
      </c>
      <c r="F3358" s="274"/>
      <c r="G3358" s="274">
        <f t="shared" si="13"/>
        <v>0</v>
      </c>
      <c r="H3358" s="274">
        <v>0</v>
      </c>
      <c r="K3358" s="274"/>
    </row>
    <row r="3359" spans="2:11" ht="13.5" customHeight="1">
      <c r="B3359" s="209" t="s">
        <v>1211</v>
      </c>
      <c r="C3359" s="209" t="s">
        <v>2908</v>
      </c>
      <c r="D3359" s="446" t="s">
        <v>133</v>
      </c>
      <c r="E3359" s="273">
        <v>0</v>
      </c>
      <c r="F3359" s="274"/>
      <c r="G3359" s="274">
        <f t="shared" si="13"/>
        <v>0</v>
      </c>
      <c r="H3359" s="274">
        <v>0</v>
      </c>
      <c r="K3359" s="274"/>
    </row>
    <row r="3360" spans="2:11" ht="13.5" customHeight="1">
      <c r="B3360" s="209" t="s">
        <v>1211</v>
      </c>
      <c r="C3360" s="209" t="s">
        <v>2908</v>
      </c>
      <c r="D3360" s="447" t="s">
        <v>134</v>
      </c>
      <c r="E3360" s="273">
        <v>0</v>
      </c>
      <c r="F3360" s="274"/>
      <c r="G3360" s="274">
        <f t="shared" si="13"/>
        <v>0</v>
      </c>
      <c r="H3360" s="274">
        <v>0</v>
      </c>
      <c r="K3360" s="274"/>
    </row>
    <row r="3361" spans="2:11" ht="13.5" customHeight="1">
      <c r="B3361" s="209" t="s">
        <v>1211</v>
      </c>
      <c r="C3361" s="209" t="s">
        <v>2908</v>
      </c>
      <c r="D3361" s="448" t="s">
        <v>135</v>
      </c>
      <c r="E3361" s="273">
        <v>0</v>
      </c>
      <c r="F3361" s="274"/>
      <c r="G3361" s="274">
        <f t="shared" si="13"/>
        <v>0</v>
      </c>
      <c r="H3361" s="274">
        <v>0</v>
      </c>
      <c r="K3361" s="274"/>
    </row>
    <row r="3362" spans="2:11" ht="13.5" customHeight="1">
      <c r="B3362" s="209" t="s">
        <v>1211</v>
      </c>
      <c r="C3362" s="209" t="s">
        <v>2908</v>
      </c>
      <c r="D3362" s="449" t="s">
        <v>136</v>
      </c>
      <c r="E3362" s="273">
        <v>0</v>
      </c>
      <c r="F3362" s="274"/>
      <c r="G3362" s="274">
        <f t="shared" si="13"/>
        <v>0</v>
      </c>
      <c r="H3362" s="274">
        <v>0</v>
      </c>
      <c r="K3362" s="274"/>
    </row>
    <row r="3363" spans="2:11" ht="13.5" customHeight="1">
      <c r="B3363" s="209" t="s">
        <v>1211</v>
      </c>
      <c r="C3363" s="209" t="s">
        <v>2908</v>
      </c>
      <c r="D3363" s="450" t="s">
        <v>137</v>
      </c>
      <c r="E3363" s="273">
        <v>0</v>
      </c>
      <c r="F3363" s="274"/>
      <c r="G3363" s="274">
        <f t="shared" si="13"/>
        <v>0</v>
      </c>
      <c r="H3363" s="274">
        <v>0</v>
      </c>
      <c r="K3363" s="274"/>
    </row>
    <row r="3364" spans="2:11" ht="13.5" customHeight="1">
      <c r="B3364" s="209" t="s">
        <v>1211</v>
      </c>
      <c r="C3364" s="209" t="s">
        <v>2908</v>
      </c>
      <c r="D3364" s="451" t="s">
        <v>138</v>
      </c>
      <c r="E3364" s="273">
        <v>0</v>
      </c>
      <c r="F3364" s="274"/>
      <c r="G3364" s="274">
        <f t="shared" si="13"/>
        <v>0</v>
      </c>
      <c r="H3364" s="274">
        <v>0</v>
      </c>
      <c r="K3364" s="274"/>
    </row>
    <row r="3365" spans="2:11" ht="13.5" customHeight="1">
      <c r="B3365" s="209" t="s">
        <v>1211</v>
      </c>
      <c r="C3365" s="209" t="s">
        <v>2908</v>
      </c>
      <c r="D3365" s="452" t="s">
        <v>139</v>
      </c>
      <c r="E3365" s="273">
        <v>0</v>
      </c>
      <c r="F3365" s="274"/>
      <c r="G3365" s="274">
        <f t="shared" si="13"/>
        <v>0</v>
      </c>
      <c r="H3365" s="274">
        <v>0</v>
      </c>
      <c r="K3365" s="274"/>
    </row>
    <row r="3366" spans="2:11" ht="13.5" customHeight="1">
      <c r="B3366" s="209" t="s">
        <v>1211</v>
      </c>
      <c r="C3366" s="209" t="s">
        <v>2908</v>
      </c>
      <c r="D3366" s="216" t="s">
        <v>140</v>
      </c>
      <c r="E3366" s="273">
        <v>0</v>
      </c>
      <c r="F3366" s="274"/>
      <c r="G3366" s="274">
        <f t="shared" si="13"/>
        <v>0</v>
      </c>
      <c r="H3366" s="274">
        <v>0</v>
      </c>
      <c r="K3366" s="274"/>
    </row>
    <row r="3367" spans="2:11" ht="13.5" customHeight="1">
      <c r="B3367" s="209" t="s">
        <v>1211</v>
      </c>
      <c r="C3367" s="209" t="s">
        <v>2908</v>
      </c>
      <c r="D3367" s="453" t="s">
        <v>141</v>
      </c>
      <c r="E3367" s="273">
        <v>0</v>
      </c>
      <c r="F3367" s="274"/>
      <c r="G3367" s="274">
        <f t="shared" si="13"/>
        <v>0</v>
      </c>
      <c r="H3367" s="274">
        <v>0</v>
      </c>
      <c r="K3367" s="274"/>
    </row>
    <row r="3368" spans="2:11" ht="13.5" customHeight="1">
      <c r="B3368" s="209" t="s">
        <v>1647</v>
      </c>
      <c r="C3368" s="209" t="s">
        <v>2915</v>
      </c>
      <c r="D3368" s="446" t="s">
        <v>133</v>
      </c>
      <c r="E3368" s="273">
        <v>0</v>
      </c>
      <c r="F3368" s="274"/>
      <c r="G3368" s="274">
        <f t="shared" si="13"/>
        <v>0</v>
      </c>
      <c r="H3368" s="274">
        <v>0</v>
      </c>
      <c r="K3368" s="274"/>
    </row>
    <row r="3369" spans="2:11" ht="13.5" customHeight="1">
      <c r="B3369" s="209" t="s">
        <v>1647</v>
      </c>
      <c r="C3369" s="209" t="s">
        <v>2915</v>
      </c>
      <c r="D3369" s="447" t="s">
        <v>134</v>
      </c>
      <c r="E3369" s="273">
        <v>0</v>
      </c>
      <c r="F3369" s="274"/>
      <c r="G3369" s="274">
        <f t="shared" si="13"/>
        <v>0</v>
      </c>
      <c r="H3369" s="274">
        <v>0</v>
      </c>
      <c r="K3369" s="274"/>
    </row>
    <row r="3370" spans="2:11" ht="13.5" customHeight="1">
      <c r="B3370" s="209" t="s">
        <v>1647</v>
      </c>
      <c r="C3370" s="209" t="s">
        <v>2915</v>
      </c>
      <c r="D3370" s="448" t="s">
        <v>135</v>
      </c>
      <c r="E3370" s="273">
        <v>0</v>
      </c>
      <c r="F3370" s="274"/>
      <c r="G3370" s="274">
        <f t="shared" si="13"/>
        <v>0</v>
      </c>
      <c r="H3370" s="274">
        <v>0</v>
      </c>
      <c r="K3370" s="274"/>
    </row>
    <row r="3371" spans="2:11" ht="13.5" customHeight="1">
      <c r="B3371" s="209" t="s">
        <v>1647</v>
      </c>
      <c r="C3371" s="209" t="s">
        <v>2915</v>
      </c>
      <c r="D3371" s="449" t="s">
        <v>136</v>
      </c>
      <c r="E3371" s="273">
        <v>0</v>
      </c>
      <c r="F3371" s="274"/>
      <c r="G3371" s="274">
        <f t="shared" si="13"/>
        <v>0</v>
      </c>
      <c r="H3371" s="274">
        <v>0</v>
      </c>
      <c r="K3371" s="274"/>
    </row>
    <row r="3372" spans="2:11" ht="13.5" customHeight="1">
      <c r="B3372" s="209" t="s">
        <v>1647</v>
      </c>
      <c r="C3372" s="209" t="s">
        <v>2915</v>
      </c>
      <c r="D3372" s="450" t="s">
        <v>137</v>
      </c>
      <c r="E3372" s="273">
        <v>0</v>
      </c>
      <c r="F3372" s="274"/>
      <c r="G3372" s="274">
        <f t="shared" si="13"/>
        <v>0</v>
      </c>
      <c r="H3372" s="274">
        <v>0</v>
      </c>
      <c r="K3372" s="274"/>
    </row>
    <row r="3373" spans="2:11" ht="13.5" customHeight="1">
      <c r="B3373" s="209" t="s">
        <v>1647</v>
      </c>
      <c r="C3373" s="209" t="s">
        <v>2915</v>
      </c>
      <c r="D3373" s="451" t="s">
        <v>138</v>
      </c>
      <c r="E3373" s="273">
        <v>0</v>
      </c>
      <c r="F3373" s="274"/>
      <c r="G3373" s="274">
        <f t="shared" si="13"/>
        <v>0</v>
      </c>
      <c r="H3373" s="274">
        <v>0</v>
      </c>
      <c r="K3373" s="274"/>
    </row>
    <row r="3374" spans="2:11" ht="13.5" customHeight="1">
      <c r="B3374" s="209" t="s">
        <v>1647</v>
      </c>
      <c r="C3374" s="209" t="s">
        <v>2915</v>
      </c>
      <c r="D3374" s="452" t="s">
        <v>139</v>
      </c>
      <c r="E3374" s="273">
        <v>0</v>
      </c>
      <c r="F3374" s="274"/>
      <c r="G3374" s="274">
        <f t="shared" si="13"/>
        <v>0</v>
      </c>
      <c r="H3374" s="274">
        <v>0</v>
      </c>
      <c r="K3374" s="274"/>
    </row>
    <row r="3375" spans="2:11" ht="13.5" customHeight="1">
      <c r="B3375" s="209" t="s">
        <v>1647</v>
      </c>
      <c r="C3375" s="209" t="s">
        <v>2915</v>
      </c>
      <c r="D3375" s="216" t="s">
        <v>140</v>
      </c>
      <c r="E3375" s="273">
        <v>0</v>
      </c>
      <c r="F3375" s="274"/>
      <c r="G3375" s="274">
        <f t="shared" si="13"/>
        <v>0</v>
      </c>
      <c r="H3375" s="274">
        <v>0</v>
      </c>
      <c r="K3375" s="274"/>
    </row>
    <row r="3376" spans="2:11" ht="13.5" customHeight="1">
      <c r="B3376" s="209" t="s">
        <v>1647</v>
      </c>
      <c r="C3376" s="209" t="s">
        <v>2915</v>
      </c>
      <c r="D3376" s="453" t="s">
        <v>141</v>
      </c>
      <c r="E3376" s="273">
        <v>0</v>
      </c>
      <c r="F3376" s="274"/>
      <c r="G3376" s="274">
        <f t="shared" si="13"/>
        <v>0</v>
      </c>
      <c r="H3376" s="274">
        <v>0</v>
      </c>
      <c r="K3376" s="274"/>
    </row>
    <row r="3377" spans="2:11" ht="13.5" customHeight="1">
      <c r="B3377" s="209" t="s">
        <v>1474</v>
      </c>
      <c r="C3377" s="209" t="s">
        <v>2916</v>
      </c>
      <c r="D3377" s="446" t="s">
        <v>133</v>
      </c>
      <c r="E3377" s="273">
        <v>0</v>
      </c>
      <c r="F3377" s="274"/>
      <c r="G3377" s="274">
        <f t="shared" si="13"/>
        <v>0</v>
      </c>
      <c r="H3377" s="274">
        <v>0</v>
      </c>
      <c r="K3377" s="274"/>
    </row>
    <row r="3378" spans="2:11" ht="13.5" customHeight="1">
      <c r="B3378" s="209" t="s">
        <v>1474</v>
      </c>
      <c r="C3378" s="209" t="s">
        <v>2916</v>
      </c>
      <c r="D3378" s="447" t="s">
        <v>134</v>
      </c>
      <c r="E3378" s="273">
        <v>0</v>
      </c>
      <c r="F3378" s="274"/>
      <c r="G3378" s="274">
        <f t="shared" si="13"/>
        <v>0</v>
      </c>
      <c r="H3378" s="274">
        <v>0</v>
      </c>
      <c r="K3378" s="274"/>
    </row>
    <row r="3379" spans="2:11" ht="13.5" customHeight="1">
      <c r="B3379" s="209" t="s">
        <v>1474</v>
      </c>
      <c r="C3379" s="209" t="s">
        <v>2916</v>
      </c>
      <c r="D3379" s="448" t="s">
        <v>135</v>
      </c>
      <c r="E3379" s="273">
        <v>0</v>
      </c>
      <c r="F3379" s="274"/>
      <c r="G3379" s="274">
        <f t="shared" si="13"/>
        <v>0</v>
      </c>
      <c r="H3379" s="274">
        <v>0</v>
      </c>
      <c r="K3379" s="274"/>
    </row>
    <row r="3380" spans="2:11" ht="13.5" customHeight="1">
      <c r="B3380" s="209" t="s">
        <v>1474</v>
      </c>
      <c r="C3380" s="209" t="s">
        <v>2916</v>
      </c>
      <c r="D3380" s="449" t="s">
        <v>136</v>
      </c>
      <c r="E3380" s="273">
        <v>0</v>
      </c>
      <c r="F3380" s="274"/>
      <c r="G3380" s="274">
        <f t="shared" si="13"/>
        <v>0</v>
      </c>
      <c r="H3380" s="274">
        <v>0</v>
      </c>
      <c r="K3380" s="274"/>
    </row>
    <row r="3381" spans="2:11" ht="13.5" customHeight="1">
      <c r="B3381" s="209" t="s">
        <v>1474</v>
      </c>
      <c r="C3381" s="209" t="s">
        <v>2916</v>
      </c>
      <c r="D3381" s="450" t="s">
        <v>137</v>
      </c>
      <c r="E3381" s="273">
        <v>0</v>
      </c>
      <c r="F3381" s="274"/>
      <c r="G3381" s="274">
        <f t="shared" si="13"/>
        <v>0</v>
      </c>
      <c r="H3381" s="274">
        <v>0</v>
      </c>
      <c r="K3381" s="274"/>
    </row>
    <row r="3382" spans="2:11" ht="13.5" customHeight="1">
      <c r="B3382" s="209" t="s">
        <v>1474</v>
      </c>
      <c r="C3382" s="209" t="s">
        <v>2916</v>
      </c>
      <c r="D3382" s="451" t="s">
        <v>138</v>
      </c>
      <c r="E3382" s="273">
        <v>0</v>
      </c>
      <c r="F3382" s="274"/>
      <c r="G3382" s="274">
        <f t="shared" si="13"/>
        <v>0</v>
      </c>
      <c r="H3382" s="274">
        <v>0</v>
      </c>
      <c r="K3382" s="274"/>
    </row>
    <row r="3383" spans="2:11" ht="13.5" customHeight="1">
      <c r="B3383" s="209" t="s">
        <v>1474</v>
      </c>
      <c r="C3383" s="209" t="s">
        <v>2916</v>
      </c>
      <c r="D3383" s="452" t="s">
        <v>139</v>
      </c>
      <c r="E3383" s="273">
        <v>0</v>
      </c>
      <c r="F3383" s="274"/>
      <c r="G3383" s="274">
        <f t="shared" si="13"/>
        <v>0</v>
      </c>
      <c r="H3383" s="274">
        <v>0</v>
      </c>
      <c r="K3383" s="274"/>
    </row>
    <row r="3384" spans="2:11" ht="13.5" customHeight="1">
      <c r="B3384" s="209" t="s">
        <v>1474</v>
      </c>
      <c r="C3384" s="209" t="s">
        <v>2916</v>
      </c>
      <c r="D3384" s="216" t="s">
        <v>140</v>
      </c>
      <c r="E3384" s="273">
        <v>0</v>
      </c>
      <c r="F3384" s="274"/>
      <c r="G3384" s="274">
        <f t="shared" si="13"/>
        <v>0</v>
      </c>
      <c r="H3384" s="274">
        <v>0</v>
      </c>
      <c r="K3384" s="274"/>
    </row>
    <row r="3385" spans="2:11" ht="13.5" customHeight="1">
      <c r="B3385" s="209" t="s">
        <v>1474</v>
      </c>
      <c r="C3385" s="209" t="s">
        <v>2916</v>
      </c>
      <c r="D3385" s="453" t="s">
        <v>141</v>
      </c>
      <c r="E3385" s="273">
        <v>0</v>
      </c>
      <c r="F3385" s="274"/>
      <c r="G3385" s="274">
        <f t="shared" si="13"/>
        <v>0</v>
      </c>
      <c r="H3385" s="274">
        <v>0</v>
      </c>
      <c r="K3385" s="274"/>
    </row>
    <row r="3386" spans="2:11" ht="13.5" customHeight="1">
      <c r="B3386" s="209" t="s">
        <v>1471</v>
      </c>
      <c r="C3386" s="209" t="s">
        <v>2917</v>
      </c>
      <c r="D3386" s="446" t="s">
        <v>133</v>
      </c>
      <c r="E3386" s="273">
        <v>0</v>
      </c>
      <c r="F3386" s="274"/>
      <c r="G3386" s="274">
        <f t="shared" si="13"/>
        <v>0</v>
      </c>
      <c r="H3386" s="274">
        <v>0</v>
      </c>
      <c r="K3386" s="274"/>
    </row>
    <row r="3387" spans="2:11" ht="13.5" customHeight="1">
      <c r="B3387" s="209" t="s">
        <v>1471</v>
      </c>
      <c r="C3387" s="209" t="s">
        <v>2917</v>
      </c>
      <c r="D3387" s="447" t="s">
        <v>134</v>
      </c>
      <c r="E3387" s="273">
        <v>0</v>
      </c>
      <c r="F3387" s="274"/>
      <c r="G3387" s="274">
        <f t="shared" si="13"/>
        <v>0</v>
      </c>
      <c r="H3387" s="274">
        <v>0</v>
      </c>
      <c r="K3387" s="274"/>
    </row>
    <row r="3388" spans="2:11" ht="13.5" customHeight="1">
      <c r="B3388" s="209" t="s">
        <v>1471</v>
      </c>
      <c r="C3388" s="209" t="s">
        <v>2917</v>
      </c>
      <c r="D3388" s="448" t="s">
        <v>135</v>
      </c>
      <c r="E3388" s="273">
        <v>0</v>
      </c>
      <c r="F3388" s="274"/>
      <c r="G3388" s="274">
        <f t="shared" si="13"/>
        <v>0</v>
      </c>
      <c r="H3388" s="274">
        <v>0</v>
      </c>
      <c r="K3388" s="274"/>
    </row>
    <row r="3389" spans="2:11" ht="13.5" customHeight="1">
      <c r="B3389" s="209" t="s">
        <v>1471</v>
      </c>
      <c r="C3389" s="209" t="s">
        <v>2917</v>
      </c>
      <c r="D3389" s="449" t="s">
        <v>136</v>
      </c>
      <c r="E3389" s="273">
        <v>0</v>
      </c>
      <c r="F3389" s="274"/>
      <c r="G3389" s="274">
        <f t="shared" si="13"/>
        <v>0</v>
      </c>
      <c r="H3389" s="274">
        <v>0</v>
      </c>
      <c r="K3389" s="274"/>
    </row>
    <row r="3390" spans="2:11" ht="13.5" customHeight="1">
      <c r="B3390" s="209" t="s">
        <v>1471</v>
      </c>
      <c r="C3390" s="209" t="s">
        <v>2917</v>
      </c>
      <c r="D3390" s="450" t="s">
        <v>137</v>
      </c>
      <c r="E3390" s="273">
        <v>0</v>
      </c>
      <c r="F3390" s="274"/>
      <c r="G3390" s="274">
        <f t="shared" si="13"/>
        <v>0</v>
      </c>
      <c r="H3390" s="274">
        <v>0</v>
      </c>
      <c r="K3390" s="274"/>
    </row>
    <row r="3391" spans="2:11" ht="13.5" customHeight="1">
      <c r="B3391" s="209" t="s">
        <v>1471</v>
      </c>
      <c r="C3391" s="209" t="s">
        <v>2917</v>
      </c>
      <c r="D3391" s="451" t="s">
        <v>138</v>
      </c>
      <c r="E3391" s="273">
        <v>0</v>
      </c>
      <c r="F3391" s="274"/>
      <c r="G3391" s="274">
        <f t="shared" si="13"/>
        <v>0</v>
      </c>
      <c r="H3391" s="274">
        <v>0</v>
      </c>
      <c r="K3391" s="274"/>
    </row>
    <row r="3392" spans="2:11" ht="13.5" customHeight="1">
      <c r="B3392" s="209" t="s">
        <v>1471</v>
      </c>
      <c r="C3392" s="209" t="s">
        <v>2917</v>
      </c>
      <c r="D3392" s="452" t="s">
        <v>139</v>
      </c>
      <c r="E3392" s="273">
        <v>0</v>
      </c>
      <c r="F3392" s="274"/>
      <c r="G3392" s="274">
        <f t="shared" si="13"/>
        <v>0</v>
      </c>
      <c r="H3392" s="274">
        <v>0</v>
      </c>
      <c r="K3392" s="274"/>
    </row>
    <row r="3393" spans="2:11" ht="13.5" customHeight="1">
      <c r="B3393" s="209" t="s">
        <v>1471</v>
      </c>
      <c r="C3393" s="209" t="s">
        <v>2917</v>
      </c>
      <c r="D3393" s="216" t="s">
        <v>140</v>
      </c>
      <c r="E3393" s="273">
        <v>0</v>
      </c>
      <c r="F3393" s="274"/>
      <c r="G3393" s="274">
        <f t="shared" si="13"/>
        <v>0</v>
      </c>
      <c r="H3393" s="274">
        <v>0</v>
      </c>
      <c r="K3393" s="274"/>
    </row>
    <row r="3394" spans="2:11" ht="13.5" customHeight="1">
      <c r="B3394" s="209" t="s">
        <v>1471</v>
      </c>
      <c r="C3394" s="209" t="s">
        <v>2917</v>
      </c>
      <c r="D3394" s="453" t="s">
        <v>141</v>
      </c>
      <c r="E3394" s="273">
        <v>0</v>
      </c>
      <c r="F3394" s="274"/>
      <c r="G3394" s="274">
        <f t="shared" si="13"/>
        <v>0</v>
      </c>
      <c r="H3394" s="274">
        <v>0</v>
      </c>
      <c r="K3394" s="274"/>
    </row>
    <row r="3395" spans="2:11" ht="13.5" customHeight="1">
      <c r="B3395" s="209" t="s">
        <v>1448</v>
      </c>
      <c r="C3395" s="209" t="s">
        <v>2918</v>
      </c>
      <c r="D3395" s="446" t="s">
        <v>133</v>
      </c>
      <c r="E3395" s="273">
        <v>0</v>
      </c>
      <c r="F3395" s="274"/>
      <c r="G3395" s="274">
        <f t="shared" si="13"/>
        <v>0</v>
      </c>
      <c r="H3395" s="274">
        <v>0</v>
      </c>
      <c r="K3395" s="274"/>
    </row>
    <row r="3396" spans="2:11" ht="13.5" customHeight="1">
      <c r="B3396" s="209" t="s">
        <v>1448</v>
      </c>
      <c r="C3396" s="209" t="s">
        <v>2918</v>
      </c>
      <c r="D3396" s="447" t="s">
        <v>134</v>
      </c>
      <c r="E3396" s="273">
        <v>0</v>
      </c>
      <c r="F3396" s="274"/>
      <c r="G3396" s="274">
        <f t="shared" si="13"/>
        <v>0</v>
      </c>
      <c r="H3396" s="274">
        <v>0</v>
      </c>
      <c r="K3396" s="274"/>
    </row>
    <row r="3397" spans="2:11" ht="13.5" customHeight="1">
      <c r="B3397" s="209" t="s">
        <v>1448</v>
      </c>
      <c r="C3397" s="209" t="s">
        <v>2918</v>
      </c>
      <c r="D3397" s="448" t="s">
        <v>135</v>
      </c>
      <c r="E3397" s="273">
        <v>0</v>
      </c>
      <c r="F3397" s="274"/>
      <c r="G3397" s="274">
        <f t="shared" si="13"/>
        <v>0</v>
      </c>
      <c r="H3397" s="274">
        <v>0</v>
      </c>
      <c r="K3397" s="274"/>
    </row>
    <row r="3398" spans="2:11" ht="13.5" customHeight="1">
      <c r="B3398" s="209" t="s">
        <v>1448</v>
      </c>
      <c r="C3398" s="209" t="s">
        <v>2918</v>
      </c>
      <c r="D3398" s="449" t="s">
        <v>136</v>
      </c>
      <c r="E3398" s="273">
        <v>0</v>
      </c>
      <c r="F3398" s="274"/>
      <c r="G3398" s="274">
        <f t="shared" si="13"/>
        <v>0</v>
      </c>
      <c r="H3398" s="274">
        <v>0</v>
      </c>
      <c r="K3398" s="274"/>
    </row>
    <row r="3399" spans="2:11" ht="13.5" customHeight="1">
      <c r="B3399" s="209" t="s">
        <v>1448</v>
      </c>
      <c r="C3399" s="209" t="s">
        <v>2918</v>
      </c>
      <c r="D3399" s="450" t="s">
        <v>137</v>
      </c>
      <c r="E3399" s="273">
        <v>0</v>
      </c>
      <c r="F3399" s="274"/>
      <c r="G3399" s="274">
        <f t="shared" si="13"/>
        <v>0</v>
      </c>
      <c r="H3399" s="274">
        <v>0</v>
      </c>
      <c r="K3399" s="274"/>
    </row>
    <row r="3400" spans="2:11" ht="13.5" customHeight="1">
      <c r="B3400" s="209" t="s">
        <v>1448</v>
      </c>
      <c r="C3400" s="209" t="s">
        <v>2918</v>
      </c>
      <c r="D3400" s="451" t="s">
        <v>138</v>
      </c>
      <c r="E3400" s="273">
        <v>0</v>
      </c>
      <c r="F3400" s="274"/>
      <c r="G3400" s="274">
        <f t="shared" si="13"/>
        <v>0</v>
      </c>
      <c r="H3400" s="274">
        <v>0</v>
      </c>
      <c r="K3400" s="274"/>
    </row>
    <row r="3401" spans="2:11" ht="13.5" customHeight="1">
      <c r="B3401" s="209" t="s">
        <v>1448</v>
      </c>
      <c r="C3401" s="209" t="s">
        <v>2918</v>
      </c>
      <c r="D3401" s="452" t="s">
        <v>139</v>
      </c>
      <c r="E3401" s="273">
        <v>0</v>
      </c>
      <c r="F3401" s="274"/>
      <c r="G3401" s="274">
        <f t="shared" si="13"/>
        <v>0</v>
      </c>
      <c r="H3401" s="274">
        <v>0</v>
      </c>
      <c r="K3401" s="274"/>
    </row>
    <row r="3402" spans="2:11" ht="13.5" customHeight="1">
      <c r="B3402" s="209" t="s">
        <v>1448</v>
      </c>
      <c r="C3402" s="209" t="s">
        <v>2918</v>
      </c>
      <c r="D3402" s="216" t="s">
        <v>140</v>
      </c>
      <c r="E3402" s="273">
        <v>0</v>
      </c>
      <c r="F3402" s="274"/>
      <c r="G3402" s="274">
        <f t="shared" si="13"/>
        <v>0</v>
      </c>
      <c r="H3402" s="274">
        <v>0</v>
      </c>
      <c r="K3402" s="274"/>
    </row>
    <row r="3403" spans="2:11" ht="13.5" customHeight="1">
      <c r="B3403" s="209" t="s">
        <v>1448</v>
      </c>
      <c r="C3403" s="209" t="s">
        <v>2918</v>
      </c>
      <c r="D3403" s="453" t="s">
        <v>141</v>
      </c>
      <c r="E3403" s="273">
        <v>0</v>
      </c>
      <c r="F3403" s="274"/>
      <c r="G3403" s="274">
        <f t="shared" si="13"/>
        <v>0</v>
      </c>
      <c r="H3403" s="274">
        <v>0</v>
      </c>
      <c r="K3403" s="274"/>
    </row>
    <row r="3404" spans="2:11" ht="13.5" customHeight="1">
      <c r="B3404" s="209" t="s">
        <v>1451</v>
      </c>
      <c r="C3404" s="209" t="s">
        <v>2919</v>
      </c>
      <c r="D3404" s="446" t="s">
        <v>133</v>
      </c>
      <c r="E3404" s="273">
        <v>0</v>
      </c>
      <c r="F3404" s="274"/>
      <c r="G3404" s="274">
        <f t="shared" si="13"/>
        <v>0</v>
      </c>
      <c r="H3404" s="274">
        <v>0</v>
      </c>
      <c r="K3404" s="274"/>
    </row>
    <row r="3405" spans="2:11" ht="13.5" customHeight="1">
      <c r="B3405" s="209" t="s">
        <v>1451</v>
      </c>
      <c r="C3405" s="209" t="s">
        <v>2919</v>
      </c>
      <c r="D3405" s="447" t="s">
        <v>134</v>
      </c>
      <c r="E3405" s="273">
        <v>0</v>
      </c>
      <c r="F3405" s="274"/>
      <c r="G3405" s="274">
        <f t="shared" si="13"/>
        <v>0</v>
      </c>
      <c r="H3405" s="274">
        <v>0</v>
      </c>
      <c r="K3405" s="274"/>
    </row>
    <row r="3406" spans="2:11" ht="13.5" customHeight="1">
      <c r="B3406" s="209" t="s">
        <v>1451</v>
      </c>
      <c r="C3406" s="209" t="s">
        <v>2919</v>
      </c>
      <c r="D3406" s="448" t="s">
        <v>135</v>
      </c>
      <c r="E3406" s="273">
        <v>0</v>
      </c>
      <c r="F3406" s="274"/>
      <c r="G3406" s="274">
        <f t="shared" si="13"/>
        <v>0</v>
      </c>
      <c r="H3406" s="274">
        <v>0</v>
      </c>
      <c r="K3406" s="274"/>
    </row>
    <row r="3407" spans="2:11" ht="13.5" customHeight="1">
      <c r="B3407" s="209" t="s">
        <v>1451</v>
      </c>
      <c r="C3407" s="209" t="s">
        <v>2919</v>
      </c>
      <c r="D3407" s="449" t="s">
        <v>136</v>
      </c>
      <c r="E3407" s="273">
        <v>0</v>
      </c>
      <c r="F3407" s="274"/>
      <c r="G3407" s="274">
        <f t="shared" si="13"/>
        <v>0</v>
      </c>
      <c r="H3407" s="274">
        <v>0</v>
      </c>
      <c r="K3407" s="274"/>
    </row>
    <row r="3408" spans="2:11" ht="13.5" customHeight="1">
      <c r="B3408" s="209" t="s">
        <v>1451</v>
      </c>
      <c r="C3408" s="209" t="s">
        <v>2919</v>
      </c>
      <c r="D3408" s="450" t="s">
        <v>137</v>
      </c>
      <c r="E3408" s="273">
        <v>0</v>
      </c>
      <c r="F3408" s="274"/>
      <c r="G3408" s="274">
        <f t="shared" si="13"/>
        <v>0</v>
      </c>
      <c r="H3408" s="274">
        <v>0</v>
      </c>
      <c r="K3408" s="274"/>
    </row>
    <row r="3409" spans="2:11" ht="13.5" customHeight="1">
      <c r="B3409" s="209" t="s">
        <v>1451</v>
      </c>
      <c r="C3409" s="209" t="s">
        <v>2919</v>
      </c>
      <c r="D3409" s="451" t="s">
        <v>138</v>
      </c>
      <c r="E3409" s="273">
        <v>0</v>
      </c>
      <c r="F3409" s="274"/>
      <c r="G3409" s="274">
        <f t="shared" si="13"/>
        <v>0</v>
      </c>
      <c r="H3409" s="274">
        <v>0</v>
      </c>
      <c r="K3409" s="274"/>
    </row>
    <row r="3410" spans="2:11" ht="13.5" customHeight="1">
      <c r="B3410" s="209" t="s">
        <v>1451</v>
      </c>
      <c r="C3410" s="209" t="s">
        <v>2919</v>
      </c>
      <c r="D3410" s="452" t="s">
        <v>139</v>
      </c>
      <c r="E3410" s="273">
        <v>0</v>
      </c>
      <c r="F3410" s="274"/>
      <c r="G3410" s="274">
        <f t="shared" si="13"/>
        <v>0</v>
      </c>
      <c r="H3410" s="274">
        <v>0</v>
      </c>
      <c r="K3410" s="274"/>
    </row>
    <row r="3411" spans="2:11" ht="13.5" customHeight="1">
      <c r="B3411" s="209" t="s">
        <v>1451</v>
      </c>
      <c r="C3411" s="209" t="s">
        <v>2919</v>
      </c>
      <c r="D3411" s="216" t="s">
        <v>140</v>
      </c>
      <c r="E3411" s="273">
        <v>0</v>
      </c>
      <c r="F3411" s="274"/>
      <c r="G3411" s="274">
        <f t="shared" si="13"/>
        <v>0</v>
      </c>
      <c r="H3411" s="274">
        <v>0</v>
      </c>
      <c r="K3411" s="274"/>
    </row>
    <row r="3412" spans="2:11" ht="13.5" customHeight="1">
      <c r="B3412" s="209" t="s">
        <v>1451</v>
      </c>
      <c r="C3412" s="209" t="s">
        <v>2919</v>
      </c>
      <c r="D3412" s="453" t="s">
        <v>141</v>
      </c>
      <c r="E3412" s="273">
        <v>0</v>
      </c>
      <c r="F3412" s="274"/>
      <c r="G3412" s="274">
        <f t="shared" si="13"/>
        <v>0</v>
      </c>
      <c r="H3412" s="274">
        <v>0</v>
      </c>
      <c r="K3412" s="274"/>
    </row>
    <row r="3413" spans="2:11" ht="13.5" customHeight="1">
      <c r="B3413" s="209" t="s">
        <v>1454</v>
      </c>
      <c r="C3413" s="209" t="s">
        <v>2920</v>
      </c>
      <c r="D3413" s="446" t="s">
        <v>133</v>
      </c>
      <c r="E3413" s="273">
        <v>0</v>
      </c>
      <c r="F3413" s="274"/>
      <c r="G3413" s="274">
        <f t="shared" si="13"/>
        <v>0</v>
      </c>
      <c r="H3413" s="274">
        <v>0</v>
      </c>
      <c r="K3413" s="274"/>
    </row>
    <row r="3414" spans="2:11" ht="13.5" customHeight="1">
      <c r="B3414" s="209" t="s">
        <v>1454</v>
      </c>
      <c r="C3414" s="209" t="s">
        <v>2920</v>
      </c>
      <c r="D3414" s="447" t="s">
        <v>134</v>
      </c>
      <c r="E3414" s="273">
        <v>0</v>
      </c>
      <c r="F3414" s="274"/>
      <c r="G3414" s="274">
        <f t="shared" si="13"/>
        <v>0</v>
      </c>
      <c r="H3414" s="274">
        <v>0</v>
      </c>
      <c r="K3414" s="274"/>
    </row>
    <row r="3415" spans="2:11" ht="13.5" customHeight="1">
      <c r="B3415" s="209" t="s">
        <v>1454</v>
      </c>
      <c r="C3415" s="209" t="s">
        <v>2920</v>
      </c>
      <c r="D3415" s="448" t="s">
        <v>135</v>
      </c>
      <c r="E3415" s="273">
        <v>0</v>
      </c>
      <c r="F3415" s="274"/>
      <c r="G3415" s="274">
        <f t="shared" si="13"/>
        <v>0</v>
      </c>
      <c r="H3415" s="274">
        <v>0</v>
      </c>
      <c r="K3415" s="274"/>
    </row>
    <row r="3416" spans="2:11" ht="13.5" customHeight="1">
      <c r="B3416" s="209" t="s">
        <v>1454</v>
      </c>
      <c r="C3416" s="209" t="s">
        <v>2920</v>
      </c>
      <c r="D3416" s="449" t="s">
        <v>136</v>
      </c>
      <c r="E3416" s="273">
        <v>0</v>
      </c>
      <c r="F3416" s="274"/>
      <c r="G3416" s="274">
        <f t="shared" si="13"/>
        <v>0</v>
      </c>
      <c r="H3416" s="274">
        <v>0</v>
      </c>
      <c r="K3416" s="274"/>
    </row>
    <row r="3417" spans="2:11" ht="13.5" customHeight="1">
      <c r="B3417" s="209" t="s">
        <v>1454</v>
      </c>
      <c r="C3417" s="209" t="s">
        <v>2920</v>
      </c>
      <c r="D3417" s="450" t="s">
        <v>137</v>
      </c>
      <c r="E3417" s="273">
        <v>0</v>
      </c>
      <c r="F3417" s="274"/>
      <c r="G3417" s="274">
        <f t="shared" si="13"/>
        <v>0</v>
      </c>
      <c r="H3417" s="274">
        <v>0</v>
      </c>
      <c r="K3417" s="274"/>
    </row>
    <row r="3418" spans="2:11" ht="13.5" customHeight="1">
      <c r="B3418" s="209" t="s">
        <v>1454</v>
      </c>
      <c r="C3418" s="209" t="s">
        <v>2920</v>
      </c>
      <c r="D3418" s="451" t="s">
        <v>138</v>
      </c>
      <c r="E3418" s="273">
        <v>0</v>
      </c>
      <c r="F3418" s="274"/>
      <c r="G3418" s="274">
        <f t="shared" si="13"/>
        <v>0</v>
      </c>
      <c r="H3418" s="274">
        <v>0</v>
      </c>
      <c r="K3418" s="274"/>
    </row>
    <row r="3419" spans="2:11" ht="13.5" customHeight="1">
      <c r="B3419" s="209" t="s">
        <v>1454</v>
      </c>
      <c r="C3419" s="209" t="s">
        <v>2920</v>
      </c>
      <c r="D3419" s="452" t="s">
        <v>139</v>
      </c>
      <c r="E3419" s="273">
        <v>0</v>
      </c>
      <c r="F3419" s="274"/>
      <c r="G3419" s="274">
        <f t="shared" si="13"/>
        <v>0</v>
      </c>
      <c r="H3419" s="274">
        <v>0</v>
      </c>
      <c r="K3419" s="274"/>
    </row>
    <row r="3420" spans="2:11" ht="13.5" customHeight="1">
      <c r="B3420" s="209" t="s">
        <v>1454</v>
      </c>
      <c r="C3420" s="209" t="s">
        <v>2920</v>
      </c>
      <c r="D3420" s="216" t="s">
        <v>140</v>
      </c>
      <c r="E3420" s="273">
        <v>0</v>
      </c>
      <c r="F3420" s="274"/>
      <c r="G3420" s="274">
        <f t="shared" si="13"/>
        <v>0</v>
      </c>
      <c r="H3420" s="274">
        <v>0</v>
      </c>
      <c r="K3420" s="274"/>
    </row>
    <row r="3421" spans="2:11" ht="13.5" customHeight="1">
      <c r="B3421" s="209" t="s">
        <v>1454</v>
      </c>
      <c r="C3421" s="209" t="s">
        <v>2920</v>
      </c>
      <c r="D3421" s="453" t="s">
        <v>141</v>
      </c>
      <c r="E3421" s="273">
        <v>0</v>
      </c>
      <c r="F3421" s="274"/>
      <c r="G3421" s="274">
        <f t="shared" si="13"/>
        <v>0</v>
      </c>
      <c r="H3421" s="274">
        <v>0</v>
      </c>
      <c r="K3421" s="274"/>
    </row>
    <row r="3422" spans="2:11" ht="13.5" customHeight="1">
      <c r="B3422" s="209" t="s">
        <v>1793</v>
      </c>
      <c r="C3422" s="209" t="s">
        <v>2921</v>
      </c>
      <c r="D3422" s="446" t="s">
        <v>133</v>
      </c>
      <c r="E3422" s="273">
        <v>0</v>
      </c>
      <c r="F3422" s="274"/>
      <c r="G3422" s="274">
        <f t="shared" si="13"/>
        <v>0</v>
      </c>
      <c r="H3422" s="274">
        <v>0</v>
      </c>
      <c r="K3422" s="274"/>
    </row>
    <row r="3423" spans="2:11" ht="13.5" customHeight="1">
      <c r="B3423" s="209" t="s">
        <v>1793</v>
      </c>
      <c r="C3423" s="209" t="s">
        <v>2921</v>
      </c>
      <c r="D3423" s="447" t="s">
        <v>134</v>
      </c>
      <c r="E3423" s="273">
        <v>0</v>
      </c>
      <c r="F3423" s="274"/>
      <c r="G3423" s="274">
        <f t="shared" si="13"/>
        <v>0</v>
      </c>
      <c r="H3423" s="274">
        <v>0</v>
      </c>
      <c r="K3423" s="274"/>
    </row>
    <row r="3424" spans="2:11" ht="13.5" customHeight="1">
      <c r="B3424" s="209" t="s">
        <v>1793</v>
      </c>
      <c r="C3424" s="209" t="s">
        <v>2921</v>
      </c>
      <c r="D3424" s="448" t="s">
        <v>135</v>
      </c>
      <c r="E3424" s="273">
        <v>0</v>
      </c>
      <c r="F3424" s="274"/>
      <c r="G3424" s="274">
        <f t="shared" si="13"/>
        <v>0</v>
      </c>
      <c r="H3424" s="274">
        <v>0</v>
      </c>
      <c r="K3424" s="274"/>
    </row>
    <row r="3425" spans="2:11" ht="13.5" customHeight="1">
      <c r="B3425" s="209" t="s">
        <v>1793</v>
      </c>
      <c r="C3425" s="209" t="s">
        <v>2921</v>
      </c>
      <c r="D3425" s="449" t="s">
        <v>136</v>
      </c>
      <c r="E3425" s="273">
        <v>0</v>
      </c>
      <c r="F3425" s="274"/>
      <c r="G3425" s="274">
        <f t="shared" si="13"/>
        <v>0</v>
      </c>
      <c r="H3425" s="274">
        <v>0</v>
      </c>
      <c r="K3425" s="274"/>
    </row>
    <row r="3426" spans="2:11" ht="13.5" customHeight="1">
      <c r="B3426" s="209" t="s">
        <v>1793</v>
      </c>
      <c r="C3426" s="209" t="s">
        <v>2921</v>
      </c>
      <c r="D3426" s="450" t="s">
        <v>137</v>
      </c>
      <c r="E3426" s="273">
        <v>0</v>
      </c>
      <c r="F3426" s="274"/>
      <c r="G3426" s="274">
        <f t="shared" si="13"/>
        <v>0</v>
      </c>
      <c r="H3426" s="274">
        <v>0</v>
      </c>
      <c r="K3426" s="274"/>
    </row>
    <row r="3427" spans="2:11" ht="13.5" customHeight="1">
      <c r="B3427" s="209" t="s">
        <v>1793</v>
      </c>
      <c r="C3427" s="209" t="s">
        <v>2921</v>
      </c>
      <c r="D3427" s="451" t="s">
        <v>138</v>
      </c>
      <c r="E3427" s="273">
        <v>0</v>
      </c>
      <c r="F3427" s="274"/>
      <c r="G3427" s="274">
        <f t="shared" si="13"/>
        <v>0</v>
      </c>
      <c r="H3427" s="274">
        <v>0</v>
      </c>
      <c r="K3427" s="274"/>
    </row>
    <row r="3428" spans="2:11" ht="13.5" customHeight="1">
      <c r="B3428" s="209" t="s">
        <v>1793</v>
      </c>
      <c r="C3428" s="209" t="s">
        <v>2921</v>
      </c>
      <c r="D3428" s="452" t="s">
        <v>139</v>
      </c>
      <c r="E3428" s="273">
        <v>0</v>
      </c>
      <c r="F3428" s="274"/>
      <c r="G3428" s="274">
        <f t="shared" si="13"/>
        <v>0</v>
      </c>
      <c r="H3428" s="274">
        <v>0</v>
      </c>
      <c r="K3428" s="274"/>
    </row>
    <row r="3429" spans="2:11" ht="13.5" customHeight="1">
      <c r="B3429" s="209" t="s">
        <v>1793</v>
      </c>
      <c r="C3429" s="209" t="s">
        <v>2921</v>
      </c>
      <c r="D3429" s="216" t="s">
        <v>140</v>
      </c>
      <c r="E3429" s="273">
        <v>0</v>
      </c>
      <c r="F3429" s="274"/>
      <c r="G3429" s="274">
        <f t="shared" si="13"/>
        <v>0</v>
      </c>
      <c r="H3429" s="274">
        <v>0</v>
      </c>
      <c r="K3429" s="274"/>
    </row>
    <row r="3430" spans="2:11" ht="13.5" customHeight="1">
      <c r="B3430" s="209" t="s">
        <v>1793</v>
      </c>
      <c r="C3430" s="209" t="s">
        <v>2921</v>
      </c>
      <c r="D3430" s="453" t="s">
        <v>141</v>
      </c>
      <c r="E3430" s="273">
        <v>0</v>
      </c>
      <c r="F3430" s="274"/>
      <c r="G3430" s="274">
        <f t="shared" si="13"/>
        <v>0</v>
      </c>
      <c r="H3430" s="274">
        <v>0</v>
      </c>
      <c r="K3430" s="274"/>
    </row>
    <row r="3431" spans="2:11" ht="13.5" customHeight="1">
      <c r="B3431" s="209" t="s">
        <v>1612</v>
      </c>
      <c r="C3431" s="209" t="s">
        <v>2922</v>
      </c>
      <c r="D3431" s="446" t="s">
        <v>133</v>
      </c>
      <c r="E3431" s="273">
        <v>0</v>
      </c>
      <c r="F3431" s="274"/>
      <c r="G3431" s="274">
        <f t="shared" si="13"/>
        <v>0</v>
      </c>
      <c r="H3431" s="274">
        <v>0</v>
      </c>
      <c r="K3431" s="274"/>
    </row>
    <row r="3432" spans="2:11" ht="13.5" customHeight="1">
      <c r="B3432" s="209" t="s">
        <v>1612</v>
      </c>
      <c r="C3432" s="209" t="s">
        <v>2922</v>
      </c>
      <c r="D3432" s="447" t="s">
        <v>134</v>
      </c>
      <c r="E3432" s="273">
        <v>0</v>
      </c>
      <c r="F3432" s="274"/>
      <c r="G3432" s="274">
        <f t="shared" si="13"/>
        <v>0</v>
      </c>
      <c r="H3432" s="274">
        <v>0</v>
      </c>
      <c r="K3432" s="274"/>
    </row>
    <row r="3433" spans="2:11" ht="13.5" customHeight="1">
      <c r="B3433" s="209" t="s">
        <v>1612</v>
      </c>
      <c r="C3433" s="209" t="s">
        <v>2922</v>
      </c>
      <c r="D3433" s="448" t="s">
        <v>135</v>
      </c>
      <c r="E3433" s="273">
        <v>0</v>
      </c>
      <c r="F3433" s="274"/>
      <c r="G3433" s="274">
        <f t="shared" si="13"/>
        <v>0</v>
      </c>
      <c r="H3433" s="274">
        <v>0</v>
      </c>
      <c r="K3433" s="274"/>
    </row>
    <row r="3434" spans="2:11" ht="13.5" customHeight="1">
      <c r="B3434" s="209" t="s">
        <v>1612</v>
      </c>
      <c r="C3434" s="209" t="s">
        <v>2922</v>
      </c>
      <c r="D3434" s="449" t="s">
        <v>136</v>
      </c>
      <c r="E3434" s="273">
        <v>0</v>
      </c>
      <c r="F3434" s="274"/>
      <c r="G3434" s="274">
        <f t="shared" si="13"/>
        <v>0</v>
      </c>
      <c r="H3434" s="274">
        <v>0</v>
      </c>
      <c r="K3434" s="274"/>
    </row>
    <row r="3435" spans="2:11" ht="13.5" customHeight="1">
      <c r="B3435" s="209" t="s">
        <v>1612</v>
      </c>
      <c r="C3435" s="209" t="s">
        <v>2922</v>
      </c>
      <c r="D3435" s="450" t="s">
        <v>137</v>
      </c>
      <c r="E3435" s="273">
        <v>0</v>
      </c>
      <c r="F3435" s="274"/>
      <c r="G3435" s="274">
        <f t="shared" si="13"/>
        <v>0</v>
      </c>
      <c r="H3435" s="274">
        <v>0</v>
      </c>
      <c r="K3435" s="274"/>
    </row>
    <row r="3436" spans="2:11" ht="13.5" customHeight="1">
      <c r="B3436" s="209" t="s">
        <v>1612</v>
      </c>
      <c r="C3436" s="209" t="s">
        <v>2922</v>
      </c>
      <c r="D3436" s="451" t="s">
        <v>138</v>
      </c>
      <c r="E3436" s="273">
        <v>0</v>
      </c>
      <c r="F3436" s="274"/>
      <c r="G3436" s="274">
        <f t="shared" si="13"/>
        <v>0</v>
      </c>
      <c r="H3436" s="274">
        <v>0</v>
      </c>
      <c r="K3436" s="274"/>
    </row>
    <row r="3437" spans="2:11" ht="13.5" customHeight="1">
      <c r="B3437" s="209" t="s">
        <v>1612</v>
      </c>
      <c r="C3437" s="209" t="s">
        <v>2922</v>
      </c>
      <c r="D3437" s="452" t="s">
        <v>139</v>
      </c>
      <c r="E3437" s="273">
        <v>0</v>
      </c>
      <c r="F3437" s="274"/>
      <c r="G3437" s="274">
        <f t="shared" si="13"/>
        <v>0</v>
      </c>
      <c r="H3437" s="274">
        <v>0</v>
      </c>
      <c r="K3437" s="274"/>
    </row>
    <row r="3438" spans="2:11" ht="13.5" customHeight="1">
      <c r="B3438" s="209" t="s">
        <v>1612</v>
      </c>
      <c r="C3438" s="209" t="s">
        <v>2922</v>
      </c>
      <c r="D3438" s="216" t="s">
        <v>140</v>
      </c>
      <c r="E3438" s="273">
        <v>0</v>
      </c>
      <c r="F3438" s="274"/>
      <c r="G3438" s="274">
        <f t="shared" si="13"/>
        <v>0</v>
      </c>
      <c r="H3438" s="274">
        <v>0</v>
      </c>
      <c r="K3438" s="274"/>
    </row>
    <row r="3439" spans="2:11" ht="13.5" customHeight="1">
      <c r="B3439" s="209" t="s">
        <v>1612</v>
      </c>
      <c r="C3439" s="209" t="s">
        <v>2922</v>
      </c>
      <c r="D3439" s="453" t="s">
        <v>141</v>
      </c>
      <c r="E3439" s="273">
        <v>0</v>
      </c>
      <c r="F3439" s="274"/>
      <c r="G3439" s="274">
        <f t="shared" si="13"/>
        <v>0</v>
      </c>
      <c r="H3439" s="274">
        <v>0</v>
      </c>
      <c r="K3439" s="274"/>
    </row>
    <row r="3440" spans="2:11" ht="13.5" customHeight="1">
      <c r="B3440" s="209" t="s">
        <v>1502</v>
      </c>
      <c r="C3440" s="209" t="s">
        <v>2923</v>
      </c>
      <c r="D3440" s="446" t="s">
        <v>133</v>
      </c>
      <c r="E3440" s="273">
        <v>0</v>
      </c>
      <c r="F3440" s="274"/>
      <c r="G3440" s="274">
        <f t="shared" si="13"/>
        <v>0</v>
      </c>
      <c r="H3440" s="274">
        <v>0</v>
      </c>
      <c r="K3440" s="274"/>
    </row>
    <row r="3441" spans="2:11" ht="13.5" customHeight="1">
      <c r="B3441" s="209" t="s">
        <v>1502</v>
      </c>
      <c r="C3441" s="209" t="s">
        <v>2923</v>
      </c>
      <c r="D3441" s="447" t="s">
        <v>134</v>
      </c>
      <c r="E3441" s="273">
        <v>0</v>
      </c>
      <c r="F3441" s="274"/>
      <c r="G3441" s="274">
        <f t="shared" si="13"/>
        <v>0</v>
      </c>
      <c r="H3441" s="274">
        <v>0</v>
      </c>
      <c r="K3441" s="274"/>
    </row>
    <row r="3442" spans="2:11" ht="13.5" customHeight="1">
      <c r="B3442" s="209" t="s">
        <v>1502</v>
      </c>
      <c r="C3442" s="209" t="s">
        <v>2923</v>
      </c>
      <c r="D3442" s="448" t="s">
        <v>135</v>
      </c>
      <c r="E3442" s="273">
        <v>0</v>
      </c>
      <c r="F3442" s="274"/>
      <c r="G3442" s="274">
        <f t="shared" si="13"/>
        <v>0</v>
      </c>
      <c r="H3442" s="274">
        <v>0</v>
      </c>
      <c r="K3442" s="274"/>
    </row>
    <row r="3443" spans="2:11" ht="13.5" customHeight="1">
      <c r="B3443" s="209" t="s">
        <v>1502</v>
      </c>
      <c r="C3443" s="209" t="s">
        <v>2923</v>
      </c>
      <c r="D3443" s="449" t="s">
        <v>136</v>
      </c>
      <c r="E3443" s="273">
        <v>0</v>
      </c>
      <c r="F3443" s="274"/>
      <c r="G3443" s="274">
        <f t="shared" si="13"/>
        <v>0</v>
      </c>
      <c r="H3443" s="274">
        <v>0</v>
      </c>
      <c r="K3443" s="274"/>
    </row>
    <row r="3444" spans="2:11" ht="13.5" customHeight="1">
      <c r="B3444" s="209" t="s">
        <v>1502</v>
      </c>
      <c r="C3444" s="209" t="s">
        <v>2923</v>
      </c>
      <c r="D3444" s="450" t="s">
        <v>137</v>
      </c>
      <c r="E3444" s="273">
        <v>0</v>
      </c>
      <c r="F3444" s="274"/>
      <c r="G3444" s="274">
        <f t="shared" si="13"/>
        <v>0</v>
      </c>
      <c r="H3444" s="274">
        <v>0</v>
      </c>
      <c r="K3444" s="274"/>
    </row>
    <row r="3445" spans="2:11" ht="13.5" customHeight="1">
      <c r="B3445" s="209" t="s">
        <v>1502</v>
      </c>
      <c r="C3445" s="209" t="s">
        <v>2923</v>
      </c>
      <c r="D3445" s="451" t="s">
        <v>138</v>
      </c>
      <c r="E3445" s="273">
        <v>0</v>
      </c>
      <c r="F3445" s="274"/>
      <c r="G3445" s="274">
        <f t="shared" si="13"/>
        <v>0</v>
      </c>
      <c r="H3445" s="274">
        <v>0</v>
      </c>
      <c r="K3445" s="274"/>
    </row>
    <row r="3446" spans="2:11" ht="13.5" customHeight="1">
      <c r="B3446" s="209" t="s">
        <v>1502</v>
      </c>
      <c r="C3446" s="209" t="s">
        <v>2923</v>
      </c>
      <c r="D3446" s="452" t="s">
        <v>139</v>
      </c>
      <c r="E3446" s="273">
        <v>0</v>
      </c>
      <c r="F3446" s="274"/>
      <c r="G3446" s="274">
        <f t="shared" si="13"/>
        <v>0</v>
      </c>
      <c r="H3446" s="274">
        <v>0</v>
      </c>
      <c r="K3446" s="274"/>
    </row>
    <row r="3447" spans="2:11" ht="13.5" customHeight="1">
      <c r="B3447" s="209" t="s">
        <v>1502</v>
      </c>
      <c r="C3447" s="209" t="s">
        <v>2923</v>
      </c>
      <c r="D3447" s="216" t="s">
        <v>140</v>
      </c>
      <c r="E3447" s="273">
        <v>0</v>
      </c>
      <c r="F3447" s="274"/>
      <c r="G3447" s="274">
        <f t="shared" si="13"/>
        <v>0</v>
      </c>
      <c r="H3447" s="274">
        <v>0</v>
      </c>
      <c r="K3447" s="274"/>
    </row>
    <row r="3448" spans="2:11" ht="13.5" customHeight="1">
      <c r="B3448" s="209" t="s">
        <v>1502</v>
      </c>
      <c r="C3448" s="209" t="s">
        <v>2923</v>
      </c>
      <c r="D3448" s="453" t="s">
        <v>141</v>
      </c>
      <c r="E3448" s="273">
        <v>0</v>
      </c>
      <c r="F3448" s="274"/>
      <c r="G3448" s="274">
        <f t="shared" si="13"/>
        <v>0</v>
      </c>
      <c r="H3448" s="274">
        <v>0</v>
      </c>
      <c r="K3448" s="274"/>
    </row>
    <row r="3449" spans="2:11" ht="13.5" customHeight="1">
      <c r="B3449" s="209" t="s">
        <v>1460</v>
      </c>
      <c r="C3449" s="209" t="s">
        <v>2924</v>
      </c>
      <c r="D3449" s="446" t="s">
        <v>133</v>
      </c>
      <c r="E3449" s="273">
        <v>0</v>
      </c>
      <c r="F3449" s="274"/>
      <c r="G3449" s="274">
        <f t="shared" si="13"/>
        <v>0</v>
      </c>
      <c r="H3449" s="274">
        <v>0</v>
      </c>
      <c r="K3449" s="274"/>
    </row>
    <row r="3450" spans="2:11" ht="13.5" customHeight="1">
      <c r="B3450" s="209" t="s">
        <v>1460</v>
      </c>
      <c r="C3450" s="209" t="s">
        <v>2924</v>
      </c>
      <c r="D3450" s="447" t="s">
        <v>134</v>
      </c>
      <c r="E3450" s="273">
        <v>0</v>
      </c>
      <c r="F3450" s="274"/>
      <c r="G3450" s="274">
        <f t="shared" si="13"/>
        <v>0</v>
      </c>
      <c r="H3450" s="274">
        <v>0</v>
      </c>
      <c r="K3450" s="274"/>
    </row>
    <row r="3451" spans="2:11" ht="13.5" customHeight="1">
      <c r="B3451" s="209" t="s">
        <v>1460</v>
      </c>
      <c r="C3451" s="209" t="s">
        <v>2924</v>
      </c>
      <c r="D3451" s="448" t="s">
        <v>135</v>
      </c>
      <c r="E3451" s="273">
        <v>0</v>
      </c>
      <c r="F3451" s="274"/>
      <c r="G3451" s="274">
        <f t="shared" si="13"/>
        <v>0</v>
      </c>
      <c r="H3451" s="274">
        <v>0</v>
      </c>
      <c r="K3451" s="274"/>
    </row>
    <row r="3452" spans="2:11" ht="13.5" customHeight="1">
      <c r="B3452" s="209" t="s">
        <v>1460</v>
      </c>
      <c r="C3452" s="209" t="s">
        <v>2924</v>
      </c>
      <c r="D3452" s="449" t="s">
        <v>136</v>
      </c>
      <c r="E3452" s="273">
        <v>0</v>
      </c>
      <c r="F3452" s="274"/>
      <c r="G3452" s="274">
        <f t="shared" si="13"/>
        <v>0</v>
      </c>
      <c r="H3452" s="274">
        <v>0</v>
      </c>
      <c r="K3452" s="274"/>
    </row>
    <row r="3453" spans="2:11" ht="13.5" customHeight="1">
      <c r="B3453" s="209" t="s">
        <v>1460</v>
      </c>
      <c r="C3453" s="209" t="s">
        <v>2924</v>
      </c>
      <c r="D3453" s="450" t="s">
        <v>137</v>
      </c>
      <c r="E3453" s="273">
        <v>0</v>
      </c>
      <c r="F3453" s="274"/>
      <c r="G3453" s="274">
        <f t="shared" si="13"/>
        <v>0</v>
      </c>
      <c r="H3453" s="274">
        <v>0</v>
      </c>
      <c r="K3453" s="274"/>
    </row>
    <row r="3454" spans="2:11" ht="13.5" customHeight="1">
      <c r="B3454" s="209" t="s">
        <v>1460</v>
      </c>
      <c r="C3454" s="209" t="s">
        <v>2924</v>
      </c>
      <c r="D3454" s="451" t="s">
        <v>138</v>
      </c>
      <c r="E3454" s="273">
        <v>0</v>
      </c>
      <c r="F3454" s="274"/>
      <c r="G3454" s="274">
        <f t="shared" si="13"/>
        <v>0</v>
      </c>
      <c r="H3454" s="274">
        <v>0</v>
      </c>
      <c r="K3454" s="274"/>
    </row>
    <row r="3455" spans="2:11" ht="13.5" customHeight="1">
      <c r="B3455" s="209" t="s">
        <v>1460</v>
      </c>
      <c r="C3455" s="209" t="s">
        <v>2924</v>
      </c>
      <c r="D3455" s="452" t="s">
        <v>139</v>
      </c>
      <c r="E3455" s="273">
        <v>0</v>
      </c>
      <c r="F3455" s="274"/>
      <c r="G3455" s="274">
        <f t="shared" si="13"/>
        <v>0</v>
      </c>
      <c r="H3455" s="274">
        <v>0</v>
      </c>
      <c r="K3455" s="274"/>
    </row>
    <row r="3456" spans="2:11" ht="13.5" customHeight="1">
      <c r="B3456" s="209" t="s">
        <v>1460</v>
      </c>
      <c r="C3456" s="209" t="s">
        <v>2924</v>
      </c>
      <c r="D3456" s="216" t="s">
        <v>140</v>
      </c>
      <c r="E3456" s="273">
        <v>0</v>
      </c>
      <c r="F3456" s="274"/>
      <c r="G3456" s="274">
        <f t="shared" si="13"/>
        <v>0</v>
      </c>
      <c r="H3456" s="274">
        <v>0</v>
      </c>
      <c r="K3456" s="274"/>
    </row>
    <row r="3457" spans="2:11" ht="13.5" customHeight="1">
      <c r="B3457" s="209" t="s">
        <v>1460</v>
      </c>
      <c r="C3457" s="209" t="s">
        <v>2924</v>
      </c>
      <c r="D3457" s="453" t="s">
        <v>141</v>
      </c>
      <c r="E3457" s="273">
        <v>0</v>
      </c>
      <c r="F3457" s="274"/>
      <c r="G3457" s="274">
        <f t="shared" si="13"/>
        <v>0</v>
      </c>
      <c r="H3457" s="274">
        <v>0</v>
      </c>
      <c r="K3457" s="274"/>
    </row>
    <row r="3458" spans="2:11" ht="13.5" customHeight="1">
      <c r="B3458" s="209" t="s">
        <v>1777</v>
      </c>
      <c r="C3458" s="209" t="s">
        <v>2925</v>
      </c>
      <c r="D3458" s="446" t="s">
        <v>133</v>
      </c>
      <c r="E3458" s="273">
        <v>0</v>
      </c>
      <c r="F3458" s="274"/>
      <c r="G3458" s="274">
        <f t="shared" si="13"/>
        <v>0</v>
      </c>
      <c r="H3458" s="274">
        <v>0</v>
      </c>
      <c r="K3458" s="274"/>
    </row>
    <row r="3459" spans="2:11" ht="13.5" customHeight="1">
      <c r="B3459" s="209" t="s">
        <v>1777</v>
      </c>
      <c r="C3459" s="209" t="s">
        <v>2925</v>
      </c>
      <c r="D3459" s="447" t="s">
        <v>134</v>
      </c>
      <c r="E3459" s="273">
        <v>0</v>
      </c>
      <c r="F3459" s="274"/>
      <c r="G3459" s="274">
        <f t="shared" si="13"/>
        <v>0</v>
      </c>
      <c r="H3459" s="274">
        <v>0</v>
      </c>
      <c r="K3459" s="274"/>
    </row>
    <row r="3460" spans="2:11" ht="13.5" customHeight="1">
      <c r="B3460" s="209" t="s">
        <v>1777</v>
      </c>
      <c r="C3460" s="209" t="s">
        <v>2925</v>
      </c>
      <c r="D3460" s="448" t="s">
        <v>135</v>
      </c>
      <c r="E3460" s="273">
        <v>0</v>
      </c>
      <c r="F3460" s="274"/>
      <c r="G3460" s="274">
        <f t="shared" si="13"/>
        <v>0</v>
      </c>
      <c r="H3460" s="274">
        <v>0</v>
      </c>
      <c r="K3460" s="274"/>
    </row>
    <row r="3461" spans="2:11" ht="13.5" customHeight="1">
      <c r="B3461" s="209" t="s">
        <v>1777</v>
      </c>
      <c r="C3461" s="209" t="s">
        <v>2925</v>
      </c>
      <c r="D3461" s="449" t="s">
        <v>136</v>
      </c>
      <c r="E3461" s="273">
        <v>0</v>
      </c>
      <c r="F3461" s="274"/>
      <c r="G3461" s="274">
        <f t="shared" si="13"/>
        <v>0</v>
      </c>
      <c r="H3461" s="274">
        <v>0</v>
      </c>
      <c r="K3461" s="274"/>
    </row>
    <row r="3462" spans="2:11" ht="13.5" customHeight="1">
      <c r="B3462" s="209" t="s">
        <v>1777</v>
      </c>
      <c r="C3462" s="209" t="s">
        <v>2925</v>
      </c>
      <c r="D3462" s="450" t="s">
        <v>137</v>
      </c>
      <c r="E3462" s="273">
        <v>0</v>
      </c>
      <c r="F3462" s="274"/>
      <c r="G3462" s="274">
        <f t="shared" si="13"/>
        <v>0</v>
      </c>
      <c r="H3462" s="274">
        <v>0</v>
      </c>
      <c r="K3462" s="274"/>
    </row>
    <row r="3463" spans="2:11" ht="13.5" customHeight="1">
      <c r="B3463" s="209" t="s">
        <v>1777</v>
      </c>
      <c r="C3463" s="209" t="s">
        <v>2925</v>
      </c>
      <c r="D3463" s="451" t="s">
        <v>138</v>
      </c>
      <c r="E3463" s="273">
        <v>0</v>
      </c>
      <c r="F3463" s="274"/>
      <c r="G3463" s="274">
        <f t="shared" si="13"/>
        <v>0</v>
      </c>
      <c r="H3463" s="274">
        <v>0</v>
      </c>
      <c r="K3463" s="274"/>
    </row>
    <row r="3464" spans="2:11" ht="13.5" customHeight="1">
      <c r="B3464" s="209" t="s">
        <v>1777</v>
      </c>
      <c r="C3464" s="209" t="s">
        <v>2925</v>
      </c>
      <c r="D3464" s="452" t="s">
        <v>139</v>
      </c>
      <c r="E3464" s="273">
        <v>0</v>
      </c>
      <c r="F3464" s="274"/>
      <c r="G3464" s="274">
        <f t="shared" si="13"/>
        <v>0</v>
      </c>
      <c r="H3464" s="274">
        <v>0</v>
      </c>
      <c r="K3464" s="274"/>
    </row>
    <row r="3465" spans="2:11" ht="13.5" customHeight="1">
      <c r="B3465" s="209" t="s">
        <v>1777</v>
      </c>
      <c r="C3465" s="209" t="s">
        <v>2925</v>
      </c>
      <c r="D3465" s="216" t="s">
        <v>140</v>
      </c>
      <c r="E3465" s="273">
        <v>0</v>
      </c>
      <c r="F3465" s="274"/>
      <c r="G3465" s="274">
        <f t="shared" si="13"/>
        <v>0</v>
      </c>
      <c r="H3465" s="274">
        <v>0</v>
      </c>
      <c r="K3465" s="274"/>
    </row>
    <row r="3466" spans="2:11" ht="13.5" customHeight="1">
      <c r="B3466" s="209" t="s">
        <v>1777</v>
      </c>
      <c r="C3466" s="209" t="s">
        <v>2925</v>
      </c>
      <c r="D3466" s="453" t="s">
        <v>141</v>
      </c>
      <c r="E3466" s="273">
        <v>0</v>
      </c>
      <c r="F3466" s="274"/>
      <c r="G3466" s="274">
        <f t="shared" si="13"/>
        <v>0</v>
      </c>
      <c r="H3466" s="274">
        <v>0</v>
      </c>
      <c r="K3466" s="274"/>
    </row>
    <row r="3467" spans="2:11" ht="13.5" customHeight="1">
      <c r="B3467" s="209" t="s">
        <v>1677</v>
      </c>
      <c r="C3467" s="209" t="s">
        <v>2926</v>
      </c>
      <c r="D3467" s="446" t="s">
        <v>133</v>
      </c>
      <c r="E3467" s="273">
        <v>0</v>
      </c>
      <c r="F3467" s="274"/>
      <c r="G3467" s="274">
        <f t="shared" si="13"/>
        <v>0</v>
      </c>
      <c r="H3467" s="274">
        <v>0</v>
      </c>
      <c r="K3467" s="274"/>
    </row>
    <row r="3468" spans="2:11" ht="13.5" customHeight="1">
      <c r="B3468" s="209" t="s">
        <v>1677</v>
      </c>
      <c r="C3468" s="209" t="s">
        <v>2926</v>
      </c>
      <c r="D3468" s="447" t="s">
        <v>134</v>
      </c>
      <c r="E3468" s="273">
        <v>0</v>
      </c>
      <c r="F3468" s="274"/>
      <c r="G3468" s="274">
        <f t="shared" si="13"/>
        <v>0</v>
      </c>
      <c r="H3468" s="274">
        <v>0</v>
      </c>
      <c r="K3468" s="274"/>
    </row>
    <row r="3469" spans="2:11" ht="13.5" customHeight="1">
      <c r="B3469" s="209" t="s">
        <v>1677</v>
      </c>
      <c r="C3469" s="209" t="s">
        <v>2926</v>
      </c>
      <c r="D3469" s="448" t="s">
        <v>135</v>
      </c>
      <c r="E3469" s="273">
        <v>0</v>
      </c>
      <c r="F3469" s="274"/>
      <c r="G3469" s="274">
        <f t="shared" si="13"/>
        <v>0</v>
      </c>
      <c r="H3469" s="274">
        <v>0</v>
      </c>
      <c r="K3469" s="274"/>
    </row>
    <row r="3470" spans="2:11" ht="13.5" customHeight="1">
      <c r="B3470" s="209" t="s">
        <v>1677</v>
      </c>
      <c r="C3470" s="209" t="s">
        <v>2926</v>
      </c>
      <c r="D3470" s="449" t="s">
        <v>136</v>
      </c>
      <c r="E3470" s="273">
        <v>0</v>
      </c>
      <c r="F3470" s="274"/>
      <c r="G3470" s="274">
        <f t="shared" si="13"/>
        <v>0</v>
      </c>
      <c r="H3470" s="274">
        <v>0</v>
      </c>
      <c r="K3470" s="274"/>
    </row>
    <row r="3471" spans="2:11" ht="13.5" customHeight="1">
      <c r="B3471" s="209" t="s">
        <v>1677</v>
      </c>
      <c r="C3471" s="209" t="s">
        <v>2926</v>
      </c>
      <c r="D3471" s="450" t="s">
        <v>137</v>
      </c>
      <c r="E3471" s="273">
        <v>0</v>
      </c>
      <c r="F3471" s="274"/>
      <c r="G3471" s="274">
        <f t="shared" si="13"/>
        <v>0</v>
      </c>
      <c r="H3471" s="274">
        <v>0</v>
      </c>
      <c r="K3471" s="274"/>
    </row>
    <row r="3472" spans="2:11" ht="13.5" customHeight="1">
      <c r="B3472" s="209" t="s">
        <v>1677</v>
      </c>
      <c r="C3472" s="209" t="s">
        <v>2926</v>
      </c>
      <c r="D3472" s="451" t="s">
        <v>138</v>
      </c>
      <c r="E3472" s="273">
        <v>0</v>
      </c>
      <c r="F3472" s="274"/>
      <c r="G3472" s="274">
        <f t="shared" si="13"/>
        <v>0</v>
      </c>
      <c r="H3472" s="274">
        <v>0</v>
      </c>
      <c r="K3472" s="274"/>
    </row>
    <row r="3473" spans="2:11" ht="13.5" customHeight="1">
      <c r="B3473" s="209" t="s">
        <v>1677</v>
      </c>
      <c r="C3473" s="209" t="s">
        <v>2926</v>
      </c>
      <c r="D3473" s="452" t="s">
        <v>139</v>
      </c>
      <c r="E3473" s="273">
        <v>0</v>
      </c>
      <c r="F3473" s="274"/>
      <c r="G3473" s="274">
        <f t="shared" si="13"/>
        <v>0</v>
      </c>
      <c r="H3473" s="274">
        <v>0</v>
      </c>
      <c r="K3473" s="274"/>
    </row>
    <row r="3474" spans="2:11" ht="13.5" customHeight="1">
      <c r="B3474" s="209" t="s">
        <v>1677</v>
      </c>
      <c r="C3474" s="209" t="s">
        <v>2926</v>
      </c>
      <c r="D3474" s="216" t="s">
        <v>140</v>
      </c>
      <c r="E3474" s="273">
        <v>0</v>
      </c>
      <c r="F3474" s="274"/>
      <c r="G3474" s="274">
        <f t="shared" si="13"/>
        <v>0</v>
      </c>
      <c r="H3474" s="274">
        <v>0</v>
      </c>
      <c r="K3474" s="274"/>
    </row>
    <row r="3475" spans="2:11" ht="13.5" customHeight="1">
      <c r="B3475" s="209" t="s">
        <v>1677</v>
      </c>
      <c r="C3475" s="209" t="s">
        <v>2926</v>
      </c>
      <c r="D3475" s="453" t="s">
        <v>141</v>
      </c>
      <c r="E3475" s="273">
        <v>0</v>
      </c>
      <c r="F3475" s="274"/>
      <c r="G3475" s="274">
        <f t="shared" si="13"/>
        <v>0</v>
      </c>
      <c r="H3475" s="274">
        <v>0</v>
      </c>
      <c r="K3475" s="274"/>
    </row>
    <row r="3476" spans="2:11" ht="13.5" customHeight="1">
      <c r="B3476" s="209" t="s">
        <v>1823</v>
      </c>
      <c r="C3476" s="209" t="s">
        <v>2927</v>
      </c>
      <c r="D3476" s="446" t="s">
        <v>133</v>
      </c>
      <c r="E3476" s="273">
        <v>0</v>
      </c>
      <c r="F3476" s="274"/>
      <c r="G3476" s="274">
        <f t="shared" si="13"/>
        <v>0</v>
      </c>
      <c r="H3476" s="274">
        <v>0</v>
      </c>
      <c r="K3476" s="274"/>
    </row>
    <row r="3477" spans="2:11" ht="13.5" customHeight="1">
      <c r="B3477" s="209" t="s">
        <v>1823</v>
      </c>
      <c r="C3477" s="209" t="s">
        <v>2927</v>
      </c>
      <c r="D3477" s="447" t="s">
        <v>134</v>
      </c>
      <c r="E3477" s="273">
        <v>0</v>
      </c>
      <c r="F3477" s="274"/>
      <c r="G3477" s="274">
        <f t="shared" si="13"/>
        <v>0</v>
      </c>
      <c r="H3477" s="274">
        <v>0</v>
      </c>
      <c r="K3477" s="274"/>
    </row>
    <row r="3478" spans="2:11" ht="13.5" customHeight="1">
      <c r="B3478" s="209" t="s">
        <v>1823</v>
      </c>
      <c r="C3478" s="209" t="s">
        <v>2927</v>
      </c>
      <c r="D3478" s="448" t="s">
        <v>135</v>
      </c>
      <c r="E3478" s="273">
        <v>0</v>
      </c>
      <c r="F3478" s="274"/>
      <c r="G3478" s="274">
        <f t="shared" si="13"/>
        <v>0</v>
      </c>
      <c r="H3478" s="274">
        <v>0</v>
      </c>
      <c r="K3478" s="274"/>
    </row>
    <row r="3479" spans="2:11" ht="13.5" customHeight="1">
      <c r="B3479" s="209" t="s">
        <v>1823</v>
      </c>
      <c r="C3479" s="209" t="s">
        <v>2927</v>
      </c>
      <c r="D3479" s="449" t="s">
        <v>136</v>
      </c>
      <c r="E3479" s="273">
        <v>0</v>
      </c>
      <c r="F3479" s="274"/>
      <c r="G3479" s="274">
        <f t="shared" si="13"/>
        <v>0</v>
      </c>
      <c r="H3479" s="274">
        <v>0</v>
      </c>
      <c r="K3479" s="274"/>
    </row>
    <row r="3480" spans="2:11" ht="13.5" customHeight="1">
      <c r="B3480" s="209" t="s">
        <v>1823</v>
      </c>
      <c r="C3480" s="209" t="s">
        <v>2927</v>
      </c>
      <c r="D3480" s="450" t="s">
        <v>137</v>
      </c>
      <c r="E3480" s="273">
        <v>0</v>
      </c>
      <c r="F3480" s="274"/>
      <c r="G3480" s="274">
        <f t="shared" si="13"/>
        <v>0</v>
      </c>
      <c r="H3480" s="274">
        <v>0</v>
      </c>
      <c r="K3480" s="274"/>
    </row>
    <row r="3481" spans="2:11" ht="13.5" customHeight="1">
      <c r="B3481" s="209" t="s">
        <v>1823</v>
      </c>
      <c r="C3481" s="209" t="s">
        <v>2927</v>
      </c>
      <c r="D3481" s="451" t="s">
        <v>138</v>
      </c>
      <c r="E3481" s="273">
        <v>0</v>
      </c>
      <c r="F3481" s="274"/>
      <c r="G3481" s="274">
        <f t="shared" si="13"/>
        <v>0</v>
      </c>
      <c r="H3481" s="274">
        <v>0</v>
      </c>
      <c r="K3481" s="274"/>
    </row>
    <row r="3482" spans="2:11" ht="13.5" customHeight="1">
      <c r="B3482" s="209" t="s">
        <v>1823</v>
      </c>
      <c r="C3482" s="209" t="s">
        <v>2927</v>
      </c>
      <c r="D3482" s="452" t="s">
        <v>139</v>
      </c>
      <c r="E3482" s="273">
        <v>0</v>
      </c>
      <c r="F3482" s="274"/>
      <c r="G3482" s="274">
        <f t="shared" si="13"/>
        <v>0</v>
      </c>
      <c r="H3482" s="274">
        <v>0</v>
      </c>
      <c r="K3482" s="274"/>
    </row>
    <row r="3483" spans="2:11" ht="13.5" customHeight="1">
      <c r="B3483" s="209" t="s">
        <v>1823</v>
      </c>
      <c r="C3483" s="209" t="s">
        <v>2927</v>
      </c>
      <c r="D3483" s="216" t="s">
        <v>140</v>
      </c>
      <c r="E3483" s="273">
        <v>0</v>
      </c>
      <c r="F3483" s="274"/>
      <c r="G3483" s="274">
        <f t="shared" si="13"/>
        <v>0</v>
      </c>
      <c r="H3483" s="274">
        <v>0</v>
      </c>
      <c r="K3483" s="274"/>
    </row>
    <row r="3484" spans="2:11" ht="13.5" customHeight="1">
      <c r="B3484" s="209" t="s">
        <v>1823</v>
      </c>
      <c r="C3484" s="209" t="s">
        <v>2927</v>
      </c>
      <c r="D3484" s="453" t="s">
        <v>141</v>
      </c>
      <c r="E3484" s="273">
        <v>0</v>
      </c>
      <c r="F3484" s="274"/>
      <c r="G3484" s="274">
        <f t="shared" si="13"/>
        <v>0</v>
      </c>
      <c r="H3484" s="274">
        <v>0</v>
      </c>
      <c r="K3484" s="274"/>
    </row>
    <row r="3485" spans="2:11" ht="13.5" customHeight="1">
      <c r="B3485" s="209" t="s">
        <v>1787</v>
      </c>
      <c r="C3485" s="209" t="s">
        <v>2928</v>
      </c>
      <c r="D3485" s="446" t="s">
        <v>133</v>
      </c>
      <c r="E3485" s="273">
        <v>0</v>
      </c>
      <c r="F3485" s="274"/>
      <c r="G3485" s="274">
        <f t="shared" si="13"/>
        <v>0</v>
      </c>
      <c r="H3485" s="274">
        <v>0</v>
      </c>
      <c r="K3485" s="274"/>
    </row>
    <row r="3486" spans="2:11" ht="13.5" customHeight="1">
      <c r="B3486" s="209" t="s">
        <v>1787</v>
      </c>
      <c r="C3486" s="209" t="s">
        <v>2928</v>
      </c>
      <c r="D3486" s="447" t="s">
        <v>134</v>
      </c>
      <c r="E3486" s="273">
        <v>0</v>
      </c>
      <c r="F3486" s="274"/>
      <c r="G3486" s="274">
        <f t="shared" si="13"/>
        <v>0</v>
      </c>
      <c r="H3486" s="274">
        <v>0</v>
      </c>
      <c r="K3486" s="274"/>
    </row>
    <row r="3487" spans="2:11" ht="13.5" customHeight="1">
      <c r="B3487" s="209" t="s">
        <v>1787</v>
      </c>
      <c r="C3487" s="209" t="s">
        <v>2928</v>
      </c>
      <c r="D3487" s="448" t="s">
        <v>135</v>
      </c>
      <c r="E3487" s="273">
        <v>0</v>
      </c>
      <c r="F3487" s="274"/>
      <c r="G3487" s="274">
        <f t="shared" si="13"/>
        <v>0</v>
      </c>
      <c r="H3487" s="274">
        <v>0</v>
      </c>
      <c r="K3487" s="274"/>
    </row>
    <row r="3488" spans="2:11" ht="13.5" customHeight="1">
      <c r="B3488" s="209" t="s">
        <v>1787</v>
      </c>
      <c r="C3488" s="209" t="s">
        <v>2928</v>
      </c>
      <c r="D3488" s="449" t="s">
        <v>136</v>
      </c>
      <c r="E3488" s="273">
        <v>0</v>
      </c>
      <c r="F3488" s="274"/>
      <c r="G3488" s="274">
        <f t="shared" si="13"/>
        <v>0</v>
      </c>
      <c r="H3488" s="274">
        <v>0</v>
      </c>
      <c r="K3488" s="274"/>
    </row>
    <row r="3489" spans="2:11" ht="13.5" customHeight="1">
      <c r="B3489" s="209" t="s">
        <v>1787</v>
      </c>
      <c r="C3489" s="209" t="s">
        <v>2928</v>
      </c>
      <c r="D3489" s="450" t="s">
        <v>137</v>
      </c>
      <c r="E3489" s="273">
        <v>0</v>
      </c>
      <c r="F3489" s="274"/>
      <c r="G3489" s="274">
        <f t="shared" si="13"/>
        <v>0</v>
      </c>
      <c r="H3489" s="274">
        <v>0</v>
      </c>
      <c r="K3489" s="274"/>
    </row>
    <row r="3490" spans="2:11" ht="13.5" customHeight="1">
      <c r="B3490" s="209" t="s">
        <v>1787</v>
      </c>
      <c r="C3490" s="209" t="s">
        <v>2928</v>
      </c>
      <c r="D3490" s="451" t="s">
        <v>138</v>
      </c>
      <c r="E3490" s="273">
        <v>0</v>
      </c>
      <c r="F3490" s="274"/>
      <c r="G3490" s="274">
        <f t="shared" si="13"/>
        <v>0</v>
      </c>
      <c r="H3490" s="274">
        <v>0</v>
      </c>
      <c r="K3490" s="274"/>
    </row>
    <row r="3491" spans="2:11" ht="13.5" customHeight="1">
      <c r="B3491" s="209" t="s">
        <v>1787</v>
      </c>
      <c r="C3491" s="209" t="s">
        <v>2928</v>
      </c>
      <c r="D3491" s="452" t="s">
        <v>139</v>
      </c>
      <c r="E3491" s="273">
        <v>0</v>
      </c>
      <c r="F3491" s="274"/>
      <c r="G3491" s="274">
        <f t="shared" si="13"/>
        <v>0</v>
      </c>
      <c r="H3491" s="274">
        <v>0</v>
      </c>
      <c r="K3491" s="274"/>
    </row>
    <row r="3492" spans="2:11" ht="13.5" customHeight="1">
      <c r="B3492" s="209" t="s">
        <v>1787</v>
      </c>
      <c r="C3492" s="209" t="s">
        <v>2928</v>
      </c>
      <c r="D3492" s="216" t="s">
        <v>140</v>
      </c>
      <c r="E3492" s="273">
        <v>0</v>
      </c>
      <c r="F3492" s="274"/>
      <c r="G3492" s="274">
        <f t="shared" si="13"/>
        <v>0</v>
      </c>
      <c r="H3492" s="274">
        <v>0</v>
      </c>
      <c r="K3492" s="274"/>
    </row>
    <row r="3493" spans="2:11" ht="13.5" customHeight="1">
      <c r="B3493" s="209" t="s">
        <v>1787</v>
      </c>
      <c r="C3493" s="209" t="s">
        <v>2928</v>
      </c>
      <c r="D3493" s="453" t="s">
        <v>141</v>
      </c>
      <c r="E3493" s="273">
        <v>0</v>
      </c>
      <c r="F3493" s="274"/>
      <c r="G3493" s="274">
        <f t="shared" si="13"/>
        <v>0</v>
      </c>
      <c r="H3493" s="274">
        <v>0</v>
      </c>
      <c r="K3493" s="274"/>
    </row>
    <row r="3494" spans="2:11" ht="13.5" customHeight="1">
      <c r="B3494" s="209" t="s">
        <v>1567</v>
      </c>
      <c r="C3494" s="209" t="s">
        <v>2929</v>
      </c>
      <c r="D3494" s="446" t="s">
        <v>133</v>
      </c>
      <c r="E3494" s="273">
        <v>0</v>
      </c>
      <c r="F3494" s="274"/>
      <c r="G3494" s="274">
        <f t="shared" si="13"/>
        <v>0</v>
      </c>
      <c r="H3494" s="274">
        <v>0</v>
      </c>
      <c r="K3494" s="274"/>
    </row>
    <row r="3495" spans="2:11" ht="13.5" customHeight="1">
      <c r="B3495" s="209" t="s">
        <v>1567</v>
      </c>
      <c r="C3495" s="209" t="s">
        <v>2929</v>
      </c>
      <c r="D3495" s="447" t="s">
        <v>134</v>
      </c>
      <c r="E3495" s="273">
        <v>0</v>
      </c>
      <c r="F3495" s="274"/>
      <c r="G3495" s="274">
        <f t="shared" si="13"/>
        <v>0</v>
      </c>
      <c r="H3495" s="274">
        <v>0</v>
      </c>
      <c r="K3495" s="274"/>
    </row>
    <row r="3496" spans="2:11" ht="13.5" customHeight="1">
      <c r="B3496" s="209" t="s">
        <v>1567</v>
      </c>
      <c r="C3496" s="209" t="s">
        <v>2929</v>
      </c>
      <c r="D3496" s="448" t="s">
        <v>135</v>
      </c>
      <c r="E3496" s="273">
        <v>0</v>
      </c>
      <c r="F3496" s="274"/>
      <c r="G3496" s="274">
        <f t="shared" si="13"/>
        <v>0</v>
      </c>
      <c r="H3496" s="274">
        <v>0</v>
      </c>
      <c r="K3496" s="274"/>
    </row>
    <row r="3497" spans="2:11" ht="13.5" customHeight="1">
      <c r="B3497" s="209" t="s">
        <v>1567</v>
      </c>
      <c r="C3497" s="209" t="s">
        <v>2929</v>
      </c>
      <c r="D3497" s="449" t="s">
        <v>136</v>
      </c>
      <c r="E3497" s="273">
        <v>0</v>
      </c>
      <c r="F3497" s="274"/>
      <c r="G3497" s="274">
        <f t="shared" si="13"/>
        <v>0</v>
      </c>
      <c r="H3497" s="274">
        <v>0</v>
      </c>
      <c r="K3497" s="274"/>
    </row>
    <row r="3498" spans="2:11" ht="13.5" customHeight="1">
      <c r="B3498" s="209" t="s">
        <v>1567</v>
      </c>
      <c r="C3498" s="209" t="s">
        <v>2929</v>
      </c>
      <c r="D3498" s="450" t="s">
        <v>137</v>
      </c>
      <c r="E3498" s="273">
        <v>0</v>
      </c>
      <c r="F3498" s="274"/>
      <c r="G3498" s="274">
        <f t="shared" si="13"/>
        <v>0</v>
      </c>
      <c r="H3498" s="274">
        <v>0</v>
      </c>
      <c r="K3498" s="274"/>
    </row>
    <row r="3499" spans="2:11" ht="13.5" customHeight="1">
      <c r="B3499" s="209" t="s">
        <v>1567</v>
      </c>
      <c r="C3499" s="209" t="s">
        <v>2929</v>
      </c>
      <c r="D3499" s="451" t="s">
        <v>138</v>
      </c>
      <c r="E3499" s="273">
        <v>0</v>
      </c>
      <c r="F3499" s="274"/>
      <c r="G3499" s="274">
        <f t="shared" si="13"/>
        <v>0</v>
      </c>
      <c r="H3499" s="274">
        <v>0</v>
      </c>
      <c r="K3499" s="274"/>
    </row>
    <row r="3500" spans="2:11" ht="13.5" customHeight="1">
      <c r="B3500" s="209" t="s">
        <v>1567</v>
      </c>
      <c r="C3500" s="209" t="s">
        <v>2929</v>
      </c>
      <c r="D3500" s="452" t="s">
        <v>139</v>
      </c>
      <c r="E3500" s="273">
        <v>0</v>
      </c>
      <c r="F3500" s="274"/>
      <c r="G3500" s="274">
        <f t="shared" si="13"/>
        <v>0</v>
      </c>
      <c r="H3500" s="274">
        <v>0</v>
      </c>
      <c r="K3500" s="274"/>
    </row>
    <row r="3501" spans="2:11" ht="13.5" customHeight="1">
      <c r="B3501" s="209" t="s">
        <v>1567</v>
      </c>
      <c r="C3501" s="209" t="s">
        <v>2929</v>
      </c>
      <c r="D3501" s="216" t="s">
        <v>140</v>
      </c>
      <c r="E3501" s="273">
        <v>0</v>
      </c>
      <c r="F3501" s="274"/>
      <c r="G3501" s="274">
        <f t="shared" si="13"/>
        <v>0</v>
      </c>
      <c r="H3501" s="274">
        <v>0</v>
      </c>
      <c r="K3501" s="274"/>
    </row>
    <row r="3502" spans="2:11" ht="13.5" customHeight="1">
      <c r="B3502" s="209" t="s">
        <v>1567</v>
      </c>
      <c r="C3502" s="209" t="s">
        <v>2929</v>
      </c>
      <c r="D3502" s="453" t="s">
        <v>141</v>
      </c>
      <c r="E3502" s="273">
        <v>0</v>
      </c>
      <c r="F3502" s="274"/>
      <c r="G3502" s="274">
        <f t="shared" si="13"/>
        <v>0</v>
      </c>
      <c r="H3502" s="274">
        <v>0</v>
      </c>
      <c r="K3502" s="274"/>
    </row>
    <row r="3503" spans="2:11" ht="13.5" customHeight="1">
      <c r="B3503" s="209" t="s">
        <v>1505</v>
      </c>
      <c r="C3503" s="209" t="s">
        <v>2930</v>
      </c>
      <c r="D3503" s="446" t="s">
        <v>133</v>
      </c>
      <c r="E3503" s="273">
        <v>0</v>
      </c>
      <c r="F3503" s="274"/>
      <c r="G3503" s="274">
        <f t="shared" si="13"/>
        <v>0</v>
      </c>
      <c r="H3503" s="274">
        <v>0</v>
      </c>
      <c r="K3503" s="274"/>
    </row>
    <row r="3504" spans="2:11" ht="13.5" customHeight="1">
      <c r="B3504" s="209" t="s">
        <v>1505</v>
      </c>
      <c r="C3504" s="209" t="s">
        <v>2930</v>
      </c>
      <c r="D3504" s="447" t="s">
        <v>134</v>
      </c>
      <c r="E3504" s="273">
        <v>0</v>
      </c>
      <c r="F3504" s="274"/>
      <c r="G3504" s="274">
        <f t="shared" si="13"/>
        <v>0</v>
      </c>
      <c r="H3504" s="274">
        <v>0</v>
      </c>
      <c r="K3504" s="274"/>
    </row>
    <row r="3505" spans="2:11" ht="13.5" customHeight="1">
      <c r="B3505" s="209" t="s">
        <v>1505</v>
      </c>
      <c r="C3505" s="209" t="s">
        <v>2930</v>
      </c>
      <c r="D3505" s="448" t="s">
        <v>135</v>
      </c>
      <c r="E3505" s="273">
        <v>0</v>
      </c>
      <c r="F3505" s="274"/>
      <c r="G3505" s="274">
        <f t="shared" si="13"/>
        <v>0</v>
      </c>
      <c r="H3505" s="274">
        <v>0</v>
      </c>
      <c r="K3505" s="274"/>
    </row>
    <row r="3506" spans="2:11" ht="13.5" customHeight="1">
      <c r="B3506" s="209" t="s">
        <v>1505</v>
      </c>
      <c r="C3506" s="209" t="s">
        <v>2930</v>
      </c>
      <c r="D3506" s="449" t="s">
        <v>136</v>
      </c>
      <c r="E3506" s="273">
        <v>0</v>
      </c>
      <c r="F3506" s="274"/>
      <c r="G3506" s="274">
        <f t="shared" si="13"/>
        <v>0</v>
      </c>
      <c r="H3506" s="274">
        <v>0</v>
      </c>
      <c r="K3506" s="274"/>
    </row>
    <row r="3507" spans="2:11" ht="13.5" customHeight="1">
      <c r="B3507" s="209" t="s">
        <v>1505</v>
      </c>
      <c r="C3507" s="209" t="s">
        <v>2930</v>
      </c>
      <c r="D3507" s="450" t="s">
        <v>137</v>
      </c>
      <c r="E3507" s="273">
        <v>0</v>
      </c>
      <c r="F3507" s="274"/>
      <c r="G3507" s="274">
        <f t="shared" si="13"/>
        <v>0</v>
      </c>
      <c r="H3507" s="274">
        <v>0</v>
      </c>
      <c r="K3507" s="274"/>
    </row>
    <row r="3508" spans="2:11" ht="13.5" customHeight="1">
      <c r="B3508" s="209" t="s">
        <v>1505</v>
      </c>
      <c r="C3508" s="209" t="s">
        <v>2930</v>
      </c>
      <c r="D3508" s="451" t="s">
        <v>138</v>
      </c>
      <c r="E3508" s="273">
        <v>0</v>
      </c>
      <c r="F3508" s="274"/>
      <c r="G3508" s="274">
        <f t="shared" si="13"/>
        <v>0</v>
      </c>
      <c r="H3508" s="274">
        <v>0</v>
      </c>
      <c r="K3508" s="274"/>
    </row>
    <row r="3509" spans="2:11" ht="13.5" customHeight="1">
      <c r="B3509" s="209" t="s">
        <v>1505</v>
      </c>
      <c r="C3509" s="209" t="s">
        <v>2930</v>
      </c>
      <c r="D3509" s="452" t="s">
        <v>139</v>
      </c>
      <c r="E3509" s="273">
        <v>0</v>
      </c>
      <c r="F3509" s="274"/>
      <c r="G3509" s="274">
        <f t="shared" si="13"/>
        <v>0</v>
      </c>
      <c r="H3509" s="274">
        <v>0</v>
      </c>
      <c r="K3509" s="274"/>
    </row>
    <row r="3510" spans="2:11" ht="13.5" customHeight="1">
      <c r="B3510" s="209" t="s">
        <v>1505</v>
      </c>
      <c r="C3510" s="209" t="s">
        <v>2930</v>
      </c>
      <c r="D3510" s="216" t="s">
        <v>140</v>
      </c>
      <c r="E3510" s="273">
        <v>0</v>
      </c>
      <c r="F3510" s="274"/>
      <c r="G3510" s="274">
        <f t="shared" si="13"/>
        <v>0</v>
      </c>
      <c r="H3510" s="274">
        <v>0</v>
      </c>
      <c r="K3510" s="274"/>
    </row>
    <row r="3511" spans="2:11" ht="13.5" customHeight="1">
      <c r="B3511" s="209" t="s">
        <v>1505</v>
      </c>
      <c r="C3511" s="209" t="s">
        <v>2930</v>
      </c>
      <c r="D3511" s="453" t="s">
        <v>141</v>
      </c>
      <c r="E3511" s="273">
        <v>0</v>
      </c>
      <c r="F3511" s="274"/>
      <c r="G3511" s="274">
        <f t="shared" si="13"/>
        <v>0</v>
      </c>
      <c r="H3511" s="274">
        <v>0</v>
      </c>
      <c r="K3511" s="274"/>
    </row>
    <row r="3512" spans="2:11" ht="13.5" customHeight="1">
      <c r="B3512" s="209" t="s">
        <v>1615</v>
      </c>
      <c r="C3512" s="209" t="s">
        <v>2931</v>
      </c>
      <c r="D3512" s="446" t="s">
        <v>133</v>
      </c>
      <c r="E3512" s="273">
        <v>0</v>
      </c>
      <c r="F3512" s="274"/>
      <c r="G3512" s="274">
        <f t="shared" si="13"/>
        <v>0</v>
      </c>
      <c r="H3512" s="274">
        <v>0</v>
      </c>
      <c r="K3512" s="274"/>
    </row>
    <row r="3513" spans="2:11" ht="13.5" customHeight="1">
      <c r="B3513" s="209" t="s">
        <v>1615</v>
      </c>
      <c r="C3513" s="209" t="s">
        <v>2931</v>
      </c>
      <c r="D3513" s="447" t="s">
        <v>134</v>
      </c>
      <c r="E3513" s="273">
        <v>0</v>
      </c>
      <c r="F3513" s="274"/>
      <c r="G3513" s="274">
        <f t="shared" si="13"/>
        <v>0</v>
      </c>
      <c r="H3513" s="274">
        <v>0</v>
      </c>
      <c r="K3513" s="274"/>
    </row>
    <row r="3514" spans="2:11" ht="13.5" customHeight="1">
      <c r="B3514" s="209" t="s">
        <v>1615</v>
      </c>
      <c r="C3514" s="209" t="s">
        <v>2931</v>
      </c>
      <c r="D3514" s="448" t="s">
        <v>135</v>
      </c>
      <c r="E3514" s="273">
        <v>0</v>
      </c>
      <c r="F3514" s="274"/>
      <c r="G3514" s="274">
        <f t="shared" si="13"/>
        <v>0</v>
      </c>
      <c r="H3514" s="274">
        <v>0</v>
      </c>
      <c r="K3514" s="274"/>
    </row>
    <row r="3515" spans="2:11" ht="13.5" customHeight="1">
      <c r="B3515" s="209" t="s">
        <v>1615</v>
      </c>
      <c r="C3515" s="209" t="s">
        <v>2931</v>
      </c>
      <c r="D3515" s="449" t="s">
        <v>136</v>
      </c>
      <c r="E3515" s="273">
        <v>0</v>
      </c>
      <c r="F3515" s="274"/>
      <c r="G3515" s="274">
        <f t="shared" si="13"/>
        <v>0</v>
      </c>
      <c r="H3515" s="274">
        <v>0</v>
      </c>
      <c r="K3515" s="274"/>
    </row>
    <row r="3516" spans="2:11" ht="13.5" customHeight="1">
      <c r="B3516" s="209" t="s">
        <v>1615</v>
      </c>
      <c r="C3516" s="209" t="s">
        <v>2931</v>
      </c>
      <c r="D3516" s="450" t="s">
        <v>137</v>
      </c>
      <c r="E3516" s="273">
        <v>0</v>
      </c>
      <c r="F3516" s="274"/>
      <c r="G3516" s="274">
        <f t="shared" si="13"/>
        <v>0</v>
      </c>
      <c r="H3516" s="274">
        <v>0</v>
      </c>
      <c r="K3516" s="274"/>
    </row>
    <row r="3517" spans="2:11" ht="13.5" customHeight="1">
      <c r="B3517" s="209" t="s">
        <v>1615</v>
      </c>
      <c r="C3517" s="209" t="s">
        <v>2931</v>
      </c>
      <c r="D3517" s="451" t="s">
        <v>138</v>
      </c>
      <c r="E3517" s="273">
        <v>0</v>
      </c>
      <c r="F3517" s="274"/>
      <c r="G3517" s="274">
        <f t="shared" si="13"/>
        <v>0</v>
      </c>
      <c r="H3517" s="274">
        <v>0</v>
      </c>
      <c r="K3517" s="274"/>
    </row>
    <row r="3518" spans="2:11" ht="13.5" customHeight="1">
      <c r="B3518" s="209" t="s">
        <v>1615</v>
      </c>
      <c r="C3518" s="209" t="s">
        <v>2931</v>
      </c>
      <c r="D3518" s="452" t="s">
        <v>139</v>
      </c>
      <c r="E3518" s="273">
        <v>0</v>
      </c>
      <c r="F3518" s="274"/>
      <c r="G3518" s="274">
        <f t="shared" si="13"/>
        <v>0</v>
      </c>
      <c r="H3518" s="274">
        <v>0</v>
      </c>
      <c r="K3518" s="274"/>
    </row>
    <row r="3519" spans="2:11" ht="13.5" customHeight="1">
      <c r="B3519" s="209" t="s">
        <v>1615</v>
      </c>
      <c r="C3519" s="209" t="s">
        <v>2931</v>
      </c>
      <c r="D3519" s="216" t="s">
        <v>140</v>
      </c>
      <c r="E3519" s="273">
        <v>0</v>
      </c>
      <c r="F3519" s="274"/>
      <c r="G3519" s="274">
        <f t="shared" si="13"/>
        <v>0</v>
      </c>
      <c r="H3519" s="274">
        <v>0</v>
      </c>
      <c r="K3519" s="274"/>
    </row>
    <row r="3520" spans="2:11" ht="13.5" customHeight="1">
      <c r="B3520" s="209" t="s">
        <v>1615</v>
      </c>
      <c r="C3520" s="209" t="s">
        <v>2931</v>
      </c>
      <c r="D3520" s="453" t="s">
        <v>141</v>
      </c>
      <c r="E3520" s="273">
        <v>0</v>
      </c>
      <c r="F3520" s="274"/>
      <c r="G3520" s="274">
        <f t="shared" si="13"/>
        <v>0</v>
      </c>
      <c r="H3520" s="274">
        <v>0</v>
      </c>
      <c r="K3520" s="274"/>
    </row>
    <row r="3521" spans="2:11" ht="13.5" customHeight="1">
      <c r="B3521" s="209" t="s">
        <v>1463</v>
      </c>
      <c r="C3521" s="209" t="s">
        <v>2932</v>
      </c>
      <c r="D3521" s="446" t="s">
        <v>133</v>
      </c>
      <c r="E3521" s="273">
        <v>0</v>
      </c>
      <c r="F3521" s="274"/>
      <c r="G3521" s="274">
        <f t="shared" si="13"/>
        <v>0</v>
      </c>
      <c r="H3521" s="274">
        <v>0</v>
      </c>
      <c r="K3521" s="274"/>
    </row>
    <row r="3522" spans="2:11" ht="13.5" customHeight="1">
      <c r="B3522" s="209" t="s">
        <v>1463</v>
      </c>
      <c r="C3522" s="209" t="s">
        <v>2932</v>
      </c>
      <c r="D3522" s="447" t="s">
        <v>134</v>
      </c>
      <c r="E3522" s="273">
        <v>0</v>
      </c>
      <c r="F3522" s="274"/>
      <c r="G3522" s="274">
        <f t="shared" si="13"/>
        <v>0</v>
      </c>
      <c r="H3522" s="274">
        <v>0</v>
      </c>
      <c r="K3522" s="274"/>
    </row>
    <row r="3523" spans="2:11" ht="13.5" customHeight="1">
      <c r="B3523" s="209" t="s">
        <v>1463</v>
      </c>
      <c r="C3523" s="209" t="s">
        <v>2932</v>
      </c>
      <c r="D3523" s="448" t="s">
        <v>135</v>
      </c>
      <c r="E3523" s="273">
        <v>0</v>
      </c>
      <c r="F3523" s="274"/>
      <c r="G3523" s="274">
        <f t="shared" si="13"/>
        <v>0</v>
      </c>
      <c r="H3523" s="274">
        <v>0</v>
      </c>
      <c r="K3523" s="274"/>
    </row>
    <row r="3524" spans="2:11" ht="13.5" customHeight="1">
      <c r="B3524" s="209" t="s">
        <v>1463</v>
      </c>
      <c r="C3524" s="209" t="s">
        <v>2932</v>
      </c>
      <c r="D3524" s="449" t="s">
        <v>136</v>
      </c>
      <c r="E3524" s="273">
        <v>0</v>
      </c>
      <c r="F3524" s="274"/>
      <c r="G3524" s="274">
        <f t="shared" si="13"/>
        <v>0</v>
      </c>
      <c r="H3524" s="274">
        <v>0</v>
      </c>
      <c r="K3524" s="274"/>
    </row>
    <row r="3525" spans="2:11" ht="13.5" customHeight="1">
      <c r="B3525" s="209" t="s">
        <v>1463</v>
      </c>
      <c r="C3525" s="209" t="s">
        <v>2932</v>
      </c>
      <c r="D3525" s="450" t="s">
        <v>137</v>
      </c>
      <c r="E3525" s="273">
        <v>0</v>
      </c>
      <c r="F3525" s="274"/>
      <c r="G3525" s="274">
        <f t="shared" si="13"/>
        <v>0</v>
      </c>
      <c r="H3525" s="274">
        <v>0</v>
      </c>
      <c r="K3525" s="274"/>
    </row>
    <row r="3526" spans="2:11" ht="13.5" customHeight="1">
      <c r="B3526" s="209" t="s">
        <v>1463</v>
      </c>
      <c r="C3526" s="209" t="s">
        <v>2932</v>
      </c>
      <c r="D3526" s="451" t="s">
        <v>138</v>
      </c>
      <c r="E3526" s="273">
        <v>0</v>
      </c>
      <c r="F3526" s="274"/>
      <c r="G3526" s="274">
        <f t="shared" si="13"/>
        <v>0</v>
      </c>
      <c r="H3526" s="274">
        <v>0</v>
      </c>
      <c r="K3526" s="274"/>
    </row>
    <row r="3527" spans="2:11" ht="13.5" customHeight="1">
      <c r="B3527" s="209" t="s">
        <v>1463</v>
      </c>
      <c r="C3527" s="209" t="s">
        <v>2932</v>
      </c>
      <c r="D3527" s="452" t="s">
        <v>139</v>
      </c>
      <c r="E3527" s="273">
        <v>0</v>
      </c>
      <c r="F3527" s="274"/>
      <c r="G3527" s="274">
        <f t="shared" si="13"/>
        <v>0</v>
      </c>
      <c r="H3527" s="274">
        <v>0</v>
      </c>
      <c r="K3527" s="274"/>
    </row>
    <row r="3528" spans="2:11" ht="13.5" customHeight="1">
      <c r="B3528" s="209" t="s">
        <v>1463</v>
      </c>
      <c r="C3528" s="209" t="s">
        <v>2932</v>
      </c>
      <c r="D3528" s="216" t="s">
        <v>140</v>
      </c>
      <c r="E3528" s="273">
        <v>0</v>
      </c>
      <c r="F3528" s="274"/>
      <c r="G3528" s="274">
        <f t="shared" si="13"/>
        <v>0</v>
      </c>
      <c r="H3528" s="274">
        <v>0</v>
      </c>
      <c r="K3528" s="274"/>
    </row>
    <row r="3529" spans="2:11" ht="13.5" customHeight="1">
      <c r="B3529" s="209" t="s">
        <v>1463</v>
      </c>
      <c r="C3529" s="209" t="s">
        <v>2932</v>
      </c>
      <c r="D3529" s="453" t="s">
        <v>141</v>
      </c>
      <c r="E3529" s="273">
        <v>0</v>
      </c>
      <c r="F3529" s="274"/>
      <c r="G3529" s="274">
        <f t="shared" si="13"/>
        <v>0</v>
      </c>
      <c r="H3529" s="274">
        <v>0</v>
      </c>
      <c r="K3529" s="274"/>
    </row>
    <row r="3530" spans="2:11" ht="13.5" customHeight="1">
      <c r="B3530" s="209" t="s">
        <v>1542</v>
      </c>
      <c r="C3530" s="209" t="s">
        <v>2933</v>
      </c>
      <c r="D3530" s="446" t="s">
        <v>133</v>
      </c>
      <c r="E3530" s="273">
        <v>0</v>
      </c>
      <c r="F3530" s="274"/>
      <c r="G3530" s="274">
        <f t="shared" si="13"/>
        <v>0</v>
      </c>
      <c r="H3530" s="274">
        <v>0</v>
      </c>
      <c r="K3530" s="274"/>
    </row>
    <row r="3531" spans="2:11" ht="13.5" customHeight="1">
      <c r="B3531" s="209" t="s">
        <v>1542</v>
      </c>
      <c r="C3531" s="209" t="s">
        <v>2933</v>
      </c>
      <c r="D3531" s="447" t="s">
        <v>134</v>
      </c>
      <c r="E3531" s="273">
        <v>0</v>
      </c>
      <c r="F3531" s="274"/>
      <c r="G3531" s="274">
        <f t="shared" si="13"/>
        <v>0</v>
      </c>
      <c r="H3531" s="274">
        <v>0</v>
      </c>
      <c r="K3531" s="274"/>
    </row>
    <row r="3532" spans="2:11" ht="13.5" customHeight="1">
      <c r="B3532" s="209" t="s">
        <v>1542</v>
      </c>
      <c r="C3532" s="209" t="s">
        <v>2933</v>
      </c>
      <c r="D3532" s="448" t="s">
        <v>135</v>
      </c>
      <c r="E3532" s="273">
        <v>0</v>
      </c>
      <c r="F3532" s="274"/>
      <c r="G3532" s="274">
        <f t="shared" si="13"/>
        <v>0</v>
      </c>
      <c r="H3532" s="274">
        <v>0</v>
      </c>
      <c r="K3532" s="274"/>
    </row>
    <row r="3533" spans="2:11" ht="13.5" customHeight="1">
      <c r="B3533" s="209" t="s">
        <v>1542</v>
      </c>
      <c r="C3533" s="209" t="s">
        <v>2933</v>
      </c>
      <c r="D3533" s="449" t="s">
        <v>136</v>
      </c>
      <c r="E3533" s="273">
        <v>0</v>
      </c>
      <c r="F3533" s="274"/>
      <c r="G3533" s="274">
        <f t="shared" si="13"/>
        <v>0</v>
      </c>
      <c r="H3533" s="274">
        <v>0</v>
      </c>
      <c r="K3533" s="274"/>
    </row>
    <row r="3534" spans="2:11" ht="13.5" customHeight="1">
      <c r="B3534" s="209" t="s">
        <v>1542</v>
      </c>
      <c r="C3534" s="209" t="s">
        <v>2933</v>
      </c>
      <c r="D3534" s="450" t="s">
        <v>137</v>
      </c>
      <c r="E3534" s="273">
        <v>0</v>
      </c>
      <c r="F3534" s="274"/>
      <c r="G3534" s="274">
        <f t="shared" si="13"/>
        <v>0</v>
      </c>
      <c r="H3534" s="274">
        <v>0</v>
      </c>
      <c r="K3534" s="274"/>
    </row>
    <row r="3535" spans="2:11" ht="13.5" customHeight="1">
      <c r="B3535" s="209" t="s">
        <v>1542</v>
      </c>
      <c r="C3535" s="209" t="s">
        <v>2933</v>
      </c>
      <c r="D3535" s="451" t="s">
        <v>138</v>
      </c>
      <c r="E3535" s="273">
        <v>0</v>
      </c>
      <c r="F3535" s="274"/>
      <c r="G3535" s="274">
        <f t="shared" si="13"/>
        <v>0</v>
      </c>
      <c r="H3535" s="274">
        <v>0</v>
      </c>
      <c r="K3535" s="274"/>
    </row>
    <row r="3536" spans="2:11" ht="13.5" customHeight="1">
      <c r="B3536" s="209" t="s">
        <v>1542</v>
      </c>
      <c r="C3536" s="209" t="s">
        <v>2933</v>
      </c>
      <c r="D3536" s="452" t="s">
        <v>139</v>
      </c>
      <c r="E3536" s="273">
        <v>0</v>
      </c>
      <c r="F3536" s="274"/>
      <c r="G3536" s="274">
        <f t="shared" si="13"/>
        <v>0</v>
      </c>
      <c r="H3536" s="274">
        <v>0</v>
      </c>
      <c r="K3536" s="274"/>
    </row>
    <row r="3537" spans="2:11" ht="13.5" customHeight="1">
      <c r="B3537" s="209" t="s">
        <v>1542</v>
      </c>
      <c r="C3537" s="209" t="s">
        <v>2933</v>
      </c>
      <c r="D3537" s="216" t="s">
        <v>140</v>
      </c>
      <c r="E3537" s="273">
        <v>0</v>
      </c>
      <c r="F3537" s="274"/>
      <c r="G3537" s="274">
        <f t="shared" si="13"/>
        <v>0</v>
      </c>
      <c r="H3537" s="274">
        <v>0</v>
      </c>
      <c r="K3537" s="274"/>
    </row>
    <row r="3538" spans="2:11" ht="13.5" customHeight="1">
      <c r="B3538" s="209" t="s">
        <v>1542</v>
      </c>
      <c r="C3538" s="209" t="s">
        <v>2933</v>
      </c>
      <c r="D3538" s="453" t="s">
        <v>141</v>
      </c>
      <c r="E3538" s="273">
        <v>0</v>
      </c>
      <c r="F3538" s="274"/>
      <c r="G3538" s="274">
        <f t="shared" si="13"/>
        <v>0</v>
      </c>
      <c r="H3538" s="274">
        <v>0</v>
      </c>
      <c r="K3538" s="274"/>
    </row>
    <row r="3539" spans="2:11" ht="13.5" customHeight="1">
      <c r="B3539" s="209" t="s">
        <v>1604</v>
      </c>
      <c r="C3539" s="209" t="s">
        <v>2934</v>
      </c>
      <c r="D3539" s="446" t="s">
        <v>133</v>
      </c>
      <c r="E3539" s="273">
        <v>0</v>
      </c>
      <c r="F3539" s="274"/>
      <c r="G3539" s="274">
        <f t="shared" si="13"/>
        <v>0</v>
      </c>
      <c r="H3539" s="274">
        <v>0</v>
      </c>
      <c r="K3539" s="274"/>
    </row>
    <row r="3540" spans="2:11" ht="13.5" customHeight="1">
      <c r="B3540" s="209" t="s">
        <v>1604</v>
      </c>
      <c r="C3540" s="209" t="s">
        <v>2934</v>
      </c>
      <c r="D3540" s="447" t="s">
        <v>134</v>
      </c>
      <c r="E3540" s="273">
        <v>0</v>
      </c>
      <c r="F3540" s="274"/>
      <c r="G3540" s="274">
        <f t="shared" si="13"/>
        <v>0</v>
      </c>
      <c r="H3540" s="274">
        <v>0</v>
      </c>
      <c r="K3540" s="274"/>
    </row>
    <row r="3541" spans="2:11" ht="13.5" customHeight="1">
      <c r="B3541" s="209" t="s">
        <v>1604</v>
      </c>
      <c r="C3541" s="209" t="s">
        <v>2934</v>
      </c>
      <c r="D3541" s="448" t="s">
        <v>135</v>
      </c>
      <c r="E3541" s="273">
        <v>0</v>
      </c>
      <c r="F3541" s="274"/>
      <c r="G3541" s="274">
        <f t="shared" si="13"/>
        <v>0</v>
      </c>
      <c r="H3541" s="274">
        <v>0</v>
      </c>
      <c r="K3541" s="274"/>
    </row>
    <row r="3542" spans="2:11" ht="13.5" customHeight="1">
      <c r="B3542" s="209" t="s">
        <v>1604</v>
      </c>
      <c r="C3542" s="209" t="s">
        <v>2934</v>
      </c>
      <c r="D3542" s="449" t="s">
        <v>136</v>
      </c>
      <c r="E3542" s="273">
        <v>0</v>
      </c>
      <c r="F3542" s="274"/>
      <c r="G3542" s="274">
        <f t="shared" si="13"/>
        <v>0</v>
      </c>
      <c r="H3542" s="274">
        <v>0</v>
      </c>
      <c r="K3542" s="274"/>
    </row>
    <row r="3543" spans="2:11" ht="13.5" customHeight="1">
      <c r="B3543" s="209" t="s">
        <v>1604</v>
      </c>
      <c r="C3543" s="209" t="s">
        <v>2934</v>
      </c>
      <c r="D3543" s="450" t="s">
        <v>137</v>
      </c>
      <c r="E3543" s="273">
        <v>0</v>
      </c>
      <c r="F3543" s="274"/>
      <c r="G3543" s="274">
        <f t="shared" si="13"/>
        <v>0</v>
      </c>
      <c r="H3543" s="274">
        <v>0</v>
      </c>
      <c r="K3543" s="274"/>
    </row>
    <row r="3544" spans="2:11" ht="13.5" customHeight="1">
      <c r="B3544" s="209" t="s">
        <v>1604</v>
      </c>
      <c r="C3544" s="209" t="s">
        <v>2934</v>
      </c>
      <c r="D3544" s="451" t="s">
        <v>138</v>
      </c>
      <c r="E3544" s="273">
        <v>0</v>
      </c>
      <c r="F3544" s="274"/>
      <c r="G3544" s="274">
        <f t="shared" si="13"/>
        <v>0</v>
      </c>
      <c r="H3544" s="274">
        <v>0</v>
      </c>
      <c r="K3544" s="274"/>
    </row>
    <row r="3545" spans="2:11" ht="13.5" customHeight="1">
      <c r="B3545" s="209" t="s">
        <v>1604</v>
      </c>
      <c r="C3545" s="209" t="s">
        <v>2934</v>
      </c>
      <c r="D3545" s="452" t="s">
        <v>139</v>
      </c>
      <c r="E3545" s="273">
        <v>0</v>
      </c>
      <c r="F3545" s="274"/>
      <c r="G3545" s="274">
        <f t="shared" si="13"/>
        <v>0</v>
      </c>
      <c r="H3545" s="274">
        <v>0</v>
      </c>
      <c r="K3545" s="274"/>
    </row>
    <row r="3546" spans="2:11" ht="13.5" customHeight="1">
      <c r="B3546" s="209" t="s">
        <v>1604</v>
      </c>
      <c r="C3546" s="209" t="s">
        <v>2934</v>
      </c>
      <c r="D3546" s="216" t="s">
        <v>140</v>
      </c>
      <c r="E3546" s="273">
        <v>0</v>
      </c>
      <c r="F3546" s="274"/>
      <c r="G3546" s="274">
        <f t="shared" si="13"/>
        <v>0</v>
      </c>
      <c r="H3546" s="274">
        <v>0</v>
      </c>
      <c r="K3546" s="274"/>
    </row>
    <row r="3547" spans="2:11" ht="13.5" customHeight="1">
      <c r="B3547" s="209" t="s">
        <v>1604</v>
      </c>
      <c r="C3547" s="209" t="s">
        <v>2934</v>
      </c>
      <c r="D3547" s="453" t="s">
        <v>141</v>
      </c>
      <c r="E3547" s="273">
        <v>0</v>
      </c>
      <c r="F3547" s="274"/>
      <c r="G3547" s="274">
        <f t="shared" si="13"/>
        <v>0</v>
      </c>
      <c r="H3547" s="274">
        <v>0</v>
      </c>
      <c r="K3547" s="274"/>
    </row>
    <row r="3548" spans="2:11" ht="13.5" customHeight="1">
      <c r="B3548" s="209" t="s">
        <v>1607</v>
      </c>
      <c r="C3548" s="209" t="s">
        <v>2935</v>
      </c>
      <c r="D3548" s="446" t="s">
        <v>133</v>
      </c>
      <c r="E3548" s="273">
        <v>0</v>
      </c>
      <c r="F3548" s="274"/>
      <c r="G3548" s="274">
        <f t="shared" si="13"/>
        <v>0</v>
      </c>
      <c r="H3548" s="274">
        <v>0</v>
      </c>
      <c r="K3548" s="274"/>
    </row>
    <row r="3549" spans="2:11" ht="13.5" customHeight="1">
      <c r="B3549" s="209" t="s">
        <v>1607</v>
      </c>
      <c r="C3549" s="209" t="s">
        <v>2935</v>
      </c>
      <c r="D3549" s="447" t="s">
        <v>134</v>
      </c>
      <c r="E3549" s="273">
        <v>0</v>
      </c>
      <c r="F3549" s="274"/>
      <c r="G3549" s="274">
        <f t="shared" si="13"/>
        <v>0</v>
      </c>
      <c r="H3549" s="274">
        <v>0</v>
      </c>
      <c r="K3549" s="274"/>
    </row>
    <row r="3550" spans="2:11" ht="13.5" customHeight="1">
      <c r="B3550" s="209" t="s">
        <v>1607</v>
      </c>
      <c r="C3550" s="209" t="s">
        <v>2935</v>
      </c>
      <c r="D3550" s="448" t="s">
        <v>135</v>
      </c>
      <c r="E3550" s="273">
        <v>0</v>
      </c>
      <c r="F3550" s="274"/>
      <c r="G3550" s="274">
        <f t="shared" si="13"/>
        <v>0</v>
      </c>
      <c r="H3550" s="274">
        <v>0</v>
      </c>
      <c r="K3550" s="274"/>
    </row>
    <row r="3551" spans="2:11" ht="13.5" customHeight="1">
      <c r="B3551" s="209" t="s">
        <v>1607</v>
      </c>
      <c r="C3551" s="209" t="s">
        <v>2935</v>
      </c>
      <c r="D3551" s="449" t="s">
        <v>136</v>
      </c>
      <c r="E3551" s="273">
        <v>0</v>
      </c>
      <c r="F3551" s="274"/>
      <c r="G3551" s="274">
        <f t="shared" si="13"/>
        <v>0</v>
      </c>
      <c r="H3551" s="274">
        <v>0</v>
      </c>
      <c r="K3551" s="274"/>
    </row>
    <row r="3552" spans="2:11" ht="13.5" customHeight="1">
      <c r="B3552" s="209" t="s">
        <v>1607</v>
      </c>
      <c r="C3552" s="209" t="s">
        <v>2935</v>
      </c>
      <c r="D3552" s="450" t="s">
        <v>137</v>
      </c>
      <c r="E3552" s="273">
        <v>0</v>
      </c>
      <c r="F3552" s="274"/>
      <c r="G3552" s="274">
        <f t="shared" si="13"/>
        <v>0</v>
      </c>
      <c r="H3552" s="274">
        <v>0</v>
      </c>
      <c r="K3552" s="274"/>
    </row>
    <row r="3553" spans="2:11" ht="13.5" customHeight="1">
      <c r="B3553" s="209" t="s">
        <v>1607</v>
      </c>
      <c r="C3553" s="209" t="s">
        <v>2935</v>
      </c>
      <c r="D3553" s="451" t="s">
        <v>138</v>
      </c>
      <c r="E3553" s="273">
        <v>0</v>
      </c>
      <c r="F3553" s="274"/>
      <c r="G3553" s="274">
        <f t="shared" si="13"/>
        <v>0</v>
      </c>
      <c r="H3553" s="274">
        <v>0</v>
      </c>
      <c r="K3553" s="274"/>
    </row>
    <row r="3554" spans="2:11" ht="13.5" customHeight="1">
      <c r="B3554" s="209" t="s">
        <v>1607</v>
      </c>
      <c r="C3554" s="209" t="s">
        <v>2935</v>
      </c>
      <c r="D3554" s="452" t="s">
        <v>139</v>
      </c>
      <c r="E3554" s="273">
        <v>0</v>
      </c>
      <c r="F3554" s="274"/>
      <c r="G3554" s="274">
        <f t="shared" si="13"/>
        <v>0</v>
      </c>
      <c r="H3554" s="274">
        <v>0</v>
      </c>
      <c r="K3554" s="274"/>
    </row>
    <row r="3555" spans="2:11" ht="13.5" customHeight="1">
      <c r="B3555" s="209" t="s">
        <v>1607</v>
      </c>
      <c r="C3555" s="209" t="s">
        <v>2935</v>
      </c>
      <c r="D3555" s="216" t="s">
        <v>140</v>
      </c>
      <c r="E3555" s="273">
        <v>0</v>
      </c>
      <c r="F3555" s="274"/>
      <c r="G3555" s="274">
        <f t="shared" si="13"/>
        <v>0</v>
      </c>
      <c r="H3555" s="274">
        <v>0</v>
      </c>
      <c r="K3555" s="274"/>
    </row>
    <row r="3556" spans="2:11" ht="13.5" customHeight="1">
      <c r="B3556" s="209" t="s">
        <v>1607</v>
      </c>
      <c r="C3556" s="209" t="s">
        <v>2935</v>
      </c>
      <c r="D3556" s="453" t="s">
        <v>141</v>
      </c>
      <c r="E3556" s="273">
        <v>0</v>
      </c>
      <c r="F3556" s="274"/>
      <c r="G3556" s="274">
        <f t="shared" si="13"/>
        <v>0</v>
      </c>
      <c r="H3556" s="274">
        <v>0</v>
      </c>
      <c r="K3556" s="274"/>
    </row>
    <row r="3557" spans="2:11" ht="13.5" customHeight="1">
      <c r="B3557" s="209" t="s">
        <v>1609</v>
      </c>
      <c r="C3557" s="209" t="s">
        <v>2936</v>
      </c>
      <c r="D3557" s="446" t="s">
        <v>133</v>
      </c>
      <c r="E3557" s="273">
        <v>0</v>
      </c>
      <c r="F3557" s="274"/>
      <c r="G3557" s="274">
        <f t="shared" si="13"/>
        <v>0</v>
      </c>
      <c r="H3557" s="274">
        <v>0</v>
      </c>
      <c r="K3557" s="274"/>
    </row>
    <row r="3558" spans="2:11" ht="13.5" customHeight="1">
      <c r="B3558" s="209" t="s">
        <v>1609</v>
      </c>
      <c r="C3558" s="209" t="s">
        <v>2936</v>
      </c>
      <c r="D3558" s="447" t="s">
        <v>134</v>
      </c>
      <c r="E3558" s="273">
        <v>0</v>
      </c>
      <c r="F3558" s="274"/>
      <c r="G3558" s="274">
        <f t="shared" si="13"/>
        <v>0</v>
      </c>
      <c r="H3558" s="274">
        <v>0</v>
      </c>
      <c r="K3558" s="274"/>
    </row>
    <row r="3559" spans="2:11" ht="13.5" customHeight="1">
      <c r="B3559" s="209" t="s">
        <v>1609</v>
      </c>
      <c r="C3559" s="209" t="s">
        <v>2936</v>
      </c>
      <c r="D3559" s="448" t="s">
        <v>135</v>
      </c>
      <c r="E3559" s="273">
        <v>0</v>
      </c>
      <c r="F3559" s="274"/>
      <c r="G3559" s="274">
        <f t="shared" si="13"/>
        <v>0</v>
      </c>
      <c r="H3559" s="274">
        <v>0</v>
      </c>
      <c r="K3559" s="274"/>
    </row>
    <row r="3560" spans="2:11" ht="13.5" customHeight="1">
      <c r="B3560" s="209" t="s">
        <v>1609</v>
      </c>
      <c r="C3560" s="209" t="s">
        <v>2936</v>
      </c>
      <c r="D3560" s="449" t="s">
        <v>136</v>
      </c>
      <c r="E3560" s="273">
        <v>0</v>
      </c>
      <c r="F3560" s="274"/>
      <c r="G3560" s="274">
        <f t="shared" si="13"/>
        <v>0</v>
      </c>
      <c r="H3560" s="274">
        <v>0</v>
      </c>
      <c r="K3560" s="274"/>
    </row>
    <row r="3561" spans="2:11" ht="13.5" customHeight="1">
      <c r="B3561" s="209" t="s">
        <v>1609</v>
      </c>
      <c r="C3561" s="209" t="s">
        <v>2936</v>
      </c>
      <c r="D3561" s="450" t="s">
        <v>137</v>
      </c>
      <c r="E3561" s="273">
        <v>0</v>
      </c>
      <c r="F3561" s="274"/>
      <c r="G3561" s="274">
        <f t="shared" si="13"/>
        <v>0</v>
      </c>
      <c r="H3561" s="274">
        <v>0</v>
      </c>
      <c r="K3561" s="274"/>
    </row>
    <row r="3562" spans="2:11" ht="13.5" customHeight="1">
      <c r="B3562" s="209" t="s">
        <v>1609</v>
      </c>
      <c r="C3562" s="209" t="s">
        <v>2936</v>
      </c>
      <c r="D3562" s="451" t="s">
        <v>138</v>
      </c>
      <c r="E3562" s="273">
        <v>0</v>
      </c>
      <c r="F3562" s="274"/>
      <c r="G3562" s="274">
        <f t="shared" si="13"/>
        <v>0</v>
      </c>
      <c r="H3562" s="274">
        <v>0</v>
      </c>
      <c r="K3562" s="274"/>
    </row>
    <row r="3563" spans="2:11" ht="13.5" customHeight="1">
      <c r="B3563" s="209" t="s">
        <v>1609</v>
      </c>
      <c r="C3563" s="209" t="s">
        <v>2936</v>
      </c>
      <c r="D3563" s="452" t="s">
        <v>139</v>
      </c>
      <c r="E3563" s="273">
        <v>0</v>
      </c>
      <c r="F3563" s="274"/>
      <c r="G3563" s="274">
        <f t="shared" si="13"/>
        <v>0</v>
      </c>
      <c r="H3563" s="274">
        <v>0</v>
      </c>
      <c r="K3563" s="274"/>
    </row>
    <row r="3564" spans="2:11" ht="13.5" customHeight="1">
      <c r="B3564" s="209" t="s">
        <v>1609</v>
      </c>
      <c r="C3564" s="209" t="s">
        <v>2936</v>
      </c>
      <c r="D3564" s="216" t="s">
        <v>140</v>
      </c>
      <c r="E3564" s="273">
        <v>0</v>
      </c>
      <c r="F3564" s="274"/>
      <c r="G3564" s="274">
        <f t="shared" si="13"/>
        <v>0</v>
      </c>
      <c r="H3564" s="274">
        <v>0</v>
      </c>
      <c r="K3564" s="274"/>
    </row>
    <row r="3565" spans="2:11" ht="13.5" customHeight="1">
      <c r="B3565" s="209" t="s">
        <v>1609</v>
      </c>
      <c r="C3565" s="209" t="s">
        <v>2936</v>
      </c>
      <c r="D3565" s="453" t="s">
        <v>141</v>
      </c>
      <c r="E3565" s="273">
        <v>0</v>
      </c>
      <c r="F3565" s="274"/>
      <c r="G3565" s="274">
        <f t="shared" si="13"/>
        <v>0</v>
      </c>
      <c r="H3565" s="274">
        <v>0</v>
      </c>
      <c r="K3565" s="274"/>
    </row>
    <row r="3566" spans="2:11" ht="13.5" customHeight="1">
      <c r="B3566" s="209" t="s">
        <v>1746</v>
      </c>
      <c r="C3566" s="209" t="s">
        <v>2937</v>
      </c>
      <c r="D3566" s="446" t="s">
        <v>133</v>
      </c>
      <c r="E3566" s="273">
        <v>0</v>
      </c>
      <c r="F3566" s="274"/>
      <c r="G3566" s="274">
        <f t="shared" si="13"/>
        <v>0</v>
      </c>
      <c r="H3566" s="274">
        <v>0</v>
      </c>
      <c r="K3566" s="274"/>
    </row>
    <row r="3567" spans="2:11" ht="13.5" customHeight="1">
      <c r="B3567" s="209" t="s">
        <v>1746</v>
      </c>
      <c r="C3567" s="209" t="s">
        <v>2937</v>
      </c>
      <c r="D3567" s="447" t="s">
        <v>134</v>
      </c>
      <c r="E3567" s="273">
        <v>0</v>
      </c>
      <c r="F3567" s="274"/>
      <c r="G3567" s="274">
        <f t="shared" si="13"/>
        <v>0</v>
      </c>
      <c r="H3567" s="274">
        <v>0</v>
      </c>
      <c r="K3567" s="274"/>
    </row>
    <row r="3568" spans="2:11" ht="13.5" customHeight="1">
      <c r="B3568" s="209" t="s">
        <v>1746</v>
      </c>
      <c r="C3568" s="209" t="s">
        <v>2937</v>
      </c>
      <c r="D3568" s="448" t="s">
        <v>135</v>
      </c>
      <c r="E3568" s="273">
        <v>0</v>
      </c>
      <c r="F3568" s="274"/>
      <c r="G3568" s="274">
        <f t="shared" si="13"/>
        <v>0</v>
      </c>
      <c r="H3568" s="274">
        <v>0</v>
      </c>
      <c r="K3568" s="274"/>
    </row>
    <row r="3569" spans="2:11" ht="13.5" customHeight="1">
      <c r="B3569" s="209" t="s">
        <v>1746</v>
      </c>
      <c r="C3569" s="209" t="s">
        <v>2937</v>
      </c>
      <c r="D3569" s="449" t="s">
        <v>136</v>
      </c>
      <c r="E3569" s="273">
        <v>0</v>
      </c>
      <c r="F3569" s="274"/>
      <c r="G3569" s="274">
        <f t="shared" si="13"/>
        <v>0</v>
      </c>
      <c r="H3569" s="274">
        <v>0</v>
      </c>
      <c r="K3569" s="274"/>
    </row>
    <row r="3570" spans="2:11" ht="13.5" customHeight="1">
      <c r="B3570" s="209" t="s">
        <v>1746</v>
      </c>
      <c r="C3570" s="209" t="s">
        <v>2937</v>
      </c>
      <c r="D3570" s="450" t="s">
        <v>137</v>
      </c>
      <c r="E3570" s="273">
        <v>0</v>
      </c>
      <c r="F3570" s="274"/>
      <c r="G3570" s="274">
        <f t="shared" si="13"/>
        <v>0</v>
      </c>
      <c r="H3570" s="274">
        <v>0</v>
      </c>
      <c r="K3570" s="274"/>
    </row>
    <row r="3571" spans="2:11" ht="13.5" customHeight="1">
      <c r="B3571" s="209" t="s">
        <v>1746</v>
      </c>
      <c r="C3571" s="209" t="s">
        <v>2937</v>
      </c>
      <c r="D3571" s="451" t="s">
        <v>138</v>
      </c>
      <c r="E3571" s="273">
        <v>0</v>
      </c>
      <c r="F3571" s="274"/>
      <c r="G3571" s="274">
        <f t="shared" si="13"/>
        <v>0</v>
      </c>
      <c r="H3571" s="274">
        <v>0</v>
      </c>
      <c r="K3571" s="274"/>
    </row>
    <row r="3572" spans="2:11" ht="13.5" customHeight="1">
      <c r="B3572" s="209" t="s">
        <v>1746</v>
      </c>
      <c r="C3572" s="209" t="s">
        <v>2937</v>
      </c>
      <c r="D3572" s="452" t="s">
        <v>139</v>
      </c>
      <c r="E3572" s="273">
        <v>0</v>
      </c>
      <c r="F3572" s="274"/>
      <c r="G3572" s="274">
        <f t="shared" ref="G3572:G3826" si="14">E3572*F3572</f>
        <v>0</v>
      </c>
      <c r="H3572" s="274">
        <v>0</v>
      </c>
      <c r="K3572" s="274"/>
    </row>
    <row r="3573" spans="2:11" ht="13.5" customHeight="1">
      <c r="B3573" s="209" t="s">
        <v>1746</v>
      </c>
      <c r="C3573" s="209" t="s">
        <v>2937</v>
      </c>
      <c r="D3573" s="216" t="s">
        <v>140</v>
      </c>
      <c r="E3573" s="273">
        <v>0</v>
      </c>
      <c r="F3573" s="274"/>
      <c r="G3573" s="274">
        <f t="shared" si="14"/>
        <v>0</v>
      </c>
      <c r="H3573" s="274">
        <v>0</v>
      </c>
      <c r="K3573" s="274"/>
    </row>
    <row r="3574" spans="2:11" ht="13.5" customHeight="1">
      <c r="B3574" s="209" t="s">
        <v>1746</v>
      </c>
      <c r="C3574" s="209" t="s">
        <v>2937</v>
      </c>
      <c r="D3574" s="453" t="s">
        <v>141</v>
      </c>
      <c r="E3574" s="273">
        <v>0</v>
      </c>
      <c r="F3574" s="274"/>
      <c r="G3574" s="274">
        <f t="shared" si="14"/>
        <v>0</v>
      </c>
      <c r="H3574" s="274">
        <v>0</v>
      </c>
      <c r="K3574" s="274"/>
    </row>
    <row r="3575" spans="2:11" ht="13.5" customHeight="1">
      <c r="B3575" s="209" t="s">
        <v>1790</v>
      </c>
      <c r="C3575" s="209" t="s">
        <v>2938</v>
      </c>
      <c r="D3575" s="446" t="s">
        <v>133</v>
      </c>
      <c r="E3575" s="273">
        <v>0</v>
      </c>
      <c r="F3575" s="274"/>
      <c r="G3575" s="274">
        <f t="shared" si="14"/>
        <v>0</v>
      </c>
      <c r="H3575" s="274">
        <v>0</v>
      </c>
      <c r="K3575" s="274"/>
    </row>
    <row r="3576" spans="2:11" ht="13.5" customHeight="1">
      <c r="B3576" s="209" t="s">
        <v>1790</v>
      </c>
      <c r="C3576" s="209" t="s">
        <v>2938</v>
      </c>
      <c r="D3576" s="447" t="s">
        <v>134</v>
      </c>
      <c r="E3576" s="273">
        <v>0</v>
      </c>
      <c r="F3576" s="274"/>
      <c r="G3576" s="274">
        <f t="shared" si="14"/>
        <v>0</v>
      </c>
      <c r="H3576" s="274">
        <v>0</v>
      </c>
      <c r="K3576" s="274"/>
    </row>
    <row r="3577" spans="2:11" ht="13.5" customHeight="1">
      <c r="B3577" s="209" t="s">
        <v>1790</v>
      </c>
      <c r="C3577" s="209" t="s">
        <v>2938</v>
      </c>
      <c r="D3577" s="448" t="s">
        <v>135</v>
      </c>
      <c r="E3577" s="273">
        <v>0</v>
      </c>
      <c r="F3577" s="274"/>
      <c r="G3577" s="274">
        <f t="shared" si="14"/>
        <v>0</v>
      </c>
      <c r="H3577" s="274">
        <v>0</v>
      </c>
      <c r="K3577" s="274"/>
    </row>
    <row r="3578" spans="2:11" ht="13.5" customHeight="1">
      <c r="B3578" s="209" t="s">
        <v>1790</v>
      </c>
      <c r="C3578" s="209" t="s">
        <v>2938</v>
      </c>
      <c r="D3578" s="449" t="s">
        <v>136</v>
      </c>
      <c r="E3578" s="273">
        <v>0</v>
      </c>
      <c r="F3578" s="274"/>
      <c r="G3578" s="274">
        <f t="shared" si="14"/>
        <v>0</v>
      </c>
      <c r="H3578" s="274">
        <v>0</v>
      </c>
      <c r="K3578" s="274"/>
    </row>
    <row r="3579" spans="2:11" ht="13.5" customHeight="1">
      <c r="B3579" s="209" t="s">
        <v>1790</v>
      </c>
      <c r="C3579" s="209" t="s">
        <v>2938</v>
      </c>
      <c r="D3579" s="450" t="s">
        <v>137</v>
      </c>
      <c r="E3579" s="273">
        <v>0</v>
      </c>
      <c r="F3579" s="274"/>
      <c r="G3579" s="274">
        <f t="shared" si="14"/>
        <v>0</v>
      </c>
      <c r="H3579" s="274">
        <v>0</v>
      </c>
      <c r="K3579" s="274"/>
    </row>
    <row r="3580" spans="2:11" ht="13.5" customHeight="1">
      <c r="B3580" s="209" t="s">
        <v>1790</v>
      </c>
      <c r="C3580" s="209" t="s">
        <v>2938</v>
      </c>
      <c r="D3580" s="451" t="s">
        <v>138</v>
      </c>
      <c r="E3580" s="273">
        <v>0</v>
      </c>
      <c r="F3580" s="274"/>
      <c r="G3580" s="274">
        <f t="shared" si="14"/>
        <v>0</v>
      </c>
      <c r="H3580" s="274">
        <v>0</v>
      </c>
      <c r="K3580" s="274"/>
    </row>
    <row r="3581" spans="2:11" ht="13.5" customHeight="1">
      <c r="B3581" s="209" t="s">
        <v>1790</v>
      </c>
      <c r="C3581" s="209" t="s">
        <v>2938</v>
      </c>
      <c r="D3581" s="452" t="s">
        <v>139</v>
      </c>
      <c r="E3581" s="273">
        <v>0</v>
      </c>
      <c r="F3581" s="274"/>
      <c r="G3581" s="274">
        <f t="shared" si="14"/>
        <v>0</v>
      </c>
      <c r="H3581" s="274">
        <v>0</v>
      </c>
      <c r="K3581" s="274"/>
    </row>
    <row r="3582" spans="2:11" ht="13.5" customHeight="1">
      <c r="B3582" s="209" t="s">
        <v>1790</v>
      </c>
      <c r="C3582" s="209" t="s">
        <v>2938</v>
      </c>
      <c r="D3582" s="216" t="s">
        <v>140</v>
      </c>
      <c r="E3582" s="273">
        <v>0</v>
      </c>
      <c r="F3582" s="274"/>
      <c r="G3582" s="274">
        <f t="shared" si="14"/>
        <v>0</v>
      </c>
      <c r="H3582" s="274">
        <v>0</v>
      </c>
      <c r="K3582" s="274"/>
    </row>
    <row r="3583" spans="2:11" ht="13.5" customHeight="1">
      <c r="B3583" s="209" t="s">
        <v>1790</v>
      </c>
      <c r="C3583" s="209" t="s">
        <v>2938</v>
      </c>
      <c r="D3583" s="453" t="s">
        <v>141</v>
      </c>
      <c r="E3583" s="273">
        <v>0</v>
      </c>
      <c r="F3583" s="274"/>
      <c r="G3583" s="274">
        <f t="shared" si="14"/>
        <v>0</v>
      </c>
      <c r="H3583" s="274">
        <v>0</v>
      </c>
      <c r="K3583" s="274"/>
    </row>
    <row r="3584" spans="2:11" ht="13.5" customHeight="1">
      <c r="B3584" s="209" t="s">
        <v>1683</v>
      </c>
      <c r="C3584" s="209" t="s">
        <v>2939</v>
      </c>
      <c r="D3584" s="446" t="s">
        <v>133</v>
      </c>
      <c r="E3584" s="273">
        <v>0</v>
      </c>
      <c r="F3584" s="274"/>
      <c r="G3584" s="274">
        <f t="shared" si="14"/>
        <v>0</v>
      </c>
      <c r="H3584" s="274">
        <v>0</v>
      </c>
      <c r="K3584" s="274"/>
    </row>
    <row r="3585" spans="2:11" ht="13.5" customHeight="1">
      <c r="B3585" s="209" t="s">
        <v>1683</v>
      </c>
      <c r="C3585" s="209" t="s">
        <v>2939</v>
      </c>
      <c r="D3585" s="447" t="s">
        <v>134</v>
      </c>
      <c r="E3585" s="273">
        <v>0</v>
      </c>
      <c r="F3585" s="274"/>
      <c r="G3585" s="274">
        <f t="shared" si="14"/>
        <v>0</v>
      </c>
      <c r="H3585" s="274">
        <v>0</v>
      </c>
      <c r="K3585" s="274"/>
    </row>
    <row r="3586" spans="2:11" ht="13.5" customHeight="1">
      <c r="B3586" s="209" t="s">
        <v>1683</v>
      </c>
      <c r="C3586" s="209" t="s">
        <v>2939</v>
      </c>
      <c r="D3586" s="448" t="s">
        <v>135</v>
      </c>
      <c r="E3586" s="273">
        <v>0</v>
      </c>
      <c r="F3586" s="274"/>
      <c r="G3586" s="274">
        <f t="shared" si="14"/>
        <v>0</v>
      </c>
      <c r="H3586" s="274">
        <v>0</v>
      </c>
      <c r="K3586" s="274"/>
    </row>
    <row r="3587" spans="2:11" ht="13.5" customHeight="1">
      <c r="B3587" s="209" t="s">
        <v>1683</v>
      </c>
      <c r="C3587" s="209" t="s">
        <v>2939</v>
      </c>
      <c r="D3587" s="449" t="s">
        <v>136</v>
      </c>
      <c r="E3587" s="273">
        <v>0</v>
      </c>
      <c r="F3587" s="274"/>
      <c r="G3587" s="274">
        <f t="shared" si="14"/>
        <v>0</v>
      </c>
      <c r="H3587" s="274">
        <v>0</v>
      </c>
      <c r="K3587" s="274"/>
    </row>
    <row r="3588" spans="2:11" ht="13.5" customHeight="1">
      <c r="B3588" s="209" t="s">
        <v>1683</v>
      </c>
      <c r="C3588" s="209" t="s">
        <v>2939</v>
      </c>
      <c r="D3588" s="450" t="s">
        <v>137</v>
      </c>
      <c r="E3588" s="273">
        <v>0</v>
      </c>
      <c r="F3588" s="274"/>
      <c r="G3588" s="274">
        <f t="shared" si="14"/>
        <v>0</v>
      </c>
      <c r="H3588" s="274">
        <v>0</v>
      </c>
      <c r="K3588" s="274"/>
    </row>
    <row r="3589" spans="2:11" ht="13.5" customHeight="1">
      <c r="B3589" s="209" t="s">
        <v>1683</v>
      </c>
      <c r="C3589" s="209" t="s">
        <v>2939</v>
      </c>
      <c r="D3589" s="451" t="s">
        <v>138</v>
      </c>
      <c r="E3589" s="273">
        <v>0</v>
      </c>
      <c r="F3589" s="274"/>
      <c r="G3589" s="274">
        <f t="shared" si="14"/>
        <v>0</v>
      </c>
      <c r="H3589" s="274">
        <v>0</v>
      </c>
      <c r="K3589" s="274"/>
    </row>
    <row r="3590" spans="2:11" ht="13.5" customHeight="1">
      <c r="B3590" s="209" t="s">
        <v>1683</v>
      </c>
      <c r="C3590" s="209" t="s">
        <v>2939</v>
      </c>
      <c r="D3590" s="452" t="s">
        <v>139</v>
      </c>
      <c r="E3590" s="273">
        <v>0</v>
      </c>
      <c r="F3590" s="274"/>
      <c r="G3590" s="274">
        <f t="shared" si="14"/>
        <v>0</v>
      </c>
      <c r="H3590" s="274">
        <v>0</v>
      </c>
      <c r="K3590" s="274"/>
    </row>
    <row r="3591" spans="2:11" ht="13.5" customHeight="1">
      <c r="B3591" s="209" t="s">
        <v>1683</v>
      </c>
      <c r="C3591" s="209" t="s">
        <v>2939</v>
      </c>
      <c r="D3591" s="216" t="s">
        <v>140</v>
      </c>
      <c r="E3591" s="273">
        <v>0</v>
      </c>
      <c r="F3591" s="274"/>
      <c r="G3591" s="274">
        <f t="shared" si="14"/>
        <v>0</v>
      </c>
      <c r="H3591" s="274">
        <v>0</v>
      </c>
      <c r="K3591" s="274"/>
    </row>
    <row r="3592" spans="2:11" ht="13.5" customHeight="1">
      <c r="B3592" s="209" t="s">
        <v>1683</v>
      </c>
      <c r="C3592" s="209" t="s">
        <v>2939</v>
      </c>
      <c r="D3592" s="453" t="s">
        <v>141</v>
      </c>
      <c r="E3592" s="273">
        <v>0</v>
      </c>
      <c r="F3592" s="274"/>
      <c r="G3592" s="274">
        <f t="shared" si="14"/>
        <v>0</v>
      </c>
      <c r="H3592" s="274">
        <v>0</v>
      </c>
      <c r="K3592" s="274"/>
    </row>
    <row r="3593" spans="2:11" ht="13.5" customHeight="1">
      <c r="B3593" s="209" t="s">
        <v>1466</v>
      </c>
      <c r="C3593" s="209" t="s">
        <v>2940</v>
      </c>
      <c r="D3593" s="446" t="s">
        <v>133</v>
      </c>
      <c r="E3593" s="273">
        <v>0</v>
      </c>
      <c r="F3593" s="274"/>
      <c r="G3593" s="274">
        <f t="shared" si="14"/>
        <v>0</v>
      </c>
      <c r="H3593" s="274">
        <v>0</v>
      </c>
      <c r="K3593" s="274"/>
    </row>
    <row r="3594" spans="2:11" ht="13.5" customHeight="1">
      <c r="B3594" s="209" t="s">
        <v>1466</v>
      </c>
      <c r="C3594" s="209" t="s">
        <v>2940</v>
      </c>
      <c r="D3594" s="447" t="s">
        <v>134</v>
      </c>
      <c r="E3594" s="273">
        <v>0</v>
      </c>
      <c r="F3594" s="274"/>
      <c r="G3594" s="274">
        <f t="shared" si="14"/>
        <v>0</v>
      </c>
      <c r="H3594" s="274">
        <v>0</v>
      </c>
      <c r="K3594" s="274"/>
    </row>
    <row r="3595" spans="2:11" ht="13.5" customHeight="1">
      <c r="B3595" s="209" t="s">
        <v>1466</v>
      </c>
      <c r="C3595" s="209" t="s">
        <v>2940</v>
      </c>
      <c r="D3595" s="448" t="s">
        <v>135</v>
      </c>
      <c r="E3595" s="273">
        <v>0</v>
      </c>
      <c r="F3595" s="274"/>
      <c r="G3595" s="274">
        <f t="shared" si="14"/>
        <v>0</v>
      </c>
      <c r="H3595" s="274">
        <v>0</v>
      </c>
      <c r="K3595" s="274"/>
    </row>
    <row r="3596" spans="2:11" ht="13.5" customHeight="1">
      <c r="B3596" s="209" t="s">
        <v>1466</v>
      </c>
      <c r="C3596" s="209" t="s">
        <v>2940</v>
      </c>
      <c r="D3596" s="449" t="s">
        <v>136</v>
      </c>
      <c r="E3596" s="273">
        <v>0</v>
      </c>
      <c r="F3596" s="274"/>
      <c r="G3596" s="274">
        <f t="shared" si="14"/>
        <v>0</v>
      </c>
      <c r="H3596" s="274">
        <v>0</v>
      </c>
      <c r="K3596" s="274"/>
    </row>
    <row r="3597" spans="2:11" ht="13.5" customHeight="1">
      <c r="B3597" s="209" t="s">
        <v>1466</v>
      </c>
      <c r="C3597" s="209" t="s">
        <v>2940</v>
      </c>
      <c r="D3597" s="450" t="s">
        <v>137</v>
      </c>
      <c r="E3597" s="273">
        <v>0</v>
      </c>
      <c r="F3597" s="274"/>
      <c r="G3597" s="274">
        <f t="shared" si="14"/>
        <v>0</v>
      </c>
      <c r="H3597" s="274">
        <v>0</v>
      </c>
      <c r="K3597" s="274"/>
    </row>
    <row r="3598" spans="2:11" ht="13.5" customHeight="1">
      <c r="B3598" s="209" t="s">
        <v>1466</v>
      </c>
      <c r="C3598" s="209" t="s">
        <v>2940</v>
      </c>
      <c r="D3598" s="451" t="s">
        <v>138</v>
      </c>
      <c r="E3598" s="273">
        <v>0</v>
      </c>
      <c r="F3598" s="274"/>
      <c r="G3598" s="274">
        <f t="shared" si="14"/>
        <v>0</v>
      </c>
      <c r="H3598" s="274">
        <v>0</v>
      </c>
      <c r="K3598" s="274"/>
    </row>
    <row r="3599" spans="2:11" ht="13.5" customHeight="1">
      <c r="B3599" s="209" t="s">
        <v>1466</v>
      </c>
      <c r="C3599" s="209" t="s">
        <v>2940</v>
      </c>
      <c r="D3599" s="452" t="s">
        <v>139</v>
      </c>
      <c r="E3599" s="273">
        <v>0</v>
      </c>
      <c r="F3599" s="274"/>
      <c r="G3599" s="274">
        <f t="shared" si="14"/>
        <v>0</v>
      </c>
      <c r="H3599" s="274">
        <v>0</v>
      </c>
      <c r="K3599" s="274"/>
    </row>
    <row r="3600" spans="2:11" ht="13.5" customHeight="1">
      <c r="B3600" s="209" t="s">
        <v>1466</v>
      </c>
      <c r="C3600" s="209" t="s">
        <v>2940</v>
      </c>
      <c r="D3600" s="216" t="s">
        <v>140</v>
      </c>
      <c r="E3600" s="273">
        <v>0</v>
      </c>
      <c r="F3600" s="274"/>
      <c r="G3600" s="274">
        <f t="shared" si="14"/>
        <v>0</v>
      </c>
      <c r="H3600" s="274">
        <v>0</v>
      </c>
      <c r="K3600" s="274"/>
    </row>
    <row r="3601" spans="2:11" ht="13.5" customHeight="1">
      <c r="B3601" s="209" t="s">
        <v>1466</v>
      </c>
      <c r="C3601" s="209" t="s">
        <v>2940</v>
      </c>
      <c r="D3601" s="453" t="s">
        <v>141</v>
      </c>
      <c r="E3601" s="273">
        <v>0</v>
      </c>
      <c r="F3601" s="274"/>
      <c r="G3601" s="274">
        <f t="shared" si="14"/>
        <v>0</v>
      </c>
      <c r="H3601" s="274">
        <v>0</v>
      </c>
      <c r="K3601" s="274"/>
    </row>
    <row r="3602" spans="2:11" ht="13.5" customHeight="1">
      <c r="B3602" s="209" t="s">
        <v>1774</v>
      </c>
      <c r="C3602" s="209" t="s">
        <v>2941</v>
      </c>
      <c r="D3602" s="446" t="s">
        <v>133</v>
      </c>
      <c r="E3602" s="273">
        <v>0</v>
      </c>
      <c r="F3602" s="274"/>
      <c r="G3602" s="274">
        <f t="shared" si="14"/>
        <v>0</v>
      </c>
      <c r="H3602" s="274">
        <v>0</v>
      </c>
      <c r="K3602" s="274"/>
    </row>
    <row r="3603" spans="2:11" ht="13.5" customHeight="1">
      <c r="B3603" s="209" t="s">
        <v>1774</v>
      </c>
      <c r="C3603" s="209" t="s">
        <v>2941</v>
      </c>
      <c r="D3603" s="447" t="s">
        <v>134</v>
      </c>
      <c r="E3603" s="273">
        <v>0</v>
      </c>
      <c r="F3603" s="274"/>
      <c r="G3603" s="274">
        <f t="shared" si="14"/>
        <v>0</v>
      </c>
      <c r="H3603" s="274">
        <v>0</v>
      </c>
      <c r="K3603" s="274"/>
    </row>
    <row r="3604" spans="2:11" ht="13.5" customHeight="1">
      <c r="B3604" s="209" t="s">
        <v>1774</v>
      </c>
      <c r="C3604" s="209" t="s">
        <v>2941</v>
      </c>
      <c r="D3604" s="448" t="s">
        <v>135</v>
      </c>
      <c r="E3604" s="273">
        <v>0</v>
      </c>
      <c r="F3604" s="274"/>
      <c r="G3604" s="274">
        <f t="shared" si="14"/>
        <v>0</v>
      </c>
      <c r="H3604" s="274">
        <v>0</v>
      </c>
      <c r="K3604" s="274"/>
    </row>
    <row r="3605" spans="2:11" ht="13.5" customHeight="1">
      <c r="B3605" s="209" t="s">
        <v>1774</v>
      </c>
      <c r="C3605" s="209" t="s">
        <v>2941</v>
      </c>
      <c r="D3605" s="449" t="s">
        <v>136</v>
      </c>
      <c r="E3605" s="273">
        <v>0</v>
      </c>
      <c r="F3605" s="274"/>
      <c r="G3605" s="274">
        <f t="shared" si="14"/>
        <v>0</v>
      </c>
      <c r="H3605" s="274">
        <v>0</v>
      </c>
      <c r="K3605" s="274"/>
    </row>
    <row r="3606" spans="2:11" ht="13.5" customHeight="1">
      <c r="B3606" s="209" t="s">
        <v>1774</v>
      </c>
      <c r="C3606" s="209" t="s">
        <v>2941</v>
      </c>
      <c r="D3606" s="450" t="s">
        <v>137</v>
      </c>
      <c r="E3606" s="273">
        <v>0</v>
      </c>
      <c r="F3606" s="274"/>
      <c r="G3606" s="274">
        <f t="shared" si="14"/>
        <v>0</v>
      </c>
      <c r="H3606" s="274">
        <v>0</v>
      </c>
      <c r="K3606" s="274"/>
    </row>
    <row r="3607" spans="2:11" ht="13.5" customHeight="1">
      <c r="B3607" s="209" t="s">
        <v>1774</v>
      </c>
      <c r="C3607" s="209" t="s">
        <v>2941</v>
      </c>
      <c r="D3607" s="451" t="s">
        <v>138</v>
      </c>
      <c r="E3607" s="273">
        <v>0</v>
      </c>
      <c r="F3607" s="274"/>
      <c r="G3607" s="274">
        <f t="shared" si="14"/>
        <v>0</v>
      </c>
      <c r="H3607" s="274">
        <v>0</v>
      </c>
      <c r="K3607" s="274"/>
    </row>
    <row r="3608" spans="2:11" ht="13.5" customHeight="1">
      <c r="B3608" s="209" t="s">
        <v>1774</v>
      </c>
      <c r="C3608" s="209" t="s">
        <v>2941</v>
      </c>
      <c r="D3608" s="452" t="s">
        <v>139</v>
      </c>
      <c r="E3608" s="273">
        <v>0</v>
      </c>
      <c r="F3608" s="274"/>
      <c r="G3608" s="274">
        <f t="shared" si="14"/>
        <v>0</v>
      </c>
      <c r="H3608" s="274">
        <v>0</v>
      </c>
      <c r="K3608" s="274"/>
    </row>
    <row r="3609" spans="2:11" ht="13.5" customHeight="1">
      <c r="B3609" s="209" t="s">
        <v>1774</v>
      </c>
      <c r="C3609" s="209" t="s">
        <v>2941</v>
      </c>
      <c r="D3609" s="216" t="s">
        <v>140</v>
      </c>
      <c r="E3609" s="273">
        <v>0</v>
      </c>
      <c r="F3609" s="274"/>
      <c r="G3609" s="274">
        <f t="shared" si="14"/>
        <v>0</v>
      </c>
      <c r="H3609" s="274">
        <v>0</v>
      </c>
      <c r="K3609" s="274"/>
    </row>
    <row r="3610" spans="2:11" ht="13.5" customHeight="1">
      <c r="B3610" s="209" t="s">
        <v>1774</v>
      </c>
      <c r="C3610" s="209" t="s">
        <v>2941</v>
      </c>
      <c r="D3610" s="453" t="s">
        <v>141</v>
      </c>
      <c r="E3610" s="273">
        <v>0</v>
      </c>
      <c r="F3610" s="274"/>
      <c r="G3610" s="274">
        <f t="shared" si="14"/>
        <v>0</v>
      </c>
      <c r="H3610" s="274">
        <v>0</v>
      </c>
      <c r="K3610" s="274"/>
    </row>
    <row r="3611" spans="2:11" ht="13.5" customHeight="1">
      <c r="B3611" s="209" t="s">
        <v>1783</v>
      </c>
      <c r="C3611" s="209" t="s">
        <v>2942</v>
      </c>
      <c r="D3611" s="446" t="s">
        <v>133</v>
      </c>
      <c r="E3611" s="273">
        <v>0</v>
      </c>
      <c r="F3611" s="274"/>
      <c r="G3611" s="274">
        <f t="shared" si="14"/>
        <v>0</v>
      </c>
      <c r="H3611" s="274">
        <v>0</v>
      </c>
      <c r="K3611" s="274"/>
    </row>
    <row r="3612" spans="2:11" ht="13.5" customHeight="1">
      <c r="B3612" s="209" t="s">
        <v>1783</v>
      </c>
      <c r="C3612" s="209" t="s">
        <v>2942</v>
      </c>
      <c r="D3612" s="447" t="s">
        <v>134</v>
      </c>
      <c r="E3612" s="273">
        <v>0</v>
      </c>
      <c r="F3612" s="274"/>
      <c r="G3612" s="274">
        <f t="shared" si="14"/>
        <v>0</v>
      </c>
      <c r="H3612" s="274">
        <v>0</v>
      </c>
      <c r="K3612" s="274"/>
    </row>
    <row r="3613" spans="2:11" ht="13.5" customHeight="1">
      <c r="B3613" s="209" t="s">
        <v>1783</v>
      </c>
      <c r="C3613" s="209" t="s">
        <v>2942</v>
      </c>
      <c r="D3613" s="448" t="s">
        <v>135</v>
      </c>
      <c r="E3613" s="273">
        <v>0</v>
      </c>
      <c r="F3613" s="274"/>
      <c r="G3613" s="274">
        <f t="shared" si="14"/>
        <v>0</v>
      </c>
      <c r="H3613" s="274">
        <v>0</v>
      </c>
      <c r="K3613" s="274"/>
    </row>
    <row r="3614" spans="2:11" ht="13.5" customHeight="1">
      <c r="B3614" s="209" t="s">
        <v>1783</v>
      </c>
      <c r="C3614" s="209" t="s">
        <v>2942</v>
      </c>
      <c r="D3614" s="449" t="s">
        <v>136</v>
      </c>
      <c r="E3614" s="273">
        <v>0</v>
      </c>
      <c r="F3614" s="274"/>
      <c r="G3614" s="274">
        <f t="shared" si="14"/>
        <v>0</v>
      </c>
      <c r="H3614" s="274">
        <v>0</v>
      </c>
      <c r="K3614" s="274"/>
    </row>
    <row r="3615" spans="2:11" ht="13.5" customHeight="1">
      <c r="B3615" s="209" t="s">
        <v>1783</v>
      </c>
      <c r="C3615" s="209" t="s">
        <v>2942</v>
      </c>
      <c r="D3615" s="450" t="s">
        <v>137</v>
      </c>
      <c r="E3615" s="273">
        <v>0</v>
      </c>
      <c r="F3615" s="274"/>
      <c r="G3615" s="274">
        <f t="shared" si="14"/>
        <v>0</v>
      </c>
      <c r="H3615" s="274">
        <v>0</v>
      </c>
      <c r="K3615" s="274"/>
    </row>
    <row r="3616" spans="2:11" ht="13.5" customHeight="1">
      <c r="B3616" s="209" t="s">
        <v>1783</v>
      </c>
      <c r="C3616" s="209" t="s">
        <v>2942</v>
      </c>
      <c r="D3616" s="451" t="s">
        <v>138</v>
      </c>
      <c r="E3616" s="273">
        <v>0</v>
      </c>
      <c r="F3616" s="274"/>
      <c r="G3616" s="274">
        <f t="shared" si="14"/>
        <v>0</v>
      </c>
      <c r="H3616" s="274">
        <v>0</v>
      </c>
      <c r="K3616" s="274"/>
    </row>
    <row r="3617" spans="2:11" ht="13.5" customHeight="1">
      <c r="B3617" s="209" t="s">
        <v>1783</v>
      </c>
      <c r="C3617" s="209" t="s">
        <v>2942</v>
      </c>
      <c r="D3617" s="452" t="s">
        <v>139</v>
      </c>
      <c r="E3617" s="273">
        <v>0</v>
      </c>
      <c r="F3617" s="274"/>
      <c r="G3617" s="274">
        <f t="shared" si="14"/>
        <v>0</v>
      </c>
      <c r="H3617" s="274">
        <v>0</v>
      </c>
      <c r="K3617" s="274"/>
    </row>
    <row r="3618" spans="2:11" ht="13.5" customHeight="1">
      <c r="B3618" s="209" t="s">
        <v>1783</v>
      </c>
      <c r="C3618" s="209" t="s">
        <v>2942</v>
      </c>
      <c r="D3618" s="216" t="s">
        <v>140</v>
      </c>
      <c r="E3618" s="273">
        <v>0</v>
      </c>
      <c r="F3618" s="274"/>
      <c r="G3618" s="274">
        <f t="shared" si="14"/>
        <v>0</v>
      </c>
      <c r="H3618" s="274">
        <v>0</v>
      </c>
      <c r="K3618" s="274"/>
    </row>
    <row r="3619" spans="2:11" ht="13.5" customHeight="1">
      <c r="B3619" s="209" t="s">
        <v>1783</v>
      </c>
      <c r="C3619" s="209" t="s">
        <v>2942</v>
      </c>
      <c r="D3619" s="453" t="s">
        <v>141</v>
      </c>
      <c r="E3619" s="273">
        <v>0</v>
      </c>
      <c r="F3619" s="274"/>
      <c r="G3619" s="274">
        <f t="shared" si="14"/>
        <v>0</v>
      </c>
      <c r="H3619" s="274">
        <v>0</v>
      </c>
      <c r="K3619" s="274"/>
    </row>
    <row r="3620" spans="2:11" ht="13.5" customHeight="1">
      <c r="B3620" s="209" t="s">
        <v>1781</v>
      </c>
      <c r="C3620" s="209" t="s">
        <v>2943</v>
      </c>
      <c r="D3620" s="446" t="s">
        <v>133</v>
      </c>
      <c r="E3620" s="273">
        <v>0</v>
      </c>
      <c r="F3620" s="274"/>
      <c r="G3620" s="274">
        <f t="shared" si="14"/>
        <v>0</v>
      </c>
      <c r="H3620" s="274">
        <v>0</v>
      </c>
      <c r="K3620" s="274"/>
    </row>
    <row r="3621" spans="2:11" ht="13.5" customHeight="1">
      <c r="B3621" s="209" t="s">
        <v>1781</v>
      </c>
      <c r="C3621" s="209" t="s">
        <v>2943</v>
      </c>
      <c r="D3621" s="447" t="s">
        <v>134</v>
      </c>
      <c r="E3621" s="273">
        <v>0</v>
      </c>
      <c r="F3621" s="274"/>
      <c r="G3621" s="274">
        <f t="shared" si="14"/>
        <v>0</v>
      </c>
      <c r="H3621" s="274">
        <v>0</v>
      </c>
      <c r="K3621" s="274"/>
    </row>
    <row r="3622" spans="2:11" ht="13.5" customHeight="1">
      <c r="B3622" s="209" t="s">
        <v>1781</v>
      </c>
      <c r="C3622" s="209" t="s">
        <v>2943</v>
      </c>
      <c r="D3622" s="448" t="s">
        <v>135</v>
      </c>
      <c r="E3622" s="273">
        <v>0</v>
      </c>
      <c r="F3622" s="274"/>
      <c r="G3622" s="274">
        <f t="shared" si="14"/>
        <v>0</v>
      </c>
      <c r="H3622" s="274">
        <v>0</v>
      </c>
      <c r="K3622" s="274"/>
    </row>
    <row r="3623" spans="2:11" ht="13.5" customHeight="1">
      <c r="B3623" s="209" t="s">
        <v>1781</v>
      </c>
      <c r="C3623" s="209" t="s">
        <v>2943</v>
      </c>
      <c r="D3623" s="449" t="s">
        <v>136</v>
      </c>
      <c r="E3623" s="273">
        <v>0</v>
      </c>
      <c r="F3623" s="274"/>
      <c r="G3623" s="274">
        <f t="shared" si="14"/>
        <v>0</v>
      </c>
      <c r="H3623" s="274">
        <v>0</v>
      </c>
      <c r="K3623" s="274"/>
    </row>
    <row r="3624" spans="2:11" ht="13.5" customHeight="1">
      <c r="B3624" s="209" t="s">
        <v>1781</v>
      </c>
      <c r="C3624" s="209" t="s">
        <v>2943</v>
      </c>
      <c r="D3624" s="450" t="s">
        <v>137</v>
      </c>
      <c r="E3624" s="273">
        <v>0</v>
      </c>
      <c r="F3624" s="274"/>
      <c r="G3624" s="274">
        <f t="shared" si="14"/>
        <v>0</v>
      </c>
      <c r="H3624" s="274">
        <v>0</v>
      </c>
      <c r="K3624" s="274"/>
    </row>
    <row r="3625" spans="2:11" ht="13.5" customHeight="1">
      <c r="B3625" s="209" t="s">
        <v>1781</v>
      </c>
      <c r="C3625" s="209" t="s">
        <v>2943</v>
      </c>
      <c r="D3625" s="451" t="s">
        <v>138</v>
      </c>
      <c r="E3625" s="273">
        <v>0</v>
      </c>
      <c r="F3625" s="274"/>
      <c r="G3625" s="274">
        <f t="shared" si="14"/>
        <v>0</v>
      </c>
      <c r="H3625" s="274">
        <v>0</v>
      </c>
      <c r="K3625" s="274"/>
    </row>
    <row r="3626" spans="2:11" ht="13.5" customHeight="1">
      <c r="B3626" s="209" t="s">
        <v>1781</v>
      </c>
      <c r="C3626" s="209" t="s">
        <v>2943</v>
      </c>
      <c r="D3626" s="452" t="s">
        <v>139</v>
      </c>
      <c r="E3626" s="273">
        <v>0</v>
      </c>
      <c r="F3626" s="274"/>
      <c r="G3626" s="274">
        <f t="shared" si="14"/>
        <v>0</v>
      </c>
      <c r="H3626" s="274">
        <v>0</v>
      </c>
      <c r="K3626" s="274"/>
    </row>
    <row r="3627" spans="2:11" ht="13.5" customHeight="1">
      <c r="B3627" s="209" t="s">
        <v>1781</v>
      </c>
      <c r="C3627" s="209" t="s">
        <v>2943</v>
      </c>
      <c r="D3627" s="216" t="s">
        <v>140</v>
      </c>
      <c r="E3627" s="273">
        <v>0</v>
      </c>
      <c r="F3627" s="274"/>
      <c r="G3627" s="274">
        <f t="shared" si="14"/>
        <v>0</v>
      </c>
      <c r="H3627" s="274">
        <v>0</v>
      </c>
      <c r="K3627" s="274"/>
    </row>
    <row r="3628" spans="2:11" ht="13.5" customHeight="1">
      <c r="B3628" s="209" t="s">
        <v>1781</v>
      </c>
      <c r="C3628" s="209" t="s">
        <v>2943</v>
      </c>
      <c r="D3628" s="453" t="s">
        <v>141</v>
      </c>
      <c r="E3628" s="273">
        <v>0</v>
      </c>
      <c r="F3628" s="274"/>
      <c r="G3628" s="274">
        <f t="shared" si="14"/>
        <v>0</v>
      </c>
      <c r="H3628" s="274">
        <v>0</v>
      </c>
      <c r="K3628" s="274"/>
    </row>
    <row r="3629" spans="2:11" ht="13.5" customHeight="1">
      <c r="B3629" s="209" t="s">
        <v>2944</v>
      </c>
      <c r="C3629" s="209" t="s">
        <v>2945</v>
      </c>
      <c r="D3629" s="446" t="s">
        <v>133</v>
      </c>
      <c r="E3629" s="273">
        <v>0</v>
      </c>
      <c r="F3629" s="274"/>
      <c r="G3629" s="274">
        <f t="shared" si="14"/>
        <v>0</v>
      </c>
      <c r="H3629" s="274">
        <v>0</v>
      </c>
      <c r="K3629" s="274"/>
    </row>
    <row r="3630" spans="2:11" ht="13.5" customHeight="1">
      <c r="B3630" s="209" t="s">
        <v>2944</v>
      </c>
      <c r="C3630" s="209" t="s">
        <v>2945</v>
      </c>
      <c r="D3630" s="447" t="s">
        <v>134</v>
      </c>
      <c r="E3630" s="273">
        <v>0</v>
      </c>
      <c r="F3630" s="274"/>
      <c r="G3630" s="274">
        <f t="shared" si="14"/>
        <v>0</v>
      </c>
      <c r="H3630" s="274">
        <v>0</v>
      </c>
      <c r="K3630" s="274"/>
    </row>
    <row r="3631" spans="2:11" ht="13.5" customHeight="1">
      <c r="B3631" s="209" t="s">
        <v>2944</v>
      </c>
      <c r="C3631" s="209" t="s">
        <v>2945</v>
      </c>
      <c r="D3631" s="448" t="s">
        <v>135</v>
      </c>
      <c r="E3631" s="273">
        <v>0</v>
      </c>
      <c r="F3631" s="274"/>
      <c r="G3631" s="274">
        <f t="shared" si="14"/>
        <v>0</v>
      </c>
      <c r="H3631" s="274">
        <v>0</v>
      </c>
      <c r="K3631" s="274"/>
    </row>
    <row r="3632" spans="2:11" ht="13.5" customHeight="1">
      <c r="B3632" s="209" t="s">
        <v>2944</v>
      </c>
      <c r="C3632" s="209" t="s">
        <v>2945</v>
      </c>
      <c r="D3632" s="449" t="s">
        <v>136</v>
      </c>
      <c r="E3632" s="273">
        <v>0</v>
      </c>
      <c r="F3632" s="274"/>
      <c r="G3632" s="274">
        <f t="shared" si="14"/>
        <v>0</v>
      </c>
      <c r="H3632" s="274">
        <v>0</v>
      </c>
      <c r="K3632" s="274"/>
    </row>
    <row r="3633" spans="2:11" ht="13.5" customHeight="1">
      <c r="B3633" s="209" t="s">
        <v>2944</v>
      </c>
      <c r="C3633" s="209" t="s">
        <v>2945</v>
      </c>
      <c r="D3633" s="450" t="s">
        <v>137</v>
      </c>
      <c r="E3633" s="273">
        <v>0</v>
      </c>
      <c r="F3633" s="274"/>
      <c r="G3633" s="274">
        <f t="shared" si="14"/>
        <v>0</v>
      </c>
      <c r="H3633" s="274">
        <v>0</v>
      </c>
      <c r="K3633" s="274"/>
    </row>
    <row r="3634" spans="2:11" ht="13.5" customHeight="1">
      <c r="B3634" s="209" t="s">
        <v>2944</v>
      </c>
      <c r="C3634" s="209" t="s">
        <v>2945</v>
      </c>
      <c r="D3634" s="451" t="s">
        <v>138</v>
      </c>
      <c r="E3634" s="273">
        <v>0</v>
      </c>
      <c r="F3634" s="274"/>
      <c r="G3634" s="274">
        <f t="shared" si="14"/>
        <v>0</v>
      </c>
      <c r="H3634" s="274">
        <v>0</v>
      </c>
      <c r="K3634" s="274"/>
    </row>
    <row r="3635" spans="2:11" ht="13.5" customHeight="1">
      <c r="B3635" s="209" t="s">
        <v>2944</v>
      </c>
      <c r="C3635" s="209" t="s">
        <v>2945</v>
      </c>
      <c r="D3635" s="452" t="s">
        <v>139</v>
      </c>
      <c r="E3635" s="273">
        <v>0</v>
      </c>
      <c r="F3635" s="274"/>
      <c r="G3635" s="274">
        <f t="shared" si="14"/>
        <v>0</v>
      </c>
      <c r="H3635" s="274">
        <v>0</v>
      </c>
      <c r="K3635" s="274"/>
    </row>
    <row r="3636" spans="2:11" ht="13.5" customHeight="1">
      <c r="B3636" s="209" t="s">
        <v>2944</v>
      </c>
      <c r="C3636" s="209" t="s">
        <v>2945</v>
      </c>
      <c r="D3636" s="216" t="s">
        <v>140</v>
      </c>
      <c r="E3636" s="273">
        <v>0</v>
      </c>
      <c r="F3636" s="274"/>
      <c r="G3636" s="274">
        <f t="shared" si="14"/>
        <v>0</v>
      </c>
      <c r="H3636" s="274">
        <v>0</v>
      </c>
      <c r="K3636" s="274"/>
    </row>
    <row r="3637" spans="2:11" ht="13.5" customHeight="1">
      <c r="B3637" s="209" t="s">
        <v>2944</v>
      </c>
      <c r="C3637" s="209" t="s">
        <v>2945</v>
      </c>
      <c r="D3637" s="453" t="s">
        <v>141</v>
      </c>
      <c r="E3637" s="273">
        <v>0</v>
      </c>
      <c r="F3637" s="274"/>
      <c r="G3637" s="274">
        <f t="shared" si="14"/>
        <v>0</v>
      </c>
      <c r="H3637" s="274">
        <v>0</v>
      </c>
      <c r="K3637" s="274"/>
    </row>
    <row r="3638" spans="2:11" ht="13.5" customHeight="1">
      <c r="B3638" s="209" t="s">
        <v>2946</v>
      </c>
      <c r="C3638" s="209" t="s">
        <v>2947</v>
      </c>
      <c r="D3638" s="446" t="s">
        <v>133</v>
      </c>
      <c r="E3638" s="273">
        <v>0</v>
      </c>
      <c r="F3638" s="274"/>
      <c r="G3638" s="274">
        <f t="shared" si="14"/>
        <v>0</v>
      </c>
      <c r="H3638" s="274">
        <v>0</v>
      </c>
      <c r="K3638" s="274"/>
    </row>
    <row r="3639" spans="2:11" ht="13.5" customHeight="1">
      <c r="B3639" s="209" t="s">
        <v>2946</v>
      </c>
      <c r="C3639" s="209" t="s">
        <v>2947</v>
      </c>
      <c r="D3639" s="447" t="s">
        <v>134</v>
      </c>
      <c r="E3639" s="273">
        <v>0</v>
      </c>
      <c r="F3639" s="274"/>
      <c r="G3639" s="274">
        <f t="shared" si="14"/>
        <v>0</v>
      </c>
      <c r="H3639" s="274">
        <v>0</v>
      </c>
      <c r="K3639" s="274"/>
    </row>
    <row r="3640" spans="2:11" ht="13.5" customHeight="1">
      <c r="B3640" s="209" t="s">
        <v>2946</v>
      </c>
      <c r="C3640" s="209" t="s">
        <v>2947</v>
      </c>
      <c r="D3640" s="448" t="s">
        <v>135</v>
      </c>
      <c r="E3640" s="273">
        <v>0</v>
      </c>
      <c r="F3640" s="274"/>
      <c r="G3640" s="274">
        <f t="shared" si="14"/>
        <v>0</v>
      </c>
      <c r="H3640" s="274">
        <v>0</v>
      </c>
      <c r="K3640" s="274"/>
    </row>
    <row r="3641" spans="2:11" ht="13.5" customHeight="1">
      <c r="B3641" s="209" t="s">
        <v>2946</v>
      </c>
      <c r="C3641" s="209" t="s">
        <v>2947</v>
      </c>
      <c r="D3641" s="449" t="s">
        <v>136</v>
      </c>
      <c r="E3641" s="273">
        <v>0</v>
      </c>
      <c r="F3641" s="274"/>
      <c r="G3641" s="274">
        <f t="shared" si="14"/>
        <v>0</v>
      </c>
      <c r="H3641" s="274">
        <v>0</v>
      </c>
      <c r="K3641" s="274"/>
    </row>
    <row r="3642" spans="2:11" ht="13.5" customHeight="1">
      <c r="B3642" s="209" t="s">
        <v>2946</v>
      </c>
      <c r="C3642" s="209" t="s">
        <v>2947</v>
      </c>
      <c r="D3642" s="450" t="s">
        <v>137</v>
      </c>
      <c r="E3642" s="273">
        <v>0</v>
      </c>
      <c r="F3642" s="274"/>
      <c r="G3642" s="274">
        <f t="shared" si="14"/>
        <v>0</v>
      </c>
      <c r="H3642" s="274">
        <v>0</v>
      </c>
      <c r="K3642" s="274"/>
    </row>
    <row r="3643" spans="2:11" ht="13.5" customHeight="1">
      <c r="B3643" s="209" t="s">
        <v>2946</v>
      </c>
      <c r="C3643" s="209" t="s">
        <v>2947</v>
      </c>
      <c r="D3643" s="451" t="s">
        <v>138</v>
      </c>
      <c r="E3643" s="273">
        <v>0</v>
      </c>
      <c r="F3643" s="274"/>
      <c r="G3643" s="274">
        <f t="shared" si="14"/>
        <v>0</v>
      </c>
      <c r="H3643" s="274">
        <v>0</v>
      </c>
      <c r="K3643" s="274"/>
    </row>
    <row r="3644" spans="2:11" ht="13.5" customHeight="1">
      <c r="B3644" s="209" t="s">
        <v>2946</v>
      </c>
      <c r="C3644" s="209" t="s">
        <v>2947</v>
      </c>
      <c r="D3644" s="452" t="s">
        <v>139</v>
      </c>
      <c r="E3644" s="273">
        <v>0</v>
      </c>
      <c r="F3644" s="274"/>
      <c r="G3644" s="274">
        <f t="shared" si="14"/>
        <v>0</v>
      </c>
      <c r="H3644" s="274">
        <v>0</v>
      </c>
      <c r="K3644" s="274"/>
    </row>
    <row r="3645" spans="2:11" ht="13.5" customHeight="1">
      <c r="B3645" s="209" t="s">
        <v>2946</v>
      </c>
      <c r="C3645" s="209" t="s">
        <v>2947</v>
      </c>
      <c r="D3645" s="216" t="s">
        <v>140</v>
      </c>
      <c r="E3645" s="273">
        <v>0</v>
      </c>
      <c r="F3645" s="274"/>
      <c r="G3645" s="274">
        <f t="shared" si="14"/>
        <v>0</v>
      </c>
      <c r="H3645" s="274">
        <v>0</v>
      </c>
      <c r="K3645" s="274"/>
    </row>
    <row r="3646" spans="2:11" ht="13.5" customHeight="1">
      <c r="B3646" s="209" t="s">
        <v>2946</v>
      </c>
      <c r="C3646" s="209" t="s">
        <v>2947</v>
      </c>
      <c r="D3646" s="453" t="s">
        <v>141</v>
      </c>
      <c r="E3646" s="273">
        <v>0</v>
      </c>
      <c r="F3646" s="274"/>
      <c r="G3646" s="274">
        <f t="shared" si="14"/>
        <v>0</v>
      </c>
      <c r="H3646" s="274">
        <v>0</v>
      </c>
      <c r="K3646" s="274"/>
    </row>
    <row r="3647" spans="2:11" ht="13.5" customHeight="1">
      <c r="B3647" s="209" t="s">
        <v>2948</v>
      </c>
      <c r="C3647" s="209" t="s">
        <v>2949</v>
      </c>
      <c r="D3647" s="446" t="s">
        <v>133</v>
      </c>
      <c r="E3647" s="273">
        <v>0</v>
      </c>
      <c r="F3647" s="274"/>
      <c r="G3647" s="274">
        <f t="shared" si="14"/>
        <v>0</v>
      </c>
      <c r="H3647" s="274">
        <v>0</v>
      </c>
      <c r="K3647" s="274"/>
    </row>
    <row r="3648" spans="2:11" ht="13.5" customHeight="1">
      <c r="B3648" s="209" t="s">
        <v>2948</v>
      </c>
      <c r="C3648" s="209" t="s">
        <v>2949</v>
      </c>
      <c r="D3648" s="447" t="s">
        <v>134</v>
      </c>
      <c r="E3648" s="273">
        <v>0</v>
      </c>
      <c r="F3648" s="274"/>
      <c r="G3648" s="274">
        <f t="shared" si="14"/>
        <v>0</v>
      </c>
      <c r="H3648" s="274">
        <v>0</v>
      </c>
      <c r="K3648" s="274"/>
    </row>
    <row r="3649" spans="2:11" ht="13.5" customHeight="1">
      <c r="B3649" s="209" t="s">
        <v>2948</v>
      </c>
      <c r="C3649" s="209" t="s">
        <v>2949</v>
      </c>
      <c r="D3649" s="448" t="s">
        <v>135</v>
      </c>
      <c r="E3649" s="273">
        <v>0</v>
      </c>
      <c r="F3649" s="274"/>
      <c r="G3649" s="274">
        <f t="shared" si="14"/>
        <v>0</v>
      </c>
      <c r="H3649" s="274">
        <v>0</v>
      </c>
      <c r="K3649" s="274"/>
    </row>
    <row r="3650" spans="2:11" ht="13.5" customHeight="1">
      <c r="B3650" s="209" t="s">
        <v>2948</v>
      </c>
      <c r="C3650" s="209" t="s">
        <v>2949</v>
      </c>
      <c r="D3650" s="449" t="s">
        <v>136</v>
      </c>
      <c r="E3650" s="273">
        <v>0</v>
      </c>
      <c r="F3650" s="274"/>
      <c r="G3650" s="274">
        <f t="shared" si="14"/>
        <v>0</v>
      </c>
      <c r="H3650" s="274">
        <v>0</v>
      </c>
      <c r="K3650" s="274"/>
    </row>
    <row r="3651" spans="2:11" ht="13.5" customHeight="1">
      <c r="B3651" s="209" t="s">
        <v>2948</v>
      </c>
      <c r="C3651" s="209" t="s">
        <v>2949</v>
      </c>
      <c r="D3651" s="450" t="s">
        <v>137</v>
      </c>
      <c r="E3651" s="273">
        <v>0</v>
      </c>
      <c r="F3651" s="274"/>
      <c r="G3651" s="274">
        <f t="shared" si="14"/>
        <v>0</v>
      </c>
      <c r="H3651" s="274">
        <v>0</v>
      </c>
      <c r="K3651" s="274"/>
    </row>
    <row r="3652" spans="2:11" ht="13.5" customHeight="1">
      <c r="B3652" s="209" t="s">
        <v>2948</v>
      </c>
      <c r="C3652" s="209" t="s">
        <v>2949</v>
      </c>
      <c r="D3652" s="451" t="s">
        <v>138</v>
      </c>
      <c r="E3652" s="273">
        <v>0</v>
      </c>
      <c r="F3652" s="274"/>
      <c r="G3652" s="274">
        <f t="shared" si="14"/>
        <v>0</v>
      </c>
      <c r="H3652" s="274">
        <v>0</v>
      </c>
      <c r="K3652" s="274"/>
    </row>
    <row r="3653" spans="2:11" ht="13.5" customHeight="1">
      <c r="B3653" s="209" t="s">
        <v>2948</v>
      </c>
      <c r="C3653" s="209" t="s">
        <v>2949</v>
      </c>
      <c r="D3653" s="452" t="s">
        <v>139</v>
      </c>
      <c r="E3653" s="273">
        <v>0</v>
      </c>
      <c r="F3653" s="274"/>
      <c r="G3653" s="274">
        <f t="shared" si="14"/>
        <v>0</v>
      </c>
      <c r="H3653" s="274">
        <v>0</v>
      </c>
      <c r="K3653" s="274"/>
    </row>
    <row r="3654" spans="2:11" ht="13.5" customHeight="1">
      <c r="B3654" s="209" t="s">
        <v>2948</v>
      </c>
      <c r="C3654" s="209" t="s">
        <v>2949</v>
      </c>
      <c r="D3654" s="216" t="s">
        <v>140</v>
      </c>
      <c r="E3654" s="273">
        <v>0</v>
      </c>
      <c r="F3654" s="274"/>
      <c r="G3654" s="274">
        <f t="shared" si="14"/>
        <v>0</v>
      </c>
      <c r="H3654" s="274">
        <v>0</v>
      </c>
      <c r="K3654" s="274"/>
    </row>
    <row r="3655" spans="2:11" ht="13.5" customHeight="1">
      <c r="B3655" s="209" t="s">
        <v>2948</v>
      </c>
      <c r="C3655" s="209" t="s">
        <v>2949</v>
      </c>
      <c r="D3655" s="453" t="s">
        <v>141</v>
      </c>
      <c r="E3655" s="273">
        <v>0</v>
      </c>
      <c r="F3655" s="274"/>
      <c r="G3655" s="274">
        <f t="shared" si="14"/>
        <v>0</v>
      </c>
      <c r="H3655" s="274">
        <v>0</v>
      </c>
      <c r="K3655" s="274"/>
    </row>
    <row r="3656" spans="2:11" ht="13.5" customHeight="1">
      <c r="B3656" s="209" t="s">
        <v>2950</v>
      </c>
      <c r="C3656" s="209" t="s">
        <v>2951</v>
      </c>
      <c r="D3656" s="446" t="s">
        <v>133</v>
      </c>
      <c r="E3656" s="273">
        <v>0</v>
      </c>
      <c r="F3656" s="274"/>
      <c r="G3656" s="274">
        <f t="shared" si="14"/>
        <v>0</v>
      </c>
      <c r="H3656" s="274">
        <v>0</v>
      </c>
      <c r="K3656" s="274"/>
    </row>
    <row r="3657" spans="2:11" ht="13.5" customHeight="1">
      <c r="B3657" s="209" t="s">
        <v>2950</v>
      </c>
      <c r="C3657" s="209" t="s">
        <v>2951</v>
      </c>
      <c r="D3657" s="447" t="s">
        <v>134</v>
      </c>
      <c r="E3657" s="273">
        <v>0</v>
      </c>
      <c r="F3657" s="274"/>
      <c r="G3657" s="274">
        <f t="shared" si="14"/>
        <v>0</v>
      </c>
      <c r="H3657" s="274">
        <v>0</v>
      </c>
      <c r="K3657" s="274"/>
    </row>
    <row r="3658" spans="2:11" ht="13.5" customHeight="1">
      <c r="B3658" s="209" t="s">
        <v>2950</v>
      </c>
      <c r="C3658" s="209" t="s">
        <v>2951</v>
      </c>
      <c r="D3658" s="448" t="s">
        <v>135</v>
      </c>
      <c r="E3658" s="273">
        <v>0</v>
      </c>
      <c r="F3658" s="274"/>
      <c r="G3658" s="274">
        <f t="shared" si="14"/>
        <v>0</v>
      </c>
      <c r="H3658" s="274">
        <v>0</v>
      </c>
      <c r="K3658" s="274"/>
    </row>
    <row r="3659" spans="2:11" ht="13.5" customHeight="1">
      <c r="B3659" s="209" t="s">
        <v>2950</v>
      </c>
      <c r="C3659" s="209" t="s">
        <v>2951</v>
      </c>
      <c r="D3659" s="449" t="s">
        <v>136</v>
      </c>
      <c r="E3659" s="273">
        <v>0</v>
      </c>
      <c r="F3659" s="274"/>
      <c r="G3659" s="274">
        <f t="shared" si="14"/>
        <v>0</v>
      </c>
      <c r="H3659" s="274">
        <v>0</v>
      </c>
      <c r="K3659" s="274"/>
    </row>
    <row r="3660" spans="2:11" ht="13.5" customHeight="1">
      <c r="B3660" s="209" t="s">
        <v>2950</v>
      </c>
      <c r="C3660" s="209" t="s">
        <v>2951</v>
      </c>
      <c r="D3660" s="450" t="s">
        <v>137</v>
      </c>
      <c r="E3660" s="273">
        <v>0</v>
      </c>
      <c r="F3660" s="274"/>
      <c r="G3660" s="274">
        <f t="shared" si="14"/>
        <v>0</v>
      </c>
      <c r="H3660" s="274">
        <v>0</v>
      </c>
      <c r="K3660" s="274"/>
    </row>
    <row r="3661" spans="2:11" ht="13.5" customHeight="1">
      <c r="B3661" s="209" t="s">
        <v>2950</v>
      </c>
      <c r="C3661" s="209" t="s">
        <v>2951</v>
      </c>
      <c r="D3661" s="451" t="s">
        <v>138</v>
      </c>
      <c r="E3661" s="273">
        <v>0</v>
      </c>
      <c r="F3661" s="274"/>
      <c r="G3661" s="274">
        <f t="shared" si="14"/>
        <v>0</v>
      </c>
      <c r="H3661" s="274">
        <v>0</v>
      </c>
      <c r="K3661" s="274"/>
    </row>
    <row r="3662" spans="2:11" ht="13.5" customHeight="1">
      <c r="B3662" s="209" t="s">
        <v>2950</v>
      </c>
      <c r="C3662" s="209" t="s">
        <v>2951</v>
      </c>
      <c r="D3662" s="452" t="s">
        <v>139</v>
      </c>
      <c r="E3662" s="273">
        <v>0</v>
      </c>
      <c r="F3662" s="274"/>
      <c r="G3662" s="274">
        <f t="shared" si="14"/>
        <v>0</v>
      </c>
      <c r="H3662" s="274">
        <v>0</v>
      </c>
      <c r="K3662" s="274"/>
    </row>
    <row r="3663" spans="2:11" ht="13.5" customHeight="1">
      <c r="B3663" s="209" t="s">
        <v>2950</v>
      </c>
      <c r="C3663" s="209" t="s">
        <v>2951</v>
      </c>
      <c r="D3663" s="216" t="s">
        <v>140</v>
      </c>
      <c r="E3663" s="273">
        <v>0</v>
      </c>
      <c r="F3663" s="274"/>
      <c r="G3663" s="274">
        <f t="shared" si="14"/>
        <v>0</v>
      </c>
      <c r="H3663" s="274">
        <v>0</v>
      </c>
      <c r="K3663" s="274"/>
    </row>
    <row r="3664" spans="2:11" ht="13.5" customHeight="1">
      <c r="B3664" s="209" t="s">
        <v>2950</v>
      </c>
      <c r="C3664" s="209" t="s">
        <v>2951</v>
      </c>
      <c r="D3664" s="453" t="s">
        <v>141</v>
      </c>
      <c r="E3664" s="273">
        <v>0</v>
      </c>
      <c r="F3664" s="274"/>
      <c r="G3664" s="274">
        <f t="shared" si="14"/>
        <v>0</v>
      </c>
      <c r="H3664" s="274">
        <v>0</v>
      </c>
      <c r="K3664" s="274"/>
    </row>
    <row r="3665" spans="2:11" ht="13.5" customHeight="1">
      <c r="B3665" s="209" t="s">
        <v>2952</v>
      </c>
      <c r="C3665" s="209" t="s">
        <v>2953</v>
      </c>
      <c r="D3665" s="446" t="s">
        <v>133</v>
      </c>
      <c r="E3665" s="273">
        <v>0</v>
      </c>
      <c r="F3665" s="274"/>
      <c r="G3665" s="274">
        <f t="shared" si="14"/>
        <v>0</v>
      </c>
      <c r="H3665" s="274">
        <v>0</v>
      </c>
      <c r="K3665" s="274"/>
    </row>
    <row r="3666" spans="2:11" ht="13.5" customHeight="1">
      <c r="B3666" s="209" t="s">
        <v>2952</v>
      </c>
      <c r="C3666" s="209" t="s">
        <v>2953</v>
      </c>
      <c r="D3666" s="447" t="s">
        <v>134</v>
      </c>
      <c r="E3666" s="273">
        <v>0</v>
      </c>
      <c r="F3666" s="274"/>
      <c r="G3666" s="274">
        <f t="shared" si="14"/>
        <v>0</v>
      </c>
      <c r="H3666" s="274">
        <v>0</v>
      </c>
      <c r="K3666" s="274"/>
    </row>
    <row r="3667" spans="2:11" ht="13.5" customHeight="1">
      <c r="B3667" s="209" t="s">
        <v>2952</v>
      </c>
      <c r="C3667" s="209" t="s">
        <v>2953</v>
      </c>
      <c r="D3667" s="448" t="s">
        <v>135</v>
      </c>
      <c r="E3667" s="273">
        <v>0</v>
      </c>
      <c r="F3667" s="274"/>
      <c r="G3667" s="274">
        <f t="shared" si="14"/>
        <v>0</v>
      </c>
      <c r="H3667" s="274">
        <v>0</v>
      </c>
      <c r="K3667" s="274"/>
    </row>
    <row r="3668" spans="2:11" ht="13.5" customHeight="1">
      <c r="B3668" s="209" t="s">
        <v>2952</v>
      </c>
      <c r="C3668" s="209" t="s">
        <v>2953</v>
      </c>
      <c r="D3668" s="449" t="s">
        <v>136</v>
      </c>
      <c r="E3668" s="273">
        <v>0</v>
      </c>
      <c r="F3668" s="274"/>
      <c r="G3668" s="274">
        <f t="shared" si="14"/>
        <v>0</v>
      </c>
      <c r="H3668" s="274">
        <v>0</v>
      </c>
      <c r="K3668" s="274"/>
    </row>
    <row r="3669" spans="2:11" ht="13.5" customHeight="1">
      <c r="B3669" s="209" t="s">
        <v>2952</v>
      </c>
      <c r="C3669" s="209" t="s">
        <v>2953</v>
      </c>
      <c r="D3669" s="450" t="s">
        <v>137</v>
      </c>
      <c r="E3669" s="273">
        <v>0</v>
      </c>
      <c r="F3669" s="274"/>
      <c r="G3669" s="274">
        <f t="shared" si="14"/>
        <v>0</v>
      </c>
      <c r="H3669" s="274">
        <v>0</v>
      </c>
      <c r="K3669" s="274"/>
    </row>
    <row r="3670" spans="2:11" ht="13.5" customHeight="1">
      <c r="B3670" s="209" t="s">
        <v>2952</v>
      </c>
      <c r="C3670" s="209" t="s">
        <v>2953</v>
      </c>
      <c r="D3670" s="451" t="s">
        <v>138</v>
      </c>
      <c r="E3670" s="273">
        <v>0</v>
      </c>
      <c r="F3670" s="274"/>
      <c r="G3670" s="274">
        <f t="shared" si="14"/>
        <v>0</v>
      </c>
      <c r="H3670" s="274">
        <v>0</v>
      </c>
      <c r="K3670" s="274"/>
    </row>
    <row r="3671" spans="2:11" ht="13.5" customHeight="1">
      <c r="B3671" s="209" t="s">
        <v>2952</v>
      </c>
      <c r="C3671" s="209" t="s">
        <v>2953</v>
      </c>
      <c r="D3671" s="452" t="s">
        <v>139</v>
      </c>
      <c r="E3671" s="273">
        <v>0</v>
      </c>
      <c r="F3671" s="274"/>
      <c r="G3671" s="274">
        <f t="shared" si="14"/>
        <v>0</v>
      </c>
      <c r="H3671" s="274">
        <v>0</v>
      </c>
      <c r="K3671" s="274"/>
    </row>
    <row r="3672" spans="2:11" ht="13.5" customHeight="1">
      <c r="B3672" s="209" t="s">
        <v>2952</v>
      </c>
      <c r="C3672" s="209" t="s">
        <v>2953</v>
      </c>
      <c r="D3672" s="216" t="s">
        <v>140</v>
      </c>
      <c r="E3672" s="273">
        <v>0</v>
      </c>
      <c r="F3672" s="274"/>
      <c r="G3672" s="274">
        <f t="shared" si="14"/>
        <v>0</v>
      </c>
      <c r="H3672" s="274">
        <v>0</v>
      </c>
      <c r="K3672" s="274"/>
    </row>
    <row r="3673" spans="2:11" ht="13.5" customHeight="1">
      <c r="B3673" s="209" t="s">
        <v>2952</v>
      </c>
      <c r="C3673" s="209" t="s">
        <v>2953</v>
      </c>
      <c r="D3673" s="453" t="s">
        <v>141</v>
      </c>
      <c r="E3673" s="273">
        <v>0</v>
      </c>
      <c r="F3673" s="274"/>
      <c r="G3673" s="274">
        <f t="shared" si="14"/>
        <v>0</v>
      </c>
      <c r="H3673" s="274">
        <v>0</v>
      </c>
      <c r="K3673" s="274"/>
    </row>
    <row r="3674" spans="2:11" ht="13.5" customHeight="1">
      <c r="B3674" s="209" t="s">
        <v>2954</v>
      </c>
      <c r="C3674" s="209" t="s">
        <v>2955</v>
      </c>
      <c r="D3674" s="446" t="s">
        <v>133</v>
      </c>
      <c r="E3674" s="273">
        <v>0</v>
      </c>
      <c r="F3674" s="274"/>
      <c r="G3674" s="274">
        <f t="shared" si="14"/>
        <v>0</v>
      </c>
      <c r="H3674" s="274">
        <v>0</v>
      </c>
      <c r="K3674" s="274"/>
    </row>
    <row r="3675" spans="2:11" ht="13.5" customHeight="1">
      <c r="B3675" s="209" t="s">
        <v>2954</v>
      </c>
      <c r="C3675" s="209" t="s">
        <v>2955</v>
      </c>
      <c r="D3675" s="447" t="s">
        <v>134</v>
      </c>
      <c r="E3675" s="273">
        <v>0</v>
      </c>
      <c r="F3675" s="274"/>
      <c r="G3675" s="274">
        <f t="shared" si="14"/>
        <v>0</v>
      </c>
      <c r="H3675" s="274">
        <v>0</v>
      </c>
      <c r="K3675" s="274"/>
    </row>
    <row r="3676" spans="2:11" ht="13.5" customHeight="1">
      <c r="B3676" s="209" t="s">
        <v>2954</v>
      </c>
      <c r="C3676" s="209" t="s">
        <v>2955</v>
      </c>
      <c r="D3676" s="448" t="s">
        <v>135</v>
      </c>
      <c r="E3676" s="273">
        <v>0</v>
      </c>
      <c r="F3676" s="274"/>
      <c r="G3676" s="274">
        <f t="shared" si="14"/>
        <v>0</v>
      </c>
      <c r="H3676" s="274">
        <v>0</v>
      </c>
      <c r="K3676" s="274"/>
    </row>
    <row r="3677" spans="2:11" ht="13.5" customHeight="1">
      <c r="B3677" s="209" t="s">
        <v>2954</v>
      </c>
      <c r="C3677" s="209" t="s">
        <v>2955</v>
      </c>
      <c r="D3677" s="449" t="s">
        <v>136</v>
      </c>
      <c r="E3677" s="273">
        <v>0</v>
      </c>
      <c r="F3677" s="274"/>
      <c r="G3677" s="274">
        <f t="shared" si="14"/>
        <v>0</v>
      </c>
      <c r="H3677" s="274">
        <v>0</v>
      </c>
      <c r="K3677" s="274"/>
    </row>
    <row r="3678" spans="2:11" ht="13.5" customHeight="1">
      <c r="B3678" s="209" t="s">
        <v>2954</v>
      </c>
      <c r="C3678" s="209" t="s">
        <v>2955</v>
      </c>
      <c r="D3678" s="450" t="s">
        <v>137</v>
      </c>
      <c r="E3678" s="273">
        <v>0</v>
      </c>
      <c r="F3678" s="274"/>
      <c r="G3678" s="274">
        <f t="shared" si="14"/>
        <v>0</v>
      </c>
      <c r="H3678" s="274">
        <v>0</v>
      </c>
      <c r="K3678" s="274"/>
    </row>
    <row r="3679" spans="2:11" ht="13.5" customHeight="1">
      <c r="B3679" s="209" t="s">
        <v>2954</v>
      </c>
      <c r="C3679" s="209" t="s">
        <v>2955</v>
      </c>
      <c r="D3679" s="451" t="s">
        <v>138</v>
      </c>
      <c r="E3679" s="273">
        <v>0</v>
      </c>
      <c r="F3679" s="274"/>
      <c r="G3679" s="274">
        <f t="shared" si="14"/>
        <v>0</v>
      </c>
      <c r="H3679" s="274">
        <v>0</v>
      </c>
      <c r="K3679" s="274"/>
    </row>
    <row r="3680" spans="2:11" ht="13.5" customHeight="1">
      <c r="B3680" s="209" t="s">
        <v>2954</v>
      </c>
      <c r="C3680" s="209" t="s">
        <v>2955</v>
      </c>
      <c r="D3680" s="452" t="s">
        <v>139</v>
      </c>
      <c r="E3680" s="273">
        <v>0</v>
      </c>
      <c r="F3680" s="274"/>
      <c r="G3680" s="274">
        <f t="shared" si="14"/>
        <v>0</v>
      </c>
      <c r="H3680" s="274">
        <v>0</v>
      </c>
      <c r="K3680" s="274"/>
    </row>
    <row r="3681" spans="2:11" ht="13.5" customHeight="1">
      <c r="B3681" s="209" t="s">
        <v>2954</v>
      </c>
      <c r="C3681" s="209" t="s">
        <v>2955</v>
      </c>
      <c r="D3681" s="216" t="s">
        <v>140</v>
      </c>
      <c r="E3681" s="273">
        <v>0</v>
      </c>
      <c r="F3681" s="274"/>
      <c r="G3681" s="274">
        <f t="shared" si="14"/>
        <v>0</v>
      </c>
      <c r="H3681" s="274">
        <v>0</v>
      </c>
      <c r="K3681" s="274"/>
    </row>
    <row r="3682" spans="2:11" ht="13.5" customHeight="1">
      <c r="B3682" s="209" t="s">
        <v>2954</v>
      </c>
      <c r="C3682" s="209" t="s">
        <v>2955</v>
      </c>
      <c r="D3682" s="453" t="s">
        <v>141</v>
      </c>
      <c r="E3682" s="273">
        <v>0</v>
      </c>
      <c r="F3682" s="274"/>
      <c r="G3682" s="274">
        <f t="shared" si="14"/>
        <v>0</v>
      </c>
      <c r="H3682" s="274">
        <v>0</v>
      </c>
      <c r="K3682" s="274"/>
    </row>
    <row r="3683" spans="2:11" ht="13.5" customHeight="1">
      <c r="B3683" s="209" t="s">
        <v>2956</v>
      </c>
      <c r="C3683" s="209" t="s">
        <v>2957</v>
      </c>
      <c r="D3683" s="446" t="s">
        <v>133</v>
      </c>
      <c r="E3683" s="273">
        <v>0</v>
      </c>
      <c r="F3683" s="274"/>
      <c r="G3683" s="274">
        <f t="shared" si="14"/>
        <v>0</v>
      </c>
      <c r="H3683" s="274">
        <v>0</v>
      </c>
      <c r="K3683" s="274"/>
    </row>
    <row r="3684" spans="2:11" ht="13.5" customHeight="1">
      <c r="B3684" s="209" t="s">
        <v>2956</v>
      </c>
      <c r="C3684" s="209" t="s">
        <v>2957</v>
      </c>
      <c r="D3684" s="447" t="s">
        <v>134</v>
      </c>
      <c r="E3684" s="273">
        <v>0</v>
      </c>
      <c r="F3684" s="274"/>
      <c r="G3684" s="274">
        <f t="shared" si="14"/>
        <v>0</v>
      </c>
      <c r="H3684" s="274">
        <v>0</v>
      </c>
      <c r="K3684" s="274"/>
    </row>
    <row r="3685" spans="2:11" ht="13.5" customHeight="1">
      <c r="B3685" s="209" t="s">
        <v>2956</v>
      </c>
      <c r="C3685" s="209" t="s">
        <v>2957</v>
      </c>
      <c r="D3685" s="448" t="s">
        <v>135</v>
      </c>
      <c r="E3685" s="273">
        <v>0</v>
      </c>
      <c r="F3685" s="274"/>
      <c r="G3685" s="274">
        <f t="shared" si="14"/>
        <v>0</v>
      </c>
      <c r="H3685" s="274">
        <v>0</v>
      </c>
      <c r="K3685" s="274"/>
    </row>
    <row r="3686" spans="2:11" ht="13.5" customHeight="1">
      <c r="B3686" s="209" t="s">
        <v>2956</v>
      </c>
      <c r="C3686" s="209" t="s">
        <v>2957</v>
      </c>
      <c r="D3686" s="449" t="s">
        <v>136</v>
      </c>
      <c r="E3686" s="273">
        <v>0</v>
      </c>
      <c r="F3686" s="274"/>
      <c r="G3686" s="274">
        <f t="shared" si="14"/>
        <v>0</v>
      </c>
      <c r="H3686" s="274">
        <v>0</v>
      </c>
      <c r="K3686" s="274"/>
    </row>
    <row r="3687" spans="2:11" ht="13.5" customHeight="1">
      <c r="B3687" s="209" t="s">
        <v>2956</v>
      </c>
      <c r="C3687" s="209" t="s">
        <v>2957</v>
      </c>
      <c r="D3687" s="450" t="s">
        <v>137</v>
      </c>
      <c r="E3687" s="273">
        <v>0</v>
      </c>
      <c r="F3687" s="274"/>
      <c r="G3687" s="274">
        <f t="shared" si="14"/>
        <v>0</v>
      </c>
      <c r="H3687" s="274">
        <v>0</v>
      </c>
      <c r="K3687" s="274"/>
    </row>
    <row r="3688" spans="2:11" ht="13.5" customHeight="1">
      <c r="B3688" s="209" t="s">
        <v>2956</v>
      </c>
      <c r="C3688" s="209" t="s">
        <v>2957</v>
      </c>
      <c r="D3688" s="451" t="s">
        <v>138</v>
      </c>
      <c r="E3688" s="273">
        <v>0</v>
      </c>
      <c r="F3688" s="274"/>
      <c r="G3688" s="274">
        <f t="shared" si="14"/>
        <v>0</v>
      </c>
      <c r="H3688" s="274">
        <v>0</v>
      </c>
      <c r="K3688" s="274"/>
    </row>
    <row r="3689" spans="2:11" ht="13.5" customHeight="1">
      <c r="B3689" s="209" t="s">
        <v>2956</v>
      </c>
      <c r="C3689" s="209" t="s">
        <v>2957</v>
      </c>
      <c r="D3689" s="452" t="s">
        <v>139</v>
      </c>
      <c r="E3689" s="273">
        <v>0</v>
      </c>
      <c r="F3689" s="274"/>
      <c r="G3689" s="274">
        <f t="shared" si="14"/>
        <v>0</v>
      </c>
      <c r="H3689" s="274">
        <v>0</v>
      </c>
      <c r="K3689" s="274"/>
    </row>
    <row r="3690" spans="2:11" ht="13.5" customHeight="1">
      <c r="B3690" s="209" t="s">
        <v>2956</v>
      </c>
      <c r="C3690" s="209" t="s">
        <v>2957</v>
      </c>
      <c r="D3690" s="216" t="s">
        <v>140</v>
      </c>
      <c r="E3690" s="273">
        <v>0</v>
      </c>
      <c r="F3690" s="274"/>
      <c r="G3690" s="274">
        <f t="shared" si="14"/>
        <v>0</v>
      </c>
      <c r="H3690" s="274">
        <v>0</v>
      </c>
      <c r="K3690" s="274"/>
    </row>
    <row r="3691" spans="2:11" ht="13.5" customHeight="1">
      <c r="B3691" s="209" t="s">
        <v>2956</v>
      </c>
      <c r="C3691" s="209" t="s">
        <v>2957</v>
      </c>
      <c r="D3691" s="453" t="s">
        <v>141</v>
      </c>
      <c r="E3691" s="273">
        <v>0</v>
      </c>
      <c r="F3691" s="274"/>
      <c r="G3691" s="274">
        <f t="shared" si="14"/>
        <v>0</v>
      </c>
      <c r="H3691" s="274">
        <v>0</v>
      </c>
      <c r="K3691" s="274"/>
    </row>
    <row r="3692" spans="2:11" ht="13.5" customHeight="1">
      <c r="B3692" s="209" t="s">
        <v>1796</v>
      </c>
      <c r="C3692" s="209" t="s">
        <v>2958</v>
      </c>
      <c r="D3692" s="446" t="s">
        <v>133</v>
      </c>
      <c r="E3692" s="273">
        <v>0</v>
      </c>
      <c r="F3692" s="274"/>
      <c r="G3692" s="274">
        <f t="shared" si="14"/>
        <v>0</v>
      </c>
      <c r="H3692" s="274">
        <v>0</v>
      </c>
      <c r="K3692" s="274"/>
    </row>
    <row r="3693" spans="2:11" ht="13.5" customHeight="1">
      <c r="B3693" s="209" t="s">
        <v>1796</v>
      </c>
      <c r="C3693" s="209" t="s">
        <v>2958</v>
      </c>
      <c r="D3693" s="447" t="s">
        <v>134</v>
      </c>
      <c r="E3693" s="273">
        <v>0</v>
      </c>
      <c r="F3693" s="274"/>
      <c r="G3693" s="274">
        <f t="shared" si="14"/>
        <v>0</v>
      </c>
      <c r="H3693" s="274">
        <v>0</v>
      </c>
      <c r="K3693" s="274"/>
    </row>
    <row r="3694" spans="2:11" ht="13.5" customHeight="1">
      <c r="B3694" s="209" t="s">
        <v>1796</v>
      </c>
      <c r="C3694" s="209" t="s">
        <v>2958</v>
      </c>
      <c r="D3694" s="448" t="s">
        <v>135</v>
      </c>
      <c r="E3694" s="273">
        <v>0</v>
      </c>
      <c r="F3694" s="274"/>
      <c r="G3694" s="274">
        <f t="shared" si="14"/>
        <v>0</v>
      </c>
      <c r="H3694" s="274">
        <v>0</v>
      </c>
      <c r="K3694" s="274"/>
    </row>
    <row r="3695" spans="2:11" ht="13.5" customHeight="1">
      <c r="B3695" s="209" t="s">
        <v>1796</v>
      </c>
      <c r="C3695" s="209" t="s">
        <v>2958</v>
      </c>
      <c r="D3695" s="449" t="s">
        <v>136</v>
      </c>
      <c r="E3695" s="273">
        <v>0</v>
      </c>
      <c r="F3695" s="274"/>
      <c r="G3695" s="274">
        <f t="shared" si="14"/>
        <v>0</v>
      </c>
      <c r="H3695" s="274">
        <v>0</v>
      </c>
      <c r="K3695" s="274"/>
    </row>
    <row r="3696" spans="2:11" ht="13.5" customHeight="1">
      <c r="B3696" s="209" t="s">
        <v>1796</v>
      </c>
      <c r="C3696" s="209" t="s">
        <v>2958</v>
      </c>
      <c r="D3696" s="450" t="s">
        <v>137</v>
      </c>
      <c r="E3696" s="273">
        <v>0</v>
      </c>
      <c r="F3696" s="274"/>
      <c r="G3696" s="274">
        <f t="shared" si="14"/>
        <v>0</v>
      </c>
      <c r="H3696" s="274">
        <v>0</v>
      </c>
      <c r="K3696" s="274"/>
    </row>
    <row r="3697" spans="2:11" ht="13.5" customHeight="1">
      <c r="B3697" s="209" t="s">
        <v>1796</v>
      </c>
      <c r="C3697" s="209" t="s">
        <v>2958</v>
      </c>
      <c r="D3697" s="451" t="s">
        <v>138</v>
      </c>
      <c r="E3697" s="273">
        <v>0</v>
      </c>
      <c r="F3697" s="274"/>
      <c r="G3697" s="274">
        <f t="shared" si="14"/>
        <v>0</v>
      </c>
      <c r="H3697" s="274">
        <v>0</v>
      </c>
      <c r="K3697" s="274"/>
    </row>
    <row r="3698" spans="2:11" ht="13.5" customHeight="1">
      <c r="B3698" s="209" t="s">
        <v>1796</v>
      </c>
      <c r="C3698" s="209" t="s">
        <v>2958</v>
      </c>
      <c r="D3698" s="452" t="s">
        <v>139</v>
      </c>
      <c r="E3698" s="273">
        <v>0</v>
      </c>
      <c r="F3698" s="274"/>
      <c r="G3698" s="274">
        <f t="shared" si="14"/>
        <v>0</v>
      </c>
      <c r="H3698" s="274">
        <v>0</v>
      </c>
      <c r="K3698" s="274"/>
    </row>
    <row r="3699" spans="2:11" ht="13.5" customHeight="1">
      <c r="B3699" s="209" t="s">
        <v>1796</v>
      </c>
      <c r="C3699" s="209" t="s">
        <v>2958</v>
      </c>
      <c r="D3699" s="216" t="s">
        <v>140</v>
      </c>
      <c r="E3699" s="273">
        <v>0</v>
      </c>
      <c r="F3699" s="274"/>
      <c r="G3699" s="274">
        <f t="shared" si="14"/>
        <v>0</v>
      </c>
      <c r="H3699" s="274">
        <v>0</v>
      </c>
      <c r="K3699" s="274"/>
    </row>
    <row r="3700" spans="2:11" ht="13.5" customHeight="1">
      <c r="B3700" s="209" t="s">
        <v>1796</v>
      </c>
      <c r="C3700" s="209" t="s">
        <v>2958</v>
      </c>
      <c r="D3700" s="453" t="s">
        <v>141</v>
      </c>
      <c r="E3700" s="273">
        <v>0</v>
      </c>
      <c r="F3700" s="274"/>
      <c r="G3700" s="274">
        <f t="shared" si="14"/>
        <v>0</v>
      </c>
      <c r="H3700" s="274">
        <v>0</v>
      </c>
      <c r="K3700" s="274"/>
    </row>
    <row r="3701" spans="2:11" ht="13.5" customHeight="1">
      <c r="B3701" s="209" t="s">
        <v>1840</v>
      </c>
      <c r="C3701" s="209" t="s">
        <v>2959</v>
      </c>
      <c r="D3701" s="446" t="s">
        <v>133</v>
      </c>
      <c r="E3701" s="273">
        <v>0</v>
      </c>
      <c r="F3701" s="274"/>
      <c r="G3701" s="274">
        <f t="shared" si="14"/>
        <v>0</v>
      </c>
      <c r="H3701" s="274">
        <v>0</v>
      </c>
      <c r="K3701" s="274"/>
    </row>
    <row r="3702" spans="2:11" ht="13.5" customHeight="1">
      <c r="B3702" s="209" t="s">
        <v>1840</v>
      </c>
      <c r="C3702" s="209" t="s">
        <v>2959</v>
      </c>
      <c r="D3702" s="447" t="s">
        <v>134</v>
      </c>
      <c r="E3702" s="273">
        <v>0</v>
      </c>
      <c r="F3702" s="274"/>
      <c r="G3702" s="274">
        <f t="shared" si="14"/>
        <v>0</v>
      </c>
      <c r="H3702" s="274">
        <v>0</v>
      </c>
      <c r="K3702" s="274"/>
    </row>
    <row r="3703" spans="2:11" ht="13.5" customHeight="1">
      <c r="B3703" s="209" t="s">
        <v>1840</v>
      </c>
      <c r="C3703" s="209" t="s">
        <v>2959</v>
      </c>
      <c r="D3703" s="448" t="s">
        <v>135</v>
      </c>
      <c r="E3703" s="273">
        <v>0</v>
      </c>
      <c r="F3703" s="274"/>
      <c r="G3703" s="274">
        <f t="shared" si="14"/>
        <v>0</v>
      </c>
      <c r="H3703" s="274">
        <v>0</v>
      </c>
      <c r="K3703" s="274"/>
    </row>
    <row r="3704" spans="2:11" ht="13.5" customHeight="1">
      <c r="B3704" s="209" t="s">
        <v>1840</v>
      </c>
      <c r="C3704" s="209" t="s">
        <v>2959</v>
      </c>
      <c r="D3704" s="449" t="s">
        <v>136</v>
      </c>
      <c r="E3704" s="273">
        <v>0</v>
      </c>
      <c r="F3704" s="274"/>
      <c r="G3704" s="274">
        <f t="shared" si="14"/>
        <v>0</v>
      </c>
      <c r="H3704" s="274">
        <v>0</v>
      </c>
      <c r="K3704" s="274"/>
    </row>
    <row r="3705" spans="2:11" ht="13.5" customHeight="1">
      <c r="B3705" s="209" t="s">
        <v>1840</v>
      </c>
      <c r="C3705" s="209" t="s">
        <v>2959</v>
      </c>
      <c r="D3705" s="450" t="s">
        <v>137</v>
      </c>
      <c r="E3705" s="273">
        <v>0</v>
      </c>
      <c r="F3705" s="274"/>
      <c r="G3705" s="274">
        <f t="shared" si="14"/>
        <v>0</v>
      </c>
      <c r="H3705" s="274">
        <v>0</v>
      </c>
      <c r="K3705" s="274"/>
    </row>
    <row r="3706" spans="2:11" ht="13.5" customHeight="1">
      <c r="B3706" s="209" t="s">
        <v>1840</v>
      </c>
      <c r="C3706" s="209" t="s">
        <v>2959</v>
      </c>
      <c r="D3706" s="451" t="s">
        <v>138</v>
      </c>
      <c r="E3706" s="273">
        <v>0</v>
      </c>
      <c r="F3706" s="274"/>
      <c r="G3706" s="274">
        <f t="shared" si="14"/>
        <v>0</v>
      </c>
      <c r="H3706" s="274">
        <v>0</v>
      </c>
      <c r="K3706" s="274"/>
    </row>
    <row r="3707" spans="2:11" ht="13.5" customHeight="1">
      <c r="B3707" s="209" t="s">
        <v>1840</v>
      </c>
      <c r="C3707" s="209" t="s">
        <v>2959</v>
      </c>
      <c r="D3707" s="452" t="s">
        <v>139</v>
      </c>
      <c r="E3707" s="273">
        <v>0</v>
      </c>
      <c r="F3707" s="274"/>
      <c r="G3707" s="274">
        <f t="shared" si="14"/>
        <v>0</v>
      </c>
      <c r="H3707" s="274">
        <v>0</v>
      </c>
      <c r="K3707" s="274"/>
    </row>
    <row r="3708" spans="2:11" ht="13.5" customHeight="1">
      <c r="B3708" s="209" t="s">
        <v>1840</v>
      </c>
      <c r="C3708" s="209" t="s">
        <v>2959</v>
      </c>
      <c r="D3708" s="216" t="s">
        <v>140</v>
      </c>
      <c r="E3708" s="273">
        <v>0</v>
      </c>
      <c r="F3708" s="274"/>
      <c r="G3708" s="274">
        <f t="shared" si="14"/>
        <v>0</v>
      </c>
      <c r="H3708" s="274">
        <v>0</v>
      </c>
      <c r="K3708" s="274"/>
    </row>
    <row r="3709" spans="2:11" ht="13.5" customHeight="1">
      <c r="B3709" s="209" t="s">
        <v>1840</v>
      </c>
      <c r="C3709" s="209" t="s">
        <v>2959</v>
      </c>
      <c r="D3709" s="453" t="s">
        <v>141</v>
      </c>
      <c r="E3709" s="273">
        <v>0</v>
      </c>
      <c r="F3709" s="274"/>
      <c r="G3709" s="274">
        <f t="shared" si="14"/>
        <v>0</v>
      </c>
      <c r="H3709" s="274">
        <v>0</v>
      </c>
      <c r="K3709" s="274"/>
    </row>
    <row r="3710" spans="2:11" ht="13.5" customHeight="1">
      <c r="B3710" s="209" t="s">
        <v>1854</v>
      </c>
      <c r="C3710" s="209" t="s">
        <v>2960</v>
      </c>
      <c r="D3710" s="446" t="s">
        <v>133</v>
      </c>
      <c r="E3710" s="273">
        <v>0</v>
      </c>
      <c r="F3710" s="274"/>
      <c r="G3710" s="274">
        <f t="shared" si="14"/>
        <v>0</v>
      </c>
      <c r="H3710" s="274">
        <v>0</v>
      </c>
      <c r="K3710" s="274"/>
    </row>
    <row r="3711" spans="2:11" ht="13.5" customHeight="1">
      <c r="B3711" s="209" t="s">
        <v>1854</v>
      </c>
      <c r="C3711" s="209" t="s">
        <v>2960</v>
      </c>
      <c r="D3711" s="447" t="s">
        <v>134</v>
      </c>
      <c r="E3711" s="273">
        <v>0</v>
      </c>
      <c r="F3711" s="274"/>
      <c r="G3711" s="274">
        <f t="shared" si="14"/>
        <v>0</v>
      </c>
      <c r="H3711" s="274">
        <v>0</v>
      </c>
      <c r="K3711" s="274"/>
    </row>
    <row r="3712" spans="2:11" ht="13.5" customHeight="1">
      <c r="B3712" s="209" t="s">
        <v>1854</v>
      </c>
      <c r="C3712" s="209" t="s">
        <v>2960</v>
      </c>
      <c r="D3712" s="448" t="s">
        <v>135</v>
      </c>
      <c r="E3712" s="273">
        <v>0</v>
      </c>
      <c r="F3712" s="274"/>
      <c r="G3712" s="274">
        <f t="shared" si="14"/>
        <v>0</v>
      </c>
      <c r="H3712" s="274">
        <v>0</v>
      </c>
      <c r="K3712" s="274"/>
    </row>
    <row r="3713" spans="2:11" ht="13.5" customHeight="1">
      <c r="B3713" s="209" t="s">
        <v>1854</v>
      </c>
      <c r="C3713" s="209" t="s">
        <v>2960</v>
      </c>
      <c r="D3713" s="449" t="s">
        <v>136</v>
      </c>
      <c r="E3713" s="273">
        <v>0</v>
      </c>
      <c r="F3713" s="274"/>
      <c r="G3713" s="274">
        <f t="shared" si="14"/>
        <v>0</v>
      </c>
      <c r="H3713" s="274">
        <v>0</v>
      </c>
      <c r="K3713" s="274"/>
    </row>
    <row r="3714" spans="2:11" ht="13.5" customHeight="1">
      <c r="B3714" s="209" t="s">
        <v>1854</v>
      </c>
      <c r="C3714" s="209" t="s">
        <v>2960</v>
      </c>
      <c r="D3714" s="450" t="s">
        <v>137</v>
      </c>
      <c r="E3714" s="273">
        <v>0</v>
      </c>
      <c r="F3714" s="274"/>
      <c r="G3714" s="274">
        <f t="shared" si="14"/>
        <v>0</v>
      </c>
      <c r="H3714" s="274">
        <v>0</v>
      </c>
      <c r="K3714" s="274"/>
    </row>
    <row r="3715" spans="2:11" ht="13.5" customHeight="1">
      <c r="B3715" s="209" t="s">
        <v>1854</v>
      </c>
      <c r="C3715" s="209" t="s">
        <v>2960</v>
      </c>
      <c r="D3715" s="451" t="s">
        <v>138</v>
      </c>
      <c r="E3715" s="273">
        <v>0</v>
      </c>
      <c r="F3715" s="274"/>
      <c r="G3715" s="274">
        <f t="shared" si="14"/>
        <v>0</v>
      </c>
      <c r="H3715" s="274">
        <v>0</v>
      </c>
      <c r="K3715" s="274"/>
    </row>
    <row r="3716" spans="2:11" ht="13.5" customHeight="1">
      <c r="B3716" s="209" t="s">
        <v>1854</v>
      </c>
      <c r="C3716" s="209" t="s">
        <v>2960</v>
      </c>
      <c r="D3716" s="452" t="s">
        <v>139</v>
      </c>
      <c r="E3716" s="273">
        <v>0</v>
      </c>
      <c r="F3716" s="274"/>
      <c r="G3716" s="274">
        <f t="shared" si="14"/>
        <v>0</v>
      </c>
      <c r="H3716" s="274">
        <v>0</v>
      </c>
      <c r="K3716" s="274"/>
    </row>
    <row r="3717" spans="2:11" ht="13.5" customHeight="1">
      <c r="B3717" s="209" t="s">
        <v>1854</v>
      </c>
      <c r="C3717" s="209" t="s">
        <v>2960</v>
      </c>
      <c r="D3717" s="216" t="s">
        <v>140</v>
      </c>
      <c r="E3717" s="273">
        <v>0</v>
      </c>
      <c r="F3717" s="274"/>
      <c r="G3717" s="274">
        <f t="shared" si="14"/>
        <v>0</v>
      </c>
      <c r="H3717" s="274">
        <v>0</v>
      </c>
      <c r="K3717" s="274"/>
    </row>
    <row r="3718" spans="2:11" ht="13.5" customHeight="1">
      <c r="B3718" s="209" t="s">
        <v>1854</v>
      </c>
      <c r="C3718" s="209" t="s">
        <v>2960</v>
      </c>
      <c r="D3718" s="453" t="s">
        <v>141</v>
      </c>
      <c r="E3718" s="273">
        <v>0</v>
      </c>
      <c r="F3718" s="274"/>
      <c r="G3718" s="274">
        <f t="shared" si="14"/>
        <v>0</v>
      </c>
      <c r="H3718" s="274">
        <v>0</v>
      </c>
      <c r="K3718" s="274"/>
    </row>
    <row r="3719" spans="2:11" ht="13.5" customHeight="1">
      <c r="B3719" s="209" t="s">
        <v>1820</v>
      </c>
      <c r="C3719" s="209" t="s">
        <v>2961</v>
      </c>
      <c r="D3719" s="446" t="s">
        <v>133</v>
      </c>
      <c r="E3719" s="273">
        <v>0</v>
      </c>
      <c r="F3719" s="274"/>
      <c r="G3719" s="274">
        <f t="shared" si="14"/>
        <v>0</v>
      </c>
      <c r="H3719" s="274">
        <v>0</v>
      </c>
      <c r="K3719" s="274"/>
    </row>
    <row r="3720" spans="2:11" ht="13.5" customHeight="1">
      <c r="B3720" s="209" t="s">
        <v>1820</v>
      </c>
      <c r="C3720" s="209" t="s">
        <v>2961</v>
      </c>
      <c r="D3720" s="447" t="s">
        <v>134</v>
      </c>
      <c r="E3720" s="273">
        <v>0</v>
      </c>
      <c r="F3720" s="274"/>
      <c r="G3720" s="274">
        <f t="shared" si="14"/>
        <v>0</v>
      </c>
      <c r="H3720" s="274">
        <v>0</v>
      </c>
      <c r="K3720" s="274"/>
    </row>
    <row r="3721" spans="2:11" ht="13.5" customHeight="1">
      <c r="B3721" s="209" t="s">
        <v>1820</v>
      </c>
      <c r="C3721" s="209" t="s">
        <v>2961</v>
      </c>
      <c r="D3721" s="448" t="s">
        <v>135</v>
      </c>
      <c r="E3721" s="273">
        <v>0</v>
      </c>
      <c r="F3721" s="274"/>
      <c r="G3721" s="274">
        <f t="shared" si="14"/>
        <v>0</v>
      </c>
      <c r="H3721" s="274">
        <v>0</v>
      </c>
      <c r="K3721" s="274"/>
    </row>
    <row r="3722" spans="2:11" ht="13.5" customHeight="1">
      <c r="B3722" s="209" t="s">
        <v>1820</v>
      </c>
      <c r="C3722" s="209" t="s">
        <v>2961</v>
      </c>
      <c r="D3722" s="449" t="s">
        <v>136</v>
      </c>
      <c r="E3722" s="273">
        <v>0</v>
      </c>
      <c r="F3722" s="274"/>
      <c r="G3722" s="274">
        <f t="shared" si="14"/>
        <v>0</v>
      </c>
      <c r="H3722" s="274">
        <v>0</v>
      </c>
      <c r="K3722" s="274"/>
    </row>
    <row r="3723" spans="2:11" ht="13.5" customHeight="1">
      <c r="B3723" s="209" t="s">
        <v>1820</v>
      </c>
      <c r="C3723" s="209" t="s">
        <v>2961</v>
      </c>
      <c r="D3723" s="450" t="s">
        <v>137</v>
      </c>
      <c r="E3723" s="273">
        <v>0</v>
      </c>
      <c r="F3723" s="274"/>
      <c r="G3723" s="274">
        <f t="shared" si="14"/>
        <v>0</v>
      </c>
      <c r="H3723" s="274">
        <v>0</v>
      </c>
      <c r="K3723" s="274"/>
    </row>
    <row r="3724" spans="2:11" ht="13.5" customHeight="1">
      <c r="B3724" s="209" t="s">
        <v>1820</v>
      </c>
      <c r="C3724" s="209" t="s">
        <v>2961</v>
      </c>
      <c r="D3724" s="451" t="s">
        <v>138</v>
      </c>
      <c r="E3724" s="273">
        <v>0</v>
      </c>
      <c r="F3724" s="274"/>
      <c r="G3724" s="274">
        <f t="shared" si="14"/>
        <v>0</v>
      </c>
      <c r="H3724" s="274">
        <v>0</v>
      </c>
      <c r="K3724" s="274"/>
    </row>
    <row r="3725" spans="2:11" ht="13.5" customHeight="1">
      <c r="B3725" s="209" t="s">
        <v>1820</v>
      </c>
      <c r="C3725" s="209" t="s">
        <v>2961</v>
      </c>
      <c r="D3725" s="452" t="s">
        <v>139</v>
      </c>
      <c r="E3725" s="273">
        <v>0</v>
      </c>
      <c r="F3725" s="274"/>
      <c r="G3725" s="274">
        <f t="shared" si="14"/>
        <v>0</v>
      </c>
      <c r="H3725" s="274">
        <v>0</v>
      </c>
      <c r="K3725" s="274"/>
    </row>
    <row r="3726" spans="2:11" ht="13.5" customHeight="1">
      <c r="B3726" s="209" t="s">
        <v>1820</v>
      </c>
      <c r="C3726" s="209" t="s">
        <v>2961</v>
      </c>
      <c r="D3726" s="216" t="s">
        <v>140</v>
      </c>
      <c r="E3726" s="273">
        <v>0</v>
      </c>
      <c r="F3726" s="274"/>
      <c r="G3726" s="274">
        <f t="shared" si="14"/>
        <v>0</v>
      </c>
      <c r="H3726" s="274">
        <v>0</v>
      </c>
      <c r="K3726" s="274"/>
    </row>
    <row r="3727" spans="2:11" ht="13.5" customHeight="1">
      <c r="B3727" s="209" t="s">
        <v>1820</v>
      </c>
      <c r="C3727" s="209" t="s">
        <v>2961</v>
      </c>
      <c r="D3727" s="453" t="s">
        <v>141</v>
      </c>
      <c r="E3727" s="273">
        <v>0</v>
      </c>
      <c r="F3727" s="274"/>
      <c r="G3727" s="274">
        <f t="shared" si="14"/>
        <v>0</v>
      </c>
      <c r="H3727" s="274">
        <v>0</v>
      </c>
      <c r="K3727" s="274"/>
    </row>
    <row r="3728" spans="2:11" ht="13.5" customHeight="1">
      <c r="B3728" s="209" t="s">
        <v>1477</v>
      </c>
      <c r="C3728" s="209" t="s">
        <v>2962</v>
      </c>
      <c r="D3728" s="446" t="s">
        <v>133</v>
      </c>
      <c r="E3728" s="273">
        <v>0</v>
      </c>
      <c r="F3728" s="274"/>
      <c r="G3728" s="274">
        <f t="shared" si="14"/>
        <v>0</v>
      </c>
      <c r="H3728" s="274">
        <v>0</v>
      </c>
      <c r="K3728" s="274"/>
    </row>
    <row r="3729" spans="2:11" ht="13.5" customHeight="1">
      <c r="B3729" s="209" t="s">
        <v>1477</v>
      </c>
      <c r="C3729" s="209" t="s">
        <v>2962</v>
      </c>
      <c r="D3729" s="447" t="s">
        <v>134</v>
      </c>
      <c r="E3729" s="273">
        <v>0</v>
      </c>
      <c r="F3729" s="274"/>
      <c r="G3729" s="274">
        <f t="shared" si="14"/>
        <v>0</v>
      </c>
      <c r="H3729" s="274">
        <v>0</v>
      </c>
      <c r="K3729" s="274"/>
    </row>
    <row r="3730" spans="2:11" ht="13.5" customHeight="1">
      <c r="B3730" s="209" t="s">
        <v>1477</v>
      </c>
      <c r="C3730" s="209" t="s">
        <v>2962</v>
      </c>
      <c r="D3730" s="448" t="s">
        <v>135</v>
      </c>
      <c r="E3730" s="273">
        <v>0</v>
      </c>
      <c r="F3730" s="274"/>
      <c r="G3730" s="274">
        <f t="shared" si="14"/>
        <v>0</v>
      </c>
      <c r="H3730" s="274">
        <v>0</v>
      </c>
      <c r="K3730" s="274"/>
    </row>
    <row r="3731" spans="2:11" ht="13.5" customHeight="1">
      <c r="B3731" s="209" t="s">
        <v>1477</v>
      </c>
      <c r="C3731" s="209" t="s">
        <v>2962</v>
      </c>
      <c r="D3731" s="449" t="s">
        <v>136</v>
      </c>
      <c r="E3731" s="273">
        <v>0</v>
      </c>
      <c r="F3731" s="274"/>
      <c r="G3731" s="274">
        <f t="shared" si="14"/>
        <v>0</v>
      </c>
      <c r="H3731" s="274">
        <v>0</v>
      </c>
      <c r="K3731" s="274"/>
    </row>
    <row r="3732" spans="2:11" ht="13.5" customHeight="1">
      <c r="B3732" s="209" t="s">
        <v>1477</v>
      </c>
      <c r="C3732" s="209" t="s">
        <v>2962</v>
      </c>
      <c r="D3732" s="450" t="s">
        <v>137</v>
      </c>
      <c r="E3732" s="273">
        <v>0</v>
      </c>
      <c r="F3732" s="274"/>
      <c r="G3732" s="274">
        <f t="shared" si="14"/>
        <v>0</v>
      </c>
      <c r="H3732" s="274">
        <v>0</v>
      </c>
      <c r="K3732" s="274"/>
    </row>
    <row r="3733" spans="2:11" ht="13.5" customHeight="1">
      <c r="B3733" s="209" t="s">
        <v>1477</v>
      </c>
      <c r="C3733" s="209" t="s">
        <v>2962</v>
      </c>
      <c r="D3733" s="451" t="s">
        <v>138</v>
      </c>
      <c r="E3733" s="273">
        <v>0</v>
      </c>
      <c r="F3733" s="274"/>
      <c r="G3733" s="274">
        <f t="shared" si="14"/>
        <v>0</v>
      </c>
      <c r="H3733" s="274">
        <v>0</v>
      </c>
      <c r="K3733" s="274"/>
    </row>
    <row r="3734" spans="2:11" ht="13.5" customHeight="1">
      <c r="B3734" s="209" t="s">
        <v>1477</v>
      </c>
      <c r="C3734" s="209" t="s">
        <v>2962</v>
      </c>
      <c r="D3734" s="452" t="s">
        <v>139</v>
      </c>
      <c r="E3734" s="273">
        <v>0</v>
      </c>
      <c r="F3734" s="274"/>
      <c r="G3734" s="274">
        <f t="shared" si="14"/>
        <v>0</v>
      </c>
      <c r="H3734" s="274">
        <v>0</v>
      </c>
      <c r="K3734" s="274"/>
    </row>
    <row r="3735" spans="2:11" ht="13.5" customHeight="1">
      <c r="B3735" s="209" t="s">
        <v>1477</v>
      </c>
      <c r="C3735" s="209" t="s">
        <v>2962</v>
      </c>
      <c r="D3735" s="216" t="s">
        <v>140</v>
      </c>
      <c r="E3735" s="273">
        <v>0</v>
      </c>
      <c r="F3735" s="274"/>
      <c r="G3735" s="274">
        <f t="shared" si="14"/>
        <v>0</v>
      </c>
      <c r="H3735" s="274">
        <v>0</v>
      </c>
      <c r="K3735" s="274"/>
    </row>
    <row r="3736" spans="2:11" ht="13.5" customHeight="1">
      <c r="B3736" s="209" t="s">
        <v>1477</v>
      </c>
      <c r="C3736" s="209" t="s">
        <v>2962</v>
      </c>
      <c r="D3736" s="453" t="s">
        <v>141</v>
      </c>
      <c r="E3736" s="273">
        <v>0</v>
      </c>
      <c r="F3736" s="274"/>
      <c r="G3736" s="274">
        <f t="shared" si="14"/>
        <v>0</v>
      </c>
      <c r="H3736" s="274">
        <v>0</v>
      </c>
      <c r="K3736" s="274"/>
    </row>
    <row r="3737" spans="2:11" ht="13.5" customHeight="1">
      <c r="B3737" s="209" t="s">
        <v>1749</v>
      </c>
      <c r="C3737" s="209" t="s">
        <v>2963</v>
      </c>
      <c r="D3737" s="446" t="s">
        <v>133</v>
      </c>
      <c r="E3737" s="273">
        <v>0</v>
      </c>
      <c r="F3737" s="274"/>
      <c r="G3737" s="274">
        <f t="shared" si="14"/>
        <v>0</v>
      </c>
      <c r="H3737" s="274">
        <v>0</v>
      </c>
      <c r="K3737" s="274"/>
    </row>
    <row r="3738" spans="2:11" ht="13.5" customHeight="1">
      <c r="B3738" s="209" t="s">
        <v>1749</v>
      </c>
      <c r="C3738" s="209" t="s">
        <v>2963</v>
      </c>
      <c r="D3738" s="447" t="s">
        <v>134</v>
      </c>
      <c r="E3738" s="273">
        <v>0</v>
      </c>
      <c r="F3738" s="274"/>
      <c r="G3738" s="274">
        <f t="shared" si="14"/>
        <v>0</v>
      </c>
      <c r="H3738" s="274">
        <v>0</v>
      </c>
      <c r="K3738" s="274"/>
    </row>
    <row r="3739" spans="2:11" ht="13.5" customHeight="1">
      <c r="B3739" s="209" t="s">
        <v>1749</v>
      </c>
      <c r="C3739" s="209" t="s">
        <v>2963</v>
      </c>
      <c r="D3739" s="448" t="s">
        <v>135</v>
      </c>
      <c r="E3739" s="273">
        <v>0</v>
      </c>
      <c r="F3739" s="274"/>
      <c r="G3739" s="274">
        <f t="shared" si="14"/>
        <v>0</v>
      </c>
      <c r="H3739" s="274">
        <v>0</v>
      </c>
      <c r="K3739" s="274"/>
    </row>
    <row r="3740" spans="2:11" ht="13.5" customHeight="1">
      <c r="B3740" s="209" t="s">
        <v>1749</v>
      </c>
      <c r="C3740" s="209" t="s">
        <v>2963</v>
      </c>
      <c r="D3740" s="449" t="s">
        <v>136</v>
      </c>
      <c r="E3740" s="273">
        <v>0</v>
      </c>
      <c r="F3740" s="274"/>
      <c r="G3740" s="274">
        <f t="shared" si="14"/>
        <v>0</v>
      </c>
      <c r="H3740" s="274">
        <v>0</v>
      </c>
      <c r="K3740" s="274"/>
    </row>
    <row r="3741" spans="2:11" ht="13.5" customHeight="1">
      <c r="B3741" s="209" t="s">
        <v>1749</v>
      </c>
      <c r="C3741" s="209" t="s">
        <v>2963</v>
      </c>
      <c r="D3741" s="450" t="s">
        <v>137</v>
      </c>
      <c r="E3741" s="273">
        <v>0</v>
      </c>
      <c r="F3741" s="274"/>
      <c r="G3741" s="274">
        <f t="shared" si="14"/>
        <v>0</v>
      </c>
      <c r="H3741" s="274">
        <v>0</v>
      </c>
      <c r="K3741" s="274"/>
    </row>
    <row r="3742" spans="2:11" ht="13.5" customHeight="1">
      <c r="B3742" s="209" t="s">
        <v>1749</v>
      </c>
      <c r="C3742" s="209" t="s">
        <v>2963</v>
      </c>
      <c r="D3742" s="451" t="s">
        <v>138</v>
      </c>
      <c r="E3742" s="273">
        <v>0</v>
      </c>
      <c r="F3742" s="274"/>
      <c r="G3742" s="274">
        <f t="shared" si="14"/>
        <v>0</v>
      </c>
      <c r="H3742" s="274">
        <v>0</v>
      </c>
      <c r="K3742" s="274"/>
    </row>
    <row r="3743" spans="2:11" ht="13.5" customHeight="1">
      <c r="B3743" s="209" t="s">
        <v>1749</v>
      </c>
      <c r="C3743" s="209" t="s">
        <v>2963</v>
      </c>
      <c r="D3743" s="452" t="s">
        <v>139</v>
      </c>
      <c r="E3743" s="273">
        <v>0</v>
      </c>
      <c r="F3743" s="274"/>
      <c r="G3743" s="274">
        <f t="shared" si="14"/>
        <v>0</v>
      </c>
      <c r="H3743" s="274">
        <v>0</v>
      </c>
      <c r="K3743" s="274"/>
    </row>
    <row r="3744" spans="2:11" ht="13.5" customHeight="1">
      <c r="B3744" s="209" t="s">
        <v>1749</v>
      </c>
      <c r="C3744" s="209" t="s">
        <v>2963</v>
      </c>
      <c r="D3744" s="216" t="s">
        <v>140</v>
      </c>
      <c r="E3744" s="273">
        <v>0</v>
      </c>
      <c r="F3744" s="274"/>
      <c r="G3744" s="274">
        <f t="shared" si="14"/>
        <v>0</v>
      </c>
      <c r="H3744" s="274">
        <v>0</v>
      </c>
      <c r="K3744" s="274"/>
    </row>
    <row r="3745" spans="2:11" ht="13.5" customHeight="1">
      <c r="B3745" s="209" t="s">
        <v>1749</v>
      </c>
      <c r="C3745" s="209" t="s">
        <v>2963</v>
      </c>
      <c r="D3745" s="453" t="s">
        <v>141</v>
      </c>
      <c r="E3745" s="273">
        <v>0</v>
      </c>
      <c r="F3745" s="274"/>
      <c r="G3745" s="274">
        <f t="shared" si="14"/>
        <v>0</v>
      </c>
      <c r="H3745" s="274">
        <v>0</v>
      </c>
      <c r="K3745" s="274"/>
    </row>
    <row r="3746" spans="2:11" ht="13.5" customHeight="1">
      <c r="B3746" s="209" t="s">
        <v>1845</v>
      </c>
      <c r="C3746" s="209" t="s">
        <v>2964</v>
      </c>
      <c r="D3746" s="446" t="s">
        <v>133</v>
      </c>
      <c r="E3746" s="273">
        <v>0</v>
      </c>
      <c r="F3746" s="274"/>
      <c r="G3746" s="274">
        <f t="shared" si="14"/>
        <v>0</v>
      </c>
      <c r="H3746" s="274">
        <v>0</v>
      </c>
      <c r="K3746" s="274"/>
    </row>
    <row r="3747" spans="2:11" ht="13.5" customHeight="1">
      <c r="B3747" s="209" t="s">
        <v>1845</v>
      </c>
      <c r="C3747" s="209" t="s">
        <v>2964</v>
      </c>
      <c r="D3747" s="447" t="s">
        <v>134</v>
      </c>
      <c r="E3747" s="273">
        <v>0</v>
      </c>
      <c r="F3747" s="274"/>
      <c r="G3747" s="274">
        <f t="shared" si="14"/>
        <v>0</v>
      </c>
      <c r="H3747" s="274">
        <v>0</v>
      </c>
      <c r="K3747" s="274"/>
    </row>
    <row r="3748" spans="2:11" ht="13.5" customHeight="1">
      <c r="B3748" s="209" t="s">
        <v>1845</v>
      </c>
      <c r="C3748" s="209" t="s">
        <v>2964</v>
      </c>
      <c r="D3748" s="448" t="s">
        <v>135</v>
      </c>
      <c r="E3748" s="273">
        <v>0</v>
      </c>
      <c r="F3748" s="274"/>
      <c r="G3748" s="274">
        <f t="shared" si="14"/>
        <v>0</v>
      </c>
      <c r="H3748" s="274">
        <v>0</v>
      </c>
      <c r="K3748" s="274"/>
    </row>
    <row r="3749" spans="2:11" ht="13.5" customHeight="1">
      <c r="B3749" s="209" t="s">
        <v>1845</v>
      </c>
      <c r="C3749" s="209" t="s">
        <v>2964</v>
      </c>
      <c r="D3749" s="449" t="s">
        <v>136</v>
      </c>
      <c r="E3749" s="273">
        <v>0</v>
      </c>
      <c r="F3749" s="274"/>
      <c r="G3749" s="274">
        <f t="shared" si="14"/>
        <v>0</v>
      </c>
      <c r="H3749" s="274">
        <v>0</v>
      </c>
      <c r="K3749" s="274"/>
    </row>
    <row r="3750" spans="2:11" ht="13.5" customHeight="1">
      <c r="B3750" s="209" t="s">
        <v>1845</v>
      </c>
      <c r="C3750" s="209" t="s">
        <v>2964</v>
      </c>
      <c r="D3750" s="450" t="s">
        <v>137</v>
      </c>
      <c r="E3750" s="273">
        <v>0</v>
      </c>
      <c r="F3750" s="274"/>
      <c r="G3750" s="274">
        <f t="shared" si="14"/>
        <v>0</v>
      </c>
      <c r="H3750" s="274">
        <v>0</v>
      </c>
      <c r="K3750" s="274"/>
    </row>
    <row r="3751" spans="2:11" ht="13.5" customHeight="1">
      <c r="B3751" s="209" t="s">
        <v>1845</v>
      </c>
      <c r="C3751" s="209" t="s">
        <v>2964</v>
      </c>
      <c r="D3751" s="451" t="s">
        <v>138</v>
      </c>
      <c r="E3751" s="273">
        <v>0</v>
      </c>
      <c r="F3751" s="274"/>
      <c r="G3751" s="274">
        <f t="shared" si="14"/>
        <v>0</v>
      </c>
      <c r="H3751" s="274">
        <v>0</v>
      </c>
      <c r="K3751" s="274"/>
    </row>
    <row r="3752" spans="2:11" ht="13.5" customHeight="1">
      <c r="B3752" s="209" t="s">
        <v>1845</v>
      </c>
      <c r="C3752" s="209" t="s">
        <v>2964</v>
      </c>
      <c r="D3752" s="452" t="s">
        <v>139</v>
      </c>
      <c r="E3752" s="273">
        <v>0</v>
      </c>
      <c r="F3752" s="274"/>
      <c r="G3752" s="274">
        <f t="shared" si="14"/>
        <v>0</v>
      </c>
      <c r="H3752" s="274">
        <v>0</v>
      </c>
      <c r="K3752" s="274"/>
    </row>
    <row r="3753" spans="2:11" ht="13.5" customHeight="1">
      <c r="B3753" s="209" t="s">
        <v>1845</v>
      </c>
      <c r="C3753" s="209" t="s">
        <v>2964</v>
      </c>
      <c r="D3753" s="216" t="s">
        <v>140</v>
      </c>
      <c r="E3753" s="273">
        <v>0</v>
      </c>
      <c r="F3753" s="274"/>
      <c r="G3753" s="274">
        <f t="shared" si="14"/>
        <v>0</v>
      </c>
      <c r="H3753" s="274">
        <v>0</v>
      </c>
      <c r="K3753" s="274"/>
    </row>
    <row r="3754" spans="2:11" ht="13.5" customHeight="1">
      <c r="B3754" s="209" t="s">
        <v>1845</v>
      </c>
      <c r="C3754" s="209" t="s">
        <v>2964</v>
      </c>
      <c r="D3754" s="453" t="s">
        <v>141</v>
      </c>
      <c r="E3754" s="273">
        <v>0</v>
      </c>
      <c r="F3754" s="274"/>
      <c r="G3754" s="274">
        <f t="shared" si="14"/>
        <v>0</v>
      </c>
      <c r="H3754" s="274">
        <v>0</v>
      </c>
      <c r="K3754" s="274"/>
    </row>
    <row r="3755" spans="2:11" ht="13.5" customHeight="1">
      <c r="B3755" s="209" t="s">
        <v>1812</v>
      </c>
      <c r="C3755" s="209" t="s">
        <v>2965</v>
      </c>
      <c r="D3755" s="446" t="s">
        <v>133</v>
      </c>
      <c r="E3755" s="273">
        <v>0</v>
      </c>
      <c r="F3755" s="274"/>
      <c r="G3755" s="274">
        <f t="shared" si="14"/>
        <v>0</v>
      </c>
      <c r="H3755" s="274">
        <v>0</v>
      </c>
      <c r="K3755" s="274"/>
    </row>
    <row r="3756" spans="2:11" ht="13.5" customHeight="1">
      <c r="B3756" s="209" t="s">
        <v>1812</v>
      </c>
      <c r="C3756" s="209" t="s">
        <v>2965</v>
      </c>
      <c r="D3756" s="447" t="s">
        <v>134</v>
      </c>
      <c r="E3756" s="273">
        <v>0</v>
      </c>
      <c r="F3756" s="274"/>
      <c r="G3756" s="274">
        <f t="shared" si="14"/>
        <v>0</v>
      </c>
      <c r="H3756" s="274">
        <v>0</v>
      </c>
      <c r="K3756" s="274"/>
    </row>
    <row r="3757" spans="2:11" ht="13.5" customHeight="1">
      <c r="B3757" s="209" t="s">
        <v>1812</v>
      </c>
      <c r="C3757" s="209" t="s">
        <v>2965</v>
      </c>
      <c r="D3757" s="448" t="s">
        <v>135</v>
      </c>
      <c r="E3757" s="273">
        <v>0</v>
      </c>
      <c r="F3757" s="274"/>
      <c r="G3757" s="274">
        <f t="shared" si="14"/>
        <v>0</v>
      </c>
      <c r="H3757" s="274">
        <v>0</v>
      </c>
      <c r="K3757" s="274"/>
    </row>
    <row r="3758" spans="2:11" ht="13.5" customHeight="1">
      <c r="B3758" s="209" t="s">
        <v>1812</v>
      </c>
      <c r="C3758" s="209" t="s">
        <v>2965</v>
      </c>
      <c r="D3758" s="449" t="s">
        <v>136</v>
      </c>
      <c r="E3758" s="273">
        <v>0</v>
      </c>
      <c r="F3758" s="274"/>
      <c r="G3758" s="274">
        <f t="shared" si="14"/>
        <v>0</v>
      </c>
      <c r="H3758" s="274">
        <v>0</v>
      </c>
      <c r="K3758" s="274"/>
    </row>
    <row r="3759" spans="2:11" ht="13.5" customHeight="1">
      <c r="B3759" s="209" t="s">
        <v>1812</v>
      </c>
      <c r="C3759" s="209" t="s">
        <v>2965</v>
      </c>
      <c r="D3759" s="450" t="s">
        <v>137</v>
      </c>
      <c r="E3759" s="273">
        <v>0</v>
      </c>
      <c r="F3759" s="274"/>
      <c r="G3759" s="274">
        <f t="shared" si="14"/>
        <v>0</v>
      </c>
      <c r="H3759" s="274">
        <v>0</v>
      </c>
      <c r="K3759" s="274"/>
    </row>
    <row r="3760" spans="2:11" ht="13.5" customHeight="1">
      <c r="B3760" s="209" t="s">
        <v>1812</v>
      </c>
      <c r="C3760" s="209" t="s">
        <v>2965</v>
      </c>
      <c r="D3760" s="451" t="s">
        <v>138</v>
      </c>
      <c r="E3760" s="273">
        <v>0</v>
      </c>
      <c r="F3760" s="274"/>
      <c r="G3760" s="274">
        <f t="shared" si="14"/>
        <v>0</v>
      </c>
      <c r="H3760" s="274">
        <v>0</v>
      </c>
      <c r="K3760" s="274"/>
    </row>
    <row r="3761" spans="2:11" ht="13.5" customHeight="1">
      <c r="B3761" s="209" t="s">
        <v>1812</v>
      </c>
      <c r="C3761" s="209" t="s">
        <v>2965</v>
      </c>
      <c r="D3761" s="452" t="s">
        <v>139</v>
      </c>
      <c r="E3761" s="273">
        <v>0</v>
      </c>
      <c r="F3761" s="274"/>
      <c r="G3761" s="274">
        <f t="shared" si="14"/>
        <v>0</v>
      </c>
      <c r="H3761" s="274">
        <v>0</v>
      </c>
      <c r="K3761" s="274"/>
    </row>
    <row r="3762" spans="2:11" ht="13.5" customHeight="1">
      <c r="B3762" s="209" t="s">
        <v>1812</v>
      </c>
      <c r="C3762" s="209" t="s">
        <v>2965</v>
      </c>
      <c r="D3762" s="216" t="s">
        <v>140</v>
      </c>
      <c r="E3762" s="273">
        <v>0</v>
      </c>
      <c r="F3762" s="274"/>
      <c r="G3762" s="274">
        <f t="shared" si="14"/>
        <v>0</v>
      </c>
      <c r="H3762" s="274">
        <v>0</v>
      </c>
      <c r="K3762" s="274"/>
    </row>
    <row r="3763" spans="2:11" ht="13.5" customHeight="1">
      <c r="B3763" s="209" t="s">
        <v>1812</v>
      </c>
      <c r="C3763" s="209" t="s">
        <v>2965</v>
      </c>
      <c r="D3763" s="453" t="s">
        <v>141</v>
      </c>
      <c r="E3763" s="273">
        <v>0</v>
      </c>
      <c r="F3763" s="274"/>
      <c r="G3763" s="274">
        <f t="shared" si="14"/>
        <v>0</v>
      </c>
      <c r="H3763" s="274">
        <v>0</v>
      </c>
      <c r="K3763" s="274"/>
    </row>
    <row r="3764" spans="2:11" ht="13.5" customHeight="1">
      <c r="B3764" s="209" t="s">
        <v>1843</v>
      </c>
      <c r="C3764" s="209" t="s">
        <v>2966</v>
      </c>
      <c r="D3764" s="446" t="s">
        <v>133</v>
      </c>
      <c r="E3764" s="273">
        <v>0</v>
      </c>
      <c r="F3764" s="274"/>
      <c r="G3764" s="274">
        <f t="shared" si="14"/>
        <v>0</v>
      </c>
      <c r="H3764" s="274">
        <v>0</v>
      </c>
      <c r="K3764" s="274"/>
    </row>
    <row r="3765" spans="2:11" ht="13.5" customHeight="1">
      <c r="B3765" s="209" t="s">
        <v>1843</v>
      </c>
      <c r="C3765" s="209" t="s">
        <v>2966</v>
      </c>
      <c r="D3765" s="447" t="s">
        <v>134</v>
      </c>
      <c r="E3765" s="273">
        <v>0</v>
      </c>
      <c r="F3765" s="274"/>
      <c r="G3765" s="274">
        <f t="shared" si="14"/>
        <v>0</v>
      </c>
      <c r="H3765" s="274">
        <v>0</v>
      </c>
      <c r="K3765" s="274"/>
    </row>
    <row r="3766" spans="2:11" ht="13.5" customHeight="1">
      <c r="B3766" s="209" t="s">
        <v>1843</v>
      </c>
      <c r="C3766" s="209" t="s">
        <v>2966</v>
      </c>
      <c r="D3766" s="448" t="s">
        <v>135</v>
      </c>
      <c r="E3766" s="273">
        <v>0</v>
      </c>
      <c r="F3766" s="274"/>
      <c r="G3766" s="274">
        <f t="shared" si="14"/>
        <v>0</v>
      </c>
      <c r="H3766" s="274">
        <v>0</v>
      </c>
      <c r="K3766" s="274"/>
    </row>
    <row r="3767" spans="2:11" ht="13.5" customHeight="1">
      <c r="B3767" s="209" t="s">
        <v>1843</v>
      </c>
      <c r="C3767" s="209" t="s">
        <v>2966</v>
      </c>
      <c r="D3767" s="449" t="s">
        <v>136</v>
      </c>
      <c r="E3767" s="273">
        <v>0</v>
      </c>
      <c r="F3767" s="274"/>
      <c r="G3767" s="274">
        <f t="shared" si="14"/>
        <v>0</v>
      </c>
      <c r="H3767" s="274">
        <v>0</v>
      </c>
      <c r="K3767" s="274"/>
    </row>
    <row r="3768" spans="2:11" ht="13.5" customHeight="1">
      <c r="B3768" s="209" t="s">
        <v>1843</v>
      </c>
      <c r="C3768" s="209" t="s">
        <v>2966</v>
      </c>
      <c r="D3768" s="450" t="s">
        <v>137</v>
      </c>
      <c r="E3768" s="273">
        <v>0</v>
      </c>
      <c r="F3768" s="274"/>
      <c r="G3768" s="274">
        <f t="shared" si="14"/>
        <v>0</v>
      </c>
      <c r="H3768" s="274">
        <v>0</v>
      </c>
      <c r="K3768" s="274"/>
    </row>
    <row r="3769" spans="2:11" ht="13.5" customHeight="1">
      <c r="B3769" s="209" t="s">
        <v>1843</v>
      </c>
      <c r="C3769" s="209" t="s">
        <v>2966</v>
      </c>
      <c r="D3769" s="451" t="s">
        <v>138</v>
      </c>
      <c r="E3769" s="273">
        <v>0</v>
      </c>
      <c r="F3769" s="274"/>
      <c r="G3769" s="274">
        <f t="shared" si="14"/>
        <v>0</v>
      </c>
      <c r="H3769" s="274">
        <v>0</v>
      </c>
      <c r="K3769" s="274"/>
    </row>
    <row r="3770" spans="2:11" ht="13.5" customHeight="1">
      <c r="B3770" s="209" t="s">
        <v>1843</v>
      </c>
      <c r="C3770" s="209" t="s">
        <v>2966</v>
      </c>
      <c r="D3770" s="452" t="s">
        <v>139</v>
      </c>
      <c r="E3770" s="273">
        <v>0</v>
      </c>
      <c r="F3770" s="274"/>
      <c r="G3770" s="274">
        <f t="shared" si="14"/>
        <v>0</v>
      </c>
      <c r="H3770" s="274">
        <v>0</v>
      </c>
      <c r="K3770" s="274"/>
    </row>
    <row r="3771" spans="2:11" ht="13.5" customHeight="1">
      <c r="B3771" s="209" t="s">
        <v>1843</v>
      </c>
      <c r="C3771" s="209" t="s">
        <v>2966</v>
      </c>
      <c r="D3771" s="216" t="s">
        <v>140</v>
      </c>
      <c r="E3771" s="273">
        <v>0</v>
      </c>
      <c r="F3771" s="274"/>
      <c r="G3771" s="274">
        <f t="shared" si="14"/>
        <v>0</v>
      </c>
      <c r="H3771" s="274">
        <v>0</v>
      </c>
      <c r="K3771" s="274"/>
    </row>
    <row r="3772" spans="2:11" ht="13.5" customHeight="1">
      <c r="B3772" s="209" t="s">
        <v>1843</v>
      </c>
      <c r="C3772" s="209" t="s">
        <v>2966</v>
      </c>
      <c r="D3772" s="453" t="s">
        <v>141</v>
      </c>
      <c r="E3772" s="273">
        <v>0</v>
      </c>
      <c r="F3772" s="274"/>
      <c r="G3772" s="274">
        <f t="shared" si="14"/>
        <v>0</v>
      </c>
      <c r="H3772" s="274">
        <v>0</v>
      </c>
      <c r="K3772" s="274"/>
    </row>
    <row r="3773" spans="2:11" ht="13.5" customHeight="1">
      <c r="B3773" s="209" t="s">
        <v>1832</v>
      </c>
      <c r="C3773" s="209" t="s">
        <v>2967</v>
      </c>
      <c r="D3773" s="446" t="s">
        <v>133</v>
      </c>
      <c r="E3773" s="273">
        <v>0</v>
      </c>
      <c r="F3773" s="274"/>
      <c r="G3773" s="274">
        <f t="shared" si="14"/>
        <v>0</v>
      </c>
      <c r="H3773" s="274">
        <v>0</v>
      </c>
      <c r="K3773" s="274"/>
    </row>
    <row r="3774" spans="2:11" ht="13.5" customHeight="1">
      <c r="B3774" s="209" t="s">
        <v>1832</v>
      </c>
      <c r="C3774" s="209" t="s">
        <v>2967</v>
      </c>
      <c r="D3774" s="447" t="s">
        <v>134</v>
      </c>
      <c r="E3774" s="273">
        <v>0</v>
      </c>
      <c r="F3774" s="274"/>
      <c r="G3774" s="274">
        <f t="shared" si="14"/>
        <v>0</v>
      </c>
      <c r="H3774" s="274">
        <v>0</v>
      </c>
      <c r="K3774" s="274"/>
    </row>
    <row r="3775" spans="2:11" ht="13.5" customHeight="1">
      <c r="B3775" s="209" t="s">
        <v>1832</v>
      </c>
      <c r="C3775" s="209" t="s">
        <v>2967</v>
      </c>
      <c r="D3775" s="448" t="s">
        <v>135</v>
      </c>
      <c r="E3775" s="273">
        <v>0</v>
      </c>
      <c r="F3775" s="274"/>
      <c r="G3775" s="274">
        <f t="shared" si="14"/>
        <v>0</v>
      </c>
      <c r="H3775" s="274">
        <v>0</v>
      </c>
      <c r="K3775" s="274"/>
    </row>
    <row r="3776" spans="2:11" ht="13.5" customHeight="1">
      <c r="B3776" s="209" t="s">
        <v>1832</v>
      </c>
      <c r="C3776" s="209" t="s">
        <v>2967</v>
      </c>
      <c r="D3776" s="449" t="s">
        <v>136</v>
      </c>
      <c r="E3776" s="273">
        <v>0</v>
      </c>
      <c r="F3776" s="274"/>
      <c r="G3776" s="274">
        <f t="shared" si="14"/>
        <v>0</v>
      </c>
      <c r="H3776" s="274">
        <v>0</v>
      </c>
      <c r="K3776" s="274"/>
    </row>
    <row r="3777" spans="2:11" ht="13.5" customHeight="1">
      <c r="B3777" s="209" t="s">
        <v>1832</v>
      </c>
      <c r="C3777" s="209" t="s">
        <v>2967</v>
      </c>
      <c r="D3777" s="450" t="s">
        <v>137</v>
      </c>
      <c r="E3777" s="273">
        <v>0</v>
      </c>
      <c r="F3777" s="274"/>
      <c r="G3777" s="274">
        <f t="shared" si="14"/>
        <v>0</v>
      </c>
      <c r="H3777" s="274">
        <v>0</v>
      </c>
      <c r="K3777" s="274"/>
    </row>
    <row r="3778" spans="2:11" ht="13.5" customHeight="1">
      <c r="B3778" s="209" t="s">
        <v>1832</v>
      </c>
      <c r="C3778" s="209" t="s">
        <v>2967</v>
      </c>
      <c r="D3778" s="451" t="s">
        <v>138</v>
      </c>
      <c r="E3778" s="273">
        <v>0</v>
      </c>
      <c r="F3778" s="274"/>
      <c r="G3778" s="274">
        <f t="shared" si="14"/>
        <v>0</v>
      </c>
      <c r="H3778" s="274">
        <v>0</v>
      </c>
      <c r="K3778" s="274"/>
    </row>
    <row r="3779" spans="2:11" ht="13.5" customHeight="1">
      <c r="B3779" s="209" t="s">
        <v>1832</v>
      </c>
      <c r="C3779" s="209" t="s">
        <v>2967</v>
      </c>
      <c r="D3779" s="452" t="s">
        <v>139</v>
      </c>
      <c r="E3779" s="273">
        <v>0</v>
      </c>
      <c r="F3779" s="274"/>
      <c r="G3779" s="274">
        <f t="shared" si="14"/>
        <v>0</v>
      </c>
      <c r="H3779" s="274">
        <v>0</v>
      </c>
      <c r="K3779" s="274"/>
    </row>
    <row r="3780" spans="2:11" ht="13.5" customHeight="1">
      <c r="B3780" s="209" t="s">
        <v>1832</v>
      </c>
      <c r="C3780" s="209" t="s">
        <v>2967</v>
      </c>
      <c r="D3780" s="216" t="s">
        <v>140</v>
      </c>
      <c r="E3780" s="273">
        <v>0</v>
      </c>
      <c r="F3780" s="274"/>
      <c r="G3780" s="274">
        <f t="shared" si="14"/>
        <v>0</v>
      </c>
      <c r="H3780" s="274">
        <v>0</v>
      </c>
      <c r="K3780" s="274"/>
    </row>
    <row r="3781" spans="2:11" ht="13.5" customHeight="1">
      <c r="B3781" s="209" t="s">
        <v>1832</v>
      </c>
      <c r="C3781" s="209" t="s">
        <v>2967</v>
      </c>
      <c r="D3781" s="453" t="s">
        <v>141</v>
      </c>
      <c r="E3781" s="273">
        <v>0</v>
      </c>
      <c r="F3781" s="274"/>
      <c r="G3781" s="274">
        <f t="shared" si="14"/>
        <v>0</v>
      </c>
      <c r="H3781" s="274">
        <v>0</v>
      </c>
      <c r="K3781" s="274"/>
    </row>
    <row r="3782" spans="2:11" ht="13.5" customHeight="1">
      <c r="B3782" s="209" t="s">
        <v>1752</v>
      </c>
      <c r="C3782" s="209" t="s">
        <v>2968</v>
      </c>
      <c r="D3782" s="446" t="s">
        <v>133</v>
      </c>
      <c r="E3782" s="273">
        <v>0</v>
      </c>
      <c r="F3782" s="274"/>
      <c r="G3782" s="274">
        <f t="shared" si="14"/>
        <v>0</v>
      </c>
      <c r="H3782" s="274">
        <v>0</v>
      </c>
      <c r="K3782" s="274"/>
    </row>
    <row r="3783" spans="2:11" ht="13.5" customHeight="1">
      <c r="B3783" s="209" t="s">
        <v>1752</v>
      </c>
      <c r="C3783" s="209" t="s">
        <v>2968</v>
      </c>
      <c r="D3783" s="447" t="s">
        <v>134</v>
      </c>
      <c r="E3783" s="273">
        <v>0</v>
      </c>
      <c r="F3783" s="274"/>
      <c r="G3783" s="274">
        <f t="shared" si="14"/>
        <v>0</v>
      </c>
      <c r="H3783" s="274">
        <v>0</v>
      </c>
      <c r="K3783" s="274"/>
    </row>
    <row r="3784" spans="2:11" ht="13.5" customHeight="1">
      <c r="B3784" s="209" t="s">
        <v>1752</v>
      </c>
      <c r="C3784" s="209" t="s">
        <v>2968</v>
      </c>
      <c r="D3784" s="448" t="s">
        <v>135</v>
      </c>
      <c r="E3784" s="273">
        <v>0</v>
      </c>
      <c r="F3784" s="274"/>
      <c r="G3784" s="274">
        <f t="shared" si="14"/>
        <v>0</v>
      </c>
      <c r="H3784" s="274">
        <v>0</v>
      </c>
      <c r="K3784" s="274"/>
    </row>
    <row r="3785" spans="2:11" ht="13.5" customHeight="1">
      <c r="B3785" s="209" t="s">
        <v>1752</v>
      </c>
      <c r="C3785" s="209" t="s">
        <v>2968</v>
      </c>
      <c r="D3785" s="449" t="s">
        <v>136</v>
      </c>
      <c r="E3785" s="273">
        <v>0</v>
      </c>
      <c r="F3785" s="274"/>
      <c r="G3785" s="274">
        <f t="shared" si="14"/>
        <v>0</v>
      </c>
      <c r="H3785" s="274">
        <v>0</v>
      </c>
      <c r="K3785" s="274"/>
    </row>
    <row r="3786" spans="2:11" ht="13.5" customHeight="1">
      <c r="B3786" s="209" t="s">
        <v>1752</v>
      </c>
      <c r="C3786" s="209" t="s">
        <v>2968</v>
      </c>
      <c r="D3786" s="450" t="s">
        <v>137</v>
      </c>
      <c r="E3786" s="273">
        <v>0</v>
      </c>
      <c r="F3786" s="274"/>
      <c r="G3786" s="274">
        <f t="shared" si="14"/>
        <v>0</v>
      </c>
      <c r="H3786" s="274">
        <v>0</v>
      </c>
      <c r="K3786" s="274"/>
    </row>
    <row r="3787" spans="2:11" ht="13.5" customHeight="1">
      <c r="B3787" s="209" t="s">
        <v>1752</v>
      </c>
      <c r="C3787" s="209" t="s">
        <v>2968</v>
      </c>
      <c r="D3787" s="451" t="s">
        <v>138</v>
      </c>
      <c r="E3787" s="273">
        <v>0</v>
      </c>
      <c r="F3787" s="274"/>
      <c r="G3787" s="274">
        <f t="shared" si="14"/>
        <v>0</v>
      </c>
      <c r="H3787" s="274">
        <v>0</v>
      </c>
      <c r="K3787" s="274"/>
    </row>
    <row r="3788" spans="2:11" ht="13.5" customHeight="1">
      <c r="B3788" s="209" t="s">
        <v>1752</v>
      </c>
      <c r="C3788" s="209" t="s">
        <v>2968</v>
      </c>
      <c r="D3788" s="452" t="s">
        <v>139</v>
      </c>
      <c r="E3788" s="273">
        <v>0</v>
      </c>
      <c r="F3788" s="274"/>
      <c r="G3788" s="274">
        <f t="shared" si="14"/>
        <v>0</v>
      </c>
      <c r="H3788" s="274">
        <v>0</v>
      </c>
      <c r="K3788" s="274"/>
    </row>
    <row r="3789" spans="2:11" ht="13.5" customHeight="1">
      <c r="B3789" s="209" t="s">
        <v>1752</v>
      </c>
      <c r="C3789" s="209" t="s">
        <v>2968</v>
      </c>
      <c r="D3789" s="216" t="s">
        <v>140</v>
      </c>
      <c r="E3789" s="273">
        <v>0</v>
      </c>
      <c r="F3789" s="274"/>
      <c r="G3789" s="274">
        <f t="shared" si="14"/>
        <v>0</v>
      </c>
      <c r="H3789" s="274">
        <v>0</v>
      </c>
      <c r="K3789" s="274"/>
    </row>
    <row r="3790" spans="2:11" ht="13.5" customHeight="1">
      <c r="B3790" s="209" t="s">
        <v>1752</v>
      </c>
      <c r="C3790" s="209" t="s">
        <v>2968</v>
      </c>
      <c r="D3790" s="453" t="s">
        <v>141</v>
      </c>
      <c r="E3790" s="273">
        <v>0</v>
      </c>
      <c r="F3790" s="274"/>
      <c r="G3790" s="274">
        <f t="shared" si="14"/>
        <v>0</v>
      </c>
      <c r="H3790" s="274">
        <v>0</v>
      </c>
      <c r="K3790" s="274"/>
    </row>
    <row r="3791" spans="2:11" ht="13.5" customHeight="1">
      <c r="B3791" s="209" t="s">
        <v>1743</v>
      </c>
      <c r="C3791" s="209" t="s">
        <v>2969</v>
      </c>
      <c r="D3791" s="446" t="s">
        <v>133</v>
      </c>
      <c r="E3791" s="273">
        <v>0</v>
      </c>
      <c r="F3791" s="274"/>
      <c r="G3791" s="274">
        <f t="shared" si="14"/>
        <v>0</v>
      </c>
      <c r="H3791" s="274">
        <v>0</v>
      </c>
      <c r="K3791" s="274"/>
    </row>
    <row r="3792" spans="2:11" ht="13.5" customHeight="1">
      <c r="B3792" s="209" t="s">
        <v>1743</v>
      </c>
      <c r="C3792" s="209" t="s">
        <v>2969</v>
      </c>
      <c r="D3792" s="447" t="s">
        <v>134</v>
      </c>
      <c r="E3792" s="273">
        <v>0</v>
      </c>
      <c r="F3792" s="274"/>
      <c r="G3792" s="274">
        <f t="shared" si="14"/>
        <v>0</v>
      </c>
      <c r="H3792" s="274">
        <v>0</v>
      </c>
      <c r="K3792" s="274"/>
    </row>
    <row r="3793" spans="2:11" ht="13.5" customHeight="1">
      <c r="B3793" s="209" t="s">
        <v>1743</v>
      </c>
      <c r="C3793" s="209" t="s">
        <v>2969</v>
      </c>
      <c r="D3793" s="448" t="s">
        <v>135</v>
      </c>
      <c r="E3793" s="273">
        <v>0</v>
      </c>
      <c r="F3793" s="274"/>
      <c r="G3793" s="274">
        <f t="shared" si="14"/>
        <v>0</v>
      </c>
      <c r="H3793" s="274">
        <v>0</v>
      </c>
      <c r="K3793" s="274"/>
    </row>
    <row r="3794" spans="2:11" ht="13.5" customHeight="1">
      <c r="B3794" s="209" t="s">
        <v>1743</v>
      </c>
      <c r="C3794" s="209" t="s">
        <v>2969</v>
      </c>
      <c r="D3794" s="449" t="s">
        <v>136</v>
      </c>
      <c r="E3794" s="273">
        <v>0</v>
      </c>
      <c r="F3794" s="274"/>
      <c r="G3794" s="274">
        <f t="shared" si="14"/>
        <v>0</v>
      </c>
      <c r="H3794" s="274">
        <v>0</v>
      </c>
      <c r="K3794" s="274"/>
    </row>
    <row r="3795" spans="2:11" ht="13.5" customHeight="1">
      <c r="B3795" s="209" t="s">
        <v>1743</v>
      </c>
      <c r="C3795" s="209" t="s">
        <v>2969</v>
      </c>
      <c r="D3795" s="450" t="s">
        <v>137</v>
      </c>
      <c r="E3795" s="273">
        <v>0</v>
      </c>
      <c r="F3795" s="274"/>
      <c r="G3795" s="274">
        <f t="shared" si="14"/>
        <v>0</v>
      </c>
      <c r="H3795" s="274">
        <v>0</v>
      </c>
      <c r="K3795" s="274"/>
    </row>
    <row r="3796" spans="2:11" ht="13.5" customHeight="1">
      <c r="B3796" s="209" t="s">
        <v>1743</v>
      </c>
      <c r="C3796" s="209" t="s">
        <v>2969</v>
      </c>
      <c r="D3796" s="451" t="s">
        <v>138</v>
      </c>
      <c r="E3796" s="273">
        <v>0</v>
      </c>
      <c r="F3796" s="274"/>
      <c r="G3796" s="274">
        <f t="shared" si="14"/>
        <v>0</v>
      </c>
      <c r="H3796" s="274">
        <v>0</v>
      </c>
      <c r="K3796" s="274"/>
    </row>
    <row r="3797" spans="2:11" ht="13.5" customHeight="1">
      <c r="B3797" s="209" t="s">
        <v>1743</v>
      </c>
      <c r="C3797" s="209" t="s">
        <v>2969</v>
      </c>
      <c r="D3797" s="452" t="s">
        <v>139</v>
      </c>
      <c r="E3797" s="273">
        <v>0</v>
      </c>
      <c r="F3797" s="274"/>
      <c r="G3797" s="274">
        <f t="shared" si="14"/>
        <v>0</v>
      </c>
      <c r="H3797" s="274">
        <v>0</v>
      </c>
      <c r="K3797" s="274"/>
    </row>
    <row r="3798" spans="2:11" ht="13.5" customHeight="1">
      <c r="B3798" s="209" t="s">
        <v>1743</v>
      </c>
      <c r="C3798" s="209" t="s">
        <v>2969</v>
      </c>
      <c r="D3798" s="216" t="s">
        <v>140</v>
      </c>
      <c r="E3798" s="273">
        <v>0</v>
      </c>
      <c r="F3798" s="274"/>
      <c r="G3798" s="274">
        <f t="shared" si="14"/>
        <v>0</v>
      </c>
      <c r="H3798" s="274">
        <v>0</v>
      </c>
      <c r="K3798" s="274"/>
    </row>
    <row r="3799" spans="2:11" ht="13.5" customHeight="1">
      <c r="B3799" s="209" t="s">
        <v>1743</v>
      </c>
      <c r="C3799" s="209" t="s">
        <v>2969</v>
      </c>
      <c r="D3799" s="453" t="s">
        <v>141</v>
      </c>
      <c r="E3799" s="273">
        <v>0</v>
      </c>
      <c r="F3799" s="274"/>
      <c r="G3799" s="274">
        <f t="shared" si="14"/>
        <v>0</v>
      </c>
      <c r="H3799" s="274">
        <v>0</v>
      </c>
      <c r="K3799" s="274"/>
    </row>
    <row r="3800" spans="2:11" ht="13.5" customHeight="1">
      <c r="B3800" s="209" t="s">
        <v>1570</v>
      </c>
      <c r="C3800" s="209" t="s">
        <v>2970</v>
      </c>
      <c r="D3800" s="446" t="s">
        <v>133</v>
      </c>
      <c r="E3800" s="273">
        <v>0</v>
      </c>
      <c r="F3800" s="274"/>
      <c r="G3800" s="274">
        <f t="shared" si="14"/>
        <v>0</v>
      </c>
      <c r="H3800" s="274">
        <v>0</v>
      </c>
      <c r="K3800" s="274"/>
    </row>
    <row r="3801" spans="2:11" ht="13.5" customHeight="1">
      <c r="B3801" s="209" t="s">
        <v>1570</v>
      </c>
      <c r="C3801" s="209" t="s">
        <v>2970</v>
      </c>
      <c r="D3801" s="447" t="s">
        <v>134</v>
      </c>
      <c r="E3801" s="273">
        <v>0</v>
      </c>
      <c r="F3801" s="274"/>
      <c r="G3801" s="274">
        <f t="shared" si="14"/>
        <v>0</v>
      </c>
      <c r="H3801" s="274">
        <v>0</v>
      </c>
      <c r="K3801" s="274"/>
    </row>
    <row r="3802" spans="2:11" ht="13.5" customHeight="1">
      <c r="B3802" s="209" t="s">
        <v>1570</v>
      </c>
      <c r="C3802" s="209" t="s">
        <v>2970</v>
      </c>
      <c r="D3802" s="448" t="s">
        <v>135</v>
      </c>
      <c r="E3802" s="273">
        <v>0</v>
      </c>
      <c r="F3802" s="274"/>
      <c r="G3802" s="274">
        <f t="shared" si="14"/>
        <v>0</v>
      </c>
      <c r="H3802" s="274">
        <v>0</v>
      </c>
      <c r="K3802" s="274"/>
    </row>
    <row r="3803" spans="2:11" ht="13.5" customHeight="1">
      <c r="B3803" s="209" t="s">
        <v>1570</v>
      </c>
      <c r="C3803" s="209" t="s">
        <v>2970</v>
      </c>
      <c r="D3803" s="449" t="s">
        <v>136</v>
      </c>
      <c r="E3803" s="273">
        <v>0</v>
      </c>
      <c r="F3803" s="274"/>
      <c r="G3803" s="274">
        <f t="shared" si="14"/>
        <v>0</v>
      </c>
      <c r="H3803" s="274">
        <v>0</v>
      </c>
      <c r="K3803" s="274"/>
    </row>
    <row r="3804" spans="2:11" ht="13.5" customHeight="1">
      <c r="B3804" s="209" t="s">
        <v>1570</v>
      </c>
      <c r="C3804" s="209" t="s">
        <v>2970</v>
      </c>
      <c r="D3804" s="450" t="s">
        <v>137</v>
      </c>
      <c r="E3804" s="273">
        <v>0</v>
      </c>
      <c r="F3804" s="274"/>
      <c r="G3804" s="274">
        <f t="shared" si="14"/>
        <v>0</v>
      </c>
      <c r="H3804" s="274">
        <v>0</v>
      </c>
      <c r="K3804" s="274"/>
    </row>
    <row r="3805" spans="2:11" ht="13.5" customHeight="1">
      <c r="B3805" s="209" t="s">
        <v>1570</v>
      </c>
      <c r="C3805" s="209" t="s">
        <v>2970</v>
      </c>
      <c r="D3805" s="451" t="s">
        <v>138</v>
      </c>
      <c r="E3805" s="273">
        <v>0</v>
      </c>
      <c r="F3805" s="274"/>
      <c r="G3805" s="274">
        <f t="shared" si="14"/>
        <v>0</v>
      </c>
      <c r="H3805" s="274">
        <v>0</v>
      </c>
      <c r="K3805" s="274"/>
    </row>
    <row r="3806" spans="2:11" ht="13.5" customHeight="1">
      <c r="B3806" s="209" t="s">
        <v>1570</v>
      </c>
      <c r="C3806" s="209" t="s">
        <v>2970</v>
      </c>
      <c r="D3806" s="452" t="s">
        <v>139</v>
      </c>
      <c r="E3806" s="273">
        <v>0</v>
      </c>
      <c r="F3806" s="274"/>
      <c r="G3806" s="274">
        <f t="shared" si="14"/>
        <v>0</v>
      </c>
      <c r="H3806" s="274">
        <v>0</v>
      </c>
      <c r="K3806" s="274"/>
    </row>
    <row r="3807" spans="2:11" ht="13.5" customHeight="1">
      <c r="B3807" s="209" t="s">
        <v>1570</v>
      </c>
      <c r="C3807" s="209" t="s">
        <v>2970</v>
      </c>
      <c r="D3807" s="216" t="s">
        <v>140</v>
      </c>
      <c r="E3807" s="273">
        <v>0</v>
      </c>
      <c r="F3807" s="274"/>
      <c r="G3807" s="274">
        <f t="shared" si="14"/>
        <v>0</v>
      </c>
      <c r="H3807" s="274">
        <v>0</v>
      </c>
      <c r="K3807" s="274"/>
    </row>
    <row r="3808" spans="2:11" ht="13.5" customHeight="1">
      <c r="B3808" s="209" t="s">
        <v>1570</v>
      </c>
      <c r="C3808" s="209" t="s">
        <v>2970</v>
      </c>
      <c r="D3808" s="453" t="s">
        <v>141</v>
      </c>
      <c r="E3808" s="273">
        <v>0</v>
      </c>
      <c r="F3808" s="274"/>
      <c r="G3808" s="274">
        <f t="shared" si="14"/>
        <v>0</v>
      </c>
      <c r="H3808" s="274">
        <v>0</v>
      </c>
      <c r="K3808" s="274"/>
    </row>
    <row r="3809" spans="2:11" ht="13.5" customHeight="1">
      <c r="B3809" s="209" t="s">
        <v>1814</v>
      </c>
      <c r="C3809" s="209" t="s">
        <v>2971</v>
      </c>
      <c r="D3809" s="446" t="s">
        <v>133</v>
      </c>
      <c r="E3809" s="273">
        <v>0</v>
      </c>
      <c r="F3809" s="274"/>
      <c r="G3809" s="274">
        <f t="shared" si="14"/>
        <v>0</v>
      </c>
      <c r="H3809" s="274">
        <v>0</v>
      </c>
      <c r="K3809" s="274"/>
    </row>
    <row r="3810" spans="2:11" ht="13.5" customHeight="1">
      <c r="B3810" s="209" t="s">
        <v>1814</v>
      </c>
      <c r="C3810" s="209" t="s">
        <v>2971</v>
      </c>
      <c r="D3810" s="447" t="s">
        <v>134</v>
      </c>
      <c r="E3810" s="273">
        <v>0</v>
      </c>
      <c r="F3810" s="274"/>
      <c r="G3810" s="274">
        <f t="shared" si="14"/>
        <v>0</v>
      </c>
      <c r="H3810" s="274">
        <v>0</v>
      </c>
      <c r="K3810" s="274"/>
    </row>
    <row r="3811" spans="2:11" ht="13.5" customHeight="1">
      <c r="B3811" s="209" t="s">
        <v>1814</v>
      </c>
      <c r="C3811" s="209" t="s">
        <v>2971</v>
      </c>
      <c r="D3811" s="448" t="s">
        <v>135</v>
      </c>
      <c r="E3811" s="273">
        <v>0</v>
      </c>
      <c r="F3811" s="274"/>
      <c r="G3811" s="274">
        <f t="shared" si="14"/>
        <v>0</v>
      </c>
      <c r="H3811" s="274">
        <v>0</v>
      </c>
      <c r="K3811" s="274"/>
    </row>
    <row r="3812" spans="2:11" ht="13.5" customHeight="1">
      <c r="B3812" s="209" t="s">
        <v>1814</v>
      </c>
      <c r="C3812" s="209" t="s">
        <v>2971</v>
      </c>
      <c r="D3812" s="449" t="s">
        <v>136</v>
      </c>
      <c r="E3812" s="273">
        <v>0</v>
      </c>
      <c r="F3812" s="274"/>
      <c r="G3812" s="274">
        <f t="shared" si="14"/>
        <v>0</v>
      </c>
      <c r="H3812" s="274">
        <v>0</v>
      </c>
      <c r="K3812" s="274"/>
    </row>
    <row r="3813" spans="2:11" ht="13.5" customHeight="1">
      <c r="B3813" s="209" t="s">
        <v>1814</v>
      </c>
      <c r="C3813" s="209" t="s">
        <v>2971</v>
      </c>
      <c r="D3813" s="450" t="s">
        <v>137</v>
      </c>
      <c r="E3813" s="273">
        <v>0</v>
      </c>
      <c r="F3813" s="274"/>
      <c r="G3813" s="274">
        <f t="shared" si="14"/>
        <v>0</v>
      </c>
      <c r="H3813" s="274">
        <v>0</v>
      </c>
      <c r="K3813" s="274"/>
    </row>
    <row r="3814" spans="2:11" ht="13.5" customHeight="1">
      <c r="B3814" s="209" t="s">
        <v>1814</v>
      </c>
      <c r="C3814" s="209" t="s">
        <v>2971</v>
      </c>
      <c r="D3814" s="451" t="s">
        <v>138</v>
      </c>
      <c r="E3814" s="273">
        <v>0</v>
      </c>
      <c r="F3814" s="274"/>
      <c r="G3814" s="274">
        <f t="shared" si="14"/>
        <v>0</v>
      </c>
      <c r="H3814" s="274">
        <v>0</v>
      </c>
      <c r="K3814" s="274"/>
    </row>
    <row r="3815" spans="2:11" ht="13.5" customHeight="1">
      <c r="B3815" s="209" t="s">
        <v>1814</v>
      </c>
      <c r="C3815" s="209" t="s">
        <v>2971</v>
      </c>
      <c r="D3815" s="452" t="s">
        <v>139</v>
      </c>
      <c r="E3815" s="273">
        <v>0</v>
      </c>
      <c r="F3815" s="274"/>
      <c r="G3815" s="274">
        <f t="shared" si="14"/>
        <v>0</v>
      </c>
      <c r="H3815" s="274">
        <v>0</v>
      </c>
      <c r="K3815" s="274"/>
    </row>
    <row r="3816" spans="2:11" ht="13.5" customHeight="1">
      <c r="B3816" s="209" t="s">
        <v>1814</v>
      </c>
      <c r="C3816" s="209" t="s">
        <v>2971</v>
      </c>
      <c r="D3816" s="216" t="s">
        <v>140</v>
      </c>
      <c r="E3816" s="273">
        <v>0</v>
      </c>
      <c r="F3816" s="274"/>
      <c r="G3816" s="274">
        <f t="shared" si="14"/>
        <v>0</v>
      </c>
      <c r="H3816" s="274">
        <v>0</v>
      </c>
      <c r="K3816" s="274"/>
    </row>
    <row r="3817" spans="2:11" ht="13.5" customHeight="1">
      <c r="B3817" s="209" t="s">
        <v>1814</v>
      </c>
      <c r="C3817" s="209" t="s">
        <v>2971</v>
      </c>
      <c r="D3817" s="453" t="s">
        <v>141</v>
      </c>
      <c r="E3817" s="273">
        <v>0</v>
      </c>
      <c r="F3817" s="274"/>
      <c r="G3817" s="274">
        <f t="shared" si="14"/>
        <v>0</v>
      </c>
      <c r="H3817" s="274">
        <v>0</v>
      </c>
      <c r="K3817" s="274"/>
    </row>
    <row r="3818" spans="2:11" ht="13.5" customHeight="1">
      <c r="B3818" s="209" t="s">
        <v>1468</v>
      </c>
      <c r="C3818" s="209" t="s">
        <v>2972</v>
      </c>
      <c r="D3818" s="446" t="s">
        <v>133</v>
      </c>
      <c r="E3818" s="273">
        <v>0</v>
      </c>
      <c r="F3818" s="274"/>
      <c r="G3818" s="274">
        <f t="shared" si="14"/>
        <v>0</v>
      </c>
      <c r="H3818" s="274">
        <v>0</v>
      </c>
      <c r="K3818" s="274"/>
    </row>
    <row r="3819" spans="2:11" ht="13.5" customHeight="1">
      <c r="B3819" s="209" t="s">
        <v>1468</v>
      </c>
      <c r="C3819" s="209" t="s">
        <v>2972</v>
      </c>
      <c r="D3819" s="447" t="s">
        <v>134</v>
      </c>
      <c r="E3819" s="273">
        <v>0</v>
      </c>
      <c r="F3819" s="274"/>
      <c r="G3819" s="274">
        <f t="shared" si="14"/>
        <v>0</v>
      </c>
      <c r="H3819" s="274">
        <v>0</v>
      </c>
      <c r="K3819" s="274"/>
    </row>
    <row r="3820" spans="2:11" ht="13.5" customHeight="1">
      <c r="B3820" s="209" t="s">
        <v>1468</v>
      </c>
      <c r="C3820" s="209" t="s">
        <v>2972</v>
      </c>
      <c r="D3820" s="448" t="s">
        <v>135</v>
      </c>
      <c r="E3820" s="273">
        <v>0</v>
      </c>
      <c r="F3820" s="274"/>
      <c r="G3820" s="274">
        <f t="shared" si="14"/>
        <v>0</v>
      </c>
      <c r="H3820" s="274">
        <v>0</v>
      </c>
      <c r="K3820" s="274"/>
    </row>
    <row r="3821" spans="2:11" ht="13.5" customHeight="1">
      <c r="B3821" s="209" t="s">
        <v>1468</v>
      </c>
      <c r="C3821" s="209" t="s">
        <v>2972</v>
      </c>
      <c r="D3821" s="449" t="s">
        <v>136</v>
      </c>
      <c r="E3821" s="273">
        <v>0</v>
      </c>
      <c r="F3821" s="274"/>
      <c r="G3821" s="274">
        <f t="shared" si="14"/>
        <v>0</v>
      </c>
      <c r="H3821" s="274">
        <v>0</v>
      </c>
      <c r="K3821" s="274"/>
    </row>
    <row r="3822" spans="2:11" ht="13.5" customHeight="1">
      <c r="B3822" s="209" t="s">
        <v>1468</v>
      </c>
      <c r="C3822" s="209" t="s">
        <v>2972</v>
      </c>
      <c r="D3822" s="450" t="s">
        <v>137</v>
      </c>
      <c r="E3822" s="273">
        <v>0</v>
      </c>
      <c r="F3822" s="274"/>
      <c r="G3822" s="274">
        <f t="shared" si="14"/>
        <v>0</v>
      </c>
      <c r="H3822" s="274">
        <v>0</v>
      </c>
      <c r="K3822" s="274"/>
    </row>
    <row r="3823" spans="2:11" ht="13.5" customHeight="1">
      <c r="B3823" s="209" t="s">
        <v>1468</v>
      </c>
      <c r="C3823" s="209" t="s">
        <v>2972</v>
      </c>
      <c r="D3823" s="451" t="s">
        <v>138</v>
      </c>
      <c r="E3823" s="273">
        <v>0</v>
      </c>
      <c r="F3823" s="274"/>
      <c r="G3823" s="274">
        <f t="shared" si="14"/>
        <v>0</v>
      </c>
      <c r="H3823" s="274">
        <v>0</v>
      </c>
      <c r="K3823" s="274"/>
    </row>
    <row r="3824" spans="2:11" ht="13.5" customHeight="1">
      <c r="B3824" s="209" t="s">
        <v>1468</v>
      </c>
      <c r="C3824" s="209" t="s">
        <v>2972</v>
      </c>
      <c r="D3824" s="452" t="s">
        <v>139</v>
      </c>
      <c r="E3824" s="273">
        <v>0</v>
      </c>
      <c r="F3824" s="274"/>
      <c r="G3824" s="274">
        <f t="shared" si="14"/>
        <v>0</v>
      </c>
      <c r="H3824" s="274">
        <v>0</v>
      </c>
      <c r="K3824" s="274"/>
    </row>
    <row r="3825" spans="2:11" ht="13.5" customHeight="1">
      <c r="B3825" s="209" t="s">
        <v>1468</v>
      </c>
      <c r="C3825" s="209" t="s">
        <v>2972</v>
      </c>
      <c r="D3825" s="216" t="s">
        <v>140</v>
      </c>
      <c r="E3825" s="273">
        <v>0</v>
      </c>
      <c r="F3825" s="274"/>
      <c r="G3825" s="274">
        <f t="shared" si="14"/>
        <v>0</v>
      </c>
      <c r="H3825" s="274">
        <v>0</v>
      </c>
      <c r="K3825" s="274"/>
    </row>
    <row r="3826" spans="2:11" ht="13.5" customHeight="1">
      <c r="B3826" s="209" t="s">
        <v>1468</v>
      </c>
      <c r="C3826" s="209" t="s">
        <v>2972</v>
      </c>
      <c r="D3826" s="453" t="s">
        <v>141</v>
      </c>
      <c r="E3826" s="273">
        <v>0</v>
      </c>
      <c r="F3826" s="274"/>
      <c r="G3826" s="274">
        <f t="shared" si="14"/>
        <v>0</v>
      </c>
      <c r="H3826" s="274">
        <v>0</v>
      </c>
      <c r="K3826" s="274"/>
    </row>
    <row r="3827" spans="2:11" ht="13.5" customHeight="1">
      <c r="B3827" s="209" t="s">
        <v>1599</v>
      </c>
      <c r="C3827" s="209" t="s">
        <v>2973</v>
      </c>
      <c r="D3827" s="446" t="s">
        <v>133</v>
      </c>
      <c r="E3827" s="273">
        <v>0</v>
      </c>
      <c r="F3827" s="274"/>
      <c r="G3827" s="274">
        <f t="shared" ref="G3827:G4081" si="15">E3827*F3827</f>
        <v>0</v>
      </c>
      <c r="H3827" s="274">
        <v>0</v>
      </c>
      <c r="K3827" s="274"/>
    </row>
    <row r="3828" spans="2:11" ht="13.5" customHeight="1">
      <c r="B3828" s="209" t="s">
        <v>1599</v>
      </c>
      <c r="C3828" s="209" t="s">
        <v>2973</v>
      </c>
      <c r="D3828" s="447" t="s">
        <v>134</v>
      </c>
      <c r="E3828" s="273">
        <v>0</v>
      </c>
      <c r="F3828" s="274"/>
      <c r="G3828" s="274">
        <f t="shared" si="15"/>
        <v>0</v>
      </c>
      <c r="H3828" s="274">
        <v>0</v>
      </c>
      <c r="K3828" s="274"/>
    </row>
    <row r="3829" spans="2:11" ht="13.5" customHeight="1">
      <c r="B3829" s="209" t="s">
        <v>1599</v>
      </c>
      <c r="C3829" s="209" t="s">
        <v>2973</v>
      </c>
      <c r="D3829" s="448" t="s">
        <v>135</v>
      </c>
      <c r="E3829" s="273">
        <v>0</v>
      </c>
      <c r="F3829" s="274"/>
      <c r="G3829" s="274">
        <f t="shared" si="15"/>
        <v>0</v>
      </c>
      <c r="H3829" s="274">
        <v>0</v>
      </c>
      <c r="K3829" s="274"/>
    </row>
    <row r="3830" spans="2:11" ht="13.5" customHeight="1">
      <c r="B3830" s="209" t="s">
        <v>1599</v>
      </c>
      <c r="C3830" s="209" t="s">
        <v>2973</v>
      </c>
      <c r="D3830" s="449" t="s">
        <v>136</v>
      </c>
      <c r="E3830" s="273">
        <v>0</v>
      </c>
      <c r="F3830" s="274"/>
      <c r="G3830" s="274">
        <f t="shared" si="15"/>
        <v>0</v>
      </c>
      <c r="H3830" s="274">
        <v>0</v>
      </c>
      <c r="K3830" s="274"/>
    </row>
    <row r="3831" spans="2:11" ht="13.5" customHeight="1">
      <c r="B3831" s="209" t="s">
        <v>1599</v>
      </c>
      <c r="C3831" s="209" t="s">
        <v>2973</v>
      </c>
      <c r="D3831" s="450" t="s">
        <v>137</v>
      </c>
      <c r="E3831" s="273">
        <v>0</v>
      </c>
      <c r="F3831" s="274"/>
      <c r="G3831" s="274">
        <f t="shared" si="15"/>
        <v>0</v>
      </c>
      <c r="H3831" s="274">
        <v>0</v>
      </c>
      <c r="K3831" s="274"/>
    </row>
    <row r="3832" spans="2:11" ht="13.5" customHeight="1">
      <c r="B3832" s="209" t="s">
        <v>1599</v>
      </c>
      <c r="C3832" s="209" t="s">
        <v>2973</v>
      </c>
      <c r="D3832" s="451" t="s">
        <v>138</v>
      </c>
      <c r="E3832" s="273">
        <v>0</v>
      </c>
      <c r="F3832" s="274"/>
      <c r="G3832" s="274">
        <f t="shared" si="15"/>
        <v>0</v>
      </c>
      <c r="H3832" s="274">
        <v>0</v>
      </c>
      <c r="K3832" s="274"/>
    </row>
    <row r="3833" spans="2:11" ht="13.5" customHeight="1">
      <c r="B3833" s="209" t="s">
        <v>1599</v>
      </c>
      <c r="C3833" s="209" t="s">
        <v>2973</v>
      </c>
      <c r="D3833" s="452" t="s">
        <v>139</v>
      </c>
      <c r="E3833" s="273">
        <v>0</v>
      </c>
      <c r="F3833" s="274"/>
      <c r="G3833" s="274">
        <f t="shared" si="15"/>
        <v>0</v>
      </c>
      <c r="H3833" s="274">
        <v>0</v>
      </c>
      <c r="K3833" s="274"/>
    </row>
    <row r="3834" spans="2:11" ht="13.5" customHeight="1">
      <c r="B3834" s="209" t="s">
        <v>1599</v>
      </c>
      <c r="C3834" s="209" t="s">
        <v>2973</v>
      </c>
      <c r="D3834" s="216" t="s">
        <v>140</v>
      </c>
      <c r="E3834" s="273">
        <v>0</v>
      </c>
      <c r="F3834" s="274"/>
      <c r="G3834" s="274">
        <f t="shared" si="15"/>
        <v>0</v>
      </c>
      <c r="H3834" s="274">
        <v>0</v>
      </c>
      <c r="K3834" s="274"/>
    </row>
    <row r="3835" spans="2:11" ht="13.5" customHeight="1">
      <c r="B3835" s="209" t="s">
        <v>1599</v>
      </c>
      <c r="C3835" s="209" t="s">
        <v>2973</v>
      </c>
      <c r="D3835" s="453" t="s">
        <v>141</v>
      </c>
      <c r="E3835" s="273">
        <v>0</v>
      </c>
      <c r="F3835" s="274"/>
      <c r="G3835" s="274">
        <f t="shared" si="15"/>
        <v>0</v>
      </c>
      <c r="H3835" s="274">
        <v>0</v>
      </c>
      <c r="K3835" s="274"/>
    </row>
    <row r="3836" spans="2:11" ht="13.5" customHeight="1">
      <c r="B3836" s="209" t="s">
        <v>1733</v>
      </c>
      <c r="C3836" s="209" t="s">
        <v>2974</v>
      </c>
      <c r="D3836" s="446" t="s">
        <v>133</v>
      </c>
      <c r="E3836" s="273">
        <v>0</v>
      </c>
      <c r="F3836" s="274"/>
      <c r="G3836" s="274">
        <f t="shared" si="15"/>
        <v>0</v>
      </c>
      <c r="H3836" s="274">
        <v>0</v>
      </c>
      <c r="K3836" s="274"/>
    </row>
    <row r="3837" spans="2:11" ht="13.5" customHeight="1">
      <c r="B3837" s="209" t="s">
        <v>1733</v>
      </c>
      <c r="C3837" s="209" t="s">
        <v>2974</v>
      </c>
      <c r="D3837" s="447" t="s">
        <v>134</v>
      </c>
      <c r="E3837" s="273">
        <v>0</v>
      </c>
      <c r="F3837" s="274"/>
      <c r="G3837" s="274">
        <f t="shared" si="15"/>
        <v>0</v>
      </c>
      <c r="H3837" s="274">
        <v>0</v>
      </c>
      <c r="K3837" s="274"/>
    </row>
    <row r="3838" spans="2:11" ht="13.5" customHeight="1">
      <c r="B3838" s="209" t="s">
        <v>1733</v>
      </c>
      <c r="C3838" s="209" t="s">
        <v>2974</v>
      </c>
      <c r="D3838" s="448" t="s">
        <v>135</v>
      </c>
      <c r="E3838" s="273">
        <v>0</v>
      </c>
      <c r="F3838" s="274"/>
      <c r="G3838" s="274">
        <f t="shared" si="15"/>
        <v>0</v>
      </c>
      <c r="H3838" s="274">
        <v>0</v>
      </c>
      <c r="K3838" s="274"/>
    </row>
    <row r="3839" spans="2:11" ht="13.5" customHeight="1">
      <c r="B3839" s="209" t="s">
        <v>1733</v>
      </c>
      <c r="C3839" s="209" t="s">
        <v>2974</v>
      </c>
      <c r="D3839" s="449" t="s">
        <v>136</v>
      </c>
      <c r="E3839" s="273">
        <v>0</v>
      </c>
      <c r="F3839" s="274"/>
      <c r="G3839" s="274">
        <f t="shared" si="15"/>
        <v>0</v>
      </c>
      <c r="H3839" s="274">
        <v>0</v>
      </c>
      <c r="K3839" s="274"/>
    </row>
    <row r="3840" spans="2:11" ht="13.5" customHeight="1">
      <c r="B3840" s="209" t="s">
        <v>1733</v>
      </c>
      <c r="C3840" s="209" t="s">
        <v>2974</v>
      </c>
      <c r="D3840" s="450" t="s">
        <v>137</v>
      </c>
      <c r="E3840" s="273">
        <v>0</v>
      </c>
      <c r="F3840" s="274"/>
      <c r="G3840" s="274">
        <f t="shared" si="15"/>
        <v>0</v>
      </c>
      <c r="H3840" s="274">
        <v>0</v>
      </c>
      <c r="K3840" s="274"/>
    </row>
    <row r="3841" spans="2:11" ht="13.5" customHeight="1">
      <c r="B3841" s="209" t="s">
        <v>1733</v>
      </c>
      <c r="C3841" s="209" t="s">
        <v>2974</v>
      </c>
      <c r="D3841" s="451" t="s">
        <v>138</v>
      </c>
      <c r="E3841" s="273">
        <v>0</v>
      </c>
      <c r="F3841" s="274"/>
      <c r="G3841" s="274">
        <f t="shared" si="15"/>
        <v>0</v>
      </c>
      <c r="H3841" s="274">
        <v>0</v>
      </c>
      <c r="K3841" s="274"/>
    </row>
    <row r="3842" spans="2:11" ht="13.5" customHeight="1">
      <c r="B3842" s="209" t="s">
        <v>1733</v>
      </c>
      <c r="C3842" s="209" t="s">
        <v>2974</v>
      </c>
      <c r="D3842" s="452" t="s">
        <v>139</v>
      </c>
      <c r="E3842" s="273">
        <v>0</v>
      </c>
      <c r="F3842" s="274"/>
      <c r="G3842" s="274">
        <f t="shared" si="15"/>
        <v>0</v>
      </c>
      <c r="H3842" s="274">
        <v>0</v>
      </c>
      <c r="K3842" s="274"/>
    </row>
    <row r="3843" spans="2:11" ht="13.5" customHeight="1">
      <c r="B3843" s="209" t="s">
        <v>1733</v>
      </c>
      <c r="C3843" s="209" t="s">
        <v>2974</v>
      </c>
      <c r="D3843" s="216" t="s">
        <v>140</v>
      </c>
      <c r="E3843" s="273">
        <v>0</v>
      </c>
      <c r="F3843" s="274"/>
      <c r="G3843" s="274">
        <f t="shared" si="15"/>
        <v>0</v>
      </c>
      <c r="H3843" s="274">
        <v>0</v>
      </c>
      <c r="K3843" s="274"/>
    </row>
    <row r="3844" spans="2:11" ht="13.5" customHeight="1">
      <c r="B3844" s="209" t="s">
        <v>1733</v>
      </c>
      <c r="C3844" s="209" t="s">
        <v>2974</v>
      </c>
      <c r="D3844" s="453" t="s">
        <v>141</v>
      </c>
      <c r="E3844" s="273">
        <v>0</v>
      </c>
      <c r="F3844" s="274"/>
      <c r="G3844" s="274">
        <f t="shared" si="15"/>
        <v>0</v>
      </c>
      <c r="H3844" s="274">
        <v>0</v>
      </c>
      <c r="K3844" s="274"/>
    </row>
    <row r="3845" spans="2:11" ht="13.5" customHeight="1">
      <c r="B3845" s="209" t="s">
        <v>1838</v>
      </c>
      <c r="C3845" s="209" t="s">
        <v>2975</v>
      </c>
      <c r="D3845" s="446" t="s">
        <v>133</v>
      </c>
      <c r="E3845" s="273">
        <v>0</v>
      </c>
      <c r="F3845" s="274"/>
      <c r="G3845" s="274">
        <f t="shared" si="15"/>
        <v>0</v>
      </c>
      <c r="H3845" s="274">
        <v>0</v>
      </c>
      <c r="K3845" s="274"/>
    </row>
    <row r="3846" spans="2:11" ht="13.5" customHeight="1">
      <c r="B3846" s="209" t="s">
        <v>1838</v>
      </c>
      <c r="C3846" s="209" t="s">
        <v>2975</v>
      </c>
      <c r="D3846" s="447" t="s">
        <v>134</v>
      </c>
      <c r="E3846" s="273">
        <v>0</v>
      </c>
      <c r="F3846" s="274"/>
      <c r="G3846" s="274">
        <f t="shared" si="15"/>
        <v>0</v>
      </c>
      <c r="H3846" s="274">
        <v>0</v>
      </c>
      <c r="K3846" s="274"/>
    </row>
    <row r="3847" spans="2:11" ht="13.5" customHeight="1">
      <c r="B3847" s="209" t="s">
        <v>1838</v>
      </c>
      <c r="C3847" s="209" t="s">
        <v>2975</v>
      </c>
      <c r="D3847" s="448" t="s">
        <v>135</v>
      </c>
      <c r="E3847" s="273">
        <v>0</v>
      </c>
      <c r="F3847" s="274"/>
      <c r="G3847" s="274">
        <f t="shared" si="15"/>
        <v>0</v>
      </c>
      <c r="H3847" s="274">
        <v>0</v>
      </c>
      <c r="K3847" s="274"/>
    </row>
    <row r="3848" spans="2:11" ht="13.5" customHeight="1">
      <c r="B3848" s="209" t="s">
        <v>1838</v>
      </c>
      <c r="C3848" s="209" t="s">
        <v>2975</v>
      </c>
      <c r="D3848" s="449" t="s">
        <v>136</v>
      </c>
      <c r="E3848" s="273">
        <v>0</v>
      </c>
      <c r="F3848" s="274"/>
      <c r="G3848" s="274">
        <f t="shared" si="15"/>
        <v>0</v>
      </c>
      <c r="H3848" s="274">
        <v>0</v>
      </c>
      <c r="K3848" s="274"/>
    </row>
    <row r="3849" spans="2:11" ht="13.5" customHeight="1">
      <c r="B3849" s="209" t="s">
        <v>1838</v>
      </c>
      <c r="C3849" s="209" t="s">
        <v>2975</v>
      </c>
      <c r="D3849" s="450" t="s">
        <v>137</v>
      </c>
      <c r="E3849" s="273">
        <v>0</v>
      </c>
      <c r="F3849" s="274"/>
      <c r="G3849" s="274">
        <f t="shared" si="15"/>
        <v>0</v>
      </c>
      <c r="H3849" s="274">
        <v>0</v>
      </c>
      <c r="K3849" s="274"/>
    </row>
    <row r="3850" spans="2:11" ht="13.5" customHeight="1">
      <c r="B3850" s="209" t="s">
        <v>1838</v>
      </c>
      <c r="C3850" s="209" t="s">
        <v>2975</v>
      </c>
      <c r="D3850" s="451" t="s">
        <v>138</v>
      </c>
      <c r="E3850" s="273">
        <v>0</v>
      </c>
      <c r="F3850" s="274"/>
      <c r="G3850" s="274">
        <f t="shared" si="15"/>
        <v>0</v>
      </c>
      <c r="H3850" s="274">
        <v>0</v>
      </c>
      <c r="K3850" s="274"/>
    </row>
    <row r="3851" spans="2:11" ht="13.5" customHeight="1">
      <c r="B3851" s="209" t="s">
        <v>1838</v>
      </c>
      <c r="C3851" s="209" t="s">
        <v>2975</v>
      </c>
      <c r="D3851" s="452" t="s">
        <v>139</v>
      </c>
      <c r="E3851" s="273">
        <v>0</v>
      </c>
      <c r="F3851" s="274"/>
      <c r="G3851" s="274">
        <f t="shared" si="15"/>
        <v>0</v>
      </c>
      <c r="H3851" s="274">
        <v>0</v>
      </c>
      <c r="K3851" s="274"/>
    </row>
    <row r="3852" spans="2:11" ht="13.5" customHeight="1">
      <c r="B3852" s="209" t="s">
        <v>1838</v>
      </c>
      <c r="C3852" s="209" t="s">
        <v>2975</v>
      </c>
      <c r="D3852" s="216" t="s">
        <v>140</v>
      </c>
      <c r="E3852" s="273">
        <v>0</v>
      </c>
      <c r="F3852" s="274"/>
      <c r="G3852" s="274">
        <f t="shared" si="15"/>
        <v>0</v>
      </c>
      <c r="H3852" s="274">
        <v>0</v>
      </c>
      <c r="K3852" s="274"/>
    </row>
    <row r="3853" spans="2:11" ht="13.5" customHeight="1">
      <c r="B3853" s="209" t="s">
        <v>1838</v>
      </c>
      <c r="C3853" s="209" t="s">
        <v>2975</v>
      </c>
      <c r="D3853" s="453" t="s">
        <v>141</v>
      </c>
      <c r="E3853" s="273">
        <v>0</v>
      </c>
      <c r="F3853" s="274"/>
      <c r="G3853" s="274">
        <f t="shared" si="15"/>
        <v>0</v>
      </c>
      <c r="H3853" s="274">
        <v>0</v>
      </c>
      <c r="K3853" s="274"/>
    </row>
    <row r="3854" spans="2:11" ht="13.5" customHeight="1">
      <c r="B3854" s="209" t="s">
        <v>1847</v>
      </c>
      <c r="C3854" s="209" t="s">
        <v>2976</v>
      </c>
      <c r="D3854" s="446" t="s">
        <v>133</v>
      </c>
      <c r="E3854" s="273">
        <v>0</v>
      </c>
      <c r="F3854" s="274"/>
      <c r="G3854" s="274">
        <f t="shared" si="15"/>
        <v>0</v>
      </c>
      <c r="H3854" s="274">
        <v>0</v>
      </c>
      <c r="K3854" s="274"/>
    </row>
    <row r="3855" spans="2:11" ht="13.5" customHeight="1">
      <c r="B3855" s="209" t="s">
        <v>1847</v>
      </c>
      <c r="C3855" s="209" t="s">
        <v>2976</v>
      </c>
      <c r="D3855" s="447" t="s">
        <v>134</v>
      </c>
      <c r="E3855" s="273">
        <v>0</v>
      </c>
      <c r="F3855" s="274"/>
      <c r="G3855" s="274">
        <f t="shared" si="15"/>
        <v>0</v>
      </c>
      <c r="H3855" s="274">
        <v>0</v>
      </c>
      <c r="K3855" s="274"/>
    </row>
    <row r="3856" spans="2:11" ht="13.5" customHeight="1">
      <c r="B3856" s="209" t="s">
        <v>1847</v>
      </c>
      <c r="C3856" s="209" t="s">
        <v>2976</v>
      </c>
      <c r="D3856" s="448" t="s">
        <v>135</v>
      </c>
      <c r="E3856" s="273">
        <v>0</v>
      </c>
      <c r="F3856" s="274"/>
      <c r="G3856" s="274">
        <f t="shared" si="15"/>
        <v>0</v>
      </c>
      <c r="H3856" s="274">
        <v>0</v>
      </c>
      <c r="K3856" s="274"/>
    </row>
    <row r="3857" spans="2:11" ht="13.5" customHeight="1">
      <c r="B3857" s="209" t="s">
        <v>1847</v>
      </c>
      <c r="C3857" s="209" t="s">
        <v>2976</v>
      </c>
      <c r="D3857" s="449" t="s">
        <v>136</v>
      </c>
      <c r="E3857" s="273">
        <v>0</v>
      </c>
      <c r="F3857" s="274"/>
      <c r="G3857" s="274">
        <f t="shared" si="15"/>
        <v>0</v>
      </c>
      <c r="H3857" s="274">
        <v>0</v>
      </c>
      <c r="K3857" s="274"/>
    </row>
    <row r="3858" spans="2:11" ht="13.5" customHeight="1">
      <c r="B3858" s="209" t="s">
        <v>1847</v>
      </c>
      <c r="C3858" s="209" t="s">
        <v>2976</v>
      </c>
      <c r="D3858" s="450" t="s">
        <v>137</v>
      </c>
      <c r="E3858" s="273">
        <v>0</v>
      </c>
      <c r="F3858" s="274"/>
      <c r="G3858" s="274">
        <f t="shared" si="15"/>
        <v>0</v>
      </c>
      <c r="H3858" s="274">
        <v>0</v>
      </c>
      <c r="K3858" s="274"/>
    </row>
    <row r="3859" spans="2:11" ht="13.5" customHeight="1">
      <c r="B3859" s="209" t="s">
        <v>1847</v>
      </c>
      <c r="C3859" s="209" t="s">
        <v>2976</v>
      </c>
      <c r="D3859" s="451" t="s">
        <v>138</v>
      </c>
      <c r="E3859" s="273">
        <v>0</v>
      </c>
      <c r="F3859" s="274"/>
      <c r="G3859" s="274">
        <f t="shared" si="15"/>
        <v>0</v>
      </c>
      <c r="H3859" s="274">
        <v>0</v>
      </c>
      <c r="K3859" s="274"/>
    </row>
    <row r="3860" spans="2:11" ht="13.5" customHeight="1">
      <c r="B3860" s="209" t="s">
        <v>1847</v>
      </c>
      <c r="C3860" s="209" t="s">
        <v>2976</v>
      </c>
      <c r="D3860" s="452" t="s">
        <v>139</v>
      </c>
      <c r="E3860" s="273">
        <v>0</v>
      </c>
      <c r="F3860" s="274"/>
      <c r="G3860" s="274">
        <f t="shared" si="15"/>
        <v>0</v>
      </c>
      <c r="H3860" s="274">
        <v>0</v>
      </c>
      <c r="K3860" s="274"/>
    </row>
    <row r="3861" spans="2:11" ht="13.5" customHeight="1">
      <c r="B3861" s="209" t="s">
        <v>1847</v>
      </c>
      <c r="C3861" s="209" t="s">
        <v>2976</v>
      </c>
      <c r="D3861" s="216" t="s">
        <v>140</v>
      </c>
      <c r="E3861" s="273">
        <v>0</v>
      </c>
      <c r="F3861" s="274"/>
      <c r="G3861" s="274">
        <f t="shared" si="15"/>
        <v>0</v>
      </c>
      <c r="H3861" s="274">
        <v>0</v>
      </c>
      <c r="K3861" s="274"/>
    </row>
    <row r="3862" spans="2:11" ht="13.5" customHeight="1">
      <c r="B3862" s="209" t="s">
        <v>1847</v>
      </c>
      <c r="C3862" s="209" t="s">
        <v>2976</v>
      </c>
      <c r="D3862" s="453" t="s">
        <v>141</v>
      </c>
      <c r="E3862" s="273">
        <v>0</v>
      </c>
      <c r="F3862" s="274"/>
      <c r="G3862" s="274">
        <f t="shared" si="15"/>
        <v>0</v>
      </c>
      <c r="H3862" s="274">
        <v>0</v>
      </c>
      <c r="K3862" s="274"/>
    </row>
    <row r="3863" spans="2:11" ht="13.5" customHeight="1">
      <c r="B3863" s="209" t="s">
        <v>1857</v>
      </c>
      <c r="C3863" s="209" t="s">
        <v>2977</v>
      </c>
      <c r="D3863" s="446" t="s">
        <v>133</v>
      </c>
      <c r="E3863" s="273">
        <v>0</v>
      </c>
      <c r="F3863" s="274"/>
      <c r="G3863" s="274">
        <f t="shared" si="15"/>
        <v>0</v>
      </c>
      <c r="H3863" s="274">
        <v>0</v>
      </c>
      <c r="K3863" s="274"/>
    </row>
    <row r="3864" spans="2:11" ht="13.5" customHeight="1">
      <c r="B3864" s="209" t="s">
        <v>1857</v>
      </c>
      <c r="C3864" s="209" t="s">
        <v>2977</v>
      </c>
      <c r="D3864" s="447" t="s">
        <v>134</v>
      </c>
      <c r="E3864" s="273">
        <v>0</v>
      </c>
      <c r="F3864" s="274"/>
      <c r="G3864" s="274">
        <f t="shared" si="15"/>
        <v>0</v>
      </c>
      <c r="H3864" s="274">
        <v>0</v>
      </c>
      <c r="K3864" s="274"/>
    </row>
    <row r="3865" spans="2:11" ht="13.5" customHeight="1">
      <c r="B3865" s="209" t="s">
        <v>1857</v>
      </c>
      <c r="C3865" s="209" t="s">
        <v>2977</v>
      </c>
      <c r="D3865" s="448" t="s">
        <v>135</v>
      </c>
      <c r="E3865" s="273">
        <v>0</v>
      </c>
      <c r="F3865" s="274"/>
      <c r="G3865" s="274">
        <f t="shared" si="15"/>
        <v>0</v>
      </c>
      <c r="H3865" s="274">
        <v>0</v>
      </c>
      <c r="K3865" s="274"/>
    </row>
    <row r="3866" spans="2:11" ht="13.5" customHeight="1">
      <c r="B3866" s="209" t="s">
        <v>1857</v>
      </c>
      <c r="C3866" s="209" t="s">
        <v>2977</v>
      </c>
      <c r="D3866" s="449" t="s">
        <v>136</v>
      </c>
      <c r="E3866" s="273">
        <v>0</v>
      </c>
      <c r="F3866" s="274"/>
      <c r="G3866" s="274">
        <f t="shared" si="15"/>
        <v>0</v>
      </c>
      <c r="H3866" s="274">
        <v>0</v>
      </c>
      <c r="K3866" s="274"/>
    </row>
    <row r="3867" spans="2:11" ht="13.5" customHeight="1">
      <c r="B3867" s="209" t="s">
        <v>1857</v>
      </c>
      <c r="C3867" s="209" t="s">
        <v>2977</v>
      </c>
      <c r="D3867" s="450" t="s">
        <v>137</v>
      </c>
      <c r="E3867" s="273">
        <v>0</v>
      </c>
      <c r="F3867" s="274"/>
      <c r="G3867" s="274">
        <f t="shared" si="15"/>
        <v>0</v>
      </c>
      <c r="H3867" s="274">
        <v>0</v>
      </c>
      <c r="K3867" s="274"/>
    </row>
    <row r="3868" spans="2:11" ht="13.5" customHeight="1">
      <c r="B3868" s="209" t="s">
        <v>1857</v>
      </c>
      <c r="C3868" s="209" t="s">
        <v>2977</v>
      </c>
      <c r="D3868" s="451" t="s">
        <v>138</v>
      </c>
      <c r="E3868" s="273">
        <v>0</v>
      </c>
      <c r="F3868" s="274"/>
      <c r="G3868" s="274">
        <f t="shared" si="15"/>
        <v>0</v>
      </c>
      <c r="H3868" s="274">
        <v>0</v>
      </c>
      <c r="K3868" s="274"/>
    </row>
    <row r="3869" spans="2:11" ht="13.5" customHeight="1">
      <c r="B3869" s="209" t="s">
        <v>1857</v>
      </c>
      <c r="C3869" s="209" t="s">
        <v>2977</v>
      </c>
      <c r="D3869" s="452" t="s">
        <v>139</v>
      </c>
      <c r="E3869" s="273">
        <v>0</v>
      </c>
      <c r="F3869" s="274"/>
      <c r="G3869" s="274">
        <f t="shared" si="15"/>
        <v>0</v>
      </c>
      <c r="H3869" s="274">
        <v>0</v>
      </c>
      <c r="K3869" s="274"/>
    </row>
    <row r="3870" spans="2:11" ht="13.5" customHeight="1">
      <c r="B3870" s="209" t="s">
        <v>1857</v>
      </c>
      <c r="C3870" s="209" t="s">
        <v>2977</v>
      </c>
      <c r="D3870" s="216" t="s">
        <v>140</v>
      </c>
      <c r="E3870" s="273">
        <v>0</v>
      </c>
      <c r="F3870" s="274"/>
      <c r="G3870" s="274">
        <f t="shared" si="15"/>
        <v>0</v>
      </c>
      <c r="H3870" s="274">
        <v>0</v>
      </c>
      <c r="K3870" s="274"/>
    </row>
    <row r="3871" spans="2:11" ht="13.5" customHeight="1">
      <c r="B3871" s="209" t="s">
        <v>1857</v>
      </c>
      <c r="C3871" s="209" t="s">
        <v>2977</v>
      </c>
      <c r="D3871" s="453" t="s">
        <v>141</v>
      </c>
      <c r="E3871" s="273">
        <v>0</v>
      </c>
      <c r="F3871" s="274"/>
      <c r="G3871" s="274">
        <f t="shared" si="15"/>
        <v>0</v>
      </c>
      <c r="H3871" s="274">
        <v>0</v>
      </c>
      <c r="K3871" s="274"/>
    </row>
    <row r="3872" spans="2:11" ht="13.5" customHeight="1">
      <c r="B3872" s="209" t="s">
        <v>1829</v>
      </c>
      <c r="C3872" s="209" t="s">
        <v>2978</v>
      </c>
      <c r="D3872" s="446" t="s">
        <v>133</v>
      </c>
      <c r="E3872" s="273">
        <v>0</v>
      </c>
      <c r="F3872" s="274"/>
      <c r="G3872" s="274">
        <f t="shared" si="15"/>
        <v>0</v>
      </c>
      <c r="H3872" s="274">
        <v>0</v>
      </c>
      <c r="K3872" s="274"/>
    </row>
    <row r="3873" spans="2:11" ht="13.5" customHeight="1">
      <c r="B3873" s="209" t="s">
        <v>1829</v>
      </c>
      <c r="C3873" s="209" t="s">
        <v>2978</v>
      </c>
      <c r="D3873" s="447" t="s">
        <v>134</v>
      </c>
      <c r="E3873" s="273">
        <v>0</v>
      </c>
      <c r="F3873" s="274"/>
      <c r="G3873" s="274">
        <f t="shared" si="15"/>
        <v>0</v>
      </c>
      <c r="H3873" s="274">
        <v>0</v>
      </c>
      <c r="K3873" s="274"/>
    </row>
    <row r="3874" spans="2:11" ht="13.5" customHeight="1">
      <c r="B3874" s="209" t="s">
        <v>1829</v>
      </c>
      <c r="C3874" s="209" t="s">
        <v>2978</v>
      </c>
      <c r="D3874" s="448" t="s">
        <v>135</v>
      </c>
      <c r="E3874" s="273">
        <v>0</v>
      </c>
      <c r="F3874" s="274"/>
      <c r="G3874" s="274">
        <f t="shared" si="15"/>
        <v>0</v>
      </c>
      <c r="H3874" s="274">
        <v>0</v>
      </c>
      <c r="K3874" s="274"/>
    </row>
    <row r="3875" spans="2:11" ht="13.5" customHeight="1">
      <c r="B3875" s="209" t="s">
        <v>1829</v>
      </c>
      <c r="C3875" s="209" t="s">
        <v>2978</v>
      </c>
      <c r="D3875" s="449" t="s">
        <v>136</v>
      </c>
      <c r="E3875" s="273">
        <v>0</v>
      </c>
      <c r="F3875" s="274"/>
      <c r="G3875" s="274">
        <f t="shared" si="15"/>
        <v>0</v>
      </c>
      <c r="H3875" s="274">
        <v>0</v>
      </c>
      <c r="K3875" s="274"/>
    </row>
    <row r="3876" spans="2:11" ht="13.5" customHeight="1">
      <c r="B3876" s="209" t="s">
        <v>1829</v>
      </c>
      <c r="C3876" s="209" t="s">
        <v>2978</v>
      </c>
      <c r="D3876" s="450" t="s">
        <v>137</v>
      </c>
      <c r="E3876" s="273">
        <v>0</v>
      </c>
      <c r="F3876" s="274"/>
      <c r="G3876" s="274">
        <f t="shared" si="15"/>
        <v>0</v>
      </c>
      <c r="H3876" s="274">
        <v>0</v>
      </c>
      <c r="K3876" s="274"/>
    </row>
    <row r="3877" spans="2:11" ht="13.5" customHeight="1">
      <c r="B3877" s="209" t="s">
        <v>1829</v>
      </c>
      <c r="C3877" s="209" t="s">
        <v>2978</v>
      </c>
      <c r="D3877" s="451" t="s">
        <v>138</v>
      </c>
      <c r="E3877" s="273">
        <v>0</v>
      </c>
      <c r="F3877" s="274"/>
      <c r="G3877" s="274">
        <f t="shared" si="15"/>
        <v>0</v>
      </c>
      <c r="H3877" s="274">
        <v>0</v>
      </c>
      <c r="K3877" s="274"/>
    </row>
    <row r="3878" spans="2:11" ht="13.5" customHeight="1">
      <c r="B3878" s="209" t="s">
        <v>1829</v>
      </c>
      <c r="C3878" s="209" t="s">
        <v>2978</v>
      </c>
      <c r="D3878" s="452" t="s">
        <v>139</v>
      </c>
      <c r="E3878" s="273">
        <v>0</v>
      </c>
      <c r="F3878" s="274"/>
      <c r="G3878" s="274">
        <f t="shared" si="15"/>
        <v>0</v>
      </c>
      <c r="H3878" s="274">
        <v>0</v>
      </c>
      <c r="K3878" s="274"/>
    </row>
    <row r="3879" spans="2:11" ht="13.5" customHeight="1">
      <c r="B3879" s="209" t="s">
        <v>1829</v>
      </c>
      <c r="C3879" s="209" t="s">
        <v>2978</v>
      </c>
      <c r="D3879" s="216" t="s">
        <v>140</v>
      </c>
      <c r="E3879" s="273">
        <v>0</v>
      </c>
      <c r="F3879" s="274"/>
      <c r="G3879" s="274">
        <f t="shared" si="15"/>
        <v>0</v>
      </c>
      <c r="H3879" s="274">
        <v>0</v>
      </c>
      <c r="K3879" s="274"/>
    </row>
    <row r="3880" spans="2:11" ht="13.5" customHeight="1">
      <c r="B3880" s="209" t="s">
        <v>1829</v>
      </c>
      <c r="C3880" s="209" t="s">
        <v>2978</v>
      </c>
      <c r="D3880" s="453" t="s">
        <v>141</v>
      </c>
      <c r="E3880" s="273">
        <v>0</v>
      </c>
      <c r="F3880" s="274"/>
      <c r="G3880" s="274">
        <f t="shared" si="15"/>
        <v>0</v>
      </c>
      <c r="H3880" s="274">
        <v>0</v>
      </c>
      <c r="K3880" s="274"/>
    </row>
    <row r="3881" spans="2:11" ht="13.5" customHeight="1">
      <c r="B3881" s="209" t="s">
        <v>1863</v>
      </c>
      <c r="C3881" s="209" t="s">
        <v>2979</v>
      </c>
      <c r="D3881" s="446" t="s">
        <v>133</v>
      </c>
      <c r="E3881" s="273">
        <v>0</v>
      </c>
      <c r="F3881" s="274"/>
      <c r="G3881" s="274">
        <f t="shared" si="15"/>
        <v>0</v>
      </c>
      <c r="H3881" s="274">
        <v>0</v>
      </c>
      <c r="K3881" s="274"/>
    </row>
    <row r="3882" spans="2:11" ht="13.5" customHeight="1">
      <c r="B3882" s="209" t="s">
        <v>1863</v>
      </c>
      <c r="C3882" s="209" t="s">
        <v>2979</v>
      </c>
      <c r="D3882" s="447" t="s">
        <v>134</v>
      </c>
      <c r="E3882" s="273">
        <v>0</v>
      </c>
      <c r="F3882" s="274"/>
      <c r="G3882" s="274">
        <f t="shared" si="15"/>
        <v>0</v>
      </c>
      <c r="H3882" s="274">
        <v>0</v>
      </c>
      <c r="K3882" s="274"/>
    </row>
    <row r="3883" spans="2:11" ht="13.5" customHeight="1">
      <c r="B3883" s="209" t="s">
        <v>1863</v>
      </c>
      <c r="C3883" s="209" t="s">
        <v>2979</v>
      </c>
      <c r="D3883" s="448" t="s">
        <v>135</v>
      </c>
      <c r="E3883" s="273">
        <v>0</v>
      </c>
      <c r="F3883" s="274"/>
      <c r="G3883" s="274">
        <f t="shared" si="15"/>
        <v>0</v>
      </c>
      <c r="H3883" s="274">
        <v>0</v>
      </c>
      <c r="K3883" s="274"/>
    </row>
    <row r="3884" spans="2:11" ht="13.5" customHeight="1">
      <c r="B3884" s="209" t="s">
        <v>1863</v>
      </c>
      <c r="C3884" s="209" t="s">
        <v>2979</v>
      </c>
      <c r="D3884" s="449" t="s">
        <v>136</v>
      </c>
      <c r="E3884" s="273">
        <v>0</v>
      </c>
      <c r="F3884" s="274"/>
      <c r="G3884" s="274">
        <f t="shared" si="15"/>
        <v>0</v>
      </c>
      <c r="H3884" s="274">
        <v>0</v>
      </c>
      <c r="K3884" s="274"/>
    </row>
    <row r="3885" spans="2:11" ht="13.5" customHeight="1">
      <c r="B3885" s="209" t="s">
        <v>1863</v>
      </c>
      <c r="C3885" s="209" t="s">
        <v>2979</v>
      </c>
      <c r="D3885" s="450" t="s">
        <v>137</v>
      </c>
      <c r="E3885" s="273">
        <v>0</v>
      </c>
      <c r="F3885" s="274"/>
      <c r="G3885" s="274">
        <f t="shared" si="15"/>
        <v>0</v>
      </c>
      <c r="H3885" s="274">
        <v>0</v>
      </c>
      <c r="K3885" s="274"/>
    </row>
    <row r="3886" spans="2:11" ht="13.5" customHeight="1">
      <c r="B3886" s="209" t="s">
        <v>1863</v>
      </c>
      <c r="C3886" s="209" t="s">
        <v>2979</v>
      </c>
      <c r="D3886" s="451" t="s">
        <v>138</v>
      </c>
      <c r="E3886" s="273">
        <v>0</v>
      </c>
      <c r="F3886" s="274"/>
      <c r="G3886" s="274">
        <f t="shared" si="15"/>
        <v>0</v>
      </c>
      <c r="H3886" s="274">
        <v>0</v>
      </c>
      <c r="K3886" s="274"/>
    </row>
    <row r="3887" spans="2:11" ht="13.5" customHeight="1">
      <c r="B3887" s="209" t="s">
        <v>1863</v>
      </c>
      <c r="C3887" s="209" t="s">
        <v>2979</v>
      </c>
      <c r="D3887" s="452" t="s">
        <v>139</v>
      </c>
      <c r="E3887" s="273">
        <v>0</v>
      </c>
      <c r="F3887" s="274"/>
      <c r="G3887" s="274">
        <f t="shared" si="15"/>
        <v>0</v>
      </c>
      <c r="H3887" s="274">
        <v>0</v>
      </c>
      <c r="K3887" s="274"/>
    </row>
    <row r="3888" spans="2:11" ht="13.5" customHeight="1">
      <c r="B3888" s="209" t="s">
        <v>1863</v>
      </c>
      <c r="C3888" s="209" t="s">
        <v>2979</v>
      </c>
      <c r="D3888" s="216" t="s">
        <v>140</v>
      </c>
      <c r="E3888" s="273">
        <v>0</v>
      </c>
      <c r="F3888" s="274"/>
      <c r="G3888" s="274">
        <f t="shared" si="15"/>
        <v>0</v>
      </c>
      <c r="H3888" s="274">
        <v>0</v>
      </c>
      <c r="K3888" s="274"/>
    </row>
    <row r="3889" spans="2:11" ht="13.5" customHeight="1">
      <c r="B3889" s="209" t="s">
        <v>1863</v>
      </c>
      <c r="C3889" s="209" t="s">
        <v>2979</v>
      </c>
      <c r="D3889" s="453" t="s">
        <v>141</v>
      </c>
      <c r="E3889" s="273">
        <v>0</v>
      </c>
      <c r="F3889" s="274"/>
      <c r="G3889" s="274">
        <f t="shared" si="15"/>
        <v>0</v>
      </c>
      <c r="H3889" s="274">
        <v>0</v>
      </c>
      <c r="K3889" s="274"/>
    </row>
    <row r="3890" spans="2:11" ht="13.5" customHeight="1">
      <c r="B3890" s="209" t="s">
        <v>2980</v>
      </c>
      <c r="C3890" s="209" t="s">
        <v>2981</v>
      </c>
      <c r="D3890" s="446" t="s">
        <v>133</v>
      </c>
      <c r="E3890" s="273">
        <v>0</v>
      </c>
      <c r="F3890" s="274"/>
      <c r="G3890" s="274">
        <f t="shared" si="15"/>
        <v>0</v>
      </c>
      <c r="H3890" s="274">
        <v>0</v>
      </c>
      <c r="K3890" s="274"/>
    </row>
    <row r="3891" spans="2:11" ht="13.5" customHeight="1">
      <c r="B3891" s="209" t="s">
        <v>2980</v>
      </c>
      <c r="C3891" s="209" t="s">
        <v>2981</v>
      </c>
      <c r="D3891" s="447" t="s">
        <v>134</v>
      </c>
      <c r="E3891" s="273">
        <v>0</v>
      </c>
      <c r="F3891" s="274"/>
      <c r="G3891" s="274">
        <f t="shared" si="15"/>
        <v>0</v>
      </c>
      <c r="H3891" s="274">
        <v>0</v>
      </c>
      <c r="K3891" s="274"/>
    </row>
    <row r="3892" spans="2:11" ht="13.5" customHeight="1">
      <c r="B3892" s="209" t="s">
        <v>2980</v>
      </c>
      <c r="C3892" s="209" t="s">
        <v>2981</v>
      </c>
      <c r="D3892" s="448" t="s">
        <v>135</v>
      </c>
      <c r="E3892" s="273">
        <v>0</v>
      </c>
      <c r="F3892" s="274"/>
      <c r="G3892" s="274">
        <f t="shared" si="15"/>
        <v>0</v>
      </c>
      <c r="H3892" s="274">
        <v>0</v>
      </c>
      <c r="K3892" s="274"/>
    </row>
    <row r="3893" spans="2:11" ht="13.5" customHeight="1">
      <c r="B3893" s="209" t="s">
        <v>2980</v>
      </c>
      <c r="C3893" s="209" t="s">
        <v>2981</v>
      </c>
      <c r="D3893" s="449" t="s">
        <v>136</v>
      </c>
      <c r="E3893" s="273">
        <v>0</v>
      </c>
      <c r="F3893" s="274"/>
      <c r="G3893" s="274">
        <f t="shared" si="15"/>
        <v>0</v>
      </c>
      <c r="H3893" s="274">
        <v>0</v>
      </c>
      <c r="K3893" s="274"/>
    </row>
    <row r="3894" spans="2:11" ht="13.5" customHeight="1">
      <c r="B3894" s="209" t="s">
        <v>2980</v>
      </c>
      <c r="C3894" s="209" t="s">
        <v>2981</v>
      </c>
      <c r="D3894" s="450" t="s">
        <v>137</v>
      </c>
      <c r="E3894" s="273">
        <v>0</v>
      </c>
      <c r="F3894" s="274"/>
      <c r="G3894" s="274">
        <f t="shared" si="15"/>
        <v>0</v>
      </c>
      <c r="H3894" s="274">
        <v>0</v>
      </c>
      <c r="K3894" s="274"/>
    </row>
    <row r="3895" spans="2:11" ht="13.5" customHeight="1">
      <c r="B3895" s="209" t="s">
        <v>2980</v>
      </c>
      <c r="C3895" s="209" t="s">
        <v>2981</v>
      </c>
      <c r="D3895" s="451" t="s">
        <v>138</v>
      </c>
      <c r="E3895" s="273">
        <v>0</v>
      </c>
      <c r="F3895" s="274"/>
      <c r="G3895" s="274">
        <f t="shared" si="15"/>
        <v>0</v>
      </c>
      <c r="H3895" s="274">
        <v>0</v>
      </c>
      <c r="K3895" s="274"/>
    </row>
    <row r="3896" spans="2:11" ht="13.5" customHeight="1">
      <c r="B3896" s="209" t="s">
        <v>2980</v>
      </c>
      <c r="C3896" s="209" t="s">
        <v>2981</v>
      </c>
      <c r="D3896" s="452" t="s">
        <v>139</v>
      </c>
      <c r="E3896" s="273">
        <v>0</v>
      </c>
      <c r="F3896" s="274"/>
      <c r="G3896" s="274">
        <f t="shared" si="15"/>
        <v>0</v>
      </c>
      <c r="H3896" s="274">
        <v>0</v>
      </c>
      <c r="K3896" s="274"/>
    </row>
    <row r="3897" spans="2:11" ht="13.5" customHeight="1">
      <c r="B3897" s="209" t="s">
        <v>2980</v>
      </c>
      <c r="C3897" s="209" t="s">
        <v>2981</v>
      </c>
      <c r="D3897" s="216" t="s">
        <v>140</v>
      </c>
      <c r="E3897" s="273">
        <v>0</v>
      </c>
      <c r="F3897" s="274"/>
      <c r="G3897" s="274">
        <f t="shared" si="15"/>
        <v>0</v>
      </c>
      <c r="H3897" s="274">
        <v>0</v>
      </c>
      <c r="K3897" s="274"/>
    </row>
    <row r="3898" spans="2:11" ht="13.5" customHeight="1">
      <c r="B3898" s="209" t="s">
        <v>2980</v>
      </c>
      <c r="C3898" s="209" t="s">
        <v>2981</v>
      </c>
      <c r="D3898" s="453" t="s">
        <v>141</v>
      </c>
      <c r="E3898" s="273">
        <v>0</v>
      </c>
      <c r="F3898" s="274"/>
      <c r="G3898" s="274">
        <f t="shared" si="15"/>
        <v>0</v>
      </c>
      <c r="H3898" s="274">
        <v>0</v>
      </c>
      <c r="K3898" s="274"/>
    </row>
    <row r="3899" spans="2:11" ht="13.5" customHeight="1">
      <c r="B3899" s="209" t="s">
        <v>1802</v>
      </c>
      <c r="C3899" s="209" t="s">
        <v>2982</v>
      </c>
      <c r="D3899" s="446" t="s">
        <v>133</v>
      </c>
      <c r="E3899" s="273">
        <v>0</v>
      </c>
      <c r="F3899" s="274"/>
      <c r="G3899" s="274">
        <f t="shared" si="15"/>
        <v>0</v>
      </c>
      <c r="H3899" s="274">
        <v>0</v>
      </c>
      <c r="K3899" s="274"/>
    </row>
    <row r="3900" spans="2:11" ht="13.5" customHeight="1">
      <c r="B3900" s="209" t="s">
        <v>1802</v>
      </c>
      <c r="C3900" s="209" t="s">
        <v>2982</v>
      </c>
      <c r="D3900" s="447" t="s">
        <v>134</v>
      </c>
      <c r="E3900" s="273">
        <v>0</v>
      </c>
      <c r="F3900" s="274"/>
      <c r="G3900" s="274">
        <f t="shared" si="15"/>
        <v>0</v>
      </c>
      <c r="H3900" s="274">
        <v>0</v>
      </c>
      <c r="K3900" s="274"/>
    </row>
    <row r="3901" spans="2:11" ht="13.5" customHeight="1">
      <c r="B3901" s="209" t="s">
        <v>1802</v>
      </c>
      <c r="C3901" s="209" t="s">
        <v>2982</v>
      </c>
      <c r="D3901" s="448" t="s">
        <v>135</v>
      </c>
      <c r="E3901" s="273">
        <v>0</v>
      </c>
      <c r="F3901" s="274"/>
      <c r="G3901" s="274">
        <f t="shared" si="15"/>
        <v>0</v>
      </c>
      <c r="H3901" s="274">
        <v>0</v>
      </c>
      <c r="K3901" s="274"/>
    </row>
    <row r="3902" spans="2:11" ht="13.5" customHeight="1">
      <c r="B3902" s="209" t="s">
        <v>1802</v>
      </c>
      <c r="C3902" s="209" t="s">
        <v>2982</v>
      </c>
      <c r="D3902" s="449" t="s">
        <v>136</v>
      </c>
      <c r="E3902" s="273">
        <v>0</v>
      </c>
      <c r="F3902" s="274"/>
      <c r="G3902" s="274">
        <f t="shared" si="15"/>
        <v>0</v>
      </c>
      <c r="H3902" s="274">
        <v>0</v>
      </c>
      <c r="K3902" s="274"/>
    </row>
    <row r="3903" spans="2:11" ht="13.5" customHeight="1">
      <c r="B3903" s="209" t="s">
        <v>1802</v>
      </c>
      <c r="C3903" s="209" t="s">
        <v>2982</v>
      </c>
      <c r="D3903" s="450" t="s">
        <v>137</v>
      </c>
      <c r="E3903" s="273">
        <v>0</v>
      </c>
      <c r="F3903" s="274"/>
      <c r="G3903" s="274">
        <f t="shared" si="15"/>
        <v>0</v>
      </c>
      <c r="H3903" s="274">
        <v>0</v>
      </c>
      <c r="K3903" s="274"/>
    </row>
    <row r="3904" spans="2:11" ht="13.5" customHeight="1">
      <c r="B3904" s="209" t="s">
        <v>1802</v>
      </c>
      <c r="C3904" s="209" t="s">
        <v>2982</v>
      </c>
      <c r="D3904" s="451" t="s">
        <v>138</v>
      </c>
      <c r="E3904" s="273">
        <v>0</v>
      </c>
      <c r="F3904" s="274"/>
      <c r="G3904" s="274">
        <f t="shared" si="15"/>
        <v>0</v>
      </c>
      <c r="H3904" s="274">
        <v>0</v>
      </c>
      <c r="K3904" s="274"/>
    </row>
    <row r="3905" spans="2:11" ht="13.5" customHeight="1">
      <c r="B3905" s="209" t="s">
        <v>1802</v>
      </c>
      <c r="C3905" s="209" t="s">
        <v>2982</v>
      </c>
      <c r="D3905" s="452" t="s">
        <v>139</v>
      </c>
      <c r="E3905" s="273">
        <v>0</v>
      </c>
      <c r="F3905" s="274"/>
      <c r="G3905" s="274">
        <f t="shared" si="15"/>
        <v>0</v>
      </c>
      <c r="H3905" s="274">
        <v>0</v>
      </c>
      <c r="K3905" s="274"/>
    </row>
    <row r="3906" spans="2:11" ht="13.5" customHeight="1">
      <c r="B3906" s="209" t="s">
        <v>1802</v>
      </c>
      <c r="C3906" s="209" t="s">
        <v>2982</v>
      </c>
      <c r="D3906" s="216" t="s">
        <v>140</v>
      </c>
      <c r="E3906" s="273">
        <v>0</v>
      </c>
      <c r="F3906" s="274"/>
      <c r="G3906" s="274">
        <f t="shared" si="15"/>
        <v>0</v>
      </c>
      <c r="H3906" s="274">
        <v>0</v>
      </c>
      <c r="K3906" s="274"/>
    </row>
    <row r="3907" spans="2:11" ht="13.5" customHeight="1">
      <c r="B3907" s="209" t="s">
        <v>1802</v>
      </c>
      <c r="C3907" s="209" t="s">
        <v>2982</v>
      </c>
      <c r="D3907" s="453" t="s">
        <v>141</v>
      </c>
      <c r="E3907" s="273">
        <v>0</v>
      </c>
      <c r="F3907" s="274"/>
      <c r="G3907" s="274">
        <f t="shared" si="15"/>
        <v>0</v>
      </c>
      <c r="H3907" s="274">
        <v>0</v>
      </c>
      <c r="K3907" s="274"/>
    </row>
    <row r="3908" spans="2:11" ht="13.5" customHeight="1">
      <c r="B3908" s="209" t="s">
        <v>1799</v>
      </c>
      <c r="C3908" s="209" t="s">
        <v>2983</v>
      </c>
      <c r="D3908" s="446" t="s">
        <v>133</v>
      </c>
      <c r="E3908" s="273">
        <v>0</v>
      </c>
      <c r="F3908" s="274"/>
      <c r="G3908" s="274">
        <f t="shared" si="15"/>
        <v>0</v>
      </c>
      <c r="H3908" s="274">
        <v>0</v>
      </c>
      <c r="K3908" s="274"/>
    </row>
    <row r="3909" spans="2:11" ht="13.5" customHeight="1">
      <c r="B3909" s="209" t="s">
        <v>1799</v>
      </c>
      <c r="C3909" s="209" t="s">
        <v>2983</v>
      </c>
      <c r="D3909" s="447" t="s">
        <v>134</v>
      </c>
      <c r="E3909" s="273">
        <v>0</v>
      </c>
      <c r="F3909" s="274"/>
      <c r="G3909" s="274">
        <f t="shared" si="15"/>
        <v>0</v>
      </c>
      <c r="H3909" s="274">
        <v>0</v>
      </c>
      <c r="K3909" s="274"/>
    </row>
    <row r="3910" spans="2:11" ht="13.5" customHeight="1">
      <c r="B3910" s="209" t="s">
        <v>1799</v>
      </c>
      <c r="C3910" s="209" t="s">
        <v>2983</v>
      </c>
      <c r="D3910" s="448" t="s">
        <v>135</v>
      </c>
      <c r="E3910" s="273">
        <v>0</v>
      </c>
      <c r="F3910" s="274"/>
      <c r="G3910" s="274">
        <f t="shared" si="15"/>
        <v>0</v>
      </c>
      <c r="H3910" s="274">
        <v>0</v>
      </c>
      <c r="K3910" s="274"/>
    </row>
    <row r="3911" spans="2:11" ht="13.5" customHeight="1">
      <c r="B3911" s="209" t="s">
        <v>1799</v>
      </c>
      <c r="C3911" s="209" t="s">
        <v>2983</v>
      </c>
      <c r="D3911" s="449" t="s">
        <v>136</v>
      </c>
      <c r="E3911" s="273">
        <v>0</v>
      </c>
      <c r="F3911" s="274"/>
      <c r="G3911" s="274">
        <f t="shared" si="15"/>
        <v>0</v>
      </c>
      <c r="H3911" s="274">
        <v>0</v>
      </c>
      <c r="K3911" s="274"/>
    </row>
    <row r="3912" spans="2:11" ht="13.5" customHeight="1">
      <c r="B3912" s="209" t="s">
        <v>1799</v>
      </c>
      <c r="C3912" s="209" t="s">
        <v>2983</v>
      </c>
      <c r="D3912" s="450" t="s">
        <v>137</v>
      </c>
      <c r="E3912" s="273">
        <v>0</v>
      </c>
      <c r="F3912" s="274"/>
      <c r="G3912" s="274">
        <f t="shared" si="15"/>
        <v>0</v>
      </c>
      <c r="H3912" s="274">
        <v>0</v>
      </c>
      <c r="K3912" s="274"/>
    </row>
    <row r="3913" spans="2:11" ht="13.5" customHeight="1">
      <c r="B3913" s="209" t="s">
        <v>1799</v>
      </c>
      <c r="C3913" s="209" t="s">
        <v>2983</v>
      </c>
      <c r="D3913" s="451" t="s">
        <v>138</v>
      </c>
      <c r="E3913" s="273">
        <v>0</v>
      </c>
      <c r="F3913" s="274"/>
      <c r="G3913" s="274">
        <f t="shared" si="15"/>
        <v>0</v>
      </c>
      <c r="H3913" s="274">
        <v>0</v>
      </c>
      <c r="K3913" s="274"/>
    </row>
    <row r="3914" spans="2:11" ht="13.5" customHeight="1">
      <c r="B3914" s="209" t="s">
        <v>1799</v>
      </c>
      <c r="C3914" s="209" t="s">
        <v>2983</v>
      </c>
      <c r="D3914" s="452" t="s">
        <v>139</v>
      </c>
      <c r="E3914" s="273">
        <v>0</v>
      </c>
      <c r="F3914" s="274"/>
      <c r="G3914" s="274">
        <f t="shared" si="15"/>
        <v>0</v>
      </c>
      <c r="H3914" s="274">
        <v>0</v>
      </c>
      <c r="K3914" s="274"/>
    </row>
    <row r="3915" spans="2:11" ht="13.5" customHeight="1">
      <c r="B3915" s="209" t="s">
        <v>1799</v>
      </c>
      <c r="C3915" s="209" t="s">
        <v>2983</v>
      </c>
      <c r="D3915" s="216" t="s">
        <v>140</v>
      </c>
      <c r="E3915" s="273">
        <v>0</v>
      </c>
      <c r="F3915" s="274"/>
      <c r="G3915" s="274">
        <f t="shared" si="15"/>
        <v>0</v>
      </c>
      <c r="H3915" s="274">
        <v>0</v>
      </c>
      <c r="K3915" s="274"/>
    </row>
    <row r="3916" spans="2:11" ht="13.5" customHeight="1">
      <c r="B3916" s="209" t="s">
        <v>1799</v>
      </c>
      <c r="C3916" s="209" t="s">
        <v>2983</v>
      </c>
      <c r="D3916" s="453" t="s">
        <v>141</v>
      </c>
      <c r="E3916" s="273">
        <v>0</v>
      </c>
      <c r="F3916" s="274"/>
      <c r="G3916" s="274">
        <f t="shared" si="15"/>
        <v>0</v>
      </c>
      <c r="H3916" s="274">
        <v>0</v>
      </c>
      <c r="K3916" s="274"/>
    </row>
    <row r="3917" spans="2:11" ht="13.5" customHeight="1">
      <c r="B3917" s="209" t="s">
        <v>1868</v>
      </c>
      <c r="C3917" s="209" t="s">
        <v>2984</v>
      </c>
      <c r="D3917" s="446" t="s">
        <v>133</v>
      </c>
      <c r="E3917" s="273">
        <v>0</v>
      </c>
      <c r="F3917" s="274"/>
      <c r="G3917" s="274">
        <f t="shared" si="15"/>
        <v>0</v>
      </c>
      <c r="H3917" s="274">
        <v>0</v>
      </c>
      <c r="K3917" s="274"/>
    </row>
    <row r="3918" spans="2:11" ht="13.5" customHeight="1">
      <c r="B3918" s="209" t="s">
        <v>1868</v>
      </c>
      <c r="C3918" s="209" t="s">
        <v>2984</v>
      </c>
      <c r="D3918" s="447" t="s">
        <v>134</v>
      </c>
      <c r="E3918" s="273">
        <v>0</v>
      </c>
      <c r="F3918" s="274"/>
      <c r="G3918" s="274">
        <f t="shared" si="15"/>
        <v>0</v>
      </c>
      <c r="H3918" s="274">
        <v>0</v>
      </c>
      <c r="K3918" s="274"/>
    </row>
    <row r="3919" spans="2:11" ht="13.5" customHeight="1">
      <c r="B3919" s="209" t="s">
        <v>1868</v>
      </c>
      <c r="C3919" s="209" t="s">
        <v>2984</v>
      </c>
      <c r="D3919" s="448" t="s">
        <v>135</v>
      </c>
      <c r="E3919" s="273">
        <v>0</v>
      </c>
      <c r="F3919" s="274"/>
      <c r="G3919" s="274">
        <f t="shared" si="15"/>
        <v>0</v>
      </c>
      <c r="H3919" s="274">
        <v>0</v>
      </c>
      <c r="K3919" s="274"/>
    </row>
    <row r="3920" spans="2:11" ht="13.5" customHeight="1">
      <c r="B3920" s="209" t="s">
        <v>1868</v>
      </c>
      <c r="C3920" s="209" t="s">
        <v>2984</v>
      </c>
      <c r="D3920" s="449" t="s">
        <v>136</v>
      </c>
      <c r="E3920" s="273">
        <v>0</v>
      </c>
      <c r="F3920" s="274"/>
      <c r="G3920" s="274">
        <f t="shared" si="15"/>
        <v>0</v>
      </c>
      <c r="H3920" s="274">
        <v>0</v>
      </c>
      <c r="K3920" s="274"/>
    </row>
    <row r="3921" spans="2:11" ht="13.5" customHeight="1">
      <c r="B3921" s="209" t="s">
        <v>1868</v>
      </c>
      <c r="C3921" s="209" t="s">
        <v>2984</v>
      </c>
      <c r="D3921" s="450" t="s">
        <v>137</v>
      </c>
      <c r="E3921" s="273">
        <v>0</v>
      </c>
      <c r="F3921" s="274"/>
      <c r="G3921" s="274">
        <f t="shared" si="15"/>
        <v>0</v>
      </c>
      <c r="H3921" s="274">
        <v>0</v>
      </c>
      <c r="K3921" s="274"/>
    </row>
    <row r="3922" spans="2:11" ht="13.5" customHeight="1">
      <c r="B3922" s="209" t="s">
        <v>1868</v>
      </c>
      <c r="C3922" s="209" t="s">
        <v>2984</v>
      </c>
      <c r="D3922" s="451" t="s">
        <v>138</v>
      </c>
      <c r="E3922" s="273">
        <v>0</v>
      </c>
      <c r="F3922" s="274"/>
      <c r="G3922" s="274">
        <f t="shared" si="15"/>
        <v>0</v>
      </c>
      <c r="H3922" s="274">
        <v>0</v>
      </c>
      <c r="K3922" s="274"/>
    </row>
    <row r="3923" spans="2:11" ht="13.5" customHeight="1">
      <c r="B3923" s="209" t="s">
        <v>1868</v>
      </c>
      <c r="C3923" s="209" t="s">
        <v>2984</v>
      </c>
      <c r="D3923" s="452" t="s">
        <v>139</v>
      </c>
      <c r="E3923" s="273">
        <v>0</v>
      </c>
      <c r="F3923" s="274"/>
      <c r="G3923" s="274">
        <f t="shared" si="15"/>
        <v>0</v>
      </c>
      <c r="H3923" s="274">
        <v>0</v>
      </c>
      <c r="K3923" s="274"/>
    </row>
    <row r="3924" spans="2:11" ht="13.5" customHeight="1">
      <c r="B3924" s="209" t="s">
        <v>1868</v>
      </c>
      <c r="C3924" s="209" t="s">
        <v>2984</v>
      </c>
      <c r="D3924" s="216" t="s">
        <v>140</v>
      </c>
      <c r="E3924" s="273">
        <v>0</v>
      </c>
      <c r="F3924" s="274"/>
      <c r="G3924" s="274">
        <f t="shared" si="15"/>
        <v>0</v>
      </c>
      <c r="H3924" s="274">
        <v>0</v>
      </c>
      <c r="K3924" s="274"/>
    </row>
    <row r="3925" spans="2:11" ht="13.5" customHeight="1">
      <c r="B3925" s="209" t="s">
        <v>1868</v>
      </c>
      <c r="C3925" s="209" t="s">
        <v>2984</v>
      </c>
      <c r="D3925" s="453" t="s">
        <v>141</v>
      </c>
      <c r="E3925" s="273">
        <v>0</v>
      </c>
      <c r="F3925" s="274"/>
      <c r="G3925" s="274">
        <f t="shared" si="15"/>
        <v>0</v>
      </c>
      <c r="H3925" s="274">
        <v>0</v>
      </c>
      <c r="K3925" s="274"/>
    </row>
    <row r="3926" spans="2:11" ht="13.5" customHeight="1">
      <c r="B3926" s="209" t="s">
        <v>1340</v>
      </c>
      <c r="C3926" s="209" t="s">
        <v>2985</v>
      </c>
      <c r="D3926" s="446" t="s">
        <v>133</v>
      </c>
      <c r="E3926" s="273">
        <v>0</v>
      </c>
      <c r="F3926" s="274"/>
      <c r="G3926" s="274">
        <f t="shared" si="15"/>
        <v>0</v>
      </c>
      <c r="H3926" s="274">
        <v>0</v>
      </c>
      <c r="K3926" s="274"/>
    </row>
    <row r="3927" spans="2:11" ht="13.5" customHeight="1">
      <c r="B3927" s="209" t="s">
        <v>1340</v>
      </c>
      <c r="C3927" s="209" t="s">
        <v>2985</v>
      </c>
      <c r="D3927" s="447" t="s">
        <v>134</v>
      </c>
      <c r="E3927" s="273">
        <v>0</v>
      </c>
      <c r="F3927" s="274"/>
      <c r="G3927" s="274">
        <f t="shared" si="15"/>
        <v>0</v>
      </c>
      <c r="H3927" s="274">
        <v>0</v>
      </c>
      <c r="K3927" s="274"/>
    </row>
    <row r="3928" spans="2:11" ht="13.5" customHeight="1">
      <c r="B3928" s="209" t="s">
        <v>1340</v>
      </c>
      <c r="C3928" s="209" t="s">
        <v>2985</v>
      </c>
      <c r="D3928" s="448" t="s">
        <v>135</v>
      </c>
      <c r="E3928" s="273">
        <v>0</v>
      </c>
      <c r="F3928" s="274"/>
      <c r="G3928" s="274">
        <f t="shared" si="15"/>
        <v>0</v>
      </c>
      <c r="H3928" s="274">
        <v>0</v>
      </c>
      <c r="K3928" s="274"/>
    </row>
    <row r="3929" spans="2:11" ht="13.5" customHeight="1">
      <c r="B3929" s="209" t="s">
        <v>1340</v>
      </c>
      <c r="C3929" s="209" t="s">
        <v>2985</v>
      </c>
      <c r="D3929" s="449" t="s">
        <v>136</v>
      </c>
      <c r="E3929" s="273">
        <v>0</v>
      </c>
      <c r="F3929" s="274"/>
      <c r="G3929" s="274">
        <f t="shared" si="15"/>
        <v>0</v>
      </c>
      <c r="H3929" s="274">
        <v>0</v>
      </c>
      <c r="K3929" s="274"/>
    </row>
    <row r="3930" spans="2:11" ht="13.5" customHeight="1">
      <c r="B3930" s="209" t="s">
        <v>1340</v>
      </c>
      <c r="C3930" s="209" t="s">
        <v>2985</v>
      </c>
      <c r="D3930" s="450" t="s">
        <v>137</v>
      </c>
      <c r="E3930" s="273">
        <v>0</v>
      </c>
      <c r="F3930" s="274"/>
      <c r="G3930" s="274">
        <f t="shared" si="15"/>
        <v>0</v>
      </c>
      <c r="H3930" s="274">
        <v>0</v>
      </c>
      <c r="K3930" s="274"/>
    </row>
    <row r="3931" spans="2:11" ht="13.5" customHeight="1">
      <c r="B3931" s="209" t="s">
        <v>1340</v>
      </c>
      <c r="C3931" s="209" t="s">
        <v>2985</v>
      </c>
      <c r="D3931" s="451" t="s">
        <v>138</v>
      </c>
      <c r="E3931" s="273">
        <v>0</v>
      </c>
      <c r="F3931" s="274"/>
      <c r="G3931" s="274">
        <f t="shared" si="15"/>
        <v>0</v>
      </c>
      <c r="H3931" s="274">
        <v>0</v>
      </c>
      <c r="K3931" s="274"/>
    </row>
    <row r="3932" spans="2:11" ht="13.5" customHeight="1">
      <c r="B3932" s="209" t="s">
        <v>1340</v>
      </c>
      <c r="C3932" s="209" t="s">
        <v>2985</v>
      </c>
      <c r="D3932" s="452" t="s">
        <v>139</v>
      </c>
      <c r="E3932" s="273">
        <v>0</v>
      </c>
      <c r="F3932" s="274"/>
      <c r="G3932" s="274">
        <f t="shared" si="15"/>
        <v>0</v>
      </c>
      <c r="H3932" s="274">
        <v>0</v>
      </c>
      <c r="K3932" s="274"/>
    </row>
    <row r="3933" spans="2:11" ht="13.5" customHeight="1">
      <c r="B3933" s="209" t="s">
        <v>1340</v>
      </c>
      <c r="C3933" s="209" t="s">
        <v>2985</v>
      </c>
      <c r="D3933" s="216" t="s">
        <v>140</v>
      </c>
      <c r="E3933" s="273">
        <v>0</v>
      </c>
      <c r="F3933" s="274"/>
      <c r="G3933" s="274">
        <f t="shared" si="15"/>
        <v>0</v>
      </c>
      <c r="H3933" s="274">
        <v>0</v>
      </c>
      <c r="K3933" s="274"/>
    </row>
    <row r="3934" spans="2:11" ht="13.5" customHeight="1">
      <c r="B3934" s="209" t="s">
        <v>1340</v>
      </c>
      <c r="C3934" s="209" t="s">
        <v>2985</v>
      </c>
      <c r="D3934" s="453" t="s">
        <v>141</v>
      </c>
      <c r="E3934" s="273">
        <v>0</v>
      </c>
      <c r="F3934" s="274"/>
      <c r="G3934" s="274">
        <f t="shared" si="15"/>
        <v>0</v>
      </c>
      <c r="H3934" s="274">
        <v>0</v>
      </c>
      <c r="K3934" s="274"/>
    </row>
    <row r="3935" spans="2:11" ht="13.5" customHeight="1">
      <c r="B3935" s="209" t="s">
        <v>1826</v>
      </c>
      <c r="C3935" s="209" t="s">
        <v>2986</v>
      </c>
      <c r="D3935" s="446" t="s">
        <v>133</v>
      </c>
      <c r="E3935" s="273">
        <v>0</v>
      </c>
      <c r="F3935" s="274"/>
      <c r="G3935" s="274">
        <f t="shared" si="15"/>
        <v>0</v>
      </c>
      <c r="H3935" s="274">
        <v>0</v>
      </c>
      <c r="K3935" s="274"/>
    </row>
    <row r="3936" spans="2:11" ht="13.5" customHeight="1">
      <c r="B3936" s="209" t="s">
        <v>1826</v>
      </c>
      <c r="C3936" s="209" t="s">
        <v>2986</v>
      </c>
      <c r="D3936" s="447" t="s">
        <v>134</v>
      </c>
      <c r="E3936" s="273">
        <v>0</v>
      </c>
      <c r="F3936" s="274"/>
      <c r="G3936" s="274">
        <f t="shared" si="15"/>
        <v>0</v>
      </c>
      <c r="H3936" s="274">
        <v>0</v>
      </c>
      <c r="K3936" s="274"/>
    </row>
    <row r="3937" spans="2:11" ht="13.5" customHeight="1">
      <c r="B3937" s="209" t="s">
        <v>1826</v>
      </c>
      <c r="C3937" s="209" t="s">
        <v>2986</v>
      </c>
      <c r="D3937" s="448" t="s">
        <v>135</v>
      </c>
      <c r="E3937" s="273">
        <v>0</v>
      </c>
      <c r="F3937" s="274"/>
      <c r="G3937" s="274">
        <f t="shared" si="15"/>
        <v>0</v>
      </c>
      <c r="H3937" s="274">
        <v>0</v>
      </c>
      <c r="K3937" s="274"/>
    </row>
    <row r="3938" spans="2:11" ht="13.5" customHeight="1">
      <c r="B3938" s="209" t="s">
        <v>1826</v>
      </c>
      <c r="C3938" s="209" t="s">
        <v>2986</v>
      </c>
      <c r="D3938" s="449" t="s">
        <v>136</v>
      </c>
      <c r="E3938" s="273">
        <v>0</v>
      </c>
      <c r="F3938" s="274"/>
      <c r="G3938" s="274">
        <f t="shared" si="15"/>
        <v>0</v>
      </c>
      <c r="H3938" s="274">
        <v>0</v>
      </c>
      <c r="K3938" s="274"/>
    </row>
    <row r="3939" spans="2:11" ht="13.5" customHeight="1">
      <c r="B3939" s="209" t="s">
        <v>1826</v>
      </c>
      <c r="C3939" s="209" t="s">
        <v>2986</v>
      </c>
      <c r="D3939" s="450" t="s">
        <v>137</v>
      </c>
      <c r="E3939" s="273">
        <v>0</v>
      </c>
      <c r="F3939" s="274"/>
      <c r="G3939" s="274">
        <f t="shared" si="15"/>
        <v>0</v>
      </c>
      <c r="H3939" s="274">
        <v>0</v>
      </c>
      <c r="K3939" s="274"/>
    </row>
    <row r="3940" spans="2:11" ht="13.5" customHeight="1">
      <c r="B3940" s="209" t="s">
        <v>1826</v>
      </c>
      <c r="C3940" s="209" t="s">
        <v>2986</v>
      </c>
      <c r="D3940" s="451" t="s">
        <v>138</v>
      </c>
      <c r="E3940" s="273">
        <v>0</v>
      </c>
      <c r="F3940" s="274"/>
      <c r="G3940" s="274">
        <f t="shared" si="15"/>
        <v>0</v>
      </c>
      <c r="H3940" s="274">
        <v>0</v>
      </c>
      <c r="K3940" s="274"/>
    </row>
    <row r="3941" spans="2:11" ht="13.5" customHeight="1">
      <c r="B3941" s="209" t="s">
        <v>1826</v>
      </c>
      <c r="C3941" s="209" t="s">
        <v>2986</v>
      </c>
      <c r="D3941" s="452" t="s">
        <v>139</v>
      </c>
      <c r="E3941" s="273">
        <v>0</v>
      </c>
      <c r="F3941" s="274"/>
      <c r="G3941" s="274">
        <f t="shared" si="15"/>
        <v>0</v>
      </c>
      <c r="H3941" s="274">
        <v>0</v>
      </c>
      <c r="K3941" s="274"/>
    </row>
    <row r="3942" spans="2:11" ht="13.5" customHeight="1">
      <c r="B3942" s="209" t="s">
        <v>1826</v>
      </c>
      <c r="C3942" s="209" t="s">
        <v>2986</v>
      </c>
      <c r="D3942" s="216" t="s">
        <v>140</v>
      </c>
      <c r="E3942" s="273">
        <v>0</v>
      </c>
      <c r="F3942" s="274"/>
      <c r="G3942" s="274">
        <f t="shared" si="15"/>
        <v>0</v>
      </c>
      <c r="H3942" s="274">
        <v>0</v>
      </c>
      <c r="K3942" s="274"/>
    </row>
    <row r="3943" spans="2:11" ht="13.5" customHeight="1">
      <c r="B3943" s="209" t="s">
        <v>1826</v>
      </c>
      <c r="C3943" s="209" t="s">
        <v>2986</v>
      </c>
      <c r="D3943" s="453" t="s">
        <v>141</v>
      </c>
      <c r="E3943" s="273">
        <v>0</v>
      </c>
      <c r="F3943" s="274"/>
      <c r="G3943" s="274">
        <f t="shared" si="15"/>
        <v>0</v>
      </c>
      <c r="H3943" s="274">
        <v>0</v>
      </c>
      <c r="K3943" s="274"/>
    </row>
    <row r="3944" spans="2:11" ht="13.5" customHeight="1">
      <c r="B3944" s="209" t="s">
        <v>1852</v>
      </c>
      <c r="C3944" s="209" t="s">
        <v>2987</v>
      </c>
      <c r="D3944" s="446" t="s">
        <v>133</v>
      </c>
      <c r="E3944" s="273">
        <v>0</v>
      </c>
      <c r="F3944" s="274"/>
      <c r="G3944" s="274">
        <f t="shared" si="15"/>
        <v>0</v>
      </c>
      <c r="H3944" s="274">
        <v>0</v>
      </c>
      <c r="K3944" s="274"/>
    </row>
    <row r="3945" spans="2:11" ht="13.5" customHeight="1">
      <c r="B3945" s="209" t="s">
        <v>1852</v>
      </c>
      <c r="C3945" s="209" t="s">
        <v>2987</v>
      </c>
      <c r="D3945" s="447" t="s">
        <v>134</v>
      </c>
      <c r="E3945" s="273">
        <v>0</v>
      </c>
      <c r="F3945" s="274"/>
      <c r="G3945" s="274">
        <f t="shared" si="15"/>
        <v>0</v>
      </c>
      <c r="H3945" s="274">
        <v>0</v>
      </c>
      <c r="K3945" s="274"/>
    </row>
    <row r="3946" spans="2:11" ht="13.5" customHeight="1">
      <c r="B3946" s="209" t="s">
        <v>1852</v>
      </c>
      <c r="C3946" s="209" t="s">
        <v>2987</v>
      </c>
      <c r="D3946" s="448" t="s">
        <v>135</v>
      </c>
      <c r="E3946" s="273">
        <v>0</v>
      </c>
      <c r="F3946" s="274"/>
      <c r="G3946" s="274">
        <f t="shared" si="15"/>
        <v>0</v>
      </c>
      <c r="H3946" s="274">
        <v>0</v>
      </c>
      <c r="K3946" s="274"/>
    </row>
    <row r="3947" spans="2:11" ht="13.5" customHeight="1">
      <c r="B3947" s="209" t="s">
        <v>1852</v>
      </c>
      <c r="C3947" s="209" t="s">
        <v>2987</v>
      </c>
      <c r="D3947" s="449" t="s">
        <v>136</v>
      </c>
      <c r="E3947" s="273">
        <v>0</v>
      </c>
      <c r="F3947" s="274"/>
      <c r="G3947" s="274">
        <f t="shared" si="15"/>
        <v>0</v>
      </c>
      <c r="H3947" s="274">
        <v>0</v>
      </c>
      <c r="K3947" s="274"/>
    </row>
    <row r="3948" spans="2:11" ht="13.5" customHeight="1">
      <c r="B3948" s="209" t="s">
        <v>1852</v>
      </c>
      <c r="C3948" s="209" t="s">
        <v>2987</v>
      </c>
      <c r="D3948" s="450" t="s">
        <v>137</v>
      </c>
      <c r="E3948" s="273">
        <v>0</v>
      </c>
      <c r="F3948" s="274"/>
      <c r="G3948" s="274">
        <f t="shared" si="15"/>
        <v>0</v>
      </c>
      <c r="H3948" s="274">
        <v>0</v>
      </c>
      <c r="K3948" s="274"/>
    </row>
    <row r="3949" spans="2:11" ht="13.5" customHeight="1">
      <c r="B3949" s="209" t="s">
        <v>1852</v>
      </c>
      <c r="C3949" s="209" t="s">
        <v>2987</v>
      </c>
      <c r="D3949" s="451" t="s">
        <v>138</v>
      </c>
      <c r="E3949" s="273">
        <v>0</v>
      </c>
      <c r="F3949" s="274"/>
      <c r="G3949" s="274">
        <f t="shared" si="15"/>
        <v>0</v>
      </c>
      <c r="H3949" s="274">
        <v>0</v>
      </c>
      <c r="K3949" s="274"/>
    </row>
    <row r="3950" spans="2:11" ht="13.5" customHeight="1">
      <c r="B3950" s="209" t="s">
        <v>1852</v>
      </c>
      <c r="C3950" s="209" t="s">
        <v>2987</v>
      </c>
      <c r="D3950" s="452" t="s">
        <v>139</v>
      </c>
      <c r="E3950" s="273">
        <v>0</v>
      </c>
      <c r="F3950" s="274"/>
      <c r="G3950" s="274">
        <f t="shared" si="15"/>
        <v>0</v>
      </c>
      <c r="H3950" s="274">
        <v>0</v>
      </c>
      <c r="K3950" s="274"/>
    </row>
    <row r="3951" spans="2:11" ht="13.5" customHeight="1">
      <c r="B3951" s="209" t="s">
        <v>1852</v>
      </c>
      <c r="C3951" s="209" t="s">
        <v>2987</v>
      </c>
      <c r="D3951" s="216" t="s">
        <v>140</v>
      </c>
      <c r="E3951" s="273">
        <v>0</v>
      </c>
      <c r="F3951" s="274"/>
      <c r="G3951" s="274">
        <f t="shared" si="15"/>
        <v>0</v>
      </c>
      <c r="H3951" s="274">
        <v>0</v>
      </c>
      <c r="K3951" s="274"/>
    </row>
    <row r="3952" spans="2:11" ht="13.5" customHeight="1">
      <c r="B3952" s="209" t="s">
        <v>1852</v>
      </c>
      <c r="C3952" s="209" t="s">
        <v>2987</v>
      </c>
      <c r="D3952" s="453" t="s">
        <v>141</v>
      </c>
      <c r="E3952" s="273">
        <v>0</v>
      </c>
      <c r="F3952" s="274"/>
      <c r="G3952" s="274">
        <f t="shared" si="15"/>
        <v>0</v>
      </c>
      <c r="H3952" s="274">
        <v>0</v>
      </c>
      <c r="K3952" s="274"/>
    </row>
    <row r="3953" spans="2:11" ht="13.5" customHeight="1">
      <c r="B3953" s="209" t="s">
        <v>1807</v>
      </c>
      <c r="C3953" s="209" t="s">
        <v>2988</v>
      </c>
      <c r="D3953" s="446" t="s">
        <v>133</v>
      </c>
      <c r="E3953" s="273">
        <v>0</v>
      </c>
      <c r="F3953" s="274"/>
      <c r="G3953" s="274">
        <f t="shared" si="15"/>
        <v>0</v>
      </c>
      <c r="H3953" s="274">
        <v>0</v>
      </c>
      <c r="K3953" s="274"/>
    </row>
    <row r="3954" spans="2:11" ht="13.5" customHeight="1">
      <c r="B3954" s="209" t="s">
        <v>1807</v>
      </c>
      <c r="C3954" s="209" t="s">
        <v>2988</v>
      </c>
      <c r="D3954" s="447" t="s">
        <v>134</v>
      </c>
      <c r="E3954" s="273">
        <v>0</v>
      </c>
      <c r="F3954" s="274"/>
      <c r="G3954" s="274">
        <f t="shared" si="15"/>
        <v>0</v>
      </c>
      <c r="H3954" s="274">
        <v>0</v>
      </c>
      <c r="K3954" s="274"/>
    </row>
    <row r="3955" spans="2:11" ht="13.5" customHeight="1">
      <c r="B3955" s="209" t="s">
        <v>1807</v>
      </c>
      <c r="C3955" s="209" t="s">
        <v>2988</v>
      </c>
      <c r="D3955" s="448" t="s">
        <v>135</v>
      </c>
      <c r="E3955" s="273">
        <v>0</v>
      </c>
      <c r="F3955" s="274"/>
      <c r="G3955" s="274">
        <f t="shared" si="15"/>
        <v>0</v>
      </c>
      <c r="H3955" s="274">
        <v>0</v>
      </c>
      <c r="K3955" s="274"/>
    </row>
    <row r="3956" spans="2:11" ht="13.5" customHeight="1">
      <c r="B3956" s="209" t="s">
        <v>1807</v>
      </c>
      <c r="C3956" s="209" t="s">
        <v>2988</v>
      </c>
      <c r="D3956" s="449" t="s">
        <v>136</v>
      </c>
      <c r="E3956" s="273">
        <v>0</v>
      </c>
      <c r="F3956" s="274"/>
      <c r="G3956" s="274">
        <f t="shared" si="15"/>
        <v>0</v>
      </c>
      <c r="H3956" s="274">
        <v>0</v>
      </c>
      <c r="K3956" s="274"/>
    </row>
    <row r="3957" spans="2:11" ht="13.5" customHeight="1">
      <c r="B3957" s="209" t="s">
        <v>1807</v>
      </c>
      <c r="C3957" s="209" t="s">
        <v>2988</v>
      </c>
      <c r="D3957" s="450" t="s">
        <v>137</v>
      </c>
      <c r="E3957" s="273">
        <v>0</v>
      </c>
      <c r="F3957" s="274"/>
      <c r="G3957" s="274">
        <f t="shared" si="15"/>
        <v>0</v>
      </c>
      <c r="H3957" s="274">
        <v>0</v>
      </c>
      <c r="K3957" s="274"/>
    </row>
    <row r="3958" spans="2:11" ht="13.5" customHeight="1">
      <c r="B3958" s="209" t="s">
        <v>1807</v>
      </c>
      <c r="C3958" s="209" t="s">
        <v>2988</v>
      </c>
      <c r="D3958" s="451" t="s">
        <v>138</v>
      </c>
      <c r="E3958" s="273">
        <v>0</v>
      </c>
      <c r="F3958" s="274"/>
      <c r="G3958" s="274">
        <f t="shared" si="15"/>
        <v>0</v>
      </c>
      <c r="H3958" s="274">
        <v>0</v>
      </c>
      <c r="K3958" s="274"/>
    </row>
    <row r="3959" spans="2:11" ht="13.5" customHeight="1">
      <c r="B3959" s="209" t="s">
        <v>1807</v>
      </c>
      <c r="C3959" s="209" t="s">
        <v>2988</v>
      </c>
      <c r="D3959" s="452" t="s">
        <v>139</v>
      </c>
      <c r="E3959" s="273">
        <v>0</v>
      </c>
      <c r="F3959" s="274"/>
      <c r="G3959" s="274">
        <f t="shared" si="15"/>
        <v>0</v>
      </c>
      <c r="H3959" s="274">
        <v>0</v>
      </c>
      <c r="K3959" s="274"/>
    </row>
    <row r="3960" spans="2:11" ht="13.5" customHeight="1">
      <c r="B3960" s="209" t="s">
        <v>1807</v>
      </c>
      <c r="C3960" s="209" t="s">
        <v>2988</v>
      </c>
      <c r="D3960" s="216" t="s">
        <v>140</v>
      </c>
      <c r="E3960" s="273">
        <v>0</v>
      </c>
      <c r="F3960" s="274"/>
      <c r="G3960" s="274">
        <f t="shared" si="15"/>
        <v>0</v>
      </c>
      <c r="H3960" s="274">
        <v>0</v>
      </c>
      <c r="K3960" s="274"/>
    </row>
    <row r="3961" spans="2:11" ht="13.5" customHeight="1">
      <c r="B3961" s="209" t="s">
        <v>1807</v>
      </c>
      <c r="C3961" s="209" t="s">
        <v>2988</v>
      </c>
      <c r="D3961" s="453" t="s">
        <v>141</v>
      </c>
      <c r="E3961" s="273">
        <v>0</v>
      </c>
      <c r="F3961" s="274"/>
      <c r="G3961" s="274">
        <f t="shared" si="15"/>
        <v>0</v>
      </c>
      <c r="H3961" s="274">
        <v>0</v>
      </c>
      <c r="K3961" s="274"/>
    </row>
    <row r="3962" spans="2:11" ht="13.5" customHeight="1">
      <c r="B3962" s="209" t="s">
        <v>1805</v>
      </c>
      <c r="C3962" s="209" t="s">
        <v>2989</v>
      </c>
      <c r="D3962" s="446" t="s">
        <v>133</v>
      </c>
      <c r="E3962" s="273">
        <v>0</v>
      </c>
      <c r="F3962" s="274"/>
      <c r="G3962" s="274">
        <f t="shared" si="15"/>
        <v>0</v>
      </c>
      <c r="H3962" s="274">
        <v>0</v>
      </c>
      <c r="K3962" s="274"/>
    </row>
    <row r="3963" spans="2:11" ht="13.5" customHeight="1">
      <c r="B3963" s="209" t="s">
        <v>1805</v>
      </c>
      <c r="C3963" s="209" t="s">
        <v>2989</v>
      </c>
      <c r="D3963" s="447" t="s">
        <v>134</v>
      </c>
      <c r="E3963" s="273">
        <v>0</v>
      </c>
      <c r="F3963" s="274"/>
      <c r="G3963" s="274">
        <f t="shared" si="15"/>
        <v>0</v>
      </c>
      <c r="H3963" s="274">
        <v>0</v>
      </c>
      <c r="K3963" s="274"/>
    </row>
    <row r="3964" spans="2:11" ht="13.5" customHeight="1">
      <c r="B3964" s="209" t="s">
        <v>1805</v>
      </c>
      <c r="C3964" s="209" t="s">
        <v>2989</v>
      </c>
      <c r="D3964" s="448" t="s">
        <v>135</v>
      </c>
      <c r="E3964" s="273">
        <v>0</v>
      </c>
      <c r="F3964" s="274"/>
      <c r="G3964" s="274">
        <f t="shared" si="15"/>
        <v>0</v>
      </c>
      <c r="H3964" s="274">
        <v>0</v>
      </c>
      <c r="K3964" s="274"/>
    </row>
    <row r="3965" spans="2:11" ht="13.5" customHeight="1">
      <c r="B3965" s="209" t="s">
        <v>1805</v>
      </c>
      <c r="C3965" s="209" t="s">
        <v>2989</v>
      </c>
      <c r="D3965" s="449" t="s">
        <v>136</v>
      </c>
      <c r="E3965" s="273">
        <v>0</v>
      </c>
      <c r="F3965" s="274"/>
      <c r="G3965" s="274">
        <f t="shared" si="15"/>
        <v>0</v>
      </c>
      <c r="H3965" s="274">
        <v>0</v>
      </c>
      <c r="K3965" s="274"/>
    </row>
    <row r="3966" spans="2:11" ht="13.5" customHeight="1">
      <c r="B3966" s="209" t="s">
        <v>1805</v>
      </c>
      <c r="C3966" s="209" t="s">
        <v>2989</v>
      </c>
      <c r="D3966" s="450" t="s">
        <v>137</v>
      </c>
      <c r="E3966" s="273">
        <v>0</v>
      </c>
      <c r="F3966" s="274"/>
      <c r="G3966" s="274">
        <f t="shared" si="15"/>
        <v>0</v>
      </c>
      <c r="H3966" s="274">
        <v>0</v>
      </c>
      <c r="K3966" s="274"/>
    </row>
    <row r="3967" spans="2:11" ht="13.5" customHeight="1">
      <c r="B3967" s="209" t="s">
        <v>1805</v>
      </c>
      <c r="C3967" s="209" t="s">
        <v>2989</v>
      </c>
      <c r="D3967" s="451" t="s">
        <v>138</v>
      </c>
      <c r="E3967" s="273">
        <v>0</v>
      </c>
      <c r="F3967" s="274"/>
      <c r="G3967" s="274">
        <f t="shared" si="15"/>
        <v>0</v>
      </c>
      <c r="H3967" s="274">
        <v>0</v>
      </c>
      <c r="K3967" s="274"/>
    </row>
    <row r="3968" spans="2:11" ht="13.5" customHeight="1">
      <c r="B3968" s="209" t="s">
        <v>1805</v>
      </c>
      <c r="C3968" s="209" t="s">
        <v>2989</v>
      </c>
      <c r="D3968" s="452" t="s">
        <v>139</v>
      </c>
      <c r="E3968" s="273">
        <v>0</v>
      </c>
      <c r="F3968" s="274"/>
      <c r="G3968" s="274">
        <f t="shared" si="15"/>
        <v>0</v>
      </c>
      <c r="H3968" s="274">
        <v>0</v>
      </c>
      <c r="K3968" s="274"/>
    </row>
    <row r="3969" spans="2:11" ht="13.5" customHeight="1">
      <c r="B3969" s="209" t="s">
        <v>1805</v>
      </c>
      <c r="C3969" s="209" t="s">
        <v>2989</v>
      </c>
      <c r="D3969" s="216" t="s">
        <v>140</v>
      </c>
      <c r="E3969" s="273">
        <v>0</v>
      </c>
      <c r="F3969" s="274"/>
      <c r="G3969" s="274">
        <f t="shared" si="15"/>
        <v>0</v>
      </c>
      <c r="H3969" s="274">
        <v>0</v>
      </c>
      <c r="K3969" s="274"/>
    </row>
    <row r="3970" spans="2:11" ht="13.5" customHeight="1">
      <c r="B3970" s="209" t="s">
        <v>1805</v>
      </c>
      <c r="C3970" s="209" t="s">
        <v>2989</v>
      </c>
      <c r="D3970" s="453" t="s">
        <v>141</v>
      </c>
      <c r="E3970" s="273">
        <v>0</v>
      </c>
      <c r="F3970" s="274"/>
      <c r="G3970" s="274">
        <f t="shared" si="15"/>
        <v>0</v>
      </c>
      <c r="H3970" s="274">
        <v>0</v>
      </c>
      <c r="K3970" s="274"/>
    </row>
    <row r="3971" spans="2:11" ht="13.5" customHeight="1">
      <c r="B3971" s="209" t="s">
        <v>1835</v>
      </c>
      <c r="C3971" s="209" t="s">
        <v>2990</v>
      </c>
      <c r="D3971" s="446" t="s">
        <v>133</v>
      </c>
      <c r="E3971" s="273">
        <v>0</v>
      </c>
      <c r="F3971" s="274"/>
      <c r="G3971" s="274">
        <f t="shared" si="15"/>
        <v>0</v>
      </c>
      <c r="H3971" s="274">
        <v>0</v>
      </c>
      <c r="K3971" s="274"/>
    </row>
    <row r="3972" spans="2:11" ht="13.5" customHeight="1">
      <c r="B3972" s="209" t="s">
        <v>1835</v>
      </c>
      <c r="C3972" s="209" t="s">
        <v>2990</v>
      </c>
      <c r="D3972" s="447" t="s">
        <v>134</v>
      </c>
      <c r="E3972" s="273">
        <v>0</v>
      </c>
      <c r="F3972" s="274"/>
      <c r="G3972" s="274">
        <f t="shared" si="15"/>
        <v>0</v>
      </c>
      <c r="H3972" s="274">
        <v>0</v>
      </c>
      <c r="K3972" s="274"/>
    </row>
    <row r="3973" spans="2:11" ht="13.5" customHeight="1">
      <c r="B3973" s="209" t="s">
        <v>1835</v>
      </c>
      <c r="C3973" s="209" t="s">
        <v>2990</v>
      </c>
      <c r="D3973" s="448" t="s">
        <v>135</v>
      </c>
      <c r="E3973" s="273">
        <v>0</v>
      </c>
      <c r="F3973" s="274"/>
      <c r="G3973" s="274">
        <f t="shared" si="15"/>
        <v>0</v>
      </c>
      <c r="H3973" s="274">
        <v>0</v>
      </c>
      <c r="K3973" s="274"/>
    </row>
    <row r="3974" spans="2:11" ht="13.5" customHeight="1">
      <c r="B3974" s="209" t="s">
        <v>1835</v>
      </c>
      <c r="C3974" s="209" t="s">
        <v>2990</v>
      </c>
      <c r="D3974" s="449" t="s">
        <v>136</v>
      </c>
      <c r="E3974" s="273">
        <v>0</v>
      </c>
      <c r="F3974" s="274"/>
      <c r="G3974" s="274">
        <f t="shared" si="15"/>
        <v>0</v>
      </c>
      <c r="H3974" s="274">
        <v>0</v>
      </c>
      <c r="K3974" s="274"/>
    </row>
    <row r="3975" spans="2:11" ht="13.5" customHeight="1">
      <c r="B3975" s="209" t="s">
        <v>1835</v>
      </c>
      <c r="C3975" s="209" t="s">
        <v>2990</v>
      </c>
      <c r="D3975" s="450" t="s">
        <v>137</v>
      </c>
      <c r="E3975" s="273">
        <v>0</v>
      </c>
      <c r="F3975" s="274"/>
      <c r="G3975" s="274">
        <f t="shared" si="15"/>
        <v>0</v>
      </c>
      <c r="H3975" s="274">
        <v>0</v>
      </c>
      <c r="K3975" s="274"/>
    </row>
    <row r="3976" spans="2:11" ht="13.5" customHeight="1">
      <c r="B3976" s="209" t="s">
        <v>1835</v>
      </c>
      <c r="C3976" s="209" t="s">
        <v>2990</v>
      </c>
      <c r="D3976" s="451" t="s">
        <v>138</v>
      </c>
      <c r="E3976" s="273">
        <v>0</v>
      </c>
      <c r="F3976" s="274"/>
      <c r="G3976" s="274">
        <f t="shared" si="15"/>
        <v>0</v>
      </c>
      <c r="H3976" s="274">
        <v>0</v>
      </c>
      <c r="K3976" s="274"/>
    </row>
    <row r="3977" spans="2:11" ht="13.5" customHeight="1">
      <c r="B3977" s="209" t="s">
        <v>1835</v>
      </c>
      <c r="C3977" s="209" t="s">
        <v>2990</v>
      </c>
      <c r="D3977" s="452" t="s">
        <v>139</v>
      </c>
      <c r="E3977" s="273">
        <v>0</v>
      </c>
      <c r="F3977" s="274"/>
      <c r="G3977" s="274">
        <f t="shared" si="15"/>
        <v>0</v>
      </c>
      <c r="H3977" s="274">
        <v>0</v>
      </c>
      <c r="K3977" s="274"/>
    </row>
    <row r="3978" spans="2:11" ht="13.5" customHeight="1">
      <c r="B3978" s="209" t="s">
        <v>1835</v>
      </c>
      <c r="C3978" s="209" t="s">
        <v>2990</v>
      </c>
      <c r="D3978" s="216" t="s">
        <v>140</v>
      </c>
      <c r="E3978" s="273">
        <v>0</v>
      </c>
      <c r="F3978" s="274"/>
      <c r="G3978" s="274">
        <f t="shared" si="15"/>
        <v>0</v>
      </c>
      <c r="H3978" s="274">
        <v>0</v>
      </c>
      <c r="K3978" s="274"/>
    </row>
    <row r="3979" spans="2:11" ht="13.5" customHeight="1">
      <c r="B3979" s="209" t="s">
        <v>1835</v>
      </c>
      <c r="C3979" s="209" t="s">
        <v>2990</v>
      </c>
      <c r="D3979" s="453" t="s">
        <v>141</v>
      </c>
      <c r="E3979" s="273">
        <v>0</v>
      </c>
      <c r="F3979" s="274"/>
      <c r="G3979" s="274">
        <f t="shared" si="15"/>
        <v>0</v>
      </c>
      <c r="H3979" s="274">
        <v>0</v>
      </c>
      <c r="K3979" s="274"/>
    </row>
    <row r="3980" spans="2:11" ht="13.5" customHeight="1">
      <c r="B3980" s="209" t="s">
        <v>1284</v>
      </c>
      <c r="C3980" s="209" t="s">
        <v>2991</v>
      </c>
      <c r="D3980" s="446" t="s">
        <v>133</v>
      </c>
      <c r="E3980" s="273">
        <v>0</v>
      </c>
      <c r="F3980" s="274"/>
      <c r="G3980" s="274">
        <f t="shared" si="15"/>
        <v>0</v>
      </c>
      <c r="H3980" s="274">
        <v>0</v>
      </c>
      <c r="K3980" s="274"/>
    </row>
    <row r="3981" spans="2:11" ht="13.5" customHeight="1">
      <c r="B3981" s="209" t="s">
        <v>1284</v>
      </c>
      <c r="C3981" s="209" t="s">
        <v>2991</v>
      </c>
      <c r="D3981" s="447" t="s">
        <v>134</v>
      </c>
      <c r="E3981" s="273">
        <v>0</v>
      </c>
      <c r="F3981" s="274"/>
      <c r="G3981" s="274">
        <f t="shared" si="15"/>
        <v>0</v>
      </c>
      <c r="H3981" s="274">
        <v>0</v>
      </c>
      <c r="K3981" s="274"/>
    </row>
    <row r="3982" spans="2:11" ht="13.5" customHeight="1">
      <c r="B3982" s="209" t="s">
        <v>1284</v>
      </c>
      <c r="C3982" s="209" t="s">
        <v>2991</v>
      </c>
      <c r="D3982" s="448" t="s">
        <v>135</v>
      </c>
      <c r="E3982" s="273">
        <v>0</v>
      </c>
      <c r="F3982" s="274"/>
      <c r="G3982" s="274">
        <f t="shared" si="15"/>
        <v>0</v>
      </c>
      <c r="H3982" s="274">
        <v>0</v>
      </c>
      <c r="K3982" s="274"/>
    </row>
    <row r="3983" spans="2:11" ht="13.5" customHeight="1">
      <c r="B3983" s="209" t="s">
        <v>1284</v>
      </c>
      <c r="C3983" s="209" t="s">
        <v>2991</v>
      </c>
      <c r="D3983" s="449" t="s">
        <v>136</v>
      </c>
      <c r="E3983" s="273">
        <v>0</v>
      </c>
      <c r="F3983" s="274"/>
      <c r="G3983" s="274">
        <f t="shared" si="15"/>
        <v>0</v>
      </c>
      <c r="H3983" s="274">
        <v>0</v>
      </c>
      <c r="K3983" s="274"/>
    </row>
    <row r="3984" spans="2:11" ht="13.5" customHeight="1">
      <c r="B3984" s="209" t="s">
        <v>1284</v>
      </c>
      <c r="C3984" s="209" t="s">
        <v>2991</v>
      </c>
      <c r="D3984" s="450" t="s">
        <v>137</v>
      </c>
      <c r="E3984" s="273">
        <v>0</v>
      </c>
      <c r="F3984" s="274"/>
      <c r="G3984" s="274">
        <f t="shared" si="15"/>
        <v>0</v>
      </c>
      <c r="H3984" s="274">
        <v>0</v>
      </c>
      <c r="K3984" s="274"/>
    </row>
    <row r="3985" spans="2:11" ht="13.5" customHeight="1">
      <c r="B3985" s="209" t="s">
        <v>1284</v>
      </c>
      <c r="C3985" s="209" t="s">
        <v>2991</v>
      </c>
      <c r="D3985" s="451" t="s">
        <v>138</v>
      </c>
      <c r="E3985" s="273">
        <v>0</v>
      </c>
      <c r="F3985" s="274"/>
      <c r="G3985" s="274">
        <f t="shared" si="15"/>
        <v>0</v>
      </c>
      <c r="H3985" s="274">
        <v>0</v>
      </c>
      <c r="K3985" s="274"/>
    </row>
    <row r="3986" spans="2:11" ht="13.5" customHeight="1">
      <c r="B3986" s="209" t="s">
        <v>1284</v>
      </c>
      <c r="C3986" s="209" t="s">
        <v>2991</v>
      </c>
      <c r="D3986" s="452" t="s">
        <v>139</v>
      </c>
      <c r="E3986" s="273">
        <v>0</v>
      </c>
      <c r="F3986" s="274"/>
      <c r="G3986" s="274">
        <f t="shared" si="15"/>
        <v>0</v>
      </c>
      <c r="H3986" s="274">
        <v>0</v>
      </c>
      <c r="K3986" s="274"/>
    </row>
    <row r="3987" spans="2:11" ht="13.5" customHeight="1">
      <c r="B3987" s="209" t="s">
        <v>1284</v>
      </c>
      <c r="C3987" s="209" t="s">
        <v>2991</v>
      </c>
      <c r="D3987" s="216" t="s">
        <v>140</v>
      </c>
      <c r="E3987" s="273">
        <v>0</v>
      </c>
      <c r="F3987" s="274"/>
      <c r="G3987" s="274">
        <f t="shared" si="15"/>
        <v>0</v>
      </c>
      <c r="H3987" s="274">
        <v>0</v>
      </c>
      <c r="K3987" s="274"/>
    </row>
    <row r="3988" spans="2:11" ht="13.5" customHeight="1">
      <c r="B3988" s="209" t="s">
        <v>1284</v>
      </c>
      <c r="C3988" s="209" t="s">
        <v>2991</v>
      </c>
      <c r="D3988" s="453" t="s">
        <v>141</v>
      </c>
      <c r="E3988" s="273">
        <v>0</v>
      </c>
      <c r="F3988" s="274"/>
      <c r="G3988" s="274">
        <f t="shared" si="15"/>
        <v>0</v>
      </c>
      <c r="H3988" s="274">
        <v>0</v>
      </c>
      <c r="K3988" s="274"/>
    </row>
    <row r="3989" spans="2:11" ht="13.5" customHeight="1">
      <c r="B3989" s="209" t="s">
        <v>1870</v>
      </c>
      <c r="C3989" s="209" t="s">
        <v>2992</v>
      </c>
      <c r="D3989" s="446" t="s">
        <v>133</v>
      </c>
      <c r="E3989" s="273">
        <v>0</v>
      </c>
      <c r="F3989" s="274"/>
      <c r="G3989" s="274">
        <f t="shared" si="15"/>
        <v>0</v>
      </c>
      <c r="H3989" s="274">
        <v>0</v>
      </c>
      <c r="K3989" s="274"/>
    </row>
    <row r="3990" spans="2:11" ht="13.5" customHeight="1">
      <c r="B3990" s="209" t="s">
        <v>1870</v>
      </c>
      <c r="C3990" s="209" t="s">
        <v>2992</v>
      </c>
      <c r="D3990" s="447" t="s">
        <v>134</v>
      </c>
      <c r="E3990" s="273">
        <v>0</v>
      </c>
      <c r="F3990" s="274"/>
      <c r="G3990" s="274">
        <f t="shared" si="15"/>
        <v>0</v>
      </c>
      <c r="H3990" s="274">
        <v>0</v>
      </c>
      <c r="K3990" s="274"/>
    </row>
    <row r="3991" spans="2:11" ht="13.5" customHeight="1">
      <c r="B3991" s="209" t="s">
        <v>1870</v>
      </c>
      <c r="C3991" s="209" t="s">
        <v>2992</v>
      </c>
      <c r="D3991" s="448" t="s">
        <v>135</v>
      </c>
      <c r="E3991" s="273">
        <v>0</v>
      </c>
      <c r="F3991" s="274"/>
      <c r="G3991" s="274">
        <f t="shared" si="15"/>
        <v>0</v>
      </c>
      <c r="H3991" s="274">
        <v>0</v>
      </c>
      <c r="K3991" s="274"/>
    </row>
    <row r="3992" spans="2:11" ht="13.5" customHeight="1">
      <c r="B3992" s="209" t="s">
        <v>1870</v>
      </c>
      <c r="C3992" s="209" t="s">
        <v>2992</v>
      </c>
      <c r="D3992" s="449" t="s">
        <v>136</v>
      </c>
      <c r="E3992" s="273">
        <v>0</v>
      </c>
      <c r="F3992" s="274"/>
      <c r="G3992" s="274">
        <f t="shared" si="15"/>
        <v>0</v>
      </c>
      <c r="H3992" s="274">
        <v>0</v>
      </c>
      <c r="K3992" s="274"/>
    </row>
    <row r="3993" spans="2:11" ht="13.5" customHeight="1">
      <c r="B3993" s="209" t="s">
        <v>1870</v>
      </c>
      <c r="C3993" s="209" t="s">
        <v>2992</v>
      </c>
      <c r="D3993" s="450" t="s">
        <v>137</v>
      </c>
      <c r="E3993" s="273">
        <v>0</v>
      </c>
      <c r="F3993" s="274"/>
      <c r="G3993" s="274">
        <f t="shared" si="15"/>
        <v>0</v>
      </c>
      <c r="H3993" s="274">
        <v>0</v>
      </c>
      <c r="K3993" s="274"/>
    </row>
    <row r="3994" spans="2:11" ht="13.5" customHeight="1">
      <c r="B3994" s="209" t="s">
        <v>1870</v>
      </c>
      <c r="C3994" s="209" t="s">
        <v>2992</v>
      </c>
      <c r="D3994" s="451" t="s">
        <v>138</v>
      </c>
      <c r="E3994" s="273">
        <v>0</v>
      </c>
      <c r="F3994" s="274"/>
      <c r="G3994" s="274">
        <f t="shared" si="15"/>
        <v>0</v>
      </c>
      <c r="H3994" s="274">
        <v>0</v>
      </c>
      <c r="K3994" s="274"/>
    </row>
    <row r="3995" spans="2:11" ht="13.5" customHeight="1">
      <c r="B3995" s="209" t="s">
        <v>1870</v>
      </c>
      <c r="C3995" s="209" t="s">
        <v>2992</v>
      </c>
      <c r="D3995" s="452" t="s">
        <v>139</v>
      </c>
      <c r="E3995" s="273">
        <v>0</v>
      </c>
      <c r="F3995" s="274"/>
      <c r="G3995" s="274">
        <f t="shared" si="15"/>
        <v>0</v>
      </c>
      <c r="H3995" s="274">
        <v>0</v>
      </c>
      <c r="K3995" s="274"/>
    </row>
    <row r="3996" spans="2:11" ht="13.5" customHeight="1">
      <c r="B3996" s="209" t="s">
        <v>1870</v>
      </c>
      <c r="C3996" s="209" t="s">
        <v>2992</v>
      </c>
      <c r="D3996" s="216" t="s">
        <v>140</v>
      </c>
      <c r="E3996" s="273">
        <v>0</v>
      </c>
      <c r="F3996" s="274"/>
      <c r="G3996" s="274">
        <f t="shared" si="15"/>
        <v>0</v>
      </c>
      <c r="H3996" s="274">
        <v>0</v>
      </c>
      <c r="K3996" s="274"/>
    </row>
    <row r="3997" spans="2:11" ht="13.5" customHeight="1">
      <c r="B3997" s="209" t="s">
        <v>1870</v>
      </c>
      <c r="C3997" s="209" t="s">
        <v>2992</v>
      </c>
      <c r="D3997" s="453" t="s">
        <v>141</v>
      </c>
      <c r="E3997" s="273">
        <v>0</v>
      </c>
      <c r="F3997" s="274"/>
      <c r="G3997" s="274">
        <f t="shared" si="15"/>
        <v>0</v>
      </c>
      <c r="H3997" s="274">
        <v>0</v>
      </c>
      <c r="K3997" s="274"/>
    </row>
    <row r="3998" spans="2:11" ht="13.5" customHeight="1">
      <c r="B3998" s="209" t="s">
        <v>1351</v>
      </c>
      <c r="C3998" s="209" t="s">
        <v>2993</v>
      </c>
      <c r="D3998" s="446" t="s">
        <v>133</v>
      </c>
      <c r="E3998" s="273">
        <v>0</v>
      </c>
      <c r="F3998" s="274"/>
      <c r="G3998" s="274">
        <f t="shared" si="15"/>
        <v>0</v>
      </c>
      <c r="H3998" s="274">
        <v>0</v>
      </c>
      <c r="K3998" s="274"/>
    </row>
    <row r="3999" spans="2:11" ht="13.5" customHeight="1">
      <c r="B3999" s="209" t="s">
        <v>1351</v>
      </c>
      <c r="C3999" s="209" t="s">
        <v>2993</v>
      </c>
      <c r="D3999" s="447" t="s">
        <v>134</v>
      </c>
      <c r="E3999" s="273">
        <v>0</v>
      </c>
      <c r="F3999" s="274"/>
      <c r="G3999" s="274">
        <f t="shared" si="15"/>
        <v>0</v>
      </c>
      <c r="H3999" s="274">
        <v>0</v>
      </c>
      <c r="K3999" s="274"/>
    </row>
    <row r="4000" spans="2:11" ht="13.5" customHeight="1">
      <c r="B4000" s="209" t="s">
        <v>1351</v>
      </c>
      <c r="C4000" s="209" t="s">
        <v>2993</v>
      </c>
      <c r="D4000" s="448" t="s">
        <v>135</v>
      </c>
      <c r="E4000" s="273">
        <v>0</v>
      </c>
      <c r="F4000" s="274"/>
      <c r="G4000" s="274">
        <f t="shared" si="15"/>
        <v>0</v>
      </c>
      <c r="H4000" s="274">
        <v>0</v>
      </c>
      <c r="K4000" s="274"/>
    </row>
    <row r="4001" spans="2:11" ht="13.5" customHeight="1">
      <c r="B4001" s="209" t="s">
        <v>1351</v>
      </c>
      <c r="C4001" s="209" t="s">
        <v>2993</v>
      </c>
      <c r="D4001" s="449" t="s">
        <v>136</v>
      </c>
      <c r="E4001" s="273">
        <v>0</v>
      </c>
      <c r="F4001" s="274"/>
      <c r="G4001" s="274">
        <f t="shared" si="15"/>
        <v>0</v>
      </c>
      <c r="H4001" s="274">
        <v>0</v>
      </c>
      <c r="K4001" s="274"/>
    </row>
    <row r="4002" spans="2:11" ht="13.5" customHeight="1">
      <c r="B4002" s="209" t="s">
        <v>1351</v>
      </c>
      <c r="C4002" s="209" t="s">
        <v>2993</v>
      </c>
      <c r="D4002" s="450" t="s">
        <v>137</v>
      </c>
      <c r="E4002" s="273">
        <v>0</v>
      </c>
      <c r="F4002" s="274"/>
      <c r="G4002" s="274">
        <f t="shared" si="15"/>
        <v>0</v>
      </c>
      <c r="H4002" s="274">
        <v>0</v>
      </c>
      <c r="K4002" s="274"/>
    </row>
    <row r="4003" spans="2:11" ht="13.5" customHeight="1">
      <c r="B4003" s="209" t="s">
        <v>1351</v>
      </c>
      <c r="C4003" s="209" t="s">
        <v>2993</v>
      </c>
      <c r="D4003" s="451" t="s">
        <v>138</v>
      </c>
      <c r="E4003" s="273">
        <v>0</v>
      </c>
      <c r="F4003" s="274"/>
      <c r="G4003" s="274">
        <f t="shared" si="15"/>
        <v>0</v>
      </c>
      <c r="H4003" s="274">
        <v>0</v>
      </c>
      <c r="K4003" s="274"/>
    </row>
    <row r="4004" spans="2:11" ht="13.5" customHeight="1">
      <c r="B4004" s="209" t="s">
        <v>1351</v>
      </c>
      <c r="C4004" s="209" t="s">
        <v>2993</v>
      </c>
      <c r="D4004" s="452" t="s">
        <v>139</v>
      </c>
      <c r="E4004" s="273">
        <v>0</v>
      </c>
      <c r="F4004" s="274"/>
      <c r="G4004" s="274">
        <f t="shared" si="15"/>
        <v>0</v>
      </c>
      <c r="H4004" s="274">
        <v>0</v>
      </c>
      <c r="K4004" s="274"/>
    </row>
    <row r="4005" spans="2:11" ht="13.5" customHeight="1">
      <c r="B4005" s="209" t="s">
        <v>1351</v>
      </c>
      <c r="C4005" s="209" t="s">
        <v>2993</v>
      </c>
      <c r="D4005" s="216" t="s">
        <v>140</v>
      </c>
      <c r="E4005" s="273">
        <v>0</v>
      </c>
      <c r="F4005" s="274"/>
      <c r="G4005" s="274">
        <f t="shared" si="15"/>
        <v>0</v>
      </c>
      <c r="H4005" s="274">
        <v>0</v>
      </c>
      <c r="K4005" s="274"/>
    </row>
    <row r="4006" spans="2:11" ht="13.5" customHeight="1">
      <c r="B4006" s="209" t="s">
        <v>1351</v>
      </c>
      <c r="C4006" s="209" t="s">
        <v>2993</v>
      </c>
      <c r="D4006" s="453" t="s">
        <v>141</v>
      </c>
      <c r="E4006" s="273">
        <v>0</v>
      </c>
      <c r="F4006" s="274"/>
      <c r="G4006" s="274">
        <f t="shared" si="15"/>
        <v>0</v>
      </c>
      <c r="H4006" s="274">
        <v>0</v>
      </c>
      <c r="K4006" s="274"/>
    </row>
    <row r="4007" spans="2:11" ht="13.5" customHeight="1">
      <c r="B4007" s="209" t="s">
        <v>1602</v>
      </c>
      <c r="C4007" s="209" t="s">
        <v>2994</v>
      </c>
      <c r="D4007" s="446" t="s">
        <v>133</v>
      </c>
      <c r="E4007" s="273">
        <v>0</v>
      </c>
      <c r="F4007" s="274"/>
      <c r="G4007" s="274">
        <f t="shared" si="15"/>
        <v>0</v>
      </c>
      <c r="H4007" s="274">
        <v>0</v>
      </c>
      <c r="K4007" s="274"/>
    </row>
    <row r="4008" spans="2:11" ht="13.5" customHeight="1">
      <c r="B4008" s="209" t="s">
        <v>1602</v>
      </c>
      <c r="C4008" s="209" t="s">
        <v>2994</v>
      </c>
      <c r="D4008" s="447" t="s">
        <v>134</v>
      </c>
      <c r="E4008" s="273">
        <v>0</v>
      </c>
      <c r="F4008" s="274"/>
      <c r="G4008" s="274">
        <f t="shared" si="15"/>
        <v>0</v>
      </c>
      <c r="H4008" s="274">
        <v>0</v>
      </c>
      <c r="K4008" s="274"/>
    </row>
    <row r="4009" spans="2:11" ht="13.5" customHeight="1">
      <c r="B4009" s="209" t="s">
        <v>1602</v>
      </c>
      <c r="C4009" s="209" t="s">
        <v>2994</v>
      </c>
      <c r="D4009" s="448" t="s">
        <v>135</v>
      </c>
      <c r="E4009" s="273">
        <v>0</v>
      </c>
      <c r="F4009" s="274"/>
      <c r="G4009" s="274">
        <f t="shared" si="15"/>
        <v>0</v>
      </c>
      <c r="H4009" s="274">
        <v>0</v>
      </c>
      <c r="K4009" s="274"/>
    </row>
    <row r="4010" spans="2:11" ht="13.5" customHeight="1">
      <c r="B4010" s="209" t="s">
        <v>1602</v>
      </c>
      <c r="C4010" s="209" t="s">
        <v>2994</v>
      </c>
      <c r="D4010" s="449" t="s">
        <v>136</v>
      </c>
      <c r="E4010" s="273">
        <v>0</v>
      </c>
      <c r="F4010" s="274"/>
      <c r="G4010" s="274">
        <f t="shared" si="15"/>
        <v>0</v>
      </c>
      <c r="H4010" s="274">
        <v>0</v>
      </c>
      <c r="K4010" s="274"/>
    </row>
    <row r="4011" spans="2:11" ht="13.5" customHeight="1">
      <c r="B4011" s="209" t="s">
        <v>1602</v>
      </c>
      <c r="C4011" s="209" t="s">
        <v>2994</v>
      </c>
      <c r="D4011" s="450" t="s">
        <v>137</v>
      </c>
      <c r="E4011" s="273">
        <v>0</v>
      </c>
      <c r="F4011" s="274"/>
      <c r="G4011" s="274">
        <f t="shared" si="15"/>
        <v>0</v>
      </c>
      <c r="H4011" s="274">
        <v>0</v>
      </c>
      <c r="K4011" s="274"/>
    </row>
    <row r="4012" spans="2:11" ht="13.5" customHeight="1">
      <c r="B4012" s="209" t="s">
        <v>1602</v>
      </c>
      <c r="C4012" s="209" t="s">
        <v>2994</v>
      </c>
      <c r="D4012" s="451" t="s">
        <v>138</v>
      </c>
      <c r="E4012" s="273">
        <v>0</v>
      </c>
      <c r="F4012" s="274"/>
      <c r="G4012" s="274">
        <f t="shared" si="15"/>
        <v>0</v>
      </c>
      <c r="H4012" s="274">
        <v>0</v>
      </c>
      <c r="K4012" s="274"/>
    </row>
    <row r="4013" spans="2:11" ht="13.5" customHeight="1">
      <c r="B4013" s="209" t="s">
        <v>1602</v>
      </c>
      <c r="C4013" s="209" t="s">
        <v>2994</v>
      </c>
      <c r="D4013" s="452" t="s">
        <v>139</v>
      </c>
      <c r="E4013" s="273">
        <v>0</v>
      </c>
      <c r="F4013" s="274"/>
      <c r="G4013" s="274">
        <f t="shared" si="15"/>
        <v>0</v>
      </c>
      <c r="H4013" s="274">
        <v>0</v>
      </c>
      <c r="K4013" s="274"/>
    </row>
    <row r="4014" spans="2:11" ht="13.5" customHeight="1">
      <c r="B4014" s="209" t="s">
        <v>1602</v>
      </c>
      <c r="C4014" s="209" t="s">
        <v>2994</v>
      </c>
      <c r="D4014" s="216" t="s">
        <v>140</v>
      </c>
      <c r="E4014" s="273">
        <v>0</v>
      </c>
      <c r="F4014" s="274"/>
      <c r="G4014" s="274">
        <f t="shared" si="15"/>
        <v>0</v>
      </c>
      <c r="H4014" s="274">
        <v>0</v>
      </c>
      <c r="K4014" s="274"/>
    </row>
    <row r="4015" spans="2:11" ht="13.5" customHeight="1">
      <c r="B4015" s="209" t="s">
        <v>1602</v>
      </c>
      <c r="C4015" s="209" t="s">
        <v>2994</v>
      </c>
      <c r="D4015" s="453" t="s">
        <v>141</v>
      </c>
      <c r="E4015" s="273">
        <v>0</v>
      </c>
      <c r="F4015" s="274"/>
      <c r="G4015" s="274">
        <f t="shared" si="15"/>
        <v>0</v>
      </c>
      <c r="H4015" s="274">
        <v>0</v>
      </c>
      <c r="K4015" s="274"/>
    </row>
    <row r="4016" spans="2:11" ht="13.5" customHeight="1">
      <c r="B4016" s="209" t="s">
        <v>1650</v>
      </c>
      <c r="C4016" s="209" t="s">
        <v>2995</v>
      </c>
      <c r="D4016" s="446" t="s">
        <v>133</v>
      </c>
      <c r="E4016" s="273">
        <v>0</v>
      </c>
      <c r="F4016" s="274"/>
      <c r="G4016" s="274">
        <f t="shared" si="15"/>
        <v>0</v>
      </c>
      <c r="H4016" s="274">
        <v>0</v>
      </c>
      <c r="K4016" s="274"/>
    </row>
    <row r="4017" spans="2:11" ht="13.5" customHeight="1">
      <c r="B4017" s="209" t="s">
        <v>1650</v>
      </c>
      <c r="C4017" s="209" t="s">
        <v>2995</v>
      </c>
      <c r="D4017" s="447" t="s">
        <v>134</v>
      </c>
      <c r="E4017" s="273">
        <v>0</v>
      </c>
      <c r="F4017" s="274"/>
      <c r="G4017" s="274">
        <f t="shared" si="15"/>
        <v>0</v>
      </c>
      <c r="H4017" s="274">
        <v>0</v>
      </c>
      <c r="K4017" s="274"/>
    </row>
    <row r="4018" spans="2:11" ht="13.5" customHeight="1">
      <c r="B4018" s="209" t="s">
        <v>1650</v>
      </c>
      <c r="C4018" s="209" t="s">
        <v>2995</v>
      </c>
      <c r="D4018" s="448" t="s">
        <v>135</v>
      </c>
      <c r="E4018" s="273">
        <v>0</v>
      </c>
      <c r="F4018" s="274"/>
      <c r="G4018" s="274">
        <f t="shared" si="15"/>
        <v>0</v>
      </c>
      <c r="H4018" s="274">
        <v>0</v>
      </c>
      <c r="K4018" s="274"/>
    </row>
    <row r="4019" spans="2:11" ht="13.5" customHeight="1">
      <c r="B4019" s="209" t="s">
        <v>1650</v>
      </c>
      <c r="C4019" s="209" t="s">
        <v>2995</v>
      </c>
      <c r="D4019" s="449" t="s">
        <v>136</v>
      </c>
      <c r="E4019" s="273">
        <v>0</v>
      </c>
      <c r="F4019" s="274"/>
      <c r="G4019" s="274">
        <f t="shared" si="15"/>
        <v>0</v>
      </c>
      <c r="H4019" s="274">
        <v>0</v>
      </c>
      <c r="K4019" s="274"/>
    </row>
    <row r="4020" spans="2:11" ht="13.5" customHeight="1">
      <c r="B4020" s="209" t="s">
        <v>1650</v>
      </c>
      <c r="C4020" s="209" t="s">
        <v>2995</v>
      </c>
      <c r="D4020" s="450" t="s">
        <v>137</v>
      </c>
      <c r="E4020" s="273">
        <v>0</v>
      </c>
      <c r="F4020" s="274"/>
      <c r="G4020" s="274">
        <f t="shared" si="15"/>
        <v>0</v>
      </c>
      <c r="H4020" s="274">
        <v>0</v>
      </c>
      <c r="K4020" s="274"/>
    </row>
    <row r="4021" spans="2:11" ht="13.5" customHeight="1">
      <c r="B4021" s="209" t="s">
        <v>1650</v>
      </c>
      <c r="C4021" s="209" t="s">
        <v>2995</v>
      </c>
      <c r="D4021" s="451" t="s">
        <v>138</v>
      </c>
      <c r="E4021" s="273">
        <v>0</v>
      </c>
      <c r="F4021" s="274"/>
      <c r="G4021" s="274">
        <f t="shared" si="15"/>
        <v>0</v>
      </c>
      <c r="H4021" s="274">
        <v>0</v>
      </c>
      <c r="K4021" s="274"/>
    </row>
    <row r="4022" spans="2:11" ht="13.5" customHeight="1">
      <c r="B4022" s="209" t="s">
        <v>1650</v>
      </c>
      <c r="C4022" s="209" t="s">
        <v>2995</v>
      </c>
      <c r="D4022" s="452" t="s">
        <v>139</v>
      </c>
      <c r="E4022" s="273">
        <v>0</v>
      </c>
      <c r="F4022" s="274"/>
      <c r="G4022" s="274">
        <f t="shared" si="15"/>
        <v>0</v>
      </c>
      <c r="H4022" s="274">
        <v>0</v>
      </c>
      <c r="K4022" s="274"/>
    </row>
    <row r="4023" spans="2:11" ht="13.5" customHeight="1">
      <c r="B4023" s="209" t="s">
        <v>1650</v>
      </c>
      <c r="C4023" s="209" t="s">
        <v>2995</v>
      </c>
      <c r="D4023" s="216" t="s">
        <v>140</v>
      </c>
      <c r="E4023" s="273">
        <v>0</v>
      </c>
      <c r="F4023" s="274"/>
      <c r="G4023" s="274">
        <f t="shared" si="15"/>
        <v>0</v>
      </c>
      <c r="H4023" s="274">
        <v>0</v>
      </c>
      <c r="K4023" s="274"/>
    </row>
    <row r="4024" spans="2:11" ht="13.5" customHeight="1">
      <c r="B4024" s="209" t="s">
        <v>1650</v>
      </c>
      <c r="C4024" s="209" t="s">
        <v>2995</v>
      </c>
      <c r="D4024" s="453" t="s">
        <v>141</v>
      </c>
      <c r="E4024" s="273">
        <v>0</v>
      </c>
      <c r="F4024" s="274"/>
      <c r="G4024" s="274">
        <f t="shared" si="15"/>
        <v>0</v>
      </c>
      <c r="H4024" s="274">
        <v>0</v>
      </c>
      <c r="K4024" s="274"/>
    </row>
    <row r="4025" spans="2:11" ht="13.5" customHeight="1">
      <c r="B4025" s="209" t="s">
        <v>1809</v>
      </c>
      <c r="C4025" s="209" t="s">
        <v>2996</v>
      </c>
      <c r="D4025" s="446" t="s">
        <v>133</v>
      </c>
      <c r="E4025" s="273">
        <v>0</v>
      </c>
      <c r="F4025" s="274"/>
      <c r="G4025" s="274">
        <f t="shared" si="15"/>
        <v>0</v>
      </c>
      <c r="H4025" s="274">
        <v>0</v>
      </c>
      <c r="K4025" s="274"/>
    </row>
    <row r="4026" spans="2:11" ht="13.5" customHeight="1">
      <c r="B4026" s="209" t="s">
        <v>1809</v>
      </c>
      <c r="C4026" s="209" t="s">
        <v>2996</v>
      </c>
      <c r="D4026" s="447" t="s">
        <v>134</v>
      </c>
      <c r="E4026" s="273">
        <v>0</v>
      </c>
      <c r="F4026" s="274"/>
      <c r="G4026" s="274">
        <f t="shared" si="15"/>
        <v>0</v>
      </c>
      <c r="H4026" s="274">
        <v>0</v>
      </c>
      <c r="K4026" s="274"/>
    </row>
    <row r="4027" spans="2:11" ht="13.5" customHeight="1">
      <c r="B4027" s="209" t="s">
        <v>1809</v>
      </c>
      <c r="C4027" s="209" t="s">
        <v>2996</v>
      </c>
      <c r="D4027" s="448" t="s">
        <v>135</v>
      </c>
      <c r="E4027" s="273">
        <v>0</v>
      </c>
      <c r="F4027" s="274"/>
      <c r="G4027" s="274">
        <f t="shared" si="15"/>
        <v>0</v>
      </c>
      <c r="H4027" s="274">
        <v>0</v>
      </c>
      <c r="K4027" s="274"/>
    </row>
    <row r="4028" spans="2:11" ht="13.5" customHeight="1">
      <c r="B4028" s="209" t="s">
        <v>1809</v>
      </c>
      <c r="C4028" s="209" t="s">
        <v>2996</v>
      </c>
      <c r="D4028" s="449" t="s">
        <v>136</v>
      </c>
      <c r="E4028" s="273">
        <v>0</v>
      </c>
      <c r="F4028" s="274"/>
      <c r="G4028" s="274">
        <f t="shared" si="15"/>
        <v>0</v>
      </c>
      <c r="H4028" s="274">
        <v>0</v>
      </c>
      <c r="K4028" s="274"/>
    </row>
    <row r="4029" spans="2:11" ht="13.5" customHeight="1">
      <c r="B4029" s="209" t="s">
        <v>1809</v>
      </c>
      <c r="C4029" s="209" t="s">
        <v>2996</v>
      </c>
      <c r="D4029" s="450" t="s">
        <v>137</v>
      </c>
      <c r="E4029" s="273">
        <v>0</v>
      </c>
      <c r="F4029" s="274"/>
      <c r="G4029" s="274">
        <f t="shared" si="15"/>
        <v>0</v>
      </c>
      <c r="H4029" s="274">
        <v>0</v>
      </c>
      <c r="K4029" s="274"/>
    </row>
    <row r="4030" spans="2:11" ht="13.5" customHeight="1">
      <c r="B4030" s="209" t="s">
        <v>1809</v>
      </c>
      <c r="C4030" s="209" t="s">
        <v>2996</v>
      </c>
      <c r="D4030" s="451" t="s">
        <v>138</v>
      </c>
      <c r="E4030" s="273">
        <v>0</v>
      </c>
      <c r="F4030" s="274"/>
      <c r="G4030" s="274">
        <f t="shared" si="15"/>
        <v>0</v>
      </c>
      <c r="H4030" s="274">
        <v>0</v>
      </c>
      <c r="K4030" s="274"/>
    </row>
    <row r="4031" spans="2:11" ht="13.5" customHeight="1">
      <c r="B4031" s="209" t="s">
        <v>1809</v>
      </c>
      <c r="C4031" s="209" t="s">
        <v>2996</v>
      </c>
      <c r="D4031" s="452" t="s">
        <v>139</v>
      </c>
      <c r="E4031" s="273">
        <v>0</v>
      </c>
      <c r="F4031" s="274"/>
      <c r="G4031" s="274">
        <f t="shared" si="15"/>
        <v>0</v>
      </c>
      <c r="H4031" s="274">
        <v>0</v>
      </c>
      <c r="K4031" s="274"/>
    </row>
    <row r="4032" spans="2:11" ht="13.5" customHeight="1">
      <c r="B4032" s="209" t="s">
        <v>1809</v>
      </c>
      <c r="C4032" s="209" t="s">
        <v>2996</v>
      </c>
      <c r="D4032" s="216" t="s">
        <v>140</v>
      </c>
      <c r="E4032" s="273">
        <v>0</v>
      </c>
      <c r="F4032" s="274"/>
      <c r="G4032" s="274">
        <f t="shared" si="15"/>
        <v>0</v>
      </c>
      <c r="H4032" s="274">
        <v>0</v>
      </c>
      <c r="K4032" s="274"/>
    </row>
    <row r="4033" spans="2:11" ht="13.5" customHeight="1">
      <c r="B4033" s="209" t="s">
        <v>1809</v>
      </c>
      <c r="C4033" s="209" t="s">
        <v>2996</v>
      </c>
      <c r="D4033" s="453" t="s">
        <v>141</v>
      </c>
      <c r="E4033" s="273">
        <v>0</v>
      </c>
      <c r="F4033" s="274"/>
      <c r="G4033" s="274">
        <f t="shared" si="15"/>
        <v>0</v>
      </c>
      <c r="H4033" s="274">
        <v>0</v>
      </c>
      <c r="K4033" s="274"/>
    </row>
    <row r="4034" spans="2:11" ht="13.5" customHeight="1">
      <c r="B4034" s="209" t="s">
        <v>1763</v>
      </c>
      <c r="C4034" s="209" t="s">
        <v>2997</v>
      </c>
      <c r="D4034" s="446" t="s">
        <v>133</v>
      </c>
      <c r="E4034" s="273">
        <v>0</v>
      </c>
      <c r="F4034" s="274"/>
      <c r="G4034" s="274">
        <f t="shared" si="15"/>
        <v>0</v>
      </c>
      <c r="H4034" s="274">
        <v>0</v>
      </c>
      <c r="K4034" s="274"/>
    </row>
    <row r="4035" spans="2:11" ht="13.5" customHeight="1">
      <c r="B4035" s="209" t="s">
        <v>1763</v>
      </c>
      <c r="C4035" s="209" t="s">
        <v>2997</v>
      </c>
      <c r="D4035" s="447" t="s">
        <v>134</v>
      </c>
      <c r="E4035" s="273">
        <v>0</v>
      </c>
      <c r="F4035" s="274"/>
      <c r="G4035" s="274">
        <f t="shared" si="15"/>
        <v>0</v>
      </c>
      <c r="H4035" s="274">
        <v>0</v>
      </c>
      <c r="K4035" s="274"/>
    </row>
    <row r="4036" spans="2:11" ht="13.5" customHeight="1">
      <c r="B4036" s="209" t="s">
        <v>1763</v>
      </c>
      <c r="C4036" s="209" t="s">
        <v>2997</v>
      </c>
      <c r="D4036" s="448" t="s">
        <v>135</v>
      </c>
      <c r="E4036" s="273">
        <v>0</v>
      </c>
      <c r="F4036" s="274"/>
      <c r="G4036" s="274">
        <f t="shared" si="15"/>
        <v>0</v>
      </c>
      <c r="H4036" s="274">
        <v>0</v>
      </c>
      <c r="K4036" s="274"/>
    </row>
    <row r="4037" spans="2:11" ht="13.5" customHeight="1">
      <c r="B4037" s="209" t="s">
        <v>1763</v>
      </c>
      <c r="C4037" s="209" t="s">
        <v>2997</v>
      </c>
      <c r="D4037" s="449" t="s">
        <v>136</v>
      </c>
      <c r="E4037" s="273">
        <v>0</v>
      </c>
      <c r="F4037" s="274"/>
      <c r="G4037" s="274">
        <f t="shared" si="15"/>
        <v>0</v>
      </c>
      <c r="H4037" s="274">
        <v>0</v>
      </c>
      <c r="K4037" s="274"/>
    </row>
    <row r="4038" spans="2:11" ht="13.5" customHeight="1">
      <c r="B4038" s="209" t="s">
        <v>1763</v>
      </c>
      <c r="C4038" s="209" t="s">
        <v>2997</v>
      </c>
      <c r="D4038" s="450" t="s">
        <v>137</v>
      </c>
      <c r="E4038" s="273">
        <v>0</v>
      </c>
      <c r="F4038" s="274"/>
      <c r="G4038" s="274">
        <f t="shared" si="15"/>
        <v>0</v>
      </c>
      <c r="H4038" s="274">
        <v>0</v>
      </c>
      <c r="K4038" s="274"/>
    </row>
    <row r="4039" spans="2:11" ht="13.5" customHeight="1">
      <c r="B4039" s="209" t="s">
        <v>1763</v>
      </c>
      <c r="C4039" s="209" t="s">
        <v>2997</v>
      </c>
      <c r="D4039" s="451" t="s">
        <v>138</v>
      </c>
      <c r="E4039" s="273">
        <v>0</v>
      </c>
      <c r="F4039" s="274"/>
      <c r="G4039" s="274">
        <f t="shared" si="15"/>
        <v>0</v>
      </c>
      <c r="H4039" s="274">
        <v>0</v>
      </c>
      <c r="K4039" s="274"/>
    </row>
    <row r="4040" spans="2:11" ht="13.5" customHeight="1">
      <c r="B4040" s="209" t="s">
        <v>1763</v>
      </c>
      <c r="C4040" s="209" t="s">
        <v>2997</v>
      </c>
      <c r="D4040" s="452" t="s">
        <v>139</v>
      </c>
      <c r="E4040" s="273">
        <v>0</v>
      </c>
      <c r="F4040" s="274"/>
      <c r="G4040" s="274">
        <f t="shared" si="15"/>
        <v>0</v>
      </c>
      <c r="H4040" s="274">
        <v>0</v>
      </c>
      <c r="K4040" s="274"/>
    </row>
    <row r="4041" spans="2:11" ht="13.5" customHeight="1">
      <c r="B4041" s="209" t="s">
        <v>1763</v>
      </c>
      <c r="C4041" s="209" t="s">
        <v>2997</v>
      </c>
      <c r="D4041" s="216" t="s">
        <v>140</v>
      </c>
      <c r="E4041" s="273">
        <v>0</v>
      </c>
      <c r="F4041" s="274"/>
      <c r="G4041" s="274">
        <f t="shared" si="15"/>
        <v>0</v>
      </c>
      <c r="H4041" s="274">
        <v>0</v>
      </c>
      <c r="K4041" s="274"/>
    </row>
    <row r="4042" spans="2:11" ht="13.5" customHeight="1">
      <c r="B4042" s="209" t="s">
        <v>1763</v>
      </c>
      <c r="C4042" s="209" t="s">
        <v>2997</v>
      </c>
      <c r="D4042" s="453" t="s">
        <v>141</v>
      </c>
      <c r="E4042" s="273">
        <v>0</v>
      </c>
      <c r="F4042" s="274"/>
      <c r="G4042" s="274">
        <f t="shared" si="15"/>
        <v>0</v>
      </c>
      <c r="H4042" s="274">
        <v>0</v>
      </c>
      <c r="K4042" s="274"/>
    </row>
    <row r="4043" spans="2:11" ht="13.5" customHeight="1">
      <c r="B4043" s="209" t="s">
        <v>1573</v>
      </c>
      <c r="C4043" s="209" t="s">
        <v>2998</v>
      </c>
      <c r="D4043" s="446" t="s">
        <v>133</v>
      </c>
      <c r="E4043" s="273">
        <v>0</v>
      </c>
      <c r="F4043" s="274"/>
      <c r="G4043" s="274">
        <f t="shared" si="15"/>
        <v>0</v>
      </c>
      <c r="H4043" s="274">
        <v>0</v>
      </c>
      <c r="K4043" s="274"/>
    </row>
    <row r="4044" spans="2:11" ht="13.5" customHeight="1">
      <c r="B4044" s="209" t="s">
        <v>1573</v>
      </c>
      <c r="C4044" s="209" t="s">
        <v>2998</v>
      </c>
      <c r="D4044" s="447" t="s">
        <v>134</v>
      </c>
      <c r="E4044" s="273">
        <v>0</v>
      </c>
      <c r="F4044" s="274"/>
      <c r="G4044" s="274">
        <f t="shared" si="15"/>
        <v>0</v>
      </c>
      <c r="H4044" s="274">
        <v>0</v>
      </c>
      <c r="K4044" s="274"/>
    </row>
    <row r="4045" spans="2:11" ht="13.5" customHeight="1">
      <c r="B4045" s="209" t="s">
        <v>1573</v>
      </c>
      <c r="C4045" s="209" t="s">
        <v>2998</v>
      </c>
      <c r="D4045" s="448" t="s">
        <v>135</v>
      </c>
      <c r="E4045" s="273">
        <v>0</v>
      </c>
      <c r="F4045" s="274"/>
      <c r="G4045" s="274">
        <f t="shared" si="15"/>
        <v>0</v>
      </c>
      <c r="H4045" s="274">
        <v>0</v>
      </c>
      <c r="K4045" s="274"/>
    </row>
    <row r="4046" spans="2:11" ht="13.5" customHeight="1">
      <c r="B4046" s="209" t="s">
        <v>1573</v>
      </c>
      <c r="C4046" s="209" t="s">
        <v>2998</v>
      </c>
      <c r="D4046" s="449" t="s">
        <v>136</v>
      </c>
      <c r="E4046" s="273">
        <v>0</v>
      </c>
      <c r="F4046" s="274"/>
      <c r="G4046" s="274">
        <f t="shared" si="15"/>
        <v>0</v>
      </c>
      <c r="H4046" s="274">
        <v>0</v>
      </c>
      <c r="K4046" s="274"/>
    </row>
    <row r="4047" spans="2:11" ht="13.5" customHeight="1">
      <c r="B4047" s="209" t="s">
        <v>1573</v>
      </c>
      <c r="C4047" s="209" t="s">
        <v>2998</v>
      </c>
      <c r="D4047" s="450" t="s">
        <v>137</v>
      </c>
      <c r="E4047" s="273">
        <v>0</v>
      </c>
      <c r="F4047" s="274"/>
      <c r="G4047" s="274">
        <f t="shared" si="15"/>
        <v>0</v>
      </c>
      <c r="H4047" s="274">
        <v>0</v>
      </c>
      <c r="K4047" s="274"/>
    </row>
    <row r="4048" spans="2:11" ht="13.5" customHeight="1">
      <c r="B4048" s="209" t="s">
        <v>1573</v>
      </c>
      <c r="C4048" s="209" t="s">
        <v>2998</v>
      </c>
      <c r="D4048" s="451" t="s">
        <v>138</v>
      </c>
      <c r="E4048" s="273">
        <v>0</v>
      </c>
      <c r="F4048" s="274"/>
      <c r="G4048" s="274">
        <f t="shared" si="15"/>
        <v>0</v>
      </c>
      <c r="H4048" s="274">
        <v>0</v>
      </c>
      <c r="K4048" s="274"/>
    </row>
    <row r="4049" spans="2:11" ht="13.5" customHeight="1">
      <c r="B4049" s="209" t="s">
        <v>1573</v>
      </c>
      <c r="C4049" s="209" t="s">
        <v>2998</v>
      </c>
      <c r="D4049" s="452" t="s">
        <v>139</v>
      </c>
      <c r="E4049" s="273">
        <v>0</v>
      </c>
      <c r="F4049" s="274"/>
      <c r="G4049" s="274">
        <f t="shared" si="15"/>
        <v>0</v>
      </c>
      <c r="H4049" s="274">
        <v>0</v>
      </c>
      <c r="K4049" s="274"/>
    </row>
    <row r="4050" spans="2:11" ht="13.5" customHeight="1">
      <c r="B4050" s="209" t="s">
        <v>1573</v>
      </c>
      <c r="C4050" s="209" t="s">
        <v>2998</v>
      </c>
      <c r="D4050" s="216" t="s">
        <v>140</v>
      </c>
      <c r="E4050" s="273">
        <v>0</v>
      </c>
      <c r="F4050" s="274"/>
      <c r="G4050" s="274">
        <f t="shared" si="15"/>
        <v>0</v>
      </c>
      <c r="H4050" s="274">
        <v>0</v>
      </c>
      <c r="K4050" s="274"/>
    </row>
    <row r="4051" spans="2:11" ht="13.5" customHeight="1">
      <c r="B4051" s="209" t="s">
        <v>1573</v>
      </c>
      <c r="C4051" s="209" t="s">
        <v>2998</v>
      </c>
      <c r="D4051" s="453" t="s">
        <v>141</v>
      </c>
      <c r="E4051" s="273">
        <v>0</v>
      </c>
      <c r="F4051" s="274"/>
      <c r="G4051" s="274">
        <f t="shared" si="15"/>
        <v>0</v>
      </c>
      <c r="H4051" s="274">
        <v>0</v>
      </c>
      <c r="K4051" s="274"/>
    </row>
    <row r="4052" spans="2:11" ht="13.5" customHeight="1">
      <c r="B4052" s="209" t="s">
        <v>1428</v>
      </c>
      <c r="C4052" s="209" t="s">
        <v>2999</v>
      </c>
      <c r="D4052" s="446" t="s">
        <v>133</v>
      </c>
      <c r="E4052" s="273">
        <v>0</v>
      </c>
      <c r="F4052" s="274"/>
      <c r="G4052" s="274">
        <f t="shared" si="15"/>
        <v>0</v>
      </c>
      <c r="H4052" s="274">
        <v>0</v>
      </c>
      <c r="K4052" s="274"/>
    </row>
    <row r="4053" spans="2:11" ht="13.5" customHeight="1">
      <c r="B4053" s="209" t="s">
        <v>1428</v>
      </c>
      <c r="C4053" s="209" t="s">
        <v>2999</v>
      </c>
      <c r="D4053" s="447" t="s">
        <v>134</v>
      </c>
      <c r="E4053" s="273">
        <v>0</v>
      </c>
      <c r="F4053" s="274"/>
      <c r="G4053" s="274">
        <f t="shared" si="15"/>
        <v>0</v>
      </c>
      <c r="H4053" s="274">
        <v>0</v>
      </c>
      <c r="K4053" s="274"/>
    </row>
    <row r="4054" spans="2:11" ht="13.5" customHeight="1">
      <c r="B4054" s="209" t="s">
        <v>1428</v>
      </c>
      <c r="C4054" s="209" t="s">
        <v>2999</v>
      </c>
      <c r="D4054" s="448" t="s">
        <v>135</v>
      </c>
      <c r="E4054" s="273">
        <v>0</v>
      </c>
      <c r="F4054" s="274"/>
      <c r="G4054" s="274">
        <f t="shared" si="15"/>
        <v>0</v>
      </c>
      <c r="H4054" s="274">
        <v>0</v>
      </c>
      <c r="K4054" s="274"/>
    </row>
    <row r="4055" spans="2:11" ht="13.5" customHeight="1">
      <c r="B4055" s="209" t="s">
        <v>1428</v>
      </c>
      <c r="C4055" s="209" t="s">
        <v>2999</v>
      </c>
      <c r="D4055" s="449" t="s">
        <v>136</v>
      </c>
      <c r="E4055" s="273">
        <v>0</v>
      </c>
      <c r="F4055" s="274"/>
      <c r="G4055" s="274">
        <f t="shared" si="15"/>
        <v>0</v>
      </c>
      <c r="H4055" s="274">
        <v>0</v>
      </c>
      <c r="K4055" s="274"/>
    </row>
    <row r="4056" spans="2:11" ht="13.5" customHeight="1">
      <c r="B4056" s="209" t="s">
        <v>1428</v>
      </c>
      <c r="C4056" s="209" t="s">
        <v>2999</v>
      </c>
      <c r="D4056" s="450" t="s">
        <v>137</v>
      </c>
      <c r="E4056" s="273">
        <v>0</v>
      </c>
      <c r="F4056" s="274"/>
      <c r="G4056" s="274">
        <f t="shared" si="15"/>
        <v>0</v>
      </c>
      <c r="H4056" s="274">
        <v>0</v>
      </c>
      <c r="K4056" s="274"/>
    </row>
    <row r="4057" spans="2:11" ht="13.5" customHeight="1">
      <c r="B4057" s="209" t="s">
        <v>1428</v>
      </c>
      <c r="C4057" s="209" t="s">
        <v>2999</v>
      </c>
      <c r="D4057" s="451" t="s">
        <v>138</v>
      </c>
      <c r="E4057" s="273">
        <v>0</v>
      </c>
      <c r="F4057" s="274"/>
      <c r="G4057" s="274">
        <f t="shared" si="15"/>
        <v>0</v>
      </c>
      <c r="H4057" s="274">
        <v>0</v>
      </c>
      <c r="K4057" s="274"/>
    </row>
    <row r="4058" spans="2:11" ht="13.5" customHeight="1">
      <c r="B4058" s="209" t="s">
        <v>1428</v>
      </c>
      <c r="C4058" s="209" t="s">
        <v>2999</v>
      </c>
      <c r="D4058" s="452" t="s">
        <v>139</v>
      </c>
      <c r="E4058" s="273">
        <v>0</v>
      </c>
      <c r="F4058" s="274"/>
      <c r="G4058" s="274">
        <f t="shared" si="15"/>
        <v>0</v>
      </c>
      <c r="H4058" s="274">
        <v>0</v>
      </c>
      <c r="K4058" s="274"/>
    </row>
    <row r="4059" spans="2:11" ht="13.5" customHeight="1">
      <c r="B4059" s="209" t="s">
        <v>1428</v>
      </c>
      <c r="C4059" s="209" t="s">
        <v>2999</v>
      </c>
      <c r="D4059" s="216" t="s">
        <v>140</v>
      </c>
      <c r="E4059" s="273">
        <v>0</v>
      </c>
      <c r="F4059" s="274"/>
      <c r="G4059" s="274">
        <f t="shared" si="15"/>
        <v>0</v>
      </c>
      <c r="H4059" s="274">
        <v>0</v>
      </c>
      <c r="K4059" s="274"/>
    </row>
    <row r="4060" spans="2:11" ht="13.5" customHeight="1">
      <c r="B4060" s="209" t="s">
        <v>1428</v>
      </c>
      <c r="C4060" s="209" t="s">
        <v>2999</v>
      </c>
      <c r="D4060" s="453" t="s">
        <v>141</v>
      </c>
      <c r="E4060" s="273">
        <v>0</v>
      </c>
      <c r="F4060" s="274"/>
      <c r="G4060" s="274">
        <f t="shared" si="15"/>
        <v>0</v>
      </c>
      <c r="H4060" s="274">
        <v>0</v>
      </c>
      <c r="K4060" s="274"/>
    </row>
    <row r="4061" spans="2:11" ht="13.5" customHeight="1">
      <c r="B4061" s="209" t="s">
        <v>1403</v>
      </c>
      <c r="C4061" s="209" t="s">
        <v>3000</v>
      </c>
      <c r="D4061" s="446" t="s">
        <v>133</v>
      </c>
      <c r="E4061" s="273">
        <v>0</v>
      </c>
      <c r="F4061" s="274"/>
      <c r="G4061" s="274">
        <f t="shared" si="15"/>
        <v>0</v>
      </c>
      <c r="H4061" s="274">
        <v>0</v>
      </c>
      <c r="K4061" s="274"/>
    </row>
    <row r="4062" spans="2:11" ht="13.5" customHeight="1">
      <c r="B4062" s="209" t="s">
        <v>1403</v>
      </c>
      <c r="C4062" s="209" t="s">
        <v>3000</v>
      </c>
      <c r="D4062" s="447" t="s">
        <v>134</v>
      </c>
      <c r="E4062" s="273">
        <v>0</v>
      </c>
      <c r="F4062" s="274"/>
      <c r="G4062" s="274">
        <f t="shared" si="15"/>
        <v>0</v>
      </c>
      <c r="H4062" s="274">
        <v>0</v>
      </c>
      <c r="K4062" s="274"/>
    </row>
    <row r="4063" spans="2:11" ht="13.5" customHeight="1">
      <c r="B4063" s="209" t="s">
        <v>1403</v>
      </c>
      <c r="C4063" s="209" t="s">
        <v>3000</v>
      </c>
      <c r="D4063" s="448" t="s">
        <v>135</v>
      </c>
      <c r="E4063" s="273">
        <v>0</v>
      </c>
      <c r="F4063" s="274"/>
      <c r="G4063" s="274">
        <f t="shared" si="15"/>
        <v>0</v>
      </c>
      <c r="H4063" s="274">
        <v>0</v>
      </c>
      <c r="K4063" s="274"/>
    </row>
    <row r="4064" spans="2:11" ht="13.5" customHeight="1">
      <c r="B4064" s="209" t="s">
        <v>1403</v>
      </c>
      <c r="C4064" s="209" t="s">
        <v>3000</v>
      </c>
      <c r="D4064" s="449" t="s">
        <v>136</v>
      </c>
      <c r="E4064" s="273">
        <v>0</v>
      </c>
      <c r="F4064" s="274"/>
      <c r="G4064" s="274">
        <f t="shared" si="15"/>
        <v>0</v>
      </c>
      <c r="H4064" s="274">
        <v>0</v>
      </c>
      <c r="K4064" s="274"/>
    </row>
    <row r="4065" spans="2:11" ht="13.5" customHeight="1">
      <c r="B4065" s="209" t="s">
        <v>1403</v>
      </c>
      <c r="C4065" s="209" t="s">
        <v>3000</v>
      </c>
      <c r="D4065" s="450" t="s">
        <v>137</v>
      </c>
      <c r="E4065" s="273">
        <v>0</v>
      </c>
      <c r="F4065" s="274"/>
      <c r="G4065" s="274">
        <f t="shared" si="15"/>
        <v>0</v>
      </c>
      <c r="H4065" s="274">
        <v>0</v>
      </c>
      <c r="K4065" s="274"/>
    </row>
    <row r="4066" spans="2:11" ht="13.5" customHeight="1">
      <c r="B4066" s="209" t="s">
        <v>1403</v>
      </c>
      <c r="C4066" s="209" t="s">
        <v>3000</v>
      </c>
      <c r="D4066" s="451" t="s">
        <v>138</v>
      </c>
      <c r="E4066" s="273">
        <v>0</v>
      </c>
      <c r="F4066" s="274"/>
      <c r="G4066" s="274">
        <f t="shared" si="15"/>
        <v>0</v>
      </c>
      <c r="H4066" s="274">
        <v>0</v>
      </c>
      <c r="K4066" s="274"/>
    </row>
    <row r="4067" spans="2:11" ht="13.5" customHeight="1">
      <c r="B4067" s="209" t="s">
        <v>1403</v>
      </c>
      <c r="C4067" s="209" t="s">
        <v>3000</v>
      </c>
      <c r="D4067" s="452" t="s">
        <v>139</v>
      </c>
      <c r="E4067" s="273">
        <v>0</v>
      </c>
      <c r="F4067" s="274"/>
      <c r="G4067" s="274">
        <f t="shared" si="15"/>
        <v>0</v>
      </c>
      <c r="H4067" s="274">
        <v>0</v>
      </c>
      <c r="K4067" s="274"/>
    </row>
    <row r="4068" spans="2:11" ht="13.5" customHeight="1">
      <c r="B4068" s="209" t="s">
        <v>1403</v>
      </c>
      <c r="C4068" s="209" t="s">
        <v>3000</v>
      </c>
      <c r="D4068" s="216" t="s">
        <v>140</v>
      </c>
      <c r="E4068" s="273">
        <v>0</v>
      </c>
      <c r="F4068" s="274"/>
      <c r="G4068" s="274">
        <f t="shared" si="15"/>
        <v>0</v>
      </c>
      <c r="H4068" s="274">
        <v>0</v>
      </c>
      <c r="K4068" s="274"/>
    </row>
    <row r="4069" spans="2:11" ht="13.5" customHeight="1">
      <c r="B4069" s="209" t="s">
        <v>1403</v>
      </c>
      <c r="C4069" s="209" t="s">
        <v>3000</v>
      </c>
      <c r="D4069" s="453" t="s">
        <v>141</v>
      </c>
      <c r="E4069" s="273">
        <v>0</v>
      </c>
      <c r="F4069" s="274"/>
      <c r="G4069" s="274">
        <f t="shared" si="15"/>
        <v>0</v>
      </c>
      <c r="H4069" s="274">
        <v>0</v>
      </c>
      <c r="K4069" s="274"/>
    </row>
    <row r="4070" spans="2:11" ht="13.5" customHeight="1">
      <c r="B4070" s="209" t="s">
        <v>1384</v>
      </c>
      <c r="C4070" s="209" t="s">
        <v>3001</v>
      </c>
      <c r="D4070" s="446" t="s">
        <v>133</v>
      </c>
      <c r="E4070" s="273">
        <v>0</v>
      </c>
      <c r="F4070" s="274"/>
      <c r="G4070" s="274">
        <f t="shared" si="15"/>
        <v>0</v>
      </c>
      <c r="H4070" s="274">
        <v>0</v>
      </c>
      <c r="K4070" s="274"/>
    </row>
    <row r="4071" spans="2:11" ht="13.5" customHeight="1">
      <c r="B4071" s="209" t="s">
        <v>1384</v>
      </c>
      <c r="C4071" s="209" t="s">
        <v>3001</v>
      </c>
      <c r="D4071" s="447" t="s">
        <v>134</v>
      </c>
      <c r="E4071" s="273">
        <v>0</v>
      </c>
      <c r="F4071" s="274"/>
      <c r="G4071" s="274">
        <f t="shared" si="15"/>
        <v>0</v>
      </c>
      <c r="H4071" s="274">
        <v>0</v>
      </c>
      <c r="K4071" s="274"/>
    </row>
    <row r="4072" spans="2:11" ht="13.5" customHeight="1">
      <c r="B4072" s="209" t="s">
        <v>1384</v>
      </c>
      <c r="C4072" s="209" t="s">
        <v>3001</v>
      </c>
      <c r="D4072" s="448" t="s">
        <v>135</v>
      </c>
      <c r="E4072" s="273">
        <v>0</v>
      </c>
      <c r="F4072" s="274"/>
      <c r="G4072" s="274">
        <f t="shared" si="15"/>
        <v>0</v>
      </c>
      <c r="H4072" s="274">
        <v>0</v>
      </c>
      <c r="K4072" s="274"/>
    </row>
    <row r="4073" spans="2:11" ht="13.5" customHeight="1">
      <c r="B4073" s="209" t="s">
        <v>1384</v>
      </c>
      <c r="C4073" s="209" t="s">
        <v>3001</v>
      </c>
      <c r="D4073" s="449" t="s">
        <v>136</v>
      </c>
      <c r="E4073" s="273">
        <v>0</v>
      </c>
      <c r="F4073" s="274"/>
      <c r="G4073" s="274">
        <f t="shared" si="15"/>
        <v>0</v>
      </c>
      <c r="H4073" s="274">
        <v>0</v>
      </c>
      <c r="K4073" s="274"/>
    </row>
    <row r="4074" spans="2:11" ht="13.5" customHeight="1">
      <c r="B4074" s="209" t="s">
        <v>1384</v>
      </c>
      <c r="C4074" s="209" t="s">
        <v>3001</v>
      </c>
      <c r="D4074" s="450" t="s">
        <v>137</v>
      </c>
      <c r="E4074" s="273">
        <v>0</v>
      </c>
      <c r="F4074" s="274"/>
      <c r="G4074" s="274">
        <f t="shared" si="15"/>
        <v>0</v>
      </c>
      <c r="H4074" s="274">
        <v>0</v>
      </c>
      <c r="K4074" s="274"/>
    </row>
    <row r="4075" spans="2:11" ht="13.5" customHeight="1">
      <c r="B4075" s="209" t="s">
        <v>1384</v>
      </c>
      <c r="C4075" s="209" t="s">
        <v>3001</v>
      </c>
      <c r="D4075" s="451" t="s">
        <v>138</v>
      </c>
      <c r="E4075" s="273">
        <v>0</v>
      </c>
      <c r="F4075" s="274"/>
      <c r="G4075" s="274">
        <f t="shared" si="15"/>
        <v>0</v>
      </c>
      <c r="H4075" s="274">
        <v>0</v>
      </c>
      <c r="K4075" s="274"/>
    </row>
    <row r="4076" spans="2:11" ht="13.5" customHeight="1">
      <c r="B4076" s="209" t="s">
        <v>1384</v>
      </c>
      <c r="C4076" s="209" t="s">
        <v>3001</v>
      </c>
      <c r="D4076" s="452" t="s">
        <v>139</v>
      </c>
      <c r="E4076" s="273">
        <v>0</v>
      </c>
      <c r="F4076" s="274"/>
      <c r="G4076" s="274">
        <f t="shared" si="15"/>
        <v>0</v>
      </c>
      <c r="H4076" s="274">
        <v>0</v>
      </c>
      <c r="K4076" s="274"/>
    </row>
    <row r="4077" spans="2:11" ht="13.5" customHeight="1">
      <c r="B4077" s="209" t="s">
        <v>1384</v>
      </c>
      <c r="C4077" s="209" t="s">
        <v>3001</v>
      </c>
      <c r="D4077" s="216" t="s">
        <v>140</v>
      </c>
      <c r="E4077" s="273">
        <v>0</v>
      </c>
      <c r="F4077" s="274"/>
      <c r="G4077" s="274">
        <f t="shared" si="15"/>
        <v>0</v>
      </c>
      <c r="H4077" s="274">
        <v>0</v>
      </c>
      <c r="K4077" s="274"/>
    </row>
    <row r="4078" spans="2:11" ht="13.5" customHeight="1">
      <c r="B4078" s="209" t="s">
        <v>1384</v>
      </c>
      <c r="C4078" s="209" t="s">
        <v>3001</v>
      </c>
      <c r="D4078" s="453" t="s">
        <v>141</v>
      </c>
      <c r="E4078" s="273">
        <v>0</v>
      </c>
      <c r="F4078" s="274"/>
      <c r="G4078" s="274">
        <f t="shared" si="15"/>
        <v>0</v>
      </c>
      <c r="H4078" s="274">
        <v>0</v>
      </c>
      <c r="K4078" s="274"/>
    </row>
    <row r="4079" spans="2:11" ht="13.5" customHeight="1">
      <c r="B4079" s="209" t="s">
        <v>1287</v>
      </c>
      <c r="C4079" s="209" t="s">
        <v>3002</v>
      </c>
      <c r="D4079" s="446" t="s">
        <v>133</v>
      </c>
      <c r="E4079" s="273">
        <v>0</v>
      </c>
      <c r="F4079" s="274"/>
      <c r="G4079" s="274">
        <f t="shared" si="15"/>
        <v>0</v>
      </c>
      <c r="H4079" s="274">
        <v>0</v>
      </c>
      <c r="K4079" s="274"/>
    </row>
    <row r="4080" spans="2:11" ht="13.5" customHeight="1">
      <c r="B4080" s="209" t="s">
        <v>1287</v>
      </c>
      <c r="C4080" s="209" t="s">
        <v>3002</v>
      </c>
      <c r="D4080" s="447" t="s">
        <v>134</v>
      </c>
      <c r="E4080" s="273">
        <v>0</v>
      </c>
      <c r="F4080" s="274"/>
      <c r="G4080" s="274">
        <f t="shared" si="15"/>
        <v>0</v>
      </c>
      <c r="H4080" s="274">
        <v>0</v>
      </c>
      <c r="K4080" s="274"/>
    </row>
    <row r="4081" spans="2:11" ht="13.5" customHeight="1">
      <c r="B4081" s="209" t="s">
        <v>1287</v>
      </c>
      <c r="C4081" s="209" t="s">
        <v>3002</v>
      </c>
      <c r="D4081" s="448" t="s">
        <v>135</v>
      </c>
      <c r="E4081" s="273">
        <v>0</v>
      </c>
      <c r="F4081" s="274"/>
      <c r="G4081" s="274">
        <f t="shared" si="15"/>
        <v>0</v>
      </c>
      <c r="H4081" s="274">
        <v>0</v>
      </c>
      <c r="K4081" s="274"/>
    </row>
    <row r="4082" spans="2:11" ht="13.5" customHeight="1">
      <c r="B4082" s="209" t="s">
        <v>1287</v>
      </c>
      <c r="C4082" s="209" t="s">
        <v>3002</v>
      </c>
      <c r="D4082" s="449" t="s">
        <v>136</v>
      </c>
      <c r="E4082" s="273">
        <v>0</v>
      </c>
      <c r="F4082" s="274"/>
      <c r="G4082" s="274">
        <f t="shared" ref="G4082:G4336" si="16">E4082*F4082</f>
        <v>0</v>
      </c>
      <c r="H4082" s="274">
        <v>0</v>
      </c>
      <c r="K4082" s="274"/>
    </row>
    <row r="4083" spans="2:11" ht="13.5" customHeight="1">
      <c r="B4083" s="209" t="s">
        <v>1287</v>
      </c>
      <c r="C4083" s="209" t="s">
        <v>3002</v>
      </c>
      <c r="D4083" s="450" t="s">
        <v>137</v>
      </c>
      <c r="E4083" s="273">
        <v>0</v>
      </c>
      <c r="F4083" s="274"/>
      <c r="G4083" s="274">
        <f t="shared" si="16"/>
        <v>0</v>
      </c>
      <c r="H4083" s="274">
        <v>0</v>
      </c>
      <c r="K4083" s="274"/>
    </row>
    <row r="4084" spans="2:11" ht="13.5" customHeight="1">
      <c r="B4084" s="209" t="s">
        <v>1287</v>
      </c>
      <c r="C4084" s="209" t="s">
        <v>3002</v>
      </c>
      <c r="D4084" s="451" t="s">
        <v>138</v>
      </c>
      <c r="E4084" s="273">
        <v>0</v>
      </c>
      <c r="F4084" s="274"/>
      <c r="G4084" s="274">
        <f t="shared" si="16"/>
        <v>0</v>
      </c>
      <c r="H4084" s="274">
        <v>0</v>
      </c>
      <c r="K4084" s="274"/>
    </row>
    <row r="4085" spans="2:11" ht="13.5" customHeight="1">
      <c r="B4085" s="209" t="s">
        <v>1287</v>
      </c>
      <c r="C4085" s="209" t="s">
        <v>3002</v>
      </c>
      <c r="D4085" s="452" t="s">
        <v>139</v>
      </c>
      <c r="E4085" s="273">
        <v>0</v>
      </c>
      <c r="F4085" s="274"/>
      <c r="G4085" s="274">
        <f t="shared" si="16"/>
        <v>0</v>
      </c>
      <c r="H4085" s="274">
        <v>0</v>
      </c>
      <c r="K4085" s="274"/>
    </row>
    <row r="4086" spans="2:11" ht="13.5" customHeight="1">
      <c r="B4086" s="209" t="s">
        <v>1287</v>
      </c>
      <c r="C4086" s="209" t="s">
        <v>3002</v>
      </c>
      <c r="D4086" s="216" t="s">
        <v>140</v>
      </c>
      <c r="E4086" s="273">
        <v>0</v>
      </c>
      <c r="F4086" s="274"/>
      <c r="G4086" s="274">
        <f t="shared" si="16"/>
        <v>0</v>
      </c>
      <c r="H4086" s="274">
        <v>0</v>
      </c>
      <c r="K4086" s="274"/>
    </row>
    <row r="4087" spans="2:11" ht="13.5" customHeight="1">
      <c r="B4087" s="209" t="s">
        <v>1287</v>
      </c>
      <c r="C4087" s="209" t="s">
        <v>3002</v>
      </c>
      <c r="D4087" s="453" t="s">
        <v>141</v>
      </c>
      <c r="E4087" s="273">
        <v>0</v>
      </c>
      <c r="F4087" s="274"/>
      <c r="G4087" s="274">
        <f t="shared" si="16"/>
        <v>0</v>
      </c>
      <c r="H4087" s="274">
        <v>0</v>
      </c>
      <c r="K4087" s="274"/>
    </row>
    <row r="4088" spans="2:11" ht="13.5" customHeight="1">
      <c r="B4088" s="209" t="s">
        <v>1290</v>
      </c>
      <c r="C4088" s="209" t="s">
        <v>3003</v>
      </c>
      <c r="D4088" s="446" t="s">
        <v>133</v>
      </c>
      <c r="E4088" s="273">
        <v>0</v>
      </c>
      <c r="F4088" s="274"/>
      <c r="G4088" s="274">
        <f t="shared" si="16"/>
        <v>0</v>
      </c>
      <c r="H4088" s="274">
        <v>0</v>
      </c>
      <c r="K4088" s="274"/>
    </row>
    <row r="4089" spans="2:11" ht="13.5" customHeight="1">
      <c r="B4089" s="209" t="s">
        <v>1290</v>
      </c>
      <c r="C4089" s="209" t="s">
        <v>3003</v>
      </c>
      <c r="D4089" s="447" t="s">
        <v>134</v>
      </c>
      <c r="E4089" s="273">
        <v>0</v>
      </c>
      <c r="F4089" s="274"/>
      <c r="G4089" s="274">
        <f t="shared" si="16"/>
        <v>0</v>
      </c>
      <c r="H4089" s="274">
        <v>0</v>
      </c>
      <c r="K4089" s="274"/>
    </row>
    <row r="4090" spans="2:11" ht="13.5" customHeight="1">
      <c r="B4090" s="209" t="s">
        <v>1290</v>
      </c>
      <c r="C4090" s="209" t="s">
        <v>3003</v>
      </c>
      <c r="D4090" s="448" t="s">
        <v>135</v>
      </c>
      <c r="E4090" s="273">
        <v>0</v>
      </c>
      <c r="F4090" s="274"/>
      <c r="G4090" s="274">
        <f t="shared" si="16"/>
        <v>0</v>
      </c>
      <c r="H4090" s="274">
        <v>0</v>
      </c>
      <c r="K4090" s="274"/>
    </row>
    <row r="4091" spans="2:11" ht="13.5" customHeight="1">
      <c r="B4091" s="209" t="s">
        <v>1290</v>
      </c>
      <c r="C4091" s="209" t="s">
        <v>3003</v>
      </c>
      <c r="D4091" s="449" t="s">
        <v>136</v>
      </c>
      <c r="E4091" s="273">
        <v>0</v>
      </c>
      <c r="F4091" s="274"/>
      <c r="G4091" s="274">
        <f t="shared" si="16"/>
        <v>0</v>
      </c>
      <c r="H4091" s="274">
        <v>0</v>
      </c>
      <c r="K4091" s="274"/>
    </row>
    <row r="4092" spans="2:11" ht="13.5" customHeight="1">
      <c r="B4092" s="209" t="s">
        <v>1290</v>
      </c>
      <c r="C4092" s="209" t="s">
        <v>3003</v>
      </c>
      <c r="D4092" s="450" t="s">
        <v>137</v>
      </c>
      <c r="E4092" s="273">
        <v>0</v>
      </c>
      <c r="F4092" s="274"/>
      <c r="G4092" s="274">
        <f t="shared" si="16"/>
        <v>0</v>
      </c>
      <c r="H4092" s="274">
        <v>0</v>
      </c>
      <c r="K4092" s="274"/>
    </row>
    <row r="4093" spans="2:11" ht="13.5" customHeight="1">
      <c r="B4093" s="209" t="s">
        <v>1290</v>
      </c>
      <c r="C4093" s="209" t="s">
        <v>3003</v>
      </c>
      <c r="D4093" s="451" t="s">
        <v>138</v>
      </c>
      <c r="E4093" s="273">
        <v>0</v>
      </c>
      <c r="F4093" s="274"/>
      <c r="G4093" s="274">
        <f t="shared" si="16"/>
        <v>0</v>
      </c>
      <c r="H4093" s="274">
        <v>0</v>
      </c>
      <c r="K4093" s="274"/>
    </row>
    <row r="4094" spans="2:11" ht="13.5" customHeight="1">
      <c r="B4094" s="209" t="s">
        <v>1290</v>
      </c>
      <c r="C4094" s="209" t="s">
        <v>3003</v>
      </c>
      <c r="D4094" s="452" t="s">
        <v>139</v>
      </c>
      <c r="E4094" s="273">
        <v>0</v>
      </c>
      <c r="F4094" s="274"/>
      <c r="G4094" s="274">
        <f t="shared" si="16"/>
        <v>0</v>
      </c>
      <c r="H4094" s="274">
        <v>0</v>
      </c>
      <c r="K4094" s="274"/>
    </row>
    <row r="4095" spans="2:11" ht="13.5" customHeight="1">
      <c r="B4095" s="209" t="s">
        <v>1290</v>
      </c>
      <c r="C4095" s="209" t="s">
        <v>3003</v>
      </c>
      <c r="D4095" s="216" t="s">
        <v>140</v>
      </c>
      <c r="E4095" s="273">
        <v>0</v>
      </c>
      <c r="F4095" s="274"/>
      <c r="G4095" s="274">
        <f t="shared" si="16"/>
        <v>0</v>
      </c>
      <c r="H4095" s="274">
        <v>0</v>
      </c>
      <c r="K4095" s="274"/>
    </row>
    <row r="4096" spans="2:11" ht="13.5" customHeight="1">
      <c r="B4096" s="209" t="s">
        <v>1290</v>
      </c>
      <c r="C4096" s="209" t="s">
        <v>3003</v>
      </c>
      <c r="D4096" s="453" t="s">
        <v>141</v>
      </c>
      <c r="E4096" s="273">
        <v>0</v>
      </c>
      <c r="F4096" s="274"/>
      <c r="G4096" s="274">
        <f t="shared" si="16"/>
        <v>0</v>
      </c>
      <c r="H4096" s="274">
        <v>0</v>
      </c>
      <c r="K4096" s="274"/>
    </row>
    <row r="4097" spans="2:11" ht="13.5" customHeight="1">
      <c r="B4097" s="209" t="s">
        <v>1759</v>
      </c>
      <c r="C4097" s="209" t="s">
        <v>3004</v>
      </c>
      <c r="D4097" s="446" t="s">
        <v>133</v>
      </c>
      <c r="E4097" s="273">
        <v>0</v>
      </c>
      <c r="F4097" s="274"/>
      <c r="G4097" s="274">
        <f t="shared" si="16"/>
        <v>0</v>
      </c>
      <c r="H4097" s="274">
        <v>0</v>
      </c>
      <c r="K4097" s="274"/>
    </row>
    <row r="4098" spans="2:11" ht="13.5" customHeight="1">
      <c r="B4098" s="209" t="s">
        <v>1759</v>
      </c>
      <c r="C4098" s="209" t="s">
        <v>3004</v>
      </c>
      <c r="D4098" s="447" t="s">
        <v>134</v>
      </c>
      <c r="E4098" s="273">
        <v>0</v>
      </c>
      <c r="F4098" s="274"/>
      <c r="G4098" s="274">
        <f t="shared" si="16"/>
        <v>0</v>
      </c>
      <c r="H4098" s="274">
        <v>0</v>
      </c>
      <c r="K4098" s="274"/>
    </row>
    <row r="4099" spans="2:11" ht="13.5" customHeight="1">
      <c r="B4099" s="209" t="s">
        <v>1759</v>
      </c>
      <c r="C4099" s="209" t="s">
        <v>3004</v>
      </c>
      <c r="D4099" s="448" t="s">
        <v>135</v>
      </c>
      <c r="E4099" s="273">
        <v>0</v>
      </c>
      <c r="F4099" s="274"/>
      <c r="G4099" s="274">
        <f t="shared" si="16"/>
        <v>0</v>
      </c>
      <c r="H4099" s="274">
        <v>0</v>
      </c>
      <c r="K4099" s="274"/>
    </row>
    <row r="4100" spans="2:11" ht="13.5" customHeight="1">
      <c r="B4100" s="209" t="s">
        <v>1759</v>
      </c>
      <c r="C4100" s="209" t="s">
        <v>3004</v>
      </c>
      <c r="D4100" s="449" t="s">
        <v>136</v>
      </c>
      <c r="E4100" s="273">
        <v>0</v>
      </c>
      <c r="F4100" s="274"/>
      <c r="G4100" s="274">
        <f t="shared" si="16"/>
        <v>0</v>
      </c>
      <c r="H4100" s="274">
        <v>0</v>
      </c>
      <c r="K4100" s="274"/>
    </row>
    <row r="4101" spans="2:11" ht="13.5" customHeight="1">
      <c r="B4101" s="209" t="s">
        <v>1759</v>
      </c>
      <c r="C4101" s="209" t="s">
        <v>3004</v>
      </c>
      <c r="D4101" s="450" t="s">
        <v>137</v>
      </c>
      <c r="E4101" s="273">
        <v>0</v>
      </c>
      <c r="F4101" s="274"/>
      <c r="G4101" s="274">
        <f t="shared" si="16"/>
        <v>0</v>
      </c>
      <c r="H4101" s="274">
        <v>0</v>
      </c>
      <c r="K4101" s="274"/>
    </row>
    <row r="4102" spans="2:11" ht="13.5" customHeight="1">
      <c r="B4102" s="209" t="s">
        <v>1759</v>
      </c>
      <c r="C4102" s="209" t="s">
        <v>3004</v>
      </c>
      <c r="D4102" s="451" t="s">
        <v>138</v>
      </c>
      <c r="E4102" s="273">
        <v>0</v>
      </c>
      <c r="F4102" s="274"/>
      <c r="G4102" s="274">
        <f t="shared" si="16"/>
        <v>0</v>
      </c>
      <c r="H4102" s="274">
        <v>0</v>
      </c>
      <c r="K4102" s="274"/>
    </row>
    <row r="4103" spans="2:11" ht="13.5" customHeight="1">
      <c r="B4103" s="209" t="s">
        <v>1759</v>
      </c>
      <c r="C4103" s="209" t="s">
        <v>3004</v>
      </c>
      <c r="D4103" s="452" t="s">
        <v>139</v>
      </c>
      <c r="E4103" s="273">
        <v>0</v>
      </c>
      <c r="F4103" s="274"/>
      <c r="G4103" s="274">
        <f t="shared" si="16"/>
        <v>0</v>
      </c>
      <c r="H4103" s="274">
        <v>0</v>
      </c>
      <c r="K4103" s="274"/>
    </row>
    <row r="4104" spans="2:11" ht="13.5" customHeight="1">
      <c r="B4104" s="209" t="s">
        <v>1759</v>
      </c>
      <c r="C4104" s="209" t="s">
        <v>3004</v>
      </c>
      <c r="D4104" s="216" t="s">
        <v>140</v>
      </c>
      <c r="E4104" s="273">
        <v>0</v>
      </c>
      <c r="F4104" s="274"/>
      <c r="G4104" s="274">
        <f t="shared" si="16"/>
        <v>0</v>
      </c>
      <c r="H4104" s="274">
        <v>0</v>
      </c>
      <c r="K4104" s="274"/>
    </row>
    <row r="4105" spans="2:11" ht="13.5" customHeight="1">
      <c r="B4105" s="209" t="s">
        <v>1759</v>
      </c>
      <c r="C4105" s="209" t="s">
        <v>3004</v>
      </c>
      <c r="D4105" s="453" t="s">
        <v>141</v>
      </c>
      <c r="E4105" s="273">
        <v>0</v>
      </c>
      <c r="F4105" s="274"/>
      <c r="G4105" s="274">
        <f t="shared" si="16"/>
        <v>0</v>
      </c>
      <c r="H4105" s="274">
        <v>0</v>
      </c>
      <c r="K4105" s="274"/>
    </row>
    <row r="4106" spans="2:11" ht="13.5" customHeight="1">
      <c r="B4106" s="209" t="s">
        <v>1756</v>
      </c>
      <c r="C4106" s="209" t="s">
        <v>3005</v>
      </c>
      <c r="D4106" s="446" t="s">
        <v>133</v>
      </c>
      <c r="E4106" s="273">
        <v>0</v>
      </c>
      <c r="F4106" s="274"/>
      <c r="G4106" s="274">
        <f t="shared" si="16"/>
        <v>0</v>
      </c>
      <c r="H4106" s="274">
        <v>0</v>
      </c>
      <c r="K4106" s="274"/>
    </row>
    <row r="4107" spans="2:11" ht="13.5" customHeight="1">
      <c r="B4107" s="209" t="s">
        <v>1756</v>
      </c>
      <c r="C4107" s="209" t="s">
        <v>3005</v>
      </c>
      <c r="D4107" s="447" t="s">
        <v>134</v>
      </c>
      <c r="E4107" s="273">
        <v>0</v>
      </c>
      <c r="F4107" s="274"/>
      <c r="G4107" s="274">
        <f t="shared" si="16"/>
        <v>0</v>
      </c>
      <c r="H4107" s="274">
        <v>0</v>
      </c>
      <c r="K4107" s="274"/>
    </row>
    <row r="4108" spans="2:11" ht="13.5" customHeight="1">
      <c r="B4108" s="209" t="s">
        <v>1756</v>
      </c>
      <c r="C4108" s="209" t="s">
        <v>3005</v>
      </c>
      <c r="D4108" s="448" t="s">
        <v>135</v>
      </c>
      <c r="E4108" s="273">
        <v>0</v>
      </c>
      <c r="F4108" s="274"/>
      <c r="G4108" s="274">
        <f t="shared" si="16"/>
        <v>0</v>
      </c>
      <c r="H4108" s="274">
        <v>0</v>
      </c>
      <c r="K4108" s="274"/>
    </row>
    <row r="4109" spans="2:11" ht="13.5" customHeight="1">
      <c r="B4109" s="209" t="s">
        <v>1756</v>
      </c>
      <c r="C4109" s="209" t="s">
        <v>3005</v>
      </c>
      <c r="D4109" s="449" t="s">
        <v>136</v>
      </c>
      <c r="E4109" s="273">
        <v>0</v>
      </c>
      <c r="F4109" s="274"/>
      <c r="G4109" s="274">
        <f t="shared" si="16"/>
        <v>0</v>
      </c>
      <c r="H4109" s="274">
        <v>0</v>
      </c>
      <c r="K4109" s="274"/>
    </row>
    <row r="4110" spans="2:11" ht="13.5" customHeight="1">
      <c r="B4110" s="209" t="s">
        <v>1756</v>
      </c>
      <c r="C4110" s="209" t="s">
        <v>3005</v>
      </c>
      <c r="D4110" s="450" t="s">
        <v>137</v>
      </c>
      <c r="E4110" s="273">
        <v>0</v>
      </c>
      <c r="F4110" s="274"/>
      <c r="G4110" s="274">
        <f t="shared" si="16"/>
        <v>0</v>
      </c>
      <c r="H4110" s="274">
        <v>0</v>
      </c>
      <c r="K4110" s="274"/>
    </row>
    <row r="4111" spans="2:11" ht="13.5" customHeight="1">
      <c r="B4111" s="209" t="s">
        <v>1756</v>
      </c>
      <c r="C4111" s="209" t="s">
        <v>3005</v>
      </c>
      <c r="D4111" s="451" t="s">
        <v>138</v>
      </c>
      <c r="E4111" s="273">
        <v>0</v>
      </c>
      <c r="F4111" s="274"/>
      <c r="G4111" s="274">
        <f t="shared" si="16"/>
        <v>0</v>
      </c>
      <c r="H4111" s="274">
        <v>0</v>
      </c>
      <c r="K4111" s="274"/>
    </row>
    <row r="4112" spans="2:11" ht="13.5" customHeight="1">
      <c r="B4112" s="209" t="s">
        <v>1756</v>
      </c>
      <c r="C4112" s="209" t="s">
        <v>3005</v>
      </c>
      <c r="D4112" s="452" t="s">
        <v>139</v>
      </c>
      <c r="E4112" s="273">
        <v>0</v>
      </c>
      <c r="F4112" s="274"/>
      <c r="G4112" s="274">
        <f t="shared" si="16"/>
        <v>0</v>
      </c>
      <c r="H4112" s="274">
        <v>0</v>
      </c>
      <c r="K4112" s="274"/>
    </row>
    <row r="4113" spans="2:11" ht="13.5" customHeight="1">
      <c r="B4113" s="209" t="s">
        <v>1756</v>
      </c>
      <c r="C4113" s="209" t="s">
        <v>3005</v>
      </c>
      <c r="D4113" s="216" t="s">
        <v>140</v>
      </c>
      <c r="E4113" s="273">
        <v>0</v>
      </c>
      <c r="F4113" s="274"/>
      <c r="G4113" s="274">
        <f t="shared" si="16"/>
        <v>0</v>
      </c>
      <c r="H4113" s="274">
        <v>0</v>
      </c>
      <c r="K4113" s="274"/>
    </row>
    <row r="4114" spans="2:11" ht="13.5" customHeight="1">
      <c r="B4114" s="209" t="s">
        <v>1756</v>
      </c>
      <c r="C4114" s="209" t="s">
        <v>3005</v>
      </c>
      <c r="D4114" s="453" t="s">
        <v>141</v>
      </c>
      <c r="E4114" s="273">
        <v>0</v>
      </c>
      <c r="F4114" s="274"/>
      <c r="G4114" s="274">
        <f t="shared" si="16"/>
        <v>0</v>
      </c>
      <c r="H4114" s="274">
        <v>0</v>
      </c>
      <c r="K4114" s="274"/>
    </row>
    <row r="4115" spans="2:11" ht="13.5" customHeight="1">
      <c r="B4115" s="209" t="s">
        <v>1457</v>
      </c>
      <c r="C4115" s="209" t="s">
        <v>3006</v>
      </c>
      <c r="D4115" s="446" t="s">
        <v>133</v>
      </c>
      <c r="E4115" s="273">
        <v>0</v>
      </c>
      <c r="F4115" s="274"/>
      <c r="G4115" s="274">
        <f t="shared" si="16"/>
        <v>0</v>
      </c>
      <c r="H4115" s="274">
        <v>0</v>
      </c>
      <c r="K4115" s="274"/>
    </row>
    <row r="4116" spans="2:11" ht="13.5" customHeight="1">
      <c r="B4116" s="209" t="s">
        <v>1457</v>
      </c>
      <c r="C4116" s="209" t="s">
        <v>3006</v>
      </c>
      <c r="D4116" s="447" t="s">
        <v>134</v>
      </c>
      <c r="E4116" s="273">
        <v>0</v>
      </c>
      <c r="F4116" s="274"/>
      <c r="G4116" s="274">
        <f t="shared" si="16"/>
        <v>0</v>
      </c>
      <c r="H4116" s="274">
        <v>0</v>
      </c>
      <c r="K4116" s="274"/>
    </row>
    <row r="4117" spans="2:11" ht="13.5" customHeight="1">
      <c r="B4117" s="209" t="s">
        <v>1457</v>
      </c>
      <c r="C4117" s="209" t="s">
        <v>3006</v>
      </c>
      <c r="D4117" s="448" t="s">
        <v>135</v>
      </c>
      <c r="E4117" s="273">
        <v>0</v>
      </c>
      <c r="F4117" s="274"/>
      <c r="G4117" s="274">
        <f t="shared" si="16"/>
        <v>0</v>
      </c>
      <c r="H4117" s="274">
        <v>0</v>
      </c>
      <c r="K4117" s="274"/>
    </row>
    <row r="4118" spans="2:11" ht="13.5" customHeight="1">
      <c r="B4118" s="209" t="s">
        <v>1457</v>
      </c>
      <c r="C4118" s="209" t="s">
        <v>3006</v>
      </c>
      <c r="D4118" s="449" t="s">
        <v>136</v>
      </c>
      <c r="E4118" s="273">
        <v>0</v>
      </c>
      <c r="F4118" s="274"/>
      <c r="G4118" s="274">
        <f t="shared" si="16"/>
        <v>0</v>
      </c>
      <c r="H4118" s="274">
        <v>0</v>
      </c>
      <c r="K4118" s="274"/>
    </row>
    <row r="4119" spans="2:11" ht="13.5" customHeight="1">
      <c r="B4119" s="209" t="s">
        <v>1457</v>
      </c>
      <c r="C4119" s="209" t="s">
        <v>3006</v>
      </c>
      <c r="D4119" s="450" t="s">
        <v>137</v>
      </c>
      <c r="E4119" s="273">
        <v>0</v>
      </c>
      <c r="F4119" s="274"/>
      <c r="G4119" s="274">
        <f t="shared" si="16"/>
        <v>0</v>
      </c>
      <c r="H4119" s="274">
        <v>0</v>
      </c>
      <c r="K4119" s="274"/>
    </row>
    <row r="4120" spans="2:11" ht="13.5" customHeight="1">
      <c r="B4120" s="209" t="s">
        <v>1457</v>
      </c>
      <c r="C4120" s="209" t="s">
        <v>3006</v>
      </c>
      <c r="D4120" s="451" t="s">
        <v>138</v>
      </c>
      <c r="E4120" s="273">
        <v>0</v>
      </c>
      <c r="F4120" s="274"/>
      <c r="G4120" s="274">
        <f t="shared" si="16"/>
        <v>0</v>
      </c>
      <c r="H4120" s="274">
        <v>0</v>
      </c>
      <c r="K4120" s="274"/>
    </row>
    <row r="4121" spans="2:11" ht="13.5" customHeight="1">
      <c r="B4121" s="209" t="s">
        <v>1457</v>
      </c>
      <c r="C4121" s="209" t="s">
        <v>3006</v>
      </c>
      <c r="D4121" s="452" t="s">
        <v>139</v>
      </c>
      <c r="E4121" s="273">
        <v>0</v>
      </c>
      <c r="F4121" s="274"/>
      <c r="G4121" s="274">
        <f t="shared" si="16"/>
        <v>0</v>
      </c>
      <c r="H4121" s="274">
        <v>0</v>
      </c>
      <c r="K4121" s="274"/>
    </row>
    <row r="4122" spans="2:11" ht="13.5" customHeight="1">
      <c r="B4122" s="209" t="s">
        <v>1457</v>
      </c>
      <c r="C4122" s="209" t="s">
        <v>3006</v>
      </c>
      <c r="D4122" s="216" t="s">
        <v>140</v>
      </c>
      <c r="E4122" s="273">
        <v>0</v>
      </c>
      <c r="F4122" s="274"/>
      <c r="G4122" s="274">
        <f t="shared" si="16"/>
        <v>0</v>
      </c>
      <c r="H4122" s="274">
        <v>0</v>
      </c>
      <c r="K4122" s="274"/>
    </row>
    <row r="4123" spans="2:11" ht="13.5" customHeight="1">
      <c r="B4123" s="209" t="s">
        <v>1457</v>
      </c>
      <c r="C4123" s="209" t="s">
        <v>3006</v>
      </c>
      <c r="D4123" s="453" t="s">
        <v>141</v>
      </c>
      <c r="E4123" s="273">
        <v>0</v>
      </c>
      <c r="F4123" s="274"/>
      <c r="G4123" s="274">
        <f t="shared" si="16"/>
        <v>0</v>
      </c>
      <c r="H4123" s="274">
        <v>0</v>
      </c>
      <c r="K4123" s="274"/>
    </row>
    <row r="4124" spans="2:11" ht="13.5" customHeight="1">
      <c r="B4124" s="209" t="s">
        <v>1305</v>
      </c>
      <c r="C4124" s="209" t="s">
        <v>3007</v>
      </c>
      <c r="D4124" s="446" t="s">
        <v>133</v>
      </c>
      <c r="E4124" s="273">
        <v>0</v>
      </c>
      <c r="F4124" s="274"/>
      <c r="G4124" s="274">
        <f t="shared" si="16"/>
        <v>0</v>
      </c>
      <c r="H4124" s="274">
        <v>0</v>
      </c>
      <c r="K4124" s="274"/>
    </row>
    <row r="4125" spans="2:11" ht="13.5" customHeight="1">
      <c r="B4125" s="209" t="s">
        <v>1305</v>
      </c>
      <c r="C4125" s="209" t="s">
        <v>3007</v>
      </c>
      <c r="D4125" s="447" t="s">
        <v>134</v>
      </c>
      <c r="E4125" s="273">
        <v>0</v>
      </c>
      <c r="F4125" s="274"/>
      <c r="G4125" s="274">
        <f t="shared" si="16"/>
        <v>0</v>
      </c>
      <c r="H4125" s="274">
        <v>0</v>
      </c>
      <c r="K4125" s="274"/>
    </row>
    <row r="4126" spans="2:11" ht="13.5" customHeight="1">
      <c r="B4126" s="209" t="s">
        <v>1305</v>
      </c>
      <c r="C4126" s="209" t="s">
        <v>3007</v>
      </c>
      <c r="D4126" s="448" t="s">
        <v>135</v>
      </c>
      <c r="E4126" s="273">
        <v>0</v>
      </c>
      <c r="F4126" s="274"/>
      <c r="G4126" s="274">
        <f t="shared" si="16"/>
        <v>0</v>
      </c>
      <c r="H4126" s="274">
        <v>0</v>
      </c>
      <c r="K4126" s="274"/>
    </row>
    <row r="4127" spans="2:11" ht="13.5" customHeight="1">
      <c r="B4127" s="209" t="s">
        <v>1305</v>
      </c>
      <c r="C4127" s="209" t="s">
        <v>3007</v>
      </c>
      <c r="D4127" s="449" t="s">
        <v>136</v>
      </c>
      <c r="E4127" s="273">
        <v>0</v>
      </c>
      <c r="F4127" s="274"/>
      <c r="G4127" s="274">
        <f t="shared" si="16"/>
        <v>0</v>
      </c>
      <c r="H4127" s="274">
        <v>0</v>
      </c>
      <c r="K4127" s="274"/>
    </row>
    <row r="4128" spans="2:11" ht="13.5" customHeight="1">
      <c r="B4128" s="209" t="s">
        <v>1305</v>
      </c>
      <c r="C4128" s="209" t="s">
        <v>3007</v>
      </c>
      <c r="D4128" s="450" t="s">
        <v>137</v>
      </c>
      <c r="E4128" s="273">
        <v>0</v>
      </c>
      <c r="F4128" s="274"/>
      <c r="G4128" s="274">
        <f t="shared" si="16"/>
        <v>0</v>
      </c>
      <c r="H4128" s="274">
        <v>0</v>
      </c>
      <c r="K4128" s="274"/>
    </row>
    <row r="4129" spans="2:11" ht="13.5" customHeight="1">
      <c r="B4129" s="209" t="s">
        <v>1305</v>
      </c>
      <c r="C4129" s="209" t="s">
        <v>3007</v>
      </c>
      <c r="D4129" s="451" t="s">
        <v>138</v>
      </c>
      <c r="E4129" s="273">
        <v>0</v>
      </c>
      <c r="F4129" s="274"/>
      <c r="G4129" s="274">
        <f t="shared" si="16"/>
        <v>0</v>
      </c>
      <c r="H4129" s="274">
        <v>0</v>
      </c>
      <c r="K4129" s="274"/>
    </row>
    <row r="4130" spans="2:11" ht="13.5" customHeight="1">
      <c r="B4130" s="209" t="s">
        <v>1305</v>
      </c>
      <c r="C4130" s="209" t="s">
        <v>3007</v>
      </c>
      <c r="D4130" s="452" t="s">
        <v>139</v>
      </c>
      <c r="E4130" s="273">
        <v>0</v>
      </c>
      <c r="F4130" s="274"/>
      <c r="G4130" s="274">
        <f t="shared" si="16"/>
        <v>0</v>
      </c>
      <c r="H4130" s="274">
        <v>0</v>
      </c>
      <c r="K4130" s="274"/>
    </row>
    <row r="4131" spans="2:11" ht="13.5" customHeight="1">
      <c r="B4131" s="209" t="s">
        <v>1305</v>
      </c>
      <c r="C4131" s="209" t="s">
        <v>3007</v>
      </c>
      <c r="D4131" s="216" t="s">
        <v>140</v>
      </c>
      <c r="E4131" s="273">
        <v>0</v>
      </c>
      <c r="F4131" s="274"/>
      <c r="G4131" s="274">
        <f t="shared" si="16"/>
        <v>0</v>
      </c>
      <c r="H4131" s="274">
        <v>0</v>
      </c>
      <c r="K4131" s="274"/>
    </row>
    <row r="4132" spans="2:11" ht="13.5" customHeight="1">
      <c r="B4132" s="209" t="s">
        <v>1305</v>
      </c>
      <c r="C4132" s="209" t="s">
        <v>3007</v>
      </c>
      <c r="D4132" s="453" t="s">
        <v>141</v>
      </c>
      <c r="E4132" s="273">
        <v>0</v>
      </c>
      <c r="F4132" s="274"/>
      <c r="G4132" s="274">
        <f t="shared" si="16"/>
        <v>0</v>
      </c>
      <c r="H4132" s="274">
        <v>0</v>
      </c>
      <c r="K4132" s="274"/>
    </row>
    <row r="4133" spans="2:11" ht="13.5" customHeight="1">
      <c r="B4133" s="209" t="s">
        <v>1521</v>
      </c>
      <c r="C4133" s="209" t="s">
        <v>3008</v>
      </c>
      <c r="D4133" s="446" t="s">
        <v>133</v>
      </c>
      <c r="E4133" s="273">
        <v>0</v>
      </c>
      <c r="F4133" s="274"/>
      <c r="G4133" s="274">
        <f t="shared" si="16"/>
        <v>0</v>
      </c>
      <c r="H4133" s="274">
        <v>0</v>
      </c>
      <c r="K4133" s="274"/>
    </row>
    <row r="4134" spans="2:11" ht="13.5" customHeight="1">
      <c r="B4134" s="209" t="s">
        <v>1521</v>
      </c>
      <c r="C4134" s="209" t="s">
        <v>3008</v>
      </c>
      <c r="D4134" s="447" t="s">
        <v>134</v>
      </c>
      <c r="E4134" s="273">
        <v>0</v>
      </c>
      <c r="F4134" s="274"/>
      <c r="G4134" s="274">
        <f t="shared" si="16"/>
        <v>0</v>
      </c>
      <c r="H4134" s="274">
        <v>0</v>
      </c>
      <c r="K4134" s="274"/>
    </row>
    <row r="4135" spans="2:11" ht="13.5" customHeight="1">
      <c r="B4135" s="209" t="s">
        <v>1521</v>
      </c>
      <c r="C4135" s="209" t="s">
        <v>3008</v>
      </c>
      <c r="D4135" s="448" t="s">
        <v>135</v>
      </c>
      <c r="E4135" s="273">
        <v>0</v>
      </c>
      <c r="F4135" s="274"/>
      <c r="G4135" s="274">
        <f t="shared" si="16"/>
        <v>0</v>
      </c>
      <c r="H4135" s="274">
        <v>0</v>
      </c>
      <c r="K4135" s="274"/>
    </row>
    <row r="4136" spans="2:11" ht="13.5" customHeight="1">
      <c r="B4136" s="209" t="s">
        <v>1521</v>
      </c>
      <c r="C4136" s="209" t="s">
        <v>3008</v>
      </c>
      <c r="D4136" s="449" t="s">
        <v>136</v>
      </c>
      <c r="E4136" s="273">
        <v>0</v>
      </c>
      <c r="F4136" s="274"/>
      <c r="G4136" s="274">
        <f t="shared" si="16"/>
        <v>0</v>
      </c>
      <c r="H4136" s="274">
        <v>0</v>
      </c>
      <c r="K4136" s="274"/>
    </row>
    <row r="4137" spans="2:11" ht="13.5" customHeight="1">
      <c r="B4137" s="209" t="s">
        <v>1521</v>
      </c>
      <c r="C4137" s="209" t="s">
        <v>3008</v>
      </c>
      <c r="D4137" s="450" t="s">
        <v>137</v>
      </c>
      <c r="E4137" s="273">
        <v>0</v>
      </c>
      <c r="F4137" s="274"/>
      <c r="G4137" s="274">
        <f t="shared" si="16"/>
        <v>0</v>
      </c>
      <c r="H4137" s="274">
        <v>0</v>
      </c>
      <c r="K4137" s="274"/>
    </row>
    <row r="4138" spans="2:11" ht="13.5" customHeight="1">
      <c r="B4138" s="209" t="s">
        <v>1521</v>
      </c>
      <c r="C4138" s="209" t="s">
        <v>3008</v>
      </c>
      <c r="D4138" s="451" t="s">
        <v>138</v>
      </c>
      <c r="E4138" s="273">
        <v>0</v>
      </c>
      <c r="F4138" s="274"/>
      <c r="G4138" s="274">
        <f t="shared" si="16"/>
        <v>0</v>
      </c>
      <c r="H4138" s="274">
        <v>0</v>
      </c>
      <c r="K4138" s="274"/>
    </row>
    <row r="4139" spans="2:11" ht="13.5" customHeight="1">
      <c r="B4139" s="209" t="s">
        <v>1521</v>
      </c>
      <c r="C4139" s="209" t="s">
        <v>3008</v>
      </c>
      <c r="D4139" s="452" t="s">
        <v>139</v>
      </c>
      <c r="E4139" s="273">
        <v>0</v>
      </c>
      <c r="F4139" s="274"/>
      <c r="G4139" s="274">
        <f t="shared" si="16"/>
        <v>0</v>
      </c>
      <c r="H4139" s="274">
        <v>0</v>
      </c>
      <c r="K4139" s="274"/>
    </row>
    <row r="4140" spans="2:11" ht="13.5" customHeight="1">
      <c r="B4140" s="209" t="s">
        <v>1521</v>
      </c>
      <c r="C4140" s="209" t="s">
        <v>3008</v>
      </c>
      <c r="D4140" s="216" t="s">
        <v>140</v>
      </c>
      <c r="E4140" s="273">
        <v>0</v>
      </c>
      <c r="F4140" s="274"/>
      <c r="G4140" s="274">
        <f t="shared" si="16"/>
        <v>0</v>
      </c>
      <c r="H4140" s="274">
        <v>0</v>
      </c>
      <c r="K4140" s="274"/>
    </row>
    <row r="4141" spans="2:11" ht="13.5" customHeight="1">
      <c r="B4141" s="209" t="s">
        <v>1521</v>
      </c>
      <c r="C4141" s="209" t="s">
        <v>3008</v>
      </c>
      <c r="D4141" s="453" t="s">
        <v>141</v>
      </c>
      <c r="E4141" s="273">
        <v>0</v>
      </c>
      <c r="F4141" s="274"/>
      <c r="G4141" s="274">
        <f t="shared" si="16"/>
        <v>0</v>
      </c>
      <c r="H4141" s="274">
        <v>0</v>
      </c>
      <c r="K4141" s="274"/>
    </row>
    <row r="4142" spans="2:11" ht="13.5" customHeight="1">
      <c r="B4142" s="209" t="s">
        <v>1514</v>
      </c>
      <c r="C4142" s="209" t="s">
        <v>3009</v>
      </c>
      <c r="D4142" s="446" t="s">
        <v>133</v>
      </c>
      <c r="E4142" s="273">
        <v>0</v>
      </c>
      <c r="F4142" s="274"/>
      <c r="G4142" s="274">
        <f t="shared" si="16"/>
        <v>0</v>
      </c>
      <c r="H4142" s="274">
        <v>0</v>
      </c>
      <c r="K4142" s="274"/>
    </row>
    <row r="4143" spans="2:11" ht="13.5" customHeight="1">
      <c r="B4143" s="209" t="s">
        <v>1514</v>
      </c>
      <c r="C4143" s="209" t="s">
        <v>3009</v>
      </c>
      <c r="D4143" s="447" t="s">
        <v>134</v>
      </c>
      <c r="E4143" s="273">
        <v>0</v>
      </c>
      <c r="F4143" s="274"/>
      <c r="G4143" s="274">
        <f t="shared" si="16"/>
        <v>0</v>
      </c>
      <c r="H4143" s="274">
        <v>0</v>
      </c>
      <c r="K4143" s="274"/>
    </row>
    <row r="4144" spans="2:11" ht="13.5" customHeight="1">
      <c r="B4144" s="209" t="s">
        <v>1514</v>
      </c>
      <c r="C4144" s="209" t="s">
        <v>3009</v>
      </c>
      <c r="D4144" s="448" t="s">
        <v>135</v>
      </c>
      <c r="E4144" s="273">
        <v>0</v>
      </c>
      <c r="F4144" s="274"/>
      <c r="G4144" s="274">
        <f t="shared" si="16"/>
        <v>0</v>
      </c>
      <c r="H4144" s="274">
        <v>0</v>
      </c>
      <c r="K4144" s="274"/>
    </row>
    <row r="4145" spans="2:11" ht="13.5" customHeight="1">
      <c r="B4145" s="209" t="s">
        <v>1514</v>
      </c>
      <c r="C4145" s="209" t="s">
        <v>3009</v>
      </c>
      <c r="D4145" s="449" t="s">
        <v>136</v>
      </c>
      <c r="E4145" s="273">
        <v>0</v>
      </c>
      <c r="F4145" s="274"/>
      <c r="G4145" s="274">
        <f t="shared" si="16"/>
        <v>0</v>
      </c>
      <c r="H4145" s="274">
        <v>0</v>
      </c>
      <c r="K4145" s="274"/>
    </row>
    <row r="4146" spans="2:11" ht="13.5" customHeight="1">
      <c r="B4146" s="209" t="s">
        <v>1514</v>
      </c>
      <c r="C4146" s="209" t="s">
        <v>3009</v>
      </c>
      <c r="D4146" s="450" t="s">
        <v>137</v>
      </c>
      <c r="E4146" s="273">
        <v>0</v>
      </c>
      <c r="F4146" s="274"/>
      <c r="G4146" s="274">
        <f t="shared" si="16"/>
        <v>0</v>
      </c>
      <c r="H4146" s="274">
        <v>0</v>
      </c>
      <c r="K4146" s="274"/>
    </row>
    <row r="4147" spans="2:11" ht="13.5" customHeight="1">
      <c r="B4147" s="209" t="s">
        <v>1514</v>
      </c>
      <c r="C4147" s="209" t="s">
        <v>3009</v>
      </c>
      <c r="D4147" s="451" t="s">
        <v>138</v>
      </c>
      <c r="E4147" s="273">
        <v>0</v>
      </c>
      <c r="F4147" s="274"/>
      <c r="G4147" s="274">
        <f t="shared" si="16"/>
        <v>0</v>
      </c>
      <c r="H4147" s="274">
        <v>0</v>
      </c>
      <c r="K4147" s="274"/>
    </row>
    <row r="4148" spans="2:11" ht="13.5" customHeight="1">
      <c r="B4148" s="209" t="s">
        <v>1514</v>
      </c>
      <c r="C4148" s="209" t="s">
        <v>3009</v>
      </c>
      <c r="D4148" s="452" t="s">
        <v>139</v>
      </c>
      <c r="E4148" s="273">
        <v>0</v>
      </c>
      <c r="F4148" s="274"/>
      <c r="G4148" s="274">
        <f t="shared" si="16"/>
        <v>0</v>
      </c>
      <c r="H4148" s="274">
        <v>0</v>
      </c>
      <c r="K4148" s="274"/>
    </row>
    <row r="4149" spans="2:11" ht="13.5" customHeight="1">
      <c r="B4149" s="209" t="s">
        <v>1514</v>
      </c>
      <c r="C4149" s="209" t="s">
        <v>3009</v>
      </c>
      <c r="D4149" s="216" t="s">
        <v>140</v>
      </c>
      <c r="E4149" s="273">
        <v>0</v>
      </c>
      <c r="F4149" s="274"/>
      <c r="G4149" s="274">
        <f t="shared" si="16"/>
        <v>0</v>
      </c>
      <c r="H4149" s="274">
        <v>0</v>
      </c>
      <c r="K4149" s="274"/>
    </row>
    <row r="4150" spans="2:11" ht="13.5" customHeight="1">
      <c r="B4150" s="209" t="s">
        <v>1514</v>
      </c>
      <c r="C4150" s="209" t="s">
        <v>3009</v>
      </c>
      <c r="D4150" s="453" t="s">
        <v>141</v>
      </c>
      <c r="E4150" s="273">
        <v>0</v>
      </c>
      <c r="F4150" s="274"/>
      <c r="G4150" s="274">
        <f t="shared" si="16"/>
        <v>0</v>
      </c>
      <c r="H4150" s="274">
        <v>0</v>
      </c>
      <c r="K4150" s="274"/>
    </row>
    <row r="4151" spans="2:11" ht="13.5" customHeight="1">
      <c r="B4151" s="209" t="s">
        <v>3010</v>
      </c>
      <c r="C4151" s="209" t="s">
        <v>3011</v>
      </c>
      <c r="D4151" s="446" t="s">
        <v>133</v>
      </c>
      <c r="E4151" s="273">
        <v>0</v>
      </c>
      <c r="F4151" s="274"/>
      <c r="G4151" s="274">
        <f t="shared" si="16"/>
        <v>0</v>
      </c>
      <c r="H4151" s="274">
        <v>0</v>
      </c>
      <c r="K4151" s="274"/>
    </row>
    <row r="4152" spans="2:11" ht="13.5" customHeight="1">
      <c r="B4152" s="209" t="s">
        <v>3010</v>
      </c>
      <c r="C4152" s="209" t="s">
        <v>3011</v>
      </c>
      <c r="D4152" s="447" t="s">
        <v>134</v>
      </c>
      <c r="E4152" s="273">
        <v>0</v>
      </c>
      <c r="F4152" s="274"/>
      <c r="G4152" s="274">
        <f t="shared" si="16"/>
        <v>0</v>
      </c>
      <c r="H4152" s="274">
        <v>0</v>
      </c>
      <c r="K4152" s="274"/>
    </row>
    <row r="4153" spans="2:11" ht="13.5" customHeight="1">
      <c r="B4153" s="209" t="s">
        <v>3010</v>
      </c>
      <c r="C4153" s="209" t="s">
        <v>3011</v>
      </c>
      <c r="D4153" s="448" t="s">
        <v>135</v>
      </c>
      <c r="E4153" s="273">
        <v>0</v>
      </c>
      <c r="F4153" s="274"/>
      <c r="G4153" s="274">
        <f t="shared" si="16"/>
        <v>0</v>
      </c>
      <c r="H4153" s="274">
        <v>0</v>
      </c>
      <c r="K4153" s="274"/>
    </row>
    <row r="4154" spans="2:11" ht="13.5" customHeight="1">
      <c r="B4154" s="209" t="s">
        <v>3010</v>
      </c>
      <c r="C4154" s="209" t="s">
        <v>3011</v>
      </c>
      <c r="D4154" s="449" t="s">
        <v>136</v>
      </c>
      <c r="E4154" s="273">
        <v>0</v>
      </c>
      <c r="F4154" s="274"/>
      <c r="G4154" s="274">
        <f t="shared" si="16"/>
        <v>0</v>
      </c>
      <c r="H4154" s="274">
        <v>0</v>
      </c>
      <c r="K4154" s="274"/>
    </row>
    <row r="4155" spans="2:11" ht="13.5" customHeight="1">
      <c r="B4155" s="209" t="s">
        <v>3010</v>
      </c>
      <c r="C4155" s="209" t="s">
        <v>3011</v>
      </c>
      <c r="D4155" s="450" t="s">
        <v>137</v>
      </c>
      <c r="E4155" s="273">
        <v>0</v>
      </c>
      <c r="F4155" s="274"/>
      <c r="G4155" s="274">
        <f t="shared" si="16"/>
        <v>0</v>
      </c>
      <c r="H4155" s="274">
        <v>0</v>
      </c>
      <c r="K4155" s="274"/>
    </row>
    <row r="4156" spans="2:11" ht="13.5" customHeight="1">
      <c r="B4156" s="209" t="s">
        <v>3010</v>
      </c>
      <c r="C4156" s="209" t="s">
        <v>3011</v>
      </c>
      <c r="D4156" s="451" t="s">
        <v>138</v>
      </c>
      <c r="E4156" s="273">
        <v>0</v>
      </c>
      <c r="F4156" s="274"/>
      <c r="G4156" s="274">
        <f t="shared" si="16"/>
        <v>0</v>
      </c>
      <c r="H4156" s="274">
        <v>0</v>
      </c>
      <c r="K4156" s="274"/>
    </row>
    <row r="4157" spans="2:11" ht="13.5" customHeight="1">
      <c r="B4157" s="209" t="s">
        <v>3010</v>
      </c>
      <c r="C4157" s="209" t="s">
        <v>3011</v>
      </c>
      <c r="D4157" s="452" t="s">
        <v>139</v>
      </c>
      <c r="E4157" s="273">
        <v>0</v>
      </c>
      <c r="F4157" s="274"/>
      <c r="G4157" s="274">
        <f t="shared" si="16"/>
        <v>0</v>
      </c>
      <c r="H4157" s="274">
        <v>0</v>
      </c>
      <c r="K4157" s="274"/>
    </row>
    <row r="4158" spans="2:11" ht="13.5" customHeight="1">
      <c r="B4158" s="209" t="s">
        <v>3010</v>
      </c>
      <c r="C4158" s="209" t="s">
        <v>3011</v>
      </c>
      <c r="D4158" s="216" t="s">
        <v>140</v>
      </c>
      <c r="E4158" s="273">
        <v>0</v>
      </c>
      <c r="F4158" s="274"/>
      <c r="G4158" s="274">
        <f t="shared" si="16"/>
        <v>0</v>
      </c>
      <c r="H4158" s="274">
        <v>0</v>
      </c>
      <c r="K4158" s="274"/>
    </row>
    <row r="4159" spans="2:11" ht="13.5" customHeight="1">
      <c r="B4159" s="209" t="s">
        <v>3010</v>
      </c>
      <c r="C4159" s="209" t="s">
        <v>3011</v>
      </c>
      <c r="D4159" s="453" t="s">
        <v>141</v>
      </c>
      <c r="E4159" s="273">
        <v>0</v>
      </c>
      <c r="F4159" s="274"/>
      <c r="G4159" s="274">
        <f t="shared" si="16"/>
        <v>0</v>
      </c>
      <c r="H4159" s="274">
        <v>0</v>
      </c>
      <c r="K4159" s="274"/>
    </row>
    <row r="4160" spans="2:11" ht="13.5" customHeight="1">
      <c r="B4160" s="209" t="s">
        <v>1766</v>
      </c>
      <c r="C4160" s="209" t="s">
        <v>3012</v>
      </c>
      <c r="D4160" s="446" t="s">
        <v>133</v>
      </c>
      <c r="E4160" s="273">
        <v>0</v>
      </c>
      <c r="F4160" s="274"/>
      <c r="G4160" s="274">
        <f t="shared" si="16"/>
        <v>0</v>
      </c>
      <c r="H4160" s="274">
        <v>0</v>
      </c>
      <c r="K4160" s="274"/>
    </row>
    <row r="4161" spans="2:11" ht="13.5" customHeight="1">
      <c r="B4161" s="209" t="s">
        <v>1766</v>
      </c>
      <c r="C4161" s="209" t="s">
        <v>3012</v>
      </c>
      <c r="D4161" s="447" t="s">
        <v>134</v>
      </c>
      <c r="E4161" s="273">
        <v>0</v>
      </c>
      <c r="F4161" s="274"/>
      <c r="G4161" s="274">
        <f t="shared" si="16"/>
        <v>0</v>
      </c>
      <c r="H4161" s="274">
        <v>0</v>
      </c>
      <c r="K4161" s="274"/>
    </row>
    <row r="4162" spans="2:11" ht="13.5" customHeight="1">
      <c r="B4162" s="209" t="s">
        <v>1766</v>
      </c>
      <c r="C4162" s="209" t="s">
        <v>3012</v>
      </c>
      <c r="D4162" s="448" t="s">
        <v>135</v>
      </c>
      <c r="E4162" s="273">
        <v>0</v>
      </c>
      <c r="F4162" s="274"/>
      <c r="G4162" s="274">
        <f t="shared" si="16"/>
        <v>0</v>
      </c>
      <c r="H4162" s="274">
        <v>0</v>
      </c>
      <c r="K4162" s="274"/>
    </row>
    <row r="4163" spans="2:11" ht="13.5" customHeight="1">
      <c r="B4163" s="209" t="s">
        <v>1766</v>
      </c>
      <c r="C4163" s="209" t="s">
        <v>3012</v>
      </c>
      <c r="D4163" s="449" t="s">
        <v>136</v>
      </c>
      <c r="E4163" s="273">
        <v>0</v>
      </c>
      <c r="F4163" s="274"/>
      <c r="G4163" s="274">
        <f t="shared" si="16"/>
        <v>0</v>
      </c>
      <c r="H4163" s="274">
        <v>0</v>
      </c>
      <c r="K4163" s="274"/>
    </row>
    <row r="4164" spans="2:11" ht="13.5" customHeight="1">
      <c r="B4164" s="209" t="s">
        <v>1766</v>
      </c>
      <c r="C4164" s="209" t="s">
        <v>3012</v>
      </c>
      <c r="D4164" s="450" t="s">
        <v>137</v>
      </c>
      <c r="E4164" s="273">
        <v>0</v>
      </c>
      <c r="F4164" s="274"/>
      <c r="G4164" s="274">
        <f t="shared" si="16"/>
        <v>0</v>
      </c>
      <c r="H4164" s="274">
        <v>0</v>
      </c>
      <c r="K4164" s="274"/>
    </row>
    <row r="4165" spans="2:11" ht="13.5" customHeight="1">
      <c r="B4165" s="209" t="s">
        <v>1766</v>
      </c>
      <c r="C4165" s="209" t="s">
        <v>3012</v>
      </c>
      <c r="D4165" s="451" t="s">
        <v>138</v>
      </c>
      <c r="E4165" s="273">
        <v>0</v>
      </c>
      <c r="F4165" s="274"/>
      <c r="G4165" s="274">
        <f t="shared" si="16"/>
        <v>0</v>
      </c>
      <c r="H4165" s="274">
        <v>0</v>
      </c>
      <c r="K4165" s="274"/>
    </row>
    <row r="4166" spans="2:11" ht="13.5" customHeight="1">
      <c r="B4166" s="209" t="s">
        <v>1766</v>
      </c>
      <c r="C4166" s="209" t="s">
        <v>3012</v>
      </c>
      <c r="D4166" s="452" t="s">
        <v>139</v>
      </c>
      <c r="E4166" s="273">
        <v>0</v>
      </c>
      <c r="F4166" s="274"/>
      <c r="G4166" s="274">
        <f t="shared" si="16"/>
        <v>0</v>
      </c>
      <c r="H4166" s="274">
        <v>0</v>
      </c>
      <c r="K4166" s="274"/>
    </row>
    <row r="4167" spans="2:11" ht="13.5" customHeight="1">
      <c r="B4167" s="209" t="s">
        <v>1766</v>
      </c>
      <c r="C4167" s="209" t="s">
        <v>3012</v>
      </c>
      <c r="D4167" s="216" t="s">
        <v>140</v>
      </c>
      <c r="E4167" s="273">
        <v>0</v>
      </c>
      <c r="F4167" s="274"/>
      <c r="G4167" s="274">
        <f t="shared" si="16"/>
        <v>0</v>
      </c>
      <c r="H4167" s="274">
        <v>0</v>
      </c>
      <c r="K4167" s="274"/>
    </row>
    <row r="4168" spans="2:11" ht="13.5" customHeight="1">
      <c r="B4168" s="209" t="s">
        <v>1766</v>
      </c>
      <c r="C4168" s="209" t="s">
        <v>3012</v>
      </c>
      <c r="D4168" s="453" t="s">
        <v>141</v>
      </c>
      <c r="E4168" s="273">
        <v>0</v>
      </c>
      <c r="F4168" s="274"/>
      <c r="G4168" s="274">
        <f t="shared" si="16"/>
        <v>0</v>
      </c>
      <c r="H4168" s="274">
        <v>0</v>
      </c>
      <c r="K4168" s="274"/>
    </row>
    <row r="4169" spans="2:11" ht="13.5" customHeight="1">
      <c r="B4169" s="209" t="s">
        <v>1817</v>
      </c>
      <c r="C4169" s="209" t="s">
        <v>3013</v>
      </c>
      <c r="D4169" s="446" t="s">
        <v>133</v>
      </c>
      <c r="E4169" s="273">
        <v>0</v>
      </c>
      <c r="F4169" s="274"/>
      <c r="G4169" s="274">
        <f t="shared" si="16"/>
        <v>0</v>
      </c>
      <c r="H4169" s="274">
        <v>0</v>
      </c>
      <c r="K4169" s="274"/>
    </row>
    <row r="4170" spans="2:11" ht="13.5" customHeight="1">
      <c r="B4170" s="209" t="s">
        <v>1817</v>
      </c>
      <c r="C4170" s="209" t="s">
        <v>3013</v>
      </c>
      <c r="D4170" s="447" t="s">
        <v>134</v>
      </c>
      <c r="E4170" s="273">
        <v>0</v>
      </c>
      <c r="F4170" s="274"/>
      <c r="G4170" s="274">
        <f t="shared" si="16"/>
        <v>0</v>
      </c>
      <c r="H4170" s="274">
        <v>0</v>
      </c>
      <c r="K4170" s="274"/>
    </row>
    <row r="4171" spans="2:11" ht="13.5" customHeight="1">
      <c r="B4171" s="209" t="s">
        <v>1817</v>
      </c>
      <c r="C4171" s="209" t="s">
        <v>3013</v>
      </c>
      <c r="D4171" s="448" t="s">
        <v>135</v>
      </c>
      <c r="E4171" s="273">
        <v>0</v>
      </c>
      <c r="F4171" s="274"/>
      <c r="G4171" s="274">
        <f t="shared" si="16"/>
        <v>0</v>
      </c>
      <c r="H4171" s="274">
        <v>0</v>
      </c>
      <c r="K4171" s="274"/>
    </row>
    <row r="4172" spans="2:11" ht="13.5" customHeight="1">
      <c r="B4172" s="209" t="s">
        <v>1817</v>
      </c>
      <c r="C4172" s="209" t="s">
        <v>3013</v>
      </c>
      <c r="D4172" s="449" t="s">
        <v>136</v>
      </c>
      <c r="E4172" s="273">
        <v>0</v>
      </c>
      <c r="F4172" s="274"/>
      <c r="G4172" s="274">
        <f t="shared" si="16"/>
        <v>0</v>
      </c>
      <c r="H4172" s="274">
        <v>0</v>
      </c>
      <c r="K4172" s="274"/>
    </row>
    <row r="4173" spans="2:11" ht="13.5" customHeight="1">
      <c r="B4173" s="209" t="s">
        <v>1817</v>
      </c>
      <c r="C4173" s="209" t="s">
        <v>3013</v>
      </c>
      <c r="D4173" s="450" t="s">
        <v>137</v>
      </c>
      <c r="E4173" s="273">
        <v>0</v>
      </c>
      <c r="F4173" s="274"/>
      <c r="G4173" s="274">
        <f t="shared" si="16"/>
        <v>0</v>
      </c>
      <c r="H4173" s="274">
        <v>0</v>
      </c>
      <c r="K4173" s="274"/>
    </row>
    <row r="4174" spans="2:11" ht="13.5" customHeight="1">
      <c r="B4174" s="209" t="s">
        <v>1817</v>
      </c>
      <c r="C4174" s="209" t="s">
        <v>3013</v>
      </c>
      <c r="D4174" s="451" t="s">
        <v>138</v>
      </c>
      <c r="E4174" s="273">
        <v>0</v>
      </c>
      <c r="F4174" s="274"/>
      <c r="G4174" s="274">
        <f t="shared" si="16"/>
        <v>0</v>
      </c>
      <c r="H4174" s="274">
        <v>0</v>
      </c>
      <c r="K4174" s="274"/>
    </row>
    <row r="4175" spans="2:11" ht="13.5" customHeight="1">
      <c r="B4175" s="209" t="s">
        <v>1817</v>
      </c>
      <c r="C4175" s="209" t="s">
        <v>3013</v>
      </c>
      <c r="D4175" s="452" t="s">
        <v>139</v>
      </c>
      <c r="E4175" s="273">
        <v>0</v>
      </c>
      <c r="F4175" s="274"/>
      <c r="G4175" s="274">
        <f t="shared" si="16"/>
        <v>0</v>
      </c>
      <c r="H4175" s="274">
        <v>0</v>
      </c>
      <c r="K4175" s="274"/>
    </row>
    <row r="4176" spans="2:11" ht="13.5" customHeight="1">
      <c r="B4176" s="209" t="s">
        <v>1817</v>
      </c>
      <c r="C4176" s="209" t="s">
        <v>3013</v>
      </c>
      <c r="D4176" s="216" t="s">
        <v>140</v>
      </c>
      <c r="E4176" s="273">
        <v>0</v>
      </c>
      <c r="F4176" s="274"/>
      <c r="G4176" s="274">
        <f t="shared" si="16"/>
        <v>0</v>
      </c>
      <c r="H4176" s="274">
        <v>0</v>
      </c>
      <c r="K4176" s="274"/>
    </row>
    <row r="4177" spans="2:11" ht="13.5" customHeight="1">
      <c r="B4177" s="209" t="s">
        <v>1817</v>
      </c>
      <c r="C4177" s="209" t="s">
        <v>3013</v>
      </c>
      <c r="D4177" s="453" t="s">
        <v>141</v>
      </c>
      <c r="E4177" s="273">
        <v>0</v>
      </c>
      <c r="F4177" s="274"/>
      <c r="G4177" s="274">
        <f t="shared" si="16"/>
        <v>0</v>
      </c>
      <c r="H4177" s="274">
        <v>0</v>
      </c>
      <c r="K4177" s="274"/>
    </row>
    <row r="4178" spans="2:11" ht="13.5" customHeight="1">
      <c r="B4178" s="209" t="s">
        <v>1644</v>
      </c>
      <c r="C4178" s="209" t="s">
        <v>3014</v>
      </c>
      <c r="D4178" s="446" t="s">
        <v>133</v>
      </c>
      <c r="E4178" s="273">
        <v>0</v>
      </c>
      <c r="F4178" s="274"/>
      <c r="G4178" s="274">
        <f t="shared" si="16"/>
        <v>0</v>
      </c>
      <c r="H4178" s="274">
        <v>0</v>
      </c>
      <c r="K4178" s="274"/>
    </row>
    <row r="4179" spans="2:11" ht="13.5" customHeight="1">
      <c r="B4179" s="209" t="s">
        <v>1644</v>
      </c>
      <c r="C4179" s="209" t="s">
        <v>3014</v>
      </c>
      <c r="D4179" s="447" t="s">
        <v>134</v>
      </c>
      <c r="E4179" s="273">
        <v>0</v>
      </c>
      <c r="F4179" s="274"/>
      <c r="G4179" s="274">
        <f t="shared" si="16"/>
        <v>0</v>
      </c>
      <c r="H4179" s="274">
        <v>0</v>
      </c>
      <c r="K4179" s="274"/>
    </row>
    <row r="4180" spans="2:11" ht="13.5" customHeight="1">
      <c r="B4180" s="209" t="s">
        <v>1644</v>
      </c>
      <c r="C4180" s="209" t="s">
        <v>3014</v>
      </c>
      <c r="D4180" s="448" t="s">
        <v>135</v>
      </c>
      <c r="E4180" s="273">
        <v>0</v>
      </c>
      <c r="F4180" s="274"/>
      <c r="G4180" s="274">
        <f t="shared" si="16"/>
        <v>0</v>
      </c>
      <c r="H4180" s="274">
        <v>0</v>
      </c>
      <c r="K4180" s="274"/>
    </row>
    <row r="4181" spans="2:11" ht="13.5" customHeight="1">
      <c r="B4181" s="209" t="s">
        <v>1644</v>
      </c>
      <c r="C4181" s="209" t="s">
        <v>3014</v>
      </c>
      <c r="D4181" s="449" t="s">
        <v>136</v>
      </c>
      <c r="E4181" s="273">
        <v>0</v>
      </c>
      <c r="F4181" s="274"/>
      <c r="G4181" s="274">
        <f t="shared" si="16"/>
        <v>0</v>
      </c>
      <c r="H4181" s="274">
        <v>0</v>
      </c>
      <c r="K4181" s="274"/>
    </row>
    <row r="4182" spans="2:11" ht="13.5" customHeight="1">
      <c r="B4182" s="209" t="s">
        <v>1644</v>
      </c>
      <c r="C4182" s="209" t="s">
        <v>3014</v>
      </c>
      <c r="D4182" s="450" t="s">
        <v>137</v>
      </c>
      <c r="E4182" s="273">
        <v>0</v>
      </c>
      <c r="F4182" s="274"/>
      <c r="G4182" s="274">
        <f t="shared" si="16"/>
        <v>0</v>
      </c>
      <c r="H4182" s="274">
        <v>0</v>
      </c>
      <c r="K4182" s="274"/>
    </row>
    <row r="4183" spans="2:11" ht="13.5" customHeight="1">
      <c r="B4183" s="209" t="s">
        <v>1644</v>
      </c>
      <c r="C4183" s="209" t="s">
        <v>3014</v>
      </c>
      <c r="D4183" s="451" t="s">
        <v>138</v>
      </c>
      <c r="E4183" s="273">
        <v>0</v>
      </c>
      <c r="F4183" s="274"/>
      <c r="G4183" s="274">
        <f t="shared" si="16"/>
        <v>0</v>
      </c>
      <c r="H4183" s="274">
        <v>0</v>
      </c>
      <c r="K4183" s="274"/>
    </row>
    <row r="4184" spans="2:11" ht="13.5" customHeight="1">
      <c r="B4184" s="209" t="s">
        <v>1644</v>
      </c>
      <c r="C4184" s="209" t="s">
        <v>3014</v>
      </c>
      <c r="D4184" s="452" t="s">
        <v>139</v>
      </c>
      <c r="E4184" s="273">
        <v>0</v>
      </c>
      <c r="F4184" s="274"/>
      <c r="G4184" s="274">
        <f t="shared" si="16"/>
        <v>0</v>
      </c>
      <c r="H4184" s="274">
        <v>0</v>
      </c>
      <c r="K4184" s="274"/>
    </row>
    <row r="4185" spans="2:11" ht="13.5" customHeight="1">
      <c r="B4185" s="209" t="s">
        <v>1644</v>
      </c>
      <c r="C4185" s="209" t="s">
        <v>3014</v>
      </c>
      <c r="D4185" s="216" t="s">
        <v>140</v>
      </c>
      <c r="E4185" s="273">
        <v>0</v>
      </c>
      <c r="F4185" s="274"/>
      <c r="G4185" s="274">
        <f t="shared" si="16"/>
        <v>0</v>
      </c>
      <c r="H4185" s="274">
        <v>0</v>
      </c>
      <c r="K4185" s="274"/>
    </row>
    <row r="4186" spans="2:11" ht="13.5" customHeight="1">
      <c r="B4186" s="209" t="s">
        <v>1644</v>
      </c>
      <c r="C4186" s="209" t="s">
        <v>3014</v>
      </c>
      <c r="D4186" s="453" t="s">
        <v>141</v>
      </c>
      <c r="E4186" s="273">
        <v>0</v>
      </c>
      <c r="F4186" s="274"/>
      <c r="G4186" s="274">
        <f t="shared" si="16"/>
        <v>0</v>
      </c>
      <c r="H4186" s="274">
        <v>0</v>
      </c>
      <c r="K4186" s="274"/>
    </row>
    <row r="4187" spans="2:11" ht="13.5" customHeight="1">
      <c r="B4187" s="209" t="s">
        <v>1770</v>
      </c>
      <c r="C4187" s="209" t="s">
        <v>3015</v>
      </c>
      <c r="D4187" s="446" t="s">
        <v>133</v>
      </c>
      <c r="E4187" s="273">
        <v>0</v>
      </c>
      <c r="F4187" s="274"/>
      <c r="G4187" s="274">
        <f t="shared" si="16"/>
        <v>0</v>
      </c>
      <c r="H4187" s="274">
        <v>0</v>
      </c>
      <c r="K4187" s="274"/>
    </row>
    <row r="4188" spans="2:11" ht="13.5" customHeight="1">
      <c r="B4188" s="209" t="s">
        <v>1770</v>
      </c>
      <c r="C4188" s="209" t="s">
        <v>3015</v>
      </c>
      <c r="D4188" s="447" t="s">
        <v>134</v>
      </c>
      <c r="E4188" s="273">
        <v>0</v>
      </c>
      <c r="F4188" s="274"/>
      <c r="G4188" s="274">
        <f t="shared" si="16"/>
        <v>0</v>
      </c>
      <c r="H4188" s="274">
        <v>0</v>
      </c>
      <c r="K4188" s="274"/>
    </row>
    <row r="4189" spans="2:11" ht="13.5" customHeight="1">
      <c r="B4189" s="209" t="s">
        <v>1770</v>
      </c>
      <c r="C4189" s="209" t="s">
        <v>3015</v>
      </c>
      <c r="D4189" s="448" t="s">
        <v>135</v>
      </c>
      <c r="E4189" s="273">
        <v>0</v>
      </c>
      <c r="F4189" s="274"/>
      <c r="G4189" s="274">
        <f t="shared" si="16"/>
        <v>0</v>
      </c>
      <c r="H4189" s="274">
        <v>0</v>
      </c>
      <c r="K4189" s="274"/>
    </row>
    <row r="4190" spans="2:11" ht="13.5" customHeight="1">
      <c r="B4190" s="209" t="s">
        <v>1770</v>
      </c>
      <c r="C4190" s="209" t="s">
        <v>3015</v>
      </c>
      <c r="D4190" s="449" t="s">
        <v>136</v>
      </c>
      <c r="E4190" s="273">
        <v>0</v>
      </c>
      <c r="F4190" s="274"/>
      <c r="G4190" s="274">
        <f t="shared" si="16"/>
        <v>0</v>
      </c>
      <c r="H4190" s="274">
        <v>0</v>
      </c>
      <c r="K4190" s="274"/>
    </row>
    <row r="4191" spans="2:11" ht="13.5" customHeight="1">
      <c r="B4191" s="209" t="s">
        <v>1770</v>
      </c>
      <c r="C4191" s="209" t="s">
        <v>3015</v>
      </c>
      <c r="D4191" s="450" t="s">
        <v>137</v>
      </c>
      <c r="E4191" s="273">
        <v>0</v>
      </c>
      <c r="F4191" s="274"/>
      <c r="G4191" s="274">
        <f t="shared" si="16"/>
        <v>0</v>
      </c>
      <c r="H4191" s="274">
        <v>0</v>
      </c>
      <c r="K4191" s="274"/>
    </row>
    <row r="4192" spans="2:11" ht="13.5" customHeight="1">
      <c r="B4192" s="209" t="s">
        <v>1770</v>
      </c>
      <c r="C4192" s="209" t="s">
        <v>3015</v>
      </c>
      <c r="D4192" s="451" t="s">
        <v>138</v>
      </c>
      <c r="E4192" s="273">
        <v>0</v>
      </c>
      <c r="F4192" s="274"/>
      <c r="G4192" s="274">
        <f t="shared" si="16"/>
        <v>0</v>
      </c>
      <c r="H4192" s="274">
        <v>0</v>
      </c>
      <c r="K4192" s="274"/>
    </row>
    <row r="4193" spans="2:11" ht="13.5" customHeight="1">
      <c r="B4193" s="209" t="s">
        <v>1770</v>
      </c>
      <c r="C4193" s="209" t="s">
        <v>3015</v>
      </c>
      <c r="D4193" s="452" t="s">
        <v>139</v>
      </c>
      <c r="E4193" s="273">
        <v>0</v>
      </c>
      <c r="F4193" s="274"/>
      <c r="G4193" s="274">
        <f t="shared" si="16"/>
        <v>0</v>
      </c>
      <c r="H4193" s="274">
        <v>0</v>
      </c>
      <c r="K4193" s="274"/>
    </row>
    <row r="4194" spans="2:11" ht="13.5" customHeight="1">
      <c r="B4194" s="209" t="s">
        <v>1770</v>
      </c>
      <c r="C4194" s="209" t="s">
        <v>3015</v>
      </c>
      <c r="D4194" s="216" t="s">
        <v>140</v>
      </c>
      <c r="E4194" s="273">
        <v>0</v>
      </c>
      <c r="F4194" s="274"/>
      <c r="G4194" s="274">
        <f t="shared" si="16"/>
        <v>0</v>
      </c>
      <c r="H4194" s="274">
        <v>0</v>
      </c>
      <c r="K4194" s="274"/>
    </row>
    <row r="4195" spans="2:11" ht="13.5" customHeight="1">
      <c r="B4195" s="209" t="s">
        <v>1770</v>
      </c>
      <c r="C4195" s="209" t="s">
        <v>3015</v>
      </c>
      <c r="D4195" s="453" t="s">
        <v>141</v>
      </c>
      <c r="E4195" s="273">
        <v>0</v>
      </c>
      <c r="F4195" s="274"/>
      <c r="G4195" s="274">
        <f t="shared" si="16"/>
        <v>0</v>
      </c>
      <c r="H4195" s="274">
        <v>0</v>
      </c>
      <c r="K4195" s="274"/>
    </row>
    <row r="4196" spans="2:11" ht="13.5" customHeight="1">
      <c r="B4196" s="209" t="s">
        <v>1680</v>
      </c>
      <c r="C4196" s="209" t="s">
        <v>3016</v>
      </c>
      <c r="D4196" s="446" t="s">
        <v>133</v>
      </c>
      <c r="E4196" s="273">
        <v>0</v>
      </c>
      <c r="F4196" s="274"/>
      <c r="G4196" s="274">
        <f t="shared" si="16"/>
        <v>0</v>
      </c>
      <c r="H4196" s="274">
        <v>0</v>
      </c>
      <c r="K4196" s="274"/>
    </row>
    <row r="4197" spans="2:11" ht="13.5" customHeight="1">
      <c r="B4197" s="209" t="s">
        <v>1680</v>
      </c>
      <c r="C4197" s="209" t="s">
        <v>3016</v>
      </c>
      <c r="D4197" s="447" t="s">
        <v>134</v>
      </c>
      <c r="E4197" s="273">
        <v>0</v>
      </c>
      <c r="F4197" s="274"/>
      <c r="G4197" s="274">
        <f t="shared" si="16"/>
        <v>0</v>
      </c>
      <c r="H4197" s="274">
        <v>0</v>
      </c>
      <c r="K4197" s="274"/>
    </row>
    <row r="4198" spans="2:11" ht="13.5" customHeight="1">
      <c r="B4198" s="209" t="s">
        <v>1680</v>
      </c>
      <c r="C4198" s="209" t="s">
        <v>3016</v>
      </c>
      <c r="D4198" s="448" t="s">
        <v>135</v>
      </c>
      <c r="E4198" s="273">
        <v>0</v>
      </c>
      <c r="F4198" s="274"/>
      <c r="G4198" s="274">
        <f t="shared" si="16"/>
        <v>0</v>
      </c>
      <c r="H4198" s="274">
        <v>0</v>
      </c>
      <c r="K4198" s="274"/>
    </row>
    <row r="4199" spans="2:11" ht="13.5" customHeight="1">
      <c r="B4199" s="209" t="s">
        <v>1680</v>
      </c>
      <c r="C4199" s="209" t="s">
        <v>3016</v>
      </c>
      <c r="D4199" s="449" t="s">
        <v>136</v>
      </c>
      <c r="E4199" s="273">
        <v>0</v>
      </c>
      <c r="F4199" s="274"/>
      <c r="G4199" s="274">
        <f t="shared" si="16"/>
        <v>0</v>
      </c>
      <c r="H4199" s="274">
        <v>0</v>
      </c>
      <c r="K4199" s="274"/>
    </row>
    <row r="4200" spans="2:11" ht="13.5" customHeight="1">
      <c r="B4200" s="209" t="s">
        <v>1680</v>
      </c>
      <c r="C4200" s="209" t="s">
        <v>3016</v>
      </c>
      <c r="D4200" s="450" t="s">
        <v>137</v>
      </c>
      <c r="E4200" s="273">
        <v>0</v>
      </c>
      <c r="F4200" s="274"/>
      <c r="G4200" s="274">
        <f t="shared" si="16"/>
        <v>0</v>
      </c>
      <c r="H4200" s="274">
        <v>0</v>
      </c>
      <c r="K4200" s="274"/>
    </row>
    <row r="4201" spans="2:11" ht="13.5" customHeight="1">
      <c r="B4201" s="209" t="s">
        <v>1680</v>
      </c>
      <c r="C4201" s="209" t="s">
        <v>3016</v>
      </c>
      <c r="D4201" s="451" t="s">
        <v>138</v>
      </c>
      <c r="E4201" s="273">
        <v>0</v>
      </c>
      <c r="F4201" s="274"/>
      <c r="G4201" s="274">
        <f t="shared" si="16"/>
        <v>0</v>
      </c>
      <c r="H4201" s="274">
        <v>0</v>
      </c>
      <c r="K4201" s="274"/>
    </row>
    <row r="4202" spans="2:11" ht="13.5" customHeight="1">
      <c r="B4202" s="209" t="s">
        <v>1680</v>
      </c>
      <c r="C4202" s="209" t="s">
        <v>3016</v>
      </c>
      <c r="D4202" s="452" t="s">
        <v>139</v>
      </c>
      <c r="E4202" s="273">
        <v>0</v>
      </c>
      <c r="F4202" s="274"/>
      <c r="G4202" s="274">
        <f t="shared" si="16"/>
        <v>0</v>
      </c>
      <c r="H4202" s="274">
        <v>0</v>
      </c>
      <c r="K4202" s="274"/>
    </row>
    <row r="4203" spans="2:11" ht="13.5" customHeight="1">
      <c r="B4203" s="209" t="s">
        <v>1680</v>
      </c>
      <c r="C4203" s="209" t="s">
        <v>3016</v>
      </c>
      <c r="D4203" s="216" t="s">
        <v>140</v>
      </c>
      <c r="E4203" s="273">
        <v>0</v>
      </c>
      <c r="F4203" s="274"/>
      <c r="G4203" s="274">
        <f t="shared" si="16"/>
        <v>0</v>
      </c>
      <c r="H4203" s="274">
        <v>0</v>
      </c>
      <c r="K4203" s="274"/>
    </row>
    <row r="4204" spans="2:11" ht="13.5" customHeight="1">
      <c r="B4204" s="209" t="s">
        <v>1680</v>
      </c>
      <c r="C4204" s="209" t="s">
        <v>3016</v>
      </c>
      <c r="D4204" s="453" t="s">
        <v>141</v>
      </c>
      <c r="E4204" s="273">
        <v>0</v>
      </c>
      <c r="F4204" s="274"/>
      <c r="G4204" s="274">
        <f t="shared" si="16"/>
        <v>0</v>
      </c>
      <c r="H4204" s="274">
        <v>0</v>
      </c>
      <c r="K4204" s="274"/>
    </row>
    <row r="4205" spans="2:11" ht="13.5" customHeight="1">
      <c r="B4205" s="209" t="s">
        <v>1381</v>
      </c>
      <c r="C4205" s="209" t="s">
        <v>3017</v>
      </c>
      <c r="D4205" s="446" t="s">
        <v>133</v>
      </c>
      <c r="E4205" s="273">
        <v>0</v>
      </c>
      <c r="F4205" s="274"/>
      <c r="G4205" s="274">
        <f t="shared" si="16"/>
        <v>0</v>
      </c>
      <c r="H4205" s="274">
        <v>0</v>
      </c>
      <c r="K4205" s="274"/>
    </row>
    <row r="4206" spans="2:11" ht="13.5" customHeight="1">
      <c r="B4206" s="209" t="s">
        <v>1381</v>
      </c>
      <c r="C4206" s="209" t="s">
        <v>3017</v>
      </c>
      <c r="D4206" s="447" t="s">
        <v>134</v>
      </c>
      <c r="E4206" s="273">
        <v>0</v>
      </c>
      <c r="F4206" s="274"/>
      <c r="G4206" s="274">
        <f t="shared" si="16"/>
        <v>0</v>
      </c>
      <c r="H4206" s="274">
        <v>0</v>
      </c>
      <c r="K4206" s="274"/>
    </row>
    <row r="4207" spans="2:11" ht="13.5" customHeight="1">
      <c r="B4207" s="209" t="s">
        <v>1381</v>
      </c>
      <c r="C4207" s="209" t="s">
        <v>3017</v>
      </c>
      <c r="D4207" s="448" t="s">
        <v>135</v>
      </c>
      <c r="E4207" s="273">
        <v>0</v>
      </c>
      <c r="F4207" s="274"/>
      <c r="G4207" s="274">
        <f t="shared" si="16"/>
        <v>0</v>
      </c>
      <c r="H4207" s="274">
        <v>0</v>
      </c>
      <c r="K4207" s="274"/>
    </row>
    <row r="4208" spans="2:11" ht="13.5" customHeight="1">
      <c r="B4208" s="209" t="s">
        <v>1381</v>
      </c>
      <c r="C4208" s="209" t="s">
        <v>3017</v>
      </c>
      <c r="D4208" s="449" t="s">
        <v>136</v>
      </c>
      <c r="E4208" s="273">
        <v>0</v>
      </c>
      <c r="F4208" s="274"/>
      <c r="G4208" s="274">
        <f t="shared" si="16"/>
        <v>0</v>
      </c>
      <c r="H4208" s="274">
        <v>0</v>
      </c>
      <c r="K4208" s="274"/>
    </row>
    <row r="4209" spans="2:11" ht="13.5" customHeight="1">
      <c r="B4209" s="209" t="s">
        <v>1381</v>
      </c>
      <c r="C4209" s="209" t="s">
        <v>3017</v>
      </c>
      <c r="D4209" s="450" t="s">
        <v>137</v>
      </c>
      <c r="E4209" s="273">
        <v>0</v>
      </c>
      <c r="F4209" s="274"/>
      <c r="G4209" s="274">
        <f t="shared" si="16"/>
        <v>0</v>
      </c>
      <c r="H4209" s="274">
        <v>0</v>
      </c>
      <c r="K4209" s="274"/>
    </row>
    <row r="4210" spans="2:11" ht="13.5" customHeight="1">
      <c r="B4210" s="209" t="s">
        <v>1381</v>
      </c>
      <c r="C4210" s="209" t="s">
        <v>3017</v>
      </c>
      <c r="D4210" s="451" t="s">
        <v>138</v>
      </c>
      <c r="E4210" s="273">
        <v>0</v>
      </c>
      <c r="F4210" s="274"/>
      <c r="G4210" s="274">
        <f t="shared" si="16"/>
        <v>0</v>
      </c>
      <c r="H4210" s="274">
        <v>0</v>
      </c>
      <c r="K4210" s="274"/>
    </row>
    <row r="4211" spans="2:11" ht="13.5" customHeight="1">
      <c r="B4211" s="209" t="s">
        <v>1381</v>
      </c>
      <c r="C4211" s="209" t="s">
        <v>3017</v>
      </c>
      <c r="D4211" s="452" t="s">
        <v>139</v>
      </c>
      <c r="E4211" s="273">
        <v>0</v>
      </c>
      <c r="F4211" s="274"/>
      <c r="G4211" s="274">
        <f t="shared" si="16"/>
        <v>0</v>
      </c>
      <c r="H4211" s="274">
        <v>0</v>
      </c>
      <c r="K4211" s="274"/>
    </row>
    <row r="4212" spans="2:11" ht="13.5" customHeight="1">
      <c r="B4212" s="209" t="s">
        <v>1381</v>
      </c>
      <c r="C4212" s="209" t="s">
        <v>3017</v>
      </c>
      <c r="D4212" s="216" t="s">
        <v>140</v>
      </c>
      <c r="E4212" s="273">
        <v>0</v>
      </c>
      <c r="F4212" s="274"/>
      <c r="G4212" s="274">
        <f t="shared" si="16"/>
        <v>0</v>
      </c>
      <c r="H4212" s="274">
        <v>0</v>
      </c>
      <c r="K4212" s="274"/>
    </row>
    <row r="4213" spans="2:11" ht="13.5" customHeight="1">
      <c r="B4213" s="209" t="s">
        <v>1381</v>
      </c>
      <c r="C4213" s="209" t="s">
        <v>3017</v>
      </c>
      <c r="D4213" s="453" t="s">
        <v>141</v>
      </c>
      <c r="E4213" s="273">
        <v>0</v>
      </c>
      <c r="F4213" s="274"/>
      <c r="G4213" s="274">
        <f t="shared" si="16"/>
        <v>0</v>
      </c>
      <c r="H4213" s="274">
        <v>0</v>
      </c>
      <c r="K4213" s="274"/>
    </row>
    <row r="4214" spans="2:11" ht="13.5" customHeight="1">
      <c r="B4214" s="209" t="s">
        <v>1431</v>
      </c>
      <c r="C4214" s="209" t="s">
        <v>3018</v>
      </c>
      <c r="D4214" s="446" t="s">
        <v>133</v>
      </c>
      <c r="E4214" s="273">
        <v>0</v>
      </c>
      <c r="F4214" s="274"/>
      <c r="G4214" s="274">
        <f t="shared" si="16"/>
        <v>0</v>
      </c>
      <c r="H4214" s="274">
        <v>0</v>
      </c>
      <c r="K4214" s="274"/>
    </row>
    <row r="4215" spans="2:11" ht="13.5" customHeight="1">
      <c r="B4215" s="209" t="s">
        <v>1431</v>
      </c>
      <c r="C4215" s="209" t="s">
        <v>3018</v>
      </c>
      <c r="D4215" s="447" t="s">
        <v>134</v>
      </c>
      <c r="E4215" s="273">
        <v>0</v>
      </c>
      <c r="F4215" s="274"/>
      <c r="G4215" s="274">
        <f t="shared" si="16"/>
        <v>0</v>
      </c>
      <c r="H4215" s="274">
        <v>0</v>
      </c>
      <c r="K4215" s="274"/>
    </row>
    <row r="4216" spans="2:11" ht="13.5" customHeight="1">
      <c r="B4216" s="209" t="s">
        <v>1431</v>
      </c>
      <c r="C4216" s="209" t="s">
        <v>3018</v>
      </c>
      <c r="D4216" s="448" t="s">
        <v>135</v>
      </c>
      <c r="E4216" s="273">
        <v>0</v>
      </c>
      <c r="F4216" s="274"/>
      <c r="G4216" s="274">
        <f t="shared" si="16"/>
        <v>0</v>
      </c>
      <c r="H4216" s="274">
        <v>0</v>
      </c>
      <c r="K4216" s="274"/>
    </row>
    <row r="4217" spans="2:11" ht="13.5" customHeight="1">
      <c r="B4217" s="209" t="s">
        <v>1431</v>
      </c>
      <c r="C4217" s="209" t="s">
        <v>3018</v>
      </c>
      <c r="D4217" s="449" t="s">
        <v>136</v>
      </c>
      <c r="E4217" s="273">
        <v>0</v>
      </c>
      <c r="F4217" s="274"/>
      <c r="G4217" s="274">
        <f t="shared" si="16"/>
        <v>0</v>
      </c>
      <c r="H4217" s="274">
        <v>0</v>
      </c>
      <c r="K4217" s="274"/>
    </row>
    <row r="4218" spans="2:11" ht="13.5" customHeight="1">
      <c r="B4218" s="209" t="s">
        <v>1431</v>
      </c>
      <c r="C4218" s="209" t="s">
        <v>3018</v>
      </c>
      <c r="D4218" s="450" t="s">
        <v>137</v>
      </c>
      <c r="E4218" s="273">
        <v>0</v>
      </c>
      <c r="F4218" s="274"/>
      <c r="G4218" s="274">
        <f t="shared" si="16"/>
        <v>0</v>
      </c>
      <c r="H4218" s="274">
        <v>0</v>
      </c>
      <c r="K4218" s="274"/>
    </row>
    <row r="4219" spans="2:11" ht="13.5" customHeight="1">
      <c r="B4219" s="209" t="s">
        <v>1431</v>
      </c>
      <c r="C4219" s="209" t="s">
        <v>3018</v>
      </c>
      <c r="D4219" s="451" t="s">
        <v>138</v>
      </c>
      <c r="E4219" s="273">
        <v>0</v>
      </c>
      <c r="F4219" s="274"/>
      <c r="G4219" s="274">
        <f t="shared" si="16"/>
        <v>0</v>
      </c>
      <c r="H4219" s="274">
        <v>0</v>
      </c>
      <c r="K4219" s="274"/>
    </row>
    <row r="4220" spans="2:11" ht="13.5" customHeight="1">
      <c r="B4220" s="209" t="s">
        <v>1431</v>
      </c>
      <c r="C4220" s="209" t="s">
        <v>3018</v>
      </c>
      <c r="D4220" s="452" t="s">
        <v>139</v>
      </c>
      <c r="E4220" s="273">
        <v>0</v>
      </c>
      <c r="F4220" s="274"/>
      <c r="G4220" s="274">
        <f t="shared" si="16"/>
        <v>0</v>
      </c>
      <c r="H4220" s="274">
        <v>0</v>
      </c>
      <c r="K4220" s="274"/>
    </row>
    <row r="4221" spans="2:11" ht="13.5" customHeight="1">
      <c r="B4221" s="209" t="s">
        <v>1431</v>
      </c>
      <c r="C4221" s="209" t="s">
        <v>3018</v>
      </c>
      <c r="D4221" s="216" t="s">
        <v>140</v>
      </c>
      <c r="E4221" s="273">
        <v>0</v>
      </c>
      <c r="F4221" s="274"/>
      <c r="G4221" s="274">
        <f t="shared" si="16"/>
        <v>0</v>
      </c>
      <c r="H4221" s="274">
        <v>0</v>
      </c>
      <c r="K4221" s="274"/>
    </row>
    <row r="4222" spans="2:11" ht="13.5" customHeight="1">
      <c r="B4222" s="209" t="s">
        <v>1431</v>
      </c>
      <c r="C4222" s="209" t="s">
        <v>3018</v>
      </c>
      <c r="D4222" s="453" t="s">
        <v>141</v>
      </c>
      <c r="E4222" s="273">
        <v>0</v>
      </c>
      <c r="F4222" s="274"/>
      <c r="G4222" s="274">
        <f t="shared" si="16"/>
        <v>0</v>
      </c>
      <c r="H4222" s="274">
        <v>0</v>
      </c>
      <c r="K4222" s="274"/>
    </row>
    <row r="4223" spans="2:11" ht="13.5" customHeight="1">
      <c r="B4223" s="209" t="s">
        <v>1354</v>
      </c>
      <c r="C4223" s="209" t="s">
        <v>3019</v>
      </c>
      <c r="D4223" s="446" t="s">
        <v>133</v>
      </c>
      <c r="E4223" s="273">
        <v>0</v>
      </c>
      <c r="F4223" s="274"/>
      <c r="G4223" s="274">
        <f t="shared" si="16"/>
        <v>0</v>
      </c>
      <c r="H4223" s="274">
        <v>0</v>
      </c>
      <c r="K4223" s="274"/>
    </row>
    <row r="4224" spans="2:11" ht="13.5" customHeight="1">
      <c r="B4224" s="209" t="s">
        <v>1354</v>
      </c>
      <c r="C4224" s="209" t="s">
        <v>3019</v>
      </c>
      <c r="D4224" s="447" t="s">
        <v>134</v>
      </c>
      <c r="E4224" s="273">
        <v>0</v>
      </c>
      <c r="F4224" s="274"/>
      <c r="G4224" s="274">
        <f t="shared" si="16"/>
        <v>0</v>
      </c>
      <c r="H4224" s="274">
        <v>0</v>
      </c>
      <c r="K4224" s="274"/>
    </row>
    <row r="4225" spans="2:11" ht="13.5" customHeight="1">
      <c r="B4225" s="209" t="s">
        <v>1354</v>
      </c>
      <c r="C4225" s="209" t="s">
        <v>3019</v>
      </c>
      <c r="D4225" s="448" t="s">
        <v>135</v>
      </c>
      <c r="E4225" s="273">
        <v>0</v>
      </c>
      <c r="F4225" s="274"/>
      <c r="G4225" s="274">
        <f t="shared" si="16"/>
        <v>0</v>
      </c>
      <c r="H4225" s="274">
        <v>0</v>
      </c>
      <c r="K4225" s="274"/>
    </row>
    <row r="4226" spans="2:11" ht="13.5" customHeight="1">
      <c r="B4226" s="209" t="s">
        <v>1354</v>
      </c>
      <c r="C4226" s="209" t="s">
        <v>3019</v>
      </c>
      <c r="D4226" s="449" t="s">
        <v>136</v>
      </c>
      <c r="E4226" s="273">
        <v>0</v>
      </c>
      <c r="F4226" s="274"/>
      <c r="G4226" s="274">
        <f t="shared" si="16"/>
        <v>0</v>
      </c>
      <c r="H4226" s="274">
        <v>0</v>
      </c>
      <c r="K4226" s="274"/>
    </row>
    <row r="4227" spans="2:11" ht="13.5" customHeight="1">
      <c r="B4227" s="209" t="s">
        <v>1354</v>
      </c>
      <c r="C4227" s="209" t="s">
        <v>3019</v>
      </c>
      <c r="D4227" s="450" t="s">
        <v>137</v>
      </c>
      <c r="E4227" s="273">
        <v>0</v>
      </c>
      <c r="F4227" s="274"/>
      <c r="G4227" s="274">
        <f t="shared" si="16"/>
        <v>0</v>
      </c>
      <c r="H4227" s="274">
        <v>0</v>
      </c>
      <c r="K4227" s="274"/>
    </row>
    <row r="4228" spans="2:11" ht="13.5" customHeight="1">
      <c r="B4228" s="209" t="s">
        <v>1354</v>
      </c>
      <c r="C4228" s="209" t="s">
        <v>3019</v>
      </c>
      <c r="D4228" s="451" t="s">
        <v>138</v>
      </c>
      <c r="E4228" s="273">
        <v>0</v>
      </c>
      <c r="F4228" s="274"/>
      <c r="G4228" s="274">
        <f t="shared" si="16"/>
        <v>0</v>
      </c>
      <c r="H4228" s="274">
        <v>0</v>
      </c>
      <c r="K4228" s="274"/>
    </row>
    <row r="4229" spans="2:11" ht="13.5" customHeight="1">
      <c r="B4229" s="209" t="s">
        <v>1354</v>
      </c>
      <c r="C4229" s="209" t="s">
        <v>3019</v>
      </c>
      <c r="D4229" s="452" t="s">
        <v>139</v>
      </c>
      <c r="E4229" s="273">
        <v>0</v>
      </c>
      <c r="F4229" s="274"/>
      <c r="G4229" s="274">
        <f t="shared" si="16"/>
        <v>0</v>
      </c>
      <c r="H4229" s="274">
        <v>0</v>
      </c>
      <c r="K4229" s="274"/>
    </row>
    <row r="4230" spans="2:11" ht="13.5" customHeight="1">
      <c r="B4230" s="209" t="s">
        <v>1354</v>
      </c>
      <c r="C4230" s="209" t="s">
        <v>3019</v>
      </c>
      <c r="D4230" s="216" t="s">
        <v>140</v>
      </c>
      <c r="E4230" s="273">
        <v>0</v>
      </c>
      <c r="F4230" s="274"/>
      <c r="G4230" s="274">
        <f t="shared" si="16"/>
        <v>0</v>
      </c>
      <c r="H4230" s="274">
        <v>0</v>
      </c>
      <c r="K4230" s="274"/>
    </row>
    <row r="4231" spans="2:11" ht="13.5" customHeight="1">
      <c r="B4231" s="209" t="s">
        <v>1354</v>
      </c>
      <c r="C4231" s="209" t="s">
        <v>3019</v>
      </c>
      <c r="D4231" s="453" t="s">
        <v>141</v>
      </c>
      <c r="E4231" s="273">
        <v>0</v>
      </c>
      <c r="F4231" s="274"/>
      <c r="G4231" s="274">
        <f t="shared" si="16"/>
        <v>0</v>
      </c>
      <c r="H4231" s="274">
        <v>0</v>
      </c>
      <c r="K4231" s="274"/>
    </row>
    <row r="4232" spans="2:11" ht="13.5" customHeight="1">
      <c r="B4232" s="209" t="s">
        <v>1308</v>
      </c>
      <c r="C4232" s="209" t="s">
        <v>3020</v>
      </c>
      <c r="D4232" s="446" t="s">
        <v>133</v>
      </c>
      <c r="E4232" s="273">
        <v>0</v>
      </c>
      <c r="F4232" s="274"/>
      <c r="G4232" s="274">
        <f t="shared" si="16"/>
        <v>0</v>
      </c>
      <c r="H4232" s="274">
        <v>0</v>
      </c>
      <c r="K4232" s="274"/>
    </row>
    <row r="4233" spans="2:11" ht="13.5" customHeight="1">
      <c r="B4233" s="209" t="s">
        <v>1308</v>
      </c>
      <c r="C4233" s="209" t="s">
        <v>3020</v>
      </c>
      <c r="D4233" s="447" t="s">
        <v>134</v>
      </c>
      <c r="E4233" s="273">
        <v>0</v>
      </c>
      <c r="F4233" s="274"/>
      <c r="G4233" s="274">
        <f t="shared" si="16"/>
        <v>0</v>
      </c>
      <c r="H4233" s="274">
        <v>0</v>
      </c>
      <c r="K4233" s="274"/>
    </row>
    <row r="4234" spans="2:11" ht="13.5" customHeight="1">
      <c r="B4234" s="209" t="s">
        <v>1308</v>
      </c>
      <c r="C4234" s="209" t="s">
        <v>3020</v>
      </c>
      <c r="D4234" s="448" t="s">
        <v>135</v>
      </c>
      <c r="E4234" s="273">
        <v>0</v>
      </c>
      <c r="F4234" s="274"/>
      <c r="G4234" s="274">
        <f t="shared" si="16"/>
        <v>0</v>
      </c>
      <c r="H4234" s="274">
        <v>0</v>
      </c>
      <c r="K4234" s="274"/>
    </row>
    <row r="4235" spans="2:11" ht="13.5" customHeight="1">
      <c r="B4235" s="209" t="s">
        <v>1308</v>
      </c>
      <c r="C4235" s="209" t="s">
        <v>3020</v>
      </c>
      <c r="D4235" s="449" t="s">
        <v>136</v>
      </c>
      <c r="E4235" s="273">
        <v>0</v>
      </c>
      <c r="F4235" s="274"/>
      <c r="G4235" s="274">
        <f t="shared" si="16"/>
        <v>0</v>
      </c>
      <c r="H4235" s="274">
        <v>0</v>
      </c>
      <c r="K4235" s="274"/>
    </row>
    <row r="4236" spans="2:11" ht="13.5" customHeight="1">
      <c r="B4236" s="209" t="s">
        <v>1308</v>
      </c>
      <c r="C4236" s="209" t="s">
        <v>3020</v>
      </c>
      <c r="D4236" s="450" t="s">
        <v>137</v>
      </c>
      <c r="E4236" s="273">
        <v>0</v>
      </c>
      <c r="F4236" s="274"/>
      <c r="G4236" s="274">
        <f t="shared" si="16"/>
        <v>0</v>
      </c>
      <c r="H4236" s="274">
        <v>0</v>
      </c>
      <c r="K4236" s="274"/>
    </row>
    <row r="4237" spans="2:11" ht="13.5" customHeight="1">
      <c r="B4237" s="209" t="s">
        <v>1308</v>
      </c>
      <c r="C4237" s="209" t="s">
        <v>3020</v>
      </c>
      <c r="D4237" s="451" t="s">
        <v>138</v>
      </c>
      <c r="E4237" s="273">
        <v>0</v>
      </c>
      <c r="F4237" s="274"/>
      <c r="G4237" s="274">
        <f t="shared" si="16"/>
        <v>0</v>
      </c>
      <c r="H4237" s="274">
        <v>0</v>
      </c>
      <c r="K4237" s="274"/>
    </row>
    <row r="4238" spans="2:11" ht="13.5" customHeight="1">
      <c r="B4238" s="209" t="s">
        <v>1308</v>
      </c>
      <c r="C4238" s="209" t="s">
        <v>3020</v>
      </c>
      <c r="D4238" s="452" t="s">
        <v>139</v>
      </c>
      <c r="E4238" s="273">
        <v>0</v>
      </c>
      <c r="F4238" s="274"/>
      <c r="G4238" s="274">
        <f t="shared" si="16"/>
        <v>0</v>
      </c>
      <c r="H4238" s="274">
        <v>0</v>
      </c>
      <c r="K4238" s="274"/>
    </row>
    <row r="4239" spans="2:11" ht="13.5" customHeight="1">
      <c r="B4239" s="209" t="s">
        <v>1308</v>
      </c>
      <c r="C4239" s="209" t="s">
        <v>3020</v>
      </c>
      <c r="D4239" s="216" t="s">
        <v>140</v>
      </c>
      <c r="E4239" s="273">
        <v>0</v>
      </c>
      <c r="F4239" s="274"/>
      <c r="G4239" s="274">
        <f t="shared" si="16"/>
        <v>0</v>
      </c>
      <c r="H4239" s="274">
        <v>0</v>
      </c>
      <c r="K4239" s="274"/>
    </row>
    <row r="4240" spans="2:11" ht="13.5" customHeight="1">
      <c r="B4240" s="209" t="s">
        <v>1308</v>
      </c>
      <c r="C4240" s="209" t="s">
        <v>3020</v>
      </c>
      <c r="D4240" s="453" t="s">
        <v>141</v>
      </c>
      <c r="E4240" s="273">
        <v>0</v>
      </c>
      <c r="F4240" s="274"/>
      <c r="G4240" s="274">
        <f t="shared" si="16"/>
        <v>0</v>
      </c>
      <c r="H4240" s="274">
        <v>0</v>
      </c>
      <c r="K4240" s="274"/>
    </row>
    <row r="4241" spans="2:11" ht="13.5" customHeight="1">
      <c r="B4241" s="209" t="s">
        <v>1865</v>
      </c>
      <c r="C4241" s="209" t="s">
        <v>3021</v>
      </c>
      <c r="D4241" s="446" t="s">
        <v>133</v>
      </c>
      <c r="E4241" s="273">
        <v>0</v>
      </c>
      <c r="F4241" s="274"/>
      <c r="G4241" s="274">
        <f t="shared" si="16"/>
        <v>0</v>
      </c>
      <c r="H4241" s="274">
        <v>0</v>
      </c>
      <c r="K4241" s="274"/>
    </row>
    <row r="4242" spans="2:11" ht="13.5" customHeight="1">
      <c r="B4242" s="209" t="s">
        <v>1865</v>
      </c>
      <c r="C4242" s="209" t="s">
        <v>3021</v>
      </c>
      <c r="D4242" s="447" t="s">
        <v>134</v>
      </c>
      <c r="E4242" s="273">
        <v>0</v>
      </c>
      <c r="F4242" s="274"/>
      <c r="G4242" s="274">
        <f t="shared" si="16"/>
        <v>0</v>
      </c>
      <c r="H4242" s="274">
        <v>0</v>
      </c>
      <c r="K4242" s="274"/>
    </row>
    <row r="4243" spans="2:11" ht="13.5" customHeight="1">
      <c r="B4243" s="209" t="s">
        <v>1865</v>
      </c>
      <c r="C4243" s="209" t="s">
        <v>3021</v>
      </c>
      <c r="D4243" s="448" t="s">
        <v>135</v>
      </c>
      <c r="E4243" s="273">
        <v>0</v>
      </c>
      <c r="F4243" s="274"/>
      <c r="G4243" s="274">
        <f t="shared" si="16"/>
        <v>0</v>
      </c>
      <c r="H4243" s="274">
        <v>0</v>
      </c>
      <c r="K4243" s="274"/>
    </row>
    <row r="4244" spans="2:11" ht="13.5" customHeight="1">
      <c r="B4244" s="209" t="s">
        <v>1865</v>
      </c>
      <c r="C4244" s="209" t="s">
        <v>3021</v>
      </c>
      <c r="D4244" s="449" t="s">
        <v>136</v>
      </c>
      <c r="E4244" s="273">
        <v>0</v>
      </c>
      <c r="F4244" s="274"/>
      <c r="G4244" s="274">
        <f t="shared" si="16"/>
        <v>0</v>
      </c>
      <c r="H4244" s="274">
        <v>0</v>
      </c>
      <c r="K4244" s="274"/>
    </row>
    <row r="4245" spans="2:11" ht="13.5" customHeight="1">
      <c r="B4245" s="209" t="s">
        <v>1865</v>
      </c>
      <c r="C4245" s="209" t="s">
        <v>3021</v>
      </c>
      <c r="D4245" s="450" t="s">
        <v>137</v>
      </c>
      <c r="E4245" s="273">
        <v>0</v>
      </c>
      <c r="F4245" s="274"/>
      <c r="G4245" s="274">
        <f t="shared" si="16"/>
        <v>0</v>
      </c>
      <c r="H4245" s="274">
        <v>0</v>
      </c>
      <c r="K4245" s="274"/>
    </row>
    <row r="4246" spans="2:11" ht="13.5" customHeight="1">
      <c r="B4246" s="209" t="s">
        <v>1865</v>
      </c>
      <c r="C4246" s="209" t="s">
        <v>3021</v>
      </c>
      <c r="D4246" s="451" t="s">
        <v>138</v>
      </c>
      <c r="E4246" s="273">
        <v>0</v>
      </c>
      <c r="F4246" s="274"/>
      <c r="G4246" s="274">
        <f t="shared" si="16"/>
        <v>0</v>
      </c>
      <c r="H4246" s="274">
        <v>0</v>
      </c>
      <c r="K4246" s="274"/>
    </row>
    <row r="4247" spans="2:11" ht="13.5" customHeight="1">
      <c r="B4247" s="209" t="s">
        <v>1865</v>
      </c>
      <c r="C4247" s="209" t="s">
        <v>3021</v>
      </c>
      <c r="D4247" s="452" t="s">
        <v>139</v>
      </c>
      <c r="E4247" s="273">
        <v>0</v>
      </c>
      <c r="F4247" s="274"/>
      <c r="G4247" s="274">
        <f t="shared" si="16"/>
        <v>0</v>
      </c>
      <c r="H4247" s="274">
        <v>0</v>
      </c>
      <c r="K4247" s="274"/>
    </row>
    <row r="4248" spans="2:11" ht="13.5" customHeight="1">
      <c r="B4248" s="209" t="s">
        <v>1865</v>
      </c>
      <c r="C4248" s="209" t="s">
        <v>3021</v>
      </c>
      <c r="D4248" s="216" t="s">
        <v>140</v>
      </c>
      <c r="E4248" s="273">
        <v>0</v>
      </c>
      <c r="F4248" s="274"/>
      <c r="G4248" s="274">
        <f t="shared" si="16"/>
        <v>0</v>
      </c>
      <c r="H4248" s="274">
        <v>0</v>
      </c>
      <c r="K4248" s="274"/>
    </row>
    <row r="4249" spans="2:11" ht="13.5" customHeight="1">
      <c r="B4249" s="209" t="s">
        <v>1865</v>
      </c>
      <c r="C4249" s="209" t="s">
        <v>3021</v>
      </c>
      <c r="D4249" s="453" t="s">
        <v>141</v>
      </c>
      <c r="E4249" s="273">
        <v>0</v>
      </c>
      <c r="F4249" s="274"/>
      <c r="G4249" s="274">
        <f t="shared" si="16"/>
        <v>0</v>
      </c>
      <c r="H4249" s="274">
        <v>0</v>
      </c>
      <c r="K4249" s="274"/>
    </row>
    <row r="4250" spans="2:11" ht="13.5" customHeight="1">
      <c r="B4250" s="209" t="s">
        <v>1434</v>
      </c>
      <c r="C4250" s="209" t="s">
        <v>3022</v>
      </c>
      <c r="D4250" s="446" t="s">
        <v>133</v>
      </c>
      <c r="E4250" s="273">
        <v>0</v>
      </c>
      <c r="F4250" s="274"/>
      <c r="G4250" s="274">
        <f t="shared" si="16"/>
        <v>0</v>
      </c>
      <c r="H4250" s="274">
        <v>0</v>
      </c>
      <c r="K4250" s="274"/>
    </row>
    <row r="4251" spans="2:11" ht="13.5" customHeight="1">
      <c r="B4251" s="209" t="s">
        <v>1434</v>
      </c>
      <c r="C4251" s="209" t="s">
        <v>3022</v>
      </c>
      <c r="D4251" s="447" t="s">
        <v>134</v>
      </c>
      <c r="E4251" s="273">
        <v>0</v>
      </c>
      <c r="F4251" s="274"/>
      <c r="G4251" s="274">
        <f t="shared" si="16"/>
        <v>0</v>
      </c>
      <c r="H4251" s="274">
        <v>0</v>
      </c>
      <c r="K4251" s="274"/>
    </row>
    <row r="4252" spans="2:11" ht="13.5" customHeight="1">
      <c r="B4252" s="209" t="s">
        <v>1434</v>
      </c>
      <c r="C4252" s="209" t="s">
        <v>3022</v>
      </c>
      <c r="D4252" s="448" t="s">
        <v>135</v>
      </c>
      <c r="E4252" s="273">
        <v>0</v>
      </c>
      <c r="F4252" s="274"/>
      <c r="G4252" s="274">
        <f t="shared" si="16"/>
        <v>0</v>
      </c>
      <c r="H4252" s="274">
        <v>0</v>
      </c>
      <c r="K4252" s="274"/>
    </row>
    <row r="4253" spans="2:11" ht="13.5" customHeight="1">
      <c r="B4253" s="209" t="s">
        <v>1434</v>
      </c>
      <c r="C4253" s="209" t="s">
        <v>3022</v>
      </c>
      <c r="D4253" s="449" t="s">
        <v>136</v>
      </c>
      <c r="E4253" s="273">
        <v>0</v>
      </c>
      <c r="F4253" s="274"/>
      <c r="G4253" s="274">
        <f t="shared" si="16"/>
        <v>0</v>
      </c>
      <c r="H4253" s="274">
        <v>0</v>
      </c>
      <c r="K4253" s="274"/>
    </row>
    <row r="4254" spans="2:11" ht="13.5" customHeight="1">
      <c r="B4254" s="209" t="s">
        <v>1434</v>
      </c>
      <c r="C4254" s="209" t="s">
        <v>3022</v>
      </c>
      <c r="D4254" s="450" t="s">
        <v>137</v>
      </c>
      <c r="E4254" s="273">
        <v>0</v>
      </c>
      <c r="F4254" s="274"/>
      <c r="G4254" s="274">
        <f t="shared" si="16"/>
        <v>0</v>
      </c>
      <c r="H4254" s="274">
        <v>0</v>
      </c>
      <c r="K4254" s="274"/>
    </row>
    <row r="4255" spans="2:11" ht="13.5" customHeight="1">
      <c r="B4255" s="209" t="s">
        <v>1434</v>
      </c>
      <c r="C4255" s="209" t="s">
        <v>3022</v>
      </c>
      <c r="D4255" s="451" t="s">
        <v>138</v>
      </c>
      <c r="E4255" s="273">
        <v>0</v>
      </c>
      <c r="F4255" s="274"/>
      <c r="G4255" s="274">
        <f t="shared" si="16"/>
        <v>0</v>
      </c>
      <c r="H4255" s="274">
        <v>0</v>
      </c>
      <c r="K4255" s="274"/>
    </row>
    <row r="4256" spans="2:11" ht="13.5" customHeight="1">
      <c r="B4256" s="209" t="s">
        <v>1434</v>
      </c>
      <c r="C4256" s="209" t="s">
        <v>3022</v>
      </c>
      <c r="D4256" s="452" t="s">
        <v>139</v>
      </c>
      <c r="E4256" s="273">
        <v>0</v>
      </c>
      <c r="F4256" s="274"/>
      <c r="G4256" s="274">
        <f t="shared" si="16"/>
        <v>0</v>
      </c>
      <c r="H4256" s="274">
        <v>0</v>
      </c>
      <c r="K4256" s="274"/>
    </row>
    <row r="4257" spans="2:11" ht="13.5" customHeight="1">
      <c r="B4257" s="209" t="s">
        <v>1434</v>
      </c>
      <c r="C4257" s="209" t="s">
        <v>3022</v>
      </c>
      <c r="D4257" s="216" t="s">
        <v>140</v>
      </c>
      <c r="E4257" s="273">
        <v>0</v>
      </c>
      <c r="F4257" s="274"/>
      <c r="G4257" s="274">
        <f t="shared" si="16"/>
        <v>0</v>
      </c>
      <c r="H4257" s="274">
        <v>0</v>
      </c>
      <c r="K4257" s="274"/>
    </row>
    <row r="4258" spans="2:11" ht="13.5" customHeight="1">
      <c r="B4258" s="209" t="s">
        <v>1434</v>
      </c>
      <c r="C4258" s="209" t="s">
        <v>3022</v>
      </c>
      <c r="D4258" s="453" t="s">
        <v>141</v>
      </c>
      <c r="E4258" s="273">
        <v>0</v>
      </c>
      <c r="F4258" s="274"/>
      <c r="G4258" s="274">
        <f t="shared" si="16"/>
        <v>0</v>
      </c>
      <c r="H4258" s="274">
        <v>0</v>
      </c>
      <c r="K4258" s="274"/>
    </row>
    <row r="4259" spans="2:11" ht="13.5" customHeight="1">
      <c r="B4259" s="209" t="s">
        <v>1860</v>
      </c>
      <c r="C4259" s="209" t="s">
        <v>3023</v>
      </c>
      <c r="D4259" s="446" t="s">
        <v>133</v>
      </c>
      <c r="E4259" s="273">
        <v>0</v>
      </c>
      <c r="F4259" s="274"/>
      <c r="G4259" s="274">
        <f t="shared" si="16"/>
        <v>0</v>
      </c>
      <c r="H4259" s="274">
        <v>0</v>
      </c>
      <c r="K4259" s="274"/>
    </row>
    <row r="4260" spans="2:11" ht="13.5" customHeight="1">
      <c r="B4260" s="209" t="s">
        <v>1860</v>
      </c>
      <c r="C4260" s="209" t="s">
        <v>3023</v>
      </c>
      <c r="D4260" s="447" t="s">
        <v>134</v>
      </c>
      <c r="E4260" s="273">
        <v>0</v>
      </c>
      <c r="F4260" s="274"/>
      <c r="G4260" s="274">
        <f t="shared" si="16"/>
        <v>0</v>
      </c>
      <c r="H4260" s="274">
        <v>0</v>
      </c>
      <c r="K4260" s="274"/>
    </row>
    <row r="4261" spans="2:11" ht="13.5" customHeight="1">
      <c r="B4261" s="209" t="s">
        <v>1860</v>
      </c>
      <c r="C4261" s="209" t="s">
        <v>3023</v>
      </c>
      <c r="D4261" s="448" t="s">
        <v>135</v>
      </c>
      <c r="E4261" s="273">
        <v>0</v>
      </c>
      <c r="F4261" s="274"/>
      <c r="G4261" s="274">
        <f t="shared" si="16"/>
        <v>0</v>
      </c>
      <c r="H4261" s="274">
        <v>0</v>
      </c>
      <c r="K4261" s="274"/>
    </row>
    <row r="4262" spans="2:11" ht="13.5" customHeight="1">
      <c r="B4262" s="209" t="s">
        <v>1860</v>
      </c>
      <c r="C4262" s="209" t="s">
        <v>3023</v>
      </c>
      <c r="D4262" s="449" t="s">
        <v>136</v>
      </c>
      <c r="E4262" s="273">
        <v>0</v>
      </c>
      <c r="F4262" s="274"/>
      <c r="G4262" s="274">
        <f t="shared" si="16"/>
        <v>0</v>
      </c>
      <c r="H4262" s="274">
        <v>0</v>
      </c>
      <c r="K4262" s="274"/>
    </row>
    <row r="4263" spans="2:11" ht="13.5" customHeight="1">
      <c r="B4263" s="209" t="s">
        <v>1860</v>
      </c>
      <c r="C4263" s="209" t="s">
        <v>3023</v>
      </c>
      <c r="D4263" s="450" t="s">
        <v>137</v>
      </c>
      <c r="E4263" s="273">
        <v>0</v>
      </c>
      <c r="F4263" s="274"/>
      <c r="G4263" s="274">
        <f t="shared" si="16"/>
        <v>0</v>
      </c>
      <c r="H4263" s="274">
        <v>0</v>
      </c>
      <c r="K4263" s="274"/>
    </row>
    <row r="4264" spans="2:11" ht="13.5" customHeight="1">
      <c r="B4264" s="209" t="s">
        <v>1860</v>
      </c>
      <c r="C4264" s="209" t="s">
        <v>3023</v>
      </c>
      <c r="D4264" s="451" t="s">
        <v>138</v>
      </c>
      <c r="E4264" s="273">
        <v>0</v>
      </c>
      <c r="F4264" s="274"/>
      <c r="G4264" s="274">
        <f t="shared" si="16"/>
        <v>0</v>
      </c>
      <c r="H4264" s="274">
        <v>0</v>
      </c>
      <c r="K4264" s="274"/>
    </row>
    <row r="4265" spans="2:11" ht="13.5" customHeight="1">
      <c r="B4265" s="209" t="s">
        <v>1860</v>
      </c>
      <c r="C4265" s="209" t="s">
        <v>3023</v>
      </c>
      <c r="D4265" s="452" t="s">
        <v>139</v>
      </c>
      <c r="E4265" s="273">
        <v>0</v>
      </c>
      <c r="F4265" s="274"/>
      <c r="G4265" s="274">
        <f t="shared" si="16"/>
        <v>0</v>
      </c>
      <c r="H4265" s="274">
        <v>0</v>
      </c>
      <c r="K4265" s="274"/>
    </row>
    <row r="4266" spans="2:11" ht="13.5" customHeight="1">
      <c r="B4266" s="209" t="s">
        <v>1860</v>
      </c>
      <c r="C4266" s="209" t="s">
        <v>3023</v>
      </c>
      <c r="D4266" s="216" t="s">
        <v>140</v>
      </c>
      <c r="E4266" s="273">
        <v>0</v>
      </c>
      <c r="F4266" s="274"/>
      <c r="G4266" s="274">
        <f t="shared" si="16"/>
        <v>0</v>
      </c>
      <c r="H4266" s="274">
        <v>0</v>
      </c>
      <c r="K4266" s="274"/>
    </row>
    <row r="4267" spans="2:11" ht="13.5" customHeight="1">
      <c r="B4267" s="209" t="s">
        <v>1860</v>
      </c>
      <c r="C4267" s="209" t="s">
        <v>3023</v>
      </c>
      <c r="D4267" s="453" t="s">
        <v>141</v>
      </c>
      <c r="E4267" s="273">
        <v>0</v>
      </c>
      <c r="F4267" s="274"/>
      <c r="G4267" s="274">
        <f t="shared" si="16"/>
        <v>0</v>
      </c>
      <c r="H4267" s="274">
        <v>0</v>
      </c>
      <c r="K4267" s="274"/>
    </row>
    <row r="4268" spans="2:11" ht="13.5" customHeight="1">
      <c r="B4268" s="209" t="s">
        <v>1545</v>
      </c>
      <c r="C4268" s="209" t="s">
        <v>3024</v>
      </c>
      <c r="D4268" s="446" t="s">
        <v>133</v>
      </c>
      <c r="E4268" s="273">
        <v>0</v>
      </c>
      <c r="F4268" s="274"/>
      <c r="G4268" s="274">
        <f t="shared" si="16"/>
        <v>0</v>
      </c>
      <c r="H4268" s="274">
        <v>0</v>
      </c>
      <c r="K4268" s="274"/>
    </row>
    <row r="4269" spans="2:11" ht="13.5" customHeight="1">
      <c r="B4269" s="209" t="s">
        <v>1545</v>
      </c>
      <c r="C4269" s="209" t="s">
        <v>3024</v>
      </c>
      <c r="D4269" s="447" t="s">
        <v>134</v>
      </c>
      <c r="E4269" s="273">
        <v>0</v>
      </c>
      <c r="F4269" s="274"/>
      <c r="G4269" s="274">
        <f t="shared" si="16"/>
        <v>0</v>
      </c>
      <c r="H4269" s="274">
        <v>0</v>
      </c>
      <c r="K4269" s="274"/>
    </row>
    <row r="4270" spans="2:11" ht="13.5" customHeight="1">
      <c r="B4270" s="209" t="s">
        <v>1545</v>
      </c>
      <c r="C4270" s="209" t="s">
        <v>3024</v>
      </c>
      <c r="D4270" s="448" t="s">
        <v>135</v>
      </c>
      <c r="E4270" s="273">
        <v>0</v>
      </c>
      <c r="F4270" s="274"/>
      <c r="G4270" s="274">
        <f t="shared" si="16"/>
        <v>0</v>
      </c>
      <c r="H4270" s="274">
        <v>0</v>
      </c>
      <c r="K4270" s="274"/>
    </row>
    <row r="4271" spans="2:11" ht="13.5" customHeight="1">
      <c r="B4271" s="209" t="s">
        <v>1545</v>
      </c>
      <c r="C4271" s="209" t="s">
        <v>3024</v>
      </c>
      <c r="D4271" s="449" t="s">
        <v>136</v>
      </c>
      <c r="E4271" s="273">
        <v>0</v>
      </c>
      <c r="F4271" s="274"/>
      <c r="G4271" s="274">
        <f t="shared" si="16"/>
        <v>0</v>
      </c>
      <c r="H4271" s="274">
        <v>0</v>
      </c>
      <c r="K4271" s="274"/>
    </row>
    <row r="4272" spans="2:11" ht="13.5" customHeight="1">
      <c r="B4272" s="209" t="s">
        <v>1545</v>
      </c>
      <c r="C4272" s="209" t="s">
        <v>3024</v>
      </c>
      <c r="D4272" s="450" t="s">
        <v>137</v>
      </c>
      <c r="E4272" s="273">
        <v>0</v>
      </c>
      <c r="F4272" s="274"/>
      <c r="G4272" s="274">
        <f t="shared" si="16"/>
        <v>0</v>
      </c>
      <c r="H4272" s="274">
        <v>0</v>
      </c>
      <c r="K4272" s="274"/>
    </row>
    <row r="4273" spans="2:11" ht="13.5" customHeight="1">
      <c r="B4273" s="209" t="s">
        <v>1545</v>
      </c>
      <c r="C4273" s="209" t="s">
        <v>3024</v>
      </c>
      <c r="D4273" s="451" t="s">
        <v>138</v>
      </c>
      <c r="E4273" s="273">
        <v>0</v>
      </c>
      <c r="F4273" s="274"/>
      <c r="G4273" s="274">
        <f t="shared" si="16"/>
        <v>0</v>
      </c>
      <c r="H4273" s="274">
        <v>0</v>
      </c>
      <c r="K4273" s="274"/>
    </row>
    <row r="4274" spans="2:11" ht="13.5" customHeight="1">
      <c r="B4274" s="209" t="s">
        <v>1545</v>
      </c>
      <c r="C4274" s="209" t="s">
        <v>3024</v>
      </c>
      <c r="D4274" s="452" t="s">
        <v>139</v>
      </c>
      <c r="E4274" s="273">
        <v>0</v>
      </c>
      <c r="F4274" s="274"/>
      <c r="G4274" s="274">
        <f t="shared" si="16"/>
        <v>0</v>
      </c>
      <c r="H4274" s="274">
        <v>0</v>
      </c>
      <c r="K4274" s="274"/>
    </row>
    <row r="4275" spans="2:11" ht="13.5" customHeight="1">
      <c r="B4275" s="209" t="s">
        <v>1545</v>
      </c>
      <c r="C4275" s="209" t="s">
        <v>3024</v>
      </c>
      <c r="D4275" s="216" t="s">
        <v>140</v>
      </c>
      <c r="E4275" s="273">
        <v>0</v>
      </c>
      <c r="F4275" s="274"/>
      <c r="G4275" s="274">
        <f t="shared" si="16"/>
        <v>0</v>
      </c>
      <c r="H4275" s="274">
        <v>0</v>
      </c>
      <c r="K4275" s="274"/>
    </row>
    <row r="4276" spans="2:11" ht="13.5" customHeight="1">
      <c r="B4276" s="209" t="s">
        <v>1545</v>
      </c>
      <c r="C4276" s="209" t="s">
        <v>3024</v>
      </c>
      <c r="D4276" s="453" t="s">
        <v>141</v>
      </c>
      <c r="E4276" s="273">
        <v>0</v>
      </c>
      <c r="F4276" s="274"/>
      <c r="G4276" s="274">
        <f t="shared" si="16"/>
        <v>0</v>
      </c>
      <c r="H4276" s="274">
        <v>0</v>
      </c>
      <c r="K4276" s="274"/>
    </row>
    <row r="4277" spans="2:11" ht="13.5" customHeight="1">
      <c r="B4277" s="209" t="s">
        <v>1482</v>
      </c>
      <c r="C4277" s="209" t="s">
        <v>3025</v>
      </c>
      <c r="D4277" s="446" t="s">
        <v>133</v>
      </c>
      <c r="E4277" s="273">
        <v>0</v>
      </c>
      <c r="F4277" s="274"/>
      <c r="G4277" s="274">
        <f t="shared" si="16"/>
        <v>0</v>
      </c>
      <c r="H4277" s="274">
        <v>0</v>
      </c>
      <c r="K4277" s="274"/>
    </row>
    <row r="4278" spans="2:11" ht="13.5" customHeight="1">
      <c r="B4278" s="209" t="s">
        <v>1482</v>
      </c>
      <c r="C4278" s="209" t="s">
        <v>3025</v>
      </c>
      <c r="D4278" s="447" t="s">
        <v>134</v>
      </c>
      <c r="E4278" s="273">
        <v>0</v>
      </c>
      <c r="F4278" s="274"/>
      <c r="G4278" s="274">
        <f t="shared" si="16"/>
        <v>0</v>
      </c>
      <c r="H4278" s="274">
        <v>0</v>
      </c>
      <c r="K4278" s="274"/>
    </row>
    <row r="4279" spans="2:11" ht="13.5" customHeight="1">
      <c r="B4279" s="209" t="s">
        <v>1482</v>
      </c>
      <c r="C4279" s="209" t="s">
        <v>3025</v>
      </c>
      <c r="D4279" s="448" t="s">
        <v>135</v>
      </c>
      <c r="E4279" s="273">
        <v>0</v>
      </c>
      <c r="F4279" s="274"/>
      <c r="G4279" s="274">
        <f t="shared" si="16"/>
        <v>0</v>
      </c>
      <c r="H4279" s="274">
        <v>0</v>
      </c>
      <c r="K4279" s="274"/>
    </row>
    <row r="4280" spans="2:11" ht="13.5" customHeight="1">
      <c r="B4280" s="209" t="s">
        <v>1482</v>
      </c>
      <c r="C4280" s="209" t="s">
        <v>3025</v>
      </c>
      <c r="D4280" s="449" t="s">
        <v>136</v>
      </c>
      <c r="E4280" s="273">
        <v>0</v>
      </c>
      <c r="F4280" s="274"/>
      <c r="G4280" s="274">
        <f t="shared" si="16"/>
        <v>0</v>
      </c>
      <c r="H4280" s="274">
        <v>0</v>
      </c>
      <c r="K4280" s="274"/>
    </row>
    <row r="4281" spans="2:11" ht="13.5" customHeight="1">
      <c r="B4281" s="209" t="s">
        <v>1482</v>
      </c>
      <c r="C4281" s="209" t="s">
        <v>3025</v>
      </c>
      <c r="D4281" s="450" t="s">
        <v>137</v>
      </c>
      <c r="E4281" s="273">
        <v>0</v>
      </c>
      <c r="F4281" s="274"/>
      <c r="G4281" s="274">
        <f t="shared" si="16"/>
        <v>0</v>
      </c>
      <c r="H4281" s="274">
        <v>0</v>
      </c>
      <c r="K4281" s="274"/>
    </row>
    <row r="4282" spans="2:11" ht="13.5" customHeight="1">
      <c r="B4282" s="209" t="s">
        <v>1482</v>
      </c>
      <c r="C4282" s="209" t="s">
        <v>3025</v>
      </c>
      <c r="D4282" s="451" t="s">
        <v>138</v>
      </c>
      <c r="E4282" s="273">
        <v>0</v>
      </c>
      <c r="F4282" s="274"/>
      <c r="G4282" s="274">
        <f t="shared" si="16"/>
        <v>0</v>
      </c>
      <c r="H4282" s="274">
        <v>0</v>
      </c>
      <c r="K4282" s="274"/>
    </row>
    <row r="4283" spans="2:11" ht="13.5" customHeight="1">
      <c r="B4283" s="209" t="s">
        <v>1482</v>
      </c>
      <c r="C4283" s="209" t="s">
        <v>3025</v>
      </c>
      <c r="D4283" s="452" t="s">
        <v>139</v>
      </c>
      <c r="E4283" s="273">
        <v>0</v>
      </c>
      <c r="F4283" s="274"/>
      <c r="G4283" s="274">
        <f t="shared" si="16"/>
        <v>0</v>
      </c>
      <c r="H4283" s="274">
        <v>0</v>
      </c>
      <c r="K4283" s="274"/>
    </row>
    <row r="4284" spans="2:11" ht="13.5" customHeight="1">
      <c r="B4284" s="209" t="s">
        <v>1482</v>
      </c>
      <c r="C4284" s="209" t="s">
        <v>3025</v>
      </c>
      <c r="D4284" s="216" t="s">
        <v>140</v>
      </c>
      <c r="E4284" s="273">
        <v>0</v>
      </c>
      <c r="F4284" s="274"/>
      <c r="G4284" s="274">
        <f t="shared" si="16"/>
        <v>0</v>
      </c>
      <c r="H4284" s="274">
        <v>0</v>
      </c>
      <c r="K4284" s="274"/>
    </row>
    <row r="4285" spans="2:11" ht="13.5" customHeight="1">
      <c r="B4285" s="209" t="s">
        <v>1482</v>
      </c>
      <c r="C4285" s="209" t="s">
        <v>3025</v>
      </c>
      <c r="D4285" s="453" t="s">
        <v>141</v>
      </c>
      <c r="E4285" s="273">
        <v>0</v>
      </c>
      <c r="F4285" s="274"/>
      <c r="G4285" s="274">
        <f t="shared" si="16"/>
        <v>0</v>
      </c>
      <c r="H4285" s="274">
        <v>0</v>
      </c>
      <c r="K4285" s="274"/>
    </row>
    <row r="4286" spans="2:11" ht="13.5" customHeight="1">
      <c r="B4286" s="209" t="s">
        <v>1479</v>
      </c>
      <c r="C4286" s="209" t="s">
        <v>3026</v>
      </c>
      <c r="D4286" s="446" t="s">
        <v>133</v>
      </c>
      <c r="E4286" s="273">
        <v>0</v>
      </c>
      <c r="F4286" s="274"/>
      <c r="G4286" s="274">
        <f t="shared" si="16"/>
        <v>0</v>
      </c>
      <c r="H4286" s="274">
        <v>0</v>
      </c>
      <c r="K4286" s="274"/>
    </row>
    <row r="4287" spans="2:11" ht="13.5" customHeight="1">
      <c r="B4287" s="209" t="s">
        <v>1479</v>
      </c>
      <c r="C4287" s="209" t="s">
        <v>3026</v>
      </c>
      <c r="D4287" s="447" t="s">
        <v>134</v>
      </c>
      <c r="E4287" s="273">
        <v>0</v>
      </c>
      <c r="F4287" s="274"/>
      <c r="G4287" s="274">
        <f t="shared" si="16"/>
        <v>0</v>
      </c>
      <c r="H4287" s="274">
        <v>0</v>
      </c>
      <c r="K4287" s="274"/>
    </row>
    <row r="4288" spans="2:11" ht="13.5" customHeight="1">
      <c r="B4288" s="209" t="s">
        <v>1479</v>
      </c>
      <c r="C4288" s="209" t="s">
        <v>3026</v>
      </c>
      <c r="D4288" s="448" t="s">
        <v>135</v>
      </c>
      <c r="E4288" s="273">
        <v>0</v>
      </c>
      <c r="F4288" s="274"/>
      <c r="G4288" s="274">
        <f t="shared" si="16"/>
        <v>0</v>
      </c>
      <c r="H4288" s="274">
        <v>0</v>
      </c>
      <c r="K4288" s="274"/>
    </row>
    <row r="4289" spans="2:11" ht="13.5" customHeight="1">
      <c r="B4289" s="209" t="s">
        <v>1479</v>
      </c>
      <c r="C4289" s="209" t="s">
        <v>3026</v>
      </c>
      <c r="D4289" s="449" t="s">
        <v>136</v>
      </c>
      <c r="E4289" s="273">
        <v>0</v>
      </c>
      <c r="F4289" s="274"/>
      <c r="G4289" s="274">
        <f t="shared" si="16"/>
        <v>0</v>
      </c>
      <c r="H4289" s="274">
        <v>0</v>
      </c>
      <c r="K4289" s="274"/>
    </row>
    <row r="4290" spans="2:11" ht="13.5" customHeight="1">
      <c r="B4290" s="209" t="s">
        <v>1479</v>
      </c>
      <c r="C4290" s="209" t="s">
        <v>3026</v>
      </c>
      <c r="D4290" s="450" t="s">
        <v>137</v>
      </c>
      <c r="E4290" s="273">
        <v>0</v>
      </c>
      <c r="F4290" s="274"/>
      <c r="G4290" s="274">
        <f t="shared" si="16"/>
        <v>0</v>
      </c>
      <c r="H4290" s="274">
        <v>0</v>
      </c>
      <c r="K4290" s="274"/>
    </row>
    <row r="4291" spans="2:11" ht="13.5" customHeight="1">
      <c r="B4291" s="209" t="s">
        <v>1479</v>
      </c>
      <c r="C4291" s="209" t="s">
        <v>3026</v>
      </c>
      <c r="D4291" s="451" t="s">
        <v>138</v>
      </c>
      <c r="E4291" s="273">
        <v>0</v>
      </c>
      <c r="F4291" s="274"/>
      <c r="G4291" s="274">
        <f t="shared" si="16"/>
        <v>0</v>
      </c>
      <c r="H4291" s="274">
        <v>0</v>
      </c>
      <c r="K4291" s="274"/>
    </row>
    <row r="4292" spans="2:11" ht="13.5" customHeight="1">
      <c r="B4292" s="209" t="s">
        <v>1479</v>
      </c>
      <c r="C4292" s="209" t="s">
        <v>3026</v>
      </c>
      <c r="D4292" s="452" t="s">
        <v>139</v>
      </c>
      <c r="E4292" s="273">
        <v>0</v>
      </c>
      <c r="F4292" s="274"/>
      <c r="G4292" s="274">
        <f t="shared" si="16"/>
        <v>0</v>
      </c>
      <c r="H4292" s="274">
        <v>0</v>
      </c>
      <c r="K4292" s="274"/>
    </row>
    <row r="4293" spans="2:11" ht="13.5" customHeight="1">
      <c r="B4293" s="209" t="s">
        <v>1479</v>
      </c>
      <c r="C4293" s="209" t="s">
        <v>3026</v>
      </c>
      <c r="D4293" s="216" t="s">
        <v>140</v>
      </c>
      <c r="E4293" s="273">
        <v>0</v>
      </c>
      <c r="F4293" s="274"/>
      <c r="G4293" s="274">
        <f t="shared" si="16"/>
        <v>0</v>
      </c>
      <c r="H4293" s="274">
        <v>0</v>
      </c>
      <c r="K4293" s="274"/>
    </row>
    <row r="4294" spans="2:11" ht="13.5" customHeight="1">
      <c r="B4294" s="209" t="s">
        <v>1479</v>
      </c>
      <c r="C4294" s="209" t="s">
        <v>3026</v>
      </c>
      <c r="D4294" s="453" t="s">
        <v>141</v>
      </c>
      <c r="E4294" s="273">
        <v>0</v>
      </c>
      <c r="F4294" s="274"/>
      <c r="G4294" s="274">
        <f t="shared" si="16"/>
        <v>0</v>
      </c>
      <c r="H4294" s="274">
        <v>0</v>
      </c>
      <c r="K4294" s="274"/>
    </row>
    <row r="4295" spans="2:11" ht="13.5" customHeight="1">
      <c r="B4295" s="209" t="s">
        <v>1277</v>
      </c>
      <c r="C4295" s="209" t="s">
        <v>3027</v>
      </c>
      <c r="D4295" s="446" t="s">
        <v>133</v>
      </c>
      <c r="E4295" s="273">
        <v>0</v>
      </c>
      <c r="F4295" s="274"/>
      <c r="G4295" s="274">
        <f t="shared" si="16"/>
        <v>0</v>
      </c>
      <c r="H4295" s="274">
        <v>0</v>
      </c>
      <c r="K4295" s="274"/>
    </row>
    <row r="4296" spans="2:11" ht="13.5" customHeight="1">
      <c r="B4296" s="209" t="s">
        <v>1277</v>
      </c>
      <c r="C4296" s="209" t="s">
        <v>3027</v>
      </c>
      <c r="D4296" s="447" t="s">
        <v>134</v>
      </c>
      <c r="E4296" s="273">
        <v>0</v>
      </c>
      <c r="F4296" s="274"/>
      <c r="G4296" s="274">
        <f t="shared" si="16"/>
        <v>0</v>
      </c>
      <c r="H4296" s="274">
        <v>0</v>
      </c>
      <c r="K4296" s="274"/>
    </row>
    <row r="4297" spans="2:11" ht="13.5" customHeight="1">
      <c r="B4297" s="209" t="s">
        <v>1277</v>
      </c>
      <c r="C4297" s="209" t="s">
        <v>3027</v>
      </c>
      <c r="D4297" s="448" t="s">
        <v>135</v>
      </c>
      <c r="E4297" s="273">
        <v>0</v>
      </c>
      <c r="F4297" s="274"/>
      <c r="G4297" s="274">
        <f t="shared" si="16"/>
        <v>0</v>
      </c>
      <c r="H4297" s="274">
        <v>0</v>
      </c>
      <c r="K4297" s="274"/>
    </row>
    <row r="4298" spans="2:11" ht="13.5" customHeight="1">
      <c r="B4298" s="209" t="s">
        <v>1277</v>
      </c>
      <c r="C4298" s="209" t="s">
        <v>3027</v>
      </c>
      <c r="D4298" s="449" t="s">
        <v>136</v>
      </c>
      <c r="E4298" s="273">
        <v>0</v>
      </c>
      <c r="F4298" s="274"/>
      <c r="G4298" s="274">
        <f t="shared" si="16"/>
        <v>0</v>
      </c>
      <c r="H4298" s="274">
        <v>0</v>
      </c>
      <c r="K4298" s="274"/>
    </row>
    <row r="4299" spans="2:11" ht="13.5" customHeight="1">
      <c r="B4299" s="209" t="s">
        <v>1277</v>
      </c>
      <c r="C4299" s="209" t="s">
        <v>3027</v>
      </c>
      <c r="D4299" s="450" t="s">
        <v>137</v>
      </c>
      <c r="E4299" s="273">
        <v>0</v>
      </c>
      <c r="F4299" s="274"/>
      <c r="G4299" s="274">
        <f t="shared" si="16"/>
        <v>0</v>
      </c>
      <c r="H4299" s="274">
        <v>0</v>
      </c>
      <c r="K4299" s="274"/>
    </row>
    <row r="4300" spans="2:11" ht="13.5" customHeight="1">
      <c r="B4300" s="209" t="s">
        <v>1277</v>
      </c>
      <c r="C4300" s="209" t="s">
        <v>3027</v>
      </c>
      <c r="D4300" s="451" t="s">
        <v>138</v>
      </c>
      <c r="E4300" s="273">
        <v>0</v>
      </c>
      <c r="F4300" s="274"/>
      <c r="G4300" s="274">
        <f t="shared" si="16"/>
        <v>0</v>
      </c>
      <c r="H4300" s="274">
        <v>0</v>
      </c>
      <c r="K4300" s="274"/>
    </row>
    <row r="4301" spans="2:11" ht="13.5" customHeight="1">
      <c r="B4301" s="209" t="s">
        <v>1277</v>
      </c>
      <c r="C4301" s="209" t="s">
        <v>3027</v>
      </c>
      <c r="D4301" s="452" t="s">
        <v>139</v>
      </c>
      <c r="E4301" s="273">
        <v>0</v>
      </c>
      <c r="F4301" s="274"/>
      <c r="G4301" s="274">
        <f t="shared" si="16"/>
        <v>0</v>
      </c>
      <c r="H4301" s="274">
        <v>0</v>
      </c>
      <c r="K4301" s="274"/>
    </row>
    <row r="4302" spans="2:11" ht="13.5" customHeight="1">
      <c r="B4302" s="209" t="s">
        <v>1277</v>
      </c>
      <c r="C4302" s="209" t="s">
        <v>3027</v>
      </c>
      <c r="D4302" s="216" t="s">
        <v>140</v>
      </c>
      <c r="E4302" s="273">
        <v>0</v>
      </c>
      <c r="F4302" s="274"/>
      <c r="G4302" s="274">
        <f t="shared" si="16"/>
        <v>0</v>
      </c>
      <c r="H4302" s="274">
        <v>0</v>
      </c>
      <c r="K4302" s="274"/>
    </row>
    <row r="4303" spans="2:11" ht="13.5" customHeight="1">
      <c r="B4303" s="209" t="s">
        <v>1277</v>
      </c>
      <c r="C4303" s="209" t="s">
        <v>3027</v>
      </c>
      <c r="D4303" s="453" t="s">
        <v>141</v>
      </c>
      <c r="E4303" s="273">
        <v>0</v>
      </c>
      <c r="F4303" s="274"/>
      <c r="G4303" s="274">
        <f t="shared" si="16"/>
        <v>0</v>
      </c>
      <c r="H4303" s="274">
        <v>0</v>
      </c>
      <c r="K4303" s="274"/>
    </row>
    <row r="4304" spans="2:11" ht="13.5" customHeight="1">
      <c r="B4304" s="209" t="s">
        <v>1280</v>
      </c>
      <c r="C4304" s="209" t="s">
        <v>3028</v>
      </c>
      <c r="D4304" s="446" t="s">
        <v>133</v>
      </c>
      <c r="E4304" s="273">
        <v>0</v>
      </c>
      <c r="F4304" s="274"/>
      <c r="G4304" s="274">
        <f t="shared" si="16"/>
        <v>0</v>
      </c>
      <c r="H4304" s="274">
        <v>0</v>
      </c>
      <c r="K4304" s="274"/>
    </row>
    <row r="4305" spans="2:11" ht="13.5" customHeight="1">
      <c r="B4305" s="209" t="s">
        <v>1280</v>
      </c>
      <c r="C4305" s="209" t="s">
        <v>3028</v>
      </c>
      <c r="D4305" s="447" t="s">
        <v>134</v>
      </c>
      <c r="E4305" s="273">
        <v>0</v>
      </c>
      <c r="F4305" s="274"/>
      <c r="G4305" s="274">
        <f t="shared" si="16"/>
        <v>0</v>
      </c>
      <c r="H4305" s="274">
        <v>0</v>
      </c>
      <c r="K4305" s="274"/>
    </row>
    <row r="4306" spans="2:11" ht="13.5" customHeight="1">
      <c r="B4306" s="209" t="s">
        <v>1280</v>
      </c>
      <c r="C4306" s="209" t="s">
        <v>3028</v>
      </c>
      <c r="D4306" s="448" t="s">
        <v>135</v>
      </c>
      <c r="E4306" s="273">
        <v>0</v>
      </c>
      <c r="F4306" s="274"/>
      <c r="G4306" s="274">
        <f t="shared" si="16"/>
        <v>0</v>
      </c>
      <c r="H4306" s="274">
        <v>0</v>
      </c>
      <c r="K4306" s="274"/>
    </row>
    <row r="4307" spans="2:11" ht="13.5" customHeight="1">
      <c r="B4307" s="209" t="s">
        <v>1280</v>
      </c>
      <c r="C4307" s="209" t="s">
        <v>3028</v>
      </c>
      <c r="D4307" s="449" t="s">
        <v>136</v>
      </c>
      <c r="E4307" s="273">
        <v>0</v>
      </c>
      <c r="F4307" s="274"/>
      <c r="G4307" s="274">
        <f t="shared" si="16"/>
        <v>0</v>
      </c>
      <c r="H4307" s="274">
        <v>0</v>
      </c>
      <c r="K4307" s="274"/>
    </row>
    <row r="4308" spans="2:11" ht="13.5" customHeight="1">
      <c r="B4308" s="209" t="s">
        <v>1280</v>
      </c>
      <c r="C4308" s="209" t="s">
        <v>3028</v>
      </c>
      <c r="D4308" s="450" t="s">
        <v>137</v>
      </c>
      <c r="E4308" s="273">
        <v>0</v>
      </c>
      <c r="F4308" s="274"/>
      <c r="G4308" s="274">
        <f t="shared" si="16"/>
        <v>0</v>
      </c>
      <c r="H4308" s="274">
        <v>0</v>
      </c>
      <c r="K4308" s="274"/>
    </row>
    <row r="4309" spans="2:11" ht="13.5" customHeight="1">
      <c r="B4309" s="209" t="s">
        <v>1280</v>
      </c>
      <c r="C4309" s="209" t="s">
        <v>3028</v>
      </c>
      <c r="D4309" s="451" t="s">
        <v>138</v>
      </c>
      <c r="E4309" s="273">
        <v>0</v>
      </c>
      <c r="F4309" s="274"/>
      <c r="G4309" s="274">
        <f t="shared" si="16"/>
        <v>0</v>
      </c>
      <c r="H4309" s="274">
        <v>0</v>
      </c>
      <c r="K4309" s="274"/>
    </row>
    <row r="4310" spans="2:11" ht="13.5" customHeight="1">
      <c r="B4310" s="209" t="s">
        <v>1280</v>
      </c>
      <c r="C4310" s="209" t="s">
        <v>3028</v>
      </c>
      <c r="D4310" s="452" t="s">
        <v>139</v>
      </c>
      <c r="E4310" s="273">
        <v>0</v>
      </c>
      <c r="F4310" s="274"/>
      <c r="G4310" s="274">
        <f t="shared" si="16"/>
        <v>0</v>
      </c>
      <c r="H4310" s="274">
        <v>0</v>
      </c>
      <c r="K4310" s="274"/>
    </row>
    <row r="4311" spans="2:11" ht="13.5" customHeight="1">
      <c r="B4311" s="209" t="s">
        <v>1280</v>
      </c>
      <c r="C4311" s="209" t="s">
        <v>3028</v>
      </c>
      <c r="D4311" s="216" t="s">
        <v>140</v>
      </c>
      <c r="E4311" s="273">
        <v>0</v>
      </c>
      <c r="F4311" s="274"/>
      <c r="G4311" s="274">
        <f t="shared" si="16"/>
        <v>0</v>
      </c>
      <c r="H4311" s="274">
        <v>0</v>
      </c>
      <c r="K4311" s="274"/>
    </row>
    <row r="4312" spans="2:11" ht="13.5" customHeight="1">
      <c r="B4312" s="209" t="s">
        <v>1280</v>
      </c>
      <c r="C4312" s="209" t="s">
        <v>3028</v>
      </c>
      <c r="D4312" s="453" t="s">
        <v>141</v>
      </c>
      <c r="E4312" s="273">
        <v>0</v>
      </c>
      <c r="F4312" s="274"/>
      <c r="G4312" s="274">
        <f t="shared" si="16"/>
        <v>0</v>
      </c>
      <c r="H4312" s="274">
        <v>0</v>
      </c>
      <c r="K4312" s="274"/>
    </row>
    <row r="4313" spans="2:11" ht="13.5" customHeight="1">
      <c r="B4313" s="209" t="s">
        <v>1293</v>
      </c>
      <c r="C4313" s="209" t="s">
        <v>3029</v>
      </c>
      <c r="D4313" s="446" t="s">
        <v>133</v>
      </c>
      <c r="E4313" s="273">
        <v>0</v>
      </c>
      <c r="F4313" s="274"/>
      <c r="G4313" s="274">
        <f t="shared" si="16"/>
        <v>0</v>
      </c>
      <c r="H4313" s="274">
        <v>0</v>
      </c>
      <c r="K4313" s="274"/>
    </row>
    <row r="4314" spans="2:11" ht="13.5" customHeight="1">
      <c r="B4314" s="209" t="s">
        <v>1293</v>
      </c>
      <c r="C4314" s="209" t="s">
        <v>3029</v>
      </c>
      <c r="D4314" s="447" t="s">
        <v>134</v>
      </c>
      <c r="E4314" s="273">
        <v>0</v>
      </c>
      <c r="F4314" s="274"/>
      <c r="G4314" s="274">
        <f t="shared" si="16"/>
        <v>0</v>
      </c>
      <c r="H4314" s="274">
        <v>0</v>
      </c>
      <c r="K4314" s="274"/>
    </row>
    <row r="4315" spans="2:11" ht="13.5" customHeight="1">
      <c r="B4315" s="209" t="s">
        <v>1293</v>
      </c>
      <c r="C4315" s="209" t="s">
        <v>3029</v>
      </c>
      <c r="D4315" s="448" t="s">
        <v>135</v>
      </c>
      <c r="E4315" s="273">
        <v>0</v>
      </c>
      <c r="F4315" s="274"/>
      <c r="G4315" s="274">
        <f t="shared" si="16"/>
        <v>0</v>
      </c>
      <c r="H4315" s="274">
        <v>0</v>
      </c>
      <c r="K4315" s="274"/>
    </row>
    <row r="4316" spans="2:11" ht="13.5" customHeight="1">
      <c r="B4316" s="209" t="s">
        <v>1293</v>
      </c>
      <c r="C4316" s="209" t="s">
        <v>3029</v>
      </c>
      <c r="D4316" s="449" t="s">
        <v>136</v>
      </c>
      <c r="E4316" s="273">
        <v>0</v>
      </c>
      <c r="F4316" s="274"/>
      <c r="G4316" s="274">
        <f t="shared" si="16"/>
        <v>0</v>
      </c>
      <c r="H4316" s="274">
        <v>0</v>
      </c>
      <c r="K4316" s="274"/>
    </row>
    <row r="4317" spans="2:11" ht="13.5" customHeight="1">
      <c r="B4317" s="209" t="s">
        <v>1293</v>
      </c>
      <c r="C4317" s="209" t="s">
        <v>3029</v>
      </c>
      <c r="D4317" s="450" t="s">
        <v>137</v>
      </c>
      <c r="E4317" s="273">
        <v>0</v>
      </c>
      <c r="F4317" s="274"/>
      <c r="G4317" s="274">
        <f t="shared" si="16"/>
        <v>0</v>
      </c>
      <c r="H4317" s="274">
        <v>0</v>
      </c>
      <c r="K4317" s="274"/>
    </row>
    <row r="4318" spans="2:11" ht="13.5" customHeight="1">
      <c r="B4318" s="209" t="s">
        <v>1293</v>
      </c>
      <c r="C4318" s="209" t="s">
        <v>3029</v>
      </c>
      <c r="D4318" s="451" t="s">
        <v>138</v>
      </c>
      <c r="E4318" s="273">
        <v>0</v>
      </c>
      <c r="F4318" s="274"/>
      <c r="G4318" s="274">
        <f t="shared" si="16"/>
        <v>0</v>
      </c>
      <c r="H4318" s="274">
        <v>0</v>
      </c>
      <c r="K4318" s="274"/>
    </row>
    <row r="4319" spans="2:11" ht="13.5" customHeight="1">
      <c r="B4319" s="209" t="s">
        <v>1293</v>
      </c>
      <c r="C4319" s="209" t="s">
        <v>3029</v>
      </c>
      <c r="D4319" s="452" t="s">
        <v>139</v>
      </c>
      <c r="E4319" s="273">
        <v>0</v>
      </c>
      <c r="F4319" s="274"/>
      <c r="G4319" s="274">
        <f t="shared" si="16"/>
        <v>0</v>
      </c>
      <c r="H4319" s="274">
        <v>0</v>
      </c>
      <c r="K4319" s="274"/>
    </row>
    <row r="4320" spans="2:11" ht="13.5" customHeight="1">
      <c r="B4320" s="209" t="s">
        <v>1293</v>
      </c>
      <c r="C4320" s="209" t="s">
        <v>3029</v>
      </c>
      <c r="D4320" s="216" t="s">
        <v>140</v>
      </c>
      <c r="E4320" s="273">
        <v>0</v>
      </c>
      <c r="F4320" s="274"/>
      <c r="G4320" s="274">
        <f t="shared" si="16"/>
        <v>0</v>
      </c>
      <c r="H4320" s="274">
        <v>0</v>
      </c>
      <c r="K4320" s="274"/>
    </row>
    <row r="4321" spans="2:11" ht="13.5" customHeight="1">
      <c r="B4321" s="209" t="s">
        <v>1293</v>
      </c>
      <c r="C4321" s="209" t="s">
        <v>3029</v>
      </c>
      <c r="D4321" s="453" t="s">
        <v>141</v>
      </c>
      <c r="E4321" s="273">
        <v>0</v>
      </c>
      <c r="F4321" s="274"/>
      <c r="G4321" s="274">
        <f t="shared" si="16"/>
        <v>0</v>
      </c>
      <c r="H4321" s="274">
        <v>0</v>
      </c>
      <c r="K4321" s="274"/>
    </row>
    <row r="4322" spans="2:11" ht="13.5" customHeight="1">
      <c r="B4322" s="209" t="s">
        <v>1315</v>
      </c>
      <c r="C4322" s="209" t="s">
        <v>3030</v>
      </c>
      <c r="D4322" s="446" t="s">
        <v>133</v>
      </c>
      <c r="E4322" s="273">
        <v>0</v>
      </c>
      <c r="F4322" s="274"/>
      <c r="G4322" s="274">
        <f t="shared" si="16"/>
        <v>0</v>
      </c>
      <c r="H4322" s="274">
        <v>0</v>
      </c>
      <c r="K4322" s="274"/>
    </row>
    <row r="4323" spans="2:11" ht="13.5" customHeight="1">
      <c r="B4323" s="209" t="s">
        <v>1315</v>
      </c>
      <c r="C4323" s="209" t="s">
        <v>3030</v>
      </c>
      <c r="D4323" s="447" t="s">
        <v>134</v>
      </c>
      <c r="E4323" s="273">
        <v>0</v>
      </c>
      <c r="F4323" s="274"/>
      <c r="G4323" s="274">
        <f t="shared" si="16"/>
        <v>0</v>
      </c>
      <c r="H4323" s="274">
        <v>0</v>
      </c>
      <c r="K4323" s="274"/>
    </row>
    <row r="4324" spans="2:11" ht="13.5" customHeight="1">
      <c r="B4324" s="209" t="s">
        <v>1315</v>
      </c>
      <c r="C4324" s="209" t="s">
        <v>3030</v>
      </c>
      <c r="D4324" s="448" t="s">
        <v>135</v>
      </c>
      <c r="E4324" s="273">
        <v>0</v>
      </c>
      <c r="F4324" s="274"/>
      <c r="G4324" s="274">
        <f t="shared" si="16"/>
        <v>0</v>
      </c>
      <c r="H4324" s="274">
        <v>0</v>
      </c>
      <c r="K4324" s="274"/>
    </row>
    <row r="4325" spans="2:11" ht="13.5" customHeight="1">
      <c r="B4325" s="209" t="s">
        <v>1315</v>
      </c>
      <c r="C4325" s="209" t="s">
        <v>3030</v>
      </c>
      <c r="D4325" s="449" t="s">
        <v>136</v>
      </c>
      <c r="E4325" s="273">
        <v>0</v>
      </c>
      <c r="F4325" s="274"/>
      <c r="G4325" s="274">
        <f t="shared" si="16"/>
        <v>0</v>
      </c>
      <c r="H4325" s="274">
        <v>0</v>
      </c>
      <c r="K4325" s="274"/>
    </row>
    <row r="4326" spans="2:11" ht="13.5" customHeight="1">
      <c r="B4326" s="209" t="s">
        <v>1315</v>
      </c>
      <c r="C4326" s="209" t="s">
        <v>3030</v>
      </c>
      <c r="D4326" s="450" t="s">
        <v>137</v>
      </c>
      <c r="E4326" s="273">
        <v>0</v>
      </c>
      <c r="F4326" s="274"/>
      <c r="G4326" s="274">
        <f t="shared" si="16"/>
        <v>0</v>
      </c>
      <c r="H4326" s="274">
        <v>0</v>
      </c>
      <c r="K4326" s="274"/>
    </row>
    <row r="4327" spans="2:11" ht="13.5" customHeight="1">
      <c r="B4327" s="209" t="s">
        <v>1315</v>
      </c>
      <c r="C4327" s="209" t="s">
        <v>3030</v>
      </c>
      <c r="D4327" s="451" t="s">
        <v>138</v>
      </c>
      <c r="E4327" s="273">
        <v>0</v>
      </c>
      <c r="F4327" s="274"/>
      <c r="G4327" s="274">
        <f t="shared" si="16"/>
        <v>0</v>
      </c>
      <c r="H4327" s="274">
        <v>0</v>
      </c>
      <c r="K4327" s="274"/>
    </row>
    <row r="4328" spans="2:11" ht="13.5" customHeight="1">
      <c r="B4328" s="209" t="s">
        <v>1315</v>
      </c>
      <c r="C4328" s="209" t="s">
        <v>3030</v>
      </c>
      <c r="D4328" s="452" t="s">
        <v>139</v>
      </c>
      <c r="E4328" s="273">
        <v>0</v>
      </c>
      <c r="F4328" s="274"/>
      <c r="G4328" s="274">
        <f t="shared" si="16"/>
        <v>0</v>
      </c>
      <c r="H4328" s="274">
        <v>0</v>
      </c>
      <c r="K4328" s="274"/>
    </row>
    <row r="4329" spans="2:11" ht="13.5" customHeight="1">
      <c r="B4329" s="209" t="s">
        <v>1315</v>
      </c>
      <c r="C4329" s="209" t="s">
        <v>3030</v>
      </c>
      <c r="D4329" s="216" t="s">
        <v>140</v>
      </c>
      <c r="E4329" s="273">
        <v>0</v>
      </c>
      <c r="F4329" s="274"/>
      <c r="G4329" s="274">
        <f t="shared" si="16"/>
        <v>0</v>
      </c>
      <c r="H4329" s="274">
        <v>0</v>
      </c>
      <c r="K4329" s="274"/>
    </row>
    <row r="4330" spans="2:11" ht="13.5" customHeight="1">
      <c r="B4330" s="209" t="s">
        <v>1315</v>
      </c>
      <c r="C4330" s="209" t="s">
        <v>3030</v>
      </c>
      <c r="D4330" s="453" t="s">
        <v>141</v>
      </c>
      <c r="E4330" s="273">
        <v>0</v>
      </c>
      <c r="F4330" s="274"/>
      <c r="G4330" s="274">
        <f t="shared" si="16"/>
        <v>0</v>
      </c>
      <c r="H4330" s="274">
        <v>0</v>
      </c>
      <c r="K4330" s="274"/>
    </row>
    <row r="4331" spans="2:11" ht="13.5" customHeight="1">
      <c r="B4331" s="209" t="s">
        <v>1311</v>
      </c>
      <c r="C4331" s="209" t="s">
        <v>3031</v>
      </c>
      <c r="D4331" s="446" t="s">
        <v>133</v>
      </c>
      <c r="E4331" s="273">
        <v>0</v>
      </c>
      <c r="F4331" s="274"/>
      <c r="G4331" s="274">
        <f t="shared" si="16"/>
        <v>0</v>
      </c>
      <c r="H4331" s="274">
        <v>0</v>
      </c>
      <c r="K4331" s="274"/>
    </row>
    <row r="4332" spans="2:11" ht="13.5" customHeight="1">
      <c r="B4332" s="209" t="s">
        <v>1311</v>
      </c>
      <c r="C4332" s="209" t="s">
        <v>3031</v>
      </c>
      <c r="D4332" s="447" t="s">
        <v>134</v>
      </c>
      <c r="E4332" s="273">
        <v>0</v>
      </c>
      <c r="F4332" s="274"/>
      <c r="G4332" s="274">
        <f t="shared" si="16"/>
        <v>0</v>
      </c>
      <c r="H4332" s="274">
        <v>0</v>
      </c>
      <c r="K4332" s="274"/>
    </row>
    <row r="4333" spans="2:11" ht="13.5" customHeight="1">
      <c r="B4333" s="209" t="s">
        <v>1311</v>
      </c>
      <c r="C4333" s="209" t="s">
        <v>3031</v>
      </c>
      <c r="D4333" s="448" t="s">
        <v>135</v>
      </c>
      <c r="E4333" s="273">
        <v>0</v>
      </c>
      <c r="F4333" s="274"/>
      <c r="G4333" s="274">
        <f t="shared" si="16"/>
        <v>0</v>
      </c>
      <c r="H4333" s="274">
        <v>0</v>
      </c>
      <c r="K4333" s="274"/>
    </row>
    <row r="4334" spans="2:11" ht="13.5" customHeight="1">
      <c r="B4334" s="209" t="s">
        <v>1311</v>
      </c>
      <c r="C4334" s="209" t="s">
        <v>3031</v>
      </c>
      <c r="D4334" s="449" t="s">
        <v>136</v>
      </c>
      <c r="E4334" s="273">
        <v>0</v>
      </c>
      <c r="F4334" s="274"/>
      <c r="G4334" s="274">
        <f t="shared" si="16"/>
        <v>0</v>
      </c>
      <c r="H4334" s="274">
        <v>0</v>
      </c>
      <c r="K4334" s="274"/>
    </row>
    <row r="4335" spans="2:11" ht="13.5" customHeight="1">
      <c r="B4335" s="209" t="s">
        <v>1311</v>
      </c>
      <c r="C4335" s="209" t="s">
        <v>3031</v>
      </c>
      <c r="D4335" s="450" t="s">
        <v>137</v>
      </c>
      <c r="E4335" s="273">
        <v>0</v>
      </c>
      <c r="F4335" s="274"/>
      <c r="G4335" s="274">
        <f t="shared" si="16"/>
        <v>0</v>
      </c>
      <c r="H4335" s="274">
        <v>0</v>
      </c>
      <c r="K4335" s="274"/>
    </row>
    <row r="4336" spans="2:11" ht="13.5" customHeight="1">
      <c r="B4336" s="209" t="s">
        <v>1311</v>
      </c>
      <c r="C4336" s="209" t="s">
        <v>3031</v>
      </c>
      <c r="D4336" s="451" t="s">
        <v>138</v>
      </c>
      <c r="E4336" s="273">
        <v>0</v>
      </c>
      <c r="F4336" s="274"/>
      <c r="G4336" s="274">
        <f t="shared" si="16"/>
        <v>0</v>
      </c>
      <c r="H4336" s="274">
        <v>0</v>
      </c>
      <c r="K4336" s="274"/>
    </row>
    <row r="4337" spans="2:11" ht="13.5" customHeight="1">
      <c r="B4337" s="209" t="s">
        <v>1311</v>
      </c>
      <c r="C4337" s="209" t="s">
        <v>3031</v>
      </c>
      <c r="D4337" s="452" t="s">
        <v>139</v>
      </c>
      <c r="E4337" s="273">
        <v>0</v>
      </c>
      <c r="F4337" s="274"/>
      <c r="G4337" s="274">
        <f t="shared" ref="G4337:G4384" si="17">E4337*F4337</f>
        <v>0</v>
      </c>
      <c r="H4337" s="274">
        <v>0</v>
      </c>
      <c r="K4337" s="274"/>
    </row>
    <row r="4338" spans="2:11" ht="13.5" customHeight="1">
      <c r="B4338" s="209" t="s">
        <v>1311</v>
      </c>
      <c r="C4338" s="209" t="s">
        <v>3031</v>
      </c>
      <c r="D4338" s="216" t="s">
        <v>140</v>
      </c>
      <c r="E4338" s="273">
        <v>0</v>
      </c>
      <c r="F4338" s="274"/>
      <c r="G4338" s="274">
        <f t="shared" si="17"/>
        <v>0</v>
      </c>
      <c r="H4338" s="274">
        <v>0</v>
      </c>
      <c r="K4338" s="274"/>
    </row>
    <row r="4339" spans="2:11" ht="13.5" customHeight="1">
      <c r="B4339" s="209" t="s">
        <v>1311</v>
      </c>
      <c r="C4339" s="209" t="s">
        <v>3031</v>
      </c>
      <c r="D4339" s="453" t="s">
        <v>141</v>
      </c>
      <c r="E4339" s="273">
        <v>0</v>
      </c>
      <c r="F4339" s="274"/>
      <c r="G4339" s="274">
        <f t="shared" si="17"/>
        <v>0</v>
      </c>
      <c r="H4339" s="274">
        <v>0</v>
      </c>
      <c r="K4339" s="274"/>
    </row>
    <row r="4340" spans="2:11" ht="13.5" customHeight="1">
      <c r="B4340" s="209" t="s">
        <v>1321</v>
      </c>
      <c r="C4340" s="209" t="s">
        <v>3032</v>
      </c>
      <c r="D4340" s="446" t="s">
        <v>133</v>
      </c>
      <c r="E4340" s="273">
        <v>0</v>
      </c>
      <c r="F4340" s="274"/>
      <c r="G4340" s="274">
        <f t="shared" si="17"/>
        <v>0</v>
      </c>
      <c r="H4340" s="274">
        <v>0</v>
      </c>
      <c r="K4340" s="274"/>
    </row>
    <row r="4341" spans="2:11" ht="13.5" customHeight="1">
      <c r="B4341" s="209" t="s">
        <v>1321</v>
      </c>
      <c r="C4341" s="209" t="s">
        <v>3032</v>
      </c>
      <c r="D4341" s="447" t="s">
        <v>134</v>
      </c>
      <c r="E4341" s="273">
        <v>0</v>
      </c>
      <c r="F4341" s="274"/>
      <c r="G4341" s="274">
        <f t="shared" si="17"/>
        <v>0</v>
      </c>
      <c r="H4341" s="274">
        <v>0</v>
      </c>
      <c r="K4341" s="274"/>
    </row>
    <row r="4342" spans="2:11" ht="13.5" customHeight="1">
      <c r="B4342" s="209" t="s">
        <v>1321</v>
      </c>
      <c r="C4342" s="209" t="s">
        <v>3032</v>
      </c>
      <c r="D4342" s="448" t="s">
        <v>135</v>
      </c>
      <c r="E4342" s="273">
        <v>0</v>
      </c>
      <c r="F4342" s="274"/>
      <c r="G4342" s="274">
        <f t="shared" si="17"/>
        <v>0</v>
      </c>
      <c r="H4342" s="274">
        <v>0</v>
      </c>
      <c r="K4342" s="274"/>
    </row>
    <row r="4343" spans="2:11" ht="13.5" customHeight="1">
      <c r="B4343" s="209" t="s">
        <v>1321</v>
      </c>
      <c r="C4343" s="209" t="s">
        <v>3032</v>
      </c>
      <c r="D4343" s="449" t="s">
        <v>136</v>
      </c>
      <c r="E4343" s="273">
        <v>0</v>
      </c>
      <c r="F4343" s="274"/>
      <c r="G4343" s="274">
        <f t="shared" si="17"/>
        <v>0</v>
      </c>
      <c r="H4343" s="274">
        <v>0</v>
      </c>
      <c r="K4343" s="274"/>
    </row>
    <row r="4344" spans="2:11" ht="13.5" customHeight="1">
      <c r="B4344" s="209" t="s">
        <v>1321</v>
      </c>
      <c r="C4344" s="209" t="s">
        <v>3032</v>
      </c>
      <c r="D4344" s="450" t="s">
        <v>137</v>
      </c>
      <c r="E4344" s="273">
        <v>0</v>
      </c>
      <c r="F4344" s="274"/>
      <c r="G4344" s="274">
        <f t="shared" si="17"/>
        <v>0</v>
      </c>
      <c r="H4344" s="274">
        <v>0</v>
      </c>
      <c r="K4344" s="274"/>
    </row>
    <row r="4345" spans="2:11" ht="13.5" customHeight="1">
      <c r="B4345" s="209" t="s">
        <v>1321</v>
      </c>
      <c r="C4345" s="209" t="s">
        <v>3032</v>
      </c>
      <c r="D4345" s="451" t="s">
        <v>138</v>
      </c>
      <c r="E4345" s="273">
        <v>0</v>
      </c>
      <c r="F4345" s="274"/>
      <c r="G4345" s="274">
        <f t="shared" si="17"/>
        <v>0</v>
      </c>
      <c r="H4345" s="274">
        <v>0</v>
      </c>
      <c r="K4345" s="274"/>
    </row>
    <row r="4346" spans="2:11" ht="13.5" customHeight="1">
      <c r="B4346" s="209" t="s">
        <v>1321</v>
      </c>
      <c r="C4346" s="209" t="s">
        <v>3032</v>
      </c>
      <c r="D4346" s="452" t="s">
        <v>139</v>
      </c>
      <c r="E4346" s="273">
        <v>0</v>
      </c>
      <c r="F4346" s="274"/>
      <c r="G4346" s="274">
        <f t="shared" si="17"/>
        <v>0</v>
      </c>
      <c r="H4346" s="274">
        <v>0</v>
      </c>
      <c r="K4346" s="274"/>
    </row>
    <row r="4347" spans="2:11" ht="13.5" customHeight="1">
      <c r="B4347" s="209" t="s">
        <v>1321</v>
      </c>
      <c r="C4347" s="209" t="s">
        <v>3032</v>
      </c>
      <c r="D4347" s="216" t="s">
        <v>140</v>
      </c>
      <c r="E4347" s="273">
        <v>0</v>
      </c>
      <c r="F4347" s="274"/>
      <c r="G4347" s="274">
        <f t="shared" si="17"/>
        <v>0</v>
      </c>
      <c r="H4347" s="274">
        <v>0</v>
      </c>
      <c r="K4347" s="274"/>
    </row>
    <row r="4348" spans="2:11" ht="13.5" customHeight="1">
      <c r="B4348" s="209" t="s">
        <v>1321</v>
      </c>
      <c r="C4348" s="209" t="s">
        <v>3032</v>
      </c>
      <c r="D4348" s="453" t="s">
        <v>141</v>
      </c>
      <c r="E4348" s="273">
        <v>0</v>
      </c>
      <c r="F4348" s="274"/>
      <c r="G4348" s="274">
        <f t="shared" si="17"/>
        <v>0</v>
      </c>
      <c r="H4348" s="274">
        <v>0</v>
      </c>
      <c r="K4348" s="274"/>
    </row>
    <row r="4349" spans="2:11" ht="13.5" customHeight="1">
      <c r="B4349" s="209" t="s">
        <v>1323</v>
      </c>
      <c r="C4349" s="209" t="s">
        <v>3033</v>
      </c>
      <c r="D4349" s="446" t="s">
        <v>133</v>
      </c>
      <c r="E4349" s="273">
        <v>0</v>
      </c>
      <c r="F4349" s="274"/>
      <c r="G4349" s="274">
        <f t="shared" si="17"/>
        <v>0</v>
      </c>
      <c r="H4349" s="274">
        <v>0</v>
      </c>
      <c r="K4349" s="274"/>
    </row>
    <row r="4350" spans="2:11" ht="13.5" customHeight="1">
      <c r="B4350" s="209" t="s">
        <v>1323</v>
      </c>
      <c r="C4350" s="209" t="s">
        <v>3033</v>
      </c>
      <c r="D4350" s="447" t="s">
        <v>134</v>
      </c>
      <c r="E4350" s="273">
        <v>0</v>
      </c>
      <c r="F4350" s="274"/>
      <c r="G4350" s="274">
        <f t="shared" si="17"/>
        <v>0</v>
      </c>
      <c r="H4350" s="274">
        <v>0</v>
      </c>
      <c r="K4350" s="274"/>
    </row>
    <row r="4351" spans="2:11" ht="13.5" customHeight="1">
      <c r="B4351" s="209" t="s">
        <v>1323</v>
      </c>
      <c r="C4351" s="209" t="s">
        <v>3033</v>
      </c>
      <c r="D4351" s="448" t="s">
        <v>135</v>
      </c>
      <c r="E4351" s="273">
        <v>0</v>
      </c>
      <c r="F4351" s="274"/>
      <c r="G4351" s="274">
        <f t="shared" si="17"/>
        <v>0</v>
      </c>
      <c r="H4351" s="274">
        <v>0</v>
      </c>
      <c r="K4351" s="274"/>
    </row>
    <row r="4352" spans="2:11" ht="13.5" customHeight="1">
      <c r="B4352" s="209" t="s">
        <v>1323</v>
      </c>
      <c r="C4352" s="209" t="s">
        <v>3033</v>
      </c>
      <c r="D4352" s="449" t="s">
        <v>136</v>
      </c>
      <c r="E4352" s="273">
        <v>0</v>
      </c>
      <c r="F4352" s="274"/>
      <c r="G4352" s="274">
        <f t="shared" si="17"/>
        <v>0</v>
      </c>
      <c r="H4352" s="274">
        <v>0</v>
      </c>
      <c r="K4352" s="274"/>
    </row>
    <row r="4353" spans="2:11" ht="13.5" customHeight="1">
      <c r="B4353" s="209" t="s">
        <v>1323</v>
      </c>
      <c r="C4353" s="209" t="s">
        <v>3033</v>
      </c>
      <c r="D4353" s="450" t="s">
        <v>137</v>
      </c>
      <c r="E4353" s="273">
        <v>0</v>
      </c>
      <c r="F4353" s="274"/>
      <c r="G4353" s="274">
        <f t="shared" si="17"/>
        <v>0</v>
      </c>
      <c r="H4353" s="274">
        <v>0</v>
      </c>
      <c r="K4353" s="274"/>
    </row>
    <row r="4354" spans="2:11" ht="13.5" customHeight="1">
      <c r="B4354" s="209" t="s">
        <v>1323</v>
      </c>
      <c r="C4354" s="209" t="s">
        <v>3033</v>
      </c>
      <c r="D4354" s="451" t="s">
        <v>138</v>
      </c>
      <c r="E4354" s="273">
        <v>0</v>
      </c>
      <c r="F4354" s="274"/>
      <c r="G4354" s="274">
        <f t="shared" si="17"/>
        <v>0</v>
      </c>
      <c r="H4354" s="274">
        <v>0</v>
      </c>
      <c r="K4354" s="274"/>
    </row>
    <row r="4355" spans="2:11" ht="13.5" customHeight="1">
      <c r="B4355" s="209" t="s">
        <v>1323</v>
      </c>
      <c r="C4355" s="209" t="s">
        <v>3033</v>
      </c>
      <c r="D4355" s="452" t="s">
        <v>139</v>
      </c>
      <c r="E4355" s="273">
        <v>0</v>
      </c>
      <c r="F4355" s="274"/>
      <c r="G4355" s="274">
        <f t="shared" si="17"/>
        <v>0</v>
      </c>
      <c r="H4355" s="274">
        <v>0</v>
      </c>
      <c r="K4355" s="274"/>
    </row>
    <row r="4356" spans="2:11" ht="13.5" customHeight="1">
      <c r="B4356" s="209" t="s">
        <v>1323</v>
      </c>
      <c r="C4356" s="209" t="s">
        <v>3033</v>
      </c>
      <c r="D4356" s="216" t="s">
        <v>140</v>
      </c>
      <c r="E4356" s="273">
        <v>0</v>
      </c>
      <c r="F4356" s="274"/>
      <c r="G4356" s="274">
        <f t="shared" si="17"/>
        <v>0</v>
      </c>
      <c r="H4356" s="274">
        <v>0</v>
      </c>
      <c r="K4356" s="274"/>
    </row>
    <row r="4357" spans="2:11" ht="13.5" customHeight="1">
      <c r="B4357" s="209" t="s">
        <v>1323</v>
      </c>
      <c r="C4357" s="209" t="s">
        <v>3033</v>
      </c>
      <c r="D4357" s="453" t="s">
        <v>141</v>
      </c>
      <c r="E4357" s="273">
        <v>0</v>
      </c>
      <c r="F4357" s="274"/>
      <c r="G4357" s="274">
        <f t="shared" si="17"/>
        <v>0</v>
      </c>
      <c r="H4357" s="274">
        <v>0</v>
      </c>
      <c r="K4357" s="274"/>
    </row>
    <row r="4358" spans="2:11" ht="13.5" customHeight="1">
      <c r="B4358" s="209" t="s">
        <v>1325</v>
      </c>
      <c r="C4358" s="209" t="s">
        <v>3034</v>
      </c>
      <c r="D4358" s="446" t="s">
        <v>133</v>
      </c>
      <c r="E4358" s="273">
        <v>0</v>
      </c>
      <c r="F4358" s="274"/>
      <c r="G4358" s="274">
        <f t="shared" si="17"/>
        <v>0</v>
      </c>
      <c r="H4358" s="274">
        <v>0</v>
      </c>
      <c r="K4358" s="274"/>
    </row>
    <row r="4359" spans="2:11" ht="13.5" customHeight="1">
      <c r="B4359" s="209" t="s">
        <v>1325</v>
      </c>
      <c r="C4359" s="209" t="s">
        <v>3034</v>
      </c>
      <c r="D4359" s="447" t="s">
        <v>134</v>
      </c>
      <c r="E4359" s="273">
        <v>0</v>
      </c>
      <c r="F4359" s="274"/>
      <c r="G4359" s="274">
        <f t="shared" si="17"/>
        <v>0</v>
      </c>
      <c r="H4359" s="274">
        <v>0</v>
      </c>
      <c r="K4359" s="274"/>
    </row>
    <row r="4360" spans="2:11" ht="13.5" customHeight="1">
      <c r="B4360" s="209" t="s">
        <v>1325</v>
      </c>
      <c r="C4360" s="209" t="s">
        <v>3034</v>
      </c>
      <c r="D4360" s="448" t="s">
        <v>135</v>
      </c>
      <c r="E4360" s="273">
        <v>0</v>
      </c>
      <c r="F4360" s="274"/>
      <c r="G4360" s="274">
        <f t="shared" si="17"/>
        <v>0</v>
      </c>
      <c r="H4360" s="274">
        <v>0</v>
      </c>
      <c r="K4360" s="274"/>
    </row>
    <row r="4361" spans="2:11" ht="13.5" customHeight="1">
      <c r="B4361" s="209" t="s">
        <v>1325</v>
      </c>
      <c r="C4361" s="209" t="s">
        <v>3034</v>
      </c>
      <c r="D4361" s="449" t="s">
        <v>136</v>
      </c>
      <c r="E4361" s="273">
        <v>0</v>
      </c>
      <c r="F4361" s="274"/>
      <c r="G4361" s="274">
        <f t="shared" si="17"/>
        <v>0</v>
      </c>
      <c r="H4361" s="274">
        <v>0</v>
      </c>
      <c r="K4361" s="274"/>
    </row>
    <row r="4362" spans="2:11" ht="13.5" customHeight="1">
      <c r="B4362" s="209" t="s">
        <v>1325</v>
      </c>
      <c r="C4362" s="209" t="s">
        <v>3034</v>
      </c>
      <c r="D4362" s="450" t="s">
        <v>137</v>
      </c>
      <c r="E4362" s="273">
        <v>0</v>
      </c>
      <c r="F4362" s="274"/>
      <c r="G4362" s="274">
        <f t="shared" si="17"/>
        <v>0</v>
      </c>
      <c r="H4362" s="274">
        <v>0</v>
      </c>
      <c r="K4362" s="274"/>
    </row>
    <row r="4363" spans="2:11" ht="13.5" customHeight="1">
      <c r="B4363" s="209" t="s">
        <v>1325</v>
      </c>
      <c r="C4363" s="209" t="s">
        <v>3034</v>
      </c>
      <c r="D4363" s="451" t="s">
        <v>138</v>
      </c>
      <c r="E4363" s="273">
        <v>0</v>
      </c>
      <c r="F4363" s="274"/>
      <c r="G4363" s="274">
        <f t="shared" si="17"/>
        <v>0</v>
      </c>
      <c r="H4363" s="274">
        <v>0</v>
      </c>
      <c r="K4363" s="274"/>
    </row>
    <row r="4364" spans="2:11" ht="13.5" customHeight="1">
      <c r="B4364" s="209" t="s">
        <v>1325</v>
      </c>
      <c r="C4364" s="209" t="s">
        <v>3034</v>
      </c>
      <c r="D4364" s="452" t="s">
        <v>139</v>
      </c>
      <c r="E4364" s="273">
        <v>0</v>
      </c>
      <c r="F4364" s="274"/>
      <c r="G4364" s="274">
        <f t="shared" si="17"/>
        <v>0</v>
      </c>
      <c r="H4364" s="274">
        <v>0</v>
      </c>
      <c r="K4364" s="274"/>
    </row>
    <row r="4365" spans="2:11" ht="13.5" customHeight="1">
      <c r="B4365" s="209" t="s">
        <v>1325</v>
      </c>
      <c r="C4365" s="209" t="s">
        <v>3034</v>
      </c>
      <c r="D4365" s="216" t="s">
        <v>140</v>
      </c>
      <c r="E4365" s="273">
        <v>0</v>
      </c>
      <c r="F4365" s="274"/>
      <c r="G4365" s="274">
        <f t="shared" si="17"/>
        <v>0</v>
      </c>
      <c r="H4365" s="274">
        <v>0</v>
      </c>
      <c r="K4365" s="274"/>
    </row>
    <row r="4366" spans="2:11" ht="13.5" customHeight="1">
      <c r="B4366" s="209" t="s">
        <v>1325</v>
      </c>
      <c r="C4366" s="209" t="s">
        <v>3034</v>
      </c>
      <c r="D4366" s="453" t="s">
        <v>141</v>
      </c>
      <c r="E4366" s="273">
        <v>0</v>
      </c>
      <c r="F4366" s="274"/>
      <c r="G4366" s="274">
        <f t="shared" si="17"/>
        <v>0</v>
      </c>
      <c r="H4366" s="274">
        <v>0</v>
      </c>
      <c r="K4366" s="274"/>
    </row>
    <row r="4367" spans="2:11" ht="13.5" customHeight="1">
      <c r="B4367" s="209" t="s">
        <v>1327</v>
      </c>
      <c r="C4367" s="209" t="s">
        <v>3035</v>
      </c>
      <c r="D4367" s="446" t="s">
        <v>133</v>
      </c>
      <c r="E4367" s="273">
        <v>0</v>
      </c>
      <c r="F4367" s="274"/>
      <c r="G4367" s="274">
        <f t="shared" si="17"/>
        <v>0</v>
      </c>
      <c r="H4367" s="274">
        <v>0</v>
      </c>
      <c r="K4367" s="274"/>
    </row>
    <row r="4368" spans="2:11" ht="13.5" customHeight="1">
      <c r="B4368" s="209" t="s">
        <v>1327</v>
      </c>
      <c r="C4368" s="209" t="s">
        <v>3035</v>
      </c>
      <c r="D4368" s="447" t="s">
        <v>134</v>
      </c>
      <c r="E4368" s="273">
        <v>0</v>
      </c>
      <c r="F4368" s="274"/>
      <c r="G4368" s="274">
        <f t="shared" si="17"/>
        <v>0</v>
      </c>
      <c r="H4368" s="274">
        <v>0</v>
      </c>
      <c r="K4368" s="274"/>
    </row>
    <row r="4369" spans="2:11" ht="13.5" customHeight="1">
      <c r="B4369" s="209" t="s">
        <v>1327</v>
      </c>
      <c r="C4369" s="209" t="s">
        <v>3035</v>
      </c>
      <c r="D4369" s="448" t="s">
        <v>135</v>
      </c>
      <c r="E4369" s="273">
        <v>0</v>
      </c>
      <c r="F4369" s="274"/>
      <c r="G4369" s="274">
        <f t="shared" si="17"/>
        <v>0</v>
      </c>
      <c r="H4369" s="274">
        <v>0</v>
      </c>
      <c r="K4369" s="274"/>
    </row>
    <row r="4370" spans="2:11" ht="13.5" customHeight="1">
      <c r="B4370" s="209" t="s">
        <v>1327</v>
      </c>
      <c r="C4370" s="209" t="s">
        <v>3035</v>
      </c>
      <c r="D4370" s="449" t="s">
        <v>136</v>
      </c>
      <c r="E4370" s="273">
        <v>0</v>
      </c>
      <c r="F4370" s="274"/>
      <c r="G4370" s="274">
        <f t="shared" si="17"/>
        <v>0</v>
      </c>
      <c r="H4370" s="274">
        <v>0</v>
      </c>
      <c r="K4370" s="274"/>
    </row>
    <row r="4371" spans="2:11" ht="13.5" customHeight="1">
      <c r="B4371" s="209" t="s">
        <v>1327</v>
      </c>
      <c r="C4371" s="209" t="s">
        <v>3035</v>
      </c>
      <c r="D4371" s="450" t="s">
        <v>137</v>
      </c>
      <c r="E4371" s="273">
        <v>0</v>
      </c>
      <c r="F4371" s="274"/>
      <c r="G4371" s="274">
        <f t="shared" si="17"/>
        <v>0</v>
      </c>
      <c r="H4371" s="274">
        <v>0</v>
      </c>
      <c r="K4371" s="274"/>
    </row>
    <row r="4372" spans="2:11" ht="13.5" customHeight="1">
      <c r="B4372" s="209" t="s">
        <v>1327</v>
      </c>
      <c r="C4372" s="209" t="s">
        <v>3035</v>
      </c>
      <c r="D4372" s="451" t="s">
        <v>138</v>
      </c>
      <c r="E4372" s="273">
        <v>0</v>
      </c>
      <c r="F4372" s="274"/>
      <c r="G4372" s="274">
        <f t="shared" si="17"/>
        <v>0</v>
      </c>
      <c r="H4372" s="274">
        <v>0</v>
      </c>
      <c r="K4372" s="274"/>
    </row>
    <row r="4373" spans="2:11" ht="13.5" customHeight="1">
      <c r="B4373" s="209" t="s">
        <v>1327</v>
      </c>
      <c r="C4373" s="209" t="s">
        <v>3035</v>
      </c>
      <c r="D4373" s="452" t="s">
        <v>139</v>
      </c>
      <c r="E4373" s="273">
        <v>0</v>
      </c>
      <c r="F4373" s="274"/>
      <c r="G4373" s="274">
        <f t="shared" si="17"/>
        <v>0</v>
      </c>
      <c r="H4373" s="274">
        <v>0</v>
      </c>
      <c r="K4373" s="274"/>
    </row>
    <row r="4374" spans="2:11" ht="13.5" customHeight="1">
      <c r="B4374" s="209" t="s">
        <v>1327</v>
      </c>
      <c r="C4374" s="209" t="s">
        <v>3035</v>
      </c>
      <c r="D4374" s="216" t="s">
        <v>140</v>
      </c>
      <c r="E4374" s="273">
        <v>0</v>
      </c>
      <c r="F4374" s="274"/>
      <c r="G4374" s="274">
        <f t="shared" si="17"/>
        <v>0</v>
      </c>
      <c r="H4374" s="274">
        <v>0</v>
      </c>
      <c r="K4374" s="274"/>
    </row>
    <row r="4375" spans="2:11" ht="13.5" customHeight="1">
      <c r="B4375" s="209" t="s">
        <v>1327</v>
      </c>
      <c r="C4375" s="209" t="s">
        <v>3035</v>
      </c>
      <c r="D4375" s="453" t="s">
        <v>141</v>
      </c>
      <c r="E4375" s="273">
        <v>0</v>
      </c>
      <c r="F4375" s="274"/>
      <c r="G4375" s="274">
        <f t="shared" si="17"/>
        <v>0</v>
      </c>
      <c r="H4375" s="274">
        <v>0</v>
      </c>
      <c r="K4375" s="274"/>
    </row>
    <row r="4376" spans="2:11" ht="13.5" customHeight="1">
      <c r="B4376" s="209" t="s">
        <v>1317</v>
      </c>
      <c r="C4376" s="209" t="s">
        <v>3036</v>
      </c>
      <c r="D4376" s="446" t="s">
        <v>133</v>
      </c>
      <c r="E4376" s="273">
        <v>0</v>
      </c>
      <c r="F4376" s="274"/>
      <c r="G4376" s="274">
        <f t="shared" si="17"/>
        <v>0</v>
      </c>
      <c r="H4376" s="274">
        <v>0</v>
      </c>
      <c r="K4376" s="274"/>
    </row>
    <row r="4377" spans="2:11" ht="13.5" customHeight="1">
      <c r="B4377" s="209" t="s">
        <v>1317</v>
      </c>
      <c r="C4377" s="209" t="s">
        <v>3036</v>
      </c>
      <c r="D4377" s="447" t="s">
        <v>134</v>
      </c>
      <c r="E4377" s="273">
        <v>0</v>
      </c>
      <c r="F4377" s="274"/>
      <c r="G4377" s="274">
        <f t="shared" si="17"/>
        <v>0</v>
      </c>
      <c r="H4377" s="274">
        <v>0</v>
      </c>
      <c r="K4377" s="274"/>
    </row>
    <row r="4378" spans="2:11" ht="13.5" customHeight="1">
      <c r="B4378" s="209" t="s">
        <v>1317</v>
      </c>
      <c r="C4378" s="209" t="s">
        <v>3036</v>
      </c>
      <c r="D4378" s="448" t="s">
        <v>135</v>
      </c>
      <c r="E4378" s="273">
        <v>0</v>
      </c>
      <c r="F4378" s="274"/>
      <c r="G4378" s="274">
        <f t="shared" si="17"/>
        <v>0</v>
      </c>
      <c r="H4378" s="274">
        <v>0</v>
      </c>
      <c r="K4378" s="274"/>
    </row>
    <row r="4379" spans="2:11" ht="13.5" customHeight="1">
      <c r="B4379" s="209" t="s">
        <v>1317</v>
      </c>
      <c r="C4379" s="209" t="s">
        <v>3036</v>
      </c>
      <c r="D4379" s="449" t="s">
        <v>136</v>
      </c>
      <c r="E4379" s="273">
        <v>0</v>
      </c>
      <c r="F4379" s="274"/>
      <c r="G4379" s="274">
        <f t="shared" si="17"/>
        <v>0</v>
      </c>
      <c r="H4379" s="274">
        <v>0</v>
      </c>
      <c r="K4379" s="274"/>
    </row>
    <row r="4380" spans="2:11" ht="13.5" customHeight="1">
      <c r="B4380" s="209" t="s">
        <v>1317</v>
      </c>
      <c r="C4380" s="209" t="s">
        <v>3036</v>
      </c>
      <c r="D4380" s="450" t="s">
        <v>137</v>
      </c>
      <c r="E4380" s="273">
        <v>0</v>
      </c>
      <c r="F4380" s="274"/>
      <c r="G4380" s="274">
        <f t="shared" si="17"/>
        <v>0</v>
      </c>
      <c r="H4380" s="274">
        <v>0</v>
      </c>
      <c r="K4380" s="274"/>
    </row>
    <row r="4381" spans="2:11" ht="13.5" customHeight="1">
      <c r="B4381" s="209" t="s">
        <v>1317</v>
      </c>
      <c r="C4381" s="209" t="s">
        <v>3036</v>
      </c>
      <c r="D4381" s="451" t="s">
        <v>138</v>
      </c>
      <c r="E4381" s="273">
        <v>0</v>
      </c>
      <c r="F4381" s="274"/>
      <c r="G4381" s="274">
        <f t="shared" si="17"/>
        <v>0</v>
      </c>
      <c r="H4381" s="274">
        <v>0</v>
      </c>
      <c r="K4381" s="274"/>
    </row>
    <row r="4382" spans="2:11" ht="13.5" customHeight="1">
      <c r="B4382" s="209" t="s">
        <v>1317</v>
      </c>
      <c r="C4382" s="209" t="s">
        <v>3036</v>
      </c>
      <c r="D4382" s="452" t="s">
        <v>139</v>
      </c>
      <c r="E4382" s="273">
        <v>0</v>
      </c>
      <c r="F4382" s="274"/>
      <c r="G4382" s="274">
        <f t="shared" si="17"/>
        <v>0</v>
      </c>
      <c r="H4382" s="274">
        <v>0</v>
      </c>
      <c r="K4382" s="274"/>
    </row>
    <row r="4383" spans="2:11" ht="13.5" customHeight="1">
      <c r="B4383" s="209" t="s">
        <v>1317</v>
      </c>
      <c r="C4383" s="209" t="s">
        <v>3036</v>
      </c>
      <c r="D4383" s="216" t="s">
        <v>140</v>
      </c>
      <c r="E4383" s="273">
        <v>0</v>
      </c>
      <c r="F4383" s="274"/>
      <c r="G4383" s="274">
        <f t="shared" si="17"/>
        <v>0</v>
      </c>
      <c r="H4383" s="274">
        <v>0</v>
      </c>
      <c r="K4383" s="274"/>
    </row>
    <row r="4384" spans="2:11" ht="13.5" customHeight="1">
      <c r="B4384" s="209" t="s">
        <v>1317</v>
      </c>
      <c r="C4384" s="209" t="s">
        <v>3036</v>
      </c>
      <c r="D4384" s="453" t="s">
        <v>141</v>
      </c>
      <c r="E4384" s="273">
        <v>0</v>
      </c>
      <c r="F4384" s="274"/>
      <c r="G4384" s="274">
        <f t="shared" si="17"/>
        <v>0</v>
      </c>
      <c r="H4384" s="274">
        <v>0</v>
      </c>
      <c r="K4384" s="274"/>
    </row>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1000"/>
  <sheetViews>
    <sheetView workbookViewId="0">
      <pane xSplit="1" topLeftCell="B1" activePane="topRight" state="frozen"/>
      <selection pane="topRight" activeCell="C2" sqref="C2"/>
    </sheetView>
  </sheetViews>
  <sheetFormatPr baseColWidth="10" defaultColWidth="11.1640625" defaultRowHeight="15" customHeight="1"/>
  <cols>
    <col min="1" max="1" width="13" hidden="1" customWidth="1"/>
    <col min="2" max="2" width="13.83203125" customWidth="1"/>
    <col min="3" max="3" width="48" customWidth="1"/>
    <col min="4" max="4" width="10.1640625" customWidth="1"/>
    <col min="5" max="5" width="8" customWidth="1"/>
    <col min="6" max="7" width="9" customWidth="1"/>
    <col min="8" max="8" width="12.1640625" customWidth="1"/>
    <col min="9" max="9" width="8.6640625" customWidth="1"/>
    <col min="10" max="10" width="6.6640625" customWidth="1"/>
    <col min="11" max="11" width="8.83203125" customWidth="1"/>
    <col min="12" max="13" width="13.33203125" customWidth="1"/>
    <col min="14" max="14" width="11.6640625" customWidth="1"/>
    <col min="15" max="17" width="8.83203125" customWidth="1"/>
    <col min="18" max="18" width="11.33203125" customWidth="1"/>
    <col min="19" max="26" width="8.83203125" customWidth="1"/>
  </cols>
  <sheetData>
    <row r="1" spans="2:19" ht="13.5" customHeight="1">
      <c r="B1" s="1" t="s">
        <v>129</v>
      </c>
      <c r="C1" s="1" t="s">
        <v>2365</v>
      </c>
      <c r="D1" s="1" t="s">
        <v>2366</v>
      </c>
      <c r="E1" s="273" t="s">
        <v>2367</v>
      </c>
      <c r="F1" s="274" t="s">
        <v>2295</v>
      </c>
      <c r="G1" s="274" t="s">
        <v>2368</v>
      </c>
      <c r="H1" s="274" t="s">
        <v>3263</v>
      </c>
      <c r="I1" s="1" t="s">
        <v>2370</v>
      </c>
      <c r="J1" s="1" t="s">
        <v>2371</v>
      </c>
      <c r="M1" s="404" t="s">
        <v>2372</v>
      </c>
      <c r="N1" s="405" t="e">
        <f ca="1">SUM(G2:G469)</f>
        <v>#NAME?</v>
      </c>
      <c r="R1" s="1" t="s">
        <v>2373</v>
      </c>
      <c r="S1" s="1" t="s">
        <v>2374</v>
      </c>
    </row>
    <row r="2" spans="2:19" ht="13.5" customHeight="1">
      <c r="B2" s="209" t="s">
        <v>2231</v>
      </c>
      <c r="C2" s="209" t="s">
        <v>3555</v>
      </c>
      <c r="D2" s="406" t="str">
        <f>'Kilter Holds'!T36</f>
        <v>11-12</v>
      </c>
      <c r="E2" s="273" t="e">
        <f ca="1">_xludf.IFNA(VLOOKUP('Comp X - UP'!B2,'Urban Plastix Holds'!$I$37:$U$705,5,0),0)</f>
        <v>#NAME?</v>
      </c>
      <c r="F2" s="274"/>
      <c r="G2" s="274" t="e">
        <f t="shared" ref="G2:G256" ca="1" si="0">E2*F2</f>
        <v>#NAME?</v>
      </c>
      <c r="H2" s="274">
        <f t="shared" ref="H2:H256" si="1">IF($S$11="Y",G2*0.15,0)</f>
        <v>0</v>
      </c>
      <c r="M2" s="17" t="s">
        <v>1251</v>
      </c>
      <c r="N2" s="407">
        <v>0</v>
      </c>
      <c r="R2" s="406" t="str">
        <f>'Kilter Holds'!T36</f>
        <v>11-12</v>
      </c>
      <c r="S2" s="1" t="s">
        <v>2376</v>
      </c>
    </row>
    <row r="3" spans="2:19" ht="13.5" customHeight="1">
      <c r="B3" s="209" t="s">
        <v>2231</v>
      </c>
      <c r="C3" s="209" t="s">
        <v>3555</v>
      </c>
      <c r="D3" s="408" t="str">
        <f>'Kilter Holds'!U36</f>
        <v>14-01</v>
      </c>
      <c r="E3" s="273" t="e">
        <f ca="1">_xludf.IFNA(VLOOKUP('Comp X - UP'!B3,'Urban Plastix Holds'!$I$37:$U$705,6,0),0)</f>
        <v>#NAME?</v>
      </c>
      <c r="F3" s="274"/>
      <c r="G3" s="274" t="e">
        <f t="shared" ca="1" si="0"/>
        <v>#NAME?</v>
      </c>
      <c r="H3" s="274">
        <f t="shared" si="1"/>
        <v>0</v>
      </c>
      <c r="M3" s="17" t="s">
        <v>3263</v>
      </c>
      <c r="N3" s="407">
        <f>SUM(H2:H469)</f>
        <v>0</v>
      </c>
      <c r="R3" s="408" t="str">
        <f>'Kilter Holds'!U36</f>
        <v>14-01</v>
      </c>
      <c r="S3" s="1" t="s">
        <v>2376</v>
      </c>
    </row>
    <row r="4" spans="2:19" ht="13.5" customHeight="1">
      <c r="B4" s="209" t="s">
        <v>2231</v>
      </c>
      <c r="C4" s="209" t="s">
        <v>3555</v>
      </c>
      <c r="D4" s="409" t="str">
        <f>'Kilter Holds'!V36</f>
        <v>15-12</v>
      </c>
      <c r="E4" s="273" t="e">
        <f ca="1">_xludf.IFNA(VLOOKUP('Comp X - UP'!B4,'Urban Plastix Holds'!$I$37:$U$705,7,0),0)</f>
        <v>#NAME?</v>
      </c>
      <c r="F4" s="274"/>
      <c r="G4" s="274" t="e">
        <f t="shared" ca="1" si="0"/>
        <v>#NAME?</v>
      </c>
      <c r="H4" s="274">
        <f t="shared" si="1"/>
        <v>0</v>
      </c>
      <c r="M4" s="17" t="s">
        <v>2377</v>
      </c>
      <c r="N4" s="407">
        <v>0</v>
      </c>
      <c r="R4" s="409" t="str">
        <f>'Kilter Holds'!V36</f>
        <v>15-12</v>
      </c>
      <c r="S4" s="1" t="s">
        <v>2376</v>
      </c>
    </row>
    <row r="5" spans="2:19" ht="13.5" customHeight="1">
      <c r="B5" s="209" t="s">
        <v>2231</v>
      </c>
      <c r="C5" s="209" t="s">
        <v>3555</v>
      </c>
      <c r="D5" s="410" t="str">
        <f>'Kilter Holds'!W36</f>
        <v>16-16</v>
      </c>
      <c r="E5" s="273" t="e">
        <f ca="1">_xludf.IFNA(VLOOKUP('Comp X - UP'!B5,'Urban Plastix Holds'!$I$37:$U$705,8,0),0)</f>
        <v>#NAME?</v>
      </c>
      <c r="F5" s="274"/>
      <c r="G5" s="274" t="e">
        <f t="shared" ca="1" si="0"/>
        <v>#NAME?</v>
      </c>
      <c r="H5" s="274">
        <f t="shared" si="1"/>
        <v>0</v>
      </c>
      <c r="M5" s="17" t="s">
        <v>6</v>
      </c>
      <c r="N5" s="407">
        <f>'Kilter Holds'!AC688</f>
        <v>0</v>
      </c>
      <c r="R5" s="410" t="str">
        <f>'Kilter Holds'!W36</f>
        <v>16-16</v>
      </c>
      <c r="S5" s="1" t="s">
        <v>2376</v>
      </c>
    </row>
    <row r="6" spans="2:19" ht="13.5" customHeight="1">
      <c r="B6" s="209" t="s">
        <v>2231</v>
      </c>
      <c r="C6" s="209" t="s">
        <v>3555</v>
      </c>
      <c r="D6" s="411" t="str">
        <f>'Kilter Holds'!X36</f>
        <v>13-01</v>
      </c>
      <c r="E6" s="273" t="e">
        <f ca="1">_xludf.IFNA(VLOOKUP('Comp X - UP'!B6,'Urban Plastix Holds'!$I$37:$U$705,9,0),0)</f>
        <v>#NAME?</v>
      </c>
      <c r="F6" s="274"/>
      <c r="G6" s="274" t="e">
        <f t="shared" ca="1" si="0"/>
        <v>#NAME?</v>
      </c>
      <c r="H6" s="274">
        <f t="shared" si="1"/>
        <v>0</v>
      </c>
      <c r="M6" s="17" t="s">
        <v>2378</v>
      </c>
      <c r="N6" s="407">
        <f>'Kilter Holds'!AC689</f>
        <v>0</v>
      </c>
      <c r="R6" s="411" t="str">
        <f>'Kilter Holds'!X36</f>
        <v>13-01</v>
      </c>
      <c r="S6" s="1" t="s">
        <v>2376</v>
      </c>
    </row>
    <row r="7" spans="2:19" ht="13.5" customHeight="1">
      <c r="B7" s="209" t="s">
        <v>2231</v>
      </c>
      <c r="C7" s="209" t="s">
        <v>3555</v>
      </c>
      <c r="D7" s="413" t="str">
        <f>'Kilter Holds'!Y36</f>
        <v>07-13</v>
      </c>
      <c r="E7" s="273" t="e">
        <f ca="1">_xludf.IFNA(VLOOKUP('Comp X - UP'!B7,'Urban Plastix Holds'!$I$37:$U$705,10,0),0)</f>
        <v>#NAME?</v>
      </c>
      <c r="F7" s="274"/>
      <c r="G7" s="274" t="e">
        <f t="shared" ca="1" si="0"/>
        <v>#NAME?</v>
      </c>
      <c r="H7" s="274">
        <f t="shared" si="1"/>
        <v>0</v>
      </c>
      <c r="M7" s="35" t="s">
        <v>15</v>
      </c>
      <c r="N7" s="412" t="e">
        <f ca="1">SUM(N1:N6)</f>
        <v>#NAME?</v>
      </c>
      <c r="R7" s="413" t="str">
        <f>'Kilter Holds'!Y36</f>
        <v>07-13</v>
      </c>
      <c r="S7" s="1" t="s">
        <v>2376</v>
      </c>
    </row>
    <row r="8" spans="2:19" ht="13.5" customHeight="1">
      <c r="B8" s="209" t="s">
        <v>2231</v>
      </c>
      <c r="C8" s="209" t="s">
        <v>3555</v>
      </c>
      <c r="D8" s="414" t="str">
        <f>'Kilter Holds'!Z36</f>
        <v>11-26</v>
      </c>
      <c r="E8" s="273" t="e">
        <f ca="1">_xludf.IFNA(VLOOKUP('Comp X - UP'!B8,'Urban Plastix Holds'!$I$37:$U$705,11,0),0)</f>
        <v>#NAME?</v>
      </c>
      <c r="F8" s="274"/>
      <c r="G8" s="274" t="e">
        <f t="shared" ca="1" si="0"/>
        <v>#NAME?</v>
      </c>
      <c r="H8" s="274">
        <f t="shared" si="1"/>
        <v>0</v>
      </c>
      <c r="R8" s="414" t="str">
        <f>'Kilter Holds'!Z36</f>
        <v>11-26</v>
      </c>
      <c r="S8" s="1" t="s">
        <v>2376</v>
      </c>
    </row>
    <row r="9" spans="2:19" ht="13.5" customHeight="1">
      <c r="B9" s="209" t="s">
        <v>2231</v>
      </c>
      <c r="C9" s="209" t="s">
        <v>3555</v>
      </c>
      <c r="D9" s="415" t="str">
        <f>'Kilter Holds'!AA36</f>
        <v>18-01</v>
      </c>
      <c r="E9" s="273" t="e">
        <f ca="1">_xludf.IFNA(VLOOKUP('Comp X - UP'!B9,'Urban Plastix Holds'!$I$37:$U$705,12,0),0)</f>
        <v>#NAME?</v>
      </c>
      <c r="F9" s="274"/>
      <c r="G9" s="274" t="e">
        <f t="shared" ca="1" si="0"/>
        <v>#NAME?</v>
      </c>
      <c r="H9" s="274">
        <f t="shared" si="1"/>
        <v>0</v>
      </c>
      <c r="R9" s="415" t="str">
        <f>'Kilter Holds'!AA36</f>
        <v>18-01</v>
      </c>
      <c r="S9" s="1" t="s">
        <v>2376</v>
      </c>
    </row>
    <row r="10" spans="2:19" ht="13.5" customHeight="1">
      <c r="B10" s="209" t="s">
        <v>2231</v>
      </c>
      <c r="C10" s="209" t="s">
        <v>3555</v>
      </c>
      <c r="D10" s="416" t="str">
        <f>'Kilter Holds'!AB36</f>
        <v>Color Code</v>
      </c>
      <c r="E10" s="273" t="e">
        <f ca="1">_xludf.IFNA(VLOOKUP('Comp X - UP'!B10,'Urban Plastix Holds'!$I$37:$U$705,13,0),0)</f>
        <v>#NAME?</v>
      </c>
      <c r="F10" s="274"/>
      <c r="G10" s="274" t="e">
        <f t="shared" ca="1" si="0"/>
        <v>#NAME?</v>
      </c>
      <c r="H10" s="274">
        <f t="shared" si="1"/>
        <v>0</v>
      </c>
      <c r="R10" s="416" t="str">
        <f>'Kilter Holds'!AB36</f>
        <v>Color Code</v>
      </c>
      <c r="S10" s="1" t="s">
        <v>2379</v>
      </c>
    </row>
    <row r="11" spans="2:19" ht="13.5" customHeight="1">
      <c r="B11" s="209" t="s">
        <v>2232</v>
      </c>
      <c r="C11" s="209" t="s">
        <v>3556</v>
      </c>
      <c r="D11" s="406" t="str">
        <f t="shared" ref="D11:D265" si="2">D2</f>
        <v>11-12</v>
      </c>
      <c r="E11" s="273" t="e">
        <f ca="1">_xludf.IFNA(VLOOKUP('Comp X - UP'!B11,'Urban Plastix Holds'!$I$37:$U$705,5,0),0)</f>
        <v>#NAME?</v>
      </c>
      <c r="F11" s="274"/>
      <c r="G11" s="274" t="e">
        <f t="shared" ca="1" si="0"/>
        <v>#NAME?</v>
      </c>
      <c r="H11" s="274">
        <f t="shared" si="1"/>
        <v>0</v>
      </c>
      <c r="R11" s="1" t="s">
        <v>3263</v>
      </c>
      <c r="S11" s="1" t="s">
        <v>2376</v>
      </c>
    </row>
    <row r="12" spans="2:19" ht="13.5" customHeight="1">
      <c r="B12" s="209" t="s">
        <v>2232</v>
      </c>
      <c r="C12" s="209" t="s">
        <v>3556</v>
      </c>
      <c r="D12" s="408" t="str">
        <f t="shared" si="2"/>
        <v>14-01</v>
      </c>
      <c r="E12" s="273" t="e">
        <f ca="1">_xludf.IFNA(VLOOKUP('Comp X - UP'!B12,'Urban Plastix Holds'!$I$37:$U$705,6,0),0)</f>
        <v>#NAME?</v>
      </c>
      <c r="F12" s="274"/>
      <c r="G12" s="274" t="e">
        <f t="shared" ca="1" si="0"/>
        <v>#NAME?</v>
      </c>
      <c r="H12" s="274">
        <f t="shared" si="1"/>
        <v>0</v>
      </c>
      <c r="S12" s="1"/>
    </row>
    <row r="13" spans="2:19" ht="13.5" customHeight="1">
      <c r="B13" s="209" t="s">
        <v>2232</v>
      </c>
      <c r="C13" s="209" t="s">
        <v>3556</v>
      </c>
      <c r="D13" s="409" t="str">
        <f t="shared" si="2"/>
        <v>15-12</v>
      </c>
      <c r="E13" s="273" t="e">
        <f ca="1">_xludf.IFNA(VLOOKUP('Comp X - UP'!B13,'Urban Plastix Holds'!$I$37:$U$705,7,0),0)</f>
        <v>#NAME?</v>
      </c>
      <c r="F13" s="274"/>
      <c r="G13" s="274" t="e">
        <f t="shared" ca="1" si="0"/>
        <v>#NAME?</v>
      </c>
      <c r="H13" s="274">
        <f t="shared" si="1"/>
        <v>0</v>
      </c>
    </row>
    <row r="14" spans="2:19" ht="13.5" customHeight="1">
      <c r="B14" s="209" t="s">
        <v>2232</v>
      </c>
      <c r="C14" s="209" t="s">
        <v>3556</v>
      </c>
      <c r="D14" s="410" t="str">
        <f t="shared" si="2"/>
        <v>16-16</v>
      </c>
      <c r="E14" s="273" t="e">
        <f ca="1">_xludf.IFNA(VLOOKUP('Comp X - UP'!B14,'Urban Plastix Holds'!$I$37:$U$705,8,0),0)</f>
        <v>#NAME?</v>
      </c>
      <c r="F14" s="274"/>
      <c r="G14" s="274" t="e">
        <f t="shared" ca="1" si="0"/>
        <v>#NAME?</v>
      </c>
      <c r="H14" s="274">
        <f t="shared" si="1"/>
        <v>0</v>
      </c>
    </row>
    <row r="15" spans="2:19" ht="13.5" customHeight="1">
      <c r="B15" s="209" t="s">
        <v>2232</v>
      </c>
      <c r="C15" s="209" t="s">
        <v>3556</v>
      </c>
      <c r="D15" s="411" t="str">
        <f t="shared" si="2"/>
        <v>13-01</v>
      </c>
      <c r="E15" s="273" t="e">
        <f ca="1">_xludf.IFNA(VLOOKUP('Comp X - UP'!B15,'Urban Plastix Holds'!$I$37:$U$705,9,0),0)</f>
        <v>#NAME?</v>
      </c>
      <c r="F15" s="274"/>
      <c r="G15" s="274" t="e">
        <f t="shared" ca="1" si="0"/>
        <v>#NAME?</v>
      </c>
      <c r="H15" s="274">
        <f t="shared" si="1"/>
        <v>0</v>
      </c>
    </row>
    <row r="16" spans="2:19" ht="13.5" customHeight="1">
      <c r="B16" s="209" t="s">
        <v>2232</v>
      </c>
      <c r="C16" s="209" t="s">
        <v>3556</v>
      </c>
      <c r="D16" s="413" t="str">
        <f t="shared" si="2"/>
        <v>07-13</v>
      </c>
      <c r="E16" s="273" t="e">
        <f ca="1">_xludf.IFNA(VLOOKUP('Comp X - UP'!B16,'Urban Plastix Holds'!$I$37:$U$705,10,0),0)</f>
        <v>#NAME?</v>
      </c>
      <c r="F16" s="274"/>
      <c r="G16" s="274" t="e">
        <f t="shared" ca="1" si="0"/>
        <v>#NAME?</v>
      </c>
      <c r="H16" s="274">
        <f t="shared" si="1"/>
        <v>0</v>
      </c>
    </row>
    <row r="17" spans="2:12" ht="13.5" customHeight="1">
      <c r="B17" s="209" t="s">
        <v>2232</v>
      </c>
      <c r="C17" s="209" t="s">
        <v>3556</v>
      </c>
      <c r="D17" s="414" t="str">
        <f t="shared" si="2"/>
        <v>11-26</v>
      </c>
      <c r="E17" s="273" t="e">
        <f ca="1">_xludf.IFNA(VLOOKUP('Comp X - UP'!B17,'Urban Plastix Holds'!$I$37:$U$705,11,0),0)</f>
        <v>#NAME?</v>
      </c>
      <c r="F17" s="274"/>
      <c r="G17" s="274" t="e">
        <f t="shared" ca="1" si="0"/>
        <v>#NAME?</v>
      </c>
      <c r="H17" s="274">
        <f t="shared" si="1"/>
        <v>0</v>
      </c>
    </row>
    <row r="18" spans="2:12" ht="13.5" customHeight="1">
      <c r="B18" s="209" t="s">
        <v>2232</v>
      </c>
      <c r="C18" s="209" t="s">
        <v>3556</v>
      </c>
      <c r="D18" s="415" t="str">
        <f t="shared" si="2"/>
        <v>18-01</v>
      </c>
      <c r="E18" s="273" t="e">
        <f ca="1">_xludf.IFNA(VLOOKUP('Comp X - UP'!B18,'Urban Plastix Holds'!$I$37:$U$705,12,0),0)</f>
        <v>#NAME?</v>
      </c>
      <c r="F18" s="274"/>
      <c r="G18" s="274" t="e">
        <f t="shared" ca="1" si="0"/>
        <v>#NAME?</v>
      </c>
      <c r="H18" s="274">
        <f t="shared" si="1"/>
        <v>0</v>
      </c>
    </row>
    <row r="19" spans="2:12" ht="13.5" customHeight="1">
      <c r="B19" s="209" t="s">
        <v>2232</v>
      </c>
      <c r="C19" s="209" t="s">
        <v>3556</v>
      </c>
      <c r="D19" s="416" t="str">
        <f t="shared" si="2"/>
        <v>Color Code</v>
      </c>
      <c r="E19" s="273" t="e">
        <f ca="1">_xludf.IFNA(VLOOKUP('Comp X - UP'!B19,'Urban Plastix Holds'!$I$37:$U$705,13,0),0)</f>
        <v>#NAME?</v>
      </c>
      <c r="F19" s="274"/>
      <c r="G19" s="274" t="e">
        <f t="shared" ca="1" si="0"/>
        <v>#NAME?</v>
      </c>
      <c r="H19" s="274">
        <f t="shared" si="1"/>
        <v>0</v>
      </c>
    </row>
    <row r="20" spans="2:12" ht="13.5" customHeight="1">
      <c r="B20" s="209" t="s">
        <v>2233</v>
      </c>
      <c r="C20" s="209" t="s">
        <v>3557</v>
      </c>
      <c r="D20" s="406" t="str">
        <f t="shared" si="2"/>
        <v>11-12</v>
      </c>
      <c r="E20" s="273" t="e">
        <f ca="1">_xludf.IFNA(VLOOKUP('Comp X - UP'!B20,'Urban Plastix Holds'!$I$37:$U$705,5,0),0)</f>
        <v>#NAME?</v>
      </c>
      <c r="F20" s="274"/>
      <c r="G20" s="274" t="e">
        <f t="shared" ca="1" si="0"/>
        <v>#NAME?</v>
      </c>
      <c r="H20" s="274">
        <f t="shared" si="1"/>
        <v>0</v>
      </c>
    </row>
    <row r="21" spans="2:12" ht="13.5" customHeight="1">
      <c r="B21" s="209" t="s">
        <v>2233</v>
      </c>
      <c r="C21" s="209" t="s">
        <v>3557</v>
      </c>
      <c r="D21" s="408" t="str">
        <f t="shared" si="2"/>
        <v>14-01</v>
      </c>
      <c r="E21" s="273" t="e">
        <f ca="1">_xludf.IFNA(VLOOKUP('Comp X - UP'!B21,'Urban Plastix Holds'!$I$37:$U$705,6,0),0)</f>
        <v>#NAME?</v>
      </c>
      <c r="F21" s="274"/>
      <c r="G21" s="274" t="e">
        <f t="shared" ca="1" si="0"/>
        <v>#NAME?</v>
      </c>
      <c r="H21" s="274">
        <f t="shared" si="1"/>
        <v>0</v>
      </c>
    </row>
    <row r="22" spans="2:12" ht="13.5" customHeight="1">
      <c r="B22" s="209" t="s">
        <v>2233</v>
      </c>
      <c r="C22" s="209" t="s">
        <v>3557</v>
      </c>
      <c r="D22" s="409" t="str">
        <f t="shared" si="2"/>
        <v>15-12</v>
      </c>
      <c r="E22" s="273" t="e">
        <f ca="1">_xludf.IFNA(VLOOKUP('Comp X - UP'!B22,'Urban Plastix Holds'!$I$37:$U$705,7,0),0)</f>
        <v>#NAME?</v>
      </c>
      <c r="F22" s="274"/>
      <c r="G22" s="274" t="e">
        <f t="shared" ca="1" si="0"/>
        <v>#NAME?</v>
      </c>
      <c r="H22" s="274">
        <f t="shared" si="1"/>
        <v>0</v>
      </c>
    </row>
    <row r="23" spans="2:12" ht="13.5" customHeight="1">
      <c r="B23" s="209" t="s">
        <v>2233</v>
      </c>
      <c r="C23" s="209" t="s">
        <v>3557</v>
      </c>
      <c r="D23" s="410" t="str">
        <f t="shared" si="2"/>
        <v>16-16</v>
      </c>
      <c r="E23" s="273" t="e">
        <f ca="1">_xludf.IFNA(VLOOKUP('Comp X - UP'!B23,'Urban Plastix Holds'!$I$37:$U$705,8,0),0)</f>
        <v>#NAME?</v>
      </c>
      <c r="F23" s="274"/>
      <c r="G23" s="274" t="e">
        <f t="shared" ca="1" si="0"/>
        <v>#NAME?</v>
      </c>
      <c r="H23" s="274">
        <f t="shared" si="1"/>
        <v>0</v>
      </c>
    </row>
    <row r="24" spans="2:12" ht="13.5" customHeight="1">
      <c r="B24" s="209" t="s">
        <v>2233</v>
      </c>
      <c r="C24" s="209" t="s">
        <v>3557</v>
      </c>
      <c r="D24" s="411" t="str">
        <f t="shared" si="2"/>
        <v>13-01</v>
      </c>
      <c r="E24" s="273" t="e">
        <f ca="1">_xludf.IFNA(VLOOKUP('Comp X - UP'!B24,'Urban Plastix Holds'!$I$37:$U$705,9,0),0)</f>
        <v>#NAME?</v>
      </c>
      <c r="F24" s="274"/>
      <c r="G24" s="274" t="e">
        <f t="shared" ca="1" si="0"/>
        <v>#NAME?</v>
      </c>
      <c r="H24" s="274">
        <f t="shared" si="1"/>
        <v>0</v>
      </c>
    </row>
    <row r="25" spans="2:12" ht="13.5" customHeight="1">
      <c r="B25" s="209" t="s">
        <v>2233</v>
      </c>
      <c r="C25" s="209" t="s">
        <v>3557</v>
      </c>
      <c r="D25" s="413" t="str">
        <f t="shared" si="2"/>
        <v>07-13</v>
      </c>
      <c r="E25" s="273" t="e">
        <f ca="1">_xludf.IFNA(VLOOKUP('Comp X - UP'!B25,'Urban Plastix Holds'!$I$37:$U$705,10,0),0)</f>
        <v>#NAME?</v>
      </c>
      <c r="F25" s="274"/>
      <c r="G25" s="274" t="e">
        <f t="shared" ca="1" si="0"/>
        <v>#NAME?</v>
      </c>
      <c r="H25" s="274">
        <f t="shared" si="1"/>
        <v>0</v>
      </c>
    </row>
    <row r="26" spans="2:12" ht="13.5" customHeight="1">
      <c r="B26" s="209" t="s">
        <v>2233</v>
      </c>
      <c r="C26" s="209" t="s">
        <v>3557</v>
      </c>
      <c r="D26" s="414" t="str">
        <f t="shared" si="2"/>
        <v>11-26</v>
      </c>
      <c r="E26" s="273" t="e">
        <f ca="1">_xludf.IFNA(VLOOKUP('Comp X - UP'!B26,'Urban Plastix Holds'!$I$37:$U$705,11,0),0)</f>
        <v>#NAME?</v>
      </c>
      <c r="F26" s="274"/>
      <c r="G26" s="274" t="e">
        <f t="shared" ca="1" si="0"/>
        <v>#NAME?</v>
      </c>
      <c r="H26" s="274">
        <f t="shared" si="1"/>
        <v>0</v>
      </c>
      <c r="K26" s="1"/>
      <c r="L26" s="1"/>
    </row>
    <row r="27" spans="2:12" ht="13.5" customHeight="1">
      <c r="B27" s="209" t="s">
        <v>2233</v>
      </c>
      <c r="C27" s="209" t="s">
        <v>3557</v>
      </c>
      <c r="D27" s="415" t="str">
        <f t="shared" si="2"/>
        <v>18-01</v>
      </c>
      <c r="E27" s="273" t="e">
        <f ca="1">_xludf.IFNA(VLOOKUP('Comp X - UP'!B27,'Urban Plastix Holds'!$I$37:$U$705,12,0),0)</f>
        <v>#NAME?</v>
      </c>
      <c r="F27" s="274"/>
      <c r="G27" s="274" t="e">
        <f t="shared" ca="1" si="0"/>
        <v>#NAME?</v>
      </c>
      <c r="H27" s="274">
        <f t="shared" si="1"/>
        <v>0</v>
      </c>
    </row>
    <row r="28" spans="2:12" ht="13.5" customHeight="1">
      <c r="B28" s="209" t="s">
        <v>2233</v>
      </c>
      <c r="C28" s="209" t="s">
        <v>3557</v>
      </c>
      <c r="D28" s="416" t="str">
        <f t="shared" si="2"/>
        <v>Color Code</v>
      </c>
      <c r="E28" s="273" t="e">
        <f ca="1">_xludf.IFNA(VLOOKUP('Comp X - UP'!B28,'Urban Plastix Holds'!$I$37:$U$705,13,0),0)</f>
        <v>#NAME?</v>
      </c>
      <c r="F28" s="274"/>
      <c r="G28" s="274" t="e">
        <f t="shared" ca="1" si="0"/>
        <v>#NAME?</v>
      </c>
      <c r="H28" s="274">
        <f t="shared" si="1"/>
        <v>0</v>
      </c>
    </row>
    <row r="29" spans="2:12" ht="13.5" customHeight="1">
      <c r="B29" s="209" t="s">
        <v>2234</v>
      </c>
      <c r="C29" s="209" t="s">
        <v>3558</v>
      </c>
      <c r="D29" s="406" t="str">
        <f t="shared" si="2"/>
        <v>11-12</v>
      </c>
      <c r="E29" s="273" t="e">
        <f ca="1">_xludf.IFNA(VLOOKUP('Comp X - UP'!B29,'Urban Plastix Holds'!$I$37:$U$705,5,0),0)</f>
        <v>#NAME?</v>
      </c>
      <c r="F29" s="274"/>
      <c r="G29" s="274" t="e">
        <f t="shared" ca="1" si="0"/>
        <v>#NAME?</v>
      </c>
      <c r="H29" s="274">
        <f t="shared" si="1"/>
        <v>0</v>
      </c>
    </row>
    <row r="30" spans="2:12" ht="13.5" customHeight="1">
      <c r="B30" s="209" t="s">
        <v>2234</v>
      </c>
      <c r="C30" s="209" t="s">
        <v>3558</v>
      </c>
      <c r="D30" s="408" t="str">
        <f t="shared" si="2"/>
        <v>14-01</v>
      </c>
      <c r="E30" s="273" t="e">
        <f ca="1">_xludf.IFNA(VLOOKUP('Comp X - UP'!B30,'Urban Plastix Holds'!$I$37:$U$705,6,0),0)</f>
        <v>#NAME?</v>
      </c>
      <c r="F30" s="274"/>
      <c r="G30" s="274" t="e">
        <f t="shared" ca="1" si="0"/>
        <v>#NAME?</v>
      </c>
      <c r="H30" s="274">
        <f t="shared" si="1"/>
        <v>0</v>
      </c>
    </row>
    <row r="31" spans="2:12" ht="13.5" customHeight="1">
      <c r="B31" s="209" t="s">
        <v>2234</v>
      </c>
      <c r="C31" s="209" t="s">
        <v>3558</v>
      </c>
      <c r="D31" s="409" t="str">
        <f t="shared" si="2"/>
        <v>15-12</v>
      </c>
      <c r="E31" s="273" t="e">
        <f ca="1">_xludf.IFNA(VLOOKUP('Comp X - UP'!B31,'Urban Plastix Holds'!$I$37:$U$705,7,0),0)</f>
        <v>#NAME?</v>
      </c>
      <c r="F31" s="274"/>
      <c r="G31" s="274" t="e">
        <f t="shared" ca="1" si="0"/>
        <v>#NAME?</v>
      </c>
      <c r="H31" s="274">
        <f t="shared" si="1"/>
        <v>0</v>
      </c>
    </row>
    <row r="32" spans="2:12" ht="13.5" customHeight="1">
      <c r="B32" s="209" t="s">
        <v>2234</v>
      </c>
      <c r="C32" s="209" t="s">
        <v>3558</v>
      </c>
      <c r="D32" s="410" t="str">
        <f t="shared" si="2"/>
        <v>16-16</v>
      </c>
      <c r="E32" s="273" t="e">
        <f ca="1">_xludf.IFNA(VLOOKUP('Comp X - UP'!B32,'Urban Plastix Holds'!$I$37:$U$705,8,0),0)</f>
        <v>#NAME?</v>
      </c>
      <c r="F32" s="274"/>
      <c r="G32" s="274" t="e">
        <f t="shared" ca="1" si="0"/>
        <v>#NAME?</v>
      </c>
      <c r="H32" s="274">
        <f t="shared" si="1"/>
        <v>0</v>
      </c>
    </row>
    <row r="33" spans="2:8" ht="13.5" customHeight="1">
      <c r="B33" s="209" t="s">
        <v>2234</v>
      </c>
      <c r="C33" s="209" t="s">
        <v>3558</v>
      </c>
      <c r="D33" s="411" t="str">
        <f t="shared" si="2"/>
        <v>13-01</v>
      </c>
      <c r="E33" s="273" t="e">
        <f ca="1">_xludf.IFNA(VLOOKUP('Comp X - UP'!B33,'Urban Plastix Holds'!$I$37:$U$705,9,0),0)</f>
        <v>#NAME?</v>
      </c>
      <c r="F33" s="274"/>
      <c r="G33" s="274" t="e">
        <f t="shared" ca="1" si="0"/>
        <v>#NAME?</v>
      </c>
      <c r="H33" s="274">
        <f t="shared" si="1"/>
        <v>0</v>
      </c>
    </row>
    <row r="34" spans="2:8" ht="13.5" customHeight="1">
      <c r="B34" s="209" t="s">
        <v>2234</v>
      </c>
      <c r="C34" s="209" t="s">
        <v>3558</v>
      </c>
      <c r="D34" s="413" t="str">
        <f t="shared" si="2"/>
        <v>07-13</v>
      </c>
      <c r="E34" s="273" t="e">
        <f ca="1">_xludf.IFNA(VLOOKUP('Comp X - UP'!B34,'Urban Plastix Holds'!$I$37:$U$705,10,0),0)</f>
        <v>#NAME?</v>
      </c>
      <c r="F34" s="274"/>
      <c r="G34" s="274" t="e">
        <f t="shared" ca="1" si="0"/>
        <v>#NAME?</v>
      </c>
      <c r="H34" s="274">
        <f t="shared" si="1"/>
        <v>0</v>
      </c>
    </row>
    <row r="35" spans="2:8" ht="13.5" customHeight="1">
      <c r="B35" s="209" t="s">
        <v>2234</v>
      </c>
      <c r="C35" s="209" t="s">
        <v>3558</v>
      </c>
      <c r="D35" s="414" t="str">
        <f t="shared" si="2"/>
        <v>11-26</v>
      </c>
      <c r="E35" s="273" t="e">
        <f ca="1">_xludf.IFNA(VLOOKUP('Comp X - UP'!B35,'Urban Plastix Holds'!$I$37:$U$705,11,0),0)</f>
        <v>#NAME?</v>
      </c>
      <c r="F35" s="274"/>
      <c r="G35" s="274" t="e">
        <f t="shared" ca="1" si="0"/>
        <v>#NAME?</v>
      </c>
      <c r="H35" s="274">
        <f t="shared" si="1"/>
        <v>0</v>
      </c>
    </row>
    <row r="36" spans="2:8" ht="13.5" customHeight="1">
      <c r="B36" s="209" t="s">
        <v>2234</v>
      </c>
      <c r="C36" s="209" t="s">
        <v>3558</v>
      </c>
      <c r="D36" s="415" t="str">
        <f t="shared" si="2"/>
        <v>18-01</v>
      </c>
      <c r="E36" s="273" t="e">
        <f ca="1">_xludf.IFNA(VLOOKUP('Comp X - UP'!B36,'Urban Plastix Holds'!$I$37:$U$705,12,0),0)</f>
        <v>#NAME?</v>
      </c>
      <c r="F36" s="274"/>
      <c r="G36" s="274" t="e">
        <f t="shared" ca="1" si="0"/>
        <v>#NAME?</v>
      </c>
      <c r="H36" s="274">
        <f t="shared" si="1"/>
        <v>0</v>
      </c>
    </row>
    <row r="37" spans="2:8" ht="13.5" customHeight="1">
      <c r="B37" s="209" t="s">
        <v>2234</v>
      </c>
      <c r="C37" s="209" t="s">
        <v>3558</v>
      </c>
      <c r="D37" s="416" t="str">
        <f t="shared" si="2"/>
        <v>Color Code</v>
      </c>
      <c r="E37" s="273" t="e">
        <f ca="1">_xludf.IFNA(VLOOKUP('Comp X - UP'!B37,'Urban Plastix Holds'!$I$37:$U$705,13,0),0)</f>
        <v>#NAME?</v>
      </c>
      <c r="F37" s="274"/>
      <c r="G37" s="274" t="e">
        <f t="shared" ca="1" si="0"/>
        <v>#NAME?</v>
      </c>
      <c r="H37" s="274">
        <f t="shared" si="1"/>
        <v>0</v>
      </c>
    </row>
    <row r="38" spans="2:8" ht="13.5" customHeight="1">
      <c r="B38" s="209" t="s">
        <v>2248</v>
      </c>
      <c r="C38" s="209" t="s">
        <v>3559</v>
      </c>
      <c r="D38" s="406" t="str">
        <f t="shared" si="2"/>
        <v>11-12</v>
      </c>
      <c r="E38" s="273" t="e">
        <f ca="1">_xludf.IFNA(VLOOKUP('Comp X - UP'!B38,'Urban Plastix Holds'!$I$37:$U$705,5,0),0)</f>
        <v>#NAME?</v>
      </c>
      <c r="F38" s="274"/>
      <c r="G38" s="274" t="e">
        <f t="shared" ca="1" si="0"/>
        <v>#NAME?</v>
      </c>
      <c r="H38" s="274">
        <f t="shared" si="1"/>
        <v>0</v>
      </c>
    </row>
    <row r="39" spans="2:8" ht="13.5" customHeight="1">
      <c r="B39" s="209" t="s">
        <v>2248</v>
      </c>
      <c r="C39" s="209" t="s">
        <v>3559</v>
      </c>
      <c r="D39" s="408" t="str">
        <f t="shared" si="2"/>
        <v>14-01</v>
      </c>
      <c r="E39" s="273" t="e">
        <f ca="1">_xludf.IFNA(VLOOKUP('Comp X - UP'!B39,'Urban Plastix Holds'!$I$37:$U$705,6,0),0)</f>
        <v>#NAME?</v>
      </c>
      <c r="F39" s="274"/>
      <c r="G39" s="274" t="e">
        <f t="shared" ca="1" si="0"/>
        <v>#NAME?</v>
      </c>
      <c r="H39" s="274">
        <f t="shared" si="1"/>
        <v>0</v>
      </c>
    </row>
    <row r="40" spans="2:8" ht="13.5" customHeight="1">
      <c r="B40" s="209" t="s">
        <v>2248</v>
      </c>
      <c r="C40" s="209" t="s">
        <v>3559</v>
      </c>
      <c r="D40" s="409" t="str">
        <f t="shared" si="2"/>
        <v>15-12</v>
      </c>
      <c r="E40" s="273" t="e">
        <f ca="1">_xludf.IFNA(VLOOKUP('Comp X - UP'!B40,'Urban Plastix Holds'!$I$37:$U$705,7,0),0)</f>
        <v>#NAME?</v>
      </c>
      <c r="F40" s="274"/>
      <c r="G40" s="274" t="e">
        <f t="shared" ca="1" si="0"/>
        <v>#NAME?</v>
      </c>
      <c r="H40" s="274">
        <f t="shared" si="1"/>
        <v>0</v>
      </c>
    </row>
    <row r="41" spans="2:8" ht="13.5" customHeight="1">
      <c r="B41" s="209" t="s">
        <v>2248</v>
      </c>
      <c r="C41" s="209" t="s">
        <v>3559</v>
      </c>
      <c r="D41" s="410" t="str">
        <f t="shared" si="2"/>
        <v>16-16</v>
      </c>
      <c r="E41" s="273" t="e">
        <f ca="1">_xludf.IFNA(VLOOKUP('Comp X - UP'!B41,'Urban Plastix Holds'!$I$37:$U$705,8,0),0)</f>
        <v>#NAME?</v>
      </c>
      <c r="F41" s="274"/>
      <c r="G41" s="274" t="e">
        <f t="shared" ca="1" si="0"/>
        <v>#NAME?</v>
      </c>
      <c r="H41" s="274">
        <f t="shared" si="1"/>
        <v>0</v>
      </c>
    </row>
    <row r="42" spans="2:8" ht="13.5" customHeight="1">
      <c r="B42" s="209" t="s">
        <v>2248</v>
      </c>
      <c r="C42" s="209" t="s">
        <v>3559</v>
      </c>
      <c r="D42" s="411" t="str">
        <f t="shared" si="2"/>
        <v>13-01</v>
      </c>
      <c r="E42" s="273" t="e">
        <f ca="1">_xludf.IFNA(VLOOKUP('Comp X - UP'!B42,'Urban Plastix Holds'!$I$37:$U$705,9,0),0)</f>
        <v>#NAME?</v>
      </c>
      <c r="F42" s="274"/>
      <c r="G42" s="274" t="e">
        <f t="shared" ca="1" si="0"/>
        <v>#NAME?</v>
      </c>
      <c r="H42" s="274">
        <f t="shared" si="1"/>
        <v>0</v>
      </c>
    </row>
    <row r="43" spans="2:8" ht="13.5" customHeight="1">
      <c r="B43" s="209" t="s">
        <v>2248</v>
      </c>
      <c r="C43" s="209" t="s">
        <v>3559</v>
      </c>
      <c r="D43" s="413" t="str">
        <f t="shared" si="2"/>
        <v>07-13</v>
      </c>
      <c r="E43" s="273" t="e">
        <f ca="1">_xludf.IFNA(VLOOKUP('Comp X - UP'!B43,'Urban Plastix Holds'!$I$37:$U$705,10,0),0)</f>
        <v>#NAME?</v>
      </c>
      <c r="F43" s="274"/>
      <c r="G43" s="274" t="e">
        <f t="shared" ca="1" si="0"/>
        <v>#NAME?</v>
      </c>
      <c r="H43" s="274">
        <f t="shared" si="1"/>
        <v>0</v>
      </c>
    </row>
    <row r="44" spans="2:8" ht="13.5" customHeight="1">
      <c r="B44" s="209" t="s">
        <v>2248</v>
      </c>
      <c r="C44" s="209" t="s">
        <v>3559</v>
      </c>
      <c r="D44" s="414" t="str">
        <f t="shared" si="2"/>
        <v>11-26</v>
      </c>
      <c r="E44" s="273" t="e">
        <f ca="1">_xludf.IFNA(VLOOKUP('Comp X - UP'!B44,'Urban Plastix Holds'!$I$37:$U$705,11,0),0)</f>
        <v>#NAME?</v>
      </c>
      <c r="F44" s="274"/>
      <c r="G44" s="274" t="e">
        <f t="shared" ca="1" si="0"/>
        <v>#NAME?</v>
      </c>
      <c r="H44" s="274">
        <f t="shared" si="1"/>
        <v>0</v>
      </c>
    </row>
    <row r="45" spans="2:8" ht="13.5" customHeight="1">
      <c r="B45" s="209" t="s">
        <v>2248</v>
      </c>
      <c r="C45" s="209" t="s">
        <v>3559</v>
      </c>
      <c r="D45" s="415" t="str">
        <f t="shared" si="2"/>
        <v>18-01</v>
      </c>
      <c r="E45" s="273" t="e">
        <f ca="1">_xludf.IFNA(VLOOKUP('Comp X - UP'!B45,'Urban Plastix Holds'!$I$37:$U$705,12,0),0)</f>
        <v>#NAME?</v>
      </c>
      <c r="F45" s="274"/>
      <c r="G45" s="274" t="e">
        <f t="shared" ca="1" si="0"/>
        <v>#NAME?</v>
      </c>
      <c r="H45" s="274">
        <f t="shared" si="1"/>
        <v>0</v>
      </c>
    </row>
    <row r="46" spans="2:8" ht="13.5" customHeight="1">
      <c r="B46" s="209" t="s">
        <v>2248</v>
      </c>
      <c r="C46" s="209" t="s">
        <v>3559</v>
      </c>
      <c r="D46" s="416" t="str">
        <f t="shared" si="2"/>
        <v>Color Code</v>
      </c>
      <c r="E46" s="273" t="e">
        <f ca="1">_xludf.IFNA(VLOOKUP('Comp X - UP'!B46,'Urban Plastix Holds'!$I$37:$U$705,13,0),0)</f>
        <v>#NAME?</v>
      </c>
      <c r="F46" s="274"/>
      <c r="G46" s="274" t="e">
        <f t="shared" ca="1" si="0"/>
        <v>#NAME?</v>
      </c>
      <c r="H46" s="274">
        <f t="shared" si="1"/>
        <v>0</v>
      </c>
    </row>
    <row r="47" spans="2:8" ht="13.5" customHeight="1">
      <c r="B47" s="209" t="s">
        <v>2249</v>
      </c>
      <c r="C47" s="209" t="s">
        <v>3560</v>
      </c>
      <c r="D47" s="406" t="str">
        <f t="shared" si="2"/>
        <v>11-12</v>
      </c>
      <c r="E47" s="273" t="e">
        <f ca="1">_xludf.IFNA(VLOOKUP('Comp X - UP'!B47,'Urban Plastix Holds'!$I$37:$U$705,5,0),0)</f>
        <v>#NAME?</v>
      </c>
      <c r="F47" s="274"/>
      <c r="G47" s="274" t="e">
        <f t="shared" ca="1" si="0"/>
        <v>#NAME?</v>
      </c>
      <c r="H47" s="274">
        <f t="shared" si="1"/>
        <v>0</v>
      </c>
    </row>
    <row r="48" spans="2:8" ht="13.5" customHeight="1">
      <c r="B48" s="209" t="s">
        <v>2249</v>
      </c>
      <c r="C48" s="209" t="s">
        <v>3560</v>
      </c>
      <c r="D48" s="408" t="str">
        <f t="shared" si="2"/>
        <v>14-01</v>
      </c>
      <c r="E48" s="273" t="e">
        <f ca="1">_xludf.IFNA(VLOOKUP('Comp X - UP'!B48,'Urban Plastix Holds'!$I$37:$U$705,6,0),0)</f>
        <v>#NAME?</v>
      </c>
      <c r="F48" s="274"/>
      <c r="G48" s="274" t="e">
        <f t="shared" ca="1" si="0"/>
        <v>#NAME?</v>
      </c>
      <c r="H48" s="274">
        <f t="shared" si="1"/>
        <v>0</v>
      </c>
    </row>
    <row r="49" spans="2:8" ht="13.5" customHeight="1">
      <c r="B49" s="209" t="s">
        <v>2249</v>
      </c>
      <c r="C49" s="209" t="s">
        <v>3560</v>
      </c>
      <c r="D49" s="409" t="str">
        <f t="shared" si="2"/>
        <v>15-12</v>
      </c>
      <c r="E49" s="273" t="e">
        <f ca="1">_xludf.IFNA(VLOOKUP('Comp X - UP'!B49,'Urban Plastix Holds'!$I$37:$U$705,7,0),0)</f>
        <v>#NAME?</v>
      </c>
      <c r="F49" s="274"/>
      <c r="G49" s="274" t="e">
        <f t="shared" ca="1" si="0"/>
        <v>#NAME?</v>
      </c>
      <c r="H49" s="274">
        <f t="shared" si="1"/>
        <v>0</v>
      </c>
    </row>
    <row r="50" spans="2:8" ht="13.5" customHeight="1">
      <c r="B50" s="209" t="s">
        <v>2249</v>
      </c>
      <c r="C50" s="209" t="s">
        <v>3560</v>
      </c>
      <c r="D50" s="410" t="str">
        <f t="shared" si="2"/>
        <v>16-16</v>
      </c>
      <c r="E50" s="273" t="e">
        <f ca="1">_xludf.IFNA(VLOOKUP('Comp X - UP'!B50,'Urban Plastix Holds'!$I$37:$U$705,8,0),0)</f>
        <v>#NAME?</v>
      </c>
      <c r="F50" s="274"/>
      <c r="G50" s="274" t="e">
        <f t="shared" ca="1" si="0"/>
        <v>#NAME?</v>
      </c>
      <c r="H50" s="274">
        <f t="shared" si="1"/>
        <v>0</v>
      </c>
    </row>
    <row r="51" spans="2:8" ht="13.5" customHeight="1">
      <c r="B51" s="209" t="s">
        <v>2249</v>
      </c>
      <c r="C51" s="209" t="s">
        <v>3560</v>
      </c>
      <c r="D51" s="411" t="str">
        <f t="shared" si="2"/>
        <v>13-01</v>
      </c>
      <c r="E51" s="273" t="e">
        <f ca="1">_xludf.IFNA(VLOOKUP('Comp X - UP'!B51,'Urban Plastix Holds'!$I$37:$U$705,9,0),0)</f>
        <v>#NAME?</v>
      </c>
      <c r="F51" s="274"/>
      <c r="G51" s="274" t="e">
        <f t="shared" ca="1" si="0"/>
        <v>#NAME?</v>
      </c>
      <c r="H51" s="274">
        <f t="shared" si="1"/>
        <v>0</v>
      </c>
    </row>
    <row r="52" spans="2:8" ht="13.5" customHeight="1">
      <c r="B52" s="209" t="s">
        <v>2249</v>
      </c>
      <c r="C52" s="209" t="s">
        <v>3560</v>
      </c>
      <c r="D52" s="413" t="str">
        <f t="shared" si="2"/>
        <v>07-13</v>
      </c>
      <c r="E52" s="273" t="e">
        <f ca="1">_xludf.IFNA(VLOOKUP('Comp X - UP'!B52,'Urban Plastix Holds'!$I$37:$U$705,10,0),0)</f>
        <v>#NAME?</v>
      </c>
      <c r="F52" s="274"/>
      <c r="G52" s="274" t="e">
        <f t="shared" ca="1" si="0"/>
        <v>#NAME?</v>
      </c>
      <c r="H52" s="274">
        <f t="shared" si="1"/>
        <v>0</v>
      </c>
    </row>
    <row r="53" spans="2:8" ht="13.5" customHeight="1">
      <c r="B53" s="209" t="s">
        <v>2249</v>
      </c>
      <c r="C53" s="209" t="s">
        <v>3560</v>
      </c>
      <c r="D53" s="414" t="str">
        <f t="shared" si="2"/>
        <v>11-26</v>
      </c>
      <c r="E53" s="273" t="e">
        <f ca="1">_xludf.IFNA(VLOOKUP('Comp X - UP'!B53,'Urban Plastix Holds'!$I$37:$U$705,11,0),0)</f>
        <v>#NAME?</v>
      </c>
      <c r="F53" s="274"/>
      <c r="G53" s="274" t="e">
        <f t="shared" ca="1" si="0"/>
        <v>#NAME?</v>
      </c>
      <c r="H53" s="274">
        <f t="shared" si="1"/>
        <v>0</v>
      </c>
    </row>
    <row r="54" spans="2:8" ht="13.5" customHeight="1">
      <c r="B54" s="209" t="s">
        <v>2249</v>
      </c>
      <c r="C54" s="209" t="s">
        <v>3560</v>
      </c>
      <c r="D54" s="415" t="str">
        <f t="shared" si="2"/>
        <v>18-01</v>
      </c>
      <c r="E54" s="273" t="e">
        <f ca="1">_xludf.IFNA(VLOOKUP('Comp X - UP'!B54,'Urban Plastix Holds'!$I$37:$U$705,12,0),0)</f>
        <v>#NAME?</v>
      </c>
      <c r="F54" s="274"/>
      <c r="G54" s="274" t="e">
        <f t="shared" ca="1" si="0"/>
        <v>#NAME?</v>
      </c>
      <c r="H54" s="274">
        <f t="shared" si="1"/>
        <v>0</v>
      </c>
    </row>
    <row r="55" spans="2:8" ht="13.5" customHeight="1">
      <c r="B55" s="209" t="s">
        <v>2249</v>
      </c>
      <c r="C55" s="209" t="s">
        <v>3560</v>
      </c>
      <c r="D55" s="416" t="str">
        <f t="shared" si="2"/>
        <v>Color Code</v>
      </c>
      <c r="E55" s="273" t="e">
        <f ca="1">_xludf.IFNA(VLOOKUP('Comp X - UP'!B55,'Urban Plastix Holds'!$I$37:$U$705,13,0),0)</f>
        <v>#NAME?</v>
      </c>
      <c r="F55" s="274"/>
      <c r="G55" s="274" t="e">
        <f t="shared" ca="1" si="0"/>
        <v>#NAME?</v>
      </c>
      <c r="H55" s="274">
        <f t="shared" si="1"/>
        <v>0</v>
      </c>
    </row>
    <row r="56" spans="2:8" ht="13.5" customHeight="1">
      <c r="B56" s="209" t="s">
        <v>2256</v>
      </c>
      <c r="C56" s="209" t="s">
        <v>3561</v>
      </c>
      <c r="D56" s="406" t="str">
        <f t="shared" si="2"/>
        <v>11-12</v>
      </c>
      <c r="E56" s="273" t="e">
        <f ca="1">_xludf.IFNA(VLOOKUP('Comp X - UP'!B56,'Urban Plastix Holds'!$I$37:$U$705,5,0),0)</f>
        <v>#NAME?</v>
      </c>
      <c r="F56" s="274"/>
      <c r="G56" s="274" t="e">
        <f t="shared" ca="1" si="0"/>
        <v>#NAME?</v>
      </c>
      <c r="H56" s="274">
        <f t="shared" si="1"/>
        <v>0</v>
      </c>
    </row>
    <row r="57" spans="2:8" ht="13.5" customHeight="1">
      <c r="B57" s="209" t="s">
        <v>2256</v>
      </c>
      <c r="C57" s="209" t="s">
        <v>3561</v>
      </c>
      <c r="D57" s="408" t="str">
        <f t="shared" si="2"/>
        <v>14-01</v>
      </c>
      <c r="E57" s="273" t="e">
        <f ca="1">_xludf.IFNA(VLOOKUP('Comp X - UP'!B57,'Urban Plastix Holds'!$I$37:$U$705,6,0),0)</f>
        <v>#NAME?</v>
      </c>
      <c r="F57" s="274"/>
      <c r="G57" s="274" t="e">
        <f t="shared" ca="1" si="0"/>
        <v>#NAME?</v>
      </c>
      <c r="H57" s="274">
        <f t="shared" si="1"/>
        <v>0</v>
      </c>
    </row>
    <row r="58" spans="2:8" ht="13.5" customHeight="1">
      <c r="B58" s="209" t="s">
        <v>2256</v>
      </c>
      <c r="C58" s="209" t="s">
        <v>3561</v>
      </c>
      <c r="D58" s="409" t="str">
        <f t="shared" si="2"/>
        <v>15-12</v>
      </c>
      <c r="E58" s="273" t="e">
        <f ca="1">_xludf.IFNA(VLOOKUP('Comp X - UP'!B58,'Urban Plastix Holds'!$I$37:$U$705,7,0),0)</f>
        <v>#NAME?</v>
      </c>
      <c r="F58" s="274"/>
      <c r="G58" s="274" t="e">
        <f t="shared" ca="1" si="0"/>
        <v>#NAME?</v>
      </c>
      <c r="H58" s="274">
        <f t="shared" si="1"/>
        <v>0</v>
      </c>
    </row>
    <row r="59" spans="2:8" ht="13.5" customHeight="1">
      <c r="B59" s="209" t="s">
        <v>2256</v>
      </c>
      <c r="C59" s="209" t="s">
        <v>3561</v>
      </c>
      <c r="D59" s="410" t="str">
        <f t="shared" si="2"/>
        <v>16-16</v>
      </c>
      <c r="E59" s="273" t="e">
        <f ca="1">_xludf.IFNA(VLOOKUP('Comp X - UP'!B59,'Urban Plastix Holds'!$I$37:$U$705,8,0),0)</f>
        <v>#NAME?</v>
      </c>
      <c r="F59" s="274"/>
      <c r="G59" s="274" t="e">
        <f t="shared" ca="1" si="0"/>
        <v>#NAME?</v>
      </c>
      <c r="H59" s="274">
        <f t="shared" si="1"/>
        <v>0</v>
      </c>
    </row>
    <row r="60" spans="2:8" ht="13.5" customHeight="1">
      <c r="B60" s="209" t="s">
        <v>2256</v>
      </c>
      <c r="C60" s="209" t="s">
        <v>3561</v>
      </c>
      <c r="D60" s="411" t="str">
        <f t="shared" si="2"/>
        <v>13-01</v>
      </c>
      <c r="E60" s="273" t="e">
        <f ca="1">_xludf.IFNA(VLOOKUP('Comp X - UP'!B60,'Urban Plastix Holds'!$I$37:$U$705,9,0),0)</f>
        <v>#NAME?</v>
      </c>
      <c r="F60" s="274"/>
      <c r="G60" s="274" t="e">
        <f t="shared" ca="1" si="0"/>
        <v>#NAME?</v>
      </c>
      <c r="H60" s="274">
        <f t="shared" si="1"/>
        <v>0</v>
      </c>
    </row>
    <row r="61" spans="2:8" ht="13.5" customHeight="1">
      <c r="B61" s="209" t="s">
        <v>2256</v>
      </c>
      <c r="C61" s="209" t="s">
        <v>3561</v>
      </c>
      <c r="D61" s="413" t="str">
        <f t="shared" si="2"/>
        <v>07-13</v>
      </c>
      <c r="E61" s="273" t="e">
        <f ca="1">_xludf.IFNA(VLOOKUP('Comp X - UP'!B61,'Urban Plastix Holds'!$I$37:$U$705,10,0),0)</f>
        <v>#NAME?</v>
      </c>
      <c r="F61" s="274"/>
      <c r="G61" s="274" t="e">
        <f t="shared" ca="1" si="0"/>
        <v>#NAME?</v>
      </c>
      <c r="H61" s="274">
        <f t="shared" si="1"/>
        <v>0</v>
      </c>
    </row>
    <row r="62" spans="2:8" ht="13.5" customHeight="1">
      <c r="B62" s="209" t="s">
        <v>2256</v>
      </c>
      <c r="C62" s="209" t="s">
        <v>3561</v>
      </c>
      <c r="D62" s="414" t="str">
        <f t="shared" si="2"/>
        <v>11-26</v>
      </c>
      <c r="E62" s="273" t="e">
        <f ca="1">_xludf.IFNA(VLOOKUP('Comp X - UP'!B62,'Urban Plastix Holds'!$I$37:$U$705,11,0),0)</f>
        <v>#NAME?</v>
      </c>
      <c r="F62" s="274"/>
      <c r="G62" s="274" t="e">
        <f t="shared" ca="1" si="0"/>
        <v>#NAME?</v>
      </c>
      <c r="H62" s="274">
        <f t="shared" si="1"/>
        <v>0</v>
      </c>
    </row>
    <row r="63" spans="2:8" ht="13.5" customHeight="1">
      <c r="B63" s="209" t="s">
        <v>2256</v>
      </c>
      <c r="C63" s="209" t="s">
        <v>3561</v>
      </c>
      <c r="D63" s="415" t="str">
        <f t="shared" si="2"/>
        <v>18-01</v>
      </c>
      <c r="E63" s="273" t="e">
        <f ca="1">_xludf.IFNA(VLOOKUP('Comp X - UP'!B63,'Urban Plastix Holds'!$I$37:$U$705,12,0),0)</f>
        <v>#NAME?</v>
      </c>
      <c r="F63" s="274"/>
      <c r="G63" s="274" t="e">
        <f t="shared" ca="1" si="0"/>
        <v>#NAME?</v>
      </c>
      <c r="H63" s="274">
        <f t="shared" si="1"/>
        <v>0</v>
      </c>
    </row>
    <row r="64" spans="2:8" ht="13.5" customHeight="1">
      <c r="B64" s="209" t="s">
        <v>2256</v>
      </c>
      <c r="C64" s="209" t="s">
        <v>3561</v>
      </c>
      <c r="D64" s="416" t="str">
        <f t="shared" si="2"/>
        <v>Color Code</v>
      </c>
      <c r="E64" s="273" t="e">
        <f ca="1">_xludf.IFNA(VLOOKUP('Comp X - UP'!B64,'Urban Plastix Holds'!$I$37:$U$705,13,0),0)</f>
        <v>#NAME?</v>
      </c>
      <c r="F64" s="274"/>
      <c r="G64" s="274" t="e">
        <f t="shared" ca="1" si="0"/>
        <v>#NAME?</v>
      </c>
      <c r="H64" s="274">
        <f t="shared" si="1"/>
        <v>0</v>
      </c>
    </row>
    <row r="65" spans="2:8" ht="13.5" customHeight="1">
      <c r="B65" s="209" t="s">
        <v>2257</v>
      </c>
      <c r="C65" s="209" t="s">
        <v>3562</v>
      </c>
      <c r="D65" s="406" t="str">
        <f t="shared" si="2"/>
        <v>11-12</v>
      </c>
      <c r="E65" s="273" t="e">
        <f ca="1">_xludf.IFNA(VLOOKUP('Comp X - UP'!B65,'Urban Plastix Holds'!$I$37:$U$705,5,0),0)</f>
        <v>#NAME?</v>
      </c>
      <c r="F65" s="274"/>
      <c r="G65" s="274" t="e">
        <f t="shared" ca="1" si="0"/>
        <v>#NAME?</v>
      </c>
      <c r="H65" s="274">
        <f t="shared" si="1"/>
        <v>0</v>
      </c>
    </row>
    <row r="66" spans="2:8" ht="13.5" customHeight="1">
      <c r="B66" s="209" t="s">
        <v>2257</v>
      </c>
      <c r="C66" s="209" t="s">
        <v>3562</v>
      </c>
      <c r="D66" s="408" t="str">
        <f t="shared" si="2"/>
        <v>14-01</v>
      </c>
      <c r="E66" s="273" t="e">
        <f ca="1">_xludf.IFNA(VLOOKUP('Comp X - UP'!B66,'Urban Plastix Holds'!$I$37:$U$705,6,0),0)</f>
        <v>#NAME?</v>
      </c>
      <c r="F66" s="274"/>
      <c r="G66" s="274" t="e">
        <f t="shared" ca="1" si="0"/>
        <v>#NAME?</v>
      </c>
      <c r="H66" s="274">
        <f t="shared" si="1"/>
        <v>0</v>
      </c>
    </row>
    <row r="67" spans="2:8" ht="13.5" customHeight="1">
      <c r="B67" s="209" t="s">
        <v>2257</v>
      </c>
      <c r="C67" s="209" t="s">
        <v>3562</v>
      </c>
      <c r="D67" s="409" t="str">
        <f t="shared" si="2"/>
        <v>15-12</v>
      </c>
      <c r="E67" s="273" t="e">
        <f ca="1">_xludf.IFNA(VLOOKUP('Comp X - UP'!B67,'Urban Plastix Holds'!$I$37:$U$705,7,0),0)</f>
        <v>#NAME?</v>
      </c>
      <c r="F67" s="274"/>
      <c r="G67" s="274" t="e">
        <f t="shared" ca="1" si="0"/>
        <v>#NAME?</v>
      </c>
      <c r="H67" s="274">
        <f t="shared" si="1"/>
        <v>0</v>
      </c>
    </row>
    <row r="68" spans="2:8" ht="13.5" customHeight="1">
      <c r="B68" s="209" t="s">
        <v>2257</v>
      </c>
      <c r="C68" s="209" t="s">
        <v>3562</v>
      </c>
      <c r="D68" s="410" t="str">
        <f t="shared" si="2"/>
        <v>16-16</v>
      </c>
      <c r="E68" s="273" t="e">
        <f ca="1">_xludf.IFNA(VLOOKUP('Comp X - UP'!B68,'Urban Plastix Holds'!$I$37:$U$705,8,0),0)</f>
        <v>#NAME?</v>
      </c>
      <c r="F68" s="274"/>
      <c r="G68" s="274" t="e">
        <f t="shared" ca="1" si="0"/>
        <v>#NAME?</v>
      </c>
      <c r="H68" s="274">
        <f t="shared" si="1"/>
        <v>0</v>
      </c>
    </row>
    <row r="69" spans="2:8" ht="13.5" customHeight="1">
      <c r="B69" s="209" t="s">
        <v>2257</v>
      </c>
      <c r="C69" s="209" t="s">
        <v>3562</v>
      </c>
      <c r="D69" s="411" t="str">
        <f t="shared" si="2"/>
        <v>13-01</v>
      </c>
      <c r="E69" s="273" t="e">
        <f ca="1">_xludf.IFNA(VLOOKUP('Comp X - UP'!B69,'Urban Plastix Holds'!$I$37:$U$705,9,0),0)</f>
        <v>#NAME?</v>
      </c>
      <c r="F69" s="274"/>
      <c r="G69" s="274" t="e">
        <f t="shared" ca="1" si="0"/>
        <v>#NAME?</v>
      </c>
      <c r="H69" s="274">
        <f t="shared" si="1"/>
        <v>0</v>
      </c>
    </row>
    <row r="70" spans="2:8" ht="13.5" customHeight="1">
      <c r="B70" s="209" t="s">
        <v>2257</v>
      </c>
      <c r="C70" s="209" t="s">
        <v>3562</v>
      </c>
      <c r="D70" s="413" t="str">
        <f t="shared" si="2"/>
        <v>07-13</v>
      </c>
      <c r="E70" s="273" t="e">
        <f ca="1">_xludf.IFNA(VLOOKUP('Comp X - UP'!B70,'Urban Plastix Holds'!$I$37:$U$705,10,0),0)</f>
        <v>#NAME?</v>
      </c>
      <c r="F70" s="274"/>
      <c r="G70" s="274" t="e">
        <f t="shared" ca="1" si="0"/>
        <v>#NAME?</v>
      </c>
      <c r="H70" s="274">
        <f t="shared" si="1"/>
        <v>0</v>
      </c>
    </row>
    <row r="71" spans="2:8" ht="13.5" customHeight="1">
      <c r="B71" s="209" t="s">
        <v>2257</v>
      </c>
      <c r="C71" s="209" t="s">
        <v>3562</v>
      </c>
      <c r="D71" s="414" t="str">
        <f t="shared" si="2"/>
        <v>11-26</v>
      </c>
      <c r="E71" s="273" t="e">
        <f ca="1">_xludf.IFNA(VLOOKUP('Comp X - UP'!B71,'Urban Plastix Holds'!$I$37:$U$705,11,0),0)</f>
        <v>#NAME?</v>
      </c>
      <c r="F71" s="274"/>
      <c r="G71" s="274" t="e">
        <f t="shared" ca="1" si="0"/>
        <v>#NAME?</v>
      </c>
      <c r="H71" s="274">
        <f t="shared" si="1"/>
        <v>0</v>
      </c>
    </row>
    <row r="72" spans="2:8" ht="13.5" customHeight="1">
      <c r="B72" s="209" t="s">
        <v>2257</v>
      </c>
      <c r="C72" s="209" t="s">
        <v>3562</v>
      </c>
      <c r="D72" s="415" t="str">
        <f t="shared" si="2"/>
        <v>18-01</v>
      </c>
      <c r="E72" s="273" t="e">
        <f ca="1">_xludf.IFNA(VLOOKUP('Comp X - UP'!B72,'Urban Plastix Holds'!$I$37:$U$705,12,0),0)</f>
        <v>#NAME?</v>
      </c>
      <c r="F72" s="274"/>
      <c r="G72" s="274" t="e">
        <f t="shared" ca="1" si="0"/>
        <v>#NAME?</v>
      </c>
      <c r="H72" s="274">
        <f t="shared" si="1"/>
        <v>0</v>
      </c>
    </row>
    <row r="73" spans="2:8" ht="13.5" customHeight="1">
      <c r="B73" s="209" t="s">
        <v>2257</v>
      </c>
      <c r="C73" s="209" t="s">
        <v>3562</v>
      </c>
      <c r="D73" s="416" t="str">
        <f t="shared" si="2"/>
        <v>Color Code</v>
      </c>
      <c r="E73" s="273" t="e">
        <f ca="1">_xludf.IFNA(VLOOKUP('Comp X - UP'!B73,'Urban Plastix Holds'!$I$37:$U$705,13,0),0)</f>
        <v>#NAME?</v>
      </c>
      <c r="F73" s="274"/>
      <c r="G73" s="274" t="e">
        <f t="shared" ca="1" si="0"/>
        <v>#NAME?</v>
      </c>
      <c r="H73" s="274">
        <f t="shared" si="1"/>
        <v>0</v>
      </c>
    </row>
    <row r="74" spans="2:8" ht="13.5" customHeight="1">
      <c r="B74" s="209" t="s">
        <v>2258</v>
      </c>
      <c r="C74" s="209" t="s">
        <v>3563</v>
      </c>
      <c r="D74" s="406" t="str">
        <f t="shared" si="2"/>
        <v>11-12</v>
      </c>
      <c r="E74" s="273" t="e">
        <f ca="1">_xludf.IFNA(VLOOKUP('Comp X - UP'!B74,'Urban Plastix Holds'!$I$37:$U$705,5,0),0)</f>
        <v>#NAME?</v>
      </c>
      <c r="F74" s="274"/>
      <c r="G74" s="274" t="e">
        <f t="shared" ca="1" si="0"/>
        <v>#NAME?</v>
      </c>
      <c r="H74" s="274">
        <f t="shared" si="1"/>
        <v>0</v>
      </c>
    </row>
    <row r="75" spans="2:8" ht="13.5" customHeight="1">
      <c r="B75" s="209" t="s">
        <v>2258</v>
      </c>
      <c r="C75" s="209" t="s">
        <v>3563</v>
      </c>
      <c r="D75" s="408" t="str">
        <f t="shared" si="2"/>
        <v>14-01</v>
      </c>
      <c r="E75" s="273" t="e">
        <f ca="1">_xludf.IFNA(VLOOKUP('Comp X - UP'!B75,'Urban Plastix Holds'!$I$37:$U$705,6,0),0)</f>
        <v>#NAME?</v>
      </c>
      <c r="F75" s="274"/>
      <c r="G75" s="274" t="e">
        <f t="shared" ca="1" si="0"/>
        <v>#NAME?</v>
      </c>
      <c r="H75" s="274">
        <f t="shared" si="1"/>
        <v>0</v>
      </c>
    </row>
    <row r="76" spans="2:8" ht="13.5" customHeight="1">
      <c r="B76" s="209" t="s">
        <v>2258</v>
      </c>
      <c r="C76" s="209" t="s">
        <v>3563</v>
      </c>
      <c r="D76" s="409" t="str">
        <f t="shared" si="2"/>
        <v>15-12</v>
      </c>
      <c r="E76" s="273" t="e">
        <f ca="1">_xludf.IFNA(VLOOKUP('Comp X - UP'!B76,'Urban Plastix Holds'!$I$37:$U$705,7,0),0)</f>
        <v>#NAME?</v>
      </c>
      <c r="F76" s="274"/>
      <c r="G76" s="274" t="e">
        <f t="shared" ca="1" si="0"/>
        <v>#NAME?</v>
      </c>
      <c r="H76" s="274">
        <f t="shared" si="1"/>
        <v>0</v>
      </c>
    </row>
    <row r="77" spans="2:8" ht="13.5" customHeight="1">
      <c r="B77" s="209" t="s">
        <v>2258</v>
      </c>
      <c r="C77" s="209" t="s">
        <v>3563</v>
      </c>
      <c r="D77" s="410" t="str">
        <f t="shared" si="2"/>
        <v>16-16</v>
      </c>
      <c r="E77" s="273" t="e">
        <f ca="1">_xludf.IFNA(VLOOKUP('Comp X - UP'!B77,'Urban Plastix Holds'!$I$37:$U$705,8,0),0)</f>
        <v>#NAME?</v>
      </c>
      <c r="F77" s="274"/>
      <c r="G77" s="274" t="e">
        <f t="shared" ca="1" si="0"/>
        <v>#NAME?</v>
      </c>
      <c r="H77" s="274">
        <f t="shared" si="1"/>
        <v>0</v>
      </c>
    </row>
    <row r="78" spans="2:8" ht="13.5" customHeight="1">
      <c r="B78" s="209" t="s">
        <v>2258</v>
      </c>
      <c r="C78" s="209" t="s">
        <v>3563</v>
      </c>
      <c r="D78" s="411" t="str">
        <f t="shared" si="2"/>
        <v>13-01</v>
      </c>
      <c r="E78" s="273" t="e">
        <f ca="1">_xludf.IFNA(VLOOKUP('Comp X - UP'!B78,'Urban Plastix Holds'!$I$37:$U$705,9,0),0)</f>
        <v>#NAME?</v>
      </c>
      <c r="F78" s="274"/>
      <c r="G78" s="274" t="e">
        <f t="shared" ca="1" si="0"/>
        <v>#NAME?</v>
      </c>
      <c r="H78" s="274">
        <f t="shared" si="1"/>
        <v>0</v>
      </c>
    </row>
    <row r="79" spans="2:8" ht="13.5" customHeight="1">
      <c r="B79" s="209" t="s">
        <v>2258</v>
      </c>
      <c r="C79" s="209" t="s">
        <v>3563</v>
      </c>
      <c r="D79" s="413" t="str">
        <f t="shared" si="2"/>
        <v>07-13</v>
      </c>
      <c r="E79" s="273" t="e">
        <f ca="1">_xludf.IFNA(VLOOKUP('Comp X - UP'!B79,'Urban Plastix Holds'!$I$37:$U$705,10,0),0)</f>
        <v>#NAME?</v>
      </c>
      <c r="F79" s="274"/>
      <c r="G79" s="274" t="e">
        <f t="shared" ca="1" si="0"/>
        <v>#NAME?</v>
      </c>
      <c r="H79" s="274">
        <f t="shared" si="1"/>
        <v>0</v>
      </c>
    </row>
    <row r="80" spans="2:8" ht="13.5" customHeight="1">
      <c r="B80" s="209" t="s">
        <v>2258</v>
      </c>
      <c r="C80" s="209" t="s">
        <v>3563</v>
      </c>
      <c r="D80" s="414" t="str">
        <f t="shared" si="2"/>
        <v>11-26</v>
      </c>
      <c r="E80" s="273" t="e">
        <f ca="1">_xludf.IFNA(VLOOKUP('Comp X - UP'!B80,'Urban Plastix Holds'!$I$37:$U$705,11,0),0)</f>
        <v>#NAME?</v>
      </c>
      <c r="F80" s="274"/>
      <c r="G80" s="274" t="e">
        <f t="shared" ca="1" si="0"/>
        <v>#NAME?</v>
      </c>
      <c r="H80" s="274">
        <f t="shared" si="1"/>
        <v>0</v>
      </c>
    </row>
    <row r="81" spans="2:8" ht="13.5" customHeight="1">
      <c r="B81" s="209" t="s">
        <v>2258</v>
      </c>
      <c r="C81" s="209" t="s">
        <v>3563</v>
      </c>
      <c r="D81" s="415" t="str">
        <f t="shared" si="2"/>
        <v>18-01</v>
      </c>
      <c r="E81" s="273" t="e">
        <f ca="1">_xludf.IFNA(VLOOKUP('Comp X - UP'!B81,'Urban Plastix Holds'!$I$37:$U$705,12,0),0)</f>
        <v>#NAME?</v>
      </c>
      <c r="F81" s="274"/>
      <c r="G81" s="274" t="e">
        <f t="shared" ca="1" si="0"/>
        <v>#NAME?</v>
      </c>
      <c r="H81" s="274">
        <f t="shared" si="1"/>
        <v>0</v>
      </c>
    </row>
    <row r="82" spans="2:8" ht="13.5" customHeight="1">
      <c r="B82" s="209" t="s">
        <v>2258</v>
      </c>
      <c r="C82" s="209" t="s">
        <v>3563</v>
      </c>
      <c r="D82" s="416" t="str">
        <f t="shared" si="2"/>
        <v>Color Code</v>
      </c>
      <c r="E82" s="273" t="e">
        <f ca="1">_xludf.IFNA(VLOOKUP('Comp X - UP'!B82,'Urban Plastix Holds'!$I$37:$U$705,13,0),0)</f>
        <v>#NAME?</v>
      </c>
      <c r="F82" s="274"/>
      <c r="G82" s="274" t="e">
        <f t="shared" ca="1" si="0"/>
        <v>#NAME?</v>
      </c>
      <c r="H82" s="274">
        <f t="shared" si="1"/>
        <v>0</v>
      </c>
    </row>
    <row r="83" spans="2:8" ht="13.5" customHeight="1">
      <c r="B83" s="209" t="s">
        <v>2271</v>
      </c>
      <c r="C83" s="209" t="s">
        <v>3564</v>
      </c>
      <c r="D83" s="406" t="str">
        <f t="shared" si="2"/>
        <v>11-12</v>
      </c>
      <c r="E83" s="273" t="e">
        <f ca="1">_xludf.IFNA(VLOOKUP('Comp X - UP'!B83,'Urban Plastix Holds'!$I$37:$U$705,5,0),0)</f>
        <v>#NAME?</v>
      </c>
      <c r="F83" s="274"/>
      <c r="G83" s="274" t="e">
        <f t="shared" ca="1" si="0"/>
        <v>#NAME?</v>
      </c>
      <c r="H83" s="274">
        <f t="shared" si="1"/>
        <v>0</v>
      </c>
    </row>
    <row r="84" spans="2:8" ht="13.5" customHeight="1">
      <c r="B84" s="209" t="s">
        <v>2271</v>
      </c>
      <c r="C84" s="209" t="s">
        <v>3564</v>
      </c>
      <c r="D84" s="408" t="str">
        <f t="shared" si="2"/>
        <v>14-01</v>
      </c>
      <c r="E84" s="273" t="e">
        <f ca="1">_xludf.IFNA(VLOOKUP('Comp X - UP'!B84,'Urban Plastix Holds'!$I$37:$U$705,6,0),0)</f>
        <v>#NAME?</v>
      </c>
      <c r="F84" s="274"/>
      <c r="G84" s="274" t="e">
        <f t="shared" ca="1" si="0"/>
        <v>#NAME?</v>
      </c>
      <c r="H84" s="274">
        <f t="shared" si="1"/>
        <v>0</v>
      </c>
    </row>
    <row r="85" spans="2:8" ht="13.5" customHeight="1">
      <c r="B85" s="209" t="s">
        <v>2271</v>
      </c>
      <c r="C85" s="209" t="s">
        <v>3564</v>
      </c>
      <c r="D85" s="409" t="str">
        <f t="shared" si="2"/>
        <v>15-12</v>
      </c>
      <c r="E85" s="273" t="e">
        <f ca="1">_xludf.IFNA(VLOOKUP('Comp X - UP'!B85,'Urban Plastix Holds'!$I$37:$U$705,7,0),0)</f>
        <v>#NAME?</v>
      </c>
      <c r="F85" s="274"/>
      <c r="G85" s="274" t="e">
        <f t="shared" ca="1" si="0"/>
        <v>#NAME?</v>
      </c>
      <c r="H85" s="274">
        <f t="shared" si="1"/>
        <v>0</v>
      </c>
    </row>
    <row r="86" spans="2:8" ht="13.5" customHeight="1">
      <c r="B86" s="209" t="s">
        <v>2271</v>
      </c>
      <c r="C86" s="209" t="s">
        <v>3564</v>
      </c>
      <c r="D86" s="410" t="str">
        <f t="shared" si="2"/>
        <v>16-16</v>
      </c>
      <c r="E86" s="273" t="e">
        <f ca="1">_xludf.IFNA(VLOOKUP('Comp X - UP'!B86,'Urban Plastix Holds'!$I$37:$U$705,8,0),0)</f>
        <v>#NAME?</v>
      </c>
      <c r="F86" s="274"/>
      <c r="G86" s="274" t="e">
        <f t="shared" ca="1" si="0"/>
        <v>#NAME?</v>
      </c>
      <c r="H86" s="274">
        <f t="shared" si="1"/>
        <v>0</v>
      </c>
    </row>
    <row r="87" spans="2:8" ht="13.5" customHeight="1">
      <c r="B87" s="209" t="s">
        <v>2271</v>
      </c>
      <c r="C87" s="209" t="s">
        <v>3564</v>
      </c>
      <c r="D87" s="411" t="str">
        <f t="shared" si="2"/>
        <v>13-01</v>
      </c>
      <c r="E87" s="273" t="e">
        <f ca="1">_xludf.IFNA(VLOOKUP('Comp X - UP'!B87,'Urban Plastix Holds'!$I$37:$U$705,9,0),0)</f>
        <v>#NAME?</v>
      </c>
      <c r="F87" s="274"/>
      <c r="G87" s="274" t="e">
        <f t="shared" ca="1" si="0"/>
        <v>#NAME?</v>
      </c>
      <c r="H87" s="274">
        <f t="shared" si="1"/>
        <v>0</v>
      </c>
    </row>
    <row r="88" spans="2:8" ht="13.5" customHeight="1">
      <c r="B88" s="209" t="s">
        <v>2271</v>
      </c>
      <c r="C88" s="209" t="s">
        <v>3564</v>
      </c>
      <c r="D88" s="413" t="str">
        <f t="shared" si="2"/>
        <v>07-13</v>
      </c>
      <c r="E88" s="273" t="e">
        <f ca="1">_xludf.IFNA(VLOOKUP('Comp X - UP'!B88,'Urban Plastix Holds'!$I$37:$U$705,10,0),0)</f>
        <v>#NAME?</v>
      </c>
      <c r="F88" s="274"/>
      <c r="G88" s="274" t="e">
        <f t="shared" ca="1" si="0"/>
        <v>#NAME?</v>
      </c>
      <c r="H88" s="274">
        <f t="shared" si="1"/>
        <v>0</v>
      </c>
    </row>
    <row r="89" spans="2:8" ht="13.5" customHeight="1">
      <c r="B89" s="209" t="s">
        <v>2271</v>
      </c>
      <c r="C89" s="209" t="s">
        <v>3564</v>
      </c>
      <c r="D89" s="414" t="str">
        <f t="shared" si="2"/>
        <v>11-26</v>
      </c>
      <c r="E89" s="273" t="e">
        <f ca="1">_xludf.IFNA(VLOOKUP('Comp X - UP'!B89,'Urban Plastix Holds'!$I$37:$U$705,11,0),0)</f>
        <v>#NAME?</v>
      </c>
      <c r="F89" s="274"/>
      <c r="G89" s="274" t="e">
        <f t="shared" ca="1" si="0"/>
        <v>#NAME?</v>
      </c>
      <c r="H89" s="274">
        <f t="shared" si="1"/>
        <v>0</v>
      </c>
    </row>
    <row r="90" spans="2:8" ht="13.5" customHeight="1">
      <c r="B90" s="209" t="s">
        <v>2271</v>
      </c>
      <c r="C90" s="209" t="s">
        <v>3564</v>
      </c>
      <c r="D90" s="415" t="str">
        <f t="shared" si="2"/>
        <v>18-01</v>
      </c>
      <c r="E90" s="273" t="e">
        <f ca="1">_xludf.IFNA(VLOOKUP('Comp X - UP'!B90,'Urban Plastix Holds'!$I$37:$U$705,12,0),0)</f>
        <v>#NAME?</v>
      </c>
      <c r="F90" s="274"/>
      <c r="G90" s="274" t="e">
        <f t="shared" ca="1" si="0"/>
        <v>#NAME?</v>
      </c>
      <c r="H90" s="274">
        <f t="shared" si="1"/>
        <v>0</v>
      </c>
    </row>
    <row r="91" spans="2:8" ht="13.5" customHeight="1">
      <c r="B91" s="209" t="s">
        <v>2271</v>
      </c>
      <c r="C91" s="209" t="s">
        <v>3564</v>
      </c>
      <c r="D91" s="416" t="str">
        <f t="shared" si="2"/>
        <v>Color Code</v>
      </c>
      <c r="E91" s="273" t="e">
        <f ca="1">_xludf.IFNA(VLOOKUP('Comp X - UP'!B91,'Urban Plastix Holds'!$I$37:$U$705,13,0),0)</f>
        <v>#NAME?</v>
      </c>
      <c r="F91" s="274"/>
      <c r="G91" s="274" t="e">
        <f t="shared" ca="1" si="0"/>
        <v>#NAME?</v>
      </c>
      <c r="H91" s="274">
        <f t="shared" si="1"/>
        <v>0</v>
      </c>
    </row>
    <row r="92" spans="2:8" ht="13.5" customHeight="1">
      <c r="B92" s="209" t="s">
        <v>2272</v>
      </c>
      <c r="C92" s="209" t="s">
        <v>3565</v>
      </c>
      <c r="D92" s="406" t="str">
        <f t="shared" si="2"/>
        <v>11-12</v>
      </c>
      <c r="E92" s="273" t="e">
        <f ca="1">_xludf.IFNA(VLOOKUP('Comp X - UP'!B92,'Urban Plastix Holds'!$I$37:$U$705,5,0),0)</f>
        <v>#NAME?</v>
      </c>
      <c r="F92" s="274"/>
      <c r="G92" s="274" t="e">
        <f t="shared" ca="1" si="0"/>
        <v>#NAME?</v>
      </c>
      <c r="H92" s="274">
        <f t="shared" si="1"/>
        <v>0</v>
      </c>
    </row>
    <row r="93" spans="2:8" ht="13.5" customHeight="1">
      <c r="B93" s="209" t="s">
        <v>2272</v>
      </c>
      <c r="C93" s="209" t="s">
        <v>3565</v>
      </c>
      <c r="D93" s="408" t="str">
        <f t="shared" si="2"/>
        <v>14-01</v>
      </c>
      <c r="E93" s="273" t="e">
        <f ca="1">_xludf.IFNA(VLOOKUP('Comp X - UP'!B93,'Urban Plastix Holds'!$I$37:$U$705,6,0),0)</f>
        <v>#NAME?</v>
      </c>
      <c r="F93" s="274"/>
      <c r="G93" s="274" t="e">
        <f t="shared" ca="1" si="0"/>
        <v>#NAME?</v>
      </c>
      <c r="H93" s="274">
        <f t="shared" si="1"/>
        <v>0</v>
      </c>
    </row>
    <row r="94" spans="2:8" ht="13.5" customHeight="1">
      <c r="B94" s="209" t="s">
        <v>2272</v>
      </c>
      <c r="C94" s="209" t="s">
        <v>3565</v>
      </c>
      <c r="D94" s="409" t="str">
        <f t="shared" si="2"/>
        <v>15-12</v>
      </c>
      <c r="E94" s="273" t="e">
        <f ca="1">_xludf.IFNA(VLOOKUP('Comp X - UP'!B94,'Urban Plastix Holds'!$I$37:$U$705,7,0),0)</f>
        <v>#NAME?</v>
      </c>
      <c r="F94" s="274"/>
      <c r="G94" s="274" t="e">
        <f t="shared" ca="1" si="0"/>
        <v>#NAME?</v>
      </c>
      <c r="H94" s="274">
        <f t="shared" si="1"/>
        <v>0</v>
      </c>
    </row>
    <row r="95" spans="2:8" ht="13.5" customHeight="1">
      <c r="B95" s="209" t="s">
        <v>2272</v>
      </c>
      <c r="C95" s="209" t="s">
        <v>3565</v>
      </c>
      <c r="D95" s="410" t="str">
        <f t="shared" si="2"/>
        <v>16-16</v>
      </c>
      <c r="E95" s="273" t="e">
        <f ca="1">_xludf.IFNA(VLOOKUP('Comp X - UP'!B95,'Urban Plastix Holds'!$I$37:$U$705,8,0),0)</f>
        <v>#NAME?</v>
      </c>
      <c r="F95" s="274"/>
      <c r="G95" s="274" t="e">
        <f t="shared" ca="1" si="0"/>
        <v>#NAME?</v>
      </c>
      <c r="H95" s="274">
        <f t="shared" si="1"/>
        <v>0</v>
      </c>
    </row>
    <row r="96" spans="2:8" ht="13.5" customHeight="1">
      <c r="B96" s="209" t="s">
        <v>2272</v>
      </c>
      <c r="C96" s="209" t="s">
        <v>3565</v>
      </c>
      <c r="D96" s="411" t="str">
        <f t="shared" si="2"/>
        <v>13-01</v>
      </c>
      <c r="E96" s="273" t="e">
        <f ca="1">_xludf.IFNA(VLOOKUP('Comp X - UP'!B96,'Urban Plastix Holds'!$I$37:$U$705,9,0),0)</f>
        <v>#NAME?</v>
      </c>
      <c r="F96" s="274"/>
      <c r="G96" s="274" t="e">
        <f t="shared" ca="1" si="0"/>
        <v>#NAME?</v>
      </c>
      <c r="H96" s="274">
        <f t="shared" si="1"/>
        <v>0</v>
      </c>
    </row>
    <row r="97" spans="2:8" ht="13.5" customHeight="1">
      <c r="B97" s="209" t="s">
        <v>2272</v>
      </c>
      <c r="C97" s="209" t="s">
        <v>3565</v>
      </c>
      <c r="D97" s="413" t="str">
        <f t="shared" si="2"/>
        <v>07-13</v>
      </c>
      <c r="E97" s="273" t="e">
        <f ca="1">_xludf.IFNA(VLOOKUP('Comp X - UP'!B97,'Urban Plastix Holds'!$I$37:$U$705,10,0),0)</f>
        <v>#NAME?</v>
      </c>
      <c r="F97" s="274"/>
      <c r="G97" s="274" t="e">
        <f t="shared" ca="1" si="0"/>
        <v>#NAME?</v>
      </c>
      <c r="H97" s="274">
        <f t="shared" si="1"/>
        <v>0</v>
      </c>
    </row>
    <row r="98" spans="2:8" ht="13.5" customHeight="1">
      <c r="B98" s="209" t="s">
        <v>2272</v>
      </c>
      <c r="C98" s="209" t="s">
        <v>3565</v>
      </c>
      <c r="D98" s="414" t="str">
        <f t="shared" si="2"/>
        <v>11-26</v>
      </c>
      <c r="E98" s="273" t="e">
        <f ca="1">_xludf.IFNA(VLOOKUP('Comp X - UP'!B98,'Urban Plastix Holds'!$I$37:$U$705,11,0),0)</f>
        <v>#NAME?</v>
      </c>
      <c r="F98" s="274"/>
      <c r="G98" s="274" t="e">
        <f t="shared" ca="1" si="0"/>
        <v>#NAME?</v>
      </c>
      <c r="H98" s="274">
        <f t="shared" si="1"/>
        <v>0</v>
      </c>
    </row>
    <row r="99" spans="2:8" ht="13.5" customHeight="1">
      <c r="B99" s="209" t="s">
        <v>2272</v>
      </c>
      <c r="C99" s="209" t="s">
        <v>3565</v>
      </c>
      <c r="D99" s="415" t="str">
        <f t="shared" si="2"/>
        <v>18-01</v>
      </c>
      <c r="E99" s="273" t="e">
        <f ca="1">_xludf.IFNA(VLOOKUP('Comp X - UP'!B99,'Urban Plastix Holds'!$I$37:$U$705,12,0),0)</f>
        <v>#NAME?</v>
      </c>
      <c r="F99" s="274"/>
      <c r="G99" s="274" t="e">
        <f t="shared" ca="1" si="0"/>
        <v>#NAME?</v>
      </c>
      <c r="H99" s="274">
        <f t="shared" si="1"/>
        <v>0</v>
      </c>
    </row>
    <row r="100" spans="2:8" ht="13.5" customHeight="1">
      <c r="B100" s="209" t="s">
        <v>2272</v>
      </c>
      <c r="C100" s="209" t="s">
        <v>3565</v>
      </c>
      <c r="D100" s="416" t="str">
        <f t="shared" si="2"/>
        <v>Color Code</v>
      </c>
      <c r="E100" s="273" t="e">
        <f ca="1">_xludf.IFNA(VLOOKUP('Comp X - UP'!B100,'Urban Plastix Holds'!$I$37:$U$705,13,0),0)</f>
        <v>#NAME?</v>
      </c>
      <c r="F100" s="274"/>
      <c r="G100" s="274" t="e">
        <f t="shared" ca="1" si="0"/>
        <v>#NAME?</v>
      </c>
      <c r="H100" s="274">
        <f t="shared" si="1"/>
        <v>0</v>
      </c>
    </row>
    <row r="101" spans="2:8" ht="13.5" customHeight="1">
      <c r="B101" s="209" t="s">
        <v>2273</v>
      </c>
      <c r="C101" s="209" t="s">
        <v>3566</v>
      </c>
      <c r="D101" s="406" t="str">
        <f t="shared" si="2"/>
        <v>11-12</v>
      </c>
      <c r="E101" s="273" t="e">
        <f ca="1">_xludf.IFNA(VLOOKUP('Comp X - UP'!B101,'Urban Plastix Holds'!$I$37:$U$705,5,0),0)</f>
        <v>#NAME?</v>
      </c>
      <c r="F101" s="274"/>
      <c r="G101" s="274" t="e">
        <f t="shared" ca="1" si="0"/>
        <v>#NAME?</v>
      </c>
      <c r="H101" s="274">
        <f t="shared" si="1"/>
        <v>0</v>
      </c>
    </row>
    <row r="102" spans="2:8" ht="13.5" customHeight="1">
      <c r="B102" s="209" t="s">
        <v>2273</v>
      </c>
      <c r="C102" s="209" t="s">
        <v>3566</v>
      </c>
      <c r="D102" s="408" t="str">
        <f t="shared" si="2"/>
        <v>14-01</v>
      </c>
      <c r="E102" s="273" t="e">
        <f ca="1">_xludf.IFNA(VLOOKUP('Comp X - UP'!B102,'Urban Plastix Holds'!$I$37:$U$705,6,0),0)</f>
        <v>#NAME?</v>
      </c>
      <c r="F102" s="274"/>
      <c r="G102" s="274" t="e">
        <f t="shared" ca="1" si="0"/>
        <v>#NAME?</v>
      </c>
      <c r="H102" s="274">
        <f t="shared" si="1"/>
        <v>0</v>
      </c>
    </row>
    <row r="103" spans="2:8" ht="13.5" customHeight="1">
      <c r="B103" s="209" t="s">
        <v>2273</v>
      </c>
      <c r="C103" s="209" t="s">
        <v>3566</v>
      </c>
      <c r="D103" s="409" t="str">
        <f t="shared" si="2"/>
        <v>15-12</v>
      </c>
      <c r="E103" s="273" t="e">
        <f ca="1">_xludf.IFNA(VLOOKUP('Comp X - UP'!B103,'Urban Plastix Holds'!$I$37:$U$705,7,0),0)</f>
        <v>#NAME?</v>
      </c>
      <c r="F103" s="274"/>
      <c r="G103" s="274" t="e">
        <f t="shared" ca="1" si="0"/>
        <v>#NAME?</v>
      </c>
      <c r="H103" s="274">
        <f t="shared" si="1"/>
        <v>0</v>
      </c>
    </row>
    <row r="104" spans="2:8" ht="13.5" customHeight="1">
      <c r="B104" s="209" t="s">
        <v>2273</v>
      </c>
      <c r="C104" s="209" t="s">
        <v>3566</v>
      </c>
      <c r="D104" s="410" t="str">
        <f t="shared" si="2"/>
        <v>16-16</v>
      </c>
      <c r="E104" s="273" t="e">
        <f ca="1">_xludf.IFNA(VLOOKUP('Comp X - UP'!B104,'Urban Plastix Holds'!$I$37:$U$705,8,0),0)</f>
        <v>#NAME?</v>
      </c>
      <c r="F104" s="274"/>
      <c r="G104" s="274" t="e">
        <f t="shared" ca="1" si="0"/>
        <v>#NAME?</v>
      </c>
      <c r="H104" s="274">
        <f t="shared" si="1"/>
        <v>0</v>
      </c>
    </row>
    <row r="105" spans="2:8" ht="13.5" customHeight="1">
      <c r="B105" s="209" t="s">
        <v>2273</v>
      </c>
      <c r="C105" s="209" t="s">
        <v>3566</v>
      </c>
      <c r="D105" s="411" t="str">
        <f t="shared" si="2"/>
        <v>13-01</v>
      </c>
      <c r="E105" s="273" t="e">
        <f ca="1">_xludf.IFNA(VLOOKUP('Comp X - UP'!B105,'Urban Plastix Holds'!$I$37:$U$705,9,0),0)</f>
        <v>#NAME?</v>
      </c>
      <c r="F105" s="274"/>
      <c r="G105" s="274" t="e">
        <f t="shared" ca="1" si="0"/>
        <v>#NAME?</v>
      </c>
      <c r="H105" s="274">
        <f t="shared" si="1"/>
        <v>0</v>
      </c>
    </row>
    <row r="106" spans="2:8" ht="13.5" customHeight="1">
      <c r="B106" s="209" t="s">
        <v>2273</v>
      </c>
      <c r="C106" s="209" t="s">
        <v>3566</v>
      </c>
      <c r="D106" s="413" t="str">
        <f t="shared" si="2"/>
        <v>07-13</v>
      </c>
      <c r="E106" s="273" t="e">
        <f ca="1">_xludf.IFNA(VLOOKUP('Comp X - UP'!B106,'Urban Plastix Holds'!$I$37:$U$705,10,0),0)</f>
        <v>#NAME?</v>
      </c>
      <c r="F106" s="274"/>
      <c r="G106" s="274" t="e">
        <f t="shared" ca="1" si="0"/>
        <v>#NAME?</v>
      </c>
      <c r="H106" s="274">
        <f t="shared" si="1"/>
        <v>0</v>
      </c>
    </row>
    <row r="107" spans="2:8" ht="13.5" customHeight="1">
      <c r="B107" s="209" t="s">
        <v>2273</v>
      </c>
      <c r="C107" s="209" t="s">
        <v>3566</v>
      </c>
      <c r="D107" s="414" t="str">
        <f t="shared" si="2"/>
        <v>11-26</v>
      </c>
      <c r="E107" s="273" t="e">
        <f ca="1">_xludf.IFNA(VLOOKUP('Comp X - UP'!B107,'Urban Plastix Holds'!$I$37:$U$705,11,0),0)</f>
        <v>#NAME?</v>
      </c>
      <c r="F107" s="274"/>
      <c r="G107" s="274" t="e">
        <f t="shared" ca="1" si="0"/>
        <v>#NAME?</v>
      </c>
      <c r="H107" s="274">
        <f t="shared" si="1"/>
        <v>0</v>
      </c>
    </row>
    <row r="108" spans="2:8" ht="13.5" customHeight="1">
      <c r="B108" s="209" t="s">
        <v>2273</v>
      </c>
      <c r="C108" s="209" t="s">
        <v>3566</v>
      </c>
      <c r="D108" s="415" t="str">
        <f t="shared" si="2"/>
        <v>18-01</v>
      </c>
      <c r="E108" s="273" t="e">
        <f ca="1">_xludf.IFNA(VLOOKUP('Comp X - UP'!B108,'Urban Plastix Holds'!$I$37:$U$705,12,0),0)</f>
        <v>#NAME?</v>
      </c>
      <c r="F108" s="274"/>
      <c r="G108" s="274" t="e">
        <f t="shared" ca="1" si="0"/>
        <v>#NAME?</v>
      </c>
      <c r="H108" s="274">
        <f t="shared" si="1"/>
        <v>0</v>
      </c>
    </row>
    <row r="109" spans="2:8" ht="13.5" customHeight="1">
      <c r="B109" s="209" t="s">
        <v>2273</v>
      </c>
      <c r="C109" s="209" t="s">
        <v>3566</v>
      </c>
      <c r="D109" s="416" t="str">
        <f t="shared" si="2"/>
        <v>Color Code</v>
      </c>
      <c r="E109" s="273" t="e">
        <f ca="1">_xludf.IFNA(VLOOKUP('Comp X - UP'!B109,'Urban Plastix Holds'!$I$37:$U$705,13,0),0)</f>
        <v>#NAME?</v>
      </c>
      <c r="F109" s="274"/>
      <c r="G109" s="274" t="e">
        <f t="shared" ca="1" si="0"/>
        <v>#NAME?</v>
      </c>
      <c r="H109" s="274">
        <f t="shared" si="1"/>
        <v>0</v>
      </c>
    </row>
    <row r="110" spans="2:8" ht="13.5" customHeight="1">
      <c r="B110" s="209" t="s">
        <v>2274</v>
      </c>
      <c r="C110" s="209" t="s">
        <v>3567</v>
      </c>
      <c r="D110" s="406" t="str">
        <f t="shared" si="2"/>
        <v>11-12</v>
      </c>
      <c r="E110" s="273" t="e">
        <f ca="1">_xludf.IFNA(VLOOKUP('Comp X - UP'!B110,'Urban Plastix Holds'!$I$37:$U$705,5,0),0)</f>
        <v>#NAME?</v>
      </c>
      <c r="F110" s="274"/>
      <c r="G110" s="274" t="e">
        <f t="shared" ca="1" si="0"/>
        <v>#NAME?</v>
      </c>
      <c r="H110" s="274">
        <f t="shared" si="1"/>
        <v>0</v>
      </c>
    </row>
    <row r="111" spans="2:8" ht="13.5" customHeight="1">
      <c r="B111" s="209" t="s">
        <v>2274</v>
      </c>
      <c r="C111" s="209" t="s">
        <v>3567</v>
      </c>
      <c r="D111" s="408" t="str">
        <f t="shared" si="2"/>
        <v>14-01</v>
      </c>
      <c r="E111" s="273" t="e">
        <f ca="1">_xludf.IFNA(VLOOKUP('Comp X - UP'!B111,'Urban Plastix Holds'!$I$37:$U$705,6,0),0)</f>
        <v>#NAME?</v>
      </c>
      <c r="F111" s="274"/>
      <c r="G111" s="274" t="e">
        <f t="shared" ca="1" si="0"/>
        <v>#NAME?</v>
      </c>
      <c r="H111" s="274">
        <f t="shared" si="1"/>
        <v>0</v>
      </c>
    </row>
    <row r="112" spans="2:8" ht="13.5" customHeight="1">
      <c r="B112" s="209" t="s">
        <v>2274</v>
      </c>
      <c r="C112" s="209" t="s">
        <v>3567</v>
      </c>
      <c r="D112" s="409" t="str">
        <f t="shared" si="2"/>
        <v>15-12</v>
      </c>
      <c r="E112" s="273" t="e">
        <f ca="1">_xludf.IFNA(VLOOKUP('Comp X - UP'!B112,'Urban Plastix Holds'!$I$37:$U$705,7,0),0)</f>
        <v>#NAME?</v>
      </c>
      <c r="F112" s="274"/>
      <c r="G112" s="274" t="e">
        <f t="shared" ca="1" si="0"/>
        <v>#NAME?</v>
      </c>
      <c r="H112" s="274">
        <f t="shared" si="1"/>
        <v>0</v>
      </c>
    </row>
    <row r="113" spans="2:8" ht="13.5" customHeight="1">
      <c r="B113" s="209" t="s">
        <v>2274</v>
      </c>
      <c r="C113" s="209" t="s">
        <v>3567</v>
      </c>
      <c r="D113" s="410" t="str">
        <f t="shared" si="2"/>
        <v>16-16</v>
      </c>
      <c r="E113" s="273" t="e">
        <f ca="1">_xludf.IFNA(VLOOKUP('Comp X - UP'!B113,'Urban Plastix Holds'!$I$37:$U$705,8,0),0)</f>
        <v>#NAME?</v>
      </c>
      <c r="F113" s="274"/>
      <c r="G113" s="274" t="e">
        <f t="shared" ca="1" si="0"/>
        <v>#NAME?</v>
      </c>
      <c r="H113" s="274">
        <f t="shared" si="1"/>
        <v>0</v>
      </c>
    </row>
    <row r="114" spans="2:8" ht="13.5" customHeight="1">
      <c r="B114" s="209" t="s">
        <v>2274</v>
      </c>
      <c r="C114" s="209" t="s">
        <v>3567</v>
      </c>
      <c r="D114" s="411" t="str">
        <f t="shared" si="2"/>
        <v>13-01</v>
      </c>
      <c r="E114" s="273" t="e">
        <f ca="1">_xludf.IFNA(VLOOKUP('Comp X - UP'!B114,'Urban Plastix Holds'!$I$37:$U$705,9,0),0)</f>
        <v>#NAME?</v>
      </c>
      <c r="F114" s="274"/>
      <c r="G114" s="274" t="e">
        <f t="shared" ca="1" si="0"/>
        <v>#NAME?</v>
      </c>
      <c r="H114" s="274">
        <f t="shared" si="1"/>
        <v>0</v>
      </c>
    </row>
    <row r="115" spans="2:8" ht="13.5" customHeight="1">
      <c r="B115" s="209" t="s">
        <v>2274</v>
      </c>
      <c r="C115" s="209" t="s">
        <v>3567</v>
      </c>
      <c r="D115" s="413" t="str">
        <f t="shared" si="2"/>
        <v>07-13</v>
      </c>
      <c r="E115" s="273" t="e">
        <f ca="1">_xludf.IFNA(VLOOKUP('Comp X - UP'!B115,'Urban Plastix Holds'!$I$37:$U$705,10,0),0)</f>
        <v>#NAME?</v>
      </c>
      <c r="F115" s="274"/>
      <c r="G115" s="274" t="e">
        <f t="shared" ca="1" si="0"/>
        <v>#NAME?</v>
      </c>
      <c r="H115" s="274">
        <f t="shared" si="1"/>
        <v>0</v>
      </c>
    </row>
    <row r="116" spans="2:8" ht="13.5" customHeight="1">
      <c r="B116" s="209" t="s">
        <v>2274</v>
      </c>
      <c r="C116" s="209" t="s">
        <v>3567</v>
      </c>
      <c r="D116" s="414" t="str">
        <f t="shared" si="2"/>
        <v>11-26</v>
      </c>
      <c r="E116" s="273" t="e">
        <f ca="1">_xludf.IFNA(VLOOKUP('Comp X - UP'!B116,'Urban Plastix Holds'!$I$37:$U$705,11,0),0)</f>
        <v>#NAME?</v>
      </c>
      <c r="F116" s="274"/>
      <c r="G116" s="274" t="e">
        <f t="shared" ca="1" si="0"/>
        <v>#NAME?</v>
      </c>
      <c r="H116" s="274">
        <f t="shared" si="1"/>
        <v>0</v>
      </c>
    </row>
    <row r="117" spans="2:8" ht="13.5" customHeight="1">
      <c r="B117" s="209" t="s">
        <v>2274</v>
      </c>
      <c r="C117" s="209" t="s">
        <v>3567</v>
      </c>
      <c r="D117" s="415" t="str">
        <f t="shared" si="2"/>
        <v>18-01</v>
      </c>
      <c r="E117" s="273" t="e">
        <f ca="1">_xludf.IFNA(VLOOKUP('Comp X - UP'!B117,'Urban Plastix Holds'!$I$37:$U$705,12,0),0)</f>
        <v>#NAME?</v>
      </c>
      <c r="F117" s="274"/>
      <c r="G117" s="274" t="e">
        <f t="shared" ca="1" si="0"/>
        <v>#NAME?</v>
      </c>
      <c r="H117" s="274">
        <f t="shared" si="1"/>
        <v>0</v>
      </c>
    </row>
    <row r="118" spans="2:8" ht="13.5" customHeight="1">
      <c r="B118" s="209" t="s">
        <v>2274</v>
      </c>
      <c r="C118" s="209" t="s">
        <v>3567</v>
      </c>
      <c r="D118" s="416" t="str">
        <f t="shared" si="2"/>
        <v>Color Code</v>
      </c>
      <c r="E118" s="273" t="e">
        <f ca="1">_xludf.IFNA(VLOOKUP('Comp X - UP'!B118,'Urban Plastix Holds'!$I$37:$U$705,13,0),0)</f>
        <v>#NAME?</v>
      </c>
      <c r="F118" s="274"/>
      <c r="G118" s="274" t="e">
        <f t="shared" ca="1" si="0"/>
        <v>#NAME?</v>
      </c>
      <c r="H118" s="274">
        <f t="shared" si="1"/>
        <v>0</v>
      </c>
    </row>
    <row r="119" spans="2:8" ht="13.5" customHeight="1">
      <c r="B119" s="209" t="s">
        <v>2275</v>
      </c>
      <c r="C119" s="209" t="s">
        <v>3568</v>
      </c>
      <c r="D119" s="406" t="str">
        <f t="shared" si="2"/>
        <v>11-12</v>
      </c>
      <c r="E119" s="273" t="e">
        <f ca="1">_xludf.IFNA(VLOOKUP('Comp X - UP'!B119,'Urban Plastix Holds'!$I$37:$U$705,5,0),0)</f>
        <v>#NAME?</v>
      </c>
      <c r="F119" s="274"/>
      <c r="G119" s="274" t="e">
        <f t="shared" ca="1" si="0"/>
        <v>#NAME?</v>
      </c>
      <c r="H119" s="274">
        <f t="shared" si="1"/>
        <v>0</v>
      </c>
    </row>
    <row r="120" spans="2:8" ht="13.5" customHeight="1">
      <c r="B120" s="209" t="s">
        <v>2275</v>
      </c>
      <c r="C120" s="209" t="s">
        <v>3568</v>
      </c>
      <c r="D120" s="408" t="str">
        <f t="shared" si="2"/>
        <v>14-01</v>
      </c>
      <c r="E120" s="273" t="e">
        <f ca="1">_xludf.IFNA(VLOOKUP('Comp X - UP'!B120,'Urban Plastix Holds'!$I$37:$U$705,6,0),0)</f>
        <v>#NAME?</v>
      </c>
      <c r="F120" s="274"/>
      <c r="G120" s="274" t="e">
        <f t="shared" ca="1" si="0"/>
        <v>#NAME?</v>
      </c>
      <c r="H120" s="274">
        <f t="shared" si="1"/>
        <v>0</v>
      </c>
    </row>
    <row r="121" spans="2:8" ht="13.5" customHeight="1">
      <c r="B121" s="209" t="s">
        <v>2275</v>
      </c>
      <c r="C121" s="209" t="s">
        <v>3568</v>
      </c>
      <c r="D121" s="409" t="str">
        <f t="shared" si="2"/>
        <v>15-12</v>
      </c>
      <c r="E121" s="273" t="e">
        <f ca="1">_xludf.IFNA(VLOOKUP('Comp X - UP'!B121,'Urban Plastix Holds'!$I$37:$U$705,7,0),0)</f>
        <v>#NAME?</v>
      </c>
      <c r="F121" s="274"/>
      <c r="G121" s="274" t="e">
        <f t="shared" ca="1" si="0"/>
        <v>#NAME?</v>
      </c>
      <c r="H121" s="274">
        <f t="shared" si="1"/>
        <v>0</v>
      </c>
    </row>
    <row r="122" spans="2:8" ht="13.5" customHeight="1">
      <c r="B122" s="209" t="s">
        <v>2275</v>
      </c>
      <c r="C122" s="209" t="s">
        <v>3568</v>
      </c>
      <c r="D122" s="410" t="str">
        <f t="shared" si="2"/>
        <v>16-16</v>
      </c>
      <c r="E122" s="273" t="e">
        <f ca="1">_xludf.IFNA(VLOOKUP('Comp X - UP'!B122,'Urban Plastix Holds'!$I$37:$U$705,8,0),0)</f>
        <v>#NAME?</v>
      </c>
      <c r="F122" s="274"/>
      <c r="G122" s="274" t="e">
        <f t="shared" ca="1" si="0"/>
        <v>#NAME?</v>
      </c>
      <c r="H122" s="274">
        <f t="shared" si="1"/>
        <v>0</v>
      </c>
    </row>
    <row r="123" spans="2:8" ht="13.5" customHeight="1">
      <c r="B123" s="209" t="s">
        <v>2275</v>
      </c>
      <c r="C123" s="209" t="s">
        <v>3568</v>
      </c>
      <c r="D123" s="411" t="str">
        <f t="shared" si="2"/>
        <v>13-01</v>
      </c>
      <c r="E123" s="273" t="e">
        <f ca="1">_xludf.IFNA(VLOOKUP('Comp X - UP'!B123,'Urban Plastix Holds'!$I$37:$U$705,9,0),0)</f>
        <v>#NAME?</v>
      </c>
      <c r="F123" s="274"/>
      <c r="G123" s="274" t="e">
        <f t="shared" ca="1" si="0"/>
        <v>#NAME?</v>
      </c>
      <c r="H123" s="274">
        <f t="shared" si="1"/>
        <v>0</v>
      </c>
    </row>
    <row r="124" spans="2:8" ht="13.5" customHeight="1">
      <c r="B124" s="209" t="s">
        <v>2275</v>
      </c>
      <c r="C124" s="209" t="s">
        <v>3568</v>
      </c>
      <c r="D124" s="413" t="str">
        <f t="shared" si="2"/>
        <v>07-13</v>
      </c>
      <c r="E124" s="273" t="e">
        <f ca="1">_xludf.IFNA(VLOOKUP('Comp X - UP'!B124,'Urban Plastix Holds'!$I$37:$U$705,10,0),0)</f>
        <v>#NAME?</v>
      </c>
      <c r="F124" s="274"/>
      <c r="G124" s="274" t="e">
        <f t="shared" ca="1" si="0"/>
        <v>#NAME?</v>
      </c>
      <c r="H124" s="274">
        <f t="shared" si="1"/>
        <v>0</v>
      </c>
    </row>
    <row r="125" spans="2:8" ht="13.5" customHeight="1">
      <c r="B125" s="209" t="s">
        <v>2275</v>
      </c>
      <c r="C125" s="209" t="s">
        <v>3568</v>
      </c>
      <c r="D125" s="414" t="str">
        <f t="shared" si="2"/>
        <v>11-26</v>
      </c>
      <c r="E125" s="273" t="e">
        <f ca="1">_xludf.IFNA(VLOOKUP('Comp X - UP'!B125,'Urban Plastix Holds'!$I$37:$U$705,11,0),0)</f>
        <v>#NAME?</v>
      </c>
      <c r="F125" s="274"/>
      <c r="G125" s="274" t="e">
        <f t="shared" ca="1" si="0"/>
        <v>#NAME?</v>
      </c>
      <c r="H125" s="274">
        <f t="shared" si="1"/>
        <v>0</v>
      </c>
    </row>
    <row r="126" spans="2:8" ht="13.5" customHeight="1">
      <c r="B126" s="209" t="s">
        <v>2275</v>
      </c>
      <c r="C126" s="209" t="s">
        <v>3568</v>
      </c>
      <c r="D126" s="415" t="str">
        <f t="shared" si="2"/>
        <v>18-01</v>
      </c>
      <c r="E126" s="273" t="e">
        <f ca="1">_xludf.IFNA(VLOOKUP('Comp X - UP'!B126,'Urban Plastix Holds'!$I$37:$U$705,12,0),0)</f>
        <v>#NAME?</v>
      </c>
      <c r="F126" s="274"/>
      <c r="G126" s="274" t="e">
        <f t="shared" ca="1" si="0"/>
        <v>#NAME?</v>
      </c>
      <c r="H126" s="274">
        <f t="shared" si="1"/>
        <v>0</v>
      </c>
    </row>
    <row r="127" spans="2:8" ht="13.5" customHeight="1">
      <c r="B127" s="209" t="s">
        <v>2275</v>
      </c>
      <c r="C127" s="209" t="s">
        <v>3568</v>
      </c>
      <c r="D127" s="416" t="str">
        <f t="shared" si="2"/>
        <v>Color Code</v>
      </c>
      <c r="E127" s="273" t="e">
        <f ca="1">_xludf.IFNA(VLOOKUP('Comp X - UP'!B127,'Urban Plastix Holds'!$I$37:$U$705,13,0),0)</f>
        <v>#NAME?</v>
      </c>
      <c r="F127" s="274"/>
      <c r="G127" s="274" t="e">
        <f t="shared" ca="1" si="0"/>
        <v>#NAME?</v>
      </c>
      <c r="H127" s="274">
        <f t="shared" si="1"/>
        <v>0</v>
      </c>
    </row>
    <row r="128" spans="2:8" ht="13.5" customHeight="1">
      <c r="B128" s="209" t="s">
        <v>2192</v>
      </c>
      <c r="C128" s="209" t="s">
        <v>3569</v>
      </c>
      <c r="D128" s="406" t="str">
        <f t="shared" si="2"/>
        <v>11-12</v>
      </c>
      <c r="E128" s="273" t="e">
        <f ca="1">_xludf.IFNA(VLOOKUP('Comp X - UP'!B128,'Urban Plastix Holds'!$I$37:$U$705,5,0),0)</f>
        <v>#NAME?</v>
      </c>
      <c r="F128" s="274"/>
      <c r="G128" s="274" t="e">
        <f t="shared" ca="1" si="0"/>
        <v>#NAME?</v>
      </c>
      <c r="H128" s="274">
        <f t="shared" si="1"/>
        <v>0</v>
      </c>
    </row>
    <row r="129" spans="2:8" ht="13.5" customHeight="1">
      <c r="B129" s="209" t="s">
        <v>2192</v>
      </c>
      <c r="C129" s="209" t="s">
        <v>3569</v>
      </c>
      <c r="D129" s="408" t="str">
        <f t="shared" si="2"/>
        <v>14-01</v>
      </c>
      <c r="E129" s="273" t="e">
        <f ca="1">_xludf.IFNA(VLOOKUP('Comp X - UP'!B129,'Urban Plastix Holds'!$I$37:$U$705,6,0),0)</f>
        <v>#NAME?</v>
      </c>
      <c r="F129" s="274"/>
      <c r="G129" s="274" t="e">
        <f t="shared" ca="1" si="0"/>
        <v>#NAME?</v>
      </c>
      <c r="H129" s="274">
        <f t="shared" si="1"/>
        <v>0</v>
      </c>
    </row>
    <row r="130" spans="2:8" ht="13.5" customHeight="1">
      <c r="B130" s="209" t="s">
        <v>2192</v>
      </c>
      <c r="C130" s="209" t="s">
        <v>3569</v>
      </c>
      <c r="D130" s="409" t="str">
        <f t="shared" si="2"/>
        <v>15-12</v>
      </c>
      <c r="E130" s="273" t="e">
        <f ca="1">_xludf.IFNA(VLOOKUP('Comp X - UP'!B130,'Urban Plastix Holds'!$I$37:$U$705,7,0),0)</f>
        <v>#NAME?</v>
      </c>
      <c r="F130" s="274"/>
      <c r="G130" s="274" t="e">
        <f t="shared" ca="1" si="0"/>
        <v>#NAME?</v>
      </c>
      <c r="H130" s="274">
        <f t="shared" si="1"/>
        <v>0</v>
      </c>
    </row>
    <row r="131" spans="2:8" ht="13.5" customHeight="1">
      <c r="B131" s="209" t="s">
        <v>2192</v>
      </c>
      <c r="C131" s="209" t="s">
        <v>3569</v>
      </c>
      <c r="D131" s="410" t="str">
        <f t="shared" si="2"/>
        <v>16-16</v>
      </c>
      <c r="E131" s="273" t="e">
        <f ca="1">_xludf.IFNA(VLOOKUP('Comp X - UP'!B131,'Urban Plastix Holds'!$I$37:$U$705,8,0),0)</f>
        <v>#NAME?</v>
      </c>
      <c r="F131" s="274"/>
      <c r="G131" s="274" t="e">
        <f t="shared" ca="1" si="0"/>
        <v>#NAME?</v>
      </c>
      <c r="H131" s="274">
        <f t="shared" si="1"/>
        <v>0</v>
      </c>
    </row>
    <row r="132" spans="2:8" ht="13.5" customHeight="1">
      <c r="B132" s="209" t="s">
        <v>2192</v>
      </c>
      <c r="C132" s="209" t="s">
        <v>3569</v>
      </c>
      <c r="D132" s="411" t="str">
        <f t="shared" si="2"/>
        <v>13-01</v>
      </c>
      <c r="E132" s="273" t="e">
        <f ca="1">_xludf.IFNA(VLOOKUP('Comp X - UP'!B132,'Urban Plastix Holds'!$I$37:$U$705,9,0),0)</f>
        <v>#NAME?</v>
      </c>
      <c r="F132" s="274"/>
      <c r="G132" s="274" t="e">
        <f t="shared" ca="1" si="0"/>
        <v>#NAME?</v>
      </c>
      <c r="H132" s="274">
        <f t="shared" si="1"/>
        <v>0</v>
      </c>
    </row>
    <row r="133" spans="2:8" ht="13.5" customHeight="1">
      <c r="B133" s="209" t="s">
        <v>2192</v>
      </c>
      <c r="C133" s="209" t="s">
        <v>3569</v>
      </c>
      <c r="D133" s="413" t="str">
        <f t="shared" si="2"/>
        <v>07-13</v>
      </c>
      <c r="E133" s="273" t="e">
        <f ca="1">_xludf.IFNA(VLOOKUP('Comp X - UP'!B133,'Urban Plastix Holds'!$I$37:$U$705,10,0),0)</f>
        <v>#NAME?</v>
      </c>
      <c r="F133" s="274"/>
      <c r="G133" s="274" t="e">
        <f t="shared" ca="1" si="0"/>
        <v>#NAME?</v>
      </c>
      <c r="H133" s="274">
        <f t="shared" si="1"/>
        <v>0</v>
      </c>
    </row>
    <row r="134" spans="2:8" ht="13.5" customHeight="1">
      <c r="B134" s="209" t="s">
        <v>2192</v>
      </c>
      <c r="C134" s="209" t="s">
        <v>3569</v>
      </c>
      <c r="D134" s="414" t="str">
        <f t="shared" si="2"/>
        <v>11-26</v>
      </c>
      <c r="E134" s="273" t="e">
        <f ca="1">_xludf.IFNA(VLOOKUP('Comp X - UP'!B134,'Urban Plastix Holds'!$I$37:$U$705,11,0),0)</f>
        <v>#NAME?</v>
      </c>
      <c r="F134" s="274"/>
      <c r="G134" s="274" t="e">
        <f t="shared" ca="1" si="0"/>
        <v>#NAME?</v>
      </c>
      <c r="H134" s="274">
        <f t="shared" si="1"/>
        <v>0</v>
      </c>
    </row>
    <row r="135" spans="2:8" ht="13.5" customHeight="1">
      <c r="B135" s="209" t="s">
        <v>2192</v>
      </c>
      <c r="C135" s="209" t="s">
        <v>3569</v>
      </c>
      <c r="D135" s="415" t="str">
        <f t="shared" si="2"/>
        <v>18-01</v>
      </c>
      <c r="E135" s="273" t="e">
        <f ca="1">_xludf.IFNA(VLOOKUP('Comp X - UP'!B135,'Urban Plastix Holds'!$I$37:$U$705,12,0),0)</f>
        <v>#NAME?</v>
      </c>
      <c r="F135" s="274"/>
      <c r="G135" s="274" t="e">
        <f t="shared" ca="1" si="0"/>
        <v>#NAME?</v>
      </c>
      <c r="H135" s="274">
        <f t="shared" si="1"/>
        <v>0</v>
      </c>
    </row>
    <row r="136" spans="2:8" ht="13.5" customHeight="1">
      <c r="B136" s="209" t="s">
        <v>2192</v>
      </c>
      <c r="C136" s="209" t="s">
        <v>3569</v>
      </c>
      <c r="D136" s="416" t="str">
        <f t="shared" si="2"/>
        <v>Color Code</v>
      </c>
      <c r="E136" s="273" t="e">
        <f ca="1">_xludf.IFNA(VLOOKUP('Comp X - UP'!B136,'Urban Plastix Holds'!$I$37:$U$705,13,0),0)</f>
        <v>#NAME?</v>
      </c>
      <c r="F136" s="274"/>
      <c r="G136" s="274" t="e">
        <f t="shared" ca="1" si="0"/>
        <v>#NAME?</v>
      </c>
      <c r="H136" s="274">
        <f t="shared" si="1"/>
        <v>0</v>
      </c>
    </row>
    <row r="137" spans="2:8" ht="13.5" customHeight="1">
      <c r="B137" s="209" t="s">
        <v>2193</v>
      </c>
      <c r="C137" s="209" t="s">
        <v>3570</v>
      </c>
      <c r="D137" s="406" t="str">
        <f t="shared" si="2"/>
        <v>11-12</v>
      </c>
      <c r="E137" s="273" t="e">
        <f ca="1">_xludf.IFNA(VLOOKUP('Comp X - UP'!B137,'Urban Plastix Holds'!$I$37:$U$705,5,0),0)</f>
        <v>#NAME?</v>
      </c>
      <c r="F137" s="274"/>
      <c r="G137" s="274" t="e">
        <f t="shared" ca="1" si="0"/>
        <v>#NAME?</v>
      </c>
      <c r="H137" s="274">
        <f t="shared" si="1"/>
        <v>0</v>
      </c>
    </row>
    <row r="138" spans="2:8" ht="13.5" customHeight="1">
      <c r="B138" s="209" t="s">
        <v>2193</v>
      </c>
      <c r="C138" s="209" t="s">
        <v>3570</v>
      </c>
      <c r="D138" s="408" t="str">
        <f t="shared" si="2"/>
        <v>14-01</v>
      </c>
      <c r="E138" s="273" t="e">
        <f ca="1">_xludf.IFNA(VLOOKUP('Comp X - UP'!B138,'Urban Plastix Holds'!$I$37:$U$705,6,0),0)</f>
        <v>#NAME?</v>
      </c>
      <c r="F138" s="274"/>
      <c r="G138" s="274" t="e">
        <f t="shared" ca="1" si="0"/>
        <v>#NAME?</v>
      </c>
      <c r="H138" s="274">
        <f t="shared" si="1"/>
        <v>0</v>
      </c>
    </row>
    <row r="139" spans="2:8" ht="13.5" customHeight="1">
      <c r="B139" s="209" t="s">
        <v>2193</v>
      </c>
      <c r="C139" s="209" t="s">
        <v>3570</v>
      </c>
      <c r="D139" s="409" t="str">
        <f t="shared" si="2"/>
        <v>15-12</v>
      </c>
      <c r="E139" s="273" t="e">
        <f ca="1">_xludf.IFNA(VLOOKUP('Comp X - UP'!B139,'Urban Plastix Holds'!$I$37:$U$705,7,0),0)</f>
        <v>#NAME?</v>
      </c>
      <c r="F139" s="274"/>
      <c r="G139" s="274" t="e">
        <f t="shared" ca="1" si="0"/>
        <v>#NAME?</v>
      </c>
      <c r="H139" s="274">
        <f t="shared" si="1"/>
        <v>0</v>
      </c>
    </row>
    <row r="140" spans="2:8" ht="13.5" customHeight="1">
      <c r="B140" s="209" t="s">
        <v>2193</v>
      </c>
      <c r="C140" s="209" t="s">
        <v>3570</v>
      </c>
      <c r="D140" s="410" t="str">
        <f t="shared" si="2"/>
        <v>16-16</v>
      </c>
      <c r="E140" s="273" t="e">
        <f ca="1">_xludf.IFNA(VLOOKUP('Comp X - UP'!B140,'Urban Plastix Holds'!$I$37:$U$705,8,0),0)</f>
        <v>#NAME?</v>
      </c>
      <c r="F140" s="274"/>
      <c r="G140" s="274" t="e">
        <f t="shared" ca="1" si="0"/>
        <v>#NAME?</v>
      </c>
      <c r="H140" s="274">
        <f t="shared" si="1"/>
        <v>0</v>
      </c>
    </row>
    <row r="141" spans="2:8" ht="13.5" customHeight="1">
      <c r="B141" s="209" t="s">
        <v>2193</v>
      </c>
      <c r="C141" s="209" t="s">
        <v>3570</v>
      </c>
      <c r="D141" s="411" t="str">
        <f t="shared" si="2"/>
        <v>13-01</v>
      </c>
      <c r="E141" s="273" t="e">
        <f ca="1">_xludf.IFNA(VLOOKUP('Comp X - UP'!B141,'Urban Plastix Holds'!$I$37:$U$705,9,0),0)</f>
        <v>#NAME?</v>
      </c>
      <c r="F141" s="274"/>
      <c r="G141" s="274" t="e">
        <f t="shared" ca="1" si="0"/>
        <v>#NAME?</v>
      </c>
      <c r="H141" s="274">
        <f t="shared" si="1"/>
        <v>0</v>
      </c>
    </row>
    <row r="142" spans="2:8" ht="13.5" customHeight="1">
      <c r="B142" s="209" t="s">
        <v>2193</v>
      </c>
      <c r="C142" s="209" t="s">
        <v>3570</v>
      </c>
      <c r="D142" s="413" t="str">
        <f t="shared" si="2"/>
        <v>07-13</v>
      </c>
      <c r="E142" s="273" t="e">
        <f ca="1">_xludf.IFNA(VLOOKUP('Comp X - UP'!B142,'Urban Plastix Holds'!$I$37:$U$705,10,0),0)</f>
        <v>#NAME?</v>
      </c>
      <c r="F142" s="274"/>
      <c r="G142" s="274" t="e">
        <f t="shared" ca="1" si="0"/>
        <v>#NAME?</v>
      </c>
      <c r="H142" s="274">
        <f t="shared" si="1"/>
        <v>0</v>
      </c>
    </row>
    <row r="143" spans="2:8" ht="13.5" customHeight="1">
      <c r="B143" s="209" t="s">
        <v>2193</v>
      </c>
      <c r="C143" s="209" t="s">
        <v>3570</v>
      </c>
      <c r="D143" s="414" t="str">
        <f t="shared" si="2"/>
        <v>11-26</v>
      </c>
      <c r="E143" s="273" t="e">
        <f ca="1">_xludf.IFNA(VLOOKUP('Comp X - UP'!B143,'Urban Plastix Holds'!$I$37:$U$705,11,0),0)</f>
        <v>#NAME?</v>
      </c>
      <c r="F143" s="274"/>
      <c r="G143" s="274" t="e">
        <f t="shared" ca="1" si="0"/>
        <v>#NAME?</v>
      </c>
      <c r="H143" s="274">
        <f t="shared" si="1"/>
        <v>0</v>
      </c>
    </row>
    <row r="144" spans="2:8" ht="13.5" customHeight="1">
      <c r="B144" s="209" t="s">
        <v>2193</v>
      </c>
      <c r="C144" s="209" t="s">
        <v>3570</v>
      </c>
      <c r="D144" s="415" t="str">
        <f t="shared" si="2"/>
        <v>18-01</v>
      </c>
      <c r="E144" s="273" t="e">
        <f ca="1">_xludf.IFNA(VLOOKUP('Comp X - UP'!B144,'Urban Plastix Holds'!$I$37:$U$705,12,0),0)</f>
        <v>#NAME?</v>
      </c>
      <c r="F144" s="274"/>
      <c r="G144" s="274" t="e">
        <f t="shared" ca="1" si="0"/>
        <v>#NAME?</v>
      </c>
      <c r="H144" s="274">
        <f t="shared" si="1"/>
        <v>0</v>
      </c>
    </row>
    <row r="145" spans="2:8" ht="13.5" customHeight="1">
      <c r="B145" s="209" t="s">
        <v>2193</v>
      </c>
      <c r="C145" s="209" t="s">
        <v>3570</v>
      </c>
      <c r="D145" s="416" t="str">
        <f t="shared" si="2"/>
        <v>Color Code</v>
      </c>
      <c r="E145" s="273" t="e">
        <f ca="1">_xludf.IFNA(VLOOKUP('Comp X - UP'!B145,'Urban Plastix Holds'!$I$37:$U$705,13,0),0)</f>
        <v>#NAME?</v>
      </c>
      <c r="F145" s="274"/>
      <c r="G145" s="274" t="e">
        <f t="shared" ca="1" si="0"/>
        <v>#NAME?</v>
      </c>
      <c r="H145" s="274">
        <f t="shared" si="1"/>
        <v>0</v>
      </c>
    </row>
    <row r="146" spans="2:8" ht="13.5" customHeight="1">
      <c r="B146" s="209" t="s">
        <v>2194</v>
      </c>
      <c r="C146" s="209" t="s">
        <v>3571</v>
      </c>
      <c r="D146" s="406" t="str">
        <f t="shared" si="2"/>
        <v>11-12</v>
      </c>
      <c r="E146" s="273" t="e">
        <f ca="1">_xludf.IFNA(VLOOKUP('Comp X - UP'!B146,'Urban Plastix Holds'!$I$37:$U$705,5,0),0)</f>
        <v>#NAME?</v>
      </c>
      <c r="F146" s="274"/>
      <c r="G146" s="274" t="e">
        <f t="shared" ca="1" si="0"/>
        <v>#NAME?</v>
      </c>
      <c r="H146" s="274">
        <f t="shared" si="1"/>
        <v>0</v>
      </c>
    </row>
    <row r="147" spans="2:8" ht="13.5" customHeight="1">
      <c r="B147" s="209" t="s">
        <v>2194</v>
      </c>
      <c r="C147" s="209" t="s">
        <v>3571</v>
      </c>
      <c r="D147" s="408" t="str">
        <f t="shared" si="2"/>
        <v>14-01</v>
      </c>
      <c r="E147" s="273" t="e">
        <f ca="1">_xludf.IFNA(VLOOKUP('Comp X - UP'!B147,'Urban Plastix Holds'!$I$37:$U$705,6,0),0)</f>
        <v>#NAME?</v>
      </c>
      <c r="F147" s="274"/>
      <c r="G147" s="274" t="e">
        <f t="shared" ca="1" si="0"/>
        <v>#NAME?</v>
      </c>
      <c r="H147" s="274">
        <f t="shared" si="1"/>
        <v>0</v>
      </c>
    </row>
    <row r="148" spans="2:8" ht="13.5" customHeight="1">
      <c r="B148" s="209" t="s">
        <v>2194</v>
      </c>
      <c r="C148" s="209" t="s">
        <v>3571</v>
      </c>
      <c r="D148" s="409" t="str">
        <f t="shared" si="2"/>
        <v>15-12</v>
      </c>
      <c r="E148" s="273" t="e">
        <f ca="1">_xludf.IFNA(VLOOKUP('Comp X - UP'!B148,'Urban Plastix Holds'!$I$37:$U$705,7,0),0)</f>
        <v>#NAME?</v>
      </c>
      <c r="F148" s="274"/>
      <c r="G148" s="274" t="e">
        <f t="shared" ca="1" si="0"/>
        <v>#NAME?</v>
      </c>
      <c r="H148" s="274">
        <f t="shared" si="1"/>
        <v>0</v>
      </c>
    </row>
    <row r="149" spans="2:8" ht="13.5" customHeight="1">
      <c r="B149" s="209" t="s">
        <v>2194</v>
      </c>
      <c r="C149" s="209" t="s">
        <v>3571</v>
      </c>
      <c r="D149" s="410" t="str">
        <f t="shared" si="2"/>
        <v>16-16</v>
      </c>
      <c r="E149" s="273" t="e">
        <f ca="1">_xludf.IFNA(VLOOKUP('Comp X - UP'!B149,'Urban Plastix Holds'!$I$37:$U$705,8,0),0)</f>
        <v>#NAME?</v>
      </c>
      <c r="F149" s="274"/>
      <c r="G149" s="274" t="e">
        <f t="shared" ca="1" si="0"/>
        <v>#NAME?</v>
      </c>
      <c r="H149" s="274">
        <f t="shared" si="1"/>
        <v>0</v>
      </c>
    </row>
    <row r="150" spans="2:8" ht="13.5" customHeight="1">
      <c r="B150" s="209" t="s">
        <v>2194</v>
      </c>
      <c r="C150" s="209" t="s">
        <v>3571</v>
      </c>
      <c r="D150" s="411" t="str">
        <f t="shared" si="2"/>
        <v>13-01</v>
      </c>
      <c r="E150" s="273" t="e">
        <f ca="1">_xludf.IFNA(VLOOKUP('Comp X - UP'!B150,'Urban Plastix Holds'!$I$37:$U$705,9,0),0)</f>
        <v>#NAME?</v>
      </c>
      <c r="F150" s="274"/>
      <c r="G150" s="274" t="e">
        <f t="shared" ca="1" si="0"/>
        <v>#NAME?</v>
      </c>
      <c r="H150" s="274">
        <f t="shared" si="1"/>
        <v>0</v>
      </c>
    </row>
    <row r="151" spans="2:8" ht="13.5" customHeight="1">
      <c r="B151" s="209" t="s">
        <v>2194</v>
      </c>
      <c r="C151" s="209" t="s">
        <v>3571</v>
      </c>
      <c r="D151" s="413" t="str">
        <f t="shared" si="2"/>
        <v>07-13</v>
      </c>
      <c r="E151" s="273" t="e">
        <f ca="1">_xludf.IFNA(VLOOKUP('Comp X - UP'!B151,'Urban Plastix Holds'!$I$37:$U$705,10,0),0)</f>
        <v>#NAME?</v>
      </c>
      <c r="F151" s="274"/>
      <c r="G151" s="274" t="e">
        <f t="shared" ca="1" si="0"/>
        <v>#NAME?</v>
      </c>
      <c r="H151" s="274">
        <f t="shared" si="1"/>
        <v>0</v>
      </c>
    </row>
    <row r="152" spans="2:8" ht="13.5" customHeight="1">
      <c r="B152" s="209" t="s">
        <v>2194</v>
      </c>
      <c r="C152" s="209" t="s">
        <v>3571</v>
      </c>
      <c r="D152" s="414" t="str">
        <f t="shared" si="2"/>
        <v>11-26</v>
      </c>
      <c r="E152" s="273" t="e">
        <f ca="1">_xludf.IFNA(VLOOKUP('Comp X - UP'!B152,'Urban Plastix Holds'!$I$37:$U$705,11,0),0)</f>
        <v>#NAME?</v>
      </c>
      <c r="F152" s="274"/>
      <c r="G152" s="274" t="e">
        <f t="shared" ca="1" si="0"/>
        <v>#NAME?</v>
      </c>
      <c r="H152" s="274">
        <f t="shared" si="1"/>
        <v>0</v>
      </c>
    </row>
    <row r="153" spans="2:8" ht="13.5" customHeight="1">
      <c r="B153" s="209" t="s">
        <v>2194</v>
      </c>
      <c r="C153" s="209" t="s">
        <v>3571</v>
      </c>
      <c r="D153" s="415" t="str">
        <f t="shared" si="2"/>
        <v>18-01</v>
      </c>
      <c r="E153" s="273" t="e">
        <f ca="1">_xludf.IFNA(VLOOKUP('Comp X - UP'!B153,'Urban Plastix Holds'!$I$37:$U$705,12,0),0)</f>
        <v>#NAME?</v>
      </c>
      <c r="F153" s="274"/>
      <c r="G153" s="274" t="e">
        <f t="shared" ca="1" si="0"/>
        <v>#NAME?</v>
      </c>
      <c r="H153" s="274">
        <f t="shared" si="1"/>
        <v>0</v>
      </c>
    </row>
    <row r="154" spans="2:8" ht="13.5" customHeight="1">
      <c r="B154" s="209" t="s">
        <v>2194</v>
      </c>
      <c r="C154" s="209" t="s">
        <v>3571</v>
      </c>
      <c r="D154" s="416" t="str">
        <f t="shared" si="2"/>
        <v>Color Code</v>
      </c>
      <c r="E154" s="273" t="e">
        <f ca="1">_xludf.IFNA(VLOOKUP('Comp X - UP'!B154,'Urban Plastix Holds'!$I$37:$U$705,13,0),0)</f>
        <v>#NAME?</v>
      </c>
      <c r="F154" s="274"/>
      <c r="G154" s="274" t="e">
        <f t="shared" ca="1" si="0"/>
        <v>#NAME?</v>
      </c>
      <c r="H154" s="274">
        <f t="shared" si="1"/>
        <v>0</v>
      </c>
    </row>
    <row r="155" spans="2:8" ht="13.5" customHeight="1">
      <c r="B155" s="209" t="s">
        <v>2195</v>
      </c>
      <c r="C155" s="209" t="s">
        <v>3572</v>
      </c>
      <c r="D155" s="406" t="str">
        <f t="shared" si="2"/>
        <v>11-12</v>
      </c>
      <c r="E155" s="273" t="e">
        <f ca="1">_xludf.IFNA(VLOOKUP('Comp X - UP'!B155,'Urban Plastix Holds'!$I$37:$U$705,5,0),0)</f>
        <v>#NAME?</v>
      </c>
      <c r="F155" s="274"/>
      <c r="G155" s="274" t="e">
        <f t="shared" ca="1" si="0"/>
        <v>#NAME?</v>
      </c>
      <c r="H155" s="274">
        <f t="shared" si="1"/>
        <v>0</v>
      </c>
    </row>
    <row r="156" spans="2:8" ht="13.5" customHeight="1">
      <c r="B156" s="209" t="s">
        <v>2195</v>
      </c>
      <c r="C156" s="209" t="s">
        <v>3572</v>
      </c>
      <c r="D156" s="408" t="str">
        <f t="shared" si="2"/>
        <v>14-01</v>
      </c>
      <c r="E156" s="273" t="e">
        <f ca="1">_xludf.IFNA(VLOOKUP('Comp X - UP'!B156,'Urban Plastix Holds'!$I$37:$U$705,6,0),0)</f>
        <v>#NAME?</v>
      </c>
      <c r="F156" s="274"/>
      <c r="G156" s="274" t="e">
        <f t="shared" ca="1" si="0"/>
        <v>#NAME?</v>
      </c>
      <c r="H156" s="274">
        <f t="shared" si="1"/>
        <v>0</v>
      </c>
    </row>
    <row r="157" spans="2:8" ht="13.5" customHeight="1">
      <c r="B157" s="209" t="s">
        <v>2195</v>
      </c>
      <c r="C157" s="209" t="s">
        <v>3572</v>
      </c>
      <c r="D157" s="409" t="str">
        <f t="shared" si="2"/>
        <v>15-12</v>
      </c>
      <c r="E157" s="273" t="e">
        <f ca="1">_xludf.IFNA(VLOOKUP('Comp X - UP'!B157,'Urban Plastix Holds'!$I$37:$U$705,7,0),0)</f>
        <v>#NAME?</v>
      </c>
      <c r="F157" s="274"/>
      <c r="G157" s="274" t="e">
        <f t="shared" ca="1" si="0"/>
        <v>#NAME?</v>
      </c>
      <c r="H157" s="274">
        <f t="shared" si="1"/>
        <v>0</v>
      </c>
    </row>
    <row r="158" spans="2:8" ht="13.5" customHeight="1">
      <c r="B158" s="209" t="s">
        <v>2195</v>
      </c>
      <c r="C158" s="209" t="s">
        <v>3572</v>
      </c>
      <c r="D158" s="410" t="str">
        <f t="shared" si="2"/>
        <v>16-16</v>
      </c>
      <c r="E158" s="273" t="e">
        <f ca="1">_xludf.IFNA(VLOOKUP('Comp X - UP'!B158,'Urban Plastix Holds'!$I$37:$U$705,8,0),0)</f>
        <v>#NAME?</v>
      </c>
      <c r="F158" s="274"/>
      <c r="G158" s="274" t="e">
        <f t="shared" ca="1" si="0"/>
        <v>#NAME?</v>
      </c>
      <c r="H158" s="274">
        <f t="shared" si="1"/>
        <v>0</v>
      </c>
    </row>
    <row r="159" spans="2:8" ht="13.5" customHeight="1">
      <c r="B159" s="209" t="s">
        <v>2195</v>
      </c>
      <c r="C159" s="209" t="s">
        <v>3572</v>
      </c>
      <c r="D159" s="411" t="str">
        <f t="shared" si="2"/>
        <v>13-01</v>
      </c>
      <c r="E159" s="273" t="e">
        <f ca="1">_xludf.IFNA(VLOOKUP('Comp X - UP'!B159,'Urban Plastix Holds'!$I$37:$U$705,9,0),0)</f>
        <v>#NAME?</v>
      </c>
      <c r="F159" s="274"/>
      <c r="G159" s="274" t="e">
        <f t="shared" ca="1" si="0"/>
        <v>#NAME?</v>
      </c>
      <c r="H159" s="274">
        <f t="shared" si="1"/>
        <v>0</v>
      </c>
    </row>
    <row r="160" spans="2:8" ht="13.5" customHeight="1">
      <c r="B160" s="209" t="s">
        <v>2195</v>
      </c>
      <c r="C160" s="209" t="s">
        <v>3572</v>
      </c>
      <c r="D160" s="413" t="str">
        <f t="shared" si="2"/>
        <v>07-13</v>
      </c>
      <c r="E160" s="273" t="e">
        <f ca="1">_xludf.IFNA(VLOOKUP('Comp X - UP'!B160,'Urban Plastix Holds'!$I$37:$U$705,10,0),0)</f>
        <v>#NAME?</v>
      </c>
      <c r="F160" s="274"/>
      <c r="G160" s="274" t="e">
        <f t="shared" ca="1" si="0"/>
        <v>#NAME?</v>
      </c>
      <c r="H160" s="274">
        <f t="shared" si="1"/>
        <v>0</v>
      </c>
    </row>
    <row r="161" spans="2:8" ht="13.5" customHeight="1">
      <c r="B161" s="209" t="s">
        <v>2195</v>
      </c>
      <c r="C161" s="209" t="s">
        <v>3572</v>
      </c>
      <c r="D161" s="414" t="str">
        <f t="shared" si="2"/>
        <v>11-26</v>
      </c>
      <c r="E161" s="273" t="e">
        <f ca="1">_xludf.IFNA(VLOOKUP('Comp X - UP'!B161,'Urban Plastix Holds'!$I$37:$U$705,11,0),0)</f>
        <v>#NAME?</v>
      </c>
      <c r="F161" s="274"/>
      <c r="G161" s="274" t="e">
        <f t="shared" ca="1" si="0"/>
        <v>#NAME?</v>
      </c>
      <c r="H161" s="274">
        <f t="shared" si="1"/>
        <v>0</v>
      </c>
    </row>
    <row r="162" spans="2:8" ht="13.5" customHeight="1">
      <c r="B162" s="209" t="s">
        <v>2195</v>
      </c>
      <c r="C162" s="209" t="s">
        <v>3572</v>
      </c>
      <c r="D162" s="415" t="str">
        <f t="shared" si="2"/>
        <v>18-01</v>
      </c>
      <c r="E162" s="273" t="e">
        <f ca="1">_xludf.IFNA(VLOOKUP('Comp X - UP'!B162,'Urban Plastix Holds'!$I$37:$U$705,12,0),0)</f>
        <v>#NAME?</v>
      </c>
      <c r="F162" s="274"/>
      <c r="G162" s="274" t="e">
        <f t="shared" ca="1" si="0"/>
        <v>#NAME?</v>
      </c>
      <c r="H162" s="274">
        <f t="shared" si="1"/>
        <v>0</v>
      </c>
    </row>
    <row r="163" spans="2:8" ht="13.5" customHeight="1">
      <c r="B163" s="209" t="s">
        <v>2195</v>
      </c>
      <c r="C163" s="209" t="s">
        <v>3572</v>
      </c>
      <c r="D163" s="416" t="str">
        <f t="shared" si="2"/>
        <v>Color Code</v>
      </c>
      <c r="E163" s="273" t="e">
        <f ca="1">_xludf.IFNA(VLOOKUP('Comp X - UP'!B163,'Urban Plastix Holds'!$I$37:$U$705,13,0),0)</f>
        <v>#NAME?</v>
      </c>
      <c r="F163" s="274"/>
      <c r="G163" s="274" t="e">
        <f t="shared" ca="1" si="0"/>
        <v>#NAME?</v>
      </c>
      <c r="H163" s="274">
        <f t="shared" si="1"/>
        <v>0</v>
      </c>
    </row>
    <row r="164" spans="2:8" ht="13.5" customHeight="1">
      <c r="B164" s="209" t="s">
        <v>2196</v>
      </c>
      <c r="C164" s="209" t="s">
        <v>3573</v>
      </c>
      <c r="D164" s="406" t="str">
        <f t="shared" si="2"/>
        <v>11-12</v>
      </c>
      <c r="E164" s="273" t="e">
        <f ca="1">_xludf.IFNA(VLOOKUP('Comp X - UP'!B164,'Urban Plastix Holds'!$I$37:$U$705,5,0),0)</f>
        <v>#NAME?</v>
      </c>
      <c r="F164" s="274"/>
      <c r="G164" s="274" t="e">
        <f t="shared" ca="1" si="0"/>
        <v>#NAME?</v>
      </c>
      <c r="H164" s="274">
        <f t="shared" si="1"/>
        <v>0</v>
      </c>
    </row>
    <row r="165" spans="2:8" ht="13.5" customHeight="1">
      <c r="B165" s="209" t="s">
        <v>2196</v>
      </c>
      <c r="C165" s="209" t="s">
        <v>3573</v>
      </c>
      <c r="D165" s="408" t="str">
        <f t="shared" si="2"/>
        <v>14-01</v>
      </c>
      <c r="E165" s="273" t="e">
        <f ca="1">_xludf.IFNA(VLOOKUP('Comp X - UP'!B165,'Urban Plastix Holds'!$I$37:$U$705,6,0),0)</f>
        <v>#NAME?</v>
      </c>
      <c r="F165" s="274"/>
      <c r="G165" s="274" t="e">
        <f t="shared" ca="1" si="0"/>
        <v>#NAME?</v>
      </c>
      <c r="H165" s="274">
        <f t="shared" si="1"/>
        <v>0</v>
      </c>
    </row>
    <row r="166" spans="2:8" ht="13.5" customHeight="1">
      <c r="B166" s="209" t="s">
        <v>2196</v>
      </c>
      <c r="C166" s="209" t="s">
        <v>3573</v>
      </c>
      <c r="D166" s="409" t="str">
        <f t="shared" si="2"/>
        <v>15-12</v>
      </c>
      <c r="E166" s="273" t="e">
        <f ca="1">_xludf.IFNA(VLOOKUP('Comp X - UP'!B166,'Urban Plastix Holds'!$I$37:$U$705,7,0),0)</f>
        <v>#NAME?</v>
      </c>
      <c r="F166" s="274"/>
      <c r="G166" s="274" t="e">
        <f t="shared" ca="1" si="0"/>
        <v>#NAME?</v>
      </c>
      <c r="H166" s="274">
        <f t="shared" si="1"/>
        <v>0</v>
      </c>
    </row>
    <row r="167" spans="2:8" ht="13.5" customHeight="1">
      <c r="B167" s="209" t="s">
        <v>2196</v>
      </c>
      <c r="C167" s="209" t="s">
        <v>3573</v>
      </c>
      <c r="D167" s="410" t="str">
        <f t="shared" si="2"/>
        <v>16-16</v>
      </c>
      <c r="E167" s="273" t="e">
        <f ca="1">_xludf.IFNA(VLOOKUP('Comp X - UP'!B167,'Urban Plastix Holds'!$I$37:$U$705,8,0),0)</f>
        <v>#NAME?</v>
      </c>
      <c r="F167" s="274"/>
      <c r="G167" s="274" t="e">
        <f t="shared" ca="1" si="0"/>
        <v>#NAME?</v>
      </c>
      <c r="H167" s="274">
        <f t="shared" si="1"/>
        <v>0</v>
      </c>
    </row>
    <row r="168" spans="2:8" ht="13.5" customHeight="1">
      <c r="B168" s="209" t="s">
        <v>2196</v>
      </c>
      <c r="C168" s="209" t="s">
        <v>3573</v>
      </c>
      <c r="D168" s="411" t="str">
        <f t="shared" si="2"/>
        <v>13-01</v>
      </c>
      <c r="E168" s="273" t="e">
        <f ca="1">_xludf.IFNA(VLOOKUP('Comp X - UP'!B168,'Urban Plastix Holds'!$I$37:$U$705,9,0),0)</f>
        <v>#NAME?</v>
      </c>
      <c r="F168" s="274"/>
      <c r="G168" s="274" t="e">
        <f t="shared" ca="1" si="0"/>
        <v>#NAME?</v>
      </c>
      <c r="H168" s="274">
        <f t="shared" si="1"/>
        <v>0</v>
      </c>
    </row>
    <row r="169" spans="2:8" ht="13.5" customHeight="1">
      <c r="B169" s="209" t="s">
        <v>2196</v>
      </c>
      <c r="C169" s="209" t="s">
        <v>3573</v>
      </c>
      <c r="D169" s="413" t="str">
        <f t="shared" si="2"/>
        <v>07-13</v>
      </c>
      <c r="E169" s="273" t="e">
        <f ca="1">_xludf.IFNA(VLOOKUP('Comp X - UP'!B169,'Urban Plastix Holds'!$I$37:$U$705,10,0),0)</f>
        <v>#NAME?</v>
      </c>
      <c r="F169" s="274"/>
      <c r="G169" s="274" t="e">
        <f t="shared" ca="1" si="0"/>
        <v>#NAME?</v>
      </c>
      <c r="H169" s="274">
        <f t="shared" si="1"/>
        <v>0</v>
      </c>
    </row>
    <row r="170" spans="2:8" ht="13.5" customHeight="1">
      <c r="B170" s="209" t="s">
        <v>2196</v>
      </c>
      <c r="C170" s="209" t="s">
        <v>3573</v>
      </c>
      <c r="D170" s="414" t="str">
        <f t="shared" si="2"/>
        <v>11-26</v>
      </c>
      <c r="E170" s="273" t="e">
        <f ca="1">_xludf.IFNA(VLOOKUP('Comp X - UP'!B170,'Urban Plastix Holds'!$I$37:$U$705,11,0),0)</f>
        <v>#NAME?</v>
      </c>
      <c r="F170" s="274"/>
      <c r="G170" s="274" t="e">
        <f t="shared" ca="1" si="0"/>
        <v>#NAME?</v>
      </c>
      <c r="H170" s="274">
        <f t="shared" si="1"/>
        <v>0</v>
      </c>
    </row>
    <row r="171" spans="2:8" ht="13.5" customHeight="1">
      <c r="B171" s="209" t="s">
        <v>2196</v>
      </c>
      <c r="C171" s="209" t="s">
        <v>3573</v>
      </c>
      <c r="D171" s="415" t="str">
        <f t="shared" si="2"/>
        <v>18-01</v>
      </c>
      <c r="E171" s="273" t="e">
        <f ca="1">_xludf.IFNA(VLOOKUP('Comp X - UP'!B171,'Urban Plastix Holds'!$I$37:$U$705,12,0),0)</f>
        <v>#NAME?</v>
      </c>
      <c r="F171" s="274"/>
      <c r="G171" s="274" t="e">
        <f t="shared" ca="1" si="0"/>
        <v>#NAME?</v>
      </c>
      <c r="H171" s="274">
        <f t="shared" si="1"/>
        <v>0</v>
      </c>
    </row>
    <row r="172" spans="2:8" ht="13.5" customHeight="1">
      <c r="B172" s="209" t="s">
        <v>2196</v>
      </c>
      <c r="C172" s="209" t="s">
        <v>3573</v>
      </c>
      <c r="D172" s="416" t="str">
        <f t="shared" si="2"/>
        <v>Color Code</v>
      </c>
      <c r="E172" s="273" t="e">
        <f ca="1">_xludf.IFNA(VLOOKUP('Comp X - UP'!B172,'Urban Plastix Holds'!$I$37:$U$705,13,0),0)</f>
        <v>#NAME?</v>
      </c>
      <c r="F172" s="274"/>
      <c r="G172" s="274" t="e">
        <f t="shared" ca="1" si="0"/>
        <v>#NAME?</v>
      </c>
      <c r="H172" s="274">
        <f t="shared" si="1"/>
        <v>0</v>
      </c>
    </row>
    <row r="173" spans="2:8" ht="13.5" customHeight="1">
      <c r="B173" s="209" t="s">
        <v>2197</v>
      </c>
      <c r="C173" s="209" t="s">
        <v>3574</v>
      </c>
      <c r="D173" s="406" t="str">
        <f t="shared" si="2"/>
        <v>11-12</v>
      </c>
      <c r="E173" s="273" t="e">
        <f ca="1">_xludf.IFNA(VLOOKUP('Comp X - UP'!B173,'Urban Plastix Holds'!$I$37:$U$705,5,0),0)</f>
        <v>#NAME?</v>
      </c>
      <c r="F173" s="274"/>
      <c r="G173" s="274" t="e">
        <f t="shared" ca="1" si="0"/>
        <v>#NAME?</v>
      </c>
      <c r="H173" s="274">
        <f t="shared" si="1"/>
        <v>0</v>
      </c>
    </row>
    <row r="174" spans="2:8" ht="13.5" customHeight="1">
      <c r="B174" s="209" t="s">
        <v>2197</v>
      </c>
      <c r="C174" s="209" t="s">
        <v>3574</v>
      </c>
      <c r="D174" s="408" t="str">
        <f t="shared" si="2"/>
        <v>14-01</v>
      </c>
      <c r="E174" s="273" t="e">
        <f ca="1">_xludf.IFNA(VLOOKUP('Comp X - UP'!B174,'Urban Plastix Holds'!$I$37:$U$705,6,0),0)</f>
        <v>#NAME?</v>
      </c>
      <c r="F174" s="274"/>
      <c r="G174" s="274" t="e">
        <f t="shared" ca="1" si="0"/>
        <v>#NAME?</v>
      </c>
      <c r="H174" s="274">
        <f t="shared" si="1"/>
        <v>0</v>
      </c>
    </row>
    <row r="175" spans="2:8" ht="13.5" customHeight="1">
      <c r="B175" s="209" t="s">
        <v>2197</v>
      </c>
      <c r="C175" s="209" t="s">
        <v>3574</v>
      </c>
      <c r="D175" s="409" t="str">
        <f t="shared" si="2"/>
        <v>15-12</v>
      </c>
      <c r="E175" s="273" t="e">
        <f ca="1">_xludf.IFNA(VLOOKUP('Comp X - UP'!B175,'Urban Plastix Holds'!$I$37:$U$705,7,0),0)</f>
        <v>#NAME?</v>
      </c>
      <c r="F175" s="274"/>
      <c r="G175" s="274" t="e">
        <f t="shared" ca="1" si="0"/>
        <v>#NAME?</v>
      </c>
      <c r="H175" s="274">
        <f t="shared" si="1"/>
        <v>0</v>
      </c>
    </row>
    <row r="176" spans="2:8" ht="13.5" customHeight="1">
      <c r="B176" s="209" t="s">
        <v>2197</v>
      </c>
      <c r="C176" s="209" t="s">
        <v>3574</v>
      </c>
      <c r="D176" s="410" t="str">
        <f t="shared" si="2"/>
        <v>16-16</v>
      </c>
      <c r="E176" s="273" t="e">
        <f ca="1">_xludf.IFNA(VLOOKUP('Comp X - UP'!B176,'Urban Plastix Holds'!$I$37:$U$705,8,0),0)</f>
        <v>#NAME?</v>
      </c>
      <c r="F176" s="274"/>
      <c r="G176" s="274" t="e">
        <f t="shared" ca="1" si="0"/>
        <v>#NAME?</v>
      </c>
      <c r="H176" s="274">
        <f t="shared" si="1"/>
        <v>0</v>
      </c>
    </row>
    <row r="177" spans="2:8" ht="13.5" customHeight="1">
      <c r="B177" s="209" t="s">
        <v>2197</v>
      </c>
      <c r="C177" s="209" t="s">
        <v>3574</v>
      </c>
      <c r="D177" s="411" t="str">
        <f t="shared" si="2"/>
        <v>13-01</v>
      </c>
      <c r="E177" s="273" t="e">
        <f ca="1">_xludf.IFNA(VLOOKUP('Comp X - UP'!B177,'Urban Plastix Holds'!$I$37:$U$705,9,0),0)</f>
        <v>#NAME?</v>
      </c>
      <c r="F177" s="274"/>
      <c r="G177" s="274" t="e">
        <f t="shared" ca="1" si="0"/>
        <v>#NAME?</v>
      </c>
      <c r="H177" s="274">
        <f t="shared" si="1"/>
        <v>0</v>
      </c>
    </row>
    <row r="178" spans="2:8" ht="13.5" customHeight="1">
      <c r="B178" s="209" t="s">
        <v>2197</v>
      </c>
      <c r="C178" s="209" t="s">
        <v>3574</v>
      </c>
      <c r="D178" s="413" t="str">
        <f t="shared" si="2"/>
        <v>07-13</v>
      </c>
      <c r="E178" s="273" t="e">
        <f ca="1">_xludf.IFNA(VLOOKUP('Comp X - UP'!B178,'Urban Plastix Holds'!$I$37:$U$705,10,0),0)</f>
        <v>#NAME?</v>
      </c>
      <c r="F178" s="274"/>
      <c r="G178" s="274" t="e">
        <f t="shared" ca="1" si="0"/>
        <v>#NAME?</v>
      </c>
      <c r="H178" s="274">
        <f t="shared" si="1"/>
        <v>0</v>
      </c>
    </row>
    <row r="179" spans="2:8" ht="13.5" customHeight="1">
      <c r="B179" s="209" t="s">
        <v>2197</v>
      </c>
      <c r="C179" s="209" t="s">
        <v>3574</v>
      </c>
      <c r="D179" s="414" t="str">
        <f t="shared" si="2"/>
        <v>11-26</v>
      </c>
      <c r="E179" s="273" t="e">
        <f ca="1">_xludf.IFNA(VLOOKUP('Comp X - UP'!B179,'Urban Plastix Holds'!$I$37:$U$705,11,0),0)</f>
        <v>#NAME?</v>
      </c>
      <c r="F179" s="274"/>
      <c r="G179" s="274" t="e">
        <f t="shared" ca="1" si="0"/>
        <v>#NAME?</v>
      </c>
      <c r="H179" s="274">
        <f t="shared" si="1"/>
        <v>0</v>
      </c>
    </row>
    <row r="180" spans="2:8" ht="13.5" customHeight="1">
      <c r="B180" s="209" t="s">
        <v>2197</v>
      </c>
      <c r="C180" s="209" t="s">
        <v>3574</v>
      </c>
      <c r="D180" s="415" t="str">
        <f t="shared" si="2"/>
        <v>18-01</v>
      </c>
      <c r="E180" s="273" t="e">
        <f ca="1">_xludf.IFNA(VLOOKUP('Comp X - UP'!B180,'Urban Plastix Holds'!$I$37:$U$705,12,0),0)</f>
        <v>#NAME?</v>
      </c>
      <c r="F180" s="274"/>
      <c r="G180" s="274" t="e">
        <f t="shared" ca="1" si="0"/>
        <v>#NAME?</v>
      </c>
      <c r="H180" s="274">
        <f t="shared" si="1"/>
        <v>0</v>
      </c>
    </row>
    <row r="181" spans="2:8" ht="13.5" customHeight="1">
      <c r="B181" s="209" t="s">
        <v>2197</v>
      </c>
      <c r="C181" s="209" t="s">
        <v>3574</v>
      </c>
      <c r="D181" s="416" t="str">
        <f t="shared" si="2"/>
        <v>Color Code</v>
      </c>
      <c r="E181" s="273" t="e">
        <f ca="1">_xludf.IFNA(VLOOKUP('Comp X - UP'!B181,'Urban Plastix Holds'!$I$37:$U$705,13,0),0)</f>
        <v>#NAME?</v>
      </c>
      <c r="F181" s="274"/>
      <c r="G181" s="274" t="e">
        <f t="shared" ca="1" si="0"/>
        <v>#NAME?</v>
      </c>
      <c r="H181" s="274">
        <f t="shared" si="1"/>
        <v>0</v>
      </c>
    </row>
    <row r="182" spans="2:8" ht="13.5" customHeight="1">
      <c r="B182" s="209" t="s">
        <v>2198</v>
      </c>
      <c r="C182" s="209" t="s">
        <v>3575</v>
      </c>
      <c r="D182" s="406" t="str">
        <f t="shared" si="2"/>
        <v>11-12</v>
      </c>
      <c r="E182" s="273" t="e">
        <f ca="1">_xludf.IFNA(VLOOKUP('Comp X - UP'!B182,'Urban Plastix Holds'!$I$37:$U$705,5,0),0)</f>
        <v>#NAME?</v>
      </c>
      <c r="F182" s="274"/>
      <c r="G182" s="274" t="e">
        <f t="shared" ca="1" si="0"/>
        <v>#NAME?</v>
      </c>
      <c r="H182" s="274">
        <f t="shared" si="1"/>
        <v>0</v>
      </c>
    </row>
    <row r="183" spans="2:8" ht="13.5" customHeight="1">
      <c r="B183" s="209" t="s">
        <v>2198</v>
      </c>
      <c r="C183" s="209" t="s">
        <v>3575</v>
      </c>
      <c r="D183" s="408" t="str">
        <f t="shared" si="2"/>
        <v>14-01</v>
      </c>
      <c r="E183" s="273" t="e">
        <f ca="1">_xludf.IFNA(VLOOKUP('Comp X - UP'!B183,'Urban Plastix Holds'!$I$37:$U$705,6,0),0)</f>
        <v>#NAME?</v>
      </c>
      <c r="F183" s="274"/>
      <c r="G183" s="274" t="e">
        <f t="shared" ca="1" si="0"/>
        <v>#NAME?</v>
      </c>
      <c r="H183" s="274">
        <f t="shared" si="1"/>
        <v>0</v>
      </c>
    </row>
    <row r="184" spans="2:8" ht="13.5" customHeight="1">
      <c r="B184" s="209" t="s">
        <v>2198</v>
      </c>
      <c r="C184" s="209" t="s">
        <v>3575</v>
      </c>
      <c r="D184" s="409" t="str">
        <f t="shared" si="2"/>
        <v>15-12</v>
      </c>
      <c r="E184" s="273" t="e">
        <f ca="1">_xludf.IFNA(VLOOKUP('Comp X - UP'!B184,'Urban Plastix Holds'!$I$37:$U$705,7,0),0)</f>
        <v>#NAME?</v>
      </c>
      <c r="F184" s="274"/>
      <c r="G184" s="274" t="e">
        <f t="shared" ca="1" si="0"/>
        <v>#NAME?</v>
      </c>
      <c r="H184" s="274">
        <f t="shared" si="1"/>
        <v>0</v>
      </c>
    </row>
    <row r="185" spans="2:8" ht="13.5" customHeight="1">
      <c r="B185" s="209" t="s">
        <v>2198</v>
      </c>
      <c r="C185" s="209" t="s">
        <v>3575</v>
      </c>
      <c r="D185" s="410" t="str">
        <f t="shared" si="2"/>
        <v>16-16</v>
      </c>
      <c r="E185" s="273" t="e">
        <f ca="1">_xludf.IFNA(VLOOKUP('Comp X - UP'!B185,'Urban Plastix Holds'!$I$37:$U$705,8,0),0)</f>
        <v>#NAME?</v>
      </c>
      <c r="F185" s="274"/>
      <c r="G185" s="274" t="e">
        <f t="shared" ca="1" si="0"/>
        <v>#NAME?</v>
      </c>
      <c r="H185" s="274">
        <f t="shared" si="1"/>
        <v>0</v>
      </c>
    </row>
    <row r="186" spans="2:8" ht="13.5" customHeight="1">
      <c r="B186" s="209" t="s">
        <v>2198</v>
      </c>
      <c r="C186" s="209" t="s">
        <v>3575</v>
      </c>
      <c r="D186" s="411" t="str">
        <f t="shared" si="2"/>
        <v>13-01</v>
      </c>
      <c r="E186" s="273" t="e">
        <f ca="1">_xludf.IFNA(VLOOKUP('Comp X - UP'!B186,'Urban Plastix Holds'!$I$37:$U$705,9,0),0)</f>
        <v>#NAME?</v>
      </c>
      <c r="F186" s="274"/>
      <c r="G186" s="274" t="e">
        <f t="shared" ca="1" si="0"/>
        <v>#NAME?</v>
      </c>
      <c r="H186" s="274">
        <f t="shared" si="1"/>
        <v>0</v>
      </c>
    </row>
    <row r="187" spans="2:8" ht="13.5" customHeight="1">
      <c r="B187" s="209" t="s">
        <v>2198</v>
      </c>
      <c r="C187" s="209" t="s">
        <v>3575</v>
      </c>
      <c r="D187" s="413" t="str">
        <f t="shared" si="2"/>
        <v>07-13</v>
      </c>
      <c r="E187" s="273" t="e">
        <f ca="1">_xludf.IFNA(VLOOKUP('Comp X - UP'!B187,'Urban Plastix Holds'!$I$37:$U$705,10,0),0)</f>
        <v>#NAME?</v>
      </c>
      <c r="F187" s="274"/>
      <c r="G187" s="274" t="e">
        <f t="shared" ca="1" si="0"/>
        <v>#NAME?</v>
      </c>
      <c r="H187" s="274">
        <f t="shared" si="1"/>
        <v>0</v>
      </c>
    </row>
    <row r="188" spans="2:8" ht="13.5" customHeight="1">
      <c r="B188" s="209" t="s">
        <v>2198</v>
      </c>
      <c r="C188" s="209" t="s">
        <v>3575</v>
      </c>
      <c r="D188" s="414" t="str">
        <f t="shared" si="2"/>
        <v>11-26</v>
      </c>
      <c r="E188" s="273" t="e">
        <f ca="1">_xludf.IFNA(VLOOKUP('Comp X - UP'!B188,'Urban Plastix Holds'!$I$37:$U$705,11,0),0)</f>
        <v>#NAME?</v>
      </c>
      <c r="F188" s="274"/>
      <c r="G188" s="274" t="e">
        <f t="shared" ca="1" si="0"/>
        <v>#NAME?</v>
      </c>
      <c r="H188" s="274">
        <f t="shared" si="1"/>
        <v>0</v>
      </c>
    </row>
    <row r="189" spans="2:8" ht="13.5" customHeight="1">
      <c r="B189" s="209" t="s">
        <v>2198</v>
      </c>
      <c r="C189" s="209" t="s">
        <v>3575</v>
      </c>
      <c r="D189" s="415" t="str">
        <f t="shared" si="2"/>
        <v>18-01</v>
      </c>
      <c r="E189" s="273" t="e">
        <f ca="1">_xludf.IFNA(VLOOKUP('Comp X - UP'!B189,'Urban Plastix Holds'!$I$37:$U$705,12,0),0)</f>
        <v>#NAME?</v>
      </c>
      <c r="F189" s="274"/>
      <c r="G189" s="274" t="e">
        <f t="shared" ca="1" si="0"/>
        <v>#NAME?</v>
      </c>
      <c r="H189" s="274">
        <f t="shared" si="1"/>
        <v>0</v>
      </c>
    </row>
    <row r="190" spans="2:8" ht="13.5" customHeight="1">
      <c r="B190" s="209" t="s">
        <v>2198</v>
      </c>
      <c r="C190" s="209" t="s">
        <v>3575</v>
      </c>
      <c r="D190" s="416" t="str">
        <f t="shared" si="2"/>
        <v>Color Code</v>
      </c>
      <c r="E190" s="273" t="e">
        <f ca="1">_xludf.IFNA(VLOOKUP('Comp X - UP'!B190,'Urban Plastix Holds'!$I$37:$U$705,13,0),0)</f>
        <v>#NAME?</v>
      </c>
      <c r="F190" s="274"/>
      <c r="G190" s="274" t="e">
        <f t="shared" ca="1" si="0"/>
        <v>#NAME?</v>
      </c>
      <c r="H190" s="274">
        <f t="shared" si="1"/>
        <v>0</v>
      </c>
    </row>
    <row r="191" spans="2:8" ht="13.5" customHeight="1">
      <c r="B191" s="209" t="s">
        <v>2199</v>
      </c>
      <c r="C191" s="209" t="s">
        <v>3576</v>
      </c>
      <c r="D191" s="406" t="str">
        <f t="shared" si="2"/>
        <v>11-12</v>
      </c>
      <c r="E191" s="273" t="e">
        <f ca="1">_xludf.IFNA(VLOOKUP('Comp X - UP'!B191,'Urban Plastix Holds'!$I$37:$U$705,5,0),0)</f>
        <v>#NAME?</v>
      </c>
      <c r="F191" s="274"/>
      <c r="G191" s="274" t="e">
        <f t="shared" ca="1" si="0"/>
        <v>#NAME?</v>
      </c>
      <c r="H191" s="274">
        <f t="shared" si="1"/>
        <v>0</v>
      </c>
    </row>
    <row r="192" spans="2:8" ht="13.5" customHeight="1">
      <c r="B192" s="209" t="s">
        <v>2199</v>
      </c>
      <c r="C192" s="209" t="s">
        <v>3576</v>
      </c>
      <c r="D192" s="408" t="str">
        <f t="shared" si="2"/>
        <v>14-01</v>
      </c>
      <c r="E192" s="273" t="e">
        <f ca="1">_xludf.IFNA(VLOOKUP('Comp X - UP'!B192,'Urban Plastix Holds'!$I$37:$U$705,6,0),0)</f>
        <v>#NAME?</v>
      </c>
      <c r="F192" s="274"/>
      <c r="G192" s="274" t="e">
        <f t="shared" ca="1" si="0"/>
        <v>#NAME?</v>
      </c>
      <c r="H192" s="274">
        <f t="shared" si="1"/>
        <v>0</v>
      </c>
    </row>
    <row r="193" spans="2:8" ht="13.5" customHeight="1">
      <c r="B193" s="209" t="s">
        <v>2199</v>
      </c>
      <c r="C193" s="209" t="s">
        <v>3576</v>
      </c>
      <c r="D193" s="409" t="str">
        <f t="shared" si="2"/>
        <v>15-12</v>
      </c>
      <c r="E193" s="273" t="e">
        <f ca="1">_xludf.IFNA(VLOOKUP('Comp X - UP'!B193,'Urban Plastix Holds'!$I$37:$U$705,7,0),0)</f>
        <v>#NAME?</v>
      </c>
      <c r="F193" s="274"/>
      <c r="G193" s="274" t="e">
        <f t="shared" ca="1" si="0"/>
        <v>#NAME?</v>
      </c>
      <c r="H193" s="274">
        <f t="shared" si="1"/>
        <v>0</v>
      </c>
    </row>
    <row r="194" spans="2:8" ht="13.5" customHeight="1">
      <c r="B194" s="209" t="s">
        <v>2199</v>
      </c>
      <c r="C194" s="209" t="s">
        <v>3576</v>
      </c>
      <c r="D194" s="410" t="str">
        <f t="shared" si="2"/>
        <v>16-16</v>
      </c>
      <c r="E194" s="273" t="e">
        <f ca="1">_xludf.IFNA(VLOOKUP('Comp X - UP'!B194,'Urban Plastix Holds'!$I$37:$U$705,8,0),0)</f>
        <v>#NAME?</v>
      </c>
      <c r="F194" s="274"/>
      <c r="G194" s="274" t="e">
        <f t="shared" ca="1" si="0"/>
        <v>#NAME?</v>
      </c>
      <c r="H194" s="274">
        <f t="shared" si="1"/>
        <v>0</v>
      </c>
    </row>
    <row r="195" spans="2:8" ht="13.5" customHeight="1">
      <c r="B195" s="209" t="s">
        <v>2199</v>
      </c>
      <c r="C195" s="209" t="s">
        <v>3576</v>
      </c>
      <c r="D195" s="411" t="str">
        <f t="shared" si="2"/>
        <v>13-01</v>
      </c>
      <c r="E195" s="273" t="e">
        <f ca="1">_xludf.IFNA(VLOOKUP('Comp X - UP'!B195,'Urban Plastix Holds'!$I$37:$U$705,9,0),0)</f>
        <v>#NAME?</v>
      </c>
      <c r="F195" s="274"/>
      <c r="G195" s="274" t="e">
        <f t="shared" ca="1" si="0"/>
        <v>#NAME?</v>
      </c>
      <c r="H195" s="274">
        <f t="shared" si="1"/>
        <v>0</v>
      </c>
    </row>
    <row r="196" spans="2:8" ht="13.5" customHeight="1">
      <c r="B196" s="209" t="s">
        <v>2199</v>
      </c>
      <c r="C196" s="209" t="s">
        <v>3576</v>
      </c>
      <c r="D196" s="413" t="str">
        <f t="shared" si="2"/>
        <v>07-13</v>
      </c>
      <c r="E196" s="273" t="e">
        <f ca="1">_xludf.IFNA(VLOOKUP('Comp X - UP'!B196,'Urban Plastix Holds'!$I$37:$U$705,10,0),0)</f>
        <v>#NAME?</v>
      </c>
      <c r="F196" s="274"/>
      <c r="G196" s="274" t="e">
        <f t="shared" ca="1" si="0"/>
        <v>#NAME?</v>
      </c>
      <c r="H196" s="274">
        <f t="shared" si="1"/>
        <v>0</v>
      </c>
    </row>
    <row r="197" spans="2:8" ht="13.5" customHeight="1">
      <c r="B197" s="209" t="s">
        <v>2199</v>
      </c>
      <c r="C197" s="209" t="s">
        <v>3576</v>
      </c>
      <c r="D197" s="414" t="str">
        <f t="shared" si="2"/>
        <v>11-26</v>
      </c>
      <c r="E197" s="273" t="e">
        <f ca="1">_xludf.IFNA(VLOOKUP('Comp X - UP'!B197,'Urban Plastix Holds'!$I$37:$U$705,11,0),0)</f>
        <v>#NAME?</v>
      </c>
      <c r="F197" s="274"/>
      <c r="G197" s="274" t="e">
        <f t="shared" ca="1" si="0"/>
        <v>#NAME?</v>
      </c>
      <c r="H197" s="274">
        <f t="shared" si="1"/>
        <v>0</v>
      </c>
    </row>
    <row r="198" spans="2:8" ht="13.5" customHeight="1">
      <c r="B198" s="209" t="s">
        <v>2199</v>
      </c>
      <c r="C198" s="209" t="s">
        <v>3576</v>
      </c>
      <c r="D198" s="415" t="str">
        <f t="shared" si="2"/>
        <v>18-01</v>
      </c>
      <c r="E198" s="273" t="e">
        <f ca="1">_xludf.IFNA(VLOOKUP('Comp X - UP'!B198,'Urban Plastix Holds'!$I$37:$U$705,12,0),0)</f>
        <v>#NAME?</v>
      </c>
      <c r="F198" s="274"/>
      <c r="G198" s="274" t="e">
        <f t="shared" ca="1" si="0"/>
        <v>#NAME?</v>
      </c>
      <c r="H198" s="274">
        <f t="shared" si="1"/>
        <v>0</v>
      </c>
    </row>
    <row r="199" spans="2:8" ht="13.5" customHeight="1">
      <c r="B199" s="209" t="s">
        <v>2199</v>
      </c>
      <c r="C199" s="209" t="s">
        <v>3576</v>
      </c>
      <c r="D199" s="416" t="str">
        <f t="shared" si="2"/>
        <v>Color Code</v>
      </c>
      <c r="E199" s="273" t="e">
        <f ca="1">_xludf.IFNA(VLOOKUP('Comp X - UP'!B199,'Urban Plastix Holds'!$I$37:$U$705,13,0),0)</f>
        <v>#NAME?</v>
      </c>
      <c r="F199" s="274"/>
      <c r="G199" s="274" t="e">
        <f t="shared" ca="1" si="0"/>
        <v>#NAME?</v>
      </c>
      <c r="H199" s="274">
        <f t="shared" si="1"/>
        <v>0</v>
      </c>
    </row>
    <row r="200" spans="2:8" ht="13.5" customHeight="1">
      <c r="B200" s="209" t="s">
        <v>2200</v>
      </c>
      <c r="C200" s="209" t="s">
        <v>3577</v>
      </c>
      <c r="D200" s="406" t="str">
        <f t="shared" si="2"/>
        <v>11-12</v>
      </c>
      <c r="E200" s="273" t="e">
        <f ca="1">_xludf.IFNA(VLOOKUP('Comp X - UP'!B200,'Urban Plastix Holds'!$I$37:$U$705,5,0),0)</f>
        <v>#NAME?</v>
      </c>
      <c r="F200" s="274"/>
      <c r="G200" s="274" t="e">
        <f t="shared" ca="1" si="0"/>
        <v>#NAME?</v>
      </c>
      <c r="H200" s="274">
        <f t="shared" si="1"/>
        <v>0</v>
      </c>
    </row>
    <row r="201" spans="2:8" ht="13.5" customHeight="1">
      <c r="B201" s="209" t="s">
        <v>2200</v>
      </c>
      <c r="C201" s="209" t="s">
        <v>3577</v>
      </c>
      <c r="D201" s="408" t="str">
        <f t="shared" si="2"/>
        <v>14-01</v>
      </c>
      <c r="E201" s="273" t="e">
        <f ca="1">_xludf.IFNA(VLOOKUP('Comp X - UP'!B201,'Urban Plastix Holds'!$I$37:$U$705,6,0),0)</f>
        <v>#NAME?</v>
      </c>
      <c r="F201" s="274"/>
      <c r="G201" s="274" t="e">
        <f t="shared" ca="1" si="0"/>
        <v>#NAME?</v>
      </c>
      <c r="H201" s="274">
        <f t="shared" si="1"/>
        <v>0</v>
      </c>
    </row>
    <row r="202" spans="2:8" ht="13.5" customHeight="1">
      <c r="B202" s="209" t="s">
        <v>2200</v>
      </c>
      <c r="C202" s="209" t="s">
        <v>3577</v>
      </c>
      <c r="D202" s="409" t="str">
        <f t="shared" si="2"/>
        <v>15-12</v>
      </c>
      <c r="E202" s="273" t="e">
        <f ca="1">_xludf.IFNA(VLOOKUP('Comp X - UP'!B202,'Urban Plastix Holds'!$I$37:$U$705,7,0),0)</f>
        <v>#NAME?</v>
      </c>
      <c r="F202" s="274"/>
      <c r="G202" s="274" t="e">
        <f t="shared" ca="1" si="0"/>
        <v>#NAME?</v>
      </c>
      <c r="H202" s="274">
        <f t="shared" si="1"/>
        <v>0</v>
      </c>
    </row>
    <row r="203" spans="2:8" ht="13.5" customHeight="1">
      <c r="B203" s="209" t="s">
        <v>2200</v>
      </c>
      <c r="C203" s="209" t="s">
        <v>3577</v>
      </c>
      <c r="D203" s="410" t="str">
        <f t="shared" si="2"/>
        <v>16-16</v>
      </c>
      <c r="E203" s="273" t="e">
        <f ca="1">_xludf.IFNA(VLOOKUP('Comp X - UP'!B203,'Urban Plastix Holds'!$I$37:$U$705,8,0),0)</f>
        <v>#NAME?</v>
      </c>
      <c r="F203" s="274"/>
      <c r="G203" s="274" t="e">
        <f t="shared" ca="1" si="0"/>
        <v>#NAME?</v>
      </c>
      <c r="H203" s="274">
        <f t="shared" si="1"/>
        <v>0</v>
      </c>
    </row>
    <row r="204" spans="2:8" ht="13.5" customHeight="1">
      <c r="B204" s="209" t="s">
        <v>2200</v>
      </c>
      <c r="C204" s="209" t="s">
        <v>3577</v>
      </c>
      <c r="D204" s="411" t="str">
        <f t="shared" si="2"/>
        <v>13-01</v>
      </c>
      <c r="E204" s="273" t="e">
        <f ca="1">_xludf.IFNA(VLOOKUP('Comp X - UP'!B204,'Urban Plastix Holds'!$I$37:$U$705,9,0),0)</f>
        <v>#NAME?</v>
      </c>
      <c r="F204" s="274"/>
      <c r="G204" s="274" t="e">
        <f t="shared" ca="1" si="0"/>
        <v>#NAME?</v>
      </c>
      <c r="H204" s="274">
        <f t="shared" si="1"/>
        <v>0</v>
      </c>
    </row>
    <row r="205" spans="2:8" ht="13.5" customHeight="1">
      <c r="B205" s="209" t="s">
        <v>2200</v>
      </c>
      <c r="C205" s="209" t="s">
        <v>3577</v>
      </c>
      <c r="D205" s="413" t="str">
        <f t="shared" si="2"/>
        <v>07-13</v>
      </c>
      <c r="E205" s="273" t="e">
        <f ca="1">_xludf.IFNA(VLOOKUP('Comp X - UP'!B205,'Urban Plastix Holds'!$I$37:$U$705,10,0),0)</f>
        <v>#NAME?</v>
      </c>
      <c r="F205" s="274"/>
      <c r="G205" s="274" t="e">
        <f t="shared" ca="1" si="0"/>
        <v>#NAME?</v>
      </c>
      <c r="H205" s="274">
        <f t="shared" si="1"/>
        <v>0</v>
      </c>
    </row>
    <row r="206" spans="2:8" ht="13.5" customHeight="1">
      <c r="B206" s="209" t="s">
        <v>2200</v>
      </c>
      <c r="C206" s="209" t="s">
        <v>3577</v>
      </c>
      <c r="D206" s="414" t="str">
        <f t="shared" si="2"/>
        <v>11-26</v>
      </c>
      <c r="E206" s="273" t="e">
        <f ca="1">_xludf.IFNA(VLOOKUP('Comp X - UP'!B206,'Urban Plastix Holds'!$I$37:$U$705,11,0),0)</f>
        <v>#NAME?</v>
      </c>
      <c r="F206" s="274"/>
      <c r="G206" s="274" t="e">
        <f t="shared" ca="1" si="0"/>
        <v>#NAME?</v>
      </c>
      <c r="H206" s="274">
        <f t="shared" si="1"/>
        <v>0</v>
      </c>
    </row>
    <row r="207" spans="2:8" ht="13.5" customHeight="1">
      <c r="B207" s="209" t="s">
        <v>2200</v>
      </c>
      <c r="C207" s="209" t="s">
        <v>3577</v>
      </c>
      <c r="D207" s="415" t="str">
        <f t="shared" si="2"/>
        <v>18-01</v>
      </c>
      <c r="E207" s="273" t="e">
        <f ca="1">_xludf.IFNA(VLOOKUP('Comp X - UP'!B207,'Urban Plastix Holds'!$I$37:$U$705,12,0),0)</f>
        <v>#NAME?</v>
      </c>
      <c r="F207" s="274"/>
      <c r="G207" s="274" t="e">
        <f t="shared" ca="1" si="0"/>
        <v>#NAME?</v>
      </c>
      <c r="H207" s="274">
        <f t="shared" si="1"/>
        <v>0</v>
      </c>
    </row>
    <row r="208" spans="2:8" ht="13.5" customHeight="1">
      <c r="B208" s="209" t="s">
        <v>2200</v>
      </c>
      <c r="C208" s="209" t="s">
        <v>3577</v>
      </c>
      <c r="D208" s="416" t="str">
        <f t="shared" si="2"/>
        <v>Color Code</v>
      </c>
      <c r="E208" s="273" t="e">
        <f ca="1">_xludf.IFNA(VLOOKUP('Comp X - UP'!B208,'Urban Plastix Holds'!$I$37:$U$705,13,0),0)</f>
        <v>#NAME?</v>
      </c>
      <c r="F208" s="274"/>
      <c r="G208" s="274" t="e">
        <f t="shared" ca="1" si="0"/>
        <v>#NAME?</v>
      </c>
      <c r="H208" s="274">
        <f t="shared" si="1"/>
        <v>0</v>
      </c>
    </row>
    <row r="209" spans="2:8" ht="13.5" customHeight="1">
      <c r="B209" s="209" t="s">
        <v>2201</v>
      </c>
      <c r="C209" s="209" t="s">
        <v>3578</v>
      </c>
      <c r="D209" s="406" t="str">
        <f t="shared" si="2"/>
        <v>11-12</v>
      </c>
      <c r="E209" s="273" t="e">
        <f ca="1">_xludf.IFNA(VLOOKUP('Comp X - UP'!B209,'Urban Plastix Holds'!$I$37:$U$705,5,0),0)</f>
        <v>#NAME?</v>
      </c>
      <c r="F209" s="274"/>
      <c r="G209" s="274" t="e">
        <f t="shared" ca="1" si="0"/>
        <v>#NAME?</v>
      </c>
      <c r="H209" s="274">
        <f t="shared" si="1"/>
        <v>0</v>
      </c>
    </row>
    <row r="210" spans="2:8" ht="13.5" customHeight="1">
      <c r="B210" s="209" t="s">
        <v>2201</v>
      </c>
      <c r="C210" s="209" t="s">
        <v>3578</v>
      </c>
      <c r="D210" s="408" t="str">
        <f t="shared" si="2"/>
        <v>14-01</v>
      </c>
      <c r="E210" s="273" t="e">
        <f ca="1">_xludf.IFNA(VLOOKUP('Comp X - UP'!B210,'Urban Plastix Holds'!$I$37:$U$705,6,0),0)</f>
        <v>#NAME?</v>
      </c>
      <c r="F210" s="274"/>
      <c r="G210" s="274" t="e">
        <f t="shared" ca="1" si="0"/>
        <v>#NAME?</v>
      </c>
      <c r="H210" s="274">
        <f t="shared" si="1"/>
        <v>0</v>
      </c>
    </row>
    <row r="211" spans="2:8" ht="13.5" customHeight="1">
      <c r="B211" s="209" t="s">
        <v>2201</v>
      </c>
      <c r="C211" s="209" t="s">
        <v>3578</v>
      </c>
      <c r="D211" s="409" t="str">
        <f t="shared" si="2"/>
        <v>15-12</v>
      </c>
      <c r="E211" s="273" t="e">
        <f ca="1">_xludf.IFNA(VLOOKUP('Comp X - UP'!B211,'Urban Plastix Holds'!$I$37:$U$705,7,0),0)</f>
        <v>#NAME?</v>
      </c>
      <c r="F211" s="274"/>
      <c r="G211" s="274" t="e">
        <f t="shared" ca="1" si="0"/>
        <v>#NAME?</v>
      </c>
      <c r="H211" s="274">
        <f t="shared" si="1"/>
        <v>0</v>
      </c>
    </row>
    <row r="212" spans="2:8" ht="13.5" customHeight="1">
      <c r="B212" s="209" t="s">
        <v>2201</v>
      </c>
      <c r="C212" s="209" t="s">
        <v>3578</v>
      </c>
      <c r="D212" s="410" t="str">
        <f t="shared" si="2"/>
        <v>16-16</v>
      </c>
      <c r="E212" s="273" t="e">
        <f ca="1">_xludf.IFNA(VLOOKUP('Comp X - UP'!B212,'Urban Plastix Holds'!$I$37:$U$705,8,0),0)</f>
        <v>#NAME?</v>
      </c>
      <c r="F212" s="274"/>
      <c r="G212" s="274" t="e">
        <f t="shared" ca="1" si="0"/>
        <v>#NAME?</v>
      </c>
      <c r="H212" s="274">
        <f t="shared" si="1"/>
        <v>0</v>
      </c>
    </row>
    <row r="213" spans="2:8" ht="13.5" customHeight="1">
      <c r="B213" s="209" t="s">
        <v>2201</v>
      </c>
      <c r="C213" s="209" t="s">
        <v>3578</v>
      </c>
      <c r="D213" s="411" t="str">
        <f t="shared" si="2"/>
        <v>13-01</v>
      </c>
      <c r="E213" s="273" t="e">
        <f ca="1">_xludf.IFNA(VLOOKUP('Comp X - UP'!B213,'Urban Plastix Holds'!$I$37:$U$705,9,0),0)</f>
        <v>#NAME?</v>
      </c>
      <c r="F213" s="274"/>
      <c r="G213" s="274" t="e">
        <f t="shared" ca="1" si="0"/>
        <v>#NAME?</v>
      </c>
      <c r="H213" s="274">
        <f t="shared" si="1"/>
        <v>0</v>
      </c>
    </row>
    <row r="214" spans="2:8" ht="13.5" customHeight="1">
      <c r="B214" s="209" t="s">
        <v>2201</v>
      </c>
      <c r="C214" s="209" t="s">
        <v>3578</v>
      </c>
      <c r="D214" s="413" t="str">
        <f t="shared" si="2"/>
        <v>07-13</v>
      </c>
      <c r="E214" s="273" t="e">
        <f ca="1">_xludf.IFNA(VLOOKUP('Comp X - UP'!B214,'Urban Plastix Holds'!$I$37:$U$705,10,0),0)</f>
        <v>#NAME?</v>
      </c>
      <c r="F214" s="274"/>
      <c r="G214" s="274" t="e">
        <f t="shared" ca="1" si="0"/>
        <v>#NAME?</v>
      </c>
      <c r="H214" s="274">
        <f t="shared" si="1"/>
        <v>0</v>
      </c>
    </row>
    <row r="215" spans="2:8" ht="13.5" customHeight="1">
      <c r="B215" s="209" t="s">
        <v>2201</v>
      </c>
      <c r="C215" s="209" t="s">
        <v>3578</v>
      </c>
      <c r="D215" s="414" t="str">
        <f t="shared" si="2"/>
        <v>11-26</v>
      </c>
      <c r="E215" s="273" t="e">
        <f ca="1">_xludf.IFNA(VLOOKUP('Comp X - UP'!B215,'Urban Plastix Holds'!$I$37:$U$705,11,0),0)</f>
        <v>#NAME?</v>
      </c>
      <c r="F215" s="274"/>
      <c r="G215" s="274" t="e">
        <f t="shared" ca="1" si="0"/>
        <v>#NAME?</v>
      </c>
      <c r="H215" s="274">
        <f t="shared" si="1"/>
        <v>0</v>
      </c>
    </row>
    <row r="216" spans="2:8" ht="13.5" customHeight="1">
      <c r="B216" s="209" t="s">
        <v>2201</v>
      </c>
      <c r="C216" s="209" t="s">
        <v>3578</v>
      </c>
      <c r="D216" s="415" t="str">
        <f t="shared" si="2"/>
        <v>18-01</v>
      </c>
      <c r="E216" s="273" t="e">
        <f ca="1">_xludf.IFNA(VLOOKUP('Comp X - UP'!B216,'Urban Plastix Holds'!$I$37:$U$705,12,0),0)</f>
        <v>#NAME?</v>
      </c>
      <c r="F216" s="274"/>
      <c r="G216" s="274" t="e">
        <f t="shared" ca="1" si="0"/>
        <v>#NAME?</v>
      </c>
      <c r="H216" s="274">
        <f t="shared" si="1"/>
        <v>0</v>
      </c>
    </row>
    <row r="217" spans="2:8" ht="13.5" customHeight="1">
      <c r="B217" s="209" t="s">
        <v>2201</v>
      </c>
      <c r="C217" s="209" t="s">
        <v>3578</v>
      </c>
      <c r="D217" s="416" t="str">
        <f t="shared" si="2"/>
        <v>Color Code</v>
      </c>
      <c r="E217" s="273" t="e">
        <f ca="1">_xludf.IFNA(VLOOKUP('Comp X - UP'!B217,'Urban Plastix Holds'!$I$37:$U$705,13,0),0)</f>
        <v>#NAME?</v>
      </c>
      <c r="F217" s="274"/>
      <c r="G217" s="274" t="e">
        <f t="shared" ca="1" si="0"/>
        <v>#NAME?</v>
      </c>
      <c r="H217" s="274">
        <f t="shared" si="1"/>
        <v>0</v>
      </c>
    </row>
    <row r="218" spans="2:8" ht="13.5" customHeight="1">
      <c r="B218" s="209" t="s">
        <v>2202</v>
      </c>
      <c r="C218" s="209" t="s">
        <v>3579</v>
      </c>
      <c r="D218" s="406" t="str">
        <f t="shared" si="2"/>
        <v>11-12</v>
      </c>
      <c r="E218" s="273" t="e">
        <f ca="1">_xludf.IFNA(VLOOKUP('Comp X - UP'!B218,'Urban Plastix Holds'!$I$37:$U$705,5,0),0)</f>
        <v>#NAME?</v>
      </c>
      <c r="F218" s="274"/>
      <c r="G218" s="274" t="e">
        <f t="shared" ca="1" si="0"/>
        <v>#NAME?</v>
      </c>
      <c r="H218" s="274">
        <f t="shared" si="1"/>
        <v>0</v>
      </c>
    </row>
    <row r="219" spans="2:8" ht="13.5" customHeight="1">
      <c r="B219" s="209" t="s">
        <v>2202</v>
      </c>
      <c r="C219" s="209" t="s">
        <v>3579</v>
      </c>
      <c r="D219" s="408" t="str">
        <f t="shared" si="2"/>
        <v>14-01</v>
      </c>
      <c r="E219" s="273" t="e">
        <f ca="1">_xludf.IFNA(VLOOKUP('Comp X - UP'!B219,'Urban Plastix Holds'!$I$37:$U$705,6,0),0)</f>
        <v>#NAME?</v>
      </c>
      <c r="F219" s="274"/>
      <c r="G219" s="274" t="e">
        <f t="shared" ca="1" si="0"/>
        <v>#NAME?</v>
      </c>
      <c r="H219" s="274">
        <f t="shared" si="1"/>
        <v>0</v>
      </c>
    </row>
    <row r="220" spans="2:8" ht="13.5" customHeight="1">
      <c r="B220" s="209" t="s">
        <v>2202</v>
      </c>
      <c r="C220" s="209" t="s">
        <v>3579</v>
      </c>
      <c r="D220" s="409" t="str">
        <f t="shared" si="2"/>
        <v>15-12</v>
      </c>
      <c r="E220" s="273" t="e">
        <f ca="1">_xludf.IFNA(VLOOKUP('Comp X - UP'!B220,'Urban Plastix Holds'!$I$37:$U$705,7,0),0)</f>
        <v>#NAME?</v>
      </c>
      <c r="F220" s="274"/>
      <c r="G220" s="274" t="e">
        <f t="shared" ca="1" si="0"/>
        <v>#NAME?</v>
      </c>
      <c r="H220" s="274">
        <f t="shared" si="1"/>
        <v>0</v>
      </c>
    </row>
    <row r="221" spans="2:8" ht="13.5" customHeight="1">
      <c r="B221" s="209" t="s">
        <v>2202</v>
      </c>
      <c r="C221" s="209" t="s">
        <v>3579</v>
      </c>
      <c r="D221" s="410" t="str">
        <f t="shared" si="2"/>
        <v>16-16</v>
      </c>
      <c r="E221" s="273" t="e">
        <f ca="1">_xludf.IFNA(VLOOKUP('Comp X - UP'!B221,'Urban Plastix Holds'!$I$37:$U$705,8,0),0)</f>
        <v>#NAME?</v>
      </c>
      <c r="F221" s="274"/>
      <c r="G221" s="274" t="e">
        <f t="shared" ca="1" si="0"/>
        <v>#NAME?</v>
      </c>
      <c r="H221" s="274">
        <f t="shared" si="1"/>
        <v>0</v>
      </c>
    </row>
    <row r="222" spans="2:8" ht="13.5" customHeight="1">
      <c r="B222" s="209" t="s">
        <v>2202</v>
      </c>
      <c r="C222" s="209" t="s">
        <v>3579</v>
      </c>
      <c r="D222" s="411" t="str">
        <f t="shared" si="2"/>
        <v>13-01</v>
      </c>
      <c r="E222" s="273" t="e">
        <f ca="1">_xludf.IFNA(VLOOKUP('Comp X - UP'!B222,'Urban Plastix Holds'!$I$37:$U$705,9,0),0)</f>
        <v>#NAME?</v>
      </c>
      <c r="F222" s="274"/>
      <c r="G222" s="274" t="e">
        <f t="shared" ca="1" si="0"/>
        <v>#NAME?</v>
      </c>
      <c r="H222" s="274">
        <f t="shared" si="1"/>
        <v>0</v>
      </c>
    </row>
    <row r="223" spans="2:8" ht="13.5" customHeight="1">
      <c r="B223" s="209" t="s">
        <v>2202</v>
      </c>
      <c r="C223" s="209" t="s">
        <v>3579</v>
      </c>
      <c r="D223" s="413" t="str">
        <f t="shared" si="2"/>
        <v>07-13</v>
      </c>
      <c r="E223" s="273" t="e">
        <f ca="1">_xludf.IFNA(VLOOKUP('Comp X - UP'!B223,'Urban Plastix Holds'!$I$37:$U$705,10,0),0)</f>
        <v>#NAME?</v>
      </c>
      <c r="F223" s="274"/>
      <c r="G223" s="274" t="e">
        <f t="shared" ca="1" si="0"/>
        <v>#NAME?</v>
      </c>
      <c r="H223" s="274">
        <f t="shared" si="1"/>
        <v>0</v>
      </c>
    </row>
    <row r="224" spans="2:8" ht="13.5" customHeight="1">
      <c r="B224" s="209" t="s">
        <v>2202</v>
      </c>
      <c r="C224" s="209" t="s">
        <v>3579</v>
      </c>
      <c r="D224" s="414" t="str">
        <f t="shared" si="2"/>
        <v>11-26</v>
      </c>
      <c r="E224" s="273" t="e">
        <f ca="1">_xludf.IFNA(VLOOKUP('Comp X - UP'!B224,'Urban Plastix Holds'!$I$37:$U$705,11,0),0)</f>
        <v>#NAME?</v>
      </c>
      <c r="F224" s="274"/>
      <c r="G224" s="274" t="e">
        <f t="shared" ca="1" si="0"/>
        <v>#NAME?</v>
      </c>
      <c r="H224" s="274">
        <f t="shared" si="1"/>
        <v>0</v>
      </c>
    </row>
    <row r="225" spans="2:8" ht="13.5" customHeight="1">
      <c r="B225" s="209" t="s">
        <v>2202</v>
      </c>
      <c r="C225" s="209" t="s">
        <v>3579</v>
      </c>
      <c r="D225" s="415" t="str">
        <f t="shared" si="2"/>
        <v>18-01</v>
      </c>
      <c r="E225" s="273" t="e">
        <f ca="1">_xludf.IFNA(VLOOKUP('Comp X - UP'!B225,'Urban Plastix Holds'!$I$37:$U$705,12,0),0)</f>
        <v>#NAME?</v>
      </c>
      <c r="F225" s="274"/>
      <c r="G225" s="274" t="e">
        <f t="shared" ca="1" si="0"/>
        <v>#NAME?</v>
      </c>
      <c r="H225" s="274">
        <f t="shared" si="1"/>
        <v>0</v>
      </c>
    </row>
    <row r="226" spans="2:8" ht="13.5" customHeight="1">
      <c r="B226" s="209" t="s">
        <v>2202</v>
      </c>
      <c r="C226" s="209" t="s">
        <v>3579</v>
      </c>
      <c r="D226" s="416" t="str">
        <f t="shared" si="2"/>
        <v>Color Code</v>
      </c>
      <c r="E226" s="273" t="e">
        <f ca="1">_xludf.IFNA(VLOOKUP('Comp X - UP'!B226,'Urban Plastix Holds'!$I$37:$U$705,13,0),0)</f>
        <v>#NAME?</v>
      </c>
      <c r="F226" s="274"/>
      <c r="G226" s="274" t="e">
        <f t="shared" ca="1" si="0"/>
        <v>#NAME?</v>
      </c>
      <c r="H226" s="274">
        <f t="shared" si="1"/>
        <v>0</v>
      </c>
    </row>
    <row r="227" spans="2:8" ht="13.5" customHeight="1">
      <c r="B227" s="209" t="s">
        <v>2203</v>
      </c>
      <c r="C227" s="209" t="s">
        <v>3580</v>
      </c>
      <c r="D227" s="406" t="str">
        <f t="shared" si="2"/>
        <v>11-12</v>
      </c>
      <c r="E227" s="273" t="e">
        <f ca="1">_xludf.IFNA(VLOOKUP('Comp X - UP'!B227,'Urban Plastix Holds'!$I$37:$U$705,5,0),0)</f>
        <v>#NAME?</v>
      </c>
      <c r="F227" s="274"/>
      <c r="G227" s="274" t="e">
        <f t="shared" ca="1" si="0"/>
        <v>#NAME?</v>
      </c>
      <c r="H227" s="274">
        <f t="shared" si="1"/>
        <v>0</v>
      </c>
    </row>
    <row r="228" spans="2:8" ht="13.5" customHeight="1">
      <c r="B228" s="209" t="s">
        <v>2203</v>
      </c>
      <c r="C228" s="209" t="s">
        <v>3580</v>
      </c>
      <c r="D228" s="408" t="str">
        <f t="shared" si="2"/>
        <v>14-01</v>
      </c>
      <c r="E228" s="273" t="e">
        <f ca="1">_xludf.IFNA(VLOOKUP('Comp X - UP'!B228,'Urban Plastix Holds'!$I$37:$U$705,6,0),0)</f>
        <v>#NAME?</v>
      </c>
      <c r="F228" s="274"/>
      <c r="G228" s="274" t="e">
        <f t="shared" ca="1" si="0"/>
        <v>#NAME?</v>
      </c>
      <c r="H228" s="274">
        <f t="shared" si="1"/>
        <v>0</v>
      </c>
    </row>
    <row r="229" spans="2:8" ht="13.5" customHeight="1">
      <c r="B229" s="209" t="s">
        <v>2203</v>
      </c>
      <c r="C229" s="209" t="s">
        <v>3580</v>
      </c>
      <c r="D229" s="409" t="str">
        <f t="shared" si="2"/>
        <v>15-12</v>
      </c>
      <c r="E229" s="273" t="e">
        <f ca="1">_xludf.IFNA(VLOOKUP('Comp X - UP'!B229,'Urban Plastix Holds'!$I$37:$U$705,7,0),0)</f>
        <v>#NAME?</v>
      </c>
      <c r="F229" s="274"/>
      <c r="G229" s="274" t="e">
        <f t="shared" ca="1" si="0"/>
        <v>#NAME?</v>
      </c>
      <c r="H229" s="274">
        <f t="shared" si="1"/>
        <v>0</v>
      </c>
    </row>
    <row r="230" spans="2:8" ht="13.5" customHeight="1">
      <c r="B230" s="209" t="s">
        <v>2203</v>
      </c>
      <c r="C230" s="209" t="s">
        <v>3580</v>
      </c>
      <c r="D230" s="410" t="str">
        <f t="shared" si="2"/>
        <v>16-16</v>
      </c>
      <c r="E230" s="273" t="e">
        <f ca="1">_xludf.IFNA(VLOOKUP('Comp X - UP'!B230,'Urban Plastix Holds'!$I$37:$U$705,8,0),0)</f>
        <v>#NAME?</v>
      </c>
      <c r="F230" s="274"/>
      <c r="G230" s="274" t="e">
        <f t="shared" ca="1" si="0"/>
        <v>#NAME?</v>
      </c>
      <c r="H230" s="274">
        <f t="shared" si="1"/>
        <v>0</v>
      </c>
    </row>
    <row r="231" spans="2:8" ht="13.5" customHeight="1">
      <c r="B231" s="209" t="s">
        <v>2203</v>
      </c>
      <c r="C231" s="209" t="s">
        <v>3580</v>
      </c>
      <c r="D231" s="411" t="str">
        <f t="shared" si="2"/>
        <v>13-01</v>
      </c>
      <c r="E231" s="273" t="e">
        <f ca="1">_xludf.IFNA(VLOOKUP('Comp X - UP'!B231,'Urban Plastix Holds'!$I$37:$U$705,9,0),0)</f>
        <v>#NAME?</v>
      </c>
      <c r="F231" s="274"/>
      <c r="G231" s="274" t="e">
        <f t="shared" ca="1" si="0"/>
        <v>#NAME?</v>
      </c>
      <c r="H231" s="274">
        <f t="shared" si="1"/>
        <v>0</v>
      </c>
    </row>
    <row r="232" spans="2:8" ht="13.5" customHeight="1">
      <c r="B232" s="209" t="s">
        <v>2203</v>
      </c>
      <c r="C232" s="209" t="s">
        <v>3580</v>
      </c>
      <c r="D232" s="413" t="str">
        <f t="shared" si="2"/>
        <v>07-13</v>
      </c>
      <c r="E232" s="273" t="e">
        <f ca="1">_xludf.IFNA(VLOOKUP('Comp X - UP'!B232,'Urban Plastix Holds'!$I$37:$U$705,10,0),0)</f>
        <v>#NAME?</v>
      </c>
      <c r="F232" s="274"/>
      <c r="G232" s="274" t="e">
        <f t="shared" ca="1" si="0"/>
        <v>#NAME?</v>
      </c>
      <c r="H232" s="274">
        <f t="shared" si="1"/>
        <v>0</v>
      </c>
    </row>
    <row r="233" spans="2:8" ht="13.5" customHeight="1">
      <c r="B233" s="209" t="s">
        <v>2203</v>
      </c>
      <c r="C233" s="209" t="s">
        <v>3580</v>
      </c>
      <c r="D233" s="414" t="str">
        <f t="shared" si="2"/>
        <v>11-26</v>
      </c>
      <c r="E233" s="273" t="e">
        <f ca="1">_xludf.IFNA(VLOOKUP('Comp X - UP'!B233,'Urban Plastix Holds'!$I$37:$U$705,11,0),0)</f>
        <v>#NAME?</v>
      </c>
      <c r="F233" s="274"/>
      <c r="G233" s="274" t="e">
        <f t="shared" ca="1" si="0"/>
        <v>#NAME?</v>
      </c>
      <c r="H233" s="274">
        <f t="shared" si="1"/>
        <v>0</v>
      </c>
    </row>
    <row r="234" spans="2:8" ht="13.5" customHeight="1">
      <c r="B234" s="209" t="s">
        <v>2203</v>
      </c>
      <c r="C234" s="209" t="s">
        <v>3580</v>
      </c>
      <c r="D234" s="415" t="str">
        <f t="shared" si="2"/>
        <v>18-01</v>
      </c>
      <c r="E234" s="273" t="e">
        <f ca="1">_xludf.IFNA(VLOOKUP('Comp X - UP'!B234,'Urban Plastix Holds'!$I$37:$U$705,12,0),0)</f>
        <v>#NAME?</v>
      </c>
      <c r="F234" s="274"/>
      <c r="G234" s="274" t="e">
        <f t="shared" ca="1" si="0"/>
        <v>#NAME?</v>
      </c>
      <c r="H234" s="274">
        <f t="shared" si="1"/>
        <v>0</v>
      </c>
    </row>
    <row r="235" spans="2:8" ht="13.5" customHeight="1">
      <c r="B235" s="209" t="s">
        <v>2203</v>
      </c>
      <c r="C235" s="209" t="s">
        <v>3580</v>
      </c>
      <c r="D235" s="416" t="str">
        <f t="shared" si="2"/>
        <v>Color Code</v>
      </c>
      <c r="E235" s="273" t="e">
        <f ca="1">_xludf.IFNA(VLOOKUP('Comp X - UP'!B235,'Urban Plastix Holds'!$I$37:$U$705,13,0),0)</f>
        <v>#NAME?</v>
      </c>
      <c r="F235" s="274"/>
      <c r="G235" s="274" t="e">
        <f t="shared" ca="1" si="0"/>
        <v>#NAME?</v>
      </c>
      <c r="H235" s="274">
        <f t="shared" si="1"/>
        <v>0</v>
      </c>
    </row>
    <row r="236" spans="2:8" ht="13.5" customHeight="1">
      <c r="B236" s="209" t="s">
        <v>2204</v>
      </c>
      <c r="C236" s="209" t="s">
        <v>3581</v>
      </c>
      <c r="D236" s="406" t="str">
        <f t="shared" si="2"/>
        <v>11-12</v>
      </c>
      <c r="E236" s="273" t="e">
        <f ca="1">_xludf.IFNA(VLOOKUP('Comp X - UP'!B236,'Urban Plastix Holds'!$I$37:$U$705,5,0),0)</f>
        <v>#NAME?</v>
      </c>
      <c r="F236" s="274"/>
      <c r="G236" s="274" t="e">
        <f t="shared" ca="1" si="0"/>
        <v>#NAME?</v>
      </c>
      <c r="H236" s="274">
        <f t="shared" si="1"/>
        <v>0</v>
      </c>
    </row>
    <row r="237" spans="2:8" ht="13.5" customHeight="1">
      <c r="B237" s="209" t="s">
        <v>2204</v>
      </c>
      <c r="C237" s="209" t="s">
        <v>3581</v>
      </c>
      <c r="D237" s="408" t="str">
        <f t="shared" si="2"/>
        <v>14-01</v>
      </c>
      <c r="E237" s="273" t="e">
        <f ca="1">_xludf.IFNA(VLOOKUP('Comp X - UP'!B237,'Urban Plastix Holds'!$I$37:$U$705,6,0),0)</f>
        <v>#NAME?</v>
      </c>
      <c r="F237" s="274"/>
      <c r="G237" s="274" t="e">
        <f t="shared" ca="1" si="0"/>
        <v>#NAME?</v>
      </c>
      <c r="H237" s="274">
        <f t="shared" si="1"/>
        <v>0</v>
      </c>
    </row>
    <row r="238" spans="2:8" ht="13.5" customHeight="1">
      <c r="B238" s="209" t="s">
        <v>2204</v>
      </c>
      <c r="C238" s="209" t="s">
        <v>3581</v>
      </c>
      <c r="D238" s="409" t="str">
        <f t="shared" si="2"/>
        <v>15-12</v>
      </c>
      <c r="E238" s="273" t="e">
        <f ca="1">_xludf.IFNA(VLOOKUP('Comp X - UP'!B238,'Urban Plastix Holds'!$I$37:$U$705,7,0),0)</f>
        <v>#NAME?</v>
      </c>
      <c r="F238" s="274"/>
      <c r="G238" s="274" t="e">
        <f t="shared" ca="1" si="0"/>
        <v>#NAME?</v>
      </c>
      <c r="H238" s="274">
        <f t="shared" si="1"/>
        <v>0</v>
      </c>
    </row>
    <row r="239" spans="2:8" ht="13.5" customHeight="1">
      <c r="B239" s="209" t="s">
        <v>2204</v>
      </c>
      <c r="C239" s="209" t="s">
        <v>3581</v>
      </c>
      <c r="D239" s="410" t="str">
        <f t="shared" si="2"/>
        <v>16-16</v>
      </c>
      <c r="E239" s="273" t="e">
        <f ca="1">_xludf.IFNA(VLOOKUP('Comp X - UP'!B239,'Urban Plastix Holds'!$I$37:$U$705,8,0),0)</f>
        <v>#NAME?</v>
      </c>
      <c r="F239" s="274"/>
      <c r="G239" s="274" t="e">
        <f t="shared" ca="1" si="0"/>
        <v>#NAME?</v>
      </c>
      <c r="H239" s="274">
        <f t="shared" si="1"/>
        <v>0</v>
      </c>
    </row>
    <row r="240" spans="2:8" ht="13.5" customHeight="1">
      <c r="B240" s="209" t="s">
        <v>2204</v>
      </c>
      <c r="C240" s="209" t="s">
        <v>3581</v>
      </c>
      <c r="D240" s="411" t="str">
        <f t="shared" si="2"/>
        <v>13-01</v>
      </c>
      <c r="E240" s="273" t="e">
        <f ca="1">_xludf.IFNA(VLOOKUP('Comp X - UP'!B240,'Urban Plastix Holds'!$I$37:$U$705,9,0),0)</f>
        <v>#NAME?</v>
      </c>
      <c r="F240" s="274"/>
      <c r="G240" s="274" t="e">
        <f t="shared" ca="1" si="0"/>
        <v>#NAME?</v>
      </c>
      <c r="H240" s="274">
        <f t="shared" si="1"/>
        <v>0</v>
      </c>
    </row>
    <row r="241" spans="2:8" ht="13.5" customHeight="1">
      <c r="B241" s="209" t="s">
        <v>2204</v>
      </c>
      <c r="C241" s="209" t="s">
        <v>3581</v>
      </c>
      <c r="D241" s="413" t="str">
        <f t="shared" si="2"/>
        <v>07-13</v>
      </c>
      <c r="E241" s="273" t="e">
        <f ca="1">_xludf.IFNA(VLOOKUP('Comp X - UP'!B241,'Urban Plastix Holds'!$I$37:$U$705,10,0),0)</f>
        <v>#NAME?</v>
      </c>
      <c r="F241" s="274"/>
      <c r="G241" s="274" t="e">
        <f t="shared" ca="1" si="0"/>
        <v>#NAME?</v>
      </c>
      <c r="H241" s="274">
        <f t="shared" si="1"/>
        <v>0</v>
      </c>
    </row>
    <row r="242" spans="2:8" ht="13.5" customHeight="1">
      <c r="B242" s="209" t="s">
        <v>2204</v>
      </c>
      <c r="C242" s="209" t="s">
        <v>3581</v>
      </c>
      <c r="D242" s="414" t="str">
        <f t="shared" si="2"/>
        <v>11-26</v>
      </c>
      <c r="E242" s="273" t="e">
        <f ca="1">_xludf.IFNA(VLOOKUP('Comp X - UP'!B242,'Urban Plastix Holds'!$I$37:$U$705,11,0),0)</f>
        <v>#NAME?</v>
      </c>
      <c r="F242" s="274"/>
      <c r="G242" s="274" t="e">
        <f t="shared" ca="1" si="0"/>
        <v>#NAME?</v>
      </c>
      <c r="H242" s="274">
        <f t="shared" si="1"/>
        <v>0</v>
      </c>
    </row>
    <row r="243" spans="2:8" ht="13.5" customHeight="1">
      <c r="B243" s="209" t="s">
        <v>2204</v>
      </c>
      <c r="C243" s="209" t="s">
        <v>3581</v>
      </c>
      <c r="D243" s="415" t="str">
        <f t="shared" si="2"/>
        <v>18-01</v>
      </c>
      <c r="E243" s="273" t="e">
        <f ca="1">_xludf.IFNA(VLOOKUP('Comp X - UP'!B243,'Urban Plastix Holds'!$I$37:$U$705,12,0),0)</f>
        <v>#NAME?</v>
      </c>
      <c r="F243" s="274"/>
      <c r="G243" s="274" t="e">
        <f t="shared" ca="1" si="0"/>
        <v>#NAME?</v>
      </c>
      <c r="H243" s="274">
        <f t="shared" si="1"/>
        <v>0</v>
      </c>
    </row>
    <row r="244" spans="2:8" ht="13.5" customHeight="1">
      <c r="B244" s="209" t="s">
        <v>2204</v>
      </c>
      <c r="C244" s="209" t="s">
        <v>3581</v>
      </c>
      <c r="D244" s="416" t="str">
        <f t="shared" si="2"/>
        <v>Color Code</v>
      </c>
      <c r="E244" s="273" t="e">
        <f ca="1">_xludf.IFNA(VLOOKUP('Comp X - UP'!B244,'Urban Plastix Holds'!$I$37:$U$705,13,0),0)</f>
        <v>#NAME?</v>
      </c>
      <c r="F244" s="274"/>
      <c r="G244" s="274" t="e">
        <f t="shared" ca="1" si="0"/>
        <v>#NAME?</v>
      </c>
      <c r="H244" s="274">
        <f t="shared" si="1"/>
        <v>0</v>
      </c>
    </row>
    <row r="245" spans="2:8" ht="13.5" customHeight="1">
      <c r="B245" s="209" t="s">
        <v>2205</v>
      </c>
      <c r="C245" s="209" t="s">
        <v>3582</v>
      </c>
      <c r="D245" s="406" t="str">
        <f t="shared" si="2"/>
        <v>11-12</v>
      </c>
      <c r="E245" s="273" t="e">
        <f ca="1">_xludf.IFNA(VLOOKUP('Comp X - UP'!B245,'Urban Plastix Holds'!$I$37:$U$705,5,0),0)</f>
        <v>#NAME?</v>
      </c>
      <c r="F245" s="274"/>
      <c r="G245" s="274" t="e">
        <f t="shared" ca="1" si="0"/>
        <v>#NAME?</v>
      </c>
      <c r="H245" s="274">
        <f t="shared" si="1"/>
        <v>0</v>
      </c>
    </row>
    <row r="246" spans="2:8" ht="13.5" customHeight="1">
      <c r="B246" s="209" t="s">
        <v>2205</v>
      </c>
      <c r="C246" s="209" t="s">
        <v>3582</v>
      </c>
      <c r="D246" s="408" t="str">
        <f t="shared" si="2"/>
        <v>14-01</v>
      </c>
      <c r="E246" s="273" t="e">
        <f ca="1">_xludf.IFNA(VLOOKUP('Comp X - UP'!B246,'Urban Plastix Holds'!$I$37:$U$705,6,0),0)</f>
        <v>#NAME?</v>
      </c>
      <c r="F246" s="274"/>
      <c r="G246" s="274" t="e">
        <f t="shared" ca="1" si="0"/>
        <v>#NAME?</v>
      </c>
      <c r="H246" s="274">
        <f t="shared" si="1"/>
        <v>0</v>
      </c>
    </row>
    <row r="247" spans="2:8" ht="13.5" customHeight="1">
      <c r="B247" s="209" t="s">
        <v>2205</v>
      </c>
      <c r="C247" s="209" t="s">
        <v>3582</v>
      </c>
      <c r="D247" s="409" t="str">
        <f t="shared" si="2"/>
        <v>15-12</v>
      </c>
      <c r="E247" s="273" t="e">
        <f ca="1">_xludf.IFNA(VLOOKUP('Comp X - UP'!B247,'Urban Plastix Holds'!$I$37:$U$705,7,0),0)</f>
        <v>#NAME?</v>
      </c>
      <c r="F247" s="274"/>
      <c r="G247" s="274" t="e">
        <f t="shared" ca="1" si="0"/>
        <v>#NAME?</v>
      </c>
      <c r="H247" s="274">
        <f t="shared" si="1"/>
        <v>0</v>
      </c>
    </row>
    <row r="248" spans="2:8" ht="13.5" customHeight="1">
      <c r="B248" s="209" t="s">
        <v>2205</v>
      </c>
      <c r="C248" s="209" t="s">
        <v>3582</v>
      </c>
      <c r="D248" s="410" t="str">
        <f t="shared" si="2"/>
        <v>16-16</v>
      </c>
      <c r="E248" s="273" t="e">
        <f ca="1">_xludf.IFNA(VLOOKUP('Comp X - UP'!B248,'Urban Plastix Holds'!$I$37:$U$705,8,0),0)</f>
        <v>#NAME?</v>
      </c>
      <c r="F248" s="274"/>
      <c r="G248" s="274" t="e">
        <f t="shared" ca="1" si="0"/>
        <v>#NAME?</v>
      </c>
      <c r="H248" s="274">
        <f t="shared" si="1"/>
        <v>0</v>
      </c>
    </row>
    <row r="249" spans="2:8" ht="13.5" customHeight="1">
      <c r="B249" s="209" t="s">
        <v>2205</v>
      </c>
      <c r="C249" s="209" t="s">
        <v>3582</v>
      </c>
      <c r="D249" s="411" t="str">
        <f t="shared" si="2"/>
        <v>13-01</v>
      </c>
      <c r="E249" s="273" t="e">
        <f ca="1">_xludf.IFNA(VLOOKUP('Comp X - UP'!B249,'Urban Plastix Holds'!$I$37:$U$705,9,0),0)</f>
        <v>#NAME?</v>
      </c>
      <c r="F249" s="274"/>
      <c r="G249" s="274" t="e">
        <f t="shared" ca="1" si="0"/>
        <v>#NAME?</v>
      </c>
      <c r="H249" s="274">
        <f t="shared" si="1"/>
        <v>0</v>
      </c>
    </row>
    <row r="250" spans="2:8" ht="13.5" customHeight="1">
      <c r="B250" s="209" t="s">
        <v>2205</v>
      </c>
      <c r="C250" s="209" t="s">
        <v>3582</v>
      </c>
      <c r="D250" s="413" t="str">
        <f t="shared" si="2"/>
        <v>07-13</v>
      </c>
      <c r="E250" s="273" t="e">
        <f ca="1">_xludf.IFNA(VLOOKUP('Comp X - UP'!B250,'Urban Plastix Holds'!$I$37:$U$705,10,0),0)</f>
        <v>#NAME?</v>
      </c>
      <c r="F250" s="274"/>
      <c r="G250" s="274" t="e">
        <f t="shared" ca="1" si="0"/>
        <v>#NAME?</v>
      </c>
      <c r="H250" s="274">
        <f t="shared" si="1"/>
        <v>0</v>
      </c>
    </row>
    <row r="251" spans="2:8" ht="13.5" customHeight="1">
      <c r="B251" s="209" t="s">
        <v>2205</v>
      </c>
      <c r="C251" s="209" t="s">
        <v>3582</v>
      </c>
      <c r="D251" s="414" t="str">
        <f t="shared" si="2"/>
        <v>11-26</v>
      </c>
      <c r="E251" s="273" t="e">
        <f ca="1">_xludf.IFNA(VLOOKUP('Comp X - UP'!B251,'Urban Plastix Holds'!$I$37:$U$705,11,0),0)</f>
        <v>#NAME?</v>
      </c>
      <c r="F251" s="274"/>
      <c r="G251" s="274" t="e">
        <f t="shared" ca="1" si="0"/>
        <v>#NAME?</v>
      </c>
      <c r="H251" s="274">
        <f t="shared" si="1"/>
        <v>0</v>
      </c>
    </row>
    <row r="252" spans="2:8" ht="13.5" customHeight="1">
      <c r="B252" s="209" t="s">
        <v>2205</v>
      </c>
      <c r="C252" s="209" t="s">
        <v>3582</v>
      </c>
      <c r="D252" s="415" t="str">
        <f t="shared" si="2"/>
        <v>18-01</v>
      </c>
      <c r="E252" s="273" t="e">
        <f ca="1">_xludf.IFNA(VLOOKUP('Comp X - UP'!B252,'Urban Plastix Holds'!$I$37:$U$705,12,0),0)</f>
        <v>#NAME?</v>
      </c>
      <c r="F252" s="274"/>
      <c r="G252" s="274" t="e">
        <f t="shared" ca="1" si="0"/>
        <v>#NAME?</v>
      </c>
      <c r="H252" s="274">
        <f t="shared" si="1"/>
        <v>0</v>
      </c>
    </row>
    <row r="253" spans="2:8" ht="13.5" customHeight="1">
      <c r="B253" s="209" t="s">
        <v>2205</v>
      </c>
      <c r="C253" s="209" t="s">
        <v>3582</v>
      </c>
      <c r="D253" s="416" t="str">
        <f t="shared" si="2"/>
        <v>Color Code</v>
      </c>
      <c r="E253" s="273" t="e">
        <f ca="1">_xludf.IFNA(VLOOKUP('Comp X - UP'!B253,'Urban Plastix Holds'!$I$37:$U$705,13,0),0)</f>
        <v>#NAME?</v>
      </c>
      <c r="F253" s="274"/>
      <c r="G253" s="274" t="e">
        <f t="shared" ca="1" si="0"/>
        <v>#NAME?</v>
      </c>
      <c r="H253" s="274">
        <f t="shared" si="1"/>
        <v>0</v>
      </c>
    </row>
    <row r="254" spans="2:8" ht="13.5" customHeight="1">
      <c r="B254" s="209" t="s">
        <v>2224</v>
      </c>
      <c r="C254" s="209" t="s">
        <v>3583</v>
      </c>
      <c r="D254" s="406" t="str">
        <f t="shared" si="2"/>
        <v>11-12</v>
      </c>
      <c r="E254" s="273" t="e">
        <f ca="1">_xludf.IFNA(VLOOKUP('Comp X - UP'!B254,'Urban Plastix Holds'!$I$37:$U$705,5,0),0)</f>
        <v>#NAME?</v>
      </c>
      <c r="F254" s="274"/>
      <c r="G254" s="274" t="e">
        <f t="shared" ca="1" si="0"/>
        <v>#NAME?</v>
      </c>
      <c r="H254" s="274">
        <f t="shared" si="1"/>
        <v>0</v>
      </c>
    </row>
    <row r="255" spans="2:8" ht="13.5" customHeight="1">
      <c r="B255" s="209" t="s">
        <v>2224</v>
      </c>
      <c r="C255" s="209" t="s">
        <v>3583</v>
      </c>
      <c r="D255" s="408" t="str">
        <f t="shared" si="2"/>
        <v>14-01</v>
      </c>
      <c r="E255" s="273" t="e">
        <f ca="1">_xludf.IFNA(VLOOKUP('Comp X - UP'!B255,'Urban Plastix Holds'!$I$37:$U$705,6,0),0)</f>
        <v>#NAME?</v>
      </c>
      <c r="F255" s="274"/>
      <c r="G255" s="274" t="e">
        <f t="shared" ca="1" si="0"/>
        <v>#NAME?</v>
      </c>
      <c r="H255" s="274">
        <f t="shared" si="1"/>
        <v>0</v>
      </c>
    </row>
    <row r="256" spans="2:8" ht="13.5" customHeight="1">
      <c r="B256" s="209" t="s">
        <v>2224</v>
      </c>
      <c r="C256" s="209" t="s">
        <v>3583</v>
      </c>
      <c r="D256" s="409" t="str">
        <f t="shared" si="2"/>
        <v>15-12</v>
      </c>
      <c r="E256" s="273" t="e">
        <f ca="1">_xludf.IFNA(VLOOKUP('Comp X - UP'!B256,'Urban Plastix Holds'!$I$37:$U$705,7,0),0)</f>
        <v>#NAME?</v>
      </c>
      <c r="F256" s="274"/>
      <c r="G256" s="274" t="e">
        <f t="shared" ca="1" si="0"/>
        <v>#NAME?</v>
      </c>
      <c r="H256" s="274">
        <f t="shared" si="1"/>
        <v>0</v>
      </c>
    </row>
    <row r="257" spans="2:8" ht="13.5" customHeight="1">
      <c r="B257" s="209" t="s">
        <v>2224</v>
      </c>
      <c r="C257" s="209" t="s">
        <v>3583</v>
      </c>
      <c r="D257" s="410" t="str">
        <f t="shared" si="2"/>
        <v>16-16</v>
      </c>
      <c r="E257" s="273" t="e">
        <f ca="1">_xludf.IFNA(VLOOKUP('Comp X - UP'!B257,'Urban Plastix Holds'!$I$37:$U$705,8,0),0)</f>
        <v>#NAME?</v>
      </c>
      <c r="F257" s="274"/>
      <c r="G257" s="274" t="e">
        <f t="shared" ref="G257:G511" ca="1" si="3">E257*F257</f>
        <v>#NAME?</v>
      </c>
      <c r="H257" s="274">
        <f t="shared" ref="H257:H511" si="4">IF($S$11="Y",G257*0.15,0)</f>
        <v>0</v>
      </c>
    </row>
    <row r="258" spans="2:8" ht="13.5" customHeight="1">
      <c r="B258" s="209" t="s">
        <v>2224</v>
      </c>
      <c r="C258" s="209" t="s">
        <v>3583</v>
      </c>
      <c r="D258" s="411" t="str">
        <f t="shared" si="2"/>
        <v>13-01</v>
      </c>
      <c r="E258" s="273" t="e">
        <f ca="1">_xludf.IFNA(VLOOKUP('Comp X - UP'!B258,'Urban Plastix Holds'!$I$37:$U$705,9,0),0)</f>
        <v>#NAME?</v>
      </c>
      <c r="F258" s="274"/>
      <c r="G258" s="274" t="e">
        <f t="shared" ca="1" si="3"/>
        <v>#NAME?</v>
      </c>
      <c r="H258" s="274">
        <f t="shared" si="4"/>
        <v>0</v>
      </c>
    </row>
    <row r="259" spans="2:8" ht="13.5" customHeight="1">
      <c r="B259" s="209" t="s">
        <v>2224</v>
      </c>
      <c r="C259" s="209" t="s">
        <v>3583</v>
      </c>
      <c r="D259" s="413" t="str">
        <f t="shared" si="2"/>
        <v>07-13</v>
      </c>
      <c r="E259" s="273" t="e">
        <f ca="1">_xludf.IFNA(VLOOKUP('Comp X - UP'!B259,'Urban Plastix Holds'!$I$37:$U$705,10,0),0)</f>
        <v>#NAME?</v>
      </c>
      <c r="F259" s="274"/>
      <c r="G259" s="274" t="e">
        <f t="shared" ca="1" si="3"/>
        <v>#NAME?</v>
      </c>
      <c r="H259" s="274">
        <f t="shared" si="4"/>
        <v>0</v>
      </c>
    </row>
    <row r="260" spans="2:8" ht="13.5" customHeight="1">
      <c r="B260" s="209" t="s">
        <v>2224</v>
      </c>
      <c r="C260" s="209" t="s">
        <v>3583</v>
      </c>
      <c r="D260" s="414" t="str">
        <f t="shared" si="2"/>
        <v>11-26</v>
      </c>
      <c r="E260" s="273" t="e">
        <f ca="1">_xludf.IFNA(VLOOKUP('Comp X - UP'!B260,'Urban Plastix Holds'!$I$37:$U$705,11,0),0)</f>
        <v>#NAME?</v>
      </c>
      <c r="F260" s="274"/>
      <c r="G260" s="274" t="e">
        <f t="shared" ca="1" si="3"/>
        <v>#NAME?</v>
      </c>
      <c r="H260" s="274">
        <f t="shared" si="4"/>
        <v>0</v>
      </c>
    </row>
    <row r="261" spans="2:8" ht="13.5" customHeight="1">
      <c r="B261" s="209" t="s">
        <v>2224</v>
      </c>
      <c r="C261" s="209" t="s">
        <v>3583</v>
      </c>
      <c r="D261" s="415" t="str">
        <f t="shared" si="2"/>
        <v>18-01</v>
      </c>
      <c r="E261" s="273" t="e">
        <f ca="1">_xludf.IFNA(VLOOKUP('Comp X - UP'!B261,'Urban Plastix Holds'!$I$37:$U$705,12,0),0)</f>
        <v>#NAME?</v>
      </c>
      <c r="F261" s="274"/>
      <c r="G261" s="274" t="e">
        <f t="shared" ca="1" si="3"/>
        <v>#NAME?</v>
      </c>
      <c r="H261" s="274">
        <f t="shared" si="4"/>
        <v>0</v>
      </c>
    </row>
    <row r="262" spans="2:8" ht="13.5" customHeight="1">
      <c r="B262" s="209" t="s">
        <v>2224</v>
      </c>
      <c r="C262" s="209" t="s">
        <v>3583</v>
      </c>
      <c r="D262" s="416" t="str">
        <f t="shared" si="2"/>
        <v>Color Code</v>
      </c>
      <c r="E262" s="273" t="e">
        <f ca="1">_xludf.IFNA(VLOOKUP('Comp X - UP'!B262,'Urban Plastix Holds'!$I$37:$U$705,13,0),0)</f>
        <v>#NAME?</v>
      </c>
      <c r="F262" s="274"/>
      <c r="G262" s="274" t="e">
        <f t="shared" ca="1" si="3"/>
        <v>#NAME?</v>
      </c>
      <c r="H262" s="274">
        <f t="shared" si="4"/>
        <v>0</v>
      </c>
    </row>
    <row r="263" spans="2:8" ht="13.5" customHeight="1">
      <c r="B263" s="209" t="s">
        <v>2225</v>
      </c>
      <c r="C263" s="209" t="s">
        <v>3584</v>
      </c>
      <c r="D263" s="406" t="str">
        <f t="shared" si="2"/>
        <v>11-12</v>
      </c>
      <c r="E263" s="273" t="e">
        <f ca="1">_xludf.IFNA(VLOOKUP('Comp X - UP'!B263,'Urban Plastix Holds'!$I$37:$U$705,5,0),0)</f>
        <v>#NAME?</v>
      </c>
      <c r="F263" s="274"/>
      <c r="G263" s="274" t="e">
        <f t="shared" ca="1" si="3"/>
        <v>#NAME?</v>
      </c>
      <c r="H263" s="274">
        <f t="shared" si="4"/>
        <v>0</v>
      </c>
    </row>
    <row r="264" spans="2:8" ht="13.5" customHeight="1">
      <c r="B264" s="209" t="s">
        <v>2225</v>
      </c>
      <c r="C264" s="209" t="s">
        <v>3584</v>
      </c>
      <c r="D264" s="408" t="str">
        <f t="shared" si="2"/>
        <v>14-01</v>
      </c>
      <c r="E264" s="273" t="e">
        <f ca="1">_xludf.IFNA(VLOOKUP('Comp X - UP'!B264,'Urban Plastix Holds'!$I$37:$U$705,6,0),0)</f>
        <v>#NAME?</v>
      </c>
      <c r="F264" s="274"/>
      <c r="G264" s="274" t="e">
        <f t="shared" ca="1" si="3"/>
        <v>#NAME?</v>
      </c>
      <c r="H264" s="274">
        <f t="shared" si="4"/>
        <v>0</v>
      </c>
    </row>
    <row r="265" spans="2:8" ht="13.5" customHeight="1">
      <c r="B265" s="209" t="s">
        <v>2225</v>
      </c>
      <c r="C265" s="209" t="s">
        <v>3584</v>
      </c>
      <c r="D265" s="409" t="str">
        <f t="shared" si="2"/>
        <v>15-12</v>
      </c>
      <c r="E265" s="273" t="e">
        <f ca="1">_xludf.IFNA(VLOOKUP('Comp X - UP'!B265,'Urban Plastix Holds'!$I$37:$U$705,7,0),0)</f>
        <v>#NAME?</v>
      </c>
      <c r="F265" s="274"/>
      <c r="G265" s="274" t="e">
        <f t="shared" ca="1" si="3"/>
        <v>#NAME?</v>
      </c>
      <c r="H265" s="274">
        <f t="shared" si="4"/>
        <v>0</v>
      </c>
    </row>
    <row r="266" spans="2:8" ht="13.5" customHeight="1">
      <c r="B266" s="209" t="s">
        <v>2225</v>
      </c>
      <c r="C266" s="209" t="s">
        <v>3584</v>
      </c>
      <c r="D266" s="410" t="str">
        <f t="shared" ref="D266:D520" si="5">D257</f>
        <v>16-16</v>
      </c>
      <c r="E266" s="273" t="e">
        <f ca="1">_xludf.IFNA(VLOOKUP('Comp X - UP'!B266,'Urban Plastix Holds'!$I$37:$U$705,8,0),0)</f>
        <v>#NAME?</v>
      </c>
      <c r="F266" s="274"/>
      <c r="G266" s="274" t="e">
        <f t="shared" ca="1" si="3"/>
        <v>#NAME?</v>
      </c>
      <c r="H266" s="274">
        <f t="shared" si="4"/>
        <v>0</v>
      </c>
    </row>
    <row r="267" spans="2:8" ht="13.5" customHeight="1">
      <c r="B267" s="209" t="s">
        <v>2225</v>
      </c>
      <c r="C267" s="209" t="s">
        <v>3584</v>
      </c>
      <c r="D267" s="411" t="str">
        <f t="shared" si="5"/>
        <v>13-01</v>
      </c>
      <c r="E267" s="273" t="e">
        <f ca="1">_xludf.IFNA(VLOOKUP('Comp X - UP'!B267,'Urban Plastix Holds'!$I$37:$U$705,9,0),0)</f>
        <v>#NAME?</v>
      </c>
      <c r="F267" s="274"/>
      <c r="G267" s="274" t="e">
        <f t="shared" ca="1" si="3"/>
        <v>#NAME?</v>
      </c>
      <c r="H267" s="274">
        <f t="shared" si="4"/>
        <v>0</v>
      </c>
    </row>
    <row r="268" spans="2:8" ht="13.5" customHeight="1">
      <c r="B268" s="209" t="s">
        <v>2225</v>
      </c>
      <c r="C268" s="209" t="s">
        <v>3584</v>
      </c>
      <c r="D268" s="413" t="str">
        <f t="shared" si="5"/>
        <v>07-13</v>
      </c>
      <c r="E268" s="273" t="e">
        <f ca="1">_xludf.IFNA(VLOOKUP('Comp X - UP'!B268,'Urban Plastix Holds'!$I$37:$U$705,10,0),0)</f>
        <v>#NAME?</v>
      </c>
      <c r="F268" s="274"/>
      <c r="G268" s="274" t="e">
        <f t="shared" ca="1" si="3"/>
        <v>#NAME?</v>
      </c>
      <c r="H268" s="274">
        <f t="shared" si="4"/>
        <v>0</v>
      </c>
    </row>
    <row r="269" spans="2:8" ht="13.5" customHeight="1">
      <c r="B269" s="209" t="s">
        <v>2225</v>
      </c>
      <c r="C269" s="209" t="s">
        <v>3584</v>
      </c>
      <c r="D269" s="414" t="str">
        <f t="shared" si="5"/>
        <v>11-26</v>
      </c>
      <c r="E269" s="273" t="e">
        <f ca="1">_xludf.IFNA(VLOOKUP('Comp X - UP'!B269,'Urban Plastix Holds'!$I$37:$U$705,11,0),0)</f>
        <v>#NAME?</v>
      </c>
      <c r="F269" s="274"/>
      <c r="G269" s="274" t="e">
        <f t="shared" ca="1" si="3"/>
        <v>#NAME?</v>
      </c>
      <c r="H269" s="274">
        <f t="shared" si="4"/>
        <v>0</v>
      </c>
    </row>
    <row r="270" spans="2:8" ht="13.5" customHeight="1">
      <c r="B270" s="209" t="s">
        <v>2225</v>
      </c>
      <c r="C270" s="209" t="s">
        <v>3584</v>
      </c>
      <c r="D270" s="415" t="str">
        <f t="shared" si="5"/>
        <v>18-01</v>
      </c>
      <c r="E270" s="273" t="e">
        <f ca="1">_xludf.IFNA(VLOOKUP('Comp X - UP'!B270,'Urban Plastix Holds'!$I$37:$U$705,12,0),0)</f>
        <v>#NAME?</v>
      </c>
      <c r="F270" s="274"/>
      <c r="G270" s="274" t="e">
        <f t="shared" ca="1" si="3"/>
        <v>#NAME?</v>
      </c>
      <c r="H270" s="274">
        <f t="shared" si="4"/>
        <v>0</v>
      </c>
    </row>
    <row r="271" spans="2:8" ht="13.5" customHeight="1">
      <c r="B271" s="209" t="s">
        <v>2225</v>
      </c>
      <c r="C271" s="209" t="s">
        <v>3584</v>
      </c>
      <c r="D271" s="416" t="str">
        <f t="shared" si="5"/>
        <v>Color Code</v>
      </c>
      <c r="E271" s="273" t="e">
        <f ca="1">_xludf.IFNA(VLOOKUP('Comp X - UP'!B271,'Urban Plastix Holds'!$I$37:$U$705,13,0),0)</f>
        <v>#NAME?</v>
      </c>
      <c r="F271" s="274"/>
      <c r="G271" s="274" t="e">
        <f t="shared" ca="1" si="3"/>
        <v>#NAME?</v>
      </c>
      <c r="H271" s="274">
        <f t="shared" si="4"/>
        <v>0</v>
      </c>
    </row>
    <row r="272" spans="2:8" ht="13.5" customHeight="1">
      <c r="B272" s="209" t="s">
        <v>2226</v>
      </c>
      <c r="C272" s="209" t="s">
        <v>3585</v>
      </c>
      <c r="D272" s="406" t="str">
        <f t="shared" si="5"/>
        <v>11-12</v>
      </c>
      <c r="E272" s="273" t="e">
        <f ca="1">_xludf.IFNA(VLOOKUP('Comp X - UP'!B272,'Urban Plastix Holds'!$I$37:$U$705,5,0),0)</f>
        <v>#NAME?</v>
      </c>
      <c r="F272" s="274"/>
      <c r="G272" s="274" t="e">
        <f t="shared" ca="1" si="3"/>
        <v>#NAME?</v>
      </c>
      <c r="H272" s="274">
        <f t="shared" si="4"/>
        <v>0</v>
      </c>
    </row>
    <row r="273" spans="2:8" ht="13.5" customHeight="1">
      <c r="B273" s="209" t="s">
        <v>2226</v>
      </c>
      <c r="C273" s="209" t="s">
        <v>3585</v>
      </c>
      <c r="D273" s="408" t="str">
        <f t="shared" si="5"/>
        <v>14-01</v>
      </c>
      <c r="E273" s="273" t="e">
        <f ca="1">_xludf.IFNA(VLOOKUP('Comp X - UP'!B273,'Urban Plastix Holds'!$I$37:$U$705,6,0),0)</f>
        <v>#NAME?</v>
      </c>
      <c r="F273" s="274"/>
      <c r="G273" s="274" t="e">
        <f t="shared" ca="1" si="3"/>
        <v>#NAME?</v>
      </c>
      <c r="H273" s="274">
        <f t="shared" si="4"/>
        <v>0</v>
      </c>
    </row>
    <row r="274" spans="2:8" ht="13.5" customHeight="1">
      <c r="B274" s="209" t="s">
        <v>2226</v>
      </c>
      <c r="C274" s="209" t="s">
        <v>3585</v>
      </c>
      <c r="D274" s="409" t="str">
        <f t="shared" si="5"/>
        <v>15-12</v>
      </c>
      <c r="E274" s="273" t="e">
        <f ca="1">_xludf.IFNA(VLOOKUP('Comp X - UP'!B274,'Urban Plastix Holds'!$I$37:$U$705,7,0),0)</f>
        <v>#NAME?</v>
      </c>
      <c r="F274" s="274"/>
      <c r="G274" s="274" t="e">
        <f t="shared" ca="1" si="3"/>
        <v>#NAME?</v>
      </c>
      <c r="H274" s="274">
        <f t="shared" si="4"/>
        <v>0</v>
      </c>
    </row>
    <row r="275" spans="2:8" ht="13.5" customHeight="1">
      <c r="B275" s="209" t="s">
        <v>2226</v>
      </c>
      <c r="C275" s="209" t="s">
        <v>3585</v>
      </c>
      <c r="D275" s="410" t="str">
        <f t="shared" si="5"/>
        <v>16-16</v>
      </c>
      <c r="E275" s="273" t="e">
        <f ca="1">_xludf.IFNA(VLOOKUP('Comp X - UP'!B275,'Urban Plastix Holds'!$I$37:$U$705,8,0),0)</f>
        <v>#NAME?</v>
      </c>
      <c r="F275" s="274"/>
      <c r="G275" s="274" t="e">
        <f t="shared" ca="1" si="3"/>
        <v>#NAME?</v>
      </c>
      <c r="H275" s="274">
        <f t="shared" si="4"/>
        <v>0</v>
      </c>
    </row>
    <row r="276" spans="2:8" ht="13.5" customHeight="1">
      <c r="B276" s="209" t="s">
        <v>2226</v>
      </c>
      <c r="C276" s="209" t="s">
        <v>3585</v>
      </c>
      <c r="D276" s="411" t="str">
        <f t="shared" si="5"/>
        <v>13-01</v>
      </c>
      <c r="E276" s="273" t="e">
        <f ca="1">_xludf.IFNA(VLOOKUP('Comp X - UP'!B276,'Urban Plastix Holds'!$I$37:$U$705,9,0),0)</f>
        <v>#NAME?</v>
      </c>
      <c r="F276" s="274"/>
      <c r="G276" s="274" t="e">
        <f t="shared" ca="1" si="3"/>
        <v>#NAME?</v>
      </c>
      <c r="H276" s="274">
        <f t="shared" si="4"/>
        <v>0</v>
      </c>
    </row>
    <row r="277" spans="2:8" ht="13.5" customHeight="1">
      <c r="B277" s="209" t="s">
        <v>2226</v>
      </c>
      <c r="C277" s="209" t="s">
        <v>3585</v>
      </c>
      <c r="D277" s="413" t="str">
        <f t="shared" si="5"/>
        <v>07-13</v>
      </c>
      <c r="E277" s="273" t="e">
        <f ca="1">_xludf.IFNA(VLOOKUP('Comp X - UP'!B277,'Urban Plastix Holds'!$I$37:$U$705,10,0),0)</f>
        <v>#NAME?</v>
      </c>
      <c r="F277" s="274"/>
      <c r="G277" s="274" t="e">
        <f t="shared" ca="1" si="3"/>
        <v>#NAME?</v>
      </c>
      <c r="H277" s="274">
        <f t="shared" si="4"/>
        <v>0</v>
      </c>
    </row>
    <row r="278" spans="2:8" ht="13.5" customHeight="1">
      <c r="B278" s="209" t="s">
        <v>2226</v>
      </c>
      <c r="C278" s="209" t="s">
        <v>3585</v>
      </c>
      <c r="D278" s="414" t="str">
        <f t="shared" si="5"/>
        <v>11-26</v>
      </c>
      <c r="E278" s="273" t="e">
        <f ca="1">_xludf.IFNA(VLOOKUP('Comp X - UP'!B278,'Urban Plastix Holds'!$I$37:$U$705,11,0),0)</f>
        <v>#NAME?</v>
      </c>
      <c r="F278" s="274"/>
      <c r="G278" s="274" t="e">
        <f t="shared" ca="1" si="3"/>
        <v>#NAME?</v>
      </c>
      <c r="H278" s="274">
        <f t="shared" si="4"/>
        <v>0</v>
      </c>
    </row>
    <row r="279" spans="2:8" ht="13.5" customHeight="1">
      <c r="B279" s="209" t="s">
        <v>2226</v>
      </c>
      <c r="C279" s="209" t="s">
        <v>3585</v>
      </c>
      <c r="D279" s="415" t="str">
        <f t="shared" si="5"/>
        <v>18-01</v>
      </c>
      <c r="E279" s="273" t="e">
        <f ca="1">_xludf.IFNA(VLOOKUP('Comp X - UP'!B279,'Urban Plastix Holds'!$I$37:$U$705,12,0),0)</f>
        <v>#NAME?</v>
      </c>
      <c r="F279" s="274"/>
      <c r="G279" s="274" t="e">
        <f t="shared" ca="1" si="3"/>
        <v>#NAME?</v>
      </c>
      <c r="H279" s="274">
        <f t="shared" si="4"/>
        <v>0</v>
      </c>
    </row>
    <row r="280" spans="2:8" ht="13.5" customHeight="1">
      <c r="B280" s="209" t="s">
        <v>2226</v>
      </c>
      <c r="C280" s="209" t="s">
        <v>3585</v>
      </c>
      <c r="D280" s="416" t="str">
        <f t="shared" si="5"/>
        <v>Color Code</v>
      </c>
      <c r="E280" s="273" t="e">
        <f ca="1">_xludf.IFNA(VLOOKUP('Comp X - UP'!B280,'Urban Plastix Holds'!$I$37:$U$705,13,0),0)</f>
        <v>#NAME?</v>
      </c>
      <c r="F280" s="274"/>
      <c r="G280" s="274" t="e">
        <f t="shared" ca="1" si="3"/>
        <v>#NAME?</v>
      </c>
      <c r="H280" s="274">
        <f t="shared" si="4"/>
        <v>0</v>
      </c>
    </row>
    <row r="281" spans="2:8" ht="13.5" customHeight="1">
      <c r="B281" s="209" t="s">
        <v>2227</v>
      </c>
      <c r="C281" s="209" t="s">
        <v>3586</v>
      </c>
      <c r="D281" s="406" t="str">
        <f t="shared" si="5"/>
        <v>11-12</v>
      </c>
      <c r="E281" s="273" t="e">
        <f ca="1">_xludf.IFNA(VLOOKUP('Comp X - UP'!B281,'Urban Plastix Holds'!$I$37:$U$705,5,0),0)</f>
        <v>#NAME?</v>
      </c>
      <c r="F281" s="274"/>
      <c r="G281" s="274" t="e">
        <f t="shared" ca="1" si="3"/>
        <v>#NAME?</v>
      </c>
      <c r="H281" s="274">
        <f t="shared" si="4"/>
        <v>0</v>
      </c>
    </row>
    <row r="282" spans="2:8" ht="13.5" customHeight="1">
      <c r="B282" s="209" t="s">
        <v>2227</v>
      </c>
      <c r="C282" s="209" t="s">
        <v>3586</v>
      </c>
      <c r="D282" s="408" t="str">
        <f t="shared" si="5"/>
        <v>14-01</v>
      </c>
      <c r="E282" s="273" t="e">
        <f ca="1">_xludf.IFNA(VLOOKUP('Comp X - UP'!B282,'Urban Plastix Holds'!$I$37:$U$705,6,0),0)</f>
        <v>#NAME?</v>
      </c>
      <c r="F282" s="274"/>
      <c r="G282" s="274" t="e">
        <f t="shared" ca="1" si="3"/>
        <v>#NAME?</v>
      </c>
      <c r="H282" s="274">
        <f t="shared" si="4"/>
        <v>0</v>
      </c>
    </row>
    <row r="283" spans="2:8" ht="13.5" customHeight="1">
      <c r="B283" s="209" t="s">
        <v>2227</v>
      </c>
      <c r="C283" s="209" t="s">
        <v>3586</v>
      </c>
      <c r="D283" s="409" t="str">
        <f t="shared" si="5"/>
        <v>15-12</v>
      </c>
      <c r="E283" s="273" t="e">
        <f ca="1">_xludf.IFNA(VLOOKUP('Comp X - UP'!B283,'Urban Plastix Holds'!$I$37:$U$705,7,0),0)</f>
        <v>#NAME?</v>
      </c>
      <c r="F283" s="274"/>
      <c r="G283" s="274" t="e">
        <f t="shared" ca="1" si="3"/>
        <v>#NAME?</v>
      </c>
      <c r="H283" s="274">
        <f t="shared" si="4"/>
        <v>0</v>
      </c>
    </row>
    <row r="284" spans="2:8" ht="13.5" customHeight="1">
      <c r="B284" s="209" t="s">
        <v>2227</v>
      </c>
      <c r="C284" s="209" t="s">
        <v>3586</v>
      </c>
      <c r="D284" s="410" t="str">
        <f t="shared" si="5"/>
        <v>16-16</v>
      </c>
      <c r="E284" s="273" t="e">
        <f ca="1">_xludf.IFNA(VLOOKUP('Comp X - UP'!B284,'Urban Plastix Holds'!$I$37:$U$705,8,0),0)</f>
        <v>#NAME?</v>
      </c>
      <c r="F284" s="274"/>
      <c r="G284" s="274" t="e">
        <f t="shared" ca="1" si="3"/>
        <v>#NAME?</v>
      </c>
      <c r="H284" s="274">
        <f t="shared" si="4"/>
        <v>0</v>
      </c>
    </row>
    <row r="285" spans="2:8" ht="13.5" customHeight="1">
      <c r="B285" s="209" t="s">
        <v>2227</v>
      </c>
      <c r="C285" s="209" t="s">
        <v>3586</v>
      </c>
      <c r="D285" s="411" t="str">
        <f t="shared" si="5"/>
        <v>13-01</v>
      </c>
      <c r="E285" s="273" t="e">
        <f ca="1">_xludf.IFNA(VLOOKUP('Comp X - UP'!B285,'Urban Plastix Holds'!$I$37:$U$705,9,0),0)</f>
        <v>#NAME?</v>
      </c>
      <c r="F285" s="274"/>
      <c r="G285" s="274" t="e">
        <f t="shared" ca="1" si="3"/>
        <v>#NAME?</v>
      </c>
      <c r="H285" s="274">
        <f t="shared" si="4"/>
        <v>0</v>
      </c>
    </row>
    <row r="286" spans="2:8" ht="13.5" customHeight="1">
      <c r="B286" s="209" t="s">
        <v>2227</v>
      </c>
      <c r="C286" s="209" t="s">
        <v>3586</v>
      </c>
      <c r="D286" s="413" t="str">
        <f t="shared" si="5"/>
        <v>07-13</v>
      </c>
      <c r="E286" s="273" t="e">
        <f ca="1">_xludf.IFNA(VLOOKUP('Comp X - UP'!B286,'Urban Plastix Holds'!$I$37:$U$705,10,0),0)</f>
        <v>#NAME?</v>
      </c>
      <c r="F286" s="274"/>
      <c r="G286" s="274" t="e">
        <f t="shared" ca="1" si="3"/>
        <v>#NAME?</v>
      </c>
      <c r="H286" s="274">
        <f t="shared" si="4"/>
        <v>0</v>
      </c>
    </row>
    <row r="287" spans="2:8" ht="13.5" customHeight="1">
      <c r="B287" s="209" t="s">
        <v>2227</v>
      </c>
      <c r="C287" s="209" t="s">
        <v>3586</v>
      </c>
      <c r="D287" s="414" t="str">
        <f t="shared" si="5"/>
        <v>11-26</v>
      </c>
      <c r="E287" s="273" t="e">
        <f ca="1">_xludf.IFNA(VLOOKUP('Comp X - UP'!B287,'Urban Plastix Holds'!$I$37:$U$705,11,0),0)</f>
        <v>#NAME?</v>
      </c>
      <c r="F287" s="274"/>
      <c r="G287" s="274" t="e">
        <f t="shared" ca="1" si="3"/>
        <v>#NAME?</v>
      </c>
      <c r="H287" s="274">
        <f t="shared" si="4"/>
        <v>0</v>
      </c>
    </row>
    <row r="288" spans="2:8" ht="13.5" customHeight="1">
      <c r="B288" s="209" t="s">
        <v>2227</v>
      </c>
      <c r="C288" s="209" t="s">
        <v>3586</v>
      </c>
      <c r="D288" s="415" t="str">
        <f t="shared" si="5"/>
        <v>18-01</v>
      </c>
      <c r="E288" s="273" t="e">
        <f ca="1">_xludf.IFNA(VLOOKUP('Comp X - UP'!B288,'Urban Plastix Holds'!$I$37:$U$705,12,0),0)</f>
        <v>#NAME?</v>
      </c>
      <c r="F288" s="274"/>
      <c r="G288" s="274" t="e">
        <f t="shared" ca="1" si="3"/>
        <v>#NAME?</v>
      </c>
      <c r="H288" s="274">
        <f t="shared" si="4"/>
        <v>0</v>
      </c>
    </row>
    <row r="289" spans="2:8" ht="13.5" customHeight="1">
      <c r="B289" s="209" t="s">
        <v>2227</v>
      </c>
      <c r="C289" s="209" t="s">
        <v>3586</v>
      </c>
      <c r="D289" s="416" t="str">
        <f t="shared" si="5"/>
        <v>Color Code</v>
      </c>
      <c r="E289" s="273" t="e">
        <f ca="1">_xludf.IFNA(VLOOKUP('Comp X - UP'!B289,'Urban Plastix Holds'!$I$37:$U$705,13,0),0)</f>
        <v>#NAME?</v>
      </c>
      <c r="F289" s="274"/>
      <c r="G289" s="274" t="e">
        <f t="shared" ca="1" si="3"/>
        <v>#NAME?</v>
      </c>
      <c r="H289" s="274">
        <f t="shared" si="4"/>
        <v>0</v>
      </c>
    </row>
    <row r="290" spans="2:8" ht="13.5" customHeight="1">
      <c r="B290" s="209" t="s">
        <v>2228</v>
      </c>
      <c r="C290" s="209" t="s">
        <v>3587</v>
      </c>
      <c r="D290" s="406" t="str">
        <f t="shared" si="5"/>
        <v>11-12</v>
      </c>
      <c r="E290" s="273" t="e">
        <f ca="1">_xludf.IFNA(VLOOKUP('Comp X - UP'!B290,'Urban Plastix Holds'!$I$37:$U$705,5,0),0)</f>
        <v>#NAME?</v>
      </c>
      <c r="F290" s="274"/>
      <c r="G290" s="274" t="e">
        <f t="shared" ca="1" si="3"/>
        <v>#NAME?</v>
      </c>
      <c r="H290" s="274">
        <f t="shared" si="4"/>
        <v>0</v>
      </c>
    </row>
    <row r="291" spans="2:8" ht="13.5" customHeight="1">
      <c r="B291" s="209" t="s">
        <v>2228</v>
      </c>
      <c r="C291" s="209" t="s">
        <v>3587</v>
      </c>
      <c r="D291" s="408" t="str">
        <f t="shared" si="5"/>
        <v>14-01</v>
      </c>
      <c r="E291" s="273" t="e">
        <f ca="1">_xludf.IFNA(VLOOKUP('Comp X - UP'!B291,'Urban Plastix Holds'!$I$37:$U$705,6,0),0)</f>
        <v>#NAME?</v>
      </c>
      <c r="F291" s="274"/>
      <c r="G291" s="274" t="e">
        <f t="shared" ca="1" si="3"/>
        <v>#NAME?</v>
      </c>
      <c r="H291" s="274">
        <f t="shared" si="4"/>
        <v>0</v>
      </c>
    </row>
    <row r="292" spans="2:8" ht="13.5" customHeight="1">
      <c r="B292" s="209" t="s">
        <v>2228</v>
      </c>
      <c r="C292" s="209" t="s">
        <v>3587</v>
      </c>
      <c r="D292" s="409" t="str">
        <f t="shared" si="5"/>
        <v>15-12</v>
      </c>
      <c r="E292" s="273" t="e">
        <f ca="1">_xludf.IFNA(VLOOKUP('Comp X - UP'!B292,'Urban Plastix Holds'!$I$37:$U$705,7,0),0)</f>
        <v>#NAME?</v>
      </c>
      <c r="F292" s="274"/>
      <c r="G292" s="274" t="e">
        <f t="shared" ca="1" si="3"/>
        <v>#NAME?</v>
      </c>
      <c r="H292" s="274">
        <f t="shared" si="4"/>
        <v>0</v>
      </c>
    </row>
    <row r="293" spans="2:8" ht="13.5" customHeight="1">
      <c r="B293" s="209" t="s">
        <v>2228</v>
      </c>
      <c r="C293" s="209" t="s">
        <v>3587</v>
      </c>
      <c r="D293" s="410" t="str">
        <f t="shared" si="5"/>
        <v>16-16</v>
      </c>
      <c r="E293" s="273" t="e">
        <f ca="1">_xludf.IFNA(VLOOKUP('Comp X - UP'!B293,'Urban Plastix Holds'!$I$37:$U$705,8,0),0)</f>
        <v>#NAME?</v>
      </c>
      <c r="F293" s="274"/>
      <c r="G293" s="274" t="e">
        <f t="shared" ca="1" si="3"/>
        <v>#NAME?</v>
      </c>
      <c r="H293" s="274">
        <f t="shared" si="4"/>
        <v>0</v>
      </c>
    </row>
    <row r="294" spans="2:8" ht="13.5" customHeight="1">
      <c r="B294" s="209" t="s">
        <v>2228</v>
      </c>
      <c r="C294" s="209" t="s">
        <v>3587</v>
      </c>
      <c r="D294" s="411" t="str">
        <f t="shared" si="5"/>
        <v>13-01</v>
      </c>
      <c r="E294" s="273" t="e">
        <f ca="1">_xludf.IFNA(VLOOKUP('Comp X - UP'!B294,'Urban Plastix Holds'!$I$37:$U$705,9,0),0)</f>
        <v>#NAME?</v>
      </c>
      <c r="F294" s="274"/>
      <c r="G294" s="274" t="e">
        <f t="shared" ca="1" si="3"/>
        <v>#NAME?</v>
      </c>
      <c r="H294" s="274">
        <f t="shared" si="4"/>
        <v>0</v>
      </c>
    </row>
    <row r="295" spans="2:8" ht="13.5" customHeight="1">
      <c r="B295" s="209" t="s">
        <v>2228</v>
      </c>
      <c r="C295" s="209" t="s">
        <v>3587</v>
      </c>
      <c r="D295" s="413" t="str">
        <f t="shared" si="5"/>
        <v>07-13</v>
      </c>
      <c r="E295" s="273" t="e">
        <f ca="1">_xludf.IFNA(VLOOKUP('Comp X - UP'!B295,'Urban Plastix Holds'!$I$37:$U$705,10,0),0)</f>
        <v>#NAME?</v>
      </c>
      <c r="F295" s="274"/>
      <c r="G295" s="274" t="e">
        <f t="shared" ca="1" si="3"/>
        <v>#NAME?</v>
      </c>
      <c r="H295" s="274">
        <f t="shared" si="4"/>
        <v>0</v>
      </c>
    </row>
    <row r="296" spans="2:8" ht="13.5" customHeight="1">
      <c r="B296" s="209" t="s">
        <v>2228</v>
      </c>
      <c r="C296" s="209" t="s">
        <v>3587</v>
      </c>
      <c r="D296" s="414" t="str">
        <f t="shared" si="5"/>
        <v>11-26</v>
      </c>
      <c r="E296" s="273" t="e">
        <f ca="1">_xludf.IFNA(VLOOKUP('Comp X - UP'!B296,'Urban Plastix Holds'!$I$37:$U$705,11,0),0)</f>
        <v>#NAME?</v>
      </c>
      <c r="F296" s="274"/>
      <c r="G296" s="274" t="e">
        <f t="shared" ca="1" si="3"/>
        <v>#NAME?</v>
      </c>
      <c r="H296" s="274">
        <f t="shared" si="4"/>
        <v>0</v>
      </c>
    </row>
    <row r="297" spans="2:8" ht="13.5" customHeight="1">
      <c r="B297" s="209" t="s">
        <v>2228</v>
      </c>
      <c r="C297" s="209" t="s">
        <v>3587</v>
      </c>
      <c r="D297" s="415" t="str">
        <f t="shared" si="5"/>
        <v>18-01</v>
      </c>
      <c r="E297" s="273" t="e">
        <f ca="1">_xludf.IFNA(VLOOKUP('Comp X - UP'!B297,'Urban Plastix Holds'!$I$37:$U$705,12,0),0)</f>
        <v>#NAME?</v>
      </c>
      <c r="F297" s="274"/>
      <c r="G297" s="274" t="e">
        <f t="shared" ca="1" si="3"/>
        <v>#NAME?</v>
      </c>
      <c r="H297" s="274">
        <f t="shared" si="4"/>
        <v>0</v>
      </c>
    </row>
    <row r="298" spans="2:8" ht="13.5" customHeight="1">
      <c r="B298" s="209" t="s">
        <v>2228</v>
      </c>
      <c r="C298" s="209" t="s">
        <v>3587</v>
      </c>
      <c r="D298" s="416" t="str">
        <f t="shared" si="5"/>
        <v>Color Code</v>
      </c>
      <c r="E298" s="273" t="e">
        <f ca="1">_xludf.IFNA(VLOOKUP('Comp X - UP'!B298,'Urban Plastix Holds'!$I$37:$U$705,13,0),0)</f>
        <v>#NAME?</v>
      </c>
      <c r="F298" s="274"/>
      <c r="G298" s="274" t="e">
        <f t="shared" ca="1" si="3"/>
        <v>#NAME?</v>
      </c>
      <c r="H298" s="274">
        <f t="shared" si="4"/>
        <v>0</v>
      </c>
    </row>
    <row r="299" spans="2:8" ht="13.5" customHeight="1">
      <c r="B299" s="209" t="s">
        <v>2229</v>
      </c>
      <c r="C299" s="209" t="s">
        <v>3588</v>
      </c>
      <c r="D299" s="406" t="str">
        <f t="shared" si="5"/>
        <v>11-12</v>
      </c>
      <c r="E299" s="273" t="e">
        <f ca="1">_xludf.IFNA(VLOOKUP('Comp X - UP'!B299,'Urban Plastix Holds'!$I$37:$U$705,5,0),0)</f>
        <v>#NAME?</v>
      </c>
      <c r="F299" s="274"/>
      <c r="G299" s="274" t="e">
        <f t="shared" ca="1" si="3"/>
        <v>#NAME?</v>
      </c>
      <c r="H299" s="274">
        <f t="shared" si="4"/>
        <v>0</v>
      </c>
    </row>
    <row r="300" spans="2:8" ht="13.5" customHeight="1">
      <c r="B300" s="209" t="s">
        <v>2229</v>
      </c>
      <c r="C300" s="209" t="s">
        <v>3588</v>
      </c>
      <c r="D300" s="408" t="str">
        <f t="shared" si="5"/>
        <v>14-01</v>
      </c>
      <c r="E300" s="273" t="e">
        <f ca="1">_xludf.IFNA(VLOOKUP('Comp X - UP'!B300,'Urban Plastix Holds'!$I$37:$U$705,6,0),0)</f>
        <v>#NAME?</v>
      </c>
      <c r="F300" s="274"/>
      <c r="G300" s="274" t="e">
        <f t="shared" ca="1" si="3"/>
        <v>#NAME?</v>
      </c>
      <c r="H300" s="274">
        <f t="shared" si="4"/>
        <v>0</v>
      </c>
    </row>
    <row r="301" spans="2:8" ht="13.5" customHeight="1">
      <c r="B301" s="209" t="s">
        <v>2229</v>
      </c>
      <c r="C301" s="209" t="s">
        <v>3588</v>
      </c>
      <c r="D301" s="409" t="str">
        <f t="shared" si="5"/>
        <v>15-12</v>
      </c>
      <c r="E301" s="273" t="e">
        <f ca="1">_xludf.IFNA(VLOOKUP('Comp X - UP'!B301,'Urban Plastix Holds'!$I$37:$U$705,7,0),0)</f>
        <v>#NAME?</v>
      </c>
      <c r="F301" s="274"/>
      <c r="G301" s="274" t="e">
        <f t="shared" ca="1" si="3"/>
        <v>#NAME?</v>
      </c>
      <c r="H301" s="274">
        <f t="shared" si="4"/>
        <v>0</v>
      </c>
    </row>
    <row r="302" spans="2:8" ht="13.5" customHeight="1">
      <c r="B302" s="209" t="s">
        <v>2229</v>
      </c>
      <c r="C302" s="209" t="s">
        <v>3588</v>
      </c>
      <c r="D302" s="410" t="str">
        <f t="shared" si="5"/>
        <v>16-16</v>
      </c>
      <c r="E302" s="273" t="e">
        <f ca="1">_xludf.IFNA(VLOOKUP('Comp X - UP'!B302,'Urban Plastix Holds'!$I$37:$U$705,8,0),0)</f>
        <v>#NAME?</v>
      </c>
      <c r="F302" s="274"/>
      <c r="G302" s="274" t="e">
        <f t="shared" ca="1" si="3"/>
        <v>#NAME?</v>
      </c>
      <c r="H302" s="274">
        <f t="shared" si="4"/>
        <v>0</v>
      </c>
    </row>
    <row r="303" spans="2:8" ht="13.5" customHeight="1">
      <c r="B303" s="209" t="s">
        <v>2229</v>
      </c>
      <c r="C303" s="209" t="s">
        <v>3588</v>
      </c>
      <c r="D303" s="411" t="str">
        <f t="shared" si="5"/>
        <v>13-01</v>
      </c>
      <c r="E303" s="273" t="e">
        <f ca="1">_xludf.IFNA(VLOOKUP('Comp X - UP'!B303,'Urban Plastix Holds'!$I$37:$U$705,9,0),0)</f>
        <v>#NAME?</v>
      </c>
      <c r="F303" s="274"/>
      <c r="G303" s="274" t="e">
        <f t="shared" ca="1" si="3"/>
        <v>#NAME?</v>
      </c>
      <c r="H303" s="274">
        <f t="shared" si="4"/>
        <v>0</v>
      </c>
    </row>
    <row r="304" spans="2:8" ht="13.5" customHeight="1">
      <c r="B304" s="209" t="s">
        <v>2229</v>
      </c>
      <c r="C304" s="209" t="s">
        <v>3588</v>
      </c>
      <c r="D304" s="413" t="str">
        <f t="shared" si="5"/>
        <v>07-13</v>
      </c>
      <c r="E304" s="273" t="e">
        <f ca="1">_xludf.IFNA(VLOOKUP('Comp X - UP'!B304,'Urban Plastix Holds'!$I$37:$U$705,10,0),0)</f>
        <v>#NAME?</v>
      </c>
      <c r="F304" s="274"/>
      <c r="G304" s="274" t="e">
        <f t="shared" ca="1" si="3"/>
        <v>#NAME?</v>
      </c>
      <c r="H304" s="274">
        <f t="shared" si="4"/>
        <v>0</v>
      </c>
    </row>
    <row r="305" spans="2:8" ht="13.5" customHeight="1">
      <c r="B305" s="209" t="s">
        <v>2229</v>
      </c>
      <c r="C305" s="209" t="s">
        <v>3588</v>
      </c>
      <c r="D305" s="414" t="str">
        <f t="shared" si="5"/>
        <v>11-26</v>
      </c>
      <c r="E305" s="273" t="e">
        <f ca="1">_xludf.IFNA(VLOOKUP('Comp X - UP'!B305,'Urban Plastix Holds'!$I$37:$U$705,11,0),0)</f>
        <v>#NAME?</v>
      </c>
      <c r="F305" s="274"/>
      <c r="G305" s="274" t="e">
        <f t="shared" ca="1" si="3"/>
        <v>#NAME?</v>
      </c>
      <c r="H305" s="274">
        <f t="shared" si="4"/>
        <v>0</v>
      </c>
    </row>
    <row r="306" spans="2:8" ht="13.5" customHeight="1">
      <c r="B306" s="209" t="s">
        <v>2229</v>
      </c>
      <c r="C306" s="209" t="s">
        <v>3588</v>
      </c>
      <c r="D306" s="415" t="str">
        <f t="shared" si="5"/>
        <v>18-01</v>
      </c>
      <c r="E306" s="273" t="e">
        <f ca="1">_xludf.IFNA(VLOOKUP('Comp X - UP'!B306,'Urban Plastix Holds'!$I$37:$U$705,12,0),0)</f>
        <v>#NAME?</v>
      </c>
      <c r="F306" s="274"/>
      <c r="G306" s="274" t="e">
        <f t="shared" ca="1" si="3"/>
        <v>#NAME?</v>
      </c>
      <c r="H306" s="274">
        <f t="shared" si="4"/>
        <v>0</v>
      </c>
    </row>
    <row r="307" spans="2:8" ht="13.5" customHeight="1">
      <c r="B307" s="209" t="s">
        <v>2229</v>
      </c>
      <c r="C307" s="209" t="s">
        <v>3588</v>
      </c>
      <c r="D307" s="416" t="str">
        <f t="shared" si="5"/>
        <v>Color Code</v>
      </c>
      <c r="E307" s="273" t="e">
        <f ca="1">_xludf.IFNA(VLOOKUP('Comp X - UP'!B307,'Urban Plastix Holds'!$I$37:$U$705,13,0),0)</f>
        <v>#NAME?</v>
      </c>
      <c r="F307" s="274"/>
      <c r="G307" s="274" t="e">
        <f t="shared" ca="1" si="3"/>
        <v>#NAME?</v>
      </c>
      <c r="H307" s="274">
        <f t="shared" si="4"/>
        <v>0</v>
      </c>
    </row>
    <row r="308" spans="2:8" ht="13.5" customHeight="1">
      <c r="B308" s="209" t="s">
        <v>2230</v>
      </c>
      <c r="C308" s="209" t="s">
        <v>3589</v>
      </c>
      <c r="D308" s="406" t="str">
        <f t="shared" si="5"/>
        <v>11-12</v>
      </c>
      <c r="E308" s="273" t="e">
        <f ca="1">_xludf.IFNA(VLOOKUP('Comp X - UP'!B308,'Urban Plastix Holds'!$I$37:$U$705,5,0),0)</f>
        <v>#NAME?</v>
      </c>
      <c r="F308" s="274"/>
      <c r="G308" s="274" t="e">
        <f t="shared" ca="1" si="3"/>
        <v>#NAME?</v>
      </c>
      <c r="H308" s="274">
        <f t="shared" si="4"/>
        <v>0</v>
      </c>
    </row>
    <row r="309" spans="2:8" ht="13.5" customHeight="1">
      <c r="B309" s="209" t="s">
        <v>2230</v>
      </c>
      <c r="C309" s="209" t="s">
        <v>3589</v>
      </c>
      <c r="D309" s="408" t="str">
        <f t="shared" si="5"/>
        <v>14-01</v>
      </c>
      <c r="E309" s="273" t="e">
        <f ca="1">_xludf.IFNA(VLOOKUP('Comp X - UP'!B309,'Urban Plastix Holds'!$I$37:$U$705,6,0),0)</f>
        <v>#NAME?</v>
      </c>
      <c r="F309" s="274"/>
      <c r="G309" s="274" t="e">
        <f t="shared" ca="1" si="3"/>
        <v>#NAME?</v>
      </c>
      <c r="H309" s="274">
        <f t="shared" si="4"/>
        <v>0</v>
      </c>
    </row>
    <row r="310" spans="2:8" ht="13.5" customHeight="1">
      <c r="B310" s="209" t="s">
        <v>2230</v>
      </c>
      <c r="C310" s="209" t="s">
        <v>3589</v>
      </c>
      <c r="D310" s="409" t="str">
        <f t="shared" si="5"/>
        <v>15-12</v>
      </c>
      <c r="E310" s="273" t="e">
        <f ca="1">_xludf.IFNA(VLOOKUP('Comp X - UP'!B310,'Urban Plastix Holds'!$I$37:$U$705,7,0),0)</f>
        <v>#NAME?</v>
      </c>
      <c r="F310" s="274"/>
      <c r="G310" s="274" t="e">
        <f t="shared" ca="1" si="3"/>
        <v>#NAME?</v>
      </c>
      <c r="H310" s="274">
        <f t="shared" si="4"/>
        <v>0</v>
      </c>
    </row>
    <row r="311" spans="2:8" ht="13.5" customHeight="1">
      <c r="B311" s="209" t="s">
        <v>2230</v>
      </c>
      <c r="C311" s="209" t="s">
        <v>3589</v>
      </c>
      <c r="D311" s="410" t="str">
        <f t="shared" si="5"/>
        <v>16-16</v>
      </c>
      <c r="E311" s="273" t="e">
        <f ca="1">_xludf.IFNA(VLOOKUP('Comp X - UP'!B311,'Urban Plastix Holds'!$I$37:$U$705,8,0),0)</f>
        <v>#NAME?</v>
      </c>
      <c r="F311" s="274"/>
      <c r="G311" s="274" t="e">
        <f t="shared" ca="1" si="3"/>
        <v>#NAME?</v>
      </c>
      <c r="H311" s="274">
        <f t="shared" si="4"/>
        <v>0</v>
      </c>
    </row>
    <row r="312" spans="2:8" ht="13.5" customHeight="1">
      <c r="B312" s="209" t="s">
        <v>2230</v>
      </c>
      <c r="C312" s="209" t="s">
        <v>3589</v>
      </c>
      <c r="D312" s="411" t="str">
        <f t="shared" si="5"/>
        <v>13-01</v>
      </c>
      <c r="E312" s="273" t="e">
        <f ca="1">_xludf.IFNA(VLOOKUP('Comp X - UP'!B312,'Urban Plastix Holds'!$I$37:$U$705,9,0),0)</f>
        <v>#NAME?</v>
      </c>
      <c r="F312" s="274"/>
      <c r="G312" s="274" t="e">
        <f t="shared" ca="1" si="3"/>
        <v>#NAME?</v>
      </c>
      <c r="H312" s="274">
        <f t="shared" si="4"/>
        <v>0</v>
      </c>
    </row>
    <row r="313" spans="2:8" ht="13.5" customHeight="1">
      <c r="B313" s="209" t="s">
        <v>2230</v>
      </c>
      <c r="C313" s="209" t="s">
        <v>3589</v>
      </c>
      <c r="D313" s="413" t="str">
        <f t="shared" si="5"/>
        <v>07-13</v>
      </c>
      <c r="E313" s="273" t="e">
        <f ca="1">_xludf.IFNA(VLOOKUP('Comp X - UP'!B313,'Urban Plastix Holds'!$I$37:$U$705,10,0),0)</f>
        <v>#NAME?</v>
      </c>
      <c r="F313" s="274"/>
      <c r="G313" s="274" t="e">
        <f t="shared" ca="1" si="3"/>
        <v>#NAME?</v>
      </c>
      <c r="H313" s="274">
        <f t="shared" si="4"/>
        <v>0</v>
      </c>
    </row>
    <row r="314" spans="2:8" ht="13.5" customHeight="1">
      <c r="B314" s="209" t="s">
        <v>2230</v>
      </c>
      <c r="C314" s="209" t="s">
        <v>3589</v>
      </c>
      <c r="D314" s="414" t="str">
        <f t="shared" si="5"/>
        <v>11-26</v>
      </c>
      <c r="E314" s="273" t="e">
        <f ca="1">_xludf.IFNA(VLOOKUP('Comp X - UP'!B314,'Urban Plastix Holds'!$I$37:$U$705,11,0),0)</f>
        <v>#NAME?</v>
      </c>
      <c r="F314" s="274"/>
      <c r="G314" s="274" t="e">
        <f t="shared" ca="1" si="3"/>
        <v>#NAME?</v>
      </c>
      <c r="H314" s="274">
        <f t="shared" si="4"/>
        <v>0</v>
      </c>
    </row>
    <row r="315" spans="2:8" ht="13.5" customHeight="1">
      <c r="B315" s="209" t="s">
        <v>2230</v>
      </c>
      <c r="C315" s="209" t="s">
        <v>3589</v>
      </c>
      <c r="D315" s="415" t="str">
        <f t="shared" si="5"/>
        <v>18-01</v>
      </c>
      <c r="E315" s="273" t="e">
        <f ca="1">_xludf.IFNA(VLOOKUP('Comp X - UP'!B315,'Urban Plastix Holds'!$I$37:$U$705,12,0),0)</f>
        <v>#NAME?</v>
      </c>
      <c r="F315" s="274"/>
      <c r="G315" s="274" t="e">
        <f t="shared" ca="1" si="3"/>
        <v>#NAME?</v>
      </c>
      <c r="H315" s="274">
        <f t="shared" si="4"/>
        <v>0</v>
      </c>
    </row>
    <row r="316" spans="2:8" ht="13.5" customHeight="1">
      <c r="B316" s="209" t="s">
        <v>2230</v>
      </c>
      <c r="C316" s="209" t="s">
        <v>3589</v>
      </c>
      <c r="D316" s="416" t="str">
        <f t="shared" si="5"/>
        <v>Color Code</v>
      </c>
      <c r="E316" s="273" t="e">
        <f ca="1">_xludf.IFNA(VLOOKUP('Comp X - UP'!B316,'Urban Plastix Holds'!$I$37:$U$705,13,0),0)</f>
        <v>#NAME?</v>
      </c>
      <c r="F316" s="274"/>
      <c r="G316" s="274" t="e">
        <f t="shared" ca="1" si="3"/>
        <v>#NAME?</v>
      </c>
      <c r="H316" s="274">
        <f t="shared" si="4"/>
        <v>0</v>
      </c>
    </row>
    <row r="317" spans="2:8" ht="13.5" customHeight="1">
      <c r="B317" s="209" t="s">
        <v>2235</v>
      </c>
      <c r="C317" s="209" t="s">
        <v>3590</v>
      </c>
      <c r="D317" s="406" t="str">
        <f t="shared" si="5"/>
        <v>11-12</v>
      </c>
      <c r="E317" s="273" t="e">
        <f ca="1">_xludf.IFNA(VLOOKUP('Comp X - UP'!B317,'Urban Plastix Holds'!$I$37:$U$705,5,0),0)</f>
        <v>#NAME?</v>
      </c>
      <c r="F317" s="274"/>
      <c r="G317" s="274" t="e">
        <f t="shared" ca="1" si="3"/>
        <v>#NAME?</v>
      </c>
      <c r="H317" s="274">
        <f t="shared" si="4"/>
        <v>0</v>
      </c>
    </row>
    <row r="318" spans="2:8" ht="13.5" customHeight="1">
      <c r="B318" s="209" t="s">
        <v>2235</v>
      </c>
      <c r="C318" s="209" t="s">
        <v>3590</v>
      </c>
      <c r="D318" s="408" t="str">
        <f t="shared" si="5"/>
        <v>14-01</v>
      </c>
      <c r="E318" s="273" t="e">
        <f ca="1">_xludf.IFNA(VLOOKUP('Comp X - UP'!B318,'Urban Plastix Holds'!$I$37:$U$705,6,0),0)</f>
        <v>#NAME?</v>
      </c>
      <c r="F318" s="274"/>
      <c r="G318" s="274" t="e">
        <f t="shared" ca="1" si="3"/>
        <v>#NAME?</v>
      </c>
      <c r="H318" s="274">
        <f t="shared" si="4"/>
        <v>0</v>
      </c>
    </row>
    <row r="319" spans="2:8" ht="13.5" customHeight="1">
      <c r="B319" s="209" t="s">
        <v>2235</v>
      </c>
      <c r="C319" s="209" t="s">
        <v>3590</v>
      </c>
      <c r="D319" s="409" t="str">
        <f t="shared" si="5"/>
        <v>15-12</v>
      </c>
      <c r="E319" s="273" t="e">
        <f ca="1">_xludf.IFNA(VLOOKUP('Comp X - UP'!B319,'Urban Plastix Holds'!$I$37:$U$705,7,0),0)</f>
        <v>#NAME?</v>
      </c>
      <c r="F319" s="274"/>
      <c r="G319" s="274" t="e">
        <f t="shared" ca="1" si="3"/>
        <v>#NAME?</v>
      </c>
      <c r="H319" s="274">
        <f t="shared" si="4"/>
        <v>0</v>
      </c>
    </row>
    <row r="320" spans="2:8" ht="13.5" customHeight="1">
      <c r="B320" s="209" t="s">
        <v>2235</v>
      </c>
      <c r="C320" s="209" t="s">
        <v>3590</v>
      </c>
      <c r="D320" s="410" t="str">
        <f t="shared" si="5"/>
        <v>16-16</v>
      </c>
      <c r="E320" s="273" t="e">
        <f ca="1">_xludf.IFNA(VLOOKUP('Comp X - UP'!B320,'Urban Plastix Holds'!$I$37:$U$705,8,0),0)</f>
        <v>#NAME?</v>
      </c>
      <c r="F320" s="274"/>
      <c r="G320" s="274" t="e">
        <f t="shared" ca="1" si="3"/>
        <v>#NAME?</v>
      </c>
      <c r="H320" s="274">
        <f t="shared" si="4"/>
        <v>0</v>
      </c>
    </row>
    <row r="321" spans="2:8" ht="13.5" customHeight="1">
      <c r="B321" s="209" t="s">
        <v>2235</v>
      </c>
      <c r="C321" s="209" t="s">
        <v>3590</v>
      </c>
      <c r="D321" s="411" t="str">
        <f t="shared" si="5"/>
        <v>13-01</v>
      </c>
      <c r="E321" s="273" t="e">
        <f ca="1">_xludf.IFNA(VLOOKUP('Comp X - UP'!B321,'Urban Plastix Holds'!$I$37:$U$705,9,0),0)</f>
        <v>#NAME?</v>
      </c>
      <c r="F321" s="274"/>
      <c r="G321" s="274" t="e">
        <f t="shared" ca="1" si="3"/>
        <v>#NAME?</v>
      </c>
      <c r="H321" s="274">
        <f t="shared" si="4"/>
        <v>0</v>
      </c>
    </row>
    <row r="322" spans="2:8" ht="13.5" customHeight="1">
      <c r="B322" s="209" t="s">
        <v>2235</v>
      </c>
      <c r="C322" s="209" t="s">
        <v>3590</v>
      </c>
      <c r="D322" s="413" t="str">
        <f t="shared" si="5"/>
        <v>07-13</v>
      </c>
      <c r="E322" s="273" t="e">
        <f ca="1">_xludf.IFNA(VLOOKUP('Comp X - UP'!B322,'Urban Plastix Holds'!$I$37:$U$705,10,0),0)</f>
        <v>#NAME?</v>
      </c>
      <c r="F322" s="274"/>
      <c r="G322" s="274" t="e">
        <f t="shared" ca="1" si="3"/>
        <v>#NAME?</v>
      </c>
      <c r="H322" s="274">
        <f t="shared" si="4"/>
        <v>0</v>
      </c>
    </row>
    <row r="323" spans="2:8" ht="13.5" customHeight="1">
      <c r="B323" s="209" t="s">
        <v>2235</v>
      </c>
      <c r="C323" s="209" t="s">
        <v>3590</v>
      </c>
      <c r="D323" s="414" t="str">
        <f t="shared" si="5"/>
        <v>11-26</v>
      </c>
      <c r="E323" s="273" t="e">
        <f ca="1">_xludf.IFNA(VLOOKUP('Comp X - UP'!B323,'Urban Plastix Holds'!$I$37:$U$705,11,0),0)</f>
        <v>#NAME?</v>
      </c>
      <c r="F323" s="274"/>
      <c r="G323" s="274" t="e">
        <f t="shared" ca="1" si="3"/>
        <v>#NAME?</v>
      </c>
      <c r="H323" s="274">
        <f t="shared" si="4"/>
        <v>0</v>
      </c>
    </row>
    <row r="324" spans="2:8" ht="13.5" customHeight="1">
      <c r="B324" s="209" t="s">
        <v>2235</v>
      </c>
      <c r="C324" s="209" t="s">
        <v>3590</v>
      </c>
      <c r="D324" s="415" t="str">
        <f t="shared" si="5"/>
        <v>18-01</v>
      </c>
      <c r="E324" s="273" t="e">
        <f ca="1">_xludf.IFNA(VLOOKUP('Comp X - UP'!B324,'Urban Plastix Holds'!$I$37:$U$705,12,0),0)</f>
        <v>#NAME?</v>
      </c>
      <c r="F324" s="274"/>
      <c r="G324" s="274" t="e">
        <f t="shared" ca="1" si="3"/>
        <v>#NAME?</v>
      </c>
      <c r="H324" s="274">
        <f t="shared" si="4"/>
        <v>0</v>
      </c>
    </row>
    <row r="325" spans="2:8" ht="13.5" customHeight="1">
      <c r="B325" s="209" t="s">
        <v>2235</v>
      </c>
      <c r="C325" s="209" t="s">
        <v>3590</v>
      </c>
      <c r="D325" s="416" t="str">
        <f t="shared" si="5"/>
        <v>Color Code</v>
      </c>
      <c r="E325" s="273" t="e">
        <f ca="1">_xludf.IFNA(VLOOKUP('Comp X - UP'!B325,'Urban Plastix Holds'!$I$37:$U$705,13,0),0)</f>
        <v>#NAME?</v>
      </c>
      <c r="F325" s="274"/>
      <c r="G325" s="274" t="e">
        <f t="shared" ca="1" si="3"/>
        <v>#NAME?</v>
      </c>
      <c r="H325" s="274">
        <f t="shared" si="4"/>
        <v>0</v>
      </c>
    </row>
    <row r="326" spans="2:8" ht="13.5" customHeight="1">
      <c r="B326" s="209" t="s">
        <v>2236</v>
      </c>
      <c r="C326" s="209" t="s">
        <v>3591</v>
      </c>
      <c r="D326" s="406" t="str">
        <f t="shared" si="5"/>
        <v>11-12</v>
      </c>
      <c r="E326" s="273" t="e">
        <f ca="1">_xludf.IFNA(VLOOKUP('Comp X - UP'!B326,'Urban Plastix Holds'!$I$37:$U$705,5,0),0)</f>
        <v>#NAME?</v>
      </c>
      <c r="F326" s="274"/>
      <c r="G326" s="274" t="e">
        <f t="shared" ca="1" si="3"/>
        <v>#NAME?</v>
      </c>
      <c r="H326" s="274">
        <f t="shared" si="4"/>
        <v>0</v>
      </c>
    </row>
    <row r="327" spans="2:8" ht="13.5" customHeight="1">
      <c r="B327" s="209" t="s">
        <v>2236</v>
      </c>
      <c r="C327" s="209" t="s">
        <v>3591</v>
      </c>
      <c r="D327" s="408" t="str">
        <f t="shared" si="5"/>
        <v>14-01</v>
      </c>
      <c r="E327" s="273" t="e">
        <f ca="1">_xludf.IFNA(VLOOKUP('Comp X - UP'!B327,'Urban Plastix Holds'!$I$37:$U$705,6,0),0)</f>
        <v>#NAME?</v>
      </c>
      <c r="F327" s="274"/>
      <c r="G327" s="274" t="e">
        <f t="shared" ca="1" si="3"/>
        <v>#NAME?</v>
      </c>
      <c r="H327" s="274">
        <f t="shared" si="4"/>
        <v>0</v>
      </c>
    </row>
    <row r="328" spans="2:8" ht="13.5" customHeight="1">
      <c r="B328" s="209" t="s">
        <v>2236</v>
      </c>
      <c r="C328" s="209" t="s">
        <v>3591</v>
      </c>
      <c r="D328" s="409" t="str">
        <f t="shared" si="5"/>
        <v>15-12</v>
      </c>
      <c r="E328" s="273" t="e">
        <f ca="1">_xludf.IFNA(VLOOKUP('Comp X - UP'!B328,'Urban Plastix Holds'!$I$37:$U$705,7,0),0)</f>
        <v>#NAME?</v>
      </c>
      <c r="F328" s="274"/>
      <c r="G328" s="274" t="e">
        <f t="shared" ca="1" si="3"/>
        <v>#NAME?</v>
      </c>
      <c r="H328" s="274">
        <f t="shared" si="4"/>
        <v>0</v>
      </c>
    </row>
    <row r="329" spans="2:8" ht="13.5" customHeight="1">
      <c r="B329" s="209" t="s">
        <v>2236</v>
      </c>
      <c r="C329" s="209" t="s">
        <v>3591</v>
      </c>
      <c r="D329" s="410" t="str">
        <f t="shared" si="5"/>
        <v>16-16</v>
      </c>
      <c r="E329" s="273" t="e">
        <f ca="1">_xludf.IFNA(VLOOKUP('Comp X - UP'!B329,'Urban Plastix Holds'!$I$37:$U$705,8,0),0)</f>
        <v>#NAME?</v>
      </c>
      <c r="F329" s="274"/>
      <c r="G329" s="274" t="e">
        <f t="shared" ca="1" si="3"/>
        <v>#NAME?</v>
      </c>
      <c r="H329" s="274">
        <f t="shared" si="4"/>
        <v>0</v>
      </c>
    </row>
    <row r="330" spans="2:8" ht="13.5" customHeight="1">
      <c r="B330" s="209" t="s">
        <v>2236</v>
      </c>
      <c r="C330" s="209" t="s">
        <v>3591</v>
      </c>
      <c r="D330" s="411" t="str">
        <f t="shared" si="5"/>
        <v>13-01</v>
      </c>
      <c r="E330" s="273" t="e">
        <f ca="1">_xludf.IFNA(VLOOKUP('Comp X - UP'!B330,'Urban Plastix Holds'!$I$37:$U$705,9,0),0)</f>
        <v>#NAME?</v>
      </c>
      <c r="F330" s="274"/>
      <c r="G330" s="274" t="e">
        <f t="shared" ca="1" si="3"/>
        <v>#NAME?</v>
      </c>
      <c r="H330" s="274">
        <f t="shared" si="4"/>
        <v>0</v>
      </c>
    </row>
    <row r="331" spans="2:8" ht="13.5" customHeight="1">
      <c r="B331" s="209" t="s">
        <v>2236</v>
      </c>
      <c r="C331" s="209" t="s">
        <v>3591</v>
      </c>
      <c r="D331" s="413" t="str">
        <f t="shared" si="5"/>
        <v>07-13</v>
      </c>
      <c r="E331" s="273" t="e">
        <f ca="1">_xludf.IFNA(VLOOKUP('Comp X - UP'!B331,'Urban Plastix Holds'!$I$37:$U$705,10,0),0)</f>
        <v>#NAME?</v>
      </c>
      <c r="F331" s="274"/>
      <c r="G331" s="274" t="e">
        <f t="shared" ca="1" si="3"/>
        <v>#NAME?</v>
      </c>
      <c r="H331" s="274">
        <f t="shared" si="4"/>
        <v>0</v>
      </c>
    </row>
    <row r="332" spans="2:8" ht="13.5" customHeight="1">
      <c r="B332" s="209" t="s">
        <v>2236</v>
      </c>
      <c r="C332" s="209" t="s">
        <v>3591</v>
      </c>
      <c r="D332" s="414" t="str">
        <f t="shared" si="5"/>
        <v>11-26</v>
      </c>
      <c r="E332" s="273" t="e">
        <f ca="1">_xludf.IFNA(VLOOKUP('Comp X - UP'!B332,'Urban Plastix Holds'!$I$37:$U$705,11,0),0)</f>
        <v>#NAME?</v>
      </c>
      <c r="F332" s="274"/>
      <c r="G332" s="274" t="e">
        <f t="shared" ca="1" si="3"/>
        <v>#NAME?</v>
      </c>
      <c r="H332" s="274">
        <f t="shared" si="4"/>
        <v>0</v>
      </c>
    </row>
    <row r="333" spans="2:8" ht="13.5" customHeight="1">
      <c r="B333" s="209" t="s">
        <v>2236</v>
      </c>
      <c r="C333" s="209" t="s">
        <v>3591</v>
      </c>
      <c r="D333" s="415" t="str">
        <f t="shared" si="5"/>
        <v>18-01</v>
      </c>
      <c r="E333" s="273" t="e">
        <f ca="1">_xludf.IFNA(VLOOKUP('Comp X - UP'!B333,'Urban Plastix Holds'!$I$37:$U$705,12,0),0)</f>
        <v>#NAME?</v>
      </c>
      <c r="F333" s="274"/>
      <c r="G333" s="274" t="e">
        <f t="shared" ca="1" si="3"/>
        <v>#NAME?</v>
      </c>
      <c r="H333" s="274">
        <f t="shared" si="4"/>
        <v>0</v>
      </c>
    </row>
    <row r="334" spans="2:8" ht="13.5" customHeight="1">
      <c r="B334" s="209" t="s">
        <v>2236</v>
      </c>
      <c r="C334" s="209" t="s">
        <v>3591</v>
      </c>
      <c r="D334" s="416" t="str">
        <f t="shared" si="5"/>
        <v>Color Code</v>
      </c>
      <c r="E334" s="273" t="e">
        <f ca="1">_xludf.IFNA(VLOOKUP('Comp X - UP'!B334,'Urban Plastix Holds'!$I$37:$U$705,13,0),0)</f>
        <v>#NAME?</v>
      </c>
      <c r="F334" s="274"/>
      <c r="G334" s="274" t="e">
        <f t="shared" ca="1" si="3"/>
        <v>#NAME?</v>
      </c>
      <c r="H334" s="274">
        <f t="shared" si="4"/>
        <v>0</v>
      </c>
    </row>
    <row r="335" spans="2:8" ht="13.5" customHeight="1">
      <c r="B335" s="209" t="s">
        <v>2237</v>
      </c>
      <c r="C335" s="209" t="s">
        <v>3592</v>
      </c>
      <c r="D335" s="406" t="str">
        <f t="shared" si="5"/>
        <v>11-12</v>
      </c>
      <c r="E335" s="273" t="e">
        <f ca="1">_xludf.IFNA(VLOOKUP('Comp X - UP'!B335,'Urban Plastix Holds'!$I$37:$U$705,5,0),0)</f>
        <v>#NAME?</v>
      </c>
      <c r="F335" s="274"/>
      <c r="G335" s="274" t="e">
        <f t="shared" ca="1" si="3"/>
        <v>#NAME?</v>
      </c>
      <c r="H335" s="274">
        <f t="shared" si="4"/>
        <v>0</v>
      </c>
    </row>
    <row r="336" spans="2:8" ht="13.5" customHeight="1">
      <c r="B336" s="209" t="s">
        <v>2237</v>
      </c>
      <c r="C336" s="209" t="s">
        <v>3592</v>
      </c>
      <c r="D336" s="408" t="str">
        <f t="shared" si="5"/>
        <v>14-01</v>
      </c>
      <c r="E336" s="273" t="e">
        <f ca="1">_xludf.IFNA(VLOOKUP('Comp X - UP'!B336,'Urban Plastix Holds'!$I$37:$U$705,6,0),0)</f>
        <v>#NAME?</v>
      </c>
      <c r="F336" s="274"/>
      <c r="G336" s="274" t="e">
        <f t="shared" ca="1" si="3"/>
        <v>#NAME?</v>
      </c>
      <c r="H336" s="274">
        <f t="shared" si="4"/>
        <v>0</v>
      </c>
    </row>
    <row r="337" spans="2:8" ht="13.5" customHeight="1">
      <c r="B337" s="209" t="s">
        <v>2237</v>
      </c>
      <c r="C337" s="209" t="s">
        <v>3592</v>
      </c>
      <c r="D337" s="409" t="str">
        <f t="shared" si="5"/>
        <v>15-12</v>
      </c>
      <c r="E337" s="273" t="e">
        <f ca="1">_xludf.IFNA(VLOOKUP('Comp X - UP'!B337,'Urban Plastix Holds'!$I$37:$U$705,7,0),0)</f>
        <v>#NAME?</v>
      </c>
      <c r="F337" s="274"/>
      <c r="G337" s="274" t="e">
        <f t="shared" ca="1" si="3"/>
        <v>#NAME?</v>
      </c>
      <c r="H337" s="274">
        <f t="shared" si="4"/>
        <v>0</v>
      </c>
    </row>
    <row r="338" spans="2:8" ht="13.5" customHeight="1">
      <c r="B338" s="209" t="s">
        <v>2237</v>
      </c>
      <c r="C338" s="209" t="s">
        <v>3592</v>
      </c>
      <c r="D338" s="410" t="str">
        <f t="shared" si="5"/>
        <v>16-16</v>
      </c>
      <c r="E338" s="273" t="e">
        <f ca="1">_xludf.IFNA(VLOOKUP('Comp X - UP'!B338,'Urban Plastix Holds'!$I$37:$U$705,8,0),0)</f>
        <v>#NAME?</v>
      </c>
      <c r="F338" s="274"/>
      <c r="G338" s="274" t="e">
        <f t="shared" ca="1" si="3"/>
        <v>#NAME?</v>
      </c>
      <c r="H338" s="274">
        <f t="shared" si="4"/>
        <v>0</v>
      </c>
    </row>
    <row r="339" spans="2:8" ht="13.5" customHeight="1">
      <c r="B339" s="209" t="s">
        <v>2237</v>
      </c>
      <c r="C339" s="209" t="s">
        <v>3592</v>
      </c>
      <c r="D339" s="411" t="str">
        <f t="shared" si="5"/>
        <v>13-01</v>
      </c>
      <c r="E339" s="273" t="e">
        <f ca="1">_xludf.IFNA(VLOOKUP('Comp X - UP'!B339,'Urban Plastix Holds'!$I$37:$U$705,9,0),0)</f>
        <v>#NAME?</v>
      </c>
      <c r="F339" s="274"/>
      <c r="G339" s="274" t="e">
        <f t="shared" ca="1" si="3"/>
        <v>#NAME?</v>
      </c>
      <c r="H339" s="274">
        <f t="shared" si="4"/>
        <v>0</v>
      </c>
    </row>
    <row r="340" spans="2:8" ht="13.5" customHeight="1">
      <c r="B340" s="209" t="s">
        <v>2237</v>
      </c>
      <c r="C340" s="209" t="s">
        <v>3592</v>
      </c>
      <c r="D340" s="413" t="str">
        <f t="shared" si="5"/>
        <v>07-13</v>
      </c>
      <c r="E340" s="273" t="e">
        <f ca="1">_xludf.IFNA(VLOOKUP('Comp X - UP'!B340,'Urban Plastix Holds'!$I$37:$U$705,10,0),0)</f>
        <v>#NAME?</v>
      </c>
      <c r="F340" s="274"/>
      <c r="G340" s="274" t="e">
        <f t="shared" ca="1" si="3"/>
        <v>#NAME?</v>
      </c>
      <c r="H340" s="274">
        <f t="shared" si="4"/>
        <v>0</v>
      </c>
    </row>
    <row r="341" spans="2:8" ht="13.5" customHeight="1">
      <c r="B341" s="209" t="s">
        <v>2237</v>
      </c>
      <c r="C341" s="209" t="s">
        <v>3592</v>
      </c>
      <c r="D341" s="414" t="str">
        <f t="shared" si="5"/>
        <v>11-26</v>
      </c>
      <c r="E341" s="273" t="e">
        <f ca="1">_xludf.IFNA(VLOOKUP('Comp X - UP'!B341,'Urban Plastix Holds'!$I$37:$U$705,11,0),0)</f>
        <v>#NAME?</v>
      </c>
      <c r="F341" s="274"/>
      <c r="G341" s="274" t="e">
        <f t="shared" ca="1" si="3"/>
        <v>#NAME?</v>
      </c>
      <c r="H341" s="274">
        <f t="shared" si="4"/>
        <v>0</v>
      </c>
    </row>
    <row r="342" spans="2:8" ht="13.5" customHeight="1">
      <c r="B342" s="209" t="s">
        <v>2237</v>
      </c>
      <c r="C342" s="209" t="s">
        <v>3592</v>
      </c>
      <c r="D342" s="415" t="str">
        <f t="shared" si="5"/>
        <v>18-01</v>
      </c>
      <c r="E342" s="273" t="e">
        <f ca="1">_xludf.IFNA(VLOOKUP('Comp X - UP'!B342,'Urban Plastix Holds'!$I$37:$U$705,12,0),0)</f>
        <v>#NAME?</v>
      </c>
      <c r="F342" s="274"/>
      <c r="G342" s="274" t="e">
        <f t="shared" ca="1" si="3"/>
        <v>#NAME?</v>
      </c>
      <c r="H342" s="274">
        <f t="shared" si="4"/>
        <v>0</v>
      </c>
    </row>
    <row r="343" spans="2:8" ht="13.5" customHeight="1">
      <c r="B343" s="209" t="s">
        <v>2237</v>
      </c>
      <c r="C343" s="209" t="s">
        <v>3592</v>
      </c>
      <c r="D343" s="416" t="str">
        <f t="shared" si="5"/>
        <v>Color Code</v>
      </c>
      <c r="E343" s="273" t="e">
        <f ca="1">_xludf.IFNA(VLOOKUP('Comp X - UP'!B343,'Urban Plastix Holds'!$I$37:$U$705,13,0),0)</f>
        <v>#NAME?</v>
      </c>
      <c r="F343" s="274"/>
      <c r="G343" s="274" t="e">
        <f t="shared" ca="1" si="3"/>
        <v>#NAME?</v>
      </c>
      <c r="H343" s="274">
        <f t="shared" si="4"/>
        <v>0</v>
      </c>
    </row>
    <row r="344" spans="2:8" ht="13.5" customHeight="1">
      <c r="B344" s="209" t="s">
        <v>2238</v>
      </c>
      <c r="C344" s="209" t="s">
        <v>3593</v>
      </c>
      <c r="D344" s="406" t="str">
        <f t="shared" si="5"/>
        <v>11-12</v>
      </c>
      <c r="E344" s="273" t="e">
        <f ca="1">_xludf.IFNA(VLOOKUP('Comp X - UP'!B344,'Urban Plastix Holds'!$I$37:$U$705,5,0),0)</f>
        <v>#NAME?</v>
      </c>
      <c r="F344" s="274"/>
      <c r="G344" s="274" t="e">
        <f t="shared" ca="1" si="3"/>
        <v>#NAME?</v>
      </c>
      <c r="H344" s="274">
        <f t="shared" si="4"/>
        <v>0</v>
      </c>
    </row>
    <row r="345" spans="2:8" ht="13.5" customHeight="1">
      <c r="B345" s="209" t="s">
        <v>2238</v>
      </c>
      <c r="C345" s="209" t="s">
        <v>3593</v>
      </c>
      <c r="D345" s="408" t="str">
        <f t="shared" si="5"/>
        <v>14-01</v>
      </c>
      <c r="E345" s="273" t="e">
        <f ca="1">_xludf.IFNA(VLOOKUP('Comp X - UP'!B345,'Urban Plastix Holds'!$I$37:$U$705,6,0),0)</f>
        <v>#NAME?</v>
      </c>
      <c r="F345" s="274"/>
      <c r="G345" s="274" t="e">
        <f t="shared" ca="1" si="3"/>
        <v>#NAME?</v>
      </c>
      <c r="H345" s="274">
        <f t="shared" si="4"/>
        <v>0</v>
      </c>
    </row>
    <row r="346" spans="2:8" ht="13.5" customHeight="1">
      <c r="B346" s="209" t="s">
        <v>2238</v>
      </c>
      <c r="C346" s="209" t="s">
        <v>3593</v>
      </c>
      <c r="D346" s="409" t="str">
        <f t="shared" si="5"/>
        <v>15-12</v>
      </c>
      <c r="E346" s="273" t="e">
        <f ca="1">_xludf.IFNA(VLOOKUP('Comp X - UP'!B346,'Urban Plastix Holds'!$I$37:$U$705,7,0),0)</f>
        <v>#NAME?</v>
      </c>
      <c r="F346" s="274"/>
      <c r="G346" s="274" t="e">
        <f t="shared" ca="1" si="3"/>
        <v>#NAME?</v>
      </c>
      <c r="H346" s="274">
        <f t="shared" si="4"/>
        <v>0</v>
      </c>
    </row>
    <row r="347" spans="2:8" ht="13.5" customHeight="1">
      <c r="B347" s="209" t="s">
        <v>2238</v>
      </c>
      <c r="C347" s="209" t="s">
        <v>3593</v>
      </c>
      <c r="D347" s="410" t="str">
        <f t="shared" si="5"/>
        <v>16-16</v>
      </c>
      <c r="E347" s="273" t="e">
        <f ca="1">_xludf.IFNA(VLOOKUP('Comp X - UP'!B347,'Urban Plastix Holds'!$I$37:$U$705,8,0),0)</f>
        <v>#NAME?</v>
      </c>
      <c r="F347" s="274"/>
      <c r="G347" s="274" t="e">
        <f t="shared" ca="1" si="3"/>
        <v>#NAME?</v>
      </c>
      <c r="H347" s="274">
        <f t="shared" si="4"/>
        <v>0</v>
      </c>
    </row>
    <row r="348" spans="2:8" ht="13.5" customHeight="1">
      <c r="B348" s="209" t="s">
        <v>2238</v>
      </c>
      <c r="C348" s="209" t="s">
        <v>3593</v>
      </c>
      <c r="D348" s="411" t="str">
        <f t="shared" si="5"/>
        <v>13-01</v>
      </c>
      <c r="E348" s="273" t="e">
        <f ca="1">_xludf.IFNA(VLOOKUP('Comp X - UP'!B348,'Urban Plastix Holds'!$I$37:$U$705,9,0),0)</f>
        <v>#NAME?</v>
      </c>
      <c r="F348" s="274"/>
      <c r="G348" s="274" t="e">
        <f t="shared" ca="1" si="3"/>
        <v>#NAME?</v>
      </c>
      <c r="H348" s="274">
        <f t="shared" si="4"/>
        <v>0</v>
      </c>
    </row>
    <row r="349" spans="2:8" ht="13.5" customHeight="1">
      <c r="B349" s="209" t="s">
        <v>2238</v>
      </c>
      <c r="C349" s="209" t="s">
        <v>3593</v>
      </c>
      <c r="D349" s="413" t="str">
        <f t="shared" si="5"/>
        <v>07-13</v>
      </c>
      <c r="E349" s="273" t="e">
        <f ca="1">_xludf.IFNA(VLOOKUP('Comp X - UP'!B349,'Urban Plastix Holds'!$I$37:$U$705,10,0),0)</f>
        <v>#NAME?</v>
      </c>
      <c r="F349" s="274"/>
      <c r="G349" s="274" t="e">
        <f t="shared" ca="1" si="3"/>
        <v>#NAME?</v>
      </c>
      <c r="H349" s="274">
        <f t="shared" si="4"/>
        <v>0</v>
      </c>
    </row>
    <row r="350" spans="2:8" ht="13.5" customHeight="1">
      <c r="B350" s="209" t="s">
        <v>2238</v>
      </c>
      <c r="C350" s="209" t="s">
        <v>3593</v>
      </c>
      <c r="D350" s="414" t="str">
        <f t="shared" si="5"/>
        <v>11-26</v>
      </c>
      <c r="E350" s="273" t="e">
        <f ca="1">_xludf.IFNA(VLOOKUP('Comp X - UP'!B350,'Urban Plastix Holds'!$I$37:$U$705,11,0),0)</f>
        <v>#NAME?</v>
      </c>
      <c r="F350" s="274"/>
      <c r="G350" s="274" t="e">
        <f t="shared" ca="1" si="3"/>
        <v>#NAME?</v>
      </c>
      <c r="H350" s="274">
        <f t="shared" si="4"/>
        <v>0</v>
      </c>
    </row>
    <row r="351" spans="2:8" ht="13.5" customHeight="1">
      <c r="B351" s="209" t="s">
        <v>2238</v>
      </c>
      <c r="C351" s="209" t="s">
        <v>3593</v>
      </c>
      <c r="D351" s="415" t="str">
        <f t="shared" si="5"/>
        <v>18-01</v>
      </c>
      <c r="E351" s="273" t="e">
        <f ca="1">_xludf.IFNA(VLOOKUP('Comp X - UP'!B351,'Urban Plastix Holds'!$I$37:$U$705,12,0),0)</f>
        <v>#NAME?</v>
      </c>
      <c r="F351" s="274"/>
      <c r="G351" s="274" t="e">
        <f t="shared" ca="1" si="3"/>
        <v>#NAME?</v>
      </c>
      <c r="H351" s="274">
        <f t="shared" si="4"/>
        <v>0</v>
      </c>
    </row>
    <row r="352" spans="2:8" ht="13.5" customHeight="1">
      <c r="B352" s="209" t="s">
        <v>2238</v>
      </c>
      <c r="C352" s="209" t="s">
        <v>3593</v>
      </c>
      <c r="D352" s="416" t="str">
        <f t="shared" si="5"/>
        <v>Color Code</v>
      </c>
      <c r="E352" s="273" t="e">
        <f ca="1">_xludf.IFNA(VLOOKUP('Comp X - UP'!B352,'Urban Plastix Holds'!$I$37:$U$705,13,0),0)</f>
        <v>#NAME?</v>
      </c>
      <c r="F352" s="274"/>
      <c r="G352" s="274" t="e">
        <f t="shared" ca="1" si="3"/>
        <v>#NAME?</v>
      </c>
      <c r="H352" s="274">
        <f t="shared" si="4"/>
        <v>0</v>
      </c>
    </row>
    <row r="353" spans="2:8" ht="13.5" customHeight="1">
      <c r="B353" s="209" t="s">
        <v>2239</v>
      </c>
      <c r="C353" s="209" t="s">
        <v>3594</v>
      </c>
      <c r="D353" s="406" t="str">
        <f t="shared" si="5"/>
        <v>11-12</v>
      </c>
      <c r="E353" s="273" t="e">
        <f ca="1">_xludf.IFNA(VLOOKUP('Comp X - UP'!B353,'Urban Plastix Holds'!$I$37:$U$705,5,0),0)</f>
        <v>#NAME?</v>
      </c>
      <c r="F353" s="274"/>
      <c r="G353" s="274" t="e">
        <f t="shared" ca="1" si="3"/>
        <v>#NAME?</v>
      </c>
      <c r="H353" s="274">
        <f t="shared" si="4"/>
        <v>0</v>
      </c>
    </row>
    <row r="354" spans="2:8" ht="13.5" customHeight="1">
      <c r="B354" s="209" t="s">
        <v>2239</v>
      </c>
      <c r="C354" s="209" t="s">
        <v>3594</v>
      </c>
      <c r="D354" s="408" t="str">
        <f t="shared" si="5"/>
        <v>14-01</v>
      </c>
      <c r="E354" s="273" t="e">
        <f ca="1">_xludf.IFNA(VLOOKUP('Comp X - UP'!B354,'Urban Plastix Holds'!$I$37:$U$705,6,0),0)</f>
        <v>#NAME?</v>
      </c>
      <c r="F354" s="274"/>
      <c r="G354" s="274" t="e">
        <f t="shared" ca="1" si="3"/>
        <v>#NAME?</v>
      </c>
      <c r="H354" s="274">
        <f t="shared" si="4"/>
        <v>0</v>
      </c>
    </row>
    <row r="355" spans="2:8" ht="13.5" customHeight="1">
      <c r="B355" s="209" t="s">
        <v>2239</v>
      </c>
      <c r="C355" s="209" t="s">
        <v>3594</v>
      </c>
      <c r="D355" s="409" t="str">
        <f t="shared" si="5"/>
        <v>15-12</v>
      </c>
      <c r="E355" s="273" t="e">
        <f ca="1">_xludf.IFNA(VLOOKUP('Comp X - UP'!B355,'Urban Plastix Holds'!$I$37:$U$705,7,0),0)</f>
        <v>#NAME?</v>
      </c>
      <c r="F355" s="274"/>
      <c r="G355" s="274" t="e">
        <f t="shared" ca="1" si="3"/>
        <v>#NAME?</v>
      </c>
      <c r="H355" s="274">
        <f t="shared" si="4"/>
        <v>0</v>
      </c>
    </row>
    <row r="356" spans="2:8" ht="13.5" customHeight="1">
      <c r="B356" s="209" t="s">
        <v>2239</v>
      </c>
      <c r="C356" s="209" t="s">
        <v>3594</v>
      </c>
      <c r="D356" s="410" t="str">
        <f t="shared" si="5"/>
        <v>16-16</v>
      </c>
      <c r="E356" s="273" t="e">
        <f ca="1">_xludf.IFNA(VLOOKUP('Comp X - UP'!B356,'Urban Plastix Holds'!$I$37:$U$705,8,0),0)</f>
        <v>#NAME?</v>
      </c>
      <c r="F356" s="274"/>
      <c r="G356" s="274" t="e">
        <f t="shared" ca="1" si="3"/>
        <v>#NAME?</v>
      </c>
      <c r="H356" s="274">
        <f t="shared" si="4"/>
        <v>0</v>
      </c>
    </row>
    <row r="357" spans="2:8" ht="13.5" customHeight="1">
      <c r="B357" s="209" t="s">
        <v>2239</v>
      </c>
      <c r="C357" s="209" t="s">
        <v>3594</v>
      </c>
      <c r="D357" s="411" t="str">
        <f t="shared" si="5"/>
        <v>13-01</v>
      </c>
      <c r="E357" s="273" t="e">
        <f ca="1">_xludf.IFNA(VLOOKUP('Comp X - UP'!B357,'Urban Plastix Holds'!$I$37:$U$705,9,0),0)</f>
        <v>#NAME?</v>
      </c>
      <c r="F357" s="274"/>
      <c r="G357" s="274" t="e">
        <f t="shared" ca="1" si="3"/>
        <v>#NAME?</v>
      </c>
      <c r="H357" s="274">
        <f t="shared" si="4"/>
        <v>0</v>
      </c>
    </row>
    <row r="358" spans="2:8" ht="13.5" customHeight="1">
      <c r="B358" s="209" t="s">
        <v>2239</v>
      </c>
      <c r="C358" s="209" t="s">
        <v>3594</v>
      </c>
      <c r="D358" s="413" t="str">
        <f t="shared" si="5"/>
        <v>07-13</v>
      </c>
      <c r="E358" s="273" t="e">
        <f ca="1">_xludf.IFNA(VLOOKUP('Comp X - UP'!B358,'Urban Plastix Holds'!$I$37:$U$705,10,0),0)</f>
        <v>#NAME?</v>
      </c>
      <c r="F358" s="274"/>
      <c r="G358" s="274" t="e">
        <f t="shared" ca="1" si="3"/>
        <v>#NAME?</v>
      </c>
      <c r="H358" s="274">
        <f t="shared" si="4"/>
        <v>0</v>
      </c>
    </row>
    <row r="359" spans="2:8" ht="13.5" customHeight="1">
      <c r="B359" s="209" t="s">
        <v>2239</v>
      </c>
      <c r="C359" s="209" t="s">
        <v>3594</v>
      </c>
      <c r="D359" s="414" t="str">
        <f t="shared" si="5"/>
        <v>11-26</v>
      </c>
      <c r="E359" s="273" t="e">
        <f ca="1">_xludf.IFNA(VLOOKUP('Comp X - UP'!B359,'Urban Plastix Holds'!$I$37:$U$705,11,0),0)</f>
        <v>#NAME?</v>
      </c>
      <c r="F359" s="274"/>
      <c r="G359" s="274" t="e">
        <f t="shared" ca="1" si="3"/>
        <v>#NAME?</v>
      </c>
      <c r="H359" s="274">
        <f t="shared" si="4"/>
        <v>0</v>
      </c>
    </row>
    <row r="360" spans="2:8" ht="13.5" customHeight="1">
      <c r="B360" s="209" t="s">
        <v>2239</v>
      </c>
      <c r="C360" s="209" t="s">
        <v>3594</v>
      </c>
      <c r="D360" s="415" t="str">
        <f t="shared" si="5"/>
        <v>18-01</v>
      </c>
      <c r="E360" s="273" t="e">
        <f ca="1">_xludf.IFNA(VLOOKUP('Comp X - UP'!B360,'Urban Plastix Holds'!$I$37:$U$705,12,0),0)</f>
        <v>#NAME?</v>
      </c>
      <c r="F360" s="274"/>
      <c r="G360" s="274" t="e">
        <f t="shared" ca="1" si="3"/>
        <v>#NAME?</v>
      </c>
      <c r="H360" s="274">
        <f t="shared" si="4"/>
        <v>0</v>
      </c>
    </row>
    <row r="361" spans="2:8" ht="13.5" customHeight="1">
      <c r="B361" s="209" t="s">
        <v>2239</v>
      </c>
      <c r="C361" s="209" t="s">
        <v>3594</v>
      </c>
      <c r="D361" s="416" t="str">
        <f t="shared" si="5"/>
        <v>Color Code</v>
      </c>
      <c r="E361" s="273" t="e">
        <f ca="1">_xludf.IFNA(VLOOKUP('Comp X - UP'!B361,'Urban Plastix Holds'!$I$37:$U$705,13,0),0)</f>
        <v>#NAME?</v>
      </c>
      <c r="F361" s="274"/>
      <c r="G361" s="274" t="e">
        <f t="shared" ca="1" si="3"/>
        <v>#NAME?</v>
      </c>
      <c r="H361" s="274">
        <f t="shared" si="4"/>
        <v>0</v>
      </c>
    </row>
    <row r="362" spans="2:8" ht="13.5" customHeight="1">
      <c r="B362" s="209" t="s">
        <v>2240</v>
      </c>
      <c r="C362" s="209" t="s">
        <v>3595</v>
      </c>
      <c r="D362" s="406" t="str">
        <f t="shared" si="5"/>
        <v>11-12</v>
      </c>
      <c r="E362" s="273" t="e">
        <f ca="1">_xludf.IFNA(VLOOKUP('Comp X - UP'!B362,'Urban Plastix Holds'!$I$37:$U$705,5,0),0)</f>
        <v>#NAME?</v>
      </c>
      <c r="F362" s="274"/>
      <c r="G362" s="274" t="e">
        <f t="shared" ca="1" si="3"/>
        <v>#NAME?</v>
      </c>
      <c r="H362" s="274">
        <f t="shared" si="4"/>
        <v>0</v>
      </c>
    </row>
    <row r="363" spans="2:8" ht="13.5" customHeight="1">
      <c r="B363" s="209" t="s">
        <v>2240</v>
      </c>
      <c r="C363" s="209" t="s">
        <v>3595</v>
      </c>
      <c r="D363" s="408" t="str">
        <f t="shared" si="5"/>
        <v>14-01</v>
      </c>
      <c r="E363" s="273" t="e">
        <f ca="1">_xludf.IFNA(VLOOKUP('Comp X - UP'!B363,'Urban Plastix Holds'!$I$37:$U$705,6,0),0)</f>
        <v>#NAME?</v>
      </c>
      <c r="F363" s="274"/>
      <c r="G363" s="274" t="e">
        <f t="shared" ca="1" si="3"/>
        <v>#NAME?</v>
      </c>
      <c r="H363" s="274">
        <f t="shared" si="4"/>
        <v>0</v>
      </c>
    </row>
    <row r="364" spans="2:8" ht="13.5" customHeight="1">
      <c r="B364" s="209" t="s">
        <v>2240</v>
      </c>
      <c r="C364" s="209" t="s">
        <v>3595</v>
      </c>
      <c r="D364" s="409" t="str">
        <f t="shared" si="5"/>
        <v>15-12</v>
      </c>
      <c r="E364" s="273" t="e">
        <f ca="1">_xludf.IFNA(VLOOKUP('Comp X - UP'!B364,'Urban Plastix Holds'!$I$37:$U$705,7,0),0)</f>
        <v>#NAME?</v>
      </c>
      <c r="F364" s="274"/>
      <c r="G364" s="274" t="e">
        <f t="shared" ca="1" si="3"/>
        <v>#NAME?</v>
      </c>
      <c r="H364" s="274">
        <f t="shared" si="4"/>
        <v>0</v>
      </c>
    </row>
    <row r="365" spans="2:8" ht="13.5" customHeight="1">
      <c r="B365" s="209" t="s">
        <v>2240</v>
      </c>
      <c r="C365" s="209" t="s">
        <v>3595</v>
      </c>
      <c r="D365" s="410" t="str">
        <f t="shared" si="5"/>
        <v>16-16</v>
      </c>
      <c r="E365" s="273" t="e">
        <f ca="1">_xludf.IFNA(VLOOKUP('Comp X - UP'!B365,'Urban Plastix Holds'!$I$37:$U$705,8,0),0)</f>
        <v>#NAME?</v>
      </c>
      <c r="F365" s="274"/>
      <c r="G365" s="274" t="e">
        <f t="shared" ca="1" si="3"/>
        <v>#NAME?</v>
      </c>
      <c r="H365" s="274">
        <f t="shared" si="4"/>
        <v>0</v>
      </c>
    </row>
    <row r="366" spans="2:8" ht="13.5" customHeight="1">
      <c r="B366" s="209" t="s">
        <v>2240</v>
      </c>
      <c r="C366" s="209" t="s">
        <v>3595</v>
      </c>
      <c r="D366" s="411" t="str">
        <f t="shared" si="5"/>
        <v>13-01</v>
      </c>
      <c r="E366" s="273" t="e">
        <f ca="1">_xludf.IFNA(VLOOKUP('Comp X - UP'!B366,'Urban Plastix Holds'!$I$37:$U$705,9,0),0)</f>
        <v>#NAME?</v>
      </c>
      <c r="F366" s="274"/>
      <c r="G366" s="274" t="e">
        <f t="shared" ca="1" si="3"/>
        <v>#NAME?</v>
      </c>
      <c r="H366" s="274">
        <f t="shared" si="4"/>
        <v>0</v>
      </c>
    </row>
    <row r="367" spans="2:8" ht="13.5" customHeight="1">
      <c r="B367" s="209" t="s">
        <v>2240</v>
      </c>
      <c r="C367" s="209" t="s">
        <v>3595</v>
      </c>
      <c r="D367" s="413" t="str">
        <f t="shared" si="5"/>
        <v>07-13</v>
      </c>
      <c r="E367" s="273" t="e">
        <f ca="1">_xludf.IFNA(VLOOKUP('Comp X - UP'!B367,'Urban Plastix Holds'!$I$37:$U$705,10,0),0)</f>
        <v>#NAME?</v>
      </c>
      <c r="F367" s="274"/>
      <c r="G367" s="274" t="e">
        <f t="shared" ca="1" si="3"/>
        <v>#NAME?</v>
      </c>
      <c r="H367" s="274">
        <f t="shared" si="4"/>
        <v>0</v>
      </c>
    </row>
    <row r="368" spans="2:8" ht="13.5" customHeight="1">
      <c r="B368" s="209" t="s">
        <v>2240</v>
      </c>
      <c r="C368" s="209" t="s">
        <v>3595</v>
      </c>
      <c r="D368" s="414" t="str">
        <f t="shared" si="5"/>
        <v>11-26</v>
      </c>
      <c r="E368" s="273" t="e">
        <f ca="1">_xludf.IFNA(VLOOKUP('Comp X - UP'!B368,'Urban Plastix Holds'!$I$37:$U$705,11,0),0)</f>
        <v>#NAME?</v>
      </c>
      <c r="F368" s="274"/>
      <c r="G368" s="274" t="e">
        <f t="shared" ca="1" si="3"/>
        <v>#NAME?</v>
      </c>
      <c r="H368" s="274">
        <f t="shared" si="4"/>
        <v>0</v>
      </c>
    </row>
    <row r="369" spans="2:8" ht="13.5" customHeight="1">
      <c r="B369" s="209" t="s">
        <v>2240</v>
      </c>
      <c r="C369" s="209" t="s">
        <v>3595</v>
      </c>
      <c r="D369" s="415" t="str">
        <f t="shared" si="5"/>
        <v>18-01</v>
      </c>
      <c r="E369" s="273" t="e">
        <f ca="1">_xludf.IFNA(VLOOKUP('Comp X - UP'!B369,'Urban Plastix Holds'!$I$37:$U$705,12,0),0)</f>
        <v>#NAME?</v>
      </c>
      <c r="F369" s="274"/>
      <c r="G369" s="274" t="e">
        <f t="shared" ca="1" si="3"/>
        <v>#NAME?</v>
      </c>
      <c r="H369" s="274">
        <f t="shared" si="4"/>
        <v>0</v>
      </c>
    </row>
    <row r="370" spans="2:8" ht="13.5" customHeight="1">
      <c r="B370" s="209" t="s">
        <v>2240</v>
      </c>
      <c r="C370" s="209" t="s">
        <v>3595</v>
      </c>
      <c r="D370" s="416" t="str">
        <f t="shared" si="5"/>
        <v>Color Code</v>
      </c>
      <c r="E370" s="273" t="e">
        <f ca="1">_xludf.IFNA(VLOOKUP('Comp X - UP'!B370,'Urban Plastix Holds'!$I$37:$U$705,13,0),0)</f>
        <v>#NAME?</v>
      </c>
      <c r="F370" s="274"/>
      <c r="G370" s="274" t="e">
        <f t="shared" ca="1" si="3"/>
        <v>#NAME?</v>
      </c>
      <c r="H370" s="274">
        <f t="shared" si="4"/>
        <v>0</v>
      </c>
    </row>
    <row r="371" spans="2:8" ht="13.5" customHeight="1">
      <c r="B371" s="209" t="s">
        <v>2241</v>
      </c>
      <c r="C371" s="209" t="s">
        <v>3596</v>
      </c>
      <c r="D371" s="406" t="str">
        <f t="shared" si="5"/>
        <v>11-12</v>
      </c>
      <c r="E371" s="273" t="e">
        <f ca="1">_xludf.IFNA(VLOOKUP('Comp X - UP'!B371,'Urban Plastix Holds'!$I$37:$U$705,5,0),0)</f>
        <v>#NAME?</v>
      </c>
      <c r="F371" s="274"/>
      <c r="G371" s="274" t="e">
        <f t="shared" ca="1" si="3"/>
        <v>#NAME?</v>
      </c>
      <c r="H371" s="274">
        <f t="shared" si="4"/>
        <v>0</v>
      </c>
    </row>
    <row r="372" spans="2:8" ht="13.5" customHeight="1">
      <c r="B372" s="209" t="s">
        <v>2241</v>
      </c>
      <c r="C372" s="209" t="s">
        <v>3596</v>
      </c>
      <c r="D372" s="408" t="str">
        <f t="shared" si="5"/>
        <v>14-01</v>
      </c>
      <c r="E372" s="273" t="e">
        <f ca="1">_xludf.IFNA(VLOOKUP('Comp X - UP'!B372,'Urban Plastix Holds'!$I$37:$U$705,6,0),0)</f>
        <v>#NAME?</v>
      </c>
      <c r="F372" s="274"/>
      <c r="G372" s="274" t="e">
        <f t="shared" ca="1" si="3"/>
        <v>#NAME?</v>
      </c>
      <c r="H372" s="274">
        <f t="shared" si="4"/>
        <v>0</v>
      </c>
    </row>
    <row r="373" spans="2:8" ht="13.5" customHeight="1">
      <c r="B373" s="209" t="s">
        <v>2241</v>
      </c>
      <c r="C373" s="209" t="s">
        <v>3596</v>
      </c>
      <c r="D373" s="409" t="str">
        <f t="shared" si="5"/>
        <v>15-12</v>
      </c>
      <c r="E373" s="273" t="e">
        <f ca="1">_xludf.IFNA(VLOOKUP('Comp X - UP'!B373,'Urban Plastix Holds'!$I$37:$U$705,7,0),0)</f>
        <v>#NAME?</v>
      </c>
      <c r="F373" s="274"/>
      <c r="G373" s="274" t="e">
        <f t="shared" ca="1" si="3"/>
        <v>#NAME?</v>
      </c>
      <c r="H373" s="274">
        <f t="shared" si="4"/>
        <v>0</v>
      </c>
    </row>
    <row r="374" spans="2:8" ht="13.5" customHeight="1">
      <c r="B374" s="209" t="s">
        <v>2241</v>
      </c>
      <c r="C374" s="209" t="s">
        <v>3596</v>
      </c>
      <c r="D374" s="410" t="str">
        <f t="shared" si="5"/>
        <v>16-16</v>
      </c>
      <c r="E374" s="273" t="e">
        <f ca="1">_xludf.IFNA(VLOOKUP('Comp X - UP'!B374,'Urban Plastix Holds'!$I$37:$U$705,8,0),0)</f>
        <v>#NAME?</v>
      </c>
      <c r="F374" s="274"/>
      <c r="G374" s="274" t="e">
        <f t="shared" ca="1" si="3"/>
        <v>#NAME?</v>
      </c>
      <c r="H374" s="274">
        <f t="shared" si="4"/>
        <v>0</v>
      </c>
    </row>
    <row r="375" spans="2:8" ht="13.5" customHeight="1">
      <c r="B375" s="209" t="s">
        <v>2241</v>
      </c>
      <c r="C375" s="209" t="s">
        <v>3596</v>
      </c>
      <c r="D375" s="411" t="str">
        <f t="shared" si="5"/>
        <v>13-01</v>
      </c>
      <c r="E375" s="273" t="e">
        <f ca="1">_xludf.IFNA(VLOOKUP('Comp X - UP'!B375,'Urban Plastix Holds'!$I$37:$U$705,9,0),0)</f>
        <v>#NAME?</v>
      </c>
      <c r="F375" s="274"/>
      <c r="G375" s="274" t="e">
        <f t="shared" ca="1" si="3"/>
        <v>#NAME?</v>
      </c>
      <c r="H375" s="274">
        <f t="shared" si="4"/>
        <v>0</v>
      </c>
    </row>
    <row r="376" spans="2:8" ht="13.5" customHeight="1">
      <c r="B376" s="209" t="s">
        <v>2241</v>
      </c>
      <c r="C376" s="209" t="s">
        <v>3596</v>
      </c>
      <c r="D376" s="413" t="str">
        <f t="shared" si="5"/>
        <v>07-13</v>
      </c>
      <c r="E376" s="273" t="e">
        <f ca="1">_xludf.IFNA(VLOOKUP('Comp X - UP'!B376,'Urban Plastix Holds'!$I$37:$U$705,10,0),0)</f>
        <v>#NAME?</v>
      </c>
      <c r="F376" s="274"/>
      <c r="G376" s="274" t="e">
        <f t="shared" ca="1" si="3"/>
        <v>#NAME?</v>
      </c>
      <c r="H376" s="274">
        <f t="shared" si="4"/>
        <v>0</v>
      </c>
    </row>
    <row r="377" spans="2:8" ht="13.5" customHeight="1">
      <c r="B377" s="209" t="s">
        <v>2241</v>
      </c>
      <c r="C377" s="209" t="s">
        <v>3596</v>
      </c>
      <c r="D377" s="414" t="str">
        <f t="shared" si="5"/>
        <v>11-26</v>
      </c>
      <c r="E377" s="273" t="e">
        <f ca="1">_xludf.IFNA(VLOOKUP('Comp X - UP'!B377,'Urban Plastix Holds'!$I$37:$U$705,11,0),0)</f>
        <v>#NAME?</v>
      </c>
      <c r="F377" s="274"/>
      <c r="G377" s="274" t="e">
        <f t="shared" ca="1" si="3"/>
        <v>#NAME?</v>
      </c>
      <c r="H377" s="274">
        <f t="shared" si="4"/>
        <v>0</v>
      </c>
    </row>
    <row r="378" spans="2:8" ht="13.5" customHeight="1">
      <c r="B378" s="209" t="s">
        <v>2241</v>
      </c>
      <c r="C378" s="209" t="s">
        <v>3596</v>
      </c>
      <c r="D378" s="415" t="str">
        <f t="shared" si="5"/>
        <v>18-01</v>
      </c>
      <c r="E378" s="273" t="e">
        <f ca="1">_xludf.IFNA(VLOOKUP('Comp X - UP'!B378,'Urban Plastix Holds'!$I$37:$U$705,12,0),0)</f>
        <v>#NAME?</v>
      </c>
      <c r="F378" s="274"/>
      <c r="G378" s="274" t="e">
        <f t="shared" ca="1" si="3"/>
        <v>#NAME?</v>
      </c>
      <c r="H378" s="274">
        <f t="shared" si="4"/>
        <v>0</v>
      </c>
    </row>
    <row r="379" spans="2:8" ht="13.5" customHeight="1">
      <c r="B379" s="209" t="s">
        <v>2241</v>
      </c>
      <c r="C379" s="209" t="s">
        <v>3596</v>
      </c>
      <c r="D379" s="416" t="str">
        <f t="shared" si="5"/>
        <v>Color Code</v>
      </c>
      <c r="E379" s="273" t="e">
        <f ca="1">_xludf.IFNA(VLOOKUP('Comp X - UP'!B379,'Urban Plastix Holds'!$I$37:$U$705,13,0),0)</f>
        <v>#NAME?</v>
      </c>
      <c r="F379" s="274"/>
      <c r="G379" s="274" t="e">
        <f t="shared" ca="1" si="3"/>
        <v>#NAME?</v>
      </c>
      <c r="H379" s="274">
        <f t="shared" si="4"/>
        <v>0</v>
      </c>
    </row>
    <row r="380" spans="2:8" ht="13.5" customHeight="1">
      <c r="B380" s="209" t="s">
        <v>2242</v>
      </c>
      <c r="C380" s="209" t="s">
        <v>3597</v>
      </c>
      <c r="D380" s="406" t="str">
        <f t="shared" si="5"/>
        <v>11-12</v>
      </c>
      <c r="E380" s="273" t="e">
        <f ca="1">_xludf.IFNA(VLOOKUP('Comp X - UP'!B380,'Urban Plastix Holds'!$I$37:$U$705,5,0),0)</f>
        <v>#NAME?</v>
      </c>
      <c r="F380" s="274"/>
      <c r="G380" s="274" t="e">
        <f t="shared" ca="1" si="3"/>
        <v>#NAME?</v>
      </c>
      <c r="H380" s="274">
        <f t="shared" si="4"/>
        <v>0</v>
      </c>
    </row>
    <row r="381" spans="2:8" ht="13.5" customHeight="1">
      <c r="B381" s="209" t="s">
        <v>2242</v>
      </c>
      <c r="C381" s="209" t="s">
        <v>3597</v>
      </c>
      <c r="D381" s="408" t="str">
        <f t="shared" si="5"/>
        <v>14-01</v>
      </c>
      <c r="E381" s="273" t="e">
        <f ca="1">_xludf.IFNA(VLOOKUP('Comp X - UP'!B381,'Urban Plastix Holds'!$I$37:$U$705,6,0),0)</f>
        <v>#NAME?</v>
      </c>
      <c r="F381" s="274"/>
      <c r="G381" s="274" t="e">
        <f t="shared" ca="1" si="3"/>
        <v>#NAME?</v>
      </c>
      <c r="H381" s="274">
        <f t="shared" si="4"/>
        <v>0</v>
      </c>
    </row>
    <row r="382" spans="2:8" ht="13.5" customHeight="1">
      <c r="B382" s="209" t="s">
        <v>2242</v>
      </c>
      <c r="C382" s="209" t="s">
        <v>3597</v>
      </c>
      <c r="D382" s="409" t="str">
        <f t="shared" si="5"/>
        <v>15-12</v>
      </c>
      <c r="E382" s="273" t="e">
        <f ca="1">_xludf.IFNA(VLOOKUP('Comp X - UP'!B382,'Urban Plastix Holds'!$I$37:$U$705,7,0),0)</f>
        <v>#NAME?</v>
      </c>
      <c r="F382" s="274"/>
      <c r="G382" s="274" t="e">
        <f t="shared" ca="1" si="3"/>
        <v>#NAME?</v>
      </c>
      <c r="H382" s="274">
        <f t="shared" si="4"/>
        <v>0</v>
      </c>
    </row>
    <row r="383" spans="2:8" ht="13.5" customHeight="1">
      <c r="B383" s="209" t="s">
        <v>2242</v>
      </c>
      <c r="C383" s="209" t="s">
        <v>3597</v>
      </c>
      <c r="D383" s="410" t="str">
        <f t="shared" si="5"/>
        <v>16-16</v>
      </c>
      <c r="E383" s="273" t="e">
        <f ca="1">_xludf.IFNA(VLOOKUP('Comp X - UP'!B383,'Urban Plastix Holds'!$I$37:$U$705,8,0),0)</f>
        <v>#NAME?</v>
      </c>
      <c r="F383" s="274"/>
      <c r="G383" s="274" t="e">
        <f t="shared" ca="1" si="3"/>
        <v>#NAME?</v>
      </c>
      <c r="H383" s="274">
        <f t="shared" si="4"/>
        <v>0</v>
      </c>
    </row>
    <row r="384" spans="2:8" ht="13.5" customHeight="1">
      <c r="B384" s="209" t="s">
        <v>2242</v>
      </c>
      <c r="C384" s="209" t="s">
        <v>3597</v>
      </c>
      <c r="D384" s="411" t="str">
        <f t="shared" si="5"/>
        <v>13-01</v>
      </c>
      <c r="E384" s="273" t="e">
        <f ca="1">_xludf.IFNA(VLOOKUP('Comp X - UP'!B384,'Urban Plastix Holds'!$I$37:$U$705,9,0),0)</f>
        <v>#NAME?</v>
      </c>
      <c r="F384" s="274"/>
      <c r="G384" s="274" t="e">
        <f t="shared" ca="1" si="3"/>
        <v>#NAME?</v>
      </c>
      <c r="H384" s="274">
        <f t="shared" si="4"/>
        <v>0</v>
      </c>
    </row>
    <row r="385" spans="2:8" ht="13.5" customHeight="1">
      <c r="B385" s="209" t="s">
        <v>2242</v>
      </c>
      <c r="C385" s="209" t="s">
        <v>3597</v>
      </c>
      <c r="D385" s="413" t="str">
        <f t="shared" si="5"/>
        <v>07-13</v>
      </c>
      <c r="E385" s="273" t="e">
        <f ca="1">_xludf.IFNA(VLOOKUP('Comp X - UP'!B385,'Urban Plastix Holds'!$I$37:$U$705,10,0),0)</f>
        <v>#NAME?</v>
      </c>
      <c r="F385" s="274"/>
      <c r="G385" s="274" t="e">
        <f t="shared" ca="1" si="3"/>
        <v>#NAME?</v>
      </c>
      <c r="H385" s="274">
        <f t="shared" si="4"/>
        <v>0</v>
      </c>
    </row>
    <row r="386" spans="2:8" ht="13.5" customHeight="1">
      <c r="B386" s="209" t="s">
        <v>2242</v>
      </c>
      <c r="C386" s="209" t="s">
        <v>3597</v>
      </c>
      <c r="D386" s="414" t="str">
        <f t="shared" si="5"/>
        <v>11-26</v>
      </c>
      <c r="E386" s="273" t="e">
        <f ca="1">_xludf.IFNA(VLOOKUP('Comp X - UP'!B386,'Urban Plastix Holds'!$I$37:$U$705,11,0),0)</f>
        <v>#NAME?</v>
      </c>
      <c r="F386" s="274"/>
      <c r="G386" s="274" t="e">
        <f t="shared" ca="1" si="3"/>
        <v>#NAME?</v>
      </c>
      <c r="H386" s="274">
        <f t="shared" si="4"/>
        <v>0</v>
      </c>
    </row>
    <row r="387" spans="2:8" ht="13.5" customHeight="1">
      <c r="B387" s="209" t="s">
        <v>2242</v>
      </c>
      <c r="C387" s="209" t="s">
        <v>3597</v>
      </c>
      <c r="D387" s="415" t="str">
        <f t="shared" si="5"/>
        <v>18-01</v>
      </c>
      <c r="E387" s="273" t="e">
        <f ca="1">_xludf.IFNA(VLOOKUP('Comp X - UP'!B387,'Urban Plastix Holds'!$I$37:$U$705,12,0),0)</f>
        <v>#NAME?</v>
      </c>
      <c r="F387" s="274"/>
      <c r="G387" s="274" t="e">
        <f t="shared" ca="1" si="3"/>
        <v>#NAME?</v>
      </c>
      <c r="H387" s="274">
        <f t="shared" si="4"/>
        <v>0</v>
      </c>
    </row>
    <row r="388" spans="2:8" ht="13.5" customHeight="1">
      <c r="B388" s="209" t="s">
        <v>2242</v>
      </c>
      <c r="C388" s="209" t="s">
        <v>3597</v>
      </c>
      <c r="D388" s="416" t="str">
        <f t="shared" si="5"/>
        <v>Color Code</v>
      </c>
      <c r="E388" s="273" t="e">
        <f ca="1">_xludf.IFNA(VLOOKUP('Comp X - UP'!B388,'Urban Plastix Holds'!$I$37:$U$705,13,0),0)</f>
        <v>#NAME?</v>
      </c>
      <c r="F388" s="274"/>
      <c r="G388" s="274" t="e">
        <f t="shared" ca="1" si="3"/>
        <v>#NAME?</v>
      </c>
      <c r="H388" s="274">
        <f t="shared" si="4"/>
        <v>0</v>
      </c>
    </row>
    <row r="389" spans="2:8" ht="13.5" customHeight="1">
      <c r="B389" s="209" t="s">
        <v>2243</v>
      </c>
      <c r="C389" s="209" t="s">
        <v>3598</v>
      </c>
      <c r="D389" s="406" t="str">
        <f t="shared" si="5"/>
        <v>11-12</v>
      </c>
      <c r="E389" s="273" t="e">
        <f ca="1">_xludf.IFNA(VLOOKUP('Comp X - UP'!B389,'Urban Plastix Holds'!$I$37:$U$705,5,0),0)</f>
        <v>#NAME?</v>
      </c>
      <c r="F389" s="274"/>
      <c r="G389" s="274" t="e">
        <f t="shared" ca="1" si="3"/>
        <v>#NAME?</v>
      </c>
      <c r="H389" s="274">
        <f t="shared" si="4"/>
        <v>0</v>
      </c>
    </row>
    <row r="390" spans="2:8" ht="13.5" customHeight="1">
      <c r="B390" s="209" t="s">
        <v>2243</v>
      </c>
      <c r="C390" s="209" t="s">
        <v>3598</v>
      </c>
      <c r="D390" s="408" t="str">
        <f t="shared" si="5"/>
        <v>14-01</v>
      </c>
      <c r="E390" s="273" t="e">
        <f ca="1">_xludf.IFNA(VLOOKUP('Comp X - UP'!B390,'Urban Plastix Holds'!$I$37:$U$705,6,0),0)</f>
        <v>#NAME?</v>
      </c>
      <c r="F390" s="274"/>
      <c r="G390" s="274" t="e">
        <f t="shared" ca="1" si="3"/>
        <v>#NAME?</v>
      </c>
      <c r="H390" s="274">
        <f t="shared" si="4"/>
        <v>0</v>
      </c>
    </row>
    <row r="391" spans="2:8" ht="13.5" customHeight="1">
      <c r="B391" s="209" t="s">
        <v>2243</v>
      </c>
      <c r="C391" s="209" t="s">
        <v>3598</v>
      </c>
      <c r="D391" s="409" t="str">
        <f t="shared" si="5"/>
        <v>15-12</v>
      </c>
      <c r="E391" s="273" t="e">
        <f ca="1">_xludf.IFNA(VLOOKUP('Comp X - UP'!B391,'Urban Plastix Holds'!$I$37:$U$705,7,0),0)</f>
        <v>#NAME?</v>
      </c>
      <c r="F391" s="274"/>
      <c r="G391" s="274" t="e">
        <f t="shared" ca="1" si="3"/>
        <v>#NAME?</v>
      </c>
      <c r="H391" s="274">
        <f t="shared" si="4"/>
        <v>0</v>
      </c>
    </row>
    <row r="392" spans="2:8" ht="13.5" customHeight="1">
      <c r="B392" s="209" t="s">
        <v>2243</v>
      </c>
      <c r="C392" s="209" t="s">
        <v>3598</v>
      </c>
      <c r="D392" s="410" t="str">
        <f t="shared" si="5"/>
        <v>16-16</v>
      </c>
      <c r="E392" s="273" t="e">
        <f ca="1">_xludf.IFNA(VLOOKUP('Comp X - UP'!B392,'Urban Plastix Holds'!$I$37:$U$705,8,0),0)</f>
        <v>#NAME?</v>
      </c>
      <c r="F392" s="274"/>
      <c r="G392" s="274" t="e">
        <f t="shared" ca="1" si="3"/>
        <v>#NAME?</v>
      </c>
      <c r="H392" s="274">
        <f t="shared" si="4"/>
        <v>0</v>
      </c>
    </row>
    <row r="393" spans="2:8" ht="13.5" customHeight="1">
      <c r="B393" s="209" t="s">
        <v>2243</v>
      </c>
      <c r="C393" s="209" t="s">
        <v>3598</v>
      </c>
      <c r="D393" s="411" t="str">
        <f t="shared" si="5"/>
        <v>13-01</v>
      </c>
      <c r="E393" s="273" t="e">
        <f ca="1">_xludf.IFNA(VLOOKUP('Comp X - UP'!B393,'Urban Plastix Holds'!$I$37:$U$705,9,0),0)</f>
        <v>#NAME?</v>
      </c>
      <c r="F393" s="274"/>
      <c r="G393" s="274" t="e">
        <f t="shared" ca="1" si="3"/>
        <v>#NAME?</v>
      </c>
      <c r="H393" s="274">
        <f t="shared" si="4"/>
        <v>0</v>
      </c>
    </row>
    <row r="394" spans="2:8" ht="13.5" customHeight="1">
      <c r="B394" s="209" t="s">
        <v>2243</v>
      </c>
      <c r="C394" s="209" t="s">
        <v>3598</v>
      </c>
      <c r="D394" s="413" t="str">
        <f t="shared" si="5"/>
        <v>07-13</v>
      </c>
      <c r="E394" s="273" t="e">
        <f ca="1">_xludf.IFNA(VLOOKUP('Comp X - UP'!B394,'Urban Plastix Holds'!$I$37:$U$705,10,0),0)</f>
        <v>#NAME?</v>
      </c>
      <c r="F394" s="274"/>
      <c r="G394" s="274" t="e">
        <f t="shared" ca="1" si="3"/>
        <v>#NAME?</v>
      </c>
      <c r="H394" s="274">
        <f t="shared" si="4"/>
        <v>0</v>
      </c>
    </row>
    <row r="395" spans="2:8" ht="13.5" customHeight="1">
      <c r="B395" s="209" t="s">
        <v>2243</v>
      </c>
      <c r="C395" s="209" t="s">
        <v>3598</v>
      </c>
      <c r="D395" s="414" t="str">
        <f t="shared" si="5"/>
        <v>11-26</v>
      </c>
      <c r="E395" s="273" t="e">
        <f ca="1">_xludf.IFNA(VLOOKUP('Comp X - UP'!B395,'Urban Plastix Holds'!$I$37:$U$705,11,0),0)</f>
        <v>#NAME?</v>
      </c>
      <c r="F395" s="274"/>
      <c r="G395" s="274" t="e">
        <f t="shared" ca="1" si="3"/>
        <v>#NAME?</v>
      </c>
      <c r="H395" s="274">
        <f t="shared" si="4"/>
        <v>0</v>
      </c>
    </row>
    <row r="396" spans="2:8" ht="13.5" customHeight="1">
      <c r="B396" s="209" t="s">
        <v>2243</v>
      </c>
      <c r="C396" s="209" t="s">
        <v>3598</v>
      </c>
      <c r="D396" s="415" t="str">
        <f t="shared" si="5"/>
        <v>18-01</v>
      </c>
      <c r="E396" s="273" t="e">
        <f ca="1">_xludf.IFNA(VLOOKUP('Comp X - UP'!B396,'Urban Plastix Holds'!$I$37:$U$705,12,0),0)</f>
        <v>#NAME?</v>
      </c>
      <c r="F396" s="274"/>
      <c r="G396" s="274" t="e">
        <f t="shared" ca="1" si="3"/>
        <v>#NAME?</v>
      </c>
      <c r="H396" s="274">
        <f t="shared" si="4"/>
        <v>0</v>
      </c>
    </row>
    <row r="397" spans="2:8" ht="13.5" customHeight="1">
      <c r="B397" s="209" t="s">
        <v>2243</v>
      </c>
      <c r="C397" s="209" t="s">
        <v>3598</v>
      </c>
      <c r="D397" s="416" t="str">
        <f t="shared" si="5"/>
        <v>Color Code</v>
      </c>
      <c r="E397" s="273" t="e">
        <f ca="1">_xludf.IFNA(VLOOKUP('Comp X - UP'!B397,'Urban Plastix Holds'!$I$37:$U$705,13,0),0)</f>
        <v>#NAME?</v>
      </c>
      <c r="F397" s="274"/>
      <c r="G397" s="274" t="e">
        <f t="shared" ca="1" si="3"/>
        <v>#NAME?</v>
      </c>
      <c r="H397" s="274">
        <f t="shared" si="4"/>
        <v>0</v>
      </c>
    </row>
    <row r="398" spans="2:8" ht="13.5" customHeight="1">
      <c r="B398" s="209" t="s">
        <v>2244</v>
      </c>
      <c r="C398" s="209" t="s">
        <v>3599</v>
      </c>
      <c r="D398" s="406" t="str">
        <f t="shared" si="5"/>
        <v>11-12</v>
      </c>
      <c r="E398" s="273" t="e">
        <f ca="1">_xludf.IFNA(VLOOKUP('Comp X - UP'!B398,'Urban Plastix Holds'!$I$37:$U$705,5,0),0)</f>
        <v>#NAME?</v>
      </c>
      <c r="F398" s="274"/>
      <c r="G398" s="274" t="e">
        <f t="shared" ca="1" si="3"/>
        <v>#NAME?</v>
      </c>
      <c r="H398" s="274">
        <f t="shared" si="4"/>
        <v>0</v>
      </c>
    </row>
    <row r="399" spans="2:8" ht="13.5" customHeight="1">
      <c r="B399" s="209" t="s">
        <v>2244</v>
      </c>
      <c r="C399" s="209" t="s">
        <v>3599</v>
      </c>
      <c r="D399" s="408" t="str">
        <f t="shared" si="5"/>
        <v>14-01</v>
      </c>
      <c r="E399" s="273" t="e">
        <f ca="1">_xludf.IFNA(VLOOKUP('Comp X - UP'!B399,'Urban Plastix Holds'!$I$37:$U$705,6,0),0)</f>
        <v>#NAME?</v>
      </c>
      <c r="F399" s="274"/>
      <c r="G399" s="274" t="e">
        <f t="shared" ca="1" si="3"/>
        <v>#NAME?</v>
      </c>
      <c r="H399" s="274">
        <f t="shared" si="4"/>
        <v>0</v>
      </c>
    </row>
    <row r="400" spans="2:8" ht="13.5" customHeight="1">
      <c r="B400" s="209" t="s">
        <v>2244</v>
      </c>
      <c r="C400" s="209" t="s">
        <v>3599</v>
      </c>
      <c r="D400" s="409" t="str">
        <f t="shared" si="5"/>
        <v>15-12</v>
      </c>
      <c r="E400" s="273" t="e">
        <f ca="1">_xludf.IFNA(VLOOKUP('Comp X - UP'!B400,'Urban Plastix Holds'!$I$37:$U$705,7,0),0)</f>
        <v>#NAME?</v>
      </c>
      <c r="F400" s="274"/>
      <c r="G400" s="274" t="e">
        <f t="shared" ca="1" si="3"/>
        <v>#NAME?</v>
      </c>
      <c r="H400" s="274">
        <f t="shared" si="4"/>
        <v>0</v>
      </c>
    </row>
    <row r="401" spans="2:8" ht="13.5" customHeight="1">
      <c r="B401" s="209" t="s">
        <v>2244</v>
      </c>
      <c r="C401" s="209" t="s">
        <v>3599</v>
      </c>
      <c r="D401" s="410" t="str">
        <f t="shared" si="5"/>
        <v>16-16</v>
      </c>
      <c r="E401" s="273" t="e">
        <f ca="1">_xludf.IFNA(VLOOKUP('Comp X - UP'!B401,'Urban Plastix Holds'!$I$37:$U$705,8,0),0)</f>
        <v>#NAME?</v>
      </c>
      <c r="F401" s="274"/>
      <c r="G401" s="274" t="e">
        <f t="shared" ca="1" si="3"/>
        <v>#NAME?</v>
      </c>
      <c r="H401" s="274">
        <f t="shared" si="4"/>
        <v>0</v>
      </c>
    </row>
    <row r="402" spans="2:8" ht="13.5" customHeight="1">
      <c r="B402" s="209" t="s">
        <v>2244</v>
      </c>
      <c r="C402" s="209" t="s">
        <v>3599</v>
      </c>
      <c r="D402" s="411" t="str">
        <f t="shared" si="5"/>
        <v>13-01</v>
      </c>
      <c r="E402" s="273" t="e">
        <f ca="1">_xludf.IFNA(VLOOKUP('Comp X - UP'!B402,'Urban Plastix Holds'!$I$37:$U$705,9,0),0)</f>
        <v>#NAME?</v>
      </c>
      <c r="F402" s="274"/>
      <c r="G402" s="274" t="e">
        <f t="shared" ca="1" si="3"/>
        <v>#NAME?</v>
      </c>
      <c r="H402" s="274">
        <f t="shared" si="4"/>
        <v>0</v>
      </c>
    </row>
    <row r="403" spans="2:8" ht="13.5" customHeight="1">
      <c r="B403" s="209" t="s">
        <v>2244</v>
      </c>
      <c r="C403" s="209" t="s">
        <v>3599</v>
      </c>
      <c r="D403" s="413" t="str">
        <f t="shared" si="5"/>
        <v>07-13</v>
      </c>
      <c r="E403" s="273" t="e">
        <f ca="1">_xludf.IFNA(VLOOKUP('Comp X - UP'!B403,'Urban Plastix Holds'!$I$37:$U$705,10,0),0)</f>
        <v>#NAME?</v>
      </c>
      <c r="F403" s="274"/>
      <c r="G403" s="274" t="e">
        <f t="shared" ca="1" si="3"/>
        <v>#NAME?</v>
      </c>
      <c r="H403" s="274">
        <f t="shared" si="4"/>
        <v>0</v>
      </c>
    </row>
    <row r="404" spans="2:8" ht="13.5" customHeight="1">
      <c r="B404" s="209" t="s">
        <v>2244</v>
      </c>
      <c r="C404" s="209" t="s">
        <v>3599</v>
      </c>
      <c r="D404" s="414" t="str">
        <f t="shared" si="5"/>
        <v>11-26</v>
      </c>
      <c r="E404" s="273" t="e">
        <f ca="1">_xludf.IFNA(VLOOKUP('Comp X - UP'!B404,'Urban Plastix Holds'!$I$37:$U$705,11,0),0)</f>
        <v>#NAME?</v>
      </c>
      <c r="F404" s="274"/>
      <c r="G404" s="274" t="e">
        <f t="shared" ca="1" si="3"/>
        <v>#NAME?</v>
      </c>
      <c r="H404" s="274">
        <f t="shared" si="4"/>
        <v>0</v>
      </c>
    </row>
    <row r="405" spans="2:8" ht="13.5" customHeight="1">
      <c r="B405" s="209" t="s">
        <v>2244</v>
      </c>
      <c r="C405" s="209" t="s">
        <v>3599</v>
      </c>
      <c r="D405" s="415" t="str">
        <f t="shared" si="5"/>
        <v>18-01</v>
      </c>
      <c r="E405" s="273" t="e">
        <f ca="1">_xludf.IFNA(VLOOKUP('Comp X - UP'!B405,'Urban Plastix Holds'!$I$37:$U$705,12,0),0)</f>
        <v>#NAME?</v>
      </c>
      <c r="F405" s="274"/>
      <c r="G405" s="274" t="e">
        <f t="shared" ca="1" si="3"/>
        <v>#NAME?</v>
      </c>
      <c r="H405" s="274">
        <f t="shared" si="4"/>
        <v>0</v>
      </c>
    </row>
    <row r="406" spans="2:8" ht="13.5" customHeight="1">
      <c r="B406" s="209" t="s">
        <v>2244</v>
      </c>
      <c r="C406" s="209" t="s">
        <v>3599</v>
      </c>
      <c r="D406" s="416" t="str">
        <f t="shared" si="5"/>
        <v>Color Code</v>
      </c>
      <c r="E406" s="273" t="e">
        <f ca="1">_xludf.IFNA(VLOOKUP('Comp X - UP'!B406,'Urban Plastix Holds'!$I$37:$U$705,13,0),0)</f>
        <v>#NAME?</v>
      </c>
      <c r="F406" s="274"/>
      <c r="G406" s="274" t="e">
        <f t="shared" ca="1" si="3"/>
        <v>#NAME?</v>
      </c>
      <c r="H406" s="274">
        <f t="shared" si="4"/>
        <v>0</v>
      </c>
    </row>
    <row r="407" spans="2:8" ht="13.5" customHeight="1">
      <c r="B407" s="209" t="s">
        <v>2245</v>
      </c>
      <c r="C407" s="209" t="s">
        <v>3600</v>
      </c>
      <c r="D407" s="406" t="str">
        <f t="shared" si="5"/>
        <v>11-12</v>
      </c>
      <c r="E407" s="273" t="e">
        <f ca="1">_xludf.IFNA(VLOOKUP('Comp X - UP'!B407,'Urban Plastix Holds'!$I$37:$U$705,5,0),0)</f>
        <v>#NAME?</v>
      </c>
      <c r="F407" s="274"/>
      <c r="G407" s="274" t="e">
        <f t="shared" ca="1" si="3"/>
        <v>#NAME?</v>
      </c>
      <c r="H407" s="274">
        <f t="shared" si="4"/>
        <v>0</v>
      </c>
    </row>
    <row r="408" spans="2:8" ht="13.5" customHeight="1">
      <c r="B408" s="209" t="s">
        <v>2245</v>
      </c>
      <c r="C408" s="209" t="s">
        <v>3600</v>
      </c>
      <c r="D408" s="408" t="str">
        <f t="shared" si="5"/>
        <v>14-01</v>
      </c>
      <c r="E408" s="273" t="e">
        <f ca="1">_xludf.IFNA(VLOOKUP('Comp X - UP'!B408,'Urban Plastix Holds'!$I$37:$U$705,6,0),0)</f>
        <v>#NAME?</v>
      </c>
      <c r="F408" s="274"/>
      <c r="G408" s="274" t="e">
        <f t="shared" ca="1" si="3"/>
        <v>#NAME?</v>
      </c>
      <c r="H408" s="274">
        <f t="shared" si="4"/>
        <v>0</v>
      </c>
    </row>
    <row r="409" spans="2:8" ht="13.5" customHeight="1">
      <c r="B409" s="209" t="s">
        <v>2245</v>
      </c>
      <c r="C409" s="209" t="s">
        <v>3600</v>
      </c>
      <c r="D409" s="409" t="str">
        <f t="shared" si="5"/>
        <v>15-12</v>
      </c>
      <c r="E409" s="273" t="e">
        <f ca="1">_xludf.IFNA(VLOOKUP('Comp X - UP'!B409,'Urban Plastix Holds'!$I$37:$U$705,7,0),0)</f>
        <v>#NAME?</v>
      </c>
      <c r="F409" s="274"/>
      <c r="G409" s="274" t="e">
        <f t="shared" ca="1" si="3"/>
        <v>#NAME?</v>
      </c>
      <c r="H409" s="274">
        <f t="shared" si="4"/>
        <v>0</v>
      </c>
    </row>
    <row r="410" spans="2:8" ht="13.5" customHeight="1">
      <c r="B410" s="209" t="s">
        <v>2245</v>
      </c>
      <c r="C410" s="209" t="s">
        <v>3600</v>
      </c>
      <c r="D410" s="410" t="str">
        <f t="shared" si="5"/>
        <v>16-16</v>
      </c>
      <c r="E410" s="273" t="e">
        <f ca="1">_xludf.IFNA(VLOOKUP('Comp X - UP'!B410,'Urban Plastix Holds'!$I$37:$U$705,8,0),0)</f>
        <v>#NAME?</v>
      </c>
      <c r="F410" s="274"/>
      <c r="G410" s="274" t="e">
        <f t="shared" ca="1" si="3"/>
        <v>#NAME?</v>
      </c>
      <c r="H410" s="274">
        <f t="shared" si="4"/>
        <v>0</v>
      </c>
    </row>
    <row r="411" spans="2:8" ht="13.5" customHeight="1">
      <c r="B411" s="209" t="s">
        <v>2245</v>
      </c>
      <c r="C411" s="209" t="s">
        <v>3600</v>
      </c>
      <c r="D411" s="411" t="str">
        <f t="shared" si="5"/>
        <v>13-01</v>
      </c>
      <c r="E411" s="273" t="e">
        <f ca="1">_xludf.IFNA(VLOOKUP('Comp X - UP'!B411,'Urban Plastix Holds'!$I$37:$U$705,9,0),0)</f>
        <v>#NAME?</v>
      </c>
      <c r="F411" s="274"/>
      <c r="G411" s="274" t="e">
        <f t="shared" ca="1" si="3"/>
        <v>#NAME?</v>
      </c>
      <c r="H411" s="274">
        <f t="shared" si="4"/>
        <v>0</v>
      </c>
    </row>
    <row r="412" spans="2:8" ht="13.5" customHeight="1">
      <c r="B412" s="209" t="s">
        <v>2245</v>
      </c>
      <c r="C412" s="209" t="s">
        <v>3600</v>
      </c>
      <c r="D412" s="413" t="str">
        <f t="shared" si="5"/>
        <v>07-13</v>
      </c>
      <c r="E412" s="273" t="e">
        <f ca="1">_xludf.IFNA(VLOOKUP('Comp X - UP'!B412,'Urban Plastix Holds'!$I$37:$U$705,10,0),0)</f>
        <v>#NAME?</v>
      </c>
      <c r="F412" s="274"/>
      <c r="G412" s="274" t="e">
        <f t="shared" ca="1" si="3"/>
        <v>#NAME?</v>
      </c>
      <c r="H412" s="274">
        <f t="shared" si="4"/>
        <v>0</v>
      </c>
    </row>
    <row r="413" spans="2:8" ht="13.5" customHeight="1">
      <c r="B413" s="209" t="s">
        <v>2245</v>
      </c>
      <c r="C413" s="209" t="s">
        <v>3600</v>
      </c>
      <c r="D413" s="414" t="str">
        <f t="shared" si="5"/>
        <v>11-26</v>
      </c>
      <c r="E413" s="273" t="e">
        <f ca="1">_xludf.IFNA(VLOOKUP('Comp X - UP'!B413,'Urban Plastix Holds'!$I$37:$U$705,11,0),0)</f>
        <v>#NAME?</v>
      </c>
      <c r="F413" s="274"/>
      <c r="G413" s="274" t="e">
        <f t="shared" ca="1" si="3"/>
        <v>#NAME?</v>
      </c>
      <c r="H413" s="274">
        <f t="shared" si="4"/>
        <v>0</v>
      </c>
    </row>
    <row r="414" spans="2:8" ht="13.5" customHeight="1">
      <c r="B414" s="209" t="s">
        <v>2245</v>
      </c>
      <c r="C414" s="209" t="s">
        <v>3600</v>
      </c>
      <c r="D414" s="415" t="str">
        <f t="shared" si="5"/>
        <v>18-01</v>
      </c>
      <c r="E414" s="273" t="e">
        <f ca="1">_xludf.IFNA(VLOOKUP('Comp X - UP'!B414,'Urban Plastix Holds'!$I$37:$U$705,12,0),0)</f>
        <v>#NAME?</v>
      </c>
      <c r="F414" s="274"/>
      <c r="G414" s="274" t="e">
        <f t="shared" ca="1" si="3"/>
        <v>#NAME?</v>
      </c>
      <c r="H414" s="274">
        <f t="shared" si="4"/>
        <v>0</v>
      </c>
    </row>
    <row r="415" spans="2:8" ht="13.5" customHeight="1">
      <c r="B415" s="209" t="s">
        <v>2245</v>
      </c>
      <c r="C415" s="209" t="s">
        <v>3600</v>
      </c>
      <c r="D415" s="416" t="str">
        <f t="shared" si="5"/>
        <v>Color Code</v>
      </c>
      <c r="E415" s="273" t="e">
        <f ca="1">_xludf.IFNA(VLOOKUP('Comp X - UP'!B415,'Urban Plastix Holds'!$I$37:$U$705,13,0),0)</f>
        <v>#NAME?</v>
      </c>
      <c r="F415" s="274"/>
      <c r="G415" s="274" t="e">
        <f t="shared" ca="1" si="3"/>
        <v>#NAME?</v>
      </c>
      <c r="H415" s="274">
        <f t="shared" si="4"/>
        <v>0</v>
      </c>
    </row>
    <row r="416" spans="2:8" ht="13.5" customHeight="1">
      <c r="B416" s="209" t="s">
        <v>2246</v>
      </c>
      <c r="C416" s="209" t="s">
        <v>3601</v>
      </c>
      <c r="D416" s="406" t="str">
        <f t="shared" si="5"/>
        <v>11-12</v>
      </c>
      <c r="E416" s="273" t="e">
        <f ca="1">_xludf.IFNA(VLOOKUP('Comp X - UP'!B416,'Urban Plastix Holds'!$I$37:$U$705,5,0),0)</f>
        <v>#NAME?</v>
      </c>
      <c r="F416" s="274"/>
      <c r="G416" s="274" t="e">
        <f t="shared" ca="1" si="3"/>
        <v>#NAME?</v>
      </c>
      <c r="H416" s="274">
        <f t="shared" si="4"/>
        <v>0</v>
      </c>
    </row>
    <row r="417" spans="2:8" ht="13.5" customHeight="1">
      <c r="B417" s="209" t="s">
        <v>2246</v>
      </c>
      <c r="C417" s="209" t="s">
        <v>3601</v>
      </c>
      <c r="D417" s="408" t="str">
        <f t="shared" si="5"/>
        <v>14-01</v>
      </c>
      <c r="E417" s="273" t="e">
        <f ca="1">_xludf.IFNA(VLOOKUP('Comp X - UP'!B417,'Urban Plastix Holds'!$I$37:$U$705,6,0),0)</f>
        <v>#NAME?</v>
      </c>
      <c r="F417" s="274"/>
      <c r="G417" s="274" t="e">
        <f t="shared" ca="1" si="3"/>
        <v>#NAME?</v>
      </c>
      <c r="H417" s="274">
        <f t="shared" si="4"/>
        <v>0</v>
      </c>
    </row>
    <row r="418" spans="2:8" ht="13.5" customHeight="1">
      <c r="B418" s="209" t="s">
        <v>2246</v>
      </c>
      <c r="C418" s="209" t="s">
        <v>3601</v>
      </c>
      <c r="D418" s="409" t="str">
        <f t="shared" si="5"/>
        <v>15-12</v>
      </c>
      <c r="E418" s="273" t="e">
        <f ca="1">_xludf.IFNA(VLOOKUP('Comp X - UP'!B418,'Urban Plastix Holds'!$I$37:$U$705,7,0),0)</f>
        <v>#NAME?</v>
      </c>
      <c r="F418" s="274"/>
      <c r="G418" s="274" t="e">
        <f t="shared" ca="1" si="3"/>
        <v>#NAME?</v>
      </c>
      <c r="H418" s="274">
        <f t="shared" si="4"/>
        <v>0</v>
      </c>
    </row>
    <row r="419" spans="2:8" ht="13.5" customHeight="1">
      <c r="B419" s="209" t="s">
        <v>2246</v>
      </c>
      <c r="C419" s="209" t="s">
        <v>3601</v>
      </c>
      <c r="D419" s="410" t="str">
        <f t="shared" si="5"/>
        <v>16-16</v>
      </c>
      <c r="E419" s="273" t="e">
        <f ca="1">_xludf.IFNA(VLOOKUP('Comp X - UP'!B419,'Urban Plastix Holds'!$I$37:$U$705,8,0),0)</f>
        <v>#NAME?</v>
      </c>
      <c r="F419" s="274"/>
      <c r="G419" s="274" t="e">
        <f t="shared" ca="1" si="3"/>
        <v>#NAME?</v>
      </c>
      <c r="H419" s="274">
        <f t="shared" si="4"/>
        <v>0</v>
      </c>
    </row>
    <row r="420" spans="2:8" ht="13.5" customHeight="1">
      <c r="B420" s="209" t="s">
        <v>2246</v>
      </c>
      <c r="C420" s="209" t="s">
        <v>3601</v>
      </c>
      <c r="D420" s="411" t="str">
        <f t="shared" si="5"/>
        <v>13-01</v>
      </c>
      <c r="E420" s="273" t="e">
        <f ca="1">_xludf.IFNA(VLOOKUP('Comp X - UP'!B420,'Urban Plastix Holds'!$I$37:$U$705,9,0),0)</f>
        <v>#NAME?</v>
      </c>
      <c r="F420" s="274"/>
      <c r="G420" s="274" t="e">
        <f t="shared" ca="1" si="3"/>
        <v>#NAME?</v>
      </c>
      <c r="H420" s="274">
        <f t="shared" si="4"/>
        <v>0</v>
      </c>
    </row>
    <row r="421" spans="2:8" ht="13.5" customHeight="1">
      <c r="B421" s="209" t="s">
        <v>2246</v>
      </c>
      <c r="C421" s="209" t="s">
        <v>3601</v>
      </c>
      <c r="D421" s="413" t="str">
        <f t="shared" si="5"/>
        <v>07-13</v>
      </c>
      <c r="E421" s="273" t="e">
        <f ca="1">_xludf.IFNA(VLOOKUP('Comp X - UP'!B421,'Urban Plastix Holds'!$I$37:$U$705,10,0),0)</f>
        <v>#NAME?</v>
      </c>
      <c r="F421" s="274"/>
      <c r="G421" s="274" t="e">
        <f t="shared" ca="1" si="3"/>
        <v>#NAME?</v>
      </c>
      <c r="H421" s="274">
        <f t="shared" si="4"/>
        <v>0</v>
      </c>
    </row>
    <row r="422" spans="2:8" ht="13.5" customHeight="1">
      <c r="B422" s="209" t="s">
        <v>2246</v>
      </c>
      <c r="C422" s="209" t="s">
        <v>3601</v>
      </c>
      <c r="D422" s="414" t="str">
        <f t="shared" si="5"/>
        <v>11-26</v>
      </c>
      <c r="E422" s="273" t="e">
        <f ca="1">_xludf.IFNA(VLOOKUP('Comp X - UP'!B422,'Urban Plastix Holds'!$I$37:$U$705,11,0),0)</f>
        <v>#NAME?</v>
      </c>
      <c r="F422" s="274"/>
      <c r="G422" s="274" t="e">
        <f t="shared" ca="1" si="3"/>
        <v>#NAME?</v>
      </c>
      <c r="H422" s="274">
        <f t="shared" si="4"/>
        <v>0</v>
      </c>
    </row>
    <row r="423" spans="2:8" ht="13.5" customHeight="1">
      <c r="B423" s="209" t="s">
        <v>2246</v>
      </c>
      <c r="C423" s="209" t="s">
        <v>3601</v>
      </c>
      <c r="D423" s="415" t="str">
        <f t="shared" si="5"/>
        <v>18-01</v>
      </c>
      <c r="E423" s="273" t="e">
        <f ca="1">_xludf.IFNA(VLOOKUP('Comp X - UP'!B423,'Urban Plastix Holds'!$I$37:$U$705,12,0),0)</f>
        <v>#NAME?</v>
      </c>
      <c r="F423" s="274"/>
      <c r="G423" s="274" t="e">
        <f t="shared" ca="1" si="3"/>
        <v>#NAME?</v>
      </c>
      <c r="H423" s="274">
        <f t="shared" si="4"/>
        <v>0</v>
      </c>
    </row>
    <row r="424" spans="2:8" ht="13.5" customHeight="1">
      <c r="B424" s="209" t="s">
        <v>2246</v>
      </c>
      <c r="C424" s="209" t="s">
        <v>3601</v>
      </c>
      <c r="D424" s="416" t="str">
        <f t="shared" si="5"/>
        <v>Color Code</v>
      </c>
      <c r="E424" s="273" t="e">
        <f ca="1">_xludf.IFNA(VLOOKUP('Comp X - UP'!B424,'Urban Plastix Holds'!$I$37:$U$705,13,0),0)</f>
        <v>#NAME?</v>
      </c>
      <c r="F424" s="274"/>
      <c r="G424" s="274" t="e">
        <f t="shared" ca="1" si="3"/>
        <v>#NAME?</v>
      </c>
      <c r="H424" s="274">
        <f t="shared" si="4"/>
        <v>0</v>
      </c>
    </row>
    <row r="425" spans="2:8" ht="13.5" customHeight="1">
      <c r="B425" s="209" t="s">
        <v>2247</v>
      </c>
      <c r="C425" s="209" t="s">
        <v>3602</v>
      </c>
      <c r="D425" s="406" t="str">
        <f t="shared" si="5"/>
        <v>11-12</v>
      </c>
      <c r="E425" s="273" t="e">
        <f ca="1">_xludf.IFNA(VLOOKUP('Comp X - UP'!B425,'Urban Plastix Holds'!$I$37:$U$705,5,0),0)</f>
        <v>#NAME?</v>
      </c>
      <c r="F425" s="274"/>
      <c r="G425" s="274" t="e">
        <f t="shared" ca="1" si="3"/>
        <v>#NAME?</v>
      </c>
      <c r="H425" s="274">
        <f t="shared" si="4"/>
        <v>0</v>
      </c>
    </row>
    <row r="426" spans="2:8" ht="13.5" customHeight="1">
      <c r="B426" s="209" t="s">
        <v>2247</v>
      </c>
      <c r="C426" s="209" t="s">
        <v>3602</v>
      </c>
      <c r="D426" s="408" t="str">
        <f t="shared" si="5"/>
        <v>14-01</v>
      </c>
      <c r="E426" s="273" t="e">
        <f ca="1">_xludf.IFNA(VLOOKUP('Comp X - UP'!B426,'Urban Plastix Holds'!$I$37:$U$705,6,0),0)</f>
        <v>#NAME?</v>
      </c>
      <c r="F426" s="274"/>
      <c r="G426" s="274" t="e">
        <f t="shared" ca="1" si="3"/>
        <v>#NAME?</v>
      </c>
      <c r="H426" s="274">
        <f t="shared" si="4"/>
        <v>0</v>
      </c>
    </row>
    <row r="427" spans="2:8" ht="13.5" customHeight="1">
      <c r="B427" s="209" t="s">
        <v>2247</v>
      </c>
      <c r="C427" s="209" t="s">
        <v>3602</v>
      </c>
      <c r="D427" s="409" t="str">
        <f t="shared" si="5"/>
        <v>15-12</v>
      </c>
      <c r="E427" s="273" t="e">
        <f ca="1">_xludf.IFNA(VLOOKUP('Comp X - UP'!B427,'Urban Plastix Holds'!$I$37:$U$705,7,0),0)</f>
        <v>#NAME?</v>
      </c>
      <c r="F427" s="274"/>
      <c r="G427" s="274" t="e">
        <f t="shared" ca="1" si="3"/>
        <v>#NAME?</v>
      </c>
      <c r="H427" s="274">
        <f t="shared" si="4"/>
        <v>0</v>
      </c>
    </row>
    <row r="428" spans="2:8" ht="13.5" customHeight="1">
      <c r="B428" s="209" t="s">
        <v>2247</v>
      </c>
      <c r="C428" s="209" t="s">
        <v>3602</v>
      </c>
      <c r="D428" s="410" t="str">
        <f t="shared" si="5"/>
        <v>16-16</v>
      </c>
      <c r="E428" s="273" t="e">
        <f ca="1">_xludf.IFNA(VLOOKUP('Comp X - UP'!B428,'Urban Plastix Holds'!$I$37:$U$705,8,0),0)</f>
        <v>#NAME?</v>
      </c>
      <c r="F428" s="274"/>
      <c r="G428" s="274" t="e">
        <f t="shared" ca="1" si="3"/>
        <v>#NAME?</v>
      </c>
      <c r="H428" s="274">
        <f t="shared" si="4"/>
        <v>0</v>
      </c>
    </row>
    <row r="429" spans="2:8" ht="13.5" customHeight="1">
      <c r="B429" s="209" t="s">
        <v>2247</v>
      </c>
      <c r="C429" s="209" t="s">
        <v>3602</v>
      </c>
      <c r="D429" s="411" t="str">
        <f t="shared" si="5"/>
        <v>13-01</v>
      </c>
      <c r="E429" s="273" t="e">
        <f ca="1">_xludf.IFNA(VLOOKUP('Comp X - UP'!B429,'Urban Plastix Holds'!$I$37:$U$705,9,0),0)</f>
        <v>#NAME?</v>
      </c>
      <c r="F429" s="274"/>
      <c r="G429" s="274" t="e">
        <f t="shared" ca="1" si="3"/>
        <v>#NAME?</v>
      </c>
      <c r="H429" s="274">
        <f t="shared" si="4"/>
        <v>0</v>
      </c>
    </row>
    <row r="430" spans="2:8" ht="13.5" customHeight="1">
      <c r="B430" s="209" t="s">
        <v>2247</v>
      </c>
      <c r="C430" s="209" t="s">
        <v>3602</v>
      </c>
      <c r="D430" s="413" t="str">
        <f t="shared" si="5"/>
        <v>07-13</v>
      </c>
      <c r="E430" s="273" t="e">
        <f ca="1">_xludf.IFNA(VLOOKUP('Comp X - UP'!B430,'Urban Plastix Holds'!$I$37:$U$705,10,0),0)</f>
        <v>#NAME?</v>
      </c>
      <c r="F430" s="274"/>
      <c r="G430" s="274" t="e">
        <f t="shared" ca="1" si="3"/>
        <v>#NAME?</v>
      </c>
      <c r="H430" s="274">
        <f t="shared" si="4"/>
        <v>0</v>
      </c>
    </row>
    <row r="431" spans="2:8" ht="13.5" customHeight="1">
      <c r="B431" s="209" t="s">
        <v>2247</v>
      </c>
      <c r="C431" s="209" t="s">
        <v>3602</v>
      </c>
      <c r="D431" s="414" t="str">
        <f t="shared" si="5"/>
        <v>11-26</v>
      </c>
      <c r="E431" s="273" t="e">
        <f ca="1">_xludf.IFNA(VLOOKUP('Comp X - UP'!B431,'Urban Plastix Holds'!$I$37:$U$705,11,0),0)</f>
        <v>#NAME?</v>
      </c>
      <c r="F431" s="274"/>
      <c r="G431" s="274" t="e">
        <f t="shared" ca="1" si="3"/>
        <v>#NAME?</v>
      </c>
      <c r="H431" s="274">
        <f t="shared" si="4"/>
        <v>0</v>
      </c>
    </row>
    <row r="432" spans="2:8" ht="13.5" customHeight="1">
      <c r="B432" s="209" t="s">
        <v>2247</v>
      </c>
      <c r="C432" s="209" t="s">
        <v>3602</v>
      </c>
      <c r="D432" s="415" t="str">
        <f t="shared" si="5"/>
        <v>18-01</v>
      </c>
      <c r="E432" s="273" t="e">
        <f ca="1">_xludf.IFNA(VLOOKUP('Comp X - UP'!B432,'Urban Plastix Holds'!$I$37:$U$705,12,0),0)</f>
        <v>#NAME?</v>
      </c>
      <c r="F432" s="274"/>
      <c r="G432" s="274" t="e">
        <f t="shared" ca="1" si="3"/>
        <v>#NAME?</v>
      </c>
      <c r="H432" s="274">
        <f t="shared" si="4"/>
        <v>0</v>
      </c>
    </row>
    <row r="433" spans="2:8" ht="13.5" customHeight="1">
      <c r="B433" s="209" t="s">
        <v>2247</v>
      </c>
      <c r="C433" s="209" t="s">
        <v>3602</v>
      </c>
      <c r="D433" s="416" t="str">
        <f t="shared" si="5"/>
        <v>Color Code</v>
      </c>
      <c r="E433" s="273" t="e">
        <f ca="1">_xludf.IFNA(VLOOKUP('Comp X - UP'!B433,'Urban Plastix Holds'!$I$37:$U$705,13,0),0)</f>
        <v>#NAME?</v>
      </c>
      <c r="F433" s="274"/>
      <c r="G433" s="274" t="e">
        <f t="shared" ca="1" si="3"/>
        <v>#NAME?</v>
      </c>
      <c r="H433" s="274">
        <f t="shared" si="4"/>
        <v>0</v>
      </c>
    </row>
    <row r="434" spans="2:8" ht="13.5" customHeight="1">
      <c r="B434" s="209" t="s">
        <v>2276</v>
      </c>
      <c r="C434" s="209" t="s">
        <v>3603</v>
      </c>
      <c r="D434" s="406" t="str">
        <f t="shared" si="5"/>
        <v>11-12</v>
      </c>
      <c r="E434" s="273" t="e">
        <f ca="1">_xludf.IFNA(VLOOKUP('Comp X - UP'!B434,'Urban Plastix Holds'!$I$37:$U$705,5,0),0)</f>
        <v>#NAME?</v>
      </c>
      <c r="F434" s="274"/>
      <c r="G434" s="274" t="e">
        <f t="shared" ca="1" si="3"/>
        <v>#NAME?</v>
      </c>
      <c r="H434" s="274">
        <f t="shared" si="4"/>
        <v>0</v>
      </c>
    </row>
    <row r="435" spans="2:8" ht="13.5" customHeight="1">
      <c r="B435" s="209" t="s">
        <v>2276</v>
      </c>
      <c r="C435" s="209" t="s">
        <v>3603</v>
      </c>
      <c r="D435" s="408" t="str">
        <f t="shared" si="5"/>
        <v>14-01</v>
      </c>
      <c r="E435" s="273" t="e">
        <f ca="1">_xludf.IFNA(VLOOKUP('Comp X - UP'!B435,'Urban Plastix Holds'!$I$37:$U$705,6,0),0)</f>
        <v>#NAME?</v>
      </c>
      <c r="F435" s="274"/>
      <c r="G435" s="274" t="e">
        <f t="shared" ca="1" si="3"/>
        <v>#NAME?</v>
      </c>
      <c r="H435" s="274">
        <f t="shared" si="4"/>
        <v>0</v>
      </c>
    </row>
    <row r="436" spans="2:8" ht="13.5" customHeight="1">
      <c r="B436" s="209" t="s">
        <v>2276</v>
      </c>
      <c r="C436" s="209" t="s">
        <v>3603</v>
      </c>
      <c r="D436" s="409" t="str">
        <f t="shared" si="5"/>
        <v>15-12</v>
      </c>
      <c r="E436" s="273" t="e">
        <f ca="1">_xludf.IFNA(VLOOKUP('Comp X - UP'!B436,'Urban Plastix Holds'!$I$37:$U$705,7,0),0)</f>
        <v>#NAME?</v>
      </c>
      <c r="F436" s="274"/>
      <c r="G436" s="274" t="e">
        <f t="shared" ca="1" si="3"/>
        <v>#NAME?</v>
      </c>
      <c r="H436" s="274">
        <f t="shared" si="4"/>
        <v>0</v>
      </c>
    </row>
    <row r="437" spans="2:8" ht="13.5" customHeight="1">
      <c r="B437" s="209" t="s">
        <v>2276</v>
      </c>
      <c r="C437" s="209" t="s">
        <v>3603</v>
      </c>
      <c r="D437" s="410" t="str">
        <f t="shared" si="5"/>
        <v>16-16</v>
      </c>
      <c r="E437" s="273" t="e">
        <f ca="1">_xludf.IFNA(VLOOKUP('Comp X - UP'!B437,'Urban Plastix Holds'!$I$37:$U$705,8,0),0)</f>
        <v>#NAME?</v>
      </c>
      <c r="F437" s="274"/>
      <c r="G437" s="274" t="e">
        <f t="shared" ca="1" si="3"/>
        <v>#NAME?</v>
      </c>
      <c r="H437" s="274">
        <f t="shared" si="4"/>
        <v>0</v>
      </c>
    </row>
    <row r="438" spans="2:8" ht="13.5" customHeight="1">
      <c r="B438" s="209" t="s">
        <v>2276</v>
      </c>
      <c r="C438" s="209" t="s">
        <v>3603</v>
      </c>
      <c r="D438" s="411" t="str">
        <f t="shared" si="5"/>
        <v>13-01</v>
      </c>
      <c r="E438" s="273" t="e">
        <f ca="1">_xludf.IFNA(VLOOKUP('Comp X - UP'!B438,'Urban Plastix Holds'!$I$37:$U$705,9,0),0)</f>
        <v>#NAME?</v>
      </c>
      <c r="F438" s="274"/>
      <c r="G438" s="274" t="e">
        <f t="shared" ca="1" si="3"/>
        <v>#NAME?</v>
      </c>
      <c r="H438" s="274">
        <f t="shared" si="4"/>
        <v>0</v>
      </c>
    </row>
    <row r="439" spans="2:8" ht="13.5" customHeight="1">
      <c r="B439" s="209" t="s">
        <v>2276</v>
      </c>
      <c r="C439" s="209" t="s">
        <v>3603</v>
      </c>
      <c r="D439" s="413" t="str">
        <f t="shared" si="5"/>
        <v>07-13</v>
      </c>
      <c r="E439" s="273" t="e">
        <f ca="1">_xludf.IFNA(VLOOKUP('Comp X - UP'!B439,'Urban Plastix Holds'!$I$37:$U$705,10,0),0)</f>
        <v>#NAME?</v>
      </c>
      <c r="F439" s="274"/>
      <c r="G439" s="274" t="e">
        <f t="shared" ca="1" si="3"/>
        <v>#NAME?</v>
      </c>
      <c r="H439" s="274">
        <f t="shared" si="4"/>
        <v>0</v>
      </c>
    </row>
    <row r="440" spans="2:8" ht="13.5" customHeight="1">
      <c r="B440" s="209" t="s">
        <v>2276</v>
      </c>
      <c r="C440" s="209" t="s">
        <v>3603</v>
      </c>
      <c r="D440" s="414" t="str">
        <f t="shared" si="5"/>
        <v>11-26</v>
      </c>
      <c r="E440" s="273" t="e">
        <f ca="1">_xludf.IFNA(VLOOKUP('Comp X - UP'!B440,'Urban Plastix Holds'!$I$37:$U$705,11,0),0)</f>
        <v>#NAME?</v>
      </c>
      <c r="F440" s="274"/>
      <c r="G440" s="274" t="e">
        <f t="shared" ca="1" si="3"/>
        <v>#NAME?</v>
      </c>
      <c r="H440" s="274">
        <f t="shared" si="4"/>
        <v>0</v>
      </c>
    </row>
    <row r="441" spans="2:8" ht="13.5" customHeight="1">
      <c r="B441" s="209" t="s">
        <v>2276</v>
      </c>
      <c r="C441" s="209" t="s">
        <v>3603</v>
      </c>
      <c r="D441" s="415" t="str">
        <f t="shared" si="5"/>
        <v>18-01</v>
      </c>
      <c r="E441" s="273" t="e">
        <f ca="1">_xludf.IFNA(VLOOKUP('Comp X - UP'!B441,'Urban Plastix Holds'!$I$37:$U$705,12,0),0)</f>
        <v>#NAME?</v>
      </c>
      <c r="F441" s="274"/>
      <c r="G441" s="274" t="e">
        <f t="shared" ca="1" si="3"/>
        <v>#NAME?</v>
      </c>
      <c r="H441" s="274">
        <f t="shared" si="4"/>
        <v>0</v>
      </c>
    </row>
    <row r="442" spans="2:8" ht="13.5" customHeight="1">
      <c r="B442" s="209" t="s">
        <v>2276</v>
      </c>
      <c r="C442" s="209" t="s">
        <v>3603</v>
      </c>
      <c r="D442" s="416" t="str">
        <f t="shared" si="5"/>
        <v>Color Code</v>
      </c>
      <c r="E442" s="273" t="e">
        <f ca="1">_xludf.IFNA(VLOOKUP('Comp X - UP'!B442,'Urban Plastix Holds'!$I$37:$U$705,13,0),0)</f>
        <v>#NAME?</v>
      </c>
      <c r="F442" s="274"/>
      <c r="G442" s="274" t="e">
        <f t="shared" ca="1" si="3"/>
        <v>#NAME?</v>
      </c>
      <c r="H442" s="274">
        <f t="shared" si="4"/>
        <v>0</v>
      </c>
    </row>
    <row r="443" spans="2:8" ht="13.5" customHeight="1">
      <c r="B443" s="209" t="s">
        <v>2277</v>
      </c>
      <c r="C443" s="209" t="s">
        <v>3604</v>
      </c>
      <c r="D443" s="406" t="str">
        <f t="shared" si="5"/>
        <v>11-12</v>
      </c>
      <c r="E443" s="273" t="e">
        <f ca="1">_xludf.IFNA(VLOOKUP('Comp X - UP'!B443,'Urban Plastix Holds'!$I$37:$U$705,5,0),0)</f>
        <v>#NAME?</v>
      </c>
      <c r="F443" s="274"/>
      <c r="G443" s="274" t="e">
        <f t="shared" ca="1" si="3"/>
        <v>#NAME?</v>
      </c>
      <c r="H443" s="274">
        <f t="shared" si="4"/>
        <v>0</v>
      </c>
    </row>
    <row r="444" spans="2:8" ht="13.5" customHeight="1">
      <c r="B444" s="209" t="s">
        <v>2277</v>
      </c>
      <c r="C444" s="209" t="s">
        <v>3604</v>
      </c>
      <c r="D444" s="408" t="str">
        <f t="shared" si="5"/>
        <v>14-01</v>
      </c>
      <c r="E444" s="273" t="e">
        <f ca="1">_xludf.IFNA(VLOOKUP('Comp X - UP'!B444,'Urban Plastix Holds'!$I$37:$U$705,6,0),0)</f>
        <v>#NAME?</v>
      </c>
      <c r="F444" s="274"/>
      <c r="G444" s="274" t="e">
        <f t="shared" ca="1" si="3"/>
        <v>#NAME?</v>
      </c>
      <c r="H444" s="274">
        <f t="shared" si="4"/>
        <v>0</v>
      </c>
    </row>
    <row r="445" spans="2:8" ht="13.5" customHeight="1">
      <c r="B445" s="209" t="s">
        <v>2277</v>
      </c>
      <c r="C445" s="209" t="s">
        <v>3604</v>
      </c>
      <c r="D445" s="409" t="str">
        <f t="shared" si="5"/>
        <v>15-12</v>
      </c>
      <c r="E445" s="273" t="e">
        <f ca="1">_xludf.IFNA(VLOOKUP('Comp X - UP'!B445,'Urban Plastix Holds'!$I$37:$U$705,7,0),0)</f>
        <v>#NAME?</v>
      </c>
      <c r="F445" s="274"/>
      <c r="G445" s="274" t="e">
        <f t="shared" ca="1" si="3"/>
        <v>#NAME?</v>
      </c>
      <c r="H445" s="274">
        <f t="shared" si="4"/>
        <v>0</v>
      </c>
    </row>
    <row r="446" spans="2:8" ht="13.5" customHeight="1">
      <c r="B446" s="209" t="s">
        <v>2277</v>
      </c>
      <c r="C446" s="209" t="s">
        <v>3604</v>
      </c>
      <c r="D446" s="410" t="str">
        <f t="shared" si="5"/>
        <v>16-16</v>
      </c>
      <c r="E446" s="273" t="e">
        <f ca="1">_xludf.IFNA(VLOOKUP('Comp X - UP'!B446,'Urban Plastix Holds'!$I$37:$U$705,8,0),0)</f>
        <v>#NAME?</v>
      </c>
      <c r="F446" s="274"/>
      <c r="G446" s="274" t="e">
        <f t="shared" ca="1" si="3"/>
        <v>#NAME?</v>
      </c>
      <c r="H446" s="274">
        <f t="shared" si="4"/>
        <v>0</v>
      </c>
    </row>
    <row r="447" spans="2:8" ht="13.5" customHeight="1">
      <c r="B447" s="209" t="s">
        <v>2277</v>
      </c>
      <c r="C447" s="209" t="s">
        <v>3604</v>
      </c>
      <c r="D447" s="411" t="str">
        <f t="shared" si="5"/>
        <v>13-01</v>
      </c>
      <c r="E447" s="273" t="e">
        <f ca="1">_xludf.IFNA(VLOOKUP('Comp X - UP'!B447,'Urban Plastix Holds'!$I$37:$U$705,9,0),0)</f>
        <v>#NAME?</v>
      </c>
      <c r="F447" s="274"/>
      <c r="G447" s="274" t="e">
        <f t="shared" ca="1" si="3"/>
        <v>#NAME?</v>
      </c>
      <c r="H447" s="274">
        <f t="shared" si="4"/>
        <v>0</v>
      </c>
    </row>
    <row r="448" spans="2:8" ht="13.5" customHeight="1">
      <c r="B448" s="209" t="s">
        <v>2277</v>
      </c>
      <c r="C448" s="209" t="s">
        <v>3604</v>
      </c>
      <c r="D448" s="413" t="str">
        <f t="shared" si="5"/>
        <v>07-13</v>
      </c>
      <c r="E448" s="273" t="e">
        <f ca="1">_xludf.IFNA(VLOOKUP('Comp X - UP'!B448,'Urban Plastix Holds'!$I$37:$U$705,10,0),0)</f>
        <v>#NAME?</v>
      </c>
      <c r="F448" s="274"/>
      <c r="G448" s="274" t="e">
        <f t="shared" ca="1" si="3"/>
        <v>#NAME?</v>
      </c>
      <c r="H448" s="274">
        <f t="shared" si="4"/>
        <v>0</v>
      </c>
    </row>
    <row r="449" spans="2:8" ht="13.5" customHeight="1">
      <c r="B449" s="209" t="s">
        <v>2277</v>
      </c>
      <c r="C449" s="209" t="s">
        <v>3604</v>
      </c>
      <c r="D449" s="414" t="str">
        <f t="shared" si="5"/>
        <v>11-26</v>
      </c>
      <c r="E449" s="273" t="e">
        <f ca="1">_xludf.IFNA(VLOOKUP('Comp X - UP'!B449,'Urban Plastix Holds'!$I$37:$U$705,11,0),0)</f>
        <v>#NAME?</v>
      </c>
      <c r="F449" s="274"/>
      <c r="G449" s="274" t="e">
        <f t="shared" ca="1" si="3"/>
        <v>#NAME?</v>
      </c>
      <c r="H449" s="274">
        <f t="shared" si="4"/>
        <v>0</v>
      </c>
    </row>
    <row r="450" spans="2:8" ht="13.5" customHeight="1">
      <c r="B450" s="209" t="s">
        <v>2277</v>
      </c>
      <c r="C450" s="209" t="s">
        <v>3604</v>
      </c>
      <c r="D450" s="415" t="str">
        <f t="shared" si="5"/>
        <v>18-01</v>
      </c>
      <c r="E450" s="273" t="e">
        <f ca="1">_xludf.IFNA(VLOOKUP('Comp X - UP'!B450,'Urban Plastix Holds'!$I$37:$U$705,12,0),0)</f>
        <v>#NAME?</v>
      </c>
      <c r="F450" s="274"/>
      <c r="G450" s="274" t="e">
        <f t="shared" ca="1" si="3"/>
        <v>#NAME?</v>
      </c>
      <c r="H450" s="274">
        <f t="shared" si="4"/>
        <v>0</v>
      </c>
    </row>
    <row r="451" spans="2:8" ht="13.5" customHeight="1">
      <c r="B451" s="209" t="s">
        <v>2277</v>
      </c>
      <c r="C451" s="209" t="s">
        <v>3604</v>
      </c>
      <c r="D451" s="416" t="str">
        <f t="shared" si="5"/>
        <v>Color Code</v>
      </c>
      <c r="E451" s="273" t="e">
        <f ca="1">_xludf.IFNA(VLOOKUP('Comp X - UP'!B451,'Urban Plastix Holds'!$I$37:$U$705,13,0),0)</f>
        <v>#NAME?</v>
      </c>
      <c r="F451" s="274"/>
      <c r="G451" s="274" t="e">
        <f t="shared" ca="1" si="3"/>
        <v>#NAME?</v>
      </c>
      <c r="H451" s="274">
        <f t="shared" si="4"/>
        <v>0</v>
      </c>
    </row>
    <row r="452" spans="2:8" ht="13.5" customHeight="1">
      <c r="B452" s="209" t="s">
        <v>2284</v>
      </c>
      <c r="C452" s="209" t="s">
        <v>3605</v>
      </c>
      <c r="D452" s="406" t="str">
        <f t="shared" si="5"/>
        <v>11-12</v>
      </c>
      <c r="E452" s="273" t="e">
        <f ca="1">_xludf.IFNA(VLOOKUP('Comp X - UP'!B452,'Urban Plastix Holds'!$I$37:$U$705,5,0),0)</f>
        <v>#NAME?</v>
      </c>
      <c r="F452" s="274"/>
      <c r="G452" s="274" t="e">
        <f t="shared" ca="1" si="3"/>
        <v>#NAME?</v>
      </c>
      <c r="H452" s="274">
        <f t="shared" si="4"/>
        <v>0</v>
      </c>
    </row>
    <row r="453" spans="2:8" ht="13.5" customHeight="1">
      <c r="B453" s="209" t="s">
        <v>2284</v>
      </c>
      <c r="C453" s="209" t="s">
        <v>3605</v>
      </c>
      <c r="D453" s="408" t="str">
        <f t="shared" si="5"/>
        <v>14-01</v>
      </c>
      <c r="E453" s="273" t="e">
        <f ca="1">_xludf.IFNA(VLOOKUP('Comp X - UP'!B453,'Urban Plastix Holds'!$I$37:$U$705,6,0),0)</f>
        <v>#NAME?</v>
      </c>
      <c r="F453" s="274"/>
      <c r="G453" s="274" t="e">
        <f t="shared" ca="1" si="3"/>
        <v>#NAME?</v>
      </c>
      <c r="H453" s="274">
        <f t="shared" si="4"/>
        <v>0</v>
      </c>
    </row>
    <row r="454" spans="2:8" ht="13.5" customHeight="1">
      <c r="B454" s="209" t="s">
        <v>2284</v>
      </c>
      <c r="C454" s="209" t="s">
        <v>3605</v>
      </c>
      <c r="D454" s="409" t="str">
        <f t="shared" si="5"/>
        <v>15-12</v>
      </c>
      <c r="E454" s="273" t="e">
        <f ca="1">_xludf.IFNA(VLOOKUP('Comp X - UP'!B454,'Urban Plastix Holds'!$I$37:$U$705,7,0),0)</f>
        <v>#NAME?</v>
      </c>
      <c r="F454" s="274"/>
      <c r="G454" s="274" t="e">
        <f t="shared" ca="1" si="3"/>
        <v>#NAME?</v>
      </c>
      <c r="H454" s="274">
        <f t="shared" si="4"/>
        <v>0</v>
      </c>
    </row>
    <row r="455" spans="2:8" ht="13.5" customHeight="1">
      <c r="B455" s="209" t="s">
        <v>2284</v>
      </c>
      <c r="C455" s="209" t="s">
        <v>3605</v>
      </c>
      <c r="D455" s="410" t="str">
        <f t="shared" si="5"/>
        <v>16-16</v>
      </c>
      <c r="E455" s="273" t="e">
        <f ca="1">_xludf.IFNA(VLOOKUP('Comp X - UP'!B455,'Urban Plastix Holds'!$I$37:$U$705,8,0),0)</f>
        <v>#NAME?</v>
      </c>
      <c r="F455" s="274"/>
      <c r="G455" s="274" t="e">
        <f t="shared" ca="1" si="3"/>
        <v>#NAME?</v>
      </c>
      <c r="H455" s="274">
        <f t="shared" si="4"/>
        <v>0</v>
      </c>
    </row>
    <row r="456" spans="2:8" ht="13.5" customHeight="1">
      <c r="B456" s="209" t="s">
        <v>2284</v>
      </c>
      <c r="C456" s="209" t="s">
        <v>3605</v>
      </c>
      <c r="D456" s="411" t="str">
        <f t="shared" si="5"/>
        <v>13-01</v>
      </c>
      <c r="E456" s="273" t="e">
        <f ca="1">_xludf.IFNA(VLOOKUP('Comp X - UP'!B456,'Urban Plastix Holds'!$I$37:$U$705,9,0),0)</f>
        <v>#NAME?</v>
      </c>
      <c r="F456" s="274"/>
      <c r="G456" s="274" t="e">
        <f t="shared" ca="1" si="3"/>
        <v>#NAME?</v>
      </c>
      <c r="H456" s="274">
        <f t="shared" si="4"/>
        <v>0</v>
      </c>
    </row>
    <row r="457" spans="2:8" ht="13.5" customHeight="1">
      <c r="B457" s="209" t="s">
        <v>2284</v>
      </c>
      <c r="C457" s="209" t="s">
        <v>3605</v>
      </c>
      <c r="D457" s="413" t="str">
        <f t="shared" si="5"/>
        <v>07-13</v>
      </c>
      <c r="E457" s="273" t="e">
        <f ca="1">_xludf.IFNA(VLOOKUP('Comp X - UP'!B457,'Urban Plastix Holds'!$I$37:$U$705,10,0),0)</f>
        <v>#NAME?</v>
      </c>
      <c r="F457" s="274"/>
      <c r="G457" s="274" t="e">
        <f t="shared" ca="1" si="3"/>
        <v>#NAME?</v>
      </c>
      <c r="H457" s="274">
        <f t="shared" si="4"/>
        <v>0</v>
      </c>
    </row>
    <row r="458" spans="2:8" ht="13.5" customHeight="1">
      <c r="B458" s="209" t="s">
        <v>2284</v>
      </c>
      <c r="C458" s="209" t="s">
        <v>3605</v>
      </c>
      <c r="D458" s="414" t="str">
        <f t="shared" si="5"/>
        <v>11-26</v>
      </c>
      <c r="E458" s="273" t="e">
        <f ca="1">_xludf.IFNA(VLOOKUP('Comp X - UP'!B458,'Urban Plastix Holds'!$I$37:$U$705,11,0),0)</f>
        <v>#NAME?</v>
      </c>
      <c r="F458" s="274"/>
      <c r="G458" s="274" t="e">
        <f t="shared" ca="1" si="3"/>
        <v>#NAME?</v>
      </c>
      <c r="H458" s="274">
        <f t="shared" si="4"/>
        <v>0</v>
      </c>
    </row>
    <row r="459" spans="2:8" ht="13.5" customHeight="1">
      <c r="B459" s="209" t="s">
        <v>2284</v>
      </c>
      <c r="C459" s="209" t="s">
        <v>3605</v>
      </c>
      <c r="D459" s="415" t="str">
        <f t="shared" si="5"/>
        <v>18-01</v>
      </c>
      <c r="E459" s="273" t="e">
        <f ca="1">_xludf.IFNA(VLOOKUP('Comp X - UP'!B459,'Urban Plastix Holds'!$I$37:$U$705,12,0),0)</f>
        <v>#NAME?</v>
      </c>
      <c r="F459" s="274"/>
      <c r="G459" s="274" t="e">
        <f t="shared" ca="1" si="3"/>
        <v>#NAME?</v>
      </c>
      <c r="H459" s="274">
        <f t="shared" si="4"/>
        <v>0</v>
      </c>
    </row>
    <row r="460" spans="2:8" ht="13.5" customHeight="1">
      <c r="B460" s="209" t="s">
        <v>2284</v>
      </c>
      <c r="C460" s="209" t="s">
        <v>3605</v>
      </c>
      <c r="D460" s="416" t="str">
        <f t="shared" si="5"/>
        <v>Color Code</v>
      </c>
      <c r="E460" s="273" t="e">
        <f ca="1">_xludf.IFNA(VLOOKUP('Comp X - UP'!B460,'Urban Plastix Holds'!$I$37:$U$705,13,0),0)</f>
        <v>#NAME?</v>
      </c>
      <c r="F460" s="274"/>
      <c r="G460" s="274" t="e">
        <f t="shared" ca="1" si="3"/>
        <v>#NAME?</v>
      </c>
      <c r="H460" s="274">
        <f t="shared" si="4"/>
        <v>0</v>
      </c>
    </row>
    <row r="461" spans="2:8" ht="13.5" customHeight="1">
      <c r="B461" s="209" t="s">
        <v>2285</v>
      </c>
      <c r="C461" s="209" t="s">
        <v>3606</v>
      </c>
      <c r="D461" s="406" t="str">
        <f t="shared" si="5"/>
        <v>11-12</v>
      </c>
      <c r="E461" s="273" t="e">
        <f ca="1">_xludf.IFNA(VLOOKUP('Comp X - UP'!B461,'Urban Plastix Holds'!$I$37:$U$705,5,0),0)</f>
        <v>#NAME?</v>
      </c>
      <c r="F461" s="274"/>
      <c r="G461" s="274" t="e">
        <f t="shared" ca="1" si="3"/>
        <v>#NAME?</v>
      </c>
      <c r="H461" s="274">
        <f t="shared" si="4"/>
        <v>0</v>
      </c>
    </row>
    <row r="462" spans="2:8" ht="13.5" customHeight="1">
      <c r="B462" s="209" t="s">
        <v>2285</v>
      </c>
      <c r="C462" s="209" t="s">
        <v>3606</v>
      </c>
      <c r="D462" s="408" t="str">
        <f t="shared" si="5"/>
        <v>14-01</v>
      </c>
      <c r="E462" s="273" t="e">
        <f ca="1">_xludf.IFNA(VLOOKUP('Comp X - UP'!B462,'Urban Plastix Holds'!$I$37:$U$705,6,0),0)</f>
        <v>#NAME?</v>
      </c>
      <c r="F462" s="274"/>
      <c r="G462" s="274" t="e">
        <f t="shared" ca="1" si="3"/>
        <v>#NAME?</v>
      </c>
      <c r="H462" s="274">
        <f t="shared" si="4"/>
        <v>0</v>
      </c>
    </row>
    <row r="463" spans="2:8" ht="13.5" customHeight="1">
      <c r="B463" s="209" t="s">
        <v>2285</v>
      </c>
      <c r="C463" s="209" t="s">
        <v>3606</v>
      </c>
      <c r="D463" s="409" t="str">
        <f t="shared" si="5"/>
        <v>15-12</v>
      </c>
      <c r="E463" s="273" t="e">
        <f ca="1">_xludf.IFNA(VLOOKUP('Comp X - UP'!B463,'Urban Plastix Holds'!$I$37:$U$705,7,0),0)</f>
        <v>#NAME?</v>
      </c>
      <c r="F463" s="274"/>
      <c r="G463" s="274" t="e">
        <f t="shared" ca="1" si="3"/>
        <v>#NAME?</v>
      </c>
      <c r="H463" s="274">
        <f t="shared" si="4"/>
        <v>0</v>
      </c>
    </row>
    <row r="464" spans="2:8" ht="13.5" customHeight="1">
      <c r="B464" s="209" t="s">
        <v>2285</v>
      </c>
      <c r="C464" s="209" t="s">
        <v>3606</v>
      </c>
      <c r="D464" s="410" t="str">
        <f t="shared" si="5"/>
        <v>16-16</v>
      </c>
      <c r="E464" s="273" t="e">
        <f ca="1">_xludf.IFNA(VLOOKUP('Comp X - UP'!B464,'Urban Plastix Holds'!$I$37:$U$705,8,0),0)</f>
        <v>#NAME?</v>
      </c>
      <c r="F464" s="274"/>
      <c r="G464" s="274" t="e">
        <f t="shared" ca="1" si="3"/>
        <v>#NAME?</v>
      </c>
      <c r="H464" s="274">
        <f t="shared" si="4"/>
        <v>0</v>
      </c>
    </row>
    <row r="465" spans="2:8" ht="13.5" customHeight="1">
      <c r="B465" s="209" t="s">
        <v>2285</v>
      </c>
      <c r="C465" s="209" t="s">
        <v>3606</v>
      </c>
      <c r="D465" s="411" t="str">
        <f t="shared" si="5"/>
        <v>13-01</v>
      </c>
      <c r="E465" s="273" t="e">
        <f ca="1">_xludf.IFNA(VLOOKUP('Comp X - UP'!B465,'Urban Plastix Holds'!$I$37:$U$705,9,0),0)</f>
        <v>#NAME?</v>
      </c>
      <c r="F465" s="274"/>
      <c r="G465" s="274" t="e">
        <f t="shared" ca="1" si="3"/>
        <v>#NAME?</v>
      </c>
      <c r="H465" s="274">
        <f t="shared" si="4"/>
        <v>0</v>
      </c>
    </row>
    <row r="466" spans="2:8" ht="13.5" customHeight="1">
      <c r="B466" s="209" t="s">
        <v>2285</v>
      </c>
      <c r="C466" s="209" t="s">
        <v>3606</v>
      </c>
      <c r="D466" s="413" t="str">
        <f t="shared" si="5"/>
        <v>07-13</v>
      </c>
      <c r="E466" s="273" t="e">
        <f ca="1">_xludf.IFNA(VLOOKUP('Comp X - UP'!B466,'Urban Plastix Holds'!$I$37:$U$705,10,0),0)</f>
        <v>#NAME?</v>
      </c>
      <c r="F466" s="274"/>
      <c r="G466" s="274" t="e">
        <f t="shared" ca="1" si="3"/>
        <v>#NAME?</v>
      </c>
      <c r="H466" s="274">
        <f t="shared" si="4"/>
        <v>0</v>
      </c>
    </row>
    <row r="467" spans="2:8" ht="13.5" customHeight="1">
      <c r="B467" s="209" t="s">
        <v>2285</v>
      </c>
      <c r="C467" s="209" t="s">
        <v>3606</v>
      </c>
      <c r="D467" s="414" t="str">
        <f t="shared" si="5"/>
        <v>11-26</v>
      </c>
      <c r="E467" s="273" t="e">
        <f ca="1">_xludf.IFNA(VLOOKUP('Comp X - UP'!B467,'Urban Plastix Holds'!$I$37:$U$705,11,0),0)</f>
        <v>#NAME?</v>
      </c>
      <c r="F467" s="274"/>
      <c r="G467" s="274" t="e">
        <f t="shared" ca="1" si="3"/>
        <v>#NAME?</v>
      </c>
      <c r="H467" s="274">
        <f t="shared" si="4"/>
        <v>0</v>
      </c>
    </row>
    <row r="468" spans="2:8" ht="13.5" customHeight="1">
      <c r="B468" s="209" t="s">
        <v>2285</v>
      </c>
      <c r="C468" s="209" t="s">
        <v>3606</v>
      </c>
      <c r="D468" s="415" t="str">
        <f t="shared" si="5"/>
        <v>18-01</v>
      </c>
      <c r="E468" s="273" t="e">
        <f ca="1">_xludf.IFNA(VLOOKUP('Comp X - UP'!B468,'Urban Plastix Holds'!$I$37:$U$705,12,0),0)</f>
        <v>#NAME?</v>
      </c>
      <c r="F468" s="274"/>
      <c r="G468" s="274" t="e">
        <f t="shared" ca="1" si="3"/>
        <v>#NAME?</v>
      </c>
      <c r="H468" s="274">
        <f t="shared" si="4"/>
        <v>0</v>
      </c>
    </row>
    <row r="469" spans="2:8" ht="13.5" customHeight="1">
      <c r="B469" s="209" t="s">
        <v>2285</v>
      </c>
      <c r="C469" s="209" t="s">
        <v>3606</v>
      </c>
      <c r="D469" s="416" t="str">
        <f t="shared" si="5"/>
        <v>Color Code</v>
      </c>
      <c r="E469" s="273" t="e">
        <f ca="1">_xludf.IFNA(VLOOKUP('Comp X - UP'!B469,'Urban Plastix Holds'!$I$37:$U$705,13,0),0)</f>
        <v>#NAME?</v>
      </c>
      <c r="F469" s="274"/>
      <c r="G469" s="274" t="e">
        <f t="shared" ca="1" si="3"/>
        <v>#NAME?</v>
      </c>
      <c r="H469" s="274">
        <f t="shared" si="4"/>
        <v>0</v>
      </c>
    </row>
    <row r="470" spans="2:8" ht="13.5" customHeight="1">
      <c r="B470" s="209" t="s">
        <v>2286</v>
      </c>
      <c r="C470" s="209" t="s">
        <v>3607</v>
      </c>
      <c r="D470" s="406" t="str">
        <f t="shared" si="5"/>
        <v>11-12</v>
      </c>
      <c r="E470" s="273" t="e">
        <f ca="1">_xludf.IFNA(VLOOKUP('Comp X - UP'!B470,'Urban Plastix Holds'!$I$37:$U$705,5,0),0)</f>
        <v>#NAME?</v>
      </c>
      <c r="F470" s="274"/>
      <c r="G470" s="274" t="e">
        <f t="shared" ca="1" si="3"/>
        <v>#NAME?</v>
      </c>
      <c r="H470" s="274">
        <f t="shared" si="4"/>
        <v>0</v>
      </c>
    </row>
    <row r="471" spans="2:8" ht="13.5" customHeight="1">
      <c r="B471" s="209" t="s">
        <v>2286</v>
      </c>
      <c r="C471" s="209" t="s">
        <v>3607</v>
      </c>
      <c r="D471" s="408" t="str">
        <f t="shared" si="5"/>
        <v>14-01</v>
      </c>
      <c r="E471" s="273" t="e">
        <f ca="1">_xludf.IFNA(VLOOKUP('Comp X - UP'!B471,'Urban Plastix Holds'!$I$37:$U$705,6,0),0)</f>
        <v>#NAME?</v>
      </c>
      <c r="F471" s="274"/>
      <c r="G471" s="274" t="e">
        <f t="shared" ca="1" si="3"/>
        <v>#NAME?</v>
      </c>
      <c r="H471" s="274">
        <f t="shared" si="4"/>
        <v>0</v>
      </c>
    </row>
    <row r="472" spans="2:8" ht="13.5" customHeight="1">
      <c r="B472" s="209" t="s">
        <v>2286</v>
      </c>
      <c r="C472" s="209" t="s">
        <v>3607</v>
      </c>
      <c r="D472" s="409" t="str">
        <f t="shared" si="5"/>
        <v>15-12</v>
      </c>
      <c r="E472" s="273" t="e">
        <f ca="1">_xludf.IFNA(VLOOKUP('Comp X - UP'!B472,'Urban Plastix Holds'!$I$37:$U$705,7,0),0)</f>
        <v>#NAME?</v>
      </c>
      <c r="F472" s="274"/>
      <c r="G472" s="274" t="e">
        <f t="shared" ca="1" si="3"/>
        <v>#NAME?</v>
      </c>
      <c r="H472" s="274">
        <f t="shared" si="4"/>
        <v>0</v>
      </c>
    </row>
    <row r="473" spans="2:8" ht="13.5" customHeight="1">
      <c r="B473" s="209" t="s">
        <v>2286</v>
      </c>
      <c r="C473" s="209" t="s">
        <v>3607</v>
      </c>
      <c r="D473" s="410" t="str">
        <f t="shared" si="5"/>
        <v>16-16</v>
      </c>
      <c r="E473" s="273" t="e">
        <f ca="1">_xludf.IFNA(VLOOKUP('Comp X - UP'!B473,'Urban Plastix Holds'!$I$37:$U$705,8,0),0)</f>
        <v>#NAME?</v>
      </c>
      <c r="F473" s="274"/>
      <c r="G473" s="274" t="e">
        <f t="shared" ca="1" si="3"/>
        <v>#NAME?</v>
      </c>
      <c r="H473" s="274">
        <f t="shared" si="4"/>
        <v>0</v>
      </c>
    </row>
    <row r="474" spans="2:8" ht="13.5" customHeight="1">
      <c r="B474" s="209" t="s">
        <v>2286</v>
      </c>
      <c r="C474" s="209" t="s">
        <v>3607</v>
      </c>
      <c r="D474" s="411" t="str">
        <f t="shared" si="5"/>
        <v>13-01</v>
      </c>
      <c r="E474" s="273" t="e">
        <f ca="1">_xludf.IFNA(VLOOKUP('Comp X - UP'!B474,'Urban Plastix Holds'!$I$37:$U$705,9,0),0)</f>
        <v>#NAME?</v>
      </c>
      <c r="F474" s="274"/>
      <c r="G474" s="274" t="e">
        <f t="shared" ca="1" si="3"/>
        <v>#NAME?</v>
      </c>
      <c r="H474" s="274">
        <f t="shared" si="4"/>
        <v>0</v>
      </c>
    </row>
    <row r="475" spans="2:8" ht="13.5" customHeight="1">
      <c r="B475" s="209" t="s">
        <v>2286</v>
      </c>
      <c r="C475" s="209" t="s">
        <v>3607</v>
      </c>
      <c r="D475" s="413" t="str">
        <f t="shared" si="5"/>
        <v>07-13</v>
      </c>
      <c r="E475" s="273" t="e">
        <f ca="1">_xludf.IFNA(VLOOKUP('Comp X - UP'!B475,'Urban Plastix Holds'!$I$37:$U$705,10,0),0)</f>
        <v>#NAME?</v>
      </c>
      <c r="F475" s="274"/>
      <c r="G475" s="274" t="e">
        <f t="shared" ca="1" si="3"/>
        <v>#NAME?</v>
      </c>
      <c r="H475" s="274">
        <f t="shared" si="4"/>
        <v>0</v>
      </c>
    </row>
    <row r="476" spans="2:8" ht="13.5" customHeight="1">
      <c r="B476" s="209" t="s">
        <v>2286</v>
      </c>
      <c r="C476" s="209" t="s">
        <v>3607</v>
      </c>
      <c r="D476" s="414" t="str">
        <f t="shared" si="5"/>
        <v>11-26</v>
      </c>
      <c r="E476" s="273" t="e">
        <f ca="1">_xludf.IFNA(VLOOKUP('Comp X - UP'!B476,'Urban Plastix Holds'!$I$37:$U$705,11,0),0)</f>
        <v>#NAME?</v>
      </c>
      <c r="F476" s="274"/>
      <c r="G476" s="274" t="e">
        <f t="shared" ca="1" si="3"/>
        <v>#NAME?</v>
      </c>
      <c r="H476" s="274">
        <f t="shared" si="4"/>
        <v>0</v>
      </c>
    </row>
    <row r="477" spans="2:8" ht="13.5" customHeight="1">
      <c r="B477" s="209" t="s">
        <v>2286</v>
      </c>
      <c r="C477" s="209" t="s">
        <v>3607</v>
      </c>
      <c r="D477" s="415" t="str">
        <f t="shared" si="5"/>
        <v>18-01</v>
      </c>
      <c r="E477" s="273" t="e">
        <f ca="1">_xludf.IFNA(VLOOKUP('Comp X - UP'!B477,'Urban Plastix Holds'!$I$37:$U$705,12,0),0)</f>
        <v>#NAME?</v>
      </c>
      <c r="F477" s="274"/>
      <c r="G477" s="274" t="e">
        <f t="shared" ca="1" si="3"/>
        <v>#NAME?</v>
      </c>
      <c r="H477" s="274">
        <f t="shared" si="4"/>
        <v>0</v>
      </c>
    </row>
    <row r="478" spans="2:8" ht="13.5" customHeight="1">
      <c r="B478" s="209" t="s">
        <v>2286</v>
      </c>
      <c r="C478" s="209" t="s">
        <v>3607</v>
      </c>
      <c r="D478" s="416" t="str">
        <f t="shared" si="5"/>
        <v>Color Code</v>
      </c>
      <c r="E478" s="273" t="e">
        <f ca="1">_xludf.IFNA(VLOOKUP('Comp X - UP'!B478,'Urban Plastix Holds'!$I$37:$U$705,13,0),0)</f>
        <v>#NAME?</v>
      </c>
      <c r="F478" s="274"/>
      <c r="G478" s="274" t="e">
        <f t="shared" ca="1" si="3"/>
        <v>#NAME?</v>
      </c>
      <c r="H478" s="274">
        <f t="shared" si="4"/>
        <v>0</v>
      </c>
    </row>
    <row r="479" spans="2:8" ht="13.5" customHeight="1">
      <c r="B479" s="209" t="s">
        <v>2287</v>
      </c>
      <c r="C479" s="209" t="s">
        <v>3608</v>
      </c>
      <c r="D479" s="406" t="str">
        <f t="shared" si="5"/>
        <v>11-12</v>
      </c>
      <c r="E479" s="273" t="e">
        <f ca="1">_xludf.IFNA(VLOOKUP('Comp X - UP'!B479,'Urban Plastix Holds'!$I$37:$U$705,5,0),0)</f>
        <v>#NAME?</v>
      </c>
      <c r="F479" s="274"/>
      <c r="G479" s="274" t="e">
        <f t="shared" ca="1" si="3"/>
        <v>#NAME?</v>
      </c>
      <c r="H479" s="274">
        <f t="shared" si="4"/>
        <v>0</v>
      </c>
    </row>
    <row r="480" spans="2:8" ht="13.5" customHeight="1">
      <c r="B480" s="209" t="s">
        <v>2287</v>
      </c>
      <c r="C480" s="209" t="s">
        <v>3608</v>
      </c>
      <c r="D480" s="408" t="str">
        <f t="shared" si="5"/>
        <v>14-01</v>
      </c>
      <c r="E480" s="273" t="e">
        <f ca="1">_xludf.IFNA(VLOOKUP('Comp X - UP'!B480,'Urban Plastix Holds'!$I$37:$U$705,6,0),0)</f>
        <v>#NAME?</v>
      </c>
      <c r="F480" s="274"/>
      <c r="G480" s="274" t="e">
        <f t="shared" ca="1" si="3"/>
        <v>#NAME?</v>
      </c>
      <c r="H480" s="274">
        <f t="shared" si="4"/>
        <v>0</v>
      </c>
    </row>
    <row r="481" spans="2:8" ht="13.5" customHeight="1">
      <c r="B481" s="209" t="s">
        <v>2287</v>
      </c>
      <c r="C481" s="209" t="s">
        <v>3608</v>
      </c>
      <c r="D481" s="409" t="str">
        <f t="shared" si="5"/>
        <v>15-12</v>
      </c>
      <c r="E481" s="273" t="e">
        <f ca="1">_xludf.IFNA(VLOOKUP('Comp X - UP'!B481,'Urban Plastix Holds'!$I$37:$U$705,7,0),0)</f>
        <v>#NAME?</v>
      </c>
      <c r="F481" s="274"/>
      <c r="G481" s="274" t="e">
        <f t="shared" ca="1" si="3"/>
        <v>#NAME?</v>
      </c>
      <c r="H481" s="274">
        <f t="shared" si="4"/>
        <v>0</v>
      </c>
    </row>
    <row r="482" spans="2:8" ht="13.5" customHeight="1">
      <c r="B482" s="209" t="s">
        <v>2287</v>
      </c>
      <c r="C482" s="209" t="s">
        <v>3608</v>
      </c>
      <c r="D482" s="410" t="str">
        <f t="shared" si="5"/>
        <v>16-16</v>
      </c>
      <c r="E482" s="273" t="e">
        <f ca="1">_xludf.IFNA(VLOOKUP('Comp X - UP'!B482,'Urban Plastix Holds'!$I$37:$U$705,8,0),0)</f>
        <v>#NAME?</v>
      </c>
      <c r="F482" s="274"/>
      <c r="G482" s="274" t="e">
        <f t="shared" ca="1" si="3"/>
        <v>#NAME?</v>
      </c>
      <c r="H482" s="274">
        <f t="shared" si="4"/>
        <v>0</v>
      </c>
    </row>
    <row r="483" spans="2:8" ht="13.5" customHeight="1">
      <c r="B483" s="209" t="s">
        <v>2287</v>
      </c>
      <c r="C483" s="209" t="s">
        <v>3608</v>
      </c>
      <c r="D483" s="411" t="str">
        <f t="shared" si="5"/>
        <v>13-01</v>
      </c>
      <c r="E483" s="273" t="e">
        <f ca="1">_xludf.IFNA(VLOOKUP('Comp X - UP'!B483,'Urban Plastix Holds'!$I$37:$U$705,9,0),0)</f>
        <v>#NAME?</v>
      </c>
      <c r="F483" s="274"/>
      <c r="G483" s="274" t="e">
        <f t="shared" ca="1" si="3"/>
        <v>#NAME?</v>
      </c>
      <c r="H483" s="274">
        <f t="shared" si="4"/>
        <v>0</v>
      </c>
    </row>
    <row r="484" spans="2:8" ht="13.5" customHeight="1">
      <c r="B484" s="209" t="s">
        <v>2287</v>
      </c>
      <c r="C484" s="209" t="s">
        <v>3608</v>
      </c>
      <c r="D484" s="413" t="str">
        <f t="shared" si="5"/>
        <v>07-13</v>
      </c>
      <c r="E484" s="273" t="e">
        <f ca="1">_xludf.IFNA(VLOOKUP('Comp X - UP'!B484,'Urban Plastix Holds'!$I$37:$U$705,10,0),0)</f>
        <v>#NAME?</v>
      </c>
      <c r="F484" s="274"/>
      <c r="G484" s="274" t="e">
        <f t="shared" ca="1" si="3"/>
        <v>#NAME?</v>
      </c>
      <c r="H484" s="274">
        <f t="shared" si="4"/>
        <v>0</v>
      </c>
    </row>
    <row r="485" spans="2:8" ht="13.5" customHeight="1">
      <c r="B485" s="209" t="s">
        <v>2287</v>
      </c>
      <c r="C485" s="209" t="s">
        <v>3608</v>
      </c>
      <c r="D485" s="414" t="str">
        <f t="shared" si="5"/>
        <v>11-26</v>
      </c>
      <c r="E485" s="273" t="e">
        <f ca="1">_xludf.IFNA(VLOOKUP('Comp X - UP'!B485,'Urban Plastix Holds'!$I$37:$U$705,11,0),0)</f>
        <v>#NAME?</v>
      </c>
      <c r="F485" s="274"/>
      <c r="G485" s="274" t="e">
        <f t="shared" ca="1" si="3"/>
        <v>#NAME?</v>
      </c>
      <c r="H485" s="274">
        <f t="shared" si="4"/>
        <v>0</v>
      </c>
    </row>
    <row r="486" spans="2:8" ht="13.5" customHeight="1">
      <c r="B486" s="209" t="s">
        <v>2287</v>
      </c>
      <c r="C486" s="209" t="s">
        <v>3608</v>
      </c>
      <c r="D486" s="415" t="str">
        <f t="shared" si="5"/>
        <v>18-01</v>
      </c>
      <c r="E486" s="273" t="e">
        <f ca="1">_xludf.IFNA(VLOOKUP('Comp X - UP'!B486,'Urban Plastix Holds'!$I$37:$U$705,12,0),0)</f>
        <v>#NAME?</v>
      </c>
      <c r="F486" s="274"/>
      <c r="G486" s="274" t="e">
        <f t="shared" ca="1" si="3"/>
        <v>#NAME?</v>
      </c>
      <c r="H486" s="274">
        <f t="shared" si="4"/>
        <v>0</v>
      </c>
    </row>
    <row r="487" spans="2:8" ht="13.5" customHeight="1">
      <c r="B487" s="209" t="s">
        <v>2287</v>
      </c>
      <c r="C487" s="209" t="s">
        <v>3608</v>
      </c>
      <c r="D487" s="416" t="str">
        <f t="shared" si="5"/>
        <v>Color Code</v>
      </c>
      <c r="E487" s="273" t="e">
        <f ca="1">_xludf.IFNA(VLOOKUP('Comp X - UP'!B487,'Urban Plastix Holds'!$I$37:$U$705,13,0),0)</f>
        <v>#NAME?</v>
      </c>
      <c r="F487" s="274"/>
      <c r="G487" s="274" t="e">
        <f t="shared" ca="1" si="3"/>
        <v>#NAME?</v>
      </c>
      <c r="H487" s="274">
        <f t="shared" si="4"/>
        <v>0</v>
      </c>
    </row>
    <row r="488" spans="2:8" ht="13.5" customHeight="1">
      <c r="B488" s="209" t="s">
        <v>2288</v>
      </c>
      <c r="C488" s="209" t="s">
        <v>3609</v>
      </c>
      <c r="D488" s="406" t="str">
        <f t="shared" si="5"/>
        <v>11-12</v>
      </c>
      <c r="E488" s="273" t="e">
        <f ca="1">_xludf.IFNA(VLOOKUP('Comp X - UP'!B488,'Urban Plastix Holds'!$I$37:$U$705,5,0),0)</f>
        <v>#NAME?</v>
      </c>
      <c r="F488" s="274"/>
      <c r="G488" s="274" t="e">
        <f t="shared" ca="1" si="3"/>
        <v>#NAME?</v>
      </c>
      <c r="H488" s="274">
        <f t="shared" si="4"/>
        <v>0</v>
      </c>
    </row>
    <row r="489" spans="2:8" ht="13.5" customHeight="1">
      <c r="B489" s="209" t="s">
        <v>2288</v>
      </c>
      <c r="C489" s="209" t="s">
        <v>3609</v>
      </c>
      <c r="D489" s="408" t="str">
        <f t="shared" si="5"/>
        <v>14-01</v>
      </c>
      <c r="E489" s="273" t="e">
        <f ca="1">_xludf.IFNA(VLOOKUP('Comp X - UP'!B489,'Urban Plastix Holds'!$I$37:$U$705,6,0),0)</f>
        <v>#NAME?</v>
      </c>
      <c r="F489" s="274"/>
      <c r="G489" s="274" t="e">
        <f t="shared" ca="1" si="3"/>
        <v>#NAME?</v>
      </c>
      <c r="H489" s="274">
        <f t="shared" si="4"/>
        <v>0</v>
      </c>
    </row>
    <row r="490" spans="2:8" ht="13.5" customHeight="1">
      <c r="B490" s="209" t="s">
        <v>2288</v>
      </c>
      <c r="C490" s="209" t="s">
        <v>3609</v>
      </c>
      <c r="D490" s="409" t="str">
        <f t="shared" si="5"/>
        <v>15-12</v>
      </c>
      <c r="E490" s="273" t="e">
        <f ca="1">_xludf.IFNA(VLOOKUP('Comp X - UP'!B490,'Urban Plastix Holds'!$I$37:$U$705,7,0),0)</f>
        <v>#NAME?</v>
      </c>
      <c r="F490" s="274"/>
      <c r="G490" s="274" t="e">
        <f t="shared" ca="1" si="3"/>
        <v>#NAME?</v>
      </c>
      <c r="H490" s="274">
        <f t="shared" si="4"/>
        <v>0</v>
      </c>
    </row>
    <row r="491" spans="2:8" ht="13.5" customHeight="1">
      <c r="B491" s="209" t="s">
        <v>2288</v>
      </c>
      <c r="C491" s="209" t="s">
        <v>3609</v>
      </c>
      <c r="D491" s="410" t="str">
        <f t="shared" si="5"/>
        <v>16-16</v>
      </c>
      <c r="E491" s="273" t="e">
        <f ca="1">_xludf.IFNA(VLOOKUP('Comp X - UP'!B491,'Urban Plastix Holds'!$I$37:$U$705,8,0),0)</f>
        <v>#NAME?</v>
      </c>
      <c r="F491" s="274"/>
      <c r="G491" s="274" t="e">
        <f t="shared" ca="1" si="3"/>
        <v>#NAME?</v>
      </c>
      <c r="H491" s="274">
        <f t="shared" si="4"/>
        <v>0</v>
      </c>
    </row>
    <row r="492" spans="2:8" ht="13.5" customHeight="1">
      <c r="B492" s="209" t="s">
        <v>2288</v>
      </c>
      <c r="C492" s="209" t="s">
        <v>3609</v>
      </c>
      <c r="D492" s="411" t="str">
        <f t="shared" si="5"/>
        <v>13-01</v>
      </c>
      <c r="E492" s="273" t="e">
        <f ca="1">_xludf.IFNA(VLOOKUP('Comp X - UP'!B492,'Urban Plastix Holds'!$I$37:$U$705,9,0),0)</f>
        <v>#NAME?</v>
      </c>
      <c r="F492" s="274"/>
      <c r="G492" s="274" t="e">
        <f t="shared" ca="1" si="3"/>
        <v>#NAME?</v>
      </c>
      <c r="H492" s="274">
        <f t="shared" si="4"/>
        <v>0</v>
      </c>
    </row>
    <row r="493" spans="2:8" ht="13.5" customHeight="1">
      <c r="B493" s="209" t="s">
        <v>2288</v>
      </c>
      <c r="C493" s="209" t="s">
        <v>3609</v>
      </c>
      <c r="D493" s="413" t="str">
        <f t="shared" si="5"/>
        <v>07-13</v>
      </c>
      <c r="E493" s="273" t="e">
        <f ca="1">_xludf.IFNA(VLOOKUP('Comp X - UP'!B493,'Urban Plastix Holds'!$I$37:$U$705,10,0),0)</f>
        <v>#NAME?</v>
      </c>
      <c r="F493" s="274"/>
      <c r="G493" s="274" t="e">
        <f t="shared" ca="1" si="3"/>
        <v>#NAME?</v>
      </c>
      <c r="H493" s="274">
        <f t="shared" si="4"/>
        <v>0</v>
      </c>
    </row>
    <row r="494" spans="2:8" ht="13.5" customHeight="1">
      <c r="B494" s="209" t="s">
        <v>2288</v>
      </c>
      <c r="C494" s="209" t="s">
        <v>3609</v>
      </c>
      <c r="D494" s="414" t="str">
        <f t="shared" si="5"/>
        <v>11-26</v>
      </c>
      <c r="E494" s="273" t="e">
        <f ca="1">_xludf.IFNA(VLOOKUP('Comp X - UP'!B494,'Urban Plastix Holds'!$I$37:$U$705,11,0),0)</f>
        <v>#NAME?</v>
      </c>
      <c r="F494" s="274"/>
      <c r="G494" s="274" t="e">
        <f t="shared" ca="1" si="3"/>
        <v>#NAME?</v>
      </c>
      <c r="H494" s="274">
        <f t="shared" si="4"/>
        <v>0</v>
      </c>
    </row>
    <row r="495" spans="2:8" ht="13.5" customHeight="1">
      <c r="B495" s="209" t="s">
        <v>2288</v>
      </c>
      <c r="C495" s="209" t="s">
        <v>3609</v>
      </c>
      <c r="D495" s="415" t="str">
        <f t="shared" si="5"/>
        <v>18-01</v>
      </c>
      <c r="E495" s="273" t="e">
        <f ca="1">_xludf.IFNA(VLOOKUP('Comp X - UP'!B495,'Urban Plastix Holds'!$I$37:$U$705,12,0),0)</f>
        <v>#NAME?</v>
      </c>
      <c r="F495" s="274"/>
      <c r="G495" s="274" t="e">
        <f t="shared" ca="1" si="3"/>
        <v>#NAME?</v>
      </c>
      <c r="H495" s="274">
        <f t="shared" si="4"/>
        <v>0</v>
      </c>
    </row>
    <row r="496" spans="2:8" ht="13.5" customHeight="1">
      <c r="B496" s="209" t="s">
        <v>2288</v>
      </c>
      <c r="C496" s="209" t="s">
        <v>3609</v>
      </c>
      <c r="D496" s="416" t="str">
        <f t="shared" si="5"/>
        <v>Color Code</v>
      </c>
      <c r="E496" s="273" t="e">
        <f ca="1">_xludf.IFNA(VLOOKUP('Comp X - UP'!B496,'Urban Plastix Holds'!$I$37:$U$705,13,0),0)</f>
        <v>#NAME?</v>
      </c>
      <c r="F496" s="274"/>
      <c r="G496" s="274" t="e">
        <f t="shared" ca="1" si="3"/>
        <v>#NAME?</v>
      </c>
      <c r="H496" s="274">
        <f t="shared" si="4"/>
        <v>0</v>
      </c>
    </row>
    <row r="497" spans="2:8" ht="13.5" customHeight="1">
      <c r="B497" s="209" t="s">
        <v>2289</v>
      </c>
      <c r="C497" s="209" t="s">
        <v>3610</v>
      </c>
      <c r="D497" s="406" t="str">
        <f t="shared" si="5"/>
        <v>11-12</v>
      </c>
      <c r="E497" s="273" t="e">
        <f ca="1">_xludf.IFNA(VLOOKUP('Comp X - UP'!B497,'Urban Plastix Holds'!$I$37:$U$705,5,0),0)</f>
        <v>#NAME?</v>
      </c>
      <c r="F497" s="274"/>
      <c r="G497" s="274" t="e">
        <f t="shared" ca="1" si="3"/>
        <v>#NAME?</v>
      </c>
      <c r="H497" s="274">
        <f t="shared" si="4"/>
        <v>0</v>
      </c>
    </row>
    <row r="498" spans="2:8" ht="13.5" customHeight="1">
      <c r="B498" s="209" t="s">
        <v>2289</v>
      </c>
      <c r="C498" s="209" t="s">
        <v>3610</v>
      </c>
      <c r="D498" s="408" t="str">
        <f t="shared" si="5"/>
        <v>14-01</v>
      </c>
      <c r="E498" s="273" t="e">
        <f ca="1">_xludf.IFNA(VLOOKUP('Comp X - UP'!B498,'Urban Plastix Holds'!$I$37:$U$705,6,0),0)</f>
        <v>#NAME?</v>
      </c>
      <c r="F498" s="274"/>
      <c r="G498" s="274" t="e">
        <f t="shared" ca="1" si="3"/>
        <v>#NAME?</v>
      </c>
      <c r="H498" s="274">
        <f t="shared" si="4"/>
        <v>0</v>
      </c>
    </row>
    <row r="499" spans="2:8" ht="13.5" customHeight="1">
      <c r="B499" s="209" t="s">
        <v>2289</v>
      </c>
      <c r="C499" s="209" t="s">
        <v>3610</v>
      </c>
      <c r="D499" s="409" t="str">
        <f t="shared" si="5"/>
        <v>15-12</v>
      </c>
      <c r="E499" s="273" t="e">
        <f ca="1">_xludf.IFNA(VLOOKUP('Comp X - UP'!B499,'Urban Plastix Holds'!$I$37:$U$705,7,0),0)</f>
        <v>#NAME?</v>
      </c>
      <c r="F499" s="274"/>
      <c r="G499" s="274" t="e">
        <f t="shared" ca="1" si="3"/>
        <v>#NAME?</v>
      </c>
      <c r="H499" s="274">
        <f t="shared" si="4"/>
        <v>0</v>
      </c>
    </row>
    <row r="500" spans="2:8" ht="13.5" customHeight="1">
      <c r="B500" s="209" t="s">
        <v>2289</v>
      </c>
      <c r="C500" s="209" t="s">
        <v>3610</v>
      </c>
      <c r="D500" s="410" t="str">
        <f t="shared" si="5"/>
        <v>16-16</v>
      </c>
      <c r="E500" s="273" t="e">
        <f ca="1">_xludf.IFNA(VLOOKUP('Comp X - UP'!B500,'Urban Plastix Holds'!$I$37:$U$705,8,0),0)</f>
        <v>#NAME?</v>
      </c>
      <c r="F500" s="274"/>
      <c r="G500" s="274" t="e">
        <f t="shared" ca="1" si="3"/>
        <v>#NAME?</v>
      </c>
      <c r="H500" s="274">
        <f t="shared" si="4"/>
        <v>0</v>
      </c>
    </row>
    <row r="501" spans="2:8" ht="13.5" customHeight="1">
      <c r="B501" s="209" t="s">
        <v>2289</v>
      </c>
      <c r="C501" s="209" t="s">
        <v>3610</v>
      </c>
      <c r="D501" s="411" t="str">
        <f t="shared" si="5"/>
        <v>13-01</v>
      </c>
      <c r="E501" s="273" t="e">
        <f ca="1">_xludf.IFNA(VLOOKUP('Comp X - UP'!B501,'Urban Plastix Holds'!$I$37:$U$705,9,0),0)</f>
        <v>#NAME?</v>
      </c>
      <c r="F501" s="274"/>
      <c r="G501" s="274" t="e">
        <f t="shared" ca="1" si="3"/>
        <v>#NAME?</v>
      </c>
      <c r="H501" s="274">
        <f t="shared" si="4"/>
        <v>0</v>
      </c>
    </row>
    <row r="502" spans="2:8" ht="13.5" customHeight="1">
      <c r="B502" s="209" t="s">
        <v>2289</v>
      </c>
      <c r="C502" s="209" t="s">
        <v>3610</v>
      </c>
      <c r="D502" s="413" t="str">
        <f t="shared" si="5"/>
        <v>07-13</v>
      </c>
      <c r="E502" s="273" t="e">
        <f ca="1">_xludf.IFNA(VLOOKUP('Comp X - UP'!B502,'Urban Plastix Holds'!$I$37:$U$705,10,0),0)</f>
        <v>#NAME?</v>
      </c>
      <c r="F502" s="274"/>
      <c r="G502" s="274" t="e">
        <f t="shared" ca="1" si="3"/>
        <v>#NAME?</v>
      </c>
      <c r="H502" s="274">
        <f t="shared" si="4"/>
        <v>0</v>
      </c>
    </row>
    <row r="503" spans="2:8" ht="13.5" customHeight="1">
      <c r="B503" s="209" t="s">
        <v>2289</v>
      </c>
      <c r="C503" s="209" t="s">
        <v>3610</v>
      </c>
      <c r="D503" s="414" t="str">
        <f t="shared" si="5"/>
        <v>11-26</v>
      </c>
      <c r="E503" s="273" t="e">
        <f ca="1">_xludf.IFNA(VLOOKUP('Comp X - UP'!B503,'Urban Plastix Holds'!$I$37:$U$705,11,0),0)</f>
        <v>#NAME?</v>
      </c>
      <c r="F503" s="274"/>
      <c r="G503" s="274" t="e">
        <f t="shared" ca="1" si="3"/>
        <v>#NAME?</v>
      </c>
      <c r="H503" s="274">
        <f t="shared" si="4"/>
        <v>0</v>
      </c>
    </row>
    <row r="504" spans="2:8" ht="13.5" customHeight="1">
      <c r="B504" s="209" t="s">
        <v>2289</v>
      </c>
      <c r="C504" s="209" t="s">
        <v>3610</v>
      </c>
      <c r="D504" s="415" t="str">
        <f t="shared" si="5"/>
        <v>18-01</v>
      </c>
      <c r="E504" s="273" t="e">
        <f ca="1">_xludf.IFNA(VLOOKUP('Comp X - UP'!B504,'Urban Plastix Holds'!$I$37:$U$705,12,0),0)</f>
        <v>#NAME?</v>
      </c>
      <c r="F504" s="274"/>
      <c r="G504" s="274" t="e">
        <f t="shared" ca="1" si="3"/>
        <v>#NAME?</v>
      </c>
      <c r="H504" s="274">
        <f t="shared" si="4"/>
        <v>0</v>
      </c>
    </row>
    <row r="505" spans="2:8" ht="13.5" customHeight="1">
      <c r="B505" s="209" t="s">
        <v>2289</v>
      </c>
      <c r="C505" s="209" t="s">
        <v>3610</v>
      </c>
      <c r="D505" s="416" t="str">
        <f t="shared" si="5"/>
        <v>Color Code</v>
      </c>
      <c r="E505" s="273" t="e">
        <f ca="1">_xludf.IFNA(VLOOKUP('Comp X - UP'!B505,'Urban Plastix Holds'!$I$37:$U$705,13,0),0)</f>
        <v>#NAME?</v>
      </c>
      <c r="F505" s="274"/>
      <c r="G505" s="274" t="e">
        <f t="shared" ca="1" si="3"/>
        <v>#NAME?</v>
      </c>
      <c r="H505" s="274">
        <f t="shared" si="4"/>
        <v>0</v>
      </c>
    </row>
    <row r="506" spans="2:8" ht="13.5" customHeight="1">
      <c r="B506" s="1" t="s">
        <v>2206</v>
      </c>
      <c r="C506" s="1" t="s">
        <v>3611</v>
      </c>
      <c r="D506" s="406" t="str">
        <f t="shared" si="5"/>
        <v>11-12</v>
      </c>
      <c r="E506" s="273" t="e">
        <f ca="1">_xludf.IFNA(VLOOKUP('Comp X - UP'!B506,'Urban Plastix Holds'!$I$37:$U$705,5,0),0)</f>
        <v>#NAME?</v>
      </c>
      <c r="F506" s="274"/>
      <c r="G506" s="274" t="e">
        <f t="shared" ca="1" si="3"/>
        <v>#NAME?</v>
      </c>
      <c r="H506" s="274">
        <f t="shared" si="4"/>
        <v>0</v>
      </c>
    </row>
    <row r="507" spans="2:8" ht="13.5" customHeight="1">
      <c r="B507" s="1" t="s">
        <v>2206</v>
      </c>
      <c r="C507" s="1" t="s">
        <v>3611</v>
      </c>
      <c r="D507" s="408" t="str">
        <f t="shared" si="5"/>
        <v>14-01</v>
      </c>
      <c r="E507" s="273" t="e">
        <f ca="1">_xludf.IFNA(VLOOKUP('Comp X - UP'!B507,'Urban Plastix Holds'!$I$37:$U$705,6,0),0)</f>
        <v>#NAME?</v>
      </c>
      <c r="F507" s="274"/>
      <c r="G507" s="274" t="e">
        <f t="shared" ca="1" si="3"/>
        <v>#NAME?</v>
      </c>
      <c r="H507" s="274">
        <f t="shared" si="4"/>
        <v>0</v>
      </c>
    </row>
    <row r="508" spans="2:8" ht="13.5" customHeight="1">
      <c r="B508" s="1" t="s">
        <v>2206</v>
      </c>
      <c r="C508" s="1" t="s">
        <v>3611</v>
      </c>
      <c r="D508" s="409" t="str">
        <f t="shared" si="5"/>
        <v>15-12</v>
      </c>
      <c r="E508" s="273" t="e">
        <f ca="1">_xludf.IFNA(VLOOKUP('Comp X - UP'!B508,'Urban Plastix Holds'!$I$37:$U$705,7,0),0)</f>
        <v>#NAME?</v>
      </c>
      <c r="F508" s="274"/>
      <c r="G508" s="274" t="e">
        <f t="shared" ca="1" si="3"/>
        <v>#NAME?</v>
      </c>
      <c r="H508" s="274">
        <f t="shared" si="4"/>
        <v>0</v>
      </c>
    </row>
    <row r="509" spans="2:8" ht="13.5" customHeight="1">
      <c r="B509" s="1" t="s">
        <v>2206</v>
      </c>
      <c r="C509" s="1" t="s">
        <v>3611</v>
      </c>
      <c r="D509" s="410" t="str">
        <f t="shared" si="5"/>
        <v>16-16</v>
      </c>
      <c r="E509" s="273" t="e">
        <f ca="1">_xludf.IFNA(VLOOKUP('Comp X - UP'!B509,'Urban Plastix Holds'!$I$37:$U$705,8,0),0)</f>
        <v>#NAME?</v>
      </c>
      <c r="F509" s="274"/>
      <c r="G509" s="274" t="e">
        <f t="shared" ca="1" si="3"/>
        <v>#NAME?</v>
      </c>
      <c r="H509" s="274">
        <f t="shared" si="4"/>
        <v>0</v>
      </c>
    </row>
    <row r="510" spans="2:8" ht="13.5" customHeight="1">
      <c r="B510" s="1" t="s">
        <v>2206</v>
      </c>
      <c r="C510" s="1" t="s">
        <v>3611</v>
      </c>
      <c r="D510" s="411" t="str">
        <f t="shared" si="5"/>
        <v>13-01</v>
      </c>
      <c r="E510" s="273" t="e">
        <f ca="1">_xludf.IFNA(VLOOKUP('Comp X - UP'!B510,'Urban Plastix Holds'!$I$37:$U$705,9,0),0)</f>
        <v>#NAME?</v>
      </c>
      <c r="F510" s="274"/>
      <c r="G510" s="274" t="e">
        <f t="shared" ca="1" si="3"/>
        <v>#NAME?</v>
      </c>
      <c r="H510" s="274">
        <f t="shared" si="4"/>
        <v>0</v>
      </c>
    </row>
    <row r="511" spans="2:8" ht="13.5" customHeight="1">
      <c r="B511" s="1" t="s">
        <v>2206</v>
      </c>
      <c r="C511" s="1" t="s">
        <v>3611</v>
      </c>
      <c r="D511" s="413" t="str">
        <f t="shared" si="5"/>
        <v>07-13</v>
      </c>
      <c r="E511" s="273" t="e">
        <f ca="1">_xludf.IFNA(VLOOKUP('Comp X - UP'!B511,'Urban Plastix Holds'!$I$37:$U$705,10,0),0)</f>
        <v>#NAME?</v>
      </c>
      <c r="F511" s="274"/>
      <c r="G511" s="274" t="e">
        <f t="shared" ca="1" si="3"/>
        <v>#NAME?</v>
      </c>
      <c r="H511" s="274">
        <f t="shared" si="4"/>
        <v>0</v>
      </c>
    </row>
    <row r="512" spans="2:8" ht="13.5" customHeight="1">
      <c r="B512" s="1" t="s">
        <v>2206</v>
      </c>
      <c r="C512" s="1" t="s">
        <v>3611</v>
      </c>
      <c r="D512" s="414" t="str">
        <f t="shared" si="5"/>
        <v>11-26</v>
      </c>
      <c r="E512" s="273" t="e">
        <f ca="1">_xludf.IFNA(VLOOKUP('Comp X - UP'!B512,'Urban Plastix Holds'!$I$37:$U$705,11,0),0)</f>
        <v>#NAME?</v>
      </c>
      <c r="F512" s="274"/>
      <c r="G512" s="274" t="e">
        <f t="shared" ref="G512:G766" ca="1" si="6">E512*F512</f>
        <v>#NAME?</v>
      </c>
      <c r="H512" s="274">
        <f t="shared" ref="H512:H766" si="7">IF($S$11="Y",G512*0.15,0)</f>
        <v>0</v>
      </c>
    </row>
    <row r="513" spans="2:8" ht="13.5" customHeight="1">
      <c r="B513" s="1" t="s">
        <v>2206</v>
      </c>
      <c r="C513" s="1" t="s">
        <v>3611</v>
      </c>
      <c r="D513" s="415" t="str">
        <f t="shared" si="5"/>
        <v>18-01</v>
      </c>
      <c r="E513" s="273" t="e">
        <f ca="1">_xludf.IFNA(VLOOKUP('Comp X - UP'!B513,'Urban Plastix Holds'!$I$37:$U$705,12,0),0)</f>
        <v>#NAME?</v>
      </c>
      <c r="F513" s="274"/>
      <c r="G513" s="274" t="e">
        <f t="shared" ca="1" si="6"/>
        <v>#NAME?</v>
      </c>
      <c r="H513" s="274">
        <f t="shared" si="7"/>
        <v>0</v>
      </c>
    </row>
    <row r="514" spans="2:8" ht="13.5" customHeight="1">
      <c r="B514" s="1" t="s">
        <v>2206</v>
      </c>
      <c r="C514" s="1" t="s">
        <v>3611</v>
      </c>
      <c r="D514" s="416" t="str">
        <f t="shared" si="5"/>
        <v>Color Code</v>
      </c>
      <c r="E514" s="273" t="e">
        <f ca="1">_xludf.IFNA(VLOOKUP('Comp X - UP'!B514,'Urban Plastix Holds'!$I$37:$U$705,13,0),0)</f>
        <v>#NAME?</v>
      </c>
      <c r="F514" s="274"/>
      <c r="G514" s="274" t="e">
        <f t="shared" ca="1" si="6"/>
        <v>#NAME?</v>
      </c>
      <c r="H514" s="274">
        <f t="shared" si="7"/>
        <v>0</v>
      </c>
    </row>
    <row r="515" spans="2:8" ht="13.5" customHeight="1">
      <c r="B515" s="1" t="s">
        <v>2207</v>
      </c>
      <c r="C515" s="1" t="s">
        <v>3612</v>
      </c>
      <c r="D515" s="406" t="str">
        <f t="shared" si="5"/>
        <v>11-12</v>
      </c>
      <c r="E515" s="273" t="e">
        <f ca="1">_xludf.IFNA(VLOOKUP('Comp X - UP'!B515,'Urban Plastix Holds'!$I$37:$U$705,5,0),0)</f>
        <v>#NAME?</v>
      </c>
      <c r="F515" s="274"/>
      <c r="G515" s="274" t="e">
        <f t="shared" ca="1" si="6"/>
        <v>#NAME?</v>
      </c>
      <c r="H515" s="274">
        <f t="shared" si="7"/>
        <v>0</v>
      </c>
    </row>
    <row r="516" spans="2:8" ht="13.5" customHeight="1">
      <c r="B516" s="1" t="s">
        <v>2207</v>
      </c>
      <c r="C516" s="1" t="s">
        <v>3612</v>
      </c>
      <c r="D516" s="408" t="str">
        <f t="shared" si="5"/>
        <v>14-01</v>
      </c>
      <c r="E516" s="273" t="e">
        <f ca="1">_xludf.IFNA(VLOOKUP('Comp X - UP'!B516,'Urban Plastix Holds'!$I$37:$U$705,6,0),0)</f>
        <v>#NAME?</v>
      </c>
      <c r="F516" s="274"/>
      <c r="G516" s="274" t="e">
        <f t="shared" ca="1" si="6"/>
        <v>#NAME?</v>
      </c>
      <c r="H516" s="274">
        <f t="shared" si="7"/>
        <v>0</v>
      </c>
    </row>
    <row r="517" spans="2:8" ht="13.5" customHeight="1">
      <c r="B517" s="1" t="s">
        <v>2207</v>
      </c>
      <c r="C517" s="1" t="s">
        <v>3612</v>
      </c>
      <c r="D517" s="409" t="str">
        <f t="shared" si="5"/>
        <v>15-12</v>
      </c>
      <c r="E517" s="273" t="e">
        <f ca="1">_xludf.IFNA(VLOOKUP('Comp X - UP'!B517,'Urban Plastix Holds'!$I$37:$U$705,7,0),0)</f>
        <v>#NAME?</v>
      </c>
      <c r="F517" s="274"/>
      <c r="G517" s="274" t="e">
        <f t="shared" ca="1" si="6"/>
        <v>#NAME?</v>
      </c>
      <c r="H517" s="274">
        <f t="shared" si="7"/>
        <v>0</v>
      </c>
    </row>
    <row r="518" spans="2:8" ht="13.5" customHeight="1">
      <c r="B518" s="1" t="s">
        <v>2207</v>
      </c>
      <c r="C518" s="1" t="s">
        <v>3612</v>
      </c>
      <c r="D518" s="410" t="str">
        <f t="shared" si="5"/>
        <v>16-16</v>
      </c>
      <c r="E518" s="273" t="e">
        <f ca="1">_xludf.IFNA(VLOOKUP('Comp X - UP'!B518,'Urban Plastix Holds'!$I$37:$U$705,8,0),0)</f>
        <v>#NAME?</v>
      </c>
      <c r="F518" s="274"/>
      <c r="G518" s="274" t="e">
        <f t="shared" ca="1" si="6"/>
        <v>#NAME?</v>
      </c>
      <c r="H518" s="274">
        <f t="shared" si="7"/>
        <v>0</v>
      </c>
    </row>
    <row r="519" spans="2:8" ht="13.5" customHeight="1">
      <c r="B519" s="1" t="s">
        <v>2207</v>
      </c>
      <c r="C519" s="1" t="s">
        <v>3612</v>
      </c>
      <c r="D519" s="411" t="str">
        <f t="shared" si="5"/>
        <v>13-01</v>
      </c>
      <c r="E519" s="273" t="e">
        <f ca="1">_xludf.IFNA(VLOOKUP('Comp X - UP'!B519,'Urban Plastix Holds'!$I$37:$U$705,9,0),0)</f>
        <v>#NAME?</v>
      </c>
      <c r="F519" s="274"/>
      <c r="G519" s="274" t="e">
        <f t="shared" ca="1" si="6"/>
        <v>#NAME?</v>
      </c>
      <c r="H519" s="274">
        <f t="shared" si="7"/>
        <v>0</v>
      </c>
    </row>
    <row r="520" spans="2:8" ht="13.5" customHeight="1">
      <c r="B520" s="1" t="s">
        <v>2207</v>
      </c>
      <c r="C520" s="1" t="s">
        <v>3612</v>
      </c>
      <c r="D520" s="413" t="str">
        <f t="shared" si="5"/>
        <v>07-13</v>
      </c>
      <c r="E520" s="273" t="e">
        <f ca="1">_xludf.IFNA(VLOOKUP('Comp X - UP'!B520,'Urban Plastix Holds'!$I$37:$U$705,10,0),0)</f>
        <v>#NAME?</v>
      </c>
      <c r="F520" s="274"/>
      <c r="G520" s="274" t="e">
        <f t="shared" ca="1" si="6"/>
        <v>#NAME?</v>
      </c>
      <c r="H520" s="274">
        <f t="shared" si="7"/>
        <v>0</v>
      </c>
    </row>
    <row r="521" spans="2:8" ht="13.5" customHeight="1">
      <c r="B521" s="1" t="s">
        <v>2207</v>
      </c>
      <c r="C521" s="1" t="s">
        <v>3612</v>
      </c>
      <c r="D521" s="414" t="str">
        <f t="shared" ref="D521:D577" si="8">D512</f>
        <v>11-26</v>
      </c>
      <c r="E521" s="273" t="e">
        <f ca="1">_xludf.IFNA(VLOOKUP('Comp X - UP'!B521,'Urban Plastix Holds'!$I$37:$U$705,11,0),0)</f>
        <v>#NAME?</v>
      </c>
      <c r="F521" s="274"/>
      <c r="G521" s="274" t="e">
        <f t="shared" ca="1" si="6"/>
        <v>#NAME?</v>
      </c>
      <c r="H521" s="274">
        <f t="shared" si="7"/>
        <v>0</v>
      </c>
    </row>
    <row r="522" spans="2:8" ht="13.5" customHeight="1">
      <c r="B522" s="1" t="s">
        <v>2207</v>
      </c>
      <c r="C522" s="1" t="s">
        <v>3612</v>
      </c>
      <c r="D522" s="415" t="str">
        <f t="shared" si="8"/>
        <v>18-01</v>
      </c>
      <c r="E522" s="273" t="e">
        <f ca="1">_xludf.IFNA(VLOOKUP('Comp X - UP'!B522,'Urban Plastix Holds'!$I$37:$U$705,12,0),0)</f>
        <v>#NAME?</v>
      </c>
      <c r="F522" s="274"/>
      <c r="G522" s="274" t="e">
        <f t="shared" ca="1" si="6"/>
        <v>#NAME?</v>
      </c>
      <c r="H522" s="274">
        <f t="shared" si="7"/>
        <v>0</v>
      </c>
    </row>
    <row r="523" spans="2:8" ht="13.5" customHeight="1">
      <c r="B523" s="1" t="s">
        <v>2207</v>
      </c>
      <c r="C523" s="1" t="s">
        <v>3612</v>
      </c>
      <c r="D523" s="416" t="str">
        <f t="shared" si="8"/>
        <v>Color Code</v>
      </c>
      <c r="E523" s="273" t="e">
        <f ca="1">_xludf.IFNA(VLOOKUP('Comp X - UP'!B523,'Urban Plastix Holds'!$I$37:$U$705,13,0),0)</f>
        <v>#NAME?</v>
      </c>
      <c r="F523" s="274"/>
      <c r="G523" s="274" t="e">
        <f t="shared" ca="1" si="6"/>
        <v>#NAME?</v>
      </c>
      <c r="H523" s="274">
        <f t="shared" si="7"/>
        <v>0</v>
      </c>
    </row>
    <row r="524" spans="2:8" ht="13.5" customHeight="1">
      <c r="B524" s="1" t="s">
        <v>2208</v>
      </c>
      <c r="C524" s="1" t="s">
        <v>3613</v>
      </c>
      <c r="D524" s="406" t="str">
        <f t="shared" si="8"/>
        <v>11-12</v>
      </c>
      <c r="E524" s="273" t="e">
        <f ca="1">_xludf.IFNA(VLOOKUP('Comp X - UP'!B524,'Urban Plastix Holds'!$I$37:$U$705,5,0),0)</f>
        <v>#NAME?</v>
      </c>
      <c r="F524" s="274"/>
      <c r="G524" s="274" t="e">
        <f t="shared" ca="1" si="6"/>
        <v>#NAME?</v>
      </c>
      <c r="H524" s="274">
        <f t="shared" si="7"/>
        <v>0</v>
      </c>
    </row>
    <row r="525" spans="2:8" ht="13.5" customHeight="1">
      <c r="B525" s="1" t="s">
        <v>2208</v>
      </c>
      <c r="C525" s="1" t="s">
        <v>3613</v>
      </c>
      <c r="D525" s="408" t="str">
        <f t="shared" si="8"/>
        <v>14-01</v>
      </c>
      <c r="E525" s="273" t="e">
        <f ca="1">_xludf.IFNA(VLOOKUP('Comp X - UP'!B525,'Urban Plastix Holds'!$I$37:$U$705,6,0),0)</f>
        <v>#NAME?</v>
      </c>
      <c r="F525" s="274"/>
      <c r="G525" s="274" t="e">
        <f t="shared" ca="1" si="6"/>
        <v>#NAME?</v>
      </c>
      <c r="H525" s="274">
        <f t="shared" si="7"/>
        <v>0</v>
      </c>
    </row>
    <row r="526" spans="2:8" ht="13.5" customHeight="1">
      <c r="B526" s="1" t="s">
        <v>2208</v>
      </c>
      <c r="C526" s="1" t="s">
        <v>3613</v>
      </c>
      <c r="D526" s="409" t="str">
        <f t="shared" si="8"/>
        <v>15-12</v>
      </c>
      <c r="E526" s="273" t="e">
        <f ca="1">_xludf.IFNA(VLOOKUP('Comp X - UP'!B526,'Urban Plastix Holds'!$I$37:$U$705,7,0),0)</f>
        <v>#NAME?</v>
      </c>
      <c r="F526" s="274"/>
      <c r="G526" s="274" t="e">
        <f t="shared" ca="1" si="6"/>
        <v>#NAME?</v>
      </c>
      <c r="H526" s="274">
        <f t="shared" si="7"/>
        <v>0</v>
      </c>
    </row>
    <row r="527" spans="2:8" ht="13.5" customHeight="1">
      <c r="B527" s="1" t="s">
        <v>2208</v>
      </c>
      <c r="C527" s="1" t="s">
        <v>3613</v>
      </c>
      <c r="D527" s="410" t="str">
        <f t="shared" si="8"/>
        <v>16-16</v>
      </c>
      <c r="E527" s="273" t="e">
        <f ca="1">_xludf.IFNA(VLOOKUP('Comp X - UP'!B527,'Urban Plastix Holds'!$I$37:$U$705,8,0),0)</f>
        <v>#NAME?</v>
      </c>
      <c r="F527" s="274"/>
      <c r="G527" s="274" t="e">
        <f t="shared" ca="1" si="6"/>
        <v>#NAME?</v>
      </c>
      <c r="H527" s="274">
        <f t="shared" si="7"/>
        <v>0</v>
      </c>
    </row>
    <row r="528" spans="2:8" ht="13.5" customHeight="1">
      <c r="B528" s="1" t="s">
        <v>2208</v>
      </c>
      <c r="C528" s="1" t="s">
        <v>3613</v>
      </c>
      <c r="D528" s="411" t="str">
        <f t="shared" si="8"/>
        <v>13-01</v>
      </c>
      <c r="E528" s="273" t="e">
        <f ca="1">_xludf.IFNA(VLOOKUP('Comp X - UP'!B528,'Urban Plastix Holds'!$I$37:$U$705,9,0),0)</f>
        <v>#NAME?</v>
      </c>
      <c r="F528" s="274"/>
      <c r="G528" s="274" t="e">
        <f t="shared" ca="1" si="6"/>
        <v>#NAME?</v>
      </c>
      <c r="H528" s="274">
        <f t="shared" si="7"/>
        <v>0</v>
      </c>
    </row>
    <row r="529" spans="2:8" ht="13.5" customHeight="1">
      <c r="B529" s="1" t="s">
        <v>2208</v>
      </c>
      <c r="C529" s="1" t="s">
        <v>3613</v>
      </c>
      <c r="D529" s="413" t="str">
        <f t="shared" si="8"/>
        <v>07-13</v>
      </c>
      <c r="E529" s="273" t="e">
        <f ca="1">_xludf.IFNA(VLOOKUP('Comp X - UP'!B529,'Urban Plastix Holds'!$I$37:$U$705,10,0),0)</f>
        <v>#NAME?</v>
      </c>
      <c r="F529" s="274"/>
      <c r="G529" s="274" t="e">
        <f t="shared" ca="1" si="6"/>
        <v>#NAME?</v>
      </c>
      <c r="H529" s="274">
        <f t="shared" si="7"/>
        <v>0</v>
      </c>
    </row>
    <row r="530" spans="2:8" ht="13.5" customHeight="1">
      <c r="B530" s="1" t="s">
        <v>2208</v>
      </c>
      <c r="C530" s="1" t="s">
        <v>3613</v>
      </c>
      <c r="D530" s="414" t="str">
        <f t="shared" si="8"/>
        <v>11-26</v>
      </c>
      <c r="E530" s="273" t="e">
        <f ca="1">_xludf.IFNA(VLOOKUP('Comp X - UP'!B530,'Urban Plastix Holds'!$I$37:$U$705,11,0),0)</f>
        <v>#NAME?</v>
      </c>
      <c r="F530" s="274"/>
      <c r="G530" s="274" t="e">
        <f t="shared" ca="1" si="6"/>
        <v>#NAME?</v>
      </c>
      <c r="H530" s="274">
        <f t="shared" si="7"/>
        <v>0</v>
      </c>
    </row>
    <row r="531" spans="2:8" ht="13.5" customHeight="1">
      <c r="B531" s="1" t="s">
        <v>2208</v>
      </c>
      <c r="C531" s="1" t="s">
        <v>3613</v>
      </c>
      <c r="D531" s="415" t="str">
        <f t="shared" si="8"/>
        <v>18-01</v>
      </c>
      <c r="E531" s="273" t="e">
        <f ca="1">_xludf.IFNA(VLOOKUP('Comp X - UP'!B531,'Urban Plastix Holds'!$I$37:$U$705,12,0),0)</f>
        <v>#NAME?</v>
      </c>
      <c r="F531" s="274"/>
      <c r="G531" s="274" t="e">
        <f t="shared" ca="1" si="6"/>
        <v>#NAME?</v>
      </c>
      <c r="H531" s="274">
        <f t="shared" si="7"/>
        <v>0</v>
      </c>
    </row>
    <row r="532" spans="2:8" ht="13.5" customHeight="1">
      <c r="B532" s="1" t="s">
        <v>2208</v>
      </c>
      <c r="C532" s="1" t="s">
        <v>3613</v>
      </c>
      <c r="D532" s="416" t="str">
        <f t="shared" si="8"/>
        <v>Color Code</v>
      </c>
      <c r="E532" s="273" t="e">
        <f ca="1">_xludf.IFNA(VLOOKUP('Comp X - UP'!B532,'Urban Plastix Holds'!$I$37:$U$705,13,0),0)</f>
        <v>#NAME?</v>
      </c>
      <c r="F532" s="274"/>
      <c r="G532" s="274" t="e">
        <f t="shared" ca="1" si="6"/>
        <v>#NAME?</v>
      </c>
      <c r="H532" s="274">
        <f t="shared" si="7"/>
        <v>0</v>
      </c>
    </row>
    <row r="533" spans="2:8" ht="13.5" customHeight="1">
      <c r="B533" s="1" t="s">
        <v>2209</v>
      </c>
      <c r="C533" s="1" t="s">
        <v>3614</v>
      </c>
      <c r="D533" s="406" t="str">
        <f t="shared" si="8"/>
        <v>11-12</v>
      </c>
      <c r="E533" s="273" t="e">
        <f ca="1">_xludf.IFNA(VLOOKUP('Comp X - UP'!B533,'Urban Plastix Holds'!$I$37:$U$705,5,0),0)</f>
        <v>#NAME?</v>
      </c>
      <c r="F533" s="274"/>
      <c r="G533" s="274" t="e">
        <f t="shared" ca="1" si="6"/>
        <v>#NAME?</v>
      </c>
      <c r="H533" s="274">
        <f t="shared" si="7"/>
        <v>0</v>
      </c>
    </row>
    <row r="534" spans="2:8" ht="13.5" customHeight="1">
      <c r="B534" s="1" t="s">
        <v>2209</v>
      </c>
      <c r="C534" s="1" t="s">
        <v>3614</v>
      </c>
      <c r="D534" s="408" t="str">
        <f t="shared" si="8"/>
        <v>14-01</v>
      </c>
      <c r="E534" s="273" t="e">
        <f ca="1">_xludf.IFNA(VLOOKUP('Comp X - UP'!B534,'Urban Plastix Holds'!$I$37:$U$705,6,0),0)</f>
        <v>#NAME?</v>
      </c>
      <c r="F534" s="274"/>
      <c r="G534" s="274" t="e">
        <f t="shared" ca="1" si="6"/>
        <v>#NAME?</v>
      </c>
      <c r="H534" s="274">
        <f t="shared" si="7"/>
        <v>0</v>
      </c>
    </row>
    <row r="535" spans="2:8" ht="13.5" customHeight="1">
      <c r="B535" s="1" t="s">
        <v>2209</v>
      </c>
      <c r="C535" s="1" t="s">
        <v>3614</v>
      </c>
      <c r="D535" s="409" t="str">
        <f t="shared" si="8"/>
        <v>15-12</v>
      </c>
      <c r="E535" s="273" t="e">
        <f ca="1">_xludf.IFNA(VLOOKUP('Comp X - UP'!B535,'Urban Plastix Holds'!$I$37:$U$705,7,0),0)</f>
        <v>#NAME?</v>
      </c>
      <c r="F535" s="274"/>
      <c r="G535" s="274" t="e">
        <f t="shared" ca="1" si="6"/>
        <v>#NAME?</v>
      </c>
      <c r="H535" s="274">
        <f t="shared" si="7"/>
        <v>0</v>
      </c>
    </row>
    <row r="536" spans="2:8" ht="13.5" customHeight="1">
      <c r="B536" s="1" t="s">
        <v>2209</v>
      </c>
      <c r="C536" s="1" t="s">
        <v>3614</v>
      </c>
      <c r="D536" s="410" t="str">
        <f t="shared" si="8"/>
        <v>16-16</v>
      </c>
      <c r="E536" s="273" t="e">
        <f ca="1">_xludf.IFNA(VLOOKUP('Comp X - UP'!B536,'Urban Plastix Holds'!$I$37:$U$705,8,0),0)</f>
        <v>#NAME?</v>
      </c>
      <c r="F536" s="274"/>
      <c r="G536" s="274" t="e">
        <f t="shared" ca="1" si="6"/>
        <v>#NAME?</v>
      </c>
      <c r="H536" s="274">
        <f t="shared" si="7"/>
        <v>0</v>
      </c>
    </row>
    <row r="537" spans="2:8" ht="13.5" customHeight="1">
      <c r="B537" s="1" t="s">
        <v>2209</v>
      </c>
      <c r="C537" s="1" t="s">
        <v>3614</v>
      </c>
      <c r="D537" s="411" t="str">
        <f t="shared" si="8"/>
        <v>13-01</v>
      </c>
      <c r="E537" s="273" t="e">
        <f ca="1">_xludf.IFNA(VLOOKUP('Comp X - UP'!B537,'Urban Plastix Holds'!$I$37:$U$705,9,0),0)</f>
        <v>#NAME?</v>
      </c>
      <c r="F537" s="274"/>
      <c r="G537" s="274" t="e">
        <f t="shared" ca="1" si="6"/>
        <v>#NAME?</v>
      </c>
      <c r="H537" s="274">
        <f t="shared" si="7"/>
        <v>0</v>
      </c>
    </row>
    <row r="538" spans="2:8" ht="13.5" customHeight="1">
      <c r="B538" s="1" t="s">
        <v>2209</v>
      </c>
      <c r="C538" s="1" t="s">
        <v>3614</v>
      </c>
      <c r="D538" s="413" t="str">
        <f t="shared" si="8"/>
        <v>07-13</v>
      </c>
      <c r="E538" s="273" t="e">
        <f ca="1">_xludf.IFNA(VLOOKUP('Comp X - UP'!B538,'Urban Plastix Holds'!$I$37:$U$705,10,0),0)</f>
        <v>#NAME?</v>
      </c>
      <c r="F538" s="274"/>
      <c r="G538" s="274" t="e">
        <f t="shared" ca="1" si="6"/>
        <v>#NAME?</v>
      </c>
      <c r="H538" s="274">
        <f t="shared" si="7"/>
        <v>0</v>
      </c>
    </row>
    <row r="539" spans="2:8" ht="13.5" customHeight="1">
      <c r="B539" s="1" t="s">
        <v>2209</v>
      </c>
      <c r="C539" s="1" t="s">
        <v>3614</v>
      </c>
      <c r="D539" s="414" t="str">
        <f t="shared" si="8"/>
        <v>11-26</v>
      </c>
      <c r="E539" s="273" t="e">
        <f ca="1">_xludf.IFNA(VLOOKUP('Comp X - UP'!B539,'Urban Plastix Holds'!$I$37:$U$705,11,0),0)</f>
        <v>#NAME?</v>
      </c>
      <c r="F539" s="274"/>
      <c r="G539" s="274" t="e">
        <f t="shared" ca="1" si="6"/>
        <v>#NAME?</v>
      </c>
      <c r="H539" s="274">
        <f t="shared" si="7"/>
        <v>0</v>
      </c>
    </row>
    <row r="540" spans="2:8" ht="13.5" customHeight="1">
      <c r="B540" s="1" t="s">
        <v>2209</v>
      </c>
      <c r="C540" s="1" t="s">
        <v>3614</v>
      </c>
      <c r="D540" s="415" t="str">
        <f t="shared" si="8"/>
        <v>18-01</v>
      </c>
      <c r="E540" s="273" t="e">
        <f ca="1">_xludf.IFNA(VLOOKUP('Comp X - UP'!B540,'Urban Plastix Holds'!$I$37:$U$705,12,0),0)</f>
        <v>#NAME?</v>
      </c>
      <c r="F540" s="274"/>
      <c r="G540" s="274" t="e">
        <f t="shared" ca="1" si="6"/>
        <v>#NAME?</v>
      </c>
      <c r="H540" s="274">
        <f t="shared" si="7"/>
        <v>0</v>
      </c>
    </row>
    <row r="541" spans="2:8" ht="13.5" customHeight="1">
      <c r="B541" s="1" t="s">
        <v>2209</v>
      </c>
      <c r="C541" s="1" t="s">
        <v>3614</v>
      </c>
      <c r="D541" s="416" t="str">
        <f t="shared" si="8"/>
        <v>Color Code</v>
      </c>
      <c r="E541" s="273" t="e">
        <f ca="1">_xludf.IFNA(VLOOKUP('Comp X - UP'!B541,'Urban Plastix Holds'!$I$37:$U$705,13,0),0)</f>
        <v>#NAME?</v>
      </c>
      <c r="F541" s="274"/>
      <c r="G541" s="274" t="e">
        <f t="shared" ca="1" si="6"/>
        <v>#NAME?</v>
      </c>
      <c r="H541" s="274">
        <f t="shared" si="7"/>
        <v>0</v>
      </c>
    </row>
    <row r="542" spans="2:8" ht="13.5" customHeight="1">
      <c r="B542" s="1" t="s">
        <v>2211</v>
      </c>
      <c r="C542" s="1" t="s">
        <v>3615</v>
      </c>
      <c r="D542" s="406" t="str">
        <f t="shared" si="8"/>
        <v>11-12</v>
      </c>
      <c r="E542" s="273" t="e">
        <f ca="1">_xludf.IFNA(VLOOKUP('Comp X - UP'!B542,'Urban Plastix Holds'!$I$37:$U$705,5,0),0)</f>
        <v>#NAME?</v>
      </c>
      <c r="F542" s="274"/>
      <c r="G542" s="274" t="e">
        <f t="shared" ca="1" si="6"/>
        <v>#NAME?</v>
      </c>
      <c r="H542" s="274">
        <f t="shared" si="7"/>
        <v>0</v>
      </c>
    </row>
    <row r="543" spans="2:8" ht="13.5" customHeight="1">
      <c r="B543" s="1" t="s">
        <v>2211</v>
      </c>
      <c r="C543" s="1" t="s">
        <v>3615</v>
      </c>
      <c r="D543" s="408" t="str">
        <f t="shared" si="8"/>
        <v>14-01</v>
      </c>
      <c r="E543" s="273" t="e">
        <f ca="1">_xludf.IFNA(VLOOKUP('Comp X - UP'!B543,'Urban Plastix Holds'!$I$37:$U$705,6,0),0)</f>
        <v>#NAME?</v>
      </c>
      <c r="F543" s="274"/>
      <c r="G543" s="274" t="e">
        <f t="shared" ca="1" si="6"/>
        <v>#NAME?</v>
      </c>
      <c r="H543" s="274">
        <f t="shared" si="7"/>
        <v>0</v>
      </c>
    </row>
    <row r="544" spans="2:8" ht="13.5" customHeight="1">
      <c r="B544" s="1" t="s">
        <v>2211</v>
      </c>
      <c r="C544" s="1" t="s">
        <v>3615</v>
      </c>
      <c r="D544" s="409" t="str">
        <f t="shared" si="8"/>
        <v>15-12</v>
      </c>
      <c r="E544" s="273" t="e">
        <f ca="1">_xludf.IFNA(VLOOKUP('Comp X - UP'!B544,'Urban Plastix Holds'!$I$37:$U$705,7,0),0)</f>
        <v>#NAME?</v>
      </c>
      <c r="F544" s="274"/>
      <c r="G544" s="274" t="e">
        <f t="shared" ca="1" si="6"/>
        <v>#NAME?</v>
      </c>
      <c r="H544" s="274">
        <f t="shared" si="7"/>
        <v>0</v>
      </c>
    </row>
    <row r="545" spans="2:8" ht="13.5" customHeight="1">
      <c r="B545" s="1" t="s">
        <v>2211</v>
      </c>
      <c r="C545" s="1" t="s">
        <v>3615</v>
      </c>
      <c r="D545" s="410" t="str">
        <f t="shared" si="8"/>
        <v>16-16</v>
      </c>
      <c r="E545" s="273" t="e">
        <f ca="1">_xludf.IFNA(VLOOKUP('Comp X - UP'!B545,'Urban Plastix Holds'!$I$37:$U$705,8,0),0)</f>
        <v>#NAME?</v>
      </c>
      <c r="F545" s="274"/>
      <c r="G545" s="274" t="e">
        <f t="shared" ca="1" si="6"/>
        <v>#NAME?</v>
      </c>
      <c r="H545" s="274">
        <f t="shared" si="7"/>
        <v>0</v>
      </c>
    </row>
    <row r="546" spans="2:8" ht="13.5" customHeight="1">
      <c r="B546" s="1" t="s">
        <v>2211</v>
      </c>
      <c r="C546" s="1" t="s">
        <v>3615</v>
      </c>
      <c r="D546" s="411" t="str">
        <f t="shared" si="8"/>
        <v>13-01</v>
      </c>
      <c r="E546" s="273" t="e">
        <f ca="1">_xludf.IFNA(VLOOKUP('Comp X - UP'!B546,'Urban Plastix Holds'!$I$37:$U$705,9,0),0)</f>
        <v>#NAME?</v>
      </c>
      <c r="F546" s="274"/>
      <c r="G546" s="274" t="e">
        <f t="shared" ca="1" si="6"/>
        <v>#NAME?</v>
      </c>
      <c r="H546" s="274">
        <f t="shared" si="7"/>
        <v>0</v>
      </c>
    </row>
    <row r="547" spans="2:8" ht="13.5" customHeight="1">
      <c r="B547" s="1" t="s">
        <v>2211</v>
      </c>
      <c r="C547" s="1" t="s">
        <v>3615</v>
      </c>
      <c r="D547" s="413" t="str">
        <f t="shared" si="8"/>
        <v>07-13</v>
      </c>
      <c r="E547" s="273" t="e">
        <f ca="1">_xludf.IFNA(VLOOKUP('Comp X - UP'!B547,'Urban Plastix Holds'!$I$37:$U$705,10,0),0)</f>
        <v>#NAME?</v>
      </c>
      <c r="F547" s="274"/>
      <c r="G547" s="274" t="e">
        <f t="shared" ca="1" si="6"/>
        <v>#NAME?</v>
      </c>
      <c r="H547" s="274">
        <f t="shared" si="7"/>
        <v>0</v>
      </c>
    </row>
    <row r="548" spans="2:8" ht="13.5" customHeight="1">
      <c r="B548" s="1" t="s">
        <v>2211</v>
      </c>
      <c r="C548" s="1" t="s">
        <v>3615</v>
      </c>
      <c r="D548" s="414" t="str">
        <f t="shared" si="8"/>
        <v>11-26</v>
      </c>
      <c r="E548" s="273" t="e">
        <f ca="1">_xludf.IFNA(VLOOKUP('Comp X - UP'!B548,'Urban Plastix Holds'!$I$37:$U$705,11,0),0)</f>
        <v>#NAME?</v>
      </c>
      <c r="F548" s="274"/>
      <c r="G548" s="274" t="e">
        <f t="shared" ca="1" si="6"/>
        <v>#NAME?</v>
      </c>
      <c r="H548" s="274">
        <f t="shared" si="7"/>
        <v>0</v>
      </c>
    </row>
    <row r="549" spans="2:8" ht="13.5" customHeight="1">
      <c r="B549" s="1" t="s">
        <v>2211</v>
      </c>
      <c r="C549" s="1" t="s">
        <v>3615</v>
      </c>
      <c r="D549" s="415" t="str">
        <f t="shared" si="8"/>
        <v>18-01</v>
      </c>
      <c r="E549" s="273" t="e">
        <f ca="1">_xludf.IFNA(VLOOKUP('Comp X - UP'!B549,'Urban Plastix Holds'!$I$37:$U$705,12,0),0)</f>
        <v>#NAME?</v>
      </c>
      <c r="F549" s="274"/>
      <c r="G549" s="274" t="e">
        <f t="shared" ca="1" si="6"/>
        <v>#NAME?</v>
      </c>
      <c r="H549" s="274">
        <f t="shared" si="7"/>
        <v>0</v>
      </c>
    </row>
    <row r="550" spans="2:8" ht="13.5" customHeight="1">
      <c r="B550" s="1" t="s">
        <v>2211</v>
      </c>
      <c r="C550" s="1" t="s">
        <v>3615</v>
      </c>
      <c r="D550" s="416" t="str">
        <f t="shared" si="8"/>
        <v>Color Code</v>
      </c>
      <c r="E550" s="273" t="e">
        <f ca="1">_xludf.IFNA(VLOOKUP('Comp X - UP'!B550,'Urban Plastix Holds'!$I$37:$U$705,13,0),0)</f>
        <v>#NAME?</v>
      </c>
      <c r="F550" s="274"/>
      <c r="G550" s="274" t="e">
        <f t="shared" ca="1" si="6"/>
        <v>#NAME?</v>
      </c>
      <c r="H550" s="274">
        <f t="shared" si="7"/>
        <v>0</v>
      </c>
    </row>
    <row r="551" spans="2:8" ht="13.5" customHeight="1">
      <c r="B551" s="1" t="s">
        <v>2212</v>
      </c>
      <c r="C551" s="1" t="s">
        <v>3616</v>
      </c>
      <c r="D551" s="406" t="str">
        <f t="shared" si="8"/>
        <v>11-12</v>
      </c>
      <c r="E551" s="273" t="e">
        <f ca="1">_xludf.IFNA(VLOOKUP('Comp X - UP'!B551,'Urban Plastix Holds'!$I$37:$U$705,5,0),0)</f>
        <v>#NAME?</v>
      </c>
      <c r="F551" s="274"/>
      <c r="G551" s="274" t="e">
        <f t="shared" ca="1" si="6"/>
        <v>#NAME?</v>
      </c>
      <c r="H551" s="274">
        <f t="shared" si="7"/>
        <v>0</v>
      </c>
    </row>
    <row r="552" spans="2:8" ht="13.5" customHeight="1">
      <c r="B552" s="1" t="s">
        <v>2212</v>
      </c>
      <c r="C552" s="1" t="s">
        <v>3616</v>
      </c>
      <c r="D552" s="408" t="str">
        <f t="shared" si="8"/>
        <v>14-01</v>
      </c>
      <c r="E552" s="273" t="e">
        <f ca="1">_xludf.IFNA(VLOOKUP('Comp X - UP'!B552,'Urban Plastix Holds'!$I$37:$U$705,6,0),0)</f>
        <v>#NAME?</v>
      </c>
      <c r="F552" s="274"/>
      <c r="G552" s="274" t="e">
        <f t="shared" ca="1" si="6"/>
        <v>#NAME?</v>
      </c>
      <c r="H552" s="274">
        <f t="shared" si="7"/>
        <v>0</v>
      </c>
    </row>
    <row r="553" spans="2:8" ht="13.5" customHeight="1">
      <c r="B553" s="1" t="s">
        <v>2212</v>
      </c>
      <c r="C553" s="1" t="s">
        <v>3616</v>
      </c>
      <c r="D553" s="409" t="str">
        <f t="shared" si="8"/>
        <v>15-12</v>
      </c>
      <c r="E553" s="273" t="e">
        <f ca="1">_xludf.IFNA(VLOOKUP('Comp X - UP'!B553,'Urban Plastix Holds'!$I$37:$U$705,7,0),0)</f>
        <v>#NAME?</v>
      </c>
      <c r="F553" s="274"/>
      <c r="G553" s="274" t="e">
        <f t="shared" ca="1" si="6"/>
        <v>#NAME?</v>
      </c>
      <c r="H553" s="274">
        <f t="shared" si="7"/>
        <v>0</v>
      </c>
    </row>
    <row r="554" spans="2:8" ht="13.5" customHeight="1">
      <c r="B554" s="1" t="s">
        <v>2212</v>
      </c>
      <c r="C554" s="1" t="s">
        <v>3616</v>
      </c>
      <c r="D554" s="410" t="str">
        <f t="shared" si="8"/>
        <v>16-16</v>
      </c>
      <c r="E554" s="273" t="e">
        <f ca="1">_xludf.IFNA(VLOOKUP('Comp X - UP'!B554,'Urban Plastix Holds'!$I$37:$U$705,8,0),0)</f>
        <v>#NAME?</v>
      </c>
      <c r="F554" s="274"/>
      <c r="G554" s="274" t="e">
        <f t="shared" ca="1" si="6"/>
        <v>#NAME?</v>
      </c>
      <c r="H554" s="274">
        <f t="shared" si="7"/>
        <v>0</v>
      </c>
    </row>
    <row r="555" spans="2:8" ht="13.5" customHeight="1">
      <c r="B555" s="1" t="s">
        <v>2212</v>
      </c>
      <c r="C555" s="1" t="s">
        <v>3616</v>
      </c>
      <c r="D555" s="411" t="str">
        <f t="shared" si="8"/>
        <v>13-01</v>
      </c>
      <c r="E555" s="273" t="e">
        <f ca="1">_xludf.IFNA(VLOOKUP('Comp X - UP'!B555,'Urban Plastix Holds'!$I$37:$U$705,9,0),0)</f>
        <v>#NAME?</v>
      </c>
      <c r="F555" s="274"/>
      <c r="G555" s="274" t="e">
        <f t="shared" ca="1" si="6"/>
        <v>#NAME?</v>
      </c>
      <c r="H555" s="274">
        <f t="shared" si="7"/>
        <v>0</v>
      </c>
    </row>
    <row r="556" spans="2:8" ht="13.5" customHeight="1">
      <c r="B556" s="1" t="s">
        <v>2212</v>
      </c>
      <c r="C556" s="1" t="s">
        <v>3616</v>
      </c>
      <c r="D556" s="413" t="str">
        <f t="shared" si="8"/>
        <v>07-13</v>
      </c>
      <c r="E556" s="273" t="e">
        <f ca="1">_xludf.IFNA(VLOOKUP('Comp X - UP'!B556,'Urban Plastix Holds'!$I$37:$U$705,10,0),0)</f>
        <v>#NAME?</v>
      </c>
      <c r="F556" s="274"/>
      <c r="G556" s="274" t="e">
        <f t="shared" ca="1" si="6"/>
        <v>#NAME?</v>
      </c>
      <c r="H556" s="274">
        <f t="shared" si="7"/>
        <v>0</v>
      </c>
    </row>
    <row r="557" spans="2:8" ht="13.5" customHeight="1">
      <c r="B557" s="1" t="s">
        <v>2212</v>
      </c>
      <c r="C557" s="1" t="s">
        <v>3616</v>
      </c>
      <c r="D557" s="414" t="str">
        <f t="shared" si="8"/>
        <v>11-26</v>
      </c>
      <c r="E557" s="273" t="e">
        <f ca="1">_xludf.IFNA(VLOOKUP('Comp X - UP'!B557,'Urban Plastix Holds'!$I$37:$U$705,11,0),0)</f>
        <v>#NAME?</v>
      </c>
      <c r="F557" s="274"/>
      <c r="G557" s="274" t="e">
        <f t="shared" ca="1" si="6"/>
        <v>#NAME?</v>
      </c>
      <c r="H557" s="274">
        <f t="shared" si="7"/>
        <v>0</v>
      </c>
    </row>
    <row r="558" spans="2:8" ht="13.5" customHeight="1">
      <c r="B558" s="1" t="s">
        <v>2212</v>
      </c>
      <c r="C558" s="1" t="s">
        <v>3616</v>
      </c>
      <c r="D558" s="415" t="str">
        <f t="shared" si="8"/>
        <v>18-01</v>
      </c>
      <c r="E558" s="273" t="e">
        <f ca="1">_xludf.IFNA(VLOOKUP('Comp X - UP'!B558,'Urban Plastix Holds'!$I$37:$U$705,12,0),0)</f>
        <v>#NAME?</v>
      </c>
      <c r="F558" s="274"/>
      <c r="G558" s="274" t="e">
        <f t="shared" ca="1" si="6"/>
        <v>#NAME?</v>
      </c>
      <c r="H558" s="274">
        <f t="shared" si="7"/>
        <v>0</v>
      </c>
    </row>
    <row r="559" spans="2:8" ht="13.5" customHeight="1">
      <c r="B559" s="1" t="s">
        <v>2212</v>
      </c>
      <c r="C559" s="1" t="s">
        <v>3616</v>
      </c>
      <c r="D559" s="416" t="str">
        <f t="shared" si="8"/>
        <v>Color Code</v>
      </c>
      <c r="E559" s="273" t="e">
        <f ca="1">_xludf.IFNA(VLOOKUP('Comp X - UP'!B559,'Urban Plastix Holds'!$I$37:$U$705,13,0),0)</f>
        <v>#NAME?</v>
      </c>
      <c r="F559" s="274"/>
      <c r="G559" s="274" t="e">
        <f t="shared" ca="1" si="6"/>
        <v>#NAME?</v>
      </c>
      <c r="H559" s="274">
        <f t="shared" si="7"/>
        <v>0</v>
      </c>
    </row>
    <row r="560" spans="2:8" ht="13.5" customHeight="1">
      <c r="B560" s="1" t="s">
        <v>2213</v>
      </c>
      <c r="C560" s="1" t="s">
        <v>3617</v>
      </c>
      <c r="D560" s="406" t="str">
        <f t="shared" si="8"/>
        <v>11-12</v>
      </c>
      <c r="E560" s="273" t="e">
        <f ca="1">_xludf.IFNA(VLOOKUP('Comp X - UP'!B560,'Urban Plastix Holds'!$I$37:$U$705,5,0),0)</f>
        <v>#NAME?</v>
      </c>
      <c r="F560" s="274"/>
      <c r="G560" s="274" t="e">
        <f t="shared" ca="1" si="6"/>
        <v>#NAME?</v>
      </c>
      <c r="H560" s="274">
        <f t="shared" si="7"/>
        <v>0</v>
      </c>
    </row>
    <row r="561" spans="2:8" ht="13.5" customHeight="1">
      <c r="B561" s="1" t="s">
        <v>2213</v>
      </c>
      <c r="C561" s="1" t="s">
        <v>3617</v>
      </c>
      <c r="D561" s="408" t="str">
        <f t="shared" si="8"/>
        <v>14-01</v>
      </c>
      <c r="E561" s="273" t="e">
        <f ca="1">_xludf.IFNA(VLOOKUP('Comp X - UP'!B561,'Urban Plastix Holds'!$I$37:$U$705,6,0),0)</f>
        <v>#NAME?</v>
      </c>
      <c r="F561" s="274"/>
      <c r="G561" s="274" t="e">
        <f t="shared" ca="1" si="6"/>
        <v>#NAME?</v>
      </c>
      <c r="H561" s="274">
        <f t="shared" si="7"/>
        <v>0</v>
      </c>
    </row>
    <row r="562" spans="2:8" ht="13.5" customHeight="1">
      <c r="B562" s="1" t="s">
        <v>2213</v>
      </c>
      <c r="C562" s="1" t="s">
        <v>3617</v>
      </c>
      <c r="D562" s="409" t="str">
        <f t="shared" si="8"/>
        <v>15-12</v>
      </c>
      <c r="E562" s="273" t="e">
        <f ca="1">_xludf.IFNA(VLOOKUP('Comp X - UP'!B562,'Urban Plastix Holds'!$I$37:$U$705,7,0),0)</f>
        <v>#NAME?</v>
      </c>
      <c r="F562" s="274"/>
      <c r="G562" s="274" t="e">
        <f t="shared" ca="1" si="6"/>
        <v>#NAME?</v>
      </c>
      <c r="H562" s="274">
        <f t="shared" si="7"/>
        <v>0</v>
      </c>
    </row>
    <row r="563" spans="2:8" ht="13.5" customHeight="1">
      <c r="B563" s="1" t="s">
        <v>2213</v>
      </c>
      <c r="C563" s="1" t="s">
        <v>3617</v>
      </c>
      <c r="D563" s="410" t="str">
        <f t="shared" si="8"/>
        <v>16-16</v>
      </c>
      <c r="E563" s="273" t="e">
        <f ca="1">_xludf.IFNA(VLOOKUP('Comp X - UP'!B563,'Urban Plastix Holds'!$I$37:$U$705,8,0),0)</f>
        <v>#NAME?</v>
      </c>
      <c r="F563" s="274"/>
      <c r="G563" s="274" t="e">
        <f t="shared" ca="1" si="6"/>
        <v>#NAME?</v>
      </c>
      <c r="H563" s="274">
        <f t="shared" si="7"/>
        <v>0</v>
      </c>
    </row>
    <row r="564" spans="2:8" ht="13.5" customHeight="1">
      <c r="B564" s="1" t="s">
        <v>2213</v>
      </c>
      <c r="C564" s="1" t="s">
        <v>3617</v>
      </c>
      <c r="D564" s="411" t="str">
        <f t="shared" si="8"/>
        <v>13-01</v>
      </c>
      <c r="E564" s="273" t="e">
        <f ca="1">_xludf.IFNA(VLOOKUP('Comp X - UP'!B564,'Urban Plastix Holds'!$I$37:$U$705,9,0),0)</f>
        <v>#NAME?</v>
      </c>
      <c r="F564" s="274"/>
      <c r="G564" s="274" t="e">
        <f t="shared" ca="1" si="6"/>
        <v>#NAME?</v>
      </c>
      <c r="H564" s="274">
        <f t="shared" si="7"/>
        <v>0</v>
      </c>
    </row>
    <row r="565" spans="2:8" ht="13.5" customHeight="1">
      <c r="B565" s="1" t="s">
        <v>2213</v>
      </c>
      <c r="C565" s="1" t="s">
        <v>3617</v>
      </c>
      <c r="D565" s="413" t="str">
        <f t="shared" si="8"/>
        <v>07-13</v>
      </c>
      <c r="E565" s="273" t="e">
        <f ca="1">_xludf.IFNA(VLOOKUP('Comp X - UP'!B565,'Urban Plastix Holds'!$I$37:$U$705,10,0),0)</f>
        <v>#NAME?</v>
      </c>
      <c r="F565" s="274"/>
      <c r="G565" s="274" t="e">
        <f t="shared" ca="1" si="6"/>
        <v>#NAME?</v>
      </c>
      <c r="H565" s="274">
        <f t="shared" si="7"/>
        <v>0</v>
      </c>
    </row>
    <row r="566" spans="2:8" ht="13.5" customHeight="1">
      <c r="B566" s="1" t="s">
        <v>2213</v>
      </c>
      <c r="C566" s="1" t="s">
        <v>3617</v>
      </c>
      <c r="D566" s="414" t="str">
        <f t="shared" si="8"/>
        <v>11-26</v>
      </c>
      <c r="E566" s="273" t="e">
        <f ca="1">_xludf.IFNA(VLOOKUP('Comp X - UP'!B566,'Urban Plastix Holds'!$I$37:$U$705,11,0),0)</f>
        <v>#NAME?</v>
      </c>
      <c r="F566" s="274"/>
      <c r="G566" s="274" t="e">
        <f t="shared" ca="1" si="6"/>
        <v>#NAME?</v>
      </c>
      <c r="H566" s="274">
        <f t="shared" si="7"/>
        <v>0</v>
      </c>
    </row>
    <row r="567" spans="2:8" ht="13.5" customHeight="1">
      <c r="B567" s="1" t="s">
        <v>2213</v>
      </c>
      <c r="C567" s="1" t="s">
        <v>3617</v>
      </c>
      <c r="D567" s="415" t="str">
        <f t="shared" si="8"/>
        <v>18-01</v>
      </c>
      <c r="E567" s="273" t="e">
        <f ca="1">_xludf.IFNA(VLOOKUP('Comp X - UP'!B567,'Urban Plastix Holds'!$I$37:$U$705,12,0),0)</f>
        <v>#NAME?</v>
      </c>
      <c r="F567" s="274"/>
      <c r="G567" s="274" t="e">
        <f t="shared" ca="1" si="6"/>
        <v>#NAME?</v>
      </c>
      <c r="H567" s="274">
        <f t="shared" si="7"/>
        <v>0</v>
      </c>
    </row>
    <row r="568" spans="2:8" ht="13.5" customHeight="1">
      <c r="B568" s="1" t="s">
        <v>2213</v>
      </c>
      <c r="C568" s="1" t="s">
        <v>3617</v>
      </c>
      <c r="D568" s="416" t="str">
        <f t="shared" si="8"/>
        <v>Color Code</v>
      </c>
      <c r="E568" s="273" t="e">
        <f ca="1">_xludf.IFNA(VLOOKUP('Comp X - UP'!B568,'Urban Plastix Holds'!$I$37:$U$705,13,0),0)</f>
        <v>#NAME?</v>
      </c>
      <c r="F568" s="274"/>
      <c r="G568" s="274" t="e">
        <f t="shared" ca="1" si="6"/>
        <v>#NAME?</v>
      </c>
      <c r="H568" s="274">
        <f t="shared" si="7"/>
        <v>0</v>
      </c>
    </row>
    <row r="569" spans="2:8" ht="13.5" customHeight="1">
      <c r="B569" s="1" t="s">
        <v>2214</v>
      </c>
      <c r="C569" s="1" t="s">
        <v>3618</v>
      </c>
      <c r="D569" s="406" t="str">
        <f t="shared" si="8"/>
        <v>11-12</v>
      </c>
      <c r="E569" s="273" t="e">
        <f ca="1">_xludf.IFNA(VLOOKUP('Comp X - UP'!B569,'Urban Plastix Holds'!$I$37:$U$705,5,0),0)</f>
        <v>#NAME?</v>
      </c>
      <c r="F569" s="274"/>
      <c r="G569" s="274" t="e">
        <f t="shared" ca="1" si="6"/>
        <v>#NAME?</v>
      </c>
      <c r="H569" s="274">
        <f t="shared" si="7"/>
        <v>0</v>
      </c>
    </row>
    <row r="570" spans="2:8" ht="13.5" customHeight="1">
      <c r="B570" s="1" t="s">
        <v>2214</v>
      </c>
      <c r="C570" s="1" t="s">
        <v>3618</v>
      </c>
      <c r="D570" s="408" t="str">
        <f t="shared" si="8"/>
        <v>14-01</v>
      </c>
      <c r="E570" s="273" t="e">
        <f ca="1">_xludf.IFNA(VLOOKUP('Comp X - UP'!B570,'Urban Plastix Holds'!$I$37:$U$705,6,0),0)</f>
        <v>#NAME?</v>
      </c>
      <c r="F570" s="274"/>
      <c r="G570" s="274" t="e">
        <f t="shared" ca="1" si="6"/>
        <v>#NAME?</v>
      </c>
      <c r="H570" s="274">
        <f t="shared" si="7"/>
        <v>0</v>
      </c>
    </row>
    <row r="571" spans="2:8" ht="13.5" customHeight="1">
      <c r="B571" s="1" t="s">
        <v>2214</v>
      </c>
      <c r="C571" s="1" t="s">
        <v>3618</v>
      </c>
      <c r="D571" s="409" t="str">
        <f t="shared" si="8"/>
        <v>15-12</v>
      </c>
      <c r="E571" s="273" t="e">
        <f ca="1">_xludf.IFNA(VLOOKUP('Comp X - UP'!B571,'Urban Plastix Holds'!$I$37:$U$705,7,0),0)</f>
        <v>#NAME?</v>
      </c>
      <c r="F571" s="274"/>
      <c r="G571" s="274" t="e">
        <f t="shared" ca="1" si="6"/>
        <v>#NAME?</v>
      </c>
      <c r="H571" s="274">
        <f t="shared" si="7"/>
        <v>0</v>
      </c>
    </row>
    <row r="572" spans="2:8" ht="13.5" customHeight="1">
      <c r="B572" s="1" t="s">
        <v>2214</v>
      </c>
      <c r="C572" s="1" t="s">
        <v>3618</v>
      </c>
      <c r="D572" s="410" t="str">
        <f t="shared" si="8"/>
        <v>16-16</v>
      </c>
      <c r="E572" s="273" t="e">
        <f ca="1">_xludf.IFNA(VLOOKUP('Comp X - UP'!B572,'Urban Plastix Holds'!$I$37:$U$705,8,0),0)</f>
        <v>#NAME?</v>
      </c>
      <c r="F572" s="274"/>
      <c r="G572" s="274" t="e">
        <f t="shared" ca="1" si="6"/>
        <v>#NAME?</v>
      </c>
      <c r="H572" s="274">
        <f t="shared" si="7"/>
        <v>0</v>
      </c>
    </row>
    <row r="573" spans="2:8" ht="13.5" customHeight="1">
      <c r="B573" s="1" t="s">
        <v>2214</v>
      </c>
      <c r="C573" s="1" t="s">
        <v>3618</v>
      </c>
      <c r="D573" s="411" t="str">
        <f t="shared" si="8"/>
        <v>13-01</v>
      </c>
      <c r="E573" s="273" t="e">
        <f ca="1">_xludf.IFNA(VLOOKUP('Comp X - UP'!B573,'Urban Plastix Holds'!$I$37:$U$705,9,0),0)</f>
        <v>#NAME?</v>
      </c>
      <c r="F573" s="274"/>
      <c r="G573" s="274" t="e">
        <f t="shared" ca="1" si="6"/>
        <v>#NAME?</v>
      </c>
      <c r="H573" s="274">
        <f t="shared" si="7"/>
        <v>0</v>
      </c>
    </row>
    <row r="574" spans="2:8" ht="13.5" customHeight="1">
      <c r="B574" s="1" t="s">
        <v>2214</v>
      </c>
      <c r="C574" s="1" t="s">
        <v>3618</v>
      </c>
      <c r="D574" s="413" t="str">
        <f t="shared" si="8"/>
        <v>07-13</v>
      </c>
      <c r="E574" s="273" t="e">
        <f ca="1">_xludf.IFNA(VLOOKUP('Comp X - UP'!B574,'Urban Plastix Holds'!$I$37:$U$705,10,0),0)</f>
        <v>#NAME?</v>
      </c>
      <c r="F574" s="274"/>
      <c r="G574" s="274" t="e">
        <f t="shared" ca="1" si="6"/>
        <v>#NAME?</v>
      </c>
      <c r="H574" s="274">
        <f t="shared" si="7"/>
        <v>0</v>
      </c>
    </row>
    <row r="575" spans="2:8" ht="13.5" customHeight="1">
      <c r="B575" s="1" t="s">
        <v>2214</v>
      </c>
      <c r="C575" s="1" t="s">
        <v>3618</v>
      </c>
      <c r="D575" s="414" t="str">
        <f t="shared" si="8"/>
        <v>11-26</v>
      </c>
      <c r="E575" s="273" t="e">
        <f ca="1">_xludf.IFNA(VLOOKUP('Comp X - UP'!B575,'Urban Plastix Holds'!$I$37:$U$705,11,0),0)</f>
        <v>#NAME?</v>
      </c>
      <c r="F575" s="274"/>
      <c r="G575" s="274" t="e">
        <f t="shared" ca="1" si="6"/>
        <v>#NAME?</v>
      </c>
      <c r="H575" s="274">
        <f t="shared" si="7"/>
        <v>0</v>
      </c>
    </row>
    <row r="576" spans="2:8" ht="13.5" customHeight="1">
      <c r="B576" s="1" t="s">
        <v>2214</v>
      </c>
      <c r="C576" s="1" t="s">
        <v>3618</v>
      </c>
      <c r="D576" s="415" t="str">
        <f t="shared" si="8"/>
        <v>18-01</v>
      </c>
      <c r="E576" s="273" t="e">
        <f ca="1">_xludf.IFNA(VLOOKUP('Comp X - UP'!B576,'Urban Plastix Holds'!$I$37:$U$705,12,0),0)</f>
        <v>#NAME?</v>
      </c>
      <c r="F576" s="274"/>
      <c r="G576" s="274" t="e">
        <f t="shared" ca="1" si="6"/>
        <v>#NAME?</v>
      </c>
      <c r="H576" s="274">
        <f t="shared" si="7"/>
        <v>0</v>
      </c>
    </row>
    <row r="577" spans="2:8" ht="13.5" customHeight="1">
      <c r="B577" s="1" t="s">
        <v>2214</v>
      </c>
      <c r="C577" s="1" t="s">
        <v>3618</v>
      </c>
      <c r="D577" s="416" t="str">
        <f t="shared" si="8"/>
        <v>Color Code</v>
      </c>
      <c r="E577" s="273" t="e">
        <f ca="1">_xludf.IFNA(VLOOKUP('Comp X - UP'!B577,'Urban Plastix Holds'!$I$37:$U$705,13,0),0)</f>
        <v>#NAME?</v>
      </c>
      <c r="F577" s="274"/>
      <c r="G577" s="274" t="e">
        <f t="shared" ca="1" si="6"/>
        <v>#NAME?</v>
      </c>
      <c r="H577" s="274">
        <f t="shared" si="7"/>
        <v>0</v>
      </c>
    </row>
    <row r="578" spans="2:8" ht="13.5" customHeight="1">
      <c r="B578" s="1" t="s">
        <v>2210</v>
      </c>
      <c r="C578" s="1" t="s">
        <v>3619</v>
      </c>
      <c r="D578" s="406" t="str">
        <f t="shared" ref="D578:D622" si="9">D542</f>
        <v>11-12</v>
      </c>
      <c r="E578" s="273" t="e">
        <f ca="1">_xludf.IFNA(VLOOKUP('Comp X - UP'!B578,'Urban Plastix Holds'!$I$37:$U$705,5,0),0)</f>
        <v>#NAME?</v>
      </c>
      <c r="F578" s="274"/>
      <c r="G578" s="274" t="e">
        <f t="shared" ca="1" si="6"/>
        <v>#NAME?</v>
      </c>
      <c r="H578" s="274">
        <f t="shared" si="7"/>
        <v>0</v>
      </c>
    </row>
    <row r="579" spans="2:8" ht="13.5" customHeight="1">
      <c r="B579" s="1" t="s">
        <v>2210</v>
      </c>
      <c r="C579" s="1" t="s">
        <v>3619</v>
      </c>
      <c r="D579" s="408" t="str">
        <f t="shared" si="9"/>
        <v>14-01</v>
      </c>
      <c r="E579" s="273" t="e">
        <f ca="1">_xludf.IFNA(VLOOKUP('Comp X - UP'!B579,'Urban Plastix Holds'!$I$37:$U$705,6,0),0)</f>
        <v>#NAME?</v>
      </c>
      <c r="F579" s="274"/>
      <c r="G579" s="274" t="e">
        <f t="shared" ca="1" si="6"/>
        <v>#NAME?</v>
      </c>
      <c r="H579" s="274">
        <f t="shared" si="7"/>
        <v>0</v>
      </c>
    </row>
    <row r="580" spans="2:8" ht="13.5" customHeight="1">
      <c r="B580" s="1" t="s">
        <v>2210</v>
      </c>
      <c r="C580" s="1" t="s">
        <v>3619</v>
      </c>
      <c r="D580" s="409" t="str">
        <f t="shared" si="9"/>
        <v>15-12</v>
      </c>
      <c r="E580" s="273" t="e">
        <f ca="1">_xludf.IFNA(VLOOKUP('Comp X - UP'!B580,'Urban Plastix Holds'!$I$37:$U$705,7,0),0)</f>
        <v>#NAME?</v>
      </c>
      <c r="F580" s="274"/>
      <c r="G580" s="274" t="e">
        <f t="shared" ca="1" si="6"/>
        <v>#NAME?</v>
      </c>
      <c r="H580" s="274">
        <f t="shared" si="7"/>
        <v>0</v>
      </c>
    </row>
    <row r="581" spans="2:8" ht="13.5" customHeight="1">
      <c r="B581" s="1" t="s">
        <v>2210</v>
      </c>
      <c r="C581" s="1" t="s">
        <v>3619</v>
      </c>
      <c r="D581" s="410" t="str">
        <f t="shared" si="9"/>
        <v>16-16</v>
      </c>
      <c r="E581" s="273" t="e">
        <f ca="1">_xludf.IFNA(VLOOKUP('Comp X - UP'!B581,'Urban Plastix Holds'!$I$37:$U$705,8,0),0)</f>
        <v>#NAME?</v>
      </c>
      <c r="F581" s="274"/>
      <c r="G581" s="274" t="e">
        <f t="shared" ca="1" si="6"/>
        <v>#NAME?</v>
      </c>
      <c r="H581" s="274">
        <f t="shared" si="7"/>
        <v>0</v>
      </c>
    </row>
    <row r="582" spans="2:8" ht="13.5" customHeight="1">
      <c r="B582" s="1" t="s">
        <v>2210</v>
      </c>
      <c r="C582" s="1" t="s">
        <v>3619</v>
      </c>
      <c r="D582" s="411" t="str">
        <f t="shared" si="9"/>
        <v>13-01</v>
      </c>
      <c r="E582" s="273" t="e">
        <f ca="1">_xludf.IFNA(VLOOKUP('Comp X - UP'!B582,'Urban Plastix Holds'!$I$37:$U$705,9,0),0)</f>
        <v>#NAME?</v>
      </c>
      <c r="F582" s="274"/>
      <c r="G582" s="274" t="e">
        <f t="shared" ca="1" si="6"/>
        <v>#NAME?</v>
      </c>
      <c r="H582" s="274">
        <f t="shared" si="7"/>
        <v>0</v>
      </c>
    </row>
    <row r="583" spans="2:8" ht="13.5" customHeight="1">
      <c r="B583" s="1" t="s">
        <v>2210</v>
      </c>
      <c r="C583" s="1" t="s">
        <v>3619</v>
      </c>
      <c r="D583" s="413" t="str">
        <f t="shared" si="9"/>
        <v>07-13</v>
      </c>
      <c r="E583" s="273" t="e">
        <f ca="1">_xludf.IFNA(VLOOKUP('Comp X - UP'!B583,'Urban Plastix Holds'!$I$37:$U$705,10,0),0)</f>
        <v>#NAME?</v>
      </c>
      <c r="F583" s="274"/>
      <c r="G583" s="274" t="e">
        <f t="shared" ca="1" si="6"/>
        <v>#NAME?</v>
      </c>
      <c r="H583" s="274">
        <f t="shared" si="7"/>
        <v>0</v>
      </c>
    </row>
    <row r="584" spans="2:8" ht="13.5" customHeight="1">
      <c r="B584" s="1" t="s">
        <v>2210</v>
      </c>
      <c r="C584" s="1" t="s">
        <v>3619</v>
      </c>
      <c r="D584" s="414" t="str">
        <f t="shared" si="9"/>
        <v>11-26</v>
      </c>
      <c r="E584" s="273" t="e">
        <f ca="1">_xludf.IFNA(VLOOKUP('Comp X - UP'!B584,'Urban Plastix Holds'!$I$37:$U$705,11,0),0)</f>
        <v>#NAME?</v>
      </c>
      <c r="F584" s="274"/>
      <c r="G584" s="274" t="e">
        <f t="shared" ca="1" si="6"/>
        <v>#NAME?</v>
      </c>
      <c r="H584" s="274">
        <f t="shared" si="7"/>
        <v>0</v>
      </c>
    </row>
    <row r="585" spans="2:8" ht="13.5" customHeight="1">
      <c r="B585" s="1" t="s">
        <v>2210</v>
      </c>
      <c r="C585" s="1" t="s">
        <v>3619</v>
      </c>
      <c r="D585" s="415" t="str">
        <f t="shared" si="9"/>
        <v>18-01</v>
      </c>
      <c r="E585" s="273" t="e">
        <f ca="1">_xludf.IFNA(VLOOKUP('Comp X - UP'!B585,'Urban Plastix Holds'!$I$37:$U$705,12,0),0)</f>
        <v>#NAME?</v>
      </c>
      <c r="F585" s="274"/>
      <c r="G585" s="274" t="e">
        <f t="shared" ca="1" si="6"/>
        <v>#NAME?</v>
      </c>
      <c r="H585" s="274">
        <f t="shared" si="7"/>
        <v>0</v>
      </c>
    </row>
    <row r="586" spans="2:8" ht="13.5" customHeight="1">
      <c r="B586" s="1" t="s">
        <v>2210</v>
      </c>
      <c r="C586" s="1" t="s">
        <v>3619</v>
      </c>
      <c r="D586" s="416" t="str">
        <f t="shared" si="9"/>
        <v>Color Code</v>
      </c>
      <c r="E586" s="273" t="e">
        <f ca="1">_xludf.IFNA(VLOOKUP('Comp X - UP'!B586,'Urban Plastix Holds'!$I$37:$U$705,13,0),0)</f>
        <v>#NAME?</v>
      </c>
      <c r="F586" s="274"/>
      <c r="G586" s="274" t="e">
        <f t="shared" ca="1" si="6"/>
        <v>#NAME?</v>
      </c>
      <c r="H586" s="274">
        <f t="shared" si="7"/>
        <v>0</v>
      </c>
    </row>
    <row r="587" spans="2:8" ht="13.5" customHeight="1">
      <c r="B587" s="1" t="s">
        <v>2215</v>
      </c>
      <c r="C587" s="1" t="s">
        <v>3620</v>
      </c>
      <c r="D587" s="406" t="str">
        <f t="shared" si="9"/>
        <v>11-12</v>
      </c>
      <c r="E587" s="273" t="e">
        <f ca="1">_xludf.IFNA(VLOOKUP('Comp X - UP'!B587,'Urban Plastix Holds'!$I$37:$U$705,5,0),0)</f>
        <v>#NAME?</v>
      </c>
      <c r="F587" s="274"/>
      <c r="G587" s="274" t="e">
        <f t="shared" ca="1" si="6"/>
        <v>#NAME?</v>
      </c>
      <c r="H587" s="274">
        <f t="shared" si="7"/>
        <v>0</v>
      </c>
    </row>
    <row r="588" spans="2:8" ht="13.5" customHeight="1">
      <c r="B588" s="1" t="s">
        <v>2215</v>
      </c>
      <c r="C588" s="1" t="s">
        <v>3620</v>
      </c>
      <c r="D588" s="408" t="str">
        <f t="shared" si="9"/>
        <v>14-01</v>
      </c>
      <c r="E588" s="273" t="e">
        <f ca="1">_xludf.IFNA(VLOOKUP('Comp X - UP'!B588,'Urban Plastix Holds'!$I$37:$U$705,6,0),0)</f>
        <v>#NAME?</v>
      </c>
      <c r="F588" s="274"/>
      <c r="G588" s="274" t="e">
        <f t="shared" ca="1" si="6"/>
        <v>#NAME?</v>
      </c>
      <c r="H588" s="274">
        <f t="shared" si="7"/>
        <v>0</v>
      </c>
    </row>
    <row r="589" spans="2:8" ht="13.5" customHeight="1">
      <c r="B589" s="1" t="s">
        <v>2215</v>
      </c>
      <c r="C589" s="1" t="s">
        <v>3620</v>
      </c>
      <c r="D589" s="409" t="str">
        <f t="shared" si="9"/>
        <v>15-12</v>
      </c>
      <c r="E589" s="273" t="e">
        <f ca="1">_xludf.IFNA(VLOOKUP('Comp X - UP'!B589,'Urban Plastix Holds'!$I$37:$U$705,7,0),0)</f>
        <v>#NAME?</v>
      </c>
      <c r="F589" s="274"/>
      <c r="G589" s="274" t="e">
        <f t="shared" ca="1" si="6"/>
        <v>#NAME?</v>
      </c>
      <c r="H589" s="274">
        <f t="shared" si="7"/>
        <v>0</v>
      </c>
    </row>
    <row r="590" spans="2:8" ht="13.5" customHeight="1">
      <c r="B590" s="1" t="s">
        <v>2215</v>
      </c>
      <c r="C590" s="1" t="s">
        <v>3620</v>
      </c>
      <c r="D590" s="410" t="str">
        <f t="shared" si="9"/>
        <v>16-16</v>
      </c>
      <c r="E590" s="273" t="e">
        <f ca="1">_xludf.IFNA(VLOOKUP('Comp X - UP'!B590,'Urban Plastix Holds'!$I$37:$U$705,8,0),0)</f>
        <v>#NAME?</v>
      </c>
      <c r="F590" s="274"/>
      <c r="G590" s="274" t="e">
        <f t="shared" ca="1" si="6"/>
        <v>#NAME?</v>
      </c>
      <c r="H590" s="274">
        <f t="shared" si="7"/>
        <v>0</v>
      </c>
    </row>
    <row r="591" spans="2:8" ht="13.5" customHeight="1">
      <c r="B591" s="1" t="s">
        <v>2215</v>
      </c>
      <c r="C591" s="1" t="s">
        <v>3620</v>
      </c>
      <c r="D591" s="411" t="str">
        <f t="shared" si="9"/>
        <v>13-01</v>
      </c>
      <c r="E591" s="273" t="e">
        <f ca="1">_xludf.IFNA(VLOOKUP('Comp X - UP'!B591,'Urban Plastix Holds'!$I$37:$U$705,9,0),0)</f>
        <v>#NAME?</v>
      </c>
      <c r="F591" s="274"/>
      <c r="G591" s="274" t="e">
        <f t="shared" ca="1" si="6"/>
        <v>#NAME?</v>
      </c>
      <c r="H591" s="274">
        <f t="shared" si="7"/>
        <v>0</v>
      </c>
    </row>
    <row r="592" spans="2:8" ht="13.5" customHeight="1">
      <c r="B592" s="1" t="s">
        <v>2215</v>
      </c>
      <c r="C592" s="1" t="s">
        <v>3620</v>
      </c>
      <c r="D592" s="413" t="str">
        <f t="shared" si="9"/>
        <v>07-13</v>
      </c>
      <c r="E592" s="273" t="e">
        <f ca="1">_xludf.IFNA(VLOOKUP('Comp X - UP'!B592,'Urban Plastix Holds'!$I$37:$U$705,10,0),0)</f>
        <v>#NAME?</v>
      </c>
      <c r="F592" s="274"/>
      <c r="G592" s="274" t="e">
        <f t="shared" ca="1" si="6"/>
        <v>#NAME?</v>
      </c>
      <c r="H592" s="274">
        <f t="shared" si="7"/>
        <v>0</v>
      </c>
    </row>
    <row r="593" spans="2:8" ht="13.5" customHeight="1">
      <c r="B593" s="1" t="s">
        <v>2215</v>
      </c>
      <c r="C593" s="1" t="s">
        <v>3620</v>
      </c>
      <c r="D593" s="414" t="str">
        <f t="shared" si="9"/>
        <v>11-26</v>
      </c>
      <c r="E593" s="273" t="e">
        <f ca="1">_xludf.IFNA(VLOOKUP('Comp X - UP'!B593,'Urban Plastix Holds'!$I$37:$U$705,11,0),0)</f>
        <v>#NAME?</v>
      </c>
      <c r="F593" s="274"/>
      <c r="G593" s="274" t="e">
        <f t="shared" ca="1" si="6"/>
        <v>#NAME?</v>
      </c>
      <c r="H593" s="274">
        <f t="shared" si="7"/>
        <v>0</v>
      </c>
    </row>
    <row r="594" spans="2:8" ht="13.5" customHeight="1">
      <c r="B594" s="1" t="s">
        <v>2215</v>
      </c>
      <c r="C594" s="1" t="s">
        <v>3620</v>
      </c>
      <c r="D594" s="415" t="str">
        <f t="shared" si="9"/>
        <v>18-01</v>
      </c>
      <c r="E594" s="273" t="e">
        <f ca="1">_xludf.IFNA(VLOOKUP('Comp X - UP'!B594,'Urban Plastix Holds'!$I$37:$U$705,12,0),0)</f>
        <v>#NAME?</v>
      </c>
      <c r="F594" s="274"/>
      <c r="G594" s="274" t="e">
        <f t="shared" ca="1" si="6"/>
        <v>#NAME?</v>
      </c>
      <c r="H594" s="274">
        <f t="shared" si="7"/>
        <v>0</v>
      </c>
    </row>
    <row r="595" spans="2:8" ht="13.5" customHeight="1">
      <c r="B595" s="1" t="s">
        <v>2215</v>
      </c>
      <c r="C595" s="1" t="s">
        <v>3620</v>
      </c>
      <c r="D595" s="416" t="str">
        <f t="shared" si="9"/>
        <v>Color Code</v>
      </c>
      <c r="E595" s="273" t="e">
        <f ca="1">_xludf.IFNA(VLOOKUP('Comp X - UP'!B595,'Urban Plastix Holds'!$I$37:$U$705,13,0),0)</f>
        <v>#NAME?</v>
      </c>
      <c r="F595" s="274"/>
      <c r="G595" s="274" t="e">
        <f t="shared" ca="1" si="6"/>
        <v>#NAME?</v>
      </c>
      <c r="H595" s="274">
        <f t="shared" si="7"/>
        <v>0</v>
      </c>
    </row>
    <row r="596" spans="2:8" ht="13.5" customHeight="1">
      <c r="B596" s="1" t="s">
        <v>2250</v>
      </c>
      <c r="C596" s="1" t="s">
        <v>3621</v>
      </c>
      <c r="D596" s="406" t="str">
        <f t="shared" si="9"/>
        <v>11-12</v>
      </c>
      <c r="E596" s="273" t="e">
        <f ca="1">_xludf.IFNA(VLOOKUP('Comp X - UP'!B596,'Urban Plastix Holds'!$I$37:$U$705,5,0),0)</f>
        <v>#NAME?</v>
      </c>
      <c r="F596" s="274"/>
      <c r="G596" s="274" t="e">
        <f t="shared" ca="1" si="6"/>
        <v>#NAME?</v>
      </c>
      <c r="H596" s="274">
        <f t="shared" si="7"/>
        <v>0</v>
      </c>
    </row>
    <row r="597" spans="2:8" ht="13.5" customHeight="1">
      <c r="B597" s="1" t="s">
        <v>2250</v>
      </c>
      <c r="C597" s="1" t="s">
        <v>3621</v>
      </c>
      <c r="D597" s="408" t="str">
        <f t="shared" si="9"/>
        <v>14-01</v>
      </c>
      <c r="E597" s="273" t="e">
        <f ca="1">_xludf.IFNA(VLOOKUP('Comp X - UP'!B597,'Urban Plastix Holds'!$I$37:$U$705,6,0),0)</f>
        <v>#NAME?</v>
      </c>
      <c r="F597" s="274"/>
      <c r="G597" s="274" t="e">
        <f t="shared" ca="1" si="6"/>
        <v>#NAME?</v>
      </c>
      <c r="H597" s="274">
        <f t="shared" si="7"/>
        <v>0</v>
      </c>
    </row>
    <row r="598" spans="2:8" ht="13.5" customHeight="1">
      <c r="B598" s="1" t="s">
        <v>2250</v>
      </c>
      <c r="C598" s="1" t="s">
        <v>3621</v>
      </c>
      <c r="D598" s="409" t="str">
        <f t="shared" si="9"/>
        <v>15-12</v>
      </c>
      <c r="E598" s="273" t="e">
        <f ca="1">_xludf.IFNA(VLOOKUP('Comp X - UP'!B598,'Urban Plastix Holds'!$I$37:$U$705,7,0),0)</f>
        <v>#NAME?</v>
      </c>
      <c r="F598" s="274"/>
      <c r="G598" s="274" t="e">
        <f t="shared" ca="1" si="6"/>
        <v>#NAME?</v>
      </c>
      <c r="H598" s="274">
        <f t="shared" si="7"/>
        <v>0</v>
      </c>
    </row>
    <row r="599" spans="2:8" ht="13.5" customHeight="1">
      <c r="B599" s="1" t="s">
        <v>2250</v>
      </c>
      <c r="C599" s="1" t="s">
        <v>3621</v>
      </c>
      <c r="D599" s="410" t="str">
        <f t="shared" si="9"/>
        <v>16-16</v>
      </c>
      <c r="E599" s="273" t="e">
        <f ca="1">_xludf.IFNA(VLOOKUP('Comp X - UP'!B599,'Urban Plastix Holds'!$I$37:$U$705,8,0),0)</f>
        <v>#NAME?</v>
      </c>
      <c r="F599" s="274"/>
      <c r="G599" s="274" t="e">
        <f t="shared" ca="1" si="6"/>
        <v>#NAME?</v>
      </c>
      <c r="H599" s="274">
        <f t="shared" si="7"/>
        <v>0</v>
      </c>
    </row>
    <row r="600" spans="2:8" ht="13.5" customHeight="1">
      <c r="B600" s="1" t="s">
        <v>2250</v>
      </c>
      <c r="C600" s="1" t="s">
        <v>3621</v>
      </c>
      <c r="D600" s="411" t="str">
        <f t="shared" si="9"/>
        <v>13-01</v>
      </c>
      <c r="E600" s="273" t="e">
        <f ca="1">_xludf.IFNA(VLOOKUP('Comp X - UP'!B600,'Urban Plastix Holds'!$I$37:$U$705,9,0),0)</f>
        <v>#NAME?</v>
      </c>
      <c r="F600" s="274"/>
      <c r="G600" s="274" t="e">
        <f t="shared" ca="1" si="6"/>
        <v>#NAME?</v>
      </c>
      <c r="H600" s="274">
        <f t="shared" si="7"/>
        <v>0</v>
      </c>
    </row>
    <row r="601" spans="2:8" ht="13.5" customHeight="1">
      <c r="B601" s="1" t="s">
        <v>2250</v>
      </c>
      <c r="C601" s="1" t="s">
        <v>3621</v>
      </c>
      <c r="D601" s="413" t="str">
        <f t="shared" si="9"/>
        <v>07-13</v>
      </c>
      <c r="E601" s="273" t="e">
        <f ca="1">_xludf.IFNA(VLOOKUP('Comp X - UP'!B601,'Urban Plastix Holds'!$I$37:$U$705,10,0),0)</f>
        <v>#NAME?</v>
      </c>
      <c r="F601" s="274"/>
      <c r="G601" s="274" t="e">
        <f t="shared" ca="1" si="6"/>
        <v>#NAME?</v>
      </c>
      <c r="H601" s="274">
        <f t="shared" si="7"/>
        <v>0</v>
      </c>
    </row>
    <row r="602" spans="2:8" ht="13.5" customHeight="1">
      <c r="B602" s="1" t="s">
        <v>2250</v>
      </c>
      <c r="C602" s="1" t="s">
        <v>3621</v>
      </c>
      <c r="D602" s="414" t="str">
        <f t="shared" si="9"/>
        <v>11-26</v>
      </c>
      <c r="E602" s="273" t="e">
        <f ca="1">_xludf.IFNA(VLOOKUP('Comp X - UP'!B602,'Urban Plastix Holds'!$I$37:$U$705,11,0),0)</f>
        <v>#NAME?</v>
      </c>
      <c r="F602" s="274"/>
      <c r="G602" s="274" t="e">
        <f t="shared" ca="1" si="6"/>
        <v>#NAME?</v>
      </c>
      <c r="H602" s="274">
        <f t="shared" si="7"/>
        <v>0</v>
      </c>
    </row>
    <row r="603" spans="2:8" ht="13.5" customHeight="1">
      <c r="B603" s="1" t="s">
        <v>2250</v>
      </c>
      <c r="C603" s="1" t="s">
        <v>3621</v>
      </c>
      <c r="D603" s="415" t="str">
        <f t="shared" si="9"/>
        <v>18-01</v>
      </c>
      <c r="E603" s="273" t="e">
        <f ca="1">_xludf.IFNA(VLOOKUP('Comp X - UP'!B603,'Urban Plastix Holds'!$I$37:$U$705,12,0),0)</f>
        <v>#NAME?</v>
      </c>
      <c r="F603" s="274"/>
      <c r="G603" s="274" t="e">
        <f t="shared" ca="1" si="6"/>
        <v>#NAME?</v>
      </c>
      <c r="H603" s="274">
        <f t="shared" si="7"/>
        <v>0</v>
      </c>
    </row>
    <row r="604" spans="2:8" ht="13.5" customHeight="1">
      <c r="B604" s="1" t="s">
        <v>2250</v>
      </c>
      <c r="C604" s="1" t="s">
        <v>3621</v>
      </c>
      <c r="D604" s="416" t="str">
        <f t="shared" si="9"/>
        <v>Color Code</v>
      </c>
      <c r="E604" s="273" t="e">
        <f ca="1">_xludf.IFNA(VLOOKUP('Comp X - UP'!B604,'Urban Plastix Holds'!$I$37:$U$705,13,0),0)</f>
        <v>#NAME?</v>
      </c>
      <c r="F604" s="274"/>
      <c r="G604" s="274" t="e">
        <f t="shared" ca="1" si="6"/>
        <v>#NAME?</v>
      </c>
      <c r="H604" s="274">
        <f t="shared" si="7"/>
        <v>0</v>
      </c>
    </row>
    <row r="605" spans="2:8" ht="13.5" customHeight="1">
      <c r="B605" s="1" t="s">
        <v>3622</v>
      </c>
      <c r="C605" s="1" t="s">
        <v>3623</v>
      </c>
      <c r="D605" s="406" t="str">
        <f t="shared" si="9"/>
        <v>11-12</v>
      </c>
      <c r="E605" s="273" t="e">
        <f ca="1">_xludf.IFNA(VLOOKUP('Comp X - UP'!B605,'Urban Plastix Holds'!$I$37:$U$705,5,0),0)</f>
        <v>#NAME?</v>
      </c>
      <c r="F605" s="274"/>
      <c r="G605" s="274" t="e">
        <f t="shared" ca="1" si="6"/>
        <v>#NAME?</v>
      </c>
      <c r="H605" s="274">
        <f t="shared" si="7"/>
        <v>0</v>
      </c>
    </row>
    <row r="606" spans="2:8" ht="13.5" customHeight="1">
      <c r="B606" s="1" t="s">
        <v>3622</v>
      </c>
      <c r="C606" s="1" t="s">
        <v>3623</v>
      </c>
      <c r="D606" s="408" t="str">
        <f t="shared" si="9"/>
        <v>14-01</v>
      </c>
      <c r="E606" s="273" t="e">
        <f ca="1">_xludf.IFNA(VLOOKUP('Comp X - UP'!B606,'Urban Plastix Holds'!$I$37:$U$705,6,0),0)</f>
        <v>#NAME?</v>
      </c>
      <c r="F606" s="274"/>
      <c r="G606" s="274" t="e">
        <f t="shared" ca="1" si="6"/>
        <v>#NAME?</v>
      </c>
      <c r="H606" s="274">
        <f t="shared" si="7"/>
        <v>0</v>
      </c>
    </row>
    <row r="607" spans="2:8" ht="13.5" customHeight="1">
      <c r="B607" s="1" t="s">
        <v>3622</v>
      </c>
      <c r="C607" s="1" t="s">
        <v>3623</v>
      </c>
      <c r="D607" s="409" t="str">
        <f t="shared" si="9"/>
        <v>15-12</v>
      </c>
      <c r="E607" s="273" t="e">
        <f ca="1">_xludf.IFNA(VLOOKUP('Comp X - UP'!B607,'Urban Plastix Holds'!$I$37:$U$705,7,0),0)</f>
        <v>#NAME?</v>
      </c>
      <c r="F607" s="274"/>
      <c r="G607" s="274" t="e">
        <f t="shared" ca="1" si="6"/>
        <v>#NAME?</v>
      </c>
      <c r="H607" s="274">
        <f t="shared" si="7"/>
        <v>0</v>
      </c>
    </row>
    <row r="608" spans="2:8" ht="13.5" customHeight="1">
      <c r="B608" s="1" t="s">
        <v>3622</v>
      </c>
      <c r="C608" s="1" t="s">
        <v>3623</v>
      </c>
      <c r="D608" s="410" t="str">
        <f t="shared" si="9"/>
        <v>16-16</v>
      </c>
      <c r="E608" s="273" t="e">
        <f ca="1">_xludf.IFNA(VLOOKUP('Comp X - UP'!B608,'Urban Plastix Holds'!$I$37:$U$705,8,0),0)</f>
        <v>#NAME?</v>
      </c>
      <c r="F608" s="274"/>
      <c r="G608" s="274" t="e">
        <f t="shared" ca="1" si="6"/>
        <v>#NAME?</v>
      </c>
      <c r="H608" s="274">
        <f t="shared" si="7"/>
        <v>0</v>
      </c>
    </row>
    <row r="609" spans="2:8" ht="13.5" customHeight="1">
      <c r="B609" s="1" t="s">
        <v>3622</v>
      </c>
      <c r="C609" s="1" t="s">
        <v>3623</v>
      </c>
      <c r="D609" s="411" t="str">
        <f t="shared" si="9"/>
        <v>13-01</v>
      </c>
      <c r="E609" s="273" t="e">
        <f ca="1">_xludf.IFNA(VLOOKUP('Comp X - UP'!B609,'Urban Plastix Holds'!$I$37:$U$705,9,0),0)</f>
        <v>#NAME?</v>
      </c>
      <c r="F609" s="274"/>
      <c r="G609" s="274" t="e">
        <f t="shared" ca="1" si="6"/>
        <v>#NAME?</v>
      </c>
      <c r="H609" s="274">
        <f t="shared" si="7"/>
        <v>0</v>
      </c>
    </row>
    <row r="610" spans="2:8" ht="13.5" customHeight="1">
      <c r="B610" s="1" t="s">
        <v>3622</v>
      </c>
      <c r="C610" s="1" t="s">
        <v>3623</v>
      </c>
      <c r="D610" s="413" t="str">
        <f t="shared" si="9"/>
        <v>07-13</v>
      </c>
      <c r="E610" s="273" t="e">
        <f ca="1">_xludf.IFNA(VLOOKUP('Comp X - UP'!B610,'Urban Plastix Holds'!$I$37:$U$705,10,0),0)</f>
        <v>#NAME?</v>
      </c>
      <c r="F610" s="274"/>
      <c r="G610" s="274" t="e">
        <f t="shared" ca="1" si="6"/>
        <v>#NAME?</v>
      </c>
      <c r="H610" s="274">
        <f t="shared" si="7"/>
        <v>0</v>
      </c>
    </row>
    <row r="611" spans="2:8" ht="13.5" customHeight="1">
      <c r="B611" s="1" t="s">
        <v>3622</v>
      </c>
      <c r="C611" s="1" t="s">
        <v>3623</v>
      </c>
      <c r="D611" s="414" t="str">
        <f t="shared" si="9"/>
        <v>11-26</v>
      </c>
      <c r="E611" s="273" t="e">
        <f ca="1">_xludf.IFNA(VLOOKUP('Comp X - UP'!B611,'Urban Plastix Holds'!$I$37:$U$705,11,0),0)</f>
        <v>#NAME?</v>
      </c>
      <c r="F611" s="274"/>
      <c r="G611" s="274" t="e">
        <f t="shared" ca="1" si="6"/>
        <v>#NAME?</v>
      </c>
      <c r="H611" s="274">
        <f t="shared" si="7"/>
        <v>0</v>
      </c>
    </row>
    <row r="612" spans="2:8" ht="13.5" customHeight="1">
      <c r="B612" s="1" t="s">
        <v>3622</v>
      </c>
      <c r="C612" s="1" t="s">
        <v>3623</v>
      </c>
      <c r="D612" s="415" t="str">
        <f t="shared" si="9"/>
        <v>18-01</v>
      </c>
      <c r="E612" s="273" t="e">
        <f ca="1">_xludf.IFNA(VLOOKUP('Comp X - UP'!B612,'Urban Plastix Holds'!$I$37:$U$705,12,0),0)</f>
        <v>#NAME?</v>
      </c>
      <c r="F612" s="274"/>
      <c r="G612" s="274" t="e">
        <f t="shared" ca="1" si="6"/>
        <v>#NAME?</v>
      </c>
      <c r="H612" s="274">
        <f t="shared" si="7"/>
        <v>0</v>
      </c>
    </row>
    <row r="613" spans="2:8" ht="13.5" customHeight="1">
      <c r="B613" s="1" t="s">
        <v>3622</v>
      </c>
      <c r="C613" s="1" t="s">
        <v>3623</v>
      </c>
      <c r="D613" s="416" t="str">
        <f t="shared" si="9"/>
        <v>Color Code</v>
      </c>
      <c r="E613" s="273" t="e">
        <f ca="1">_xludf.IFNA(VLOOKUP('Comp X - UP'!B613,'Urban Plastix Holds'!$I$37:$U$705,13,0),0)</f>
        <v>#NAME?</v>
      </c>
      <c r="F613" s="274"/>
      <c r="G613" s="274" t="e">
        <f t="shared" ca="1" si="6"/>
        <v>#NAME?</v>
      </c>
      <c r="H613" s="274">
        <f t="shared" si="7"/>
        <v>0</v>
      </c>
    </row>
    <row r="614" spans="2:8" ht="13.5" customHeight="1">
      <c r="B614" s="1" t="s">
        <v>2223</v>
      </c>
      <c r="C614" s="1" t="s">
        <v>3624</v>
      </c>
      <c r="D614" s="406" t="str">
        <f t="shared" si="9"/>
        <v>11-12</v>
      </c>
      <c r="E614" s="273" t="e">
        <f ca="1">_xludf.IFNA(VLOOKUP('Comp X - UP'!B614,'Urban Plastix Holds'!$I$37:$U$705,5,0),0)</f>
        <v>#NAME?</v>
      </c>
      <c r="F614" s="274"/>
      <c r="G614" s="274" t="e">
        <f t="shared" ca="1" si="6"/>
        <v>#NAME?</v>
      </c>
      <c r="H614" s="274">
        <f t="shared" si="7"/>
        <v>0</v>
      </c>
    </row>
    <row r="615" spans="2:8" ht="13.5" customHeight="1">
      <c r="B615" s="1" t="s">
        <v>2223</v>
      </c>
      <c r="C615" s="1" t="s">
        <v>3624</v>
      </c>
      <c r="D615" s="408" t="str">
        <f t="shared" si="9"/>
        <v>14-01</v>
      </c>
      <c r="E615" s="273" t="e">
        <f ca="1">_xludf.IFNA(VLOOKUP('Comp X - UP'!B615,'Urban Plastix Holds'!$I$37:$U$705,6,0),0)</f>
        <v>#NAME?</v>
      </c>
      <c r="F615" s="274"/>
      <c r="G615" s="274" t="e">
        <f t="shared" ca="1" si="6"/>
        <v>#NAME?</v>
      </c>
      <c r="H615" s="274">
        <f t="shared" si="7"/>
        <v>0</v>
      </c>
    </row>
    <row r="616" spans="2:8" ht="13.5" customHeight="1">
      <c r="B616" s="1" t="s">
        <v>2223</v>
      </c>
      <c r="C616" s="1" t="s">
        <v>3624</v>
      </c>
      <c r="D616" s="409" t="str">
        <f t="shared" si="9"/>
        <v>15-12</v>
      </c>
      <c r="E616" s="273" t="e">
        <f ca="1">_xludf.IFNA(VLOOKUP('Comp X - UP'!B616,'Urban Plastix Holds'!$I$37:$U$705,7,0),0)</f>
        <v>#NAME?</v>
      </c>
      <c r="F616" s="274"/>
      <c r="G616" s="274" t="e">
        <f t="shared" ca="1" si="6"/>
        <v>#NAME?</v>
      </c>
      <c r="H616" s="274">
        <f t="shared" si="7"/>
        <v>0</v>
      </c>
    </row>
    <row r="617" spans="2:8" ht="13.5" customHeight="1">
      <c r="B617" s="1" t="s">
        <v>2223</v>
      </c>
      <c r="C617" s="1" t="s">
        <v>3624</v>
      </c>
      <c r="D617" s="410" t="str">
        <f t="shared" si="9"/>
        <v>16-16</v>
      </c>
      <c r="E617" s="273" t="e">
        <f ca="1">_xludf.IFNA(VLOOKUP('Comp X - UP'!B617,'Urban Plastix Holds'!$I$37:$U$705,8,0),0)</f>
        <v>#NAME?</v>
      </c>
      <c r="F617" s="274"/>
      <c r="G617" s="274" t="e">
        <f t="shared" ca="1" si="6"/>
        <v>#NAME?</v>
      </c>
      <c r="H617" s="274">
        <f t="shared" si="7"/>
        <v>0</v>
      </c>
    </row>
    <row r="618" spans="2:8" ht="13.5" customHeight="1">
      <c r="B618" s="1" t="s">
        <v>2223</v>
      </c>
      <c r="C618" s="1" t="s">
        <v>3624</v>
      </c>
      <c r="D618" s="411" t="str">
        <f t="shared" si="9"/>
        <v>13-01</v>
      </c>
      <c r="E618" s="273" t="e">
        <f ca="1">_xludf.IFNA(VLOOKUP('Comp X - UP'!B618,'Urban Plastix Holds'!$I$37:$U$705,9,0),0)</f>
        <v>#NAME?</v>
      </c>
      <c r="F618" s="274"/>
      <c r="G618" s="274" t="e">
        <f t="shared" ca="1" si="6"/>
        <v>#NAME?</v>
      </c>
      <c r="H618" s="274">
        <f t="shared" si="7"/>
        <v>0</v>
      </c>
    </row>
    <row r="619" spans="2:8" ht="13.5" customHeight="1">
      <c r="B619" s="1" t="s">
        <v>2223</v>
      </c>
      <c r="C619" s="1" t="s">
        <v>3624</v>
      </c>
      <c r="D619" s="413" t="str">
        <f t="shared" si="9"/>
        <v>07-13</v>
      </c>
      <c r="E619" s="273" t="e">
        <f ca="1">_xludf.IFNA(VLOOKUP('Comp X - UP'!B619,'Urban Plastix Holds'!$I$37:$U$705,10,0),0)</f>
        <v>#NAME?</v>
      </c>
      <c r="F619" s="274"/>
      <c r="G619" s="274" t="e">
        <f t="shared" ca="1" si="6"/>
        <v>#NAME?</v>
      </c>
      <c r="H619" s="274">
        <f t="shared" si="7"/>
        <v>0</v>
      </c>
    </row>
    <row r="620" spans="2:8" ht="13.5" customHeight="1">
      <c r="B620" s="1" t="s">
        <v>2223</v>
      </c>
      <c r="C620" s="1" t="s">
        <v>3624</v>
      </c>
      <c r="D620" s="414" t="str">
        <f t="shared" si="9"/>
        <v>11-26</v>
      </c>
      <c r="E620" s="273" t="e">
        <f ca="1">_xludf.IFNA(VLOOKUP('Comp X - UP'!B620,'Urban Plastix Holds'!$I$37:$U$705,11,0),0)</f>
        <v>#NAME?</v>
      </c>
      <c r="F620" s="274"/>
      <c r="G620" s="274" t="e">
        <f t="shared" ca="1" si="6"/>
        <v>#NAME?</v>
      </c>
      <c r="H620" s="274">
        <f t="shared" si="7"/>
        <v>0</v>
      </c>
    </row>
    <row r="621" spans="2:8" ht="13.5" customHeight="1">
      <c r="B621" s="1" t="s">
        <v>2223</v>
      </c>
      <c r="C621" s="1" t="s">
        <v>3624</v>
      </c>
      <c r="D621" s="415" t="str">
        <f t="shared" si="9"/>
        <v>18-01</v>
      </c>
      <c r="E621" s="273" t="e">
        <f ca="1">_xludf.IFNA(VLOOKUP('Comp X - UP'!B621,'Urban Plastix Holds'!$I$37:$U$705,12,0),0)</f>
        <v>#NAME?</v>
      </c>
      <c r="F621" s="274"/>
      <c r="G621" s="274" t="e">
        <f t="shared" ca="1" si="6"/>
        <v>#NAME?</v>
      </c>
      <c r="H621" s="274">
        <f t="shared" si="7"/>
        <v>0</v>
      </c>
    </row>
    <row r="622" spans="2:8" ht="13.5" customHeight="1">
      <c r="B622" s="1" t="s">
        <v>2223</v>
      </c>
      <c r="C622" s="1" t="s">
        <v>3624</v>
      </c>
      <c r="D622" s="416" t="str">
        <f t="shared" si="9"/>
        <v>Color Code</v>
      </c>
      <c r="E622" s="273" t="e">
        <f ca="1">_xludf.IFNA(VLOOKUP('Comp X - UP'!B622,'Urban Plastix Holds'!$I$37:$U$705,13,0),0)</f>
        <v>#NAME?</v>
      </c>
      <c r="F622" s="274"/>
      <c r="G622" s="274" t="e">
        <f t="shared" ca="1" si="6"/>
        <v>#NAME?</v>
      </c>
      <c r="H622" s="274">
        <f t="shared" si="7"/>
        <v>0</v>
      </c>
    </row>
    <row r="623" spans="2:8" ht="13.5" customHeight="1">
      <c r="B623" s="1" t="s">
        <v>2278</v>
      </c>
      <c r="C623" s="1" t="s">
        <v>3625</v>
      </c>
      <c r="D623" s="406" t="str">
        <f t="shared" ref="D623:D640" si="10">D578</f>
        <v>11-12</v>
      </c>
      <c r="E623" s="273" t="e">
        <f ca="1">_xludf.IFNA(VLOOKUP('Comp X - UP'!B623,'Urban Plastix Holds'!$I$37:$U$705,5,0),0)</f>
        <v>#NAME?</v>
      </c>
      <c r="F623" s="274"/>
      <c r="G623" s="274" t="e">
        <f t="shared" ca="1" si="6"/>
        <v>#NAME?</v>
      </c>
      <c r="H623" s="274">
        <f t="shared" si="7"/>
        <v>0</v>
      </c>
    </row>
    <row r="624" spans="2:8" ht="13.5" customHeight="1">
      <c r="B624" s="1" t="s">
        <v>2278</v>
      </c>
      <c r="C624" s="1" t="s">
        <v>3625</v>
      </c>
      <c r="D624" s="408" t="str">
        <f t="shared" si="10"/>
        <v>14-01</v>
      </c>
      <c r="E624" s="273" t="e">
        <f ca="1">_xludf.IFNA(VLOOKUP('Comp X - UP'!B624,'Urban Plastix Holds'!$I$37:$U$705,6,0),0)</f>
        <v>#NAME?</v>
      </c>
      <c r="F624" s="274"/>
      <c r="G624" s="274" t="e">
        <f t="shared" ca="1" si="6"/>
        <v>#NAME?</v>
      </c>
      <c r="H624" s="274">
        <f t="shared" si="7"/>
        <v>0</v>
      </c>
    </row>
    <row r="625" spans="2:8" ht="13.5" customHeight="1">
      <c r="B625" s="1" t="s">
        <v>2278</v>
      </c>
      <c r="C625" s="1" t="s">
        <v>3625</v>
      </c>
      <c r="D625" s="409" t="str">
        <f t="shared" si="10"/>
        <v>15-12</v>
      </c>
      <c r="E625" s="273" t="e">
        <f ca="1">_xludf.IFNA(VLOOKUP('Comp X - UP'!B625,'Urban Plastix Holds'!$I$37:$U$705,7,0),0)</f>
        <v>#NAME?</v>
      </c>
      <c r="F625" s="274"/>
      <c r="G625" s="274" t="e">
        <f t="shared" ca="1" si="6"/>
        <v>#NAME?</v>
      </c>
      <c r="H625" s="274">
        <f t="shared" si="7"/>
        <v>0</v>
      </c>
    </row>
    <row r="626" spans="2:8" ht="13.5" customHeight="1">
      <c r="B626" s="1" t="s">
        <v>2278</v>
      </c>
      <c r="C626" s="1" t="s">
        <v>3625</v>
      </c>
      <c r="D626" s="410" t="str">
        <f t="shared" si="10"/>
        <v>16-16</v>
      </c>
      <c r="E626" s="273" t="e">
        <f ca="1">_xludf.IFNA(VLOOKUP('Comp X - UP'!B626,'Urban Plastix Holds'!$I$37:$U$705,8,0),0)</f>
        <v>#NAME?</v>
      </c>
      <c r="F626" s="274"/>
      <c r="G626" s="274" t="e">
        <f t="shared" ca="1" si="6"/>
        <v>#NAME?</v>
      </c>
      <c r="H626" s="274">
        <f t="shared" si="7"/>
        <v>0</v>
      </c>
    </row>
    <row r="627" spans="2:8" ht="13.5" customHeight="1">
      <c r="B627" s="1" t="s">
        <v>2278</v>
      </c>
      <c r="C627" s="1" t="s">
        <v>3625</v>
      </c>
      <c r="D627" s="411" t="str">
        <f t="shared" si="10"/>
        <v>13-01</v>
      </c>
      <c r="E627" s="273" t="e">
        <f ca="1">_xludf.IFNA(VLOOKUP('Comp X - UP'!B627,'Urban Plastix Holds'!$I$37:$U$705,9,0),0)</f>
        <v>#NAME?</v>
      </c>
      <c r="F627" s="274"/>
      <c r="G627" s="274" t="e">
        <f t="shared" ca="1" si="6"/>
        <v>#NAME?</v>
      </c>
      <c r="H627" s="274">
        <f t="shared" si="7"/>
        <v>0</v>
      </c>
    </row>
    <row r="628" spans="2:8" ht="13.5" customHeight="1">
      <c r="B628" s="1" t="s">
        <v>2278</v>
      </c>
      <c r="C628" s="1" t="s">
        <v>3625</v>
      </c>
      <c r="D628" s="413" t="str">
        <f t="shared" si="10"/>
        <v>07-13</v>
      </c>
      <c r="E628" s="273" t="e">
        <f ca="1">_xludf.IFNA(VLOOKUP('Comp X - UP'!B628,'Urban Plastix Holds'!$I$37:$U$705,10,0),0)</f>
        <v>#NAME?</v>
      </c>
      <c r="F628" s="274"/>
      <c r="G628" s="274" t="e">
        <f t="shared" ca="1" si="6"/>
        <v>#NAME?</v>
      </c>
      <c r="H628" s="274">
        <f t="shared" si="7"/>
        <v>0</v>
      </c>
    </row>
    <row r="629" spans="2:8" ht="13.5" customHeight="1">
      <c r="B629" s="1" t="s">
        <v>2278</v>
      </c>
      <c r="C629" s="1" t="s">
        <v>3625</v>
      </c>
      <c r="D629" s="414" t="str">
        <f t="shared" si="10"/>
        <v>11-26</v>
      </c>
      <c r="E629" s="273" t="e">
        <f ca="1">_xludf.IFNA(VLOOKUP('Comp X - UP'!B629,'Urban Plastix Holds'!$I$37:$U$705,11,0),0)</f>
        <v>#NAME?</v>
      </c>
      <c r="F629" s="274"/>
      <c r="G629" s="274" t="e">
        <f t="shared" ca="1" si="6"/>
        <v>#NAME?</v>
      </c>
      <c r="H629" s="274">
        <f t="shared" si="7"/>
        <v>0</v>
      </c>
    </row>
    <row r="630" spans="2:8" ht="13.5" customHeight="1">
      <c r="B630" s="1" t="s">
        <v>2278</v>
      </c>
      <c r="C630" s="1" t="s">
        <v>3625</v>
      </c>
      <c r="D630" s="415" t="str">
        <f t="shared" si="10"/>
        <v>18-01</v>
      </c>
      <c r="E630" s="273" t="e">
        <f ca="1">_xludf.IFNA(VLOOKUP('Comp X - UP'!B630,'Urban Plastix Holds'!$I$37:$U$705,12,0),0)</f>
        <v>#NAME?</v>
      </c>
      <c r="F630" s="274"/>
      <c r="G630" s="274" t="e">
        <f t="shared" ca="1" si="6"/>
        <v>#NAME?</v>
      </c>
      <c r="H630" s="274">
        <f t="shared" si="7"/>
        <v>0</v>
      </c>
    </row>
    <row r="631" spans="2:8" ht="13.5" customHeight="1">
      <c r="B631" s="1" t="s">
        <v>2278</v>
      </c>
      <c r="C631" s="1" t="s">
        <v>3625</v>
      </c>
      <c r="D631" s="416" t="str">
        <f t="shared" si="10"/>
        <v>Color Code</v>
      </c>
      <c r="E631" s="273" t="e">
        <f ca="1">_xludf.IFNA(VLOOKUP('Comp X - UP'!B631,'Urban Plastix Holds'!$I$37:$U$705,13,0),0)</f>
        <v>#NAME?</v>
      </c>
      <c r="F631" s="274"/>
      <c r="G631" s="274" t="e">
        <f t="shared" ca="1" si="6"/>
        <v>#NAME?</v>
      </c>
      <c r="H631" s="274">
        <f t="shared" si="7"/>
        <v>0</v>
      </c>
    </row>
    <row r="632" spans="2:8" ht="13.5" customHeight="1">
      <c r="B632" s="1" t="s">
        <v>2283</v>
      </c>
      <c r="C632" s="1" t="s">
        <v>3626</v>
      </c>
      <c r="D632" s="406" t="str">
        <f t="shared" si="10"/>
        <v>11-12</v>
      </c>
      <c r="E632" s="273" t="e">
        <f ca="1">_xludf.IFNA(VLOOKUP('Comp X - UP'!B632,'Urban Plastix Holds'!$I$37:$U$705,5,0),0)</f>
        <v>#NAME?</v>
      </c>
      <c r="F632" s="274"/>
      <c r="G632" s="274" t="e">
        <f t="shared" ca="1" si="6"/>
        <v>#NAME?</v>
      </c>
      <c r="H632" s="274">
        <f t="shared" si="7"/>
        <v>0</v>
      </c>
    </row>
    <row r="633" spans="2:8" ht="13.5" customHeight="1">
      <c r="B633" s="1" t="s">
        <v>2283</v>
      </c>
      <c r="C633" s="1" t="s">
        <v>3626</v>
      </c>
      <c r="D633" s="408" t="str">
        <f t="shared" si="10"/>
        <v>14-01</v>
      </c>
      <c r="E633" s="273" t="e">
        <f ca="1">_xludf.IFNA(VLOOKUP('Comp X - UP'!B633,'Urban Plastix Holds'!$I$37:$U$705,6,0),0)</f>
        <v>#NAME?</v>
      </c>
      <c r="F633" s="274"/>
      <c r="G633" s="274" t="e">
        <f t="shared" ca="1" si="6"/>
        <v>#NAME?</v>
      </c>
      <c r="H633" s="274">
        <f t="shared" si="7"/>
        <v>0</v>
      </c>
    </row>
    <row r="634" spans="2:8" ht="13.5" customHeight="1">
      <c r="B634" s="1" t="s">
        <v>2283</v>
      </c>
      <c r="C634" s="1" t="s">
        <v>3626</v>
      </c>
      <c r="D634" s="409" t="str">
        <f t="shared" si="10"/>
        <v>15-12</v>
      </c>
      <c r="E634" s="273" t="e">
        <f ca="1">_xludf.IFNA(VLOOKUP('Comp X - UP'!B634,'Urban Plastix Holds'!$I$37:$U$705,7,0),0)</f>
        <v>#NAME?</v>
      </c>
      <c r="F634" s="274"/>
      <c r="G634" s="274" t="e">
        <f t="shared" ca="1" si="6"/>
        <v>#NAME?</v>
      </c>
      <c r="H634" s="274">
        <f t="shared" si="7"/>
        <v>0</v>
      </c>
    </row>
    <row r="635" spans="2:8" ht="13.5" customHeight="1">
      <c r="B635" s="1" t="s">
        <v>2283</v>
      </c>
      <c r="C635" s="1" t="s">
        <v>3626</v>
      </c>
      <c r="D635" s="410" t="str">
        <f t="shared" si="10"/>
        <v>16-16</v>
      </c>
      <c r="E635" s="273" t="e">
        <f ca="1">_xludf.IFNA(VLOOKUP('Comp X - UP'!B635,'Urban Plastix Holds'!$I$37:$U$705,8,0),0)</f>
        <v>#NAME?</v>
      </c>
      <c r="F635" s="274"/>
      <c r="G635" s="274" t="e">
        <f t="shared" ca="1" si="6"/>
        <v>#NAME?</v>
      </c>
      <c r="H635" s="274">
        <f t="shared" si="7"/>
        <v>0</v>
      </c>
    </row>
    <row r="636" spans="2:8" ht="13.5" customHeight="1">
      <c r="B636" s="1" t="s">
        <v>2283</v>
      </c>
      <c r="C636" s="1" t="s">
        <v>3626</v>
      </c>
      <c r="D636" s="411" t="str">
        <f t="shared" si="10"/>
        <v>13-01</v>
      </c>
      <c r="E636" s="273" t="e">
        <f ca="1">_xludf.IFNA(VLOOKUP('Comp X - UP'!B636,'Urban Plastix Holds'!$I$37:$U$705,9,0),0)</f>
        <v>#NAME?</v>
      </c>
      <c r="F636" s="274"/>
      <c r="G636" s="274" t="e">
        <f t="shared" ca="1" si="6"/>
        <v>#NAME?</v>
      </c>
      <c r="H636" s="274">
        <f t="shared" si="7"/>
        <v>0</v>
      </c>
    </row>
    <row r="637" spans="2:8" ht="13.5" customHeight="1">
      <c r="B637" s="1" t="s">
        <v>2283</v>
      </c>
      <c r="C637" s="1" t="s">
        <v>3626</v>
      </c>
      <c r="D637" s="413" t="str">
        <f t="shared" si="10"/>
        <v>07-13</v>
      </c>
      <c r="E637" s="273" t="e">
        <f ca="1">_xludf.IFNA(VLOOKUP('Comp X - UP'!B637,'Urban Plastix Holds'!$I$37:$U$705,10,0),0)</f>
        <v>#NAME?</v>
      </c>
      <c r="F637" s="274"/>
      <c r="G637" s="274" t="e">
        <f t="shared" ca="1" si="6"/>
        <v>#NAME?</v>
      </c>
      <c r="H637" s="274">
        <f t="shared" si="7"/>
        <v>0</v>
      </c>
    </row>
    <row r="638" spans="2:8" ht="13.5" customHeight="1">
      <c r="B638" s="1" t="s">
        <v>2283</v>
      </c>
      <c r="C638" s="1" t="s">
        <v>3626</v>
      </c>
      <c r="D638" s="414" t="str">
        <f t="shared" si="10"/>
        <v>11-26</v>
      </c>
      <c r="E638" s="273" t="e">
        <f ca="1">_xludf.IFNA(VLOOKUP('Comp X - UP'!B638,'Urban Plastix Holds'!$I$37:$U$705,11,0),0)</f>
        <v>#NAME?</v>
      </c>
      <c r="F638" s="274"/>
      <c r="G638" s="274" t="e">
        <f t="shared" ca="1" si="6"/>
        <v>#NAME?</v>
      </c>
      <c r="H638" s="274">
        <f t="shared" si="7"/>
        <v>0</v>
      </c>
    </row>
    <row r="639" spans="2:8" ht="13.5" customHeight="1">
      <c r="B639" s="1" t="s">
        <v>2283</v>
      </c>
      <c r="C639" s="1" t="s">
        <v>3626</v>
      </c>
      <c r="D639" s="415" t="str">
        <f t="shared" si="10"/>
        <v>18-01</v>
      </c>
      <c r="E639" s="273" t="e">
        <f ca="1">_xludf.IFNA(VLOOKUP('Comp X - UP'!B639,'Urban Plastix Holds'!$I$37:$U$705,12,0),0)</f>
        <v>#NAME?</v>
      </c>
      <c r="F639" s="274"/>
      <c r="G639" s="274" t="e">
        <f t="shared" ca="1" si="6"/>
        <v>#NAME?</v>
      </c>
      <c r="H639" s="274">
        <f t="shared" si="7"/>
        <v>0</v>
      </c>
    </row>
    <row r="640" spans="2:8" ht="13.5" customHeight="1">
      <c r="B640" s="1" t="s">
        <v>2283</v>
      </c>
      <c r="C640" s="1" t="s">
        <v>3626</v>
      </c>
      <c r="D640" s="416" t="str">
        <f t="shared" si="10"/>
        <v>Color Code</v>
      </c>
      <c r="E640" s="273" t="e">
        <f ca="1">_xludf.IFNA(VLOOKUP('Comp X - UP'!B640,'Urban Plastix Holds'!$I$37:$U$705,13,0),0)</f>
        <v>#NAME?</v>
      </c>
      <c r="F640" s="274"/>
      <c r="G640" s="274" t="e">
        <f t="shared" ca="1" si="6"/>
        <v>#NAME?</v>
      </c>
      <c r="H640" s="274">
        <f t="shared" si="7"/>
        <v>0</v>
      </c>
    </row>
    <row r="641" spans="2:8" ht="13.5" customHeight="1">
      <c r="B641" s="1" t="s">
        <v>2251</v>
      </c>
      <c r="C641" s="1" t="s">
        <v>3627</v>
      </c>
      <c r="D641" s="406" t="str">
        <f t="shared" ref="D641:D712" si="11">D569</f>
        <v>11-12</v>
      </c>
      <c r="E641" s="273" t="e">
        <f ca="1">_xludf.IFNA(VLOOKUP('Comp X - UP'!B641,'Urban Plastix Holds'!$I$37:$U$705,5,0),0)</f>
        <v>#NAME?</v>
      </c>
      <c r="F641" s="274"/>
      <c r="G641" s="274" t="e">
        <f t="shared" ca="1" si="6"/>
        <v>#NAME?</v>
      </c>
      <c r="H641" s="274">
        <f t="shared" si="7"/>
        <v>0</v>
      </c>
    </row>
    <row r="642" spans="2:8" ht="13.5" customHeight="1">
      <c r="B642" s="1" t="s">
        <v>2251</v>
      </c>
      <c r="C642" s="1" t="s">
        <v>3627</v>
      </c>
      <c r="D642" s="408" t="str">
        <f t="shared" si="11"/>
        <v>14-01</v>
      </c>
      <c r="E642" s="273" t="e">
        <f ca="1">_xludf.IFNA(VLOOKUP('Comp X - UP'!B642,'Urban Plastix Holds'!$I$37:$U$705,6,0),0)</f>
        <v>#NAME?</v>
      </c>
      <c r="F642" s="274"/>
      <c r="G642" s="274" t="e">
        <f t="shared" ca="1" si="6"/>
        <v>#NAME?</v>
      </c>
      <c r="H642" s="274">
        <f t="shared" si="7"/>
        <v>0</v>
      </c>
    </row>
    <row r="643" spans="2:8" ht="13.5" customHeight="1">
      <c r="B643" s="1" t="s">
        <v>2251</v>
      </c>
      <c r="C643" s="1" t="s">
        <v>3627</v>
      </c>
      <c r="D643" s="409" t="str">
        <f t="shared" si="11"/>
        <v>15-12</v>
      </c>
      <c r="E643" s="273" t="e">
        <f ca="1">_xludf.IFNA(VLOOKUP('Comp X - UP'!B643,'Urban Plastix Holds'!$I$37:$U$705,7,0),0)</f>
        <v>#NAME?</v>
      </c>
      <c r="F643" s="274"/>
      <c r="G643" s="274" t="e">
        <f t="shared" ca="1" si="6"/>
        <v>#NAME?</v>
      </c>
      <c r="H643" s="274">
        <f t="shared" si="7"/>
        <v>0</v>
      </c>
    </row>
    <row r="644" spans="2:8" ht="13.5" customHeight="1">
      <c r="B644" s="1" t="s">
        <v>2251</v>
      </c>
      <c r="C644" s="1" t="s">
        <v>3627</v>
      </c>
      <c r="D644" s="410" t="str">
        <f t="shared" si="11"/>
        <v>16-16</v>
      </c>
      <c r="E644" s="273" t="e">
        <f ca="1">_xludf.IFNA(VLOOKUP('Comp X - UP'!B644,'Urban Plastix Holds'!$I$37:$U$705,8,0),0)</f>
        <v>#NAME?</v>
      </c>
      <c r="F644" s="274"/>
      <c r="G644" s="274" t="e">
        <f t="shared" ca="1" si="6"/>
        <v>#NAME?</v>
      </c>
      <c r="H644" s="274">
        <f t="shared" si="7"/>
        <v>0</v>
      </c>
    </row>
    <row r="645" spans="2:8" ht="13.5" customHeight="1">
      <c r="B645" s="1" t="s">
        <v>2251</v>
      </c>
      <c r="C645" s="1" t="s">
        <v>3627</v>
      </c>
      <c r="D645" s="411" t="str">
        <f t="shared" si="11"/>
        <v>13-01</v>
      </c>
      <c r="E645" s="273" t="e">
        <f ca="1">_xludf.IFNA(VLOOKUP('Comp X - UP'!B645,'Urban Plastix Holds'!$I$37:$U$705,9,0),0)</f>
        <v>#NAME?</v>
      </c>
      <c r="F645" s="274"/>
      <c r="G645" s="274" t="e">
        <f t="shared" ca="1" si="6"/>
        <v>#NAME?</v>
      </c>
      <c r="H645" s="274">
        <f t="shared" si="7"/>
        <v>0</v>
      </c>
    </row>
    <row r="646" spans="2:8" ht="13.5" customHeight="1">
      <c r="B646" s="1" t="s">
        <v>2251</v>
      </c>
      <c r="C646" s="1" t="s">
        <v>3627</v>
      </c>
      <c r="D646" s="413" t="str">
        <f t="shared" si="11"/>
        <v>07-13</v>
      </c>
      <c r="E646" s="273" t="e">
        <f ca="1">_xludf.IFNA(VLOOKUP('Comp X - UP'!B646,'Urban Plastix Holds'!$I$37:$U$705,10,0),0)</f>
        <v>#NAME?</v>
      </c>
      <c r="F646" s="274"/>
      <c r="G646" s="274" t="e">
        <f t="shared" ca="1" si="6"/>
        <v>#NAME?</v>
      </c>
      <c r="H646" s="274">
        <f t="shared" si="7"/>
        <v>0</v>
      </c>
    </row>
    <row r="647" spans="2:8" ht="13.5" customHeight="1">
      <c r="B647" s="1" t="s">
        <v>2251</v>
      </c>
      <c r="C647" s="1" t="s">
        <v>3627</v>
      </c>
      <c r="D647" s="414" t="str">
        <f t="shared" si="11"/>
        <v>11-26</v>
      </c>
      <c r="E647" s="273" t="e">
        <f ca="1">_xludf.IFNA(VLOOKUP('Comp X - UP'!B647,'Urban Plastix Holds'!$I$37:$U$705,11,0),0)</f>
        <v>#NAME?</v>
      </c>
      <c r="F647" s="274"/>
      <c r="G647" s="274" t="e">
        <f t="shared" ca="1" si="6"/>
        <v>#NAME?</v>
      </c>
      <c r="H647" s="274">
        <f t="shared" si="7"/>
        <v>0</v>
      </c>
    </row>
    <row r="648" spans="2:8" ht="13.5" customHeight="1">
      <c r="B648" s="1" t="s">
        <v>2251</v>
      </c>
      <c r="C648" s="1" t="s">
        <v>3627</v>
      </c>
      <c r="D648" s="415" t="str">
        <f t="shared" si="11"/>
        <v>18-01</v>
      </c>
      <c r="E648" s="273" t="e">
        <f ca="1">_xludf.IFNA(VLOOKUP('Comp X - UP'!B648,'Urban Plastix Holds'!$I$37:$U$705,12,0),0)</f>
        <v>#NAME?</v>
      </c>
      <c r="F648" s="274"/>
      <c r="G648" s="274" t="e">
        <f t="shared" ca="1" si="6"/>
        <v>#NAME?</v>
      </c>
      <c r="H648" s="274">
        <f t="shared" si="7"/>
        <v>0</v>
      </c>
    </row>
    <row r="649" spans="2:8" ht="13.5" customHeight="1">
      <c r="B649" s="1" t="s">
        <v>2251</v>
      </c>
      <c r="C649" s="1" t="s">
        <v>3627</v>
      </c>
      <c r="D649" s="416" t="str">
        <f t="shared" si="11"/>
        <v>Color Code</v>
      </c>
      <c r="E649" s="273" t="e">
        <f ca="1">_xludf.IFNA(VLOOKUP('Comp X - UP'!B649,'Urban Plastix Holds'!$I$37:$U$705,13,0),0)</f>
        <v>#NAME?</v>
      </c>
      <c r="F649" s="274"/>
      <c r="G649" s="274" t="e">
        <f t="shared" ca="1" si="6"/>
        <v>#NAME?</v>
      </c>
      <c r="H649" s="274">
        <f t="shared" si="7"/>
        <v>0</v>
      </c>
    </row>
    <row r="650" spans="2:8" ht="13.5" customHeight="1">
      <c r="B650" s="1" t="s">
        <v>2252</v>
      </c>
      <c r="C650" s="1" t="s">
        <v>3628</v>
      </c>
      <c r="D650" s="406" t="str">
        <f t="shared" si="11"/>
        <v>11-12</v>
      </c>
      <c r="E650" s="273" t="e">
        <f ca="1">_xludf.IFNA(VLOOKUP('Comp X - UP'!B650,'Urban Plastix Holds'!$I$37:$U$705,5,0),0)</f>
        <v>#NAME?</v>
      </c>
      <c r="F650" s="274"/>
      <c r="G650" s="274" t="e">
        <f t="shared" ca="1" si="6"/>
        <v>#NAME?</v>
      </c>
      <c r="H650" s="274">
        <f t="shared" si="7"/>
        <v>0</v>
      </c>
    </row>
    <row r="651" spans="2:8" ht="13.5" customHeight="1">
      <c r="B651" s="1" t="s">
        <v>2252</v>
      </c>
      <c r="C651" s="1" t="s">
        <v>3628</v>
      </c>
      <c r="D651" s="408" t="str">
        <f t="shared" si="11"/>
        <v>14-01</v>
      </c>
      <c r="E651" s="273" t="e">
        <f ca="1">_xludf.IFNA(VLOOKUP('Comp X - UP'!B651,'Urban Plastix Holds'!$I$37:$U$705,6,0),0)</f>
        <v>#NAME?</v>
      </c>
      <c r="F651" s="274"/>
      <c r="G651" s="274" t="e">
        <f t="shared" ca="1" si="6"/>
        <v>#NAME?</v>
      </c>
      <c r="H651" s="274">
        <f t="shared" si="7"/>
        <v>0</v>
      </c>
    </row>
    <row r="652" spans="2:8" ht="13.5" customHeight="1">
      <c r="B652" s="1" t="s">
        <v>2252</v>
      </c>
      <c r="C652" s="1" t="s">
        <v>3628</v>
      </c>
      <c r="D652" s="409" t="str">
        <f t="shared" si="11"/>
        <v>15-12</v>
      </c>
      <c r="E652" s="273" t="e">
        <f ca="1">_xludf.IFNA(VLOOKUP('Comp X - UP'!B652,'Urban Plastix Holds'!$I$37:$U$705,7,0),0)</f>
        <v>#NAME?</v>
      </c>
      <c r="F652" s="274"/>
      <c r="G652" s="274" t="e">
        <f t="shared" ca="1" si="6"/>
        <v>#NAME?</v>
      </c>
      <c r="H652" s="274">
        <f t="shared" si="7"/>
        <v>0</v>
      </c>
    </row>
    <row r="653" spans="2:8" ht="13.5" customHeight="1">
      <c r="B653" s="1" t="s">
        <v>2252</v>
      </c>
      <c r="C653" s="1" t="s">
        <v>3628</v>
      </c>
      <c r="D653" s="410" t="str">
        <f t="shared" si="11"/>
        <v>16-16</v>
      </c>
      <c r="E653" s="273" t="e">
        <f ca="1">_xludf.IFNA(VLOOKUP('Comp X - UP'!B653,'Urban Plastix Holds'!$I$37:$U$705,8,0),0)</f>
        <v>#NAME?</v>
      </c>
      <c r="F653" s="274"/>
      <c r="G653" s="274" t="e">
        <f t="shared" ca="1" si="6"/>
        <v>#NAME?</v>
      </c>
      <c r="H653" s="274">
        <f t="shared" si="7"/>
        <v>0</v>
      </c>
    </row>
    <row r="654" spans="2:8" ht="13.5" customHeight="1">
      <c r="B654" s="1" t="s">
        <v>2252</v>
      </c>
      <c r="C654" s="1" t="s">
        <v>3628</v>
      </c>
      <c r="D654" s="411" t="str">
        <f t="shared" si="11"/>
        <v>13-01</v>
      </c>
      <c r="E654" s="273" t="e">
        <f ca="1">_xludf.IFNA(VLOOKUP('Comp X - UP'!B654,'Urban Plastix Holds'!$I$37:$U$705,9,0),0)</f>
        <v>#NAME?</v>
      </c>
      <c r="F654" s="274"/>
      <c r="G654" s="274" t="e">
        <f t="shared" ca="1" si="6"/>
        <v>#NAME?</v>
      </c>
      <c r="H654" s="274">
        <f t="shared" si="7"/>
        <v>0</v>
      </c>
    </row>
    <row r="655" spans="2:8" ht="13.5" customHeight="1">
      <c r="B655" s="1" t="s">
        <v>2252</v>
      </c>
      <c r="C655" s="1" t="s">
        <v>3628</v>
      </c>
      <c r="D655" s="413" t="str">
        <f t="shared" si="11"/>
        <v>07-13</v>
      </c>
      <c r="E655" s="273" t="e">
        <f ca="1">_xludf.IFNA(VLOOKUP('Comp X - UP'!B655,'Urban Plastix Holds'!$I$37:$U$705,10,0),0)</f>
        <v>#NAME?</v>
      </c>
      <c r="F655" s="274"/>
      <c r="G655" s="274" t="e">
        <f t="shared" ca="1" si="6"/>
        <v>#NAME?</v>
      </c>
      <c r="H655" s="274">
        <f t="shared" si="7"/>
        <v>0</v>
      </c>
    </row>
    <row r="656" spans="2:8" ht="13.5" customHeight="1">
      <c r="B656" s="1" t="s">
        <v>2252</v>
      </c>
      <c r="C656" s="1" t="s">
        <v>3628</v>
      </c>
      <c r="D656" s="414" t="str">
        <f t="shared" si="11"/>
        <v>11-26</v>
      </c>
      <c r="E656" s="273" t="e">
        <f ca="1">_xludf.IFNA(VLOOKUP('Comp X - UP'!B656,'Urban Plastix Holds'!$I$37:$U$705,11,0),0)</f>
        <v>#NAME?</v>
      </c>
      <c r="F656" s="274"/>
      <c r="G656" s="274" t="e">
        <f t="shared" ca="1" si="6"/>
        <v>#NAME?</v>
      </c>
      <c r="H656" s="274">
        <f t="shared" si="7"/>
        <v>0</v>
      </c>
    </row>
    <row r="657" spans="2:8" ht="13.5" customHeight="1">
      <c r="B657" s="1" t="s">
        <v>2252</v>
      </c>
      <c r="C657" s="1" t="s">
        <v>3628</v>
      </c>
      <c r="D657" s="415" t="str">
        <f t="shared" si="11"/>
        <v>18-01</v>
      </c>
      <c r="E657" s="273" t="e">
        <f ca="1">_xludf.IFNA(VLOOKUP('Comp X - UP'!B657,'Urban Plastix Holds'!$I$37:$U$705,12,0),0)</f>
        <v>#NAME?</v>
      </c>
      <c r="F657" s="274"/>
      <c r="G657" s="274" t="e">
        <f t="shared" ca="1" si="6"/>
        <v>#NAME?</v>
      </c>
      <c r="H657" s="274">
        <f t="shared" si="7"/>
        <v>0</v>
      </c>
    </row>
    <row r="658" spans="2:8" ht="13.5" customHeight="1">
      <c r="B658" s="1" t="s">
        <v>2252</v>
      </c>
      <c r="C658" s="1" t="s">
        <v>3628</v>
      </c>
      <c r="D658" s="416" t="str">
        <f t="shared" si="11"/>
        <v>Color Code</v>
      </c>
      <c r="E658" s="273" t="e">
        <f ca="1">_xludf.IFNA(VLOOKUP('Comp X - UP'!B658,'Urban Plastix Holds'!$I$37:$U$705,13,0),0)</f>
        <v>#NAME?</v>
      </c>
      <c r="F658" s="274"/>
      <c r="G658" s="274" t="e">
        <f t="shared" ca="1" si="6"/>
        <v>#NAME?</v>
      </c>
      <c r="H658" s="274">
        <f t="shared" si="7"/>
        <v>0</v>
      </c>
    </row>
    <row r="659" spans="2:8" ht="13.5" customHeight="1">
      <c r="B659" s="1" t="s">
        <v>2253</v>
      </c>
      <c r="C659" s="1" t="s">
        <v>3629</v>
      </c>
      <c r="D659" s="406" t="str">
        <f t="shared" si="11"/>
        <v>11-12</v>
      </c>
      <c r="E659" s="273" t="e">
        <f ca="1">_xludf.IFNA(VLOOKUP('Comp X - UP'!B659,'Urban Plastix Holds'!$I$37:$U$705,5,0),0)</f>
        <v>#NAME?</v>
      </c>
      <c r="F659" s="274"/>
      <c r="G659" s="274" t="e">
        <f t="shared" ca="1" si="6"/>
        <v>#NAME?</v>
      </c>
      <c r="H659" s="274">
        <f t="shared" si="7"/>
        <v>0</v>
      </c>
    </row>
    <row r="660" spans="2:8" ht="13.5" customHeight="1">
      <c r="B660" s="1" t="s">
        <v>2253</v>
      </c>
      <c r="C660" s="1" t="s">
        <v>3629</v>
      </c>
      <c r="D660" s="408" t="str">
        <f t="shared" si="11"/>
        <v>14-01</v>
      </c>
      <c r="E660" s="273" t="e">
        <f ca="1">_xludf.IFNA(VLOOKUP('Comp X - UP'!B660,'Urban Plastix Holds'!$I$37:$U$705,6,0),0)</f>
        <v>#NAME?</v>
      </c>
      <c r="F660" s="274"/>
      <c r="G660" s="274" t="e">
        <f t="shared" ca="1" si="6"/>
        <v>#NAME?</v>
      </c>
      <c r="H660" s="274">
        <f t="shared" si="7"/>
        <v>0</v>
      </c>
    </row>
    <row r="661" spans="2:8" ht="13.5" customHeight="1">
      <c r="B661" s="1" t="s">
        <v>2253</v>
      </c>
      <c r="C661" s="1" t="s">
        <v>3629</v>
      </c>
      <c r="D661" s="409" t="str">
        <f t="shared" si="11"/>
        <v>15-12</v>
      </c>
      <c r="E661" s="273" t="e">
        <f ca="1">_xludf.IFNA(VLOOKUP('Comp X - UP'!B661,'Urban Plastix Holds'!$I$37:$U$705,7,0),0)</f>
        <v>#NAME?</v>
      </c>
      <c r="F661" s="274"/>
      <c r="G661" s="274" t="e">
        <f t="shared" ca="1" si="6"/>
        <v>#NAME?</v>
      </c>
      <c r="H661" s="274">
        <f t="shared" si="7"/>
        <v>0</v>
      </c>
    </row>
    <row r="662" spans="2:8" ht="13.5" customHeight="1">
      <c r="B662" s="1" t="s">
        <v>2253</v>
      </c>
      <c r="C662" s="1" t="s">
        <v>3629</v>
      </c>
      <c r="D662" s="410" t="str">
        <f t="shared" si="11"/>
        <v>16-16</v>
      </c>
      <c r="E662" s="273" t="e">
        <f ca="1">_xludf.IFNA(VLOOKUP('Comp X - UP'!B662,'Urban Plastix Holds'!$I$37:$U$705,8,0),0)</f>
        <v>#NAME?</v>
      </c>
      <c r="F662" s="274"/>
      <c r="G662" s="274" t="e">
        <f t="shared" ca="1" si="6"/>
        <v>#NAME?</v>
      </c>
      <c r="H662" s="274">
        <f t="shared" si="7"/>
        <v>0</v>
      </c>
    </row>
    <row r="663" spans="2:8" ht="13.5" customHeight="1">
      <c r="B663" s="1" t="s">
        <v>2253</v>
      </c>
      <c r="C663" s="1" t="s">
        <v>3629</v>
      </c>
      <c r="D663" s="411" t="str">
        <f t="shared" si="11"/>
        <v>13-01</v>
      </c>
      <c r="E663" s="273" t="e">
        <f ca="1">_xludf.IFNA(VLOOKUP('Comp X - UP'!B663,'Urban Plastix Holds'!$I$37:$U$705,9,0),0)</f>
        <v>#NAME?</v>
      </c>
      <c r="F663" s="274"/>
      <c r="G663" s="274" t="e">
        <f t="shared" ca="1" si="6"/>
        <v>#NAME?</v>
      </c>
      <c r="H663" s="274">
        <f t="shared" si="7"/>
        <v>0</v>
      </c>
    </row>
    <row r="664" spans="2:8" ht="13.5" customHeight="1">
      <c r="B664" s="1" t="s">
        <v>2253</v>
      </c>
      <c r="C664" s="1" t="s">
        <v>3629</v>
      </c>
      <c r="D664" s="413" t="str">
        <f t="shared" si="11"/>
        <v>07-13</v>
      </c>
      <c r="E664" s="273" t="e">
        <f ca="1">_xludf.IFNA(VLOOKUP('Comp X - UP'!B664,'Urban Plastix Holds'!$I$37:$U$705,10,0),0)</f>
        <v>#NAME?</v>
      </c>
      <c r="F664" s="274"/>
      <c r="G664" s="274" t="e">
        <f t="shared" ca="1" si="6"/>
        <v>#NAME?</v>
      </c>
      <c r="H664" s="274">
        <f t="shared" si="7"/>
        <v>0</v>
      </c>
    </row>
    <row r="665" spans="2:8" ht="13.5" customHeight="1">
      <c r="B665" s="1" t="s">
        <v>2253</v>
      </c>
      <c r="C665" s="1" t="s">
        <v>3629</v>
      </c>
      <c r="D665" s="414" t="str">
        <f t="shared" si="11"/>
        <v>11-26</v>
      </c>
      <c r="E665" s="273" t="e">
        <f ca="1">_xludf.IFNA(VLOOKUP('Comp X - UP'!B665,'Urban Plastix Holds'!$I$37:$U$705,11,0),0)</f>
        <v>#NAME?</v>
      </c>
      <c r="F665" s="274"/>
      <c r="G665" s="274" t="e">
        <f t="shared" ca="1" si="6"/>
        <v>#NAME?</v>
      </c>
      <c r="H665" s="274">
        <f t="shared" si="7"/>
        <v>0</v>
      </c>
    </row>
    <row r="666" spans="2:8" ht="13.5" customHeight="1">
      <c r="B666" s="1" t="s">
        <v>2253</v>
      </c>
      <c r="C666" s="1" t="s">
        <v>3629</v>
      </c>
      <c r="D666" s="415" t="str">
        <f t="shared" si="11"/>
        <v>18-01</v>
      </c>
      <c r="E666" s="273" t="e">
        <f ca="1">_xludf.IFNA(VLOOKUP('Comp X - UP'!B666,'Urban Plastix Holds'!$I$37:$U$705,12,0),0)</f>
        <v>#NAME?</v>
      </c>
      <c r="F666" s="274"/>
      <c r="G666" s="274" t="e">
        <f t="shared" ca="1" si="6"/>
        <v>#NAME?</v>
      </c>
      <c r="H666" s="274">
        <f t="shared" si="7"/>
        <v>0</v>
      </c>
    </row>
    <row r="667" spans="2:8" ht="13.5" customHeight="1">
      <c r="B667" s="1" t="s">
        <v>2253</v>
      </c>
      <c r="C667" s="1" t="s">
        <v>3629</v>
      </c>
      <c r="D667" s="416" t="str">
        <f t="shared" si="11"/>
        <v>Color Code</v>
      </c>
      <c r="E667" s="273" t="e">
        <f ca="1">_xludf.IFNA(VLOOKUP('Comp X - UP'!B667,'Urban Plastix Holds'!$I$37:$U$705,13,0),0)</f>
        <v>#NAME?</v>
      </c>
      <c r="F667" s="274"/>
      <c r="G667" s="274" t="e">
        <f t="shared" ca="1" si="6"/>
        <v>#NAME?</v>
      </c>
      <c r="H667" s="274">
        <f t="shared" si="7"/>
        <v>0</v>
      </c>
    </row>
    <row r="668" spans="2:8" ht="13.5" customHeight="1">
      <c r="B668" s="1" t="s">
        <v>2254</v>
      </c>
      <c r="C668" s="1" t="s">
        <v>3630</v>
      </c>
      <c r="D668" s="406" t="str">
        <f t="shared" si="11"/>
        <v>11-12</v>
      </c>
      <c r="E668" s="273" t="e">
        <f ca="1">_xludf.IFNA(VLOOKUP('Comp X - UP'!B668,'Urban Plastix Holds'!$I$37:$U$705,5,0),0)</f>
        <v>#NAME?</v>
      </c>
      <c r="F668" s="274"/>
      <c r="G668" s="274" t="e">
        <f t="shared" ca="1" si="6"/>
        <v>#NAME?</v>
      </c>
      <c r="H668" s="274">
        <f t="shared" si="7"/>
        <v>0</v>
      </c>
    </row>
    <row r="669" spans="2:8" ht="13.5" customHeight="1">
      <c r="B669" s="1" t="s">
        <v>2254</v>
      </c>
      <c r="C669" s="1" t="s">
        <v>3630</v>
      </c>
      <c r="D669" s="408" t="str">
        <f t="shared" si="11"/>
        <v>14-01</v>
      </c>
      <c r="E669" s="273" t="e">
        <f ca="1">_xludf.IFNA(VLOOKUP('Comp X - UP'!B669,'Urban Plastix Holds'!$I$37:$U$705,6,0),0)</f>
        <v>#NAME?</v>
      </c>
      <c r="F669" s="274"/>
      <c r="G669" s="274" t="e">
        <f t="shared" ca="1" si="6"/>
        <v>#NAME?</v>
      </c>
      <c r="H669" s="274">
        <f t="shared" si="7"/>
        <v>0</v>
      </c>
    </row>
    <row r="670" spans="2:8" ht="13.5" customHeight="1">
      <c r="B670" s="1" t="s">
        <v>2254</v>
      </c>
      <c r="C670" s="1" t="s">
        <v>3630</v>
      </c>
      <c r="D670" s="409" t="str">
        <f t="shared" si="11"/>
        <v>15-12</v>
      </c>
      <c r="E670" s="273" t="e">
        <f ca="1">_xludf.IFNA(VLOOKUP('Comp X - UP'!B670,'Urban Plastix Holds'!$I$37:$U$705,7,0),0)</f>
        <v>#NAME?</v>
      </c>
      <c r="F670" s="274"/>
      <c r="G670" s="274" t="e">
        <f t="shared" ca="1" si="6"/>
        <v>#NAME?</v>
      </c>
      <c r="H670" s="274">
        <f t="shared" si="7"/>
        <v>0</v>
      </c>
    </row>
    <row r="671" spans="2:8" ht="13.5" customHeight="1">
      <c r="B671" s="1" t="s">
        <v>2254</v>
      </c>
      <c r="C671" s="1" t="s">
        <v>3630</v>
      </c>
      <c r="D671" s="410" t="str">
        <f t="shared" si="11"/>
        <v>16-16</v>
      </c>
      <c r="E671" s="273" t="e">
        <f ca="1">_xludf.IFNA(VLOOKUP('Comp X - UP'!B671,'Urban Plastix Holds'!$I$37:$U$705,8,0),0)</f>
        <v>#NAME?</v>
      </c>
      <c r="F671" s="274"/>
      <c r="G671" s="274" t="e">
        <f t="shared" ca="1" si="6"/>
        <v>#NAME?</v>
      </c>
      <c r="H671" s="274">
        <f t="shared" si="7"/>
        <v>0</v>
      </c>
    </row>
    <row r="672" spans="2:8" ht="13.5" customHeight="1">
      <c r="B672" s="1" t="s">
        <v>2254</v>
      </c>
      <c r="C672" s="1" t="s">
        <v>3630</v>
      </c>
      <c r="D672" s="411" t="str">
        <f t="shared" si="11"/>
        <v>13-01</v>
      </c>
      <c r="E672" s="273" t="e">
        <f ca="1">_xludf.IFNA(VLOOKUP('Comp X - UP'!B672,'Urban Plastix Holds'!$I$37:$U$705,9,0),0)</f>
        <v>#NAME?</v>
      </c>
      <c r="F672" s="274"/>
      <c r="G672" s="274" t="e">
        <f t="shared" ca="1" si="6"/>
        <v>#NAME?</v>
      </c>
      <c r="H672" s="274">
        <f t="shared" si="7"/>
        <v>0</v>
      </c>
    </row>
    <row r="673" spans="2:8" ht="13.5" customHeight="1">
      <c r="B673" s="1" t="s">
        <v>2254</v>
      </c>
      <c r="C673" s="1" t="s">
        <v>3630</v>
      </c>
      <c r="D673" s="413" t="str">
        <f t="shared" si="11"/>
        <v>07-13</v>
      </c>
      <c r="E673" s="273" t="e">
        <f ca="1">_xludf.IFNA(VLOOKUP('Comp X - UP'!B673,'Urban Plastix Holds'!$I$37:$U$705,10,0),0)</f>
        <v>#NAME?</v>
      </c>
      <c r="F673" s="274"/>
      <c r="G673" s="274" t="e">
        <f t="shared" ca="1" si="6"/>
        <v>#NAME?</v>
      </c>
      <c r="H673" s="274">
        <f t="shared" si="7"/>
        <v>0</v>
      </c>
    </row>
    <row r="674" spans="2:8" ht="13.5" customHeight="1">
      <c r="B674" s="1" t="s">
        <v>2254</v>
      </c>
      <c r="C674" s="1" t="s">
        <v>3630</v>
      </c>
      <c r="D674" s="414" t="str">
        <f t="shared" si="11"/>
        <v>11-26</v>
      </c>
      <c r="E674" s="273" t="e">
        <f ca="1">_xludf.IFNA(VLOOKUP('Comp X - UP'!B674,'Urban Plastix Holds'!$I$37:$U$705,11,0),0)</f>
        <v>#NAME?</v>
      </c>
      <c r="F674" s="274"/>
      <c r="G674" s="274" t="e">
        <f t="shared" ca="1" si="6"/>
        <v>#NAME?</v>
      </c>
      <c r="H674" s="274">
        <f t="shared" si="7"/>
        <v>0</v>
      </c>
    </row>
    <row r="675" spans="2:8" ht="13.5" customHeight="1">
      <c r="B675" s="1" t="s">
        <v>2254</v>
      </c>
      <c r="C675" s="1" t="s">
        <v>3630</v>
      </c>
      <c r="D675" s="415" t="str">
        <f t="shared" si="11"/>
        <v>18-01</v>
      </c>
      <c r="E675" s="273" t="e">
        <f ca="1">_xludf.IFNA(VLOOKUP('Comp X - UP'!B675,'Urban Plastix Holds'!$I$37:$U$705,12,0),0)</f>
        <v>#NAME?</v>
      </c>
      <c r="F675" s="274"/>
      <c r="G675" s="274" t="e">
        <f t="shared" ca="1" si="6"/>
        <v>#NAME?</v>
      </c>
      <c r="H675" s="274">
        <f t="shared" si="7"/>
        <v>0</v>
      </c>
    </row>
    <row r="676" spans="2:8" ht="13.5" customHeight="1">
      <c r="B676" s="1" t="s">
        <v>2254</v>
      </c>
      <c r="C676" s="1" t="s">
        <v>3630</v>
      </c>
      <c r="D676" s="416" t="str">
        <f t="shared" si="11"/>
        <v>Color Code</v>
      </c>
      <c r="E676" s="273" t="e">
        <f ca="1">_xludf.IFNA(VLOOKUP('Comp X - UP'!B676,'Urban Plastix Holds'!$I$37:$U$705,13,0),0)</f>
        <v>#NAME?</v>
      </c>
      <c r="F676" s="274"/>
      <c r="G676" s="274" t="e">
        <f t="shared" ca="1" si="6"/>
        <v>#NAME?</v>
      </c>
      <c r="H676" s="274">
        <f t="shared" si="7"/>
        <v>0</v>
      </c>
    </row>
    <row r="677" spans="2:8" ht="13.5" customHeight="1">
      <c r="B677" s="1" t="s">
        <v>2279</v>
      </c>
      <c r="C677" s="1" t="s">
        <v>3631</v>
      </c>
      <c r="D677" s="406" t="str">
        <f t="shared" si="11"/>
        <v>11-12</v>
      </c>
      <c r="E677" s="273" t="e">
        <f ca="1">_xludf.IFNA(VLOOKUP('Comp X - UP'!B677,'Urban Plastix Holds'!$I$37:$U$705,5,0),0)</f>
        <v>#NAME?</v>
      </c>
      <c r="F677" s="274"/>
      <c r="G677" s="274" t="e">
        <f t="shared" ca="1" si="6"/>
        <v>#NAME?</v>
      </c>
      <c r="H677" s="274">
        <f t="shared" si="7"/>
        <v>0</v>
      </c>
    </row>
    <row r="678" spans="2:8" ht="13.5" customHeight="1">
      <c r="B678" s="1" t="s">
        <v>2279</v>
      </c>
      <c r="C678" s="1" t="s">
        <v>3631</v>
      </c>
      <c r="D678" s="408" t="str">
        <f t="shared" si="11"/>
        <v>14-01</v>
      </c>
      <c r="E678" s="273" t="e">
        <f ca="1">_xludf.IFNA(VLOOKUP('Comp X - UP'!B678,'Urban Plastix Holds'!$I$37:$U$705,6,0),0)</f>
        <v>#NAME?</v>
      </c>
      <c r="F678" s="274"/>
      <c r="G678" s="274" t="e">
        <f t="shared" ca="1" si="6"/>
        <v>#NAME?</v>
      </c>
      <c r="H678" s="274">
        <f t="shared" si="7"/>
        <v>0</v>
      </c>
    </row>
    <row r="679" spans="2:8" ht="13.5" customHeight="1">
      <c r="B679" s="1" t="s">
        <v>2279</v>
      </c>
      <c r="C679" s="1" t="s">
        <v>3631</v>
      </c>
      <c r="D679" s="409" t="str">
        <f t="shared" si="11"/>
        <v>15-12</v>
      </c>
      <c r="E679" s="273" t="e">
        <f ca="1">_xludf.IFNA(VLOOKUP('Comp X - UP'!B679,'Urban Plastix Holds'!$I$37:$U$705,7,0),0)</f>
        <v>#NAME?</v>
      </c>
      <c r="F679" s="274"/>
      <c r="G679" s="274" t="e">
        <f t="shared" ca="1" si="6"/>
        <v>#NAME?</v>
      </c>
      <c r="H679" s="274">
        <f t="shared" si="7"/>
        <v>0</v>
      </c>
    </row>
    <row r="680" spans="2:8" ht="13.5" customHeight="1">
      <c r="B680" s="1" t="s">
        <v>2279</v>
      </c>
      <c r="C680" s="1" t="s">
        <v>3631</v>
      </c>
      <c r="D680" s="410" t="str">
        <f t="shared" si="11"/>
        <v>16-16</v>
      </c>
      <c r="E680" s="273" t="e">
        <f ca="1">_xludf.IFNA(VLOOKUP('Comp X - UP'!B680,'Urban Plastix Holds'!$I$37:$U$705,8,0),0)</f>
        <v>#NAME?</v>
      </c>
      <c r="F680" s="274"/>
      <c r="G680" s="274" t="e">
        <f t="shared" ca="1" si="6"/>
        <v>#NAME?</v>
      </c>
      <c r="H680" s="274">
        <f t="shared" si="7"/>
        <v>0</v>
      </c>
    </row>
    <row r="681" spans="2:8" ht="13.5" customHeight="1">
      <c r="B681" s="1" t="s">
        <v>2279</v>
      </c>
      <c r="C681" s="1" t="s">
        <v>3631</v>
      </c>
      <c r="D681" s="411" t="str">
        <f t="shared" si="11"/>
        <v>13-01</v>
      </c>
      <c r="E681" s="273" t="e">
        <f ca="1">_xludf.IFNA(VLOOKUP('Comp X - UP'!B681,'Urban Plastix Holds'!$I$37:$U$705,9,0),0)</f>
        <v>#NAME?</v>
      </c>
      <c r="F681" s="274"/>
      <c r="G681" s="274" t="e">
        <f t="shared" ca="1" si="6"/>
        <v>#NAME?</v>
      </c>
      <c r="H681" s="274">
        <f t="shared" si="7"/>
        <v>0</v>
      </c>
    </row>
    <row r="682" spans="2:8" ht="13.5" customHeight="1">
      <c r="B682" s="1" t="s">
        <v>2279</v>
      </c>
      <c r="C682" s="1" t="s">
        <v>3631</v>
      </c>
      <c r="D682" s="413" t="str">
        <f t="shared" si="11"/>
        <v>07-13</v>
      </c>
      <c r="E682" s="273" t="e">
        <f ca="1">_xludf.IFNA(VLOOKUP('Comp X - UP'!B682,'Urban Plastix Holds'!$I$37:$U$705,10,0),0)</f>
        <v>#NAME?</v>
      </c>
      <c r="F682" s="274"/>
      <c r="G682" s="274" t="e">
        <f t="shared" ca="1" si="6"/>
        <v>#NAME?</v>
      </c>
      <c r="H682" s="274">
        <f t="shared" si="7"/>
        <v>0</v>
      </c>
    </row>
    <row r="683" spans="2:8" ht="13.5" customHeight="1">
      <c r="B683" s="1" t="s">
        <v>2279</v>
      </c>
      <c r="C683" s="1" t="s">
        <v>3631</v>
      </c>
      <c r="D683" s="414" t="str">
        <f t="shared" si="11"/>
        <v>11-26</v>
      </c>
      <c r="E683" s="273" t="e">
        <f ca="1">_xludf.IFNA(VLOOKUP('Comp X - UP'!B683,'Urban Plastix Holds'!$I$37:$U$705,11,0),0)</f>
        <v>#NAME?</v>
      </c>
      <c r="F683" s="274"/>
      <c r="G683" s="274" t="e">
        <f t="shared" ca="1" si="6"/>
        <v>#NAME?</v>
      </c>
      <c r="H683" s="274">
        <f t="shared" si="7"/>
        <v>0</v>
      </c>
    </row>
    <row r="684" spans="2:8" ht="13.5" customHeight="1">
      <c r="B684" s="1" t="s">
        <v>2279</v>
      </c>
      <c r="C684" s="1" t="s">
        <v>3631</v>
      </c>
      <c r="D684" s="415" t="str">
        <f t="shared" si="11"/>
        <v>18-01</v>
      </c>
      <c r="E684" s="273" t="e">
        <f ca="1">_xludf.IFNA(VLOOKUP('Comp X - UP'!B684,'Urban Plastix Holds'!$I$37:$U$705,12,0),0)</f>
        <v>#NAME?</v>
      </c>
      <c r="F684" s="274"/>
      <c r="G684" s="274" t="e">
        <f t="shared" ca="1" si="6"/>
        <v>#NAME?</v>
      </c>
      <c r="H684" s="274">
        <f t="shared" si="7"/>
        <v>0</v>
      </c>
    </row>
    <row r="685" spans="2:8" ht="13.5" customHeight="1">
      <c r="B685" s="1" t="s">
        <v>2279</v>
      </c>
      <c r="C685" s="1" t="s">
        <v>3631</v>
      </c>
      <c r="D685" s="416" t="str">
        <f t="shared" si="11"/>
        <v>Color Code</v>
      </c>
      <c r="E685" s="273" t="e">
        <f ca="1">_xludf.IFNA(VLOOKUP('Comp X - UP'!B685,'Urban Plastix Holds'!$I$37:$U$705,13,0),0)</f>
        <v>#NAME?</v>
      </c>
      <c r="F685" s="274"/>
      <c r="G685" s="274" t="e">
        <f t="shared" ca="1" si="6"/>
        <v>#NAME?</v>
      </c>
      <c r="H685" s="274">
        <f t="shared" si="7"/>
        <v>0</v>
      </c>
    </row>
    <row r="686" spans="2:8" ht="13.5" customHeight="1">
      <c r="B686" s="1" t="s">
        <v>2280</v>
      </c>
      <c r="C686" s="1" t="s">
        <v>3632</v>
      </c>
      <c r="D686" s="406" t="str">
        <f t="shared" si="11"/>
        <v>11-12</v>
      </c>
      <c r="E686" s="273" t="e">
        <f ca="1">_xludf.IFNA(VLOOKUP('Comp X - UP'!B686,'Urban Plastix Holds'!$I$37:$U$705,5,0),0)</f>
        <v>#NAME?</v>
      </c>
      <c r="F686" s="274"/>
      <c r="G686" s="274" t="e">
        <f t="shared" ca="1" si="6"/>
        <v>#NAME?</v>
      </c>
      <c r="H686" s="274">
        <f t="shared" si="7"/>
        <v>0</v>
      </c>
    </row>
    <row r="687" spans="2:8" ht="13.5" customHeight="1">
      <c r="B687" s="1" t="s">
        <v>2280</v>
      </c>
      <c r="C687" s="1" t="s">
        <v>3632</v>
      </c>
      <c r="D687" s="408" t="str">
        <f t="shared" si="11"/>
        <v>14-01</v>
      </c>
      <c r="E687" s="273" t="e">
        <f ca="1">_xludf.IFNA(VLOOKUP('Comp X - UP'!B687,'Urban Plastix Holds'!$I$37:$U$705,6,0),0)</f>
        <v>#NAME?</v>
      </c>
      <c r="F687" s="274"/>
      <c r="G687" s="274" t="e">
        <f t="shared" ca="1" si="6"/>
        <v>#NAME?</v>
      </c>
      <c r="H687" s="274">
        <f t="shared" si="7"/>
        <v>0</v>
      </c>
    </row>
    <row r="688" spans="2:8" ht="13.5" customHeight="1">
      <c r="B688" s="1" t="s">
        <v>2280</v>
      </c>
      <c r="C688" s="1" t="s">
        <v>3632</v>
      </c>
      <c r="D688" s="409" t="str">
        <f t="shared" si="11"/>
        <v>15-12</v>
      </c>
      <c r="E688" s="273" t="e">
        <f ca="1">_xludf.IFNA(VLOOKUP('Comp X - UP'!B688,'Urban Plastix Holds'!$I$37:$U$705,7,0),0)</f>
        <v>#NAME?</v>
      </c>
      <c r="F688" s="274"/>
      <c r="G688" s="274" t="e">
        <f t="shared" ca="1" si="6"/>
        <v>#NAME?</v>
      </c>
      <c r="H688" s="274">
        <f t="shared" si="7"/>
        <v>0</v>
      </c>
    </row>
    <row r="689" spans="2:8" ht="13.5" customHeight="1">
      <c r="B689" s="1" t="s">
        <v>2280</v>
      </c>
      <c r="C689" s="1" t="s">
        <v>3632</v>
      </c>
      <c r="D689" s="410" t="str">
        <f t="shared" si="11"/>
        <v>16-16</v>
      </c>
      <c r="E689" s="273" t="e">
        <f ca="1">_xludf.IFNA(VLOOKUP('Comp X - UP'!B689,'Urban Plastix Holds'!$I$37:$U$705,8,0),0)</f>
        <v>#NAME?</v>
      </c>
      <c r="F689" s="274"/>
      <c r="G689" s="274" t="e">
        <f t="shared" ca="1" si="6"/>
        <v>#NAME?</v>
      </c>
      <c r="H689" s="274">
        <f t="shared" si="7"/>
        <v>0</v>
      </c>
    </row>
    <row r="690" spans="2:8" ht="13.5" customHeight="1">
      <c r="B690" s="1" t="s">
        <v>2280</v>
      </c>
      <c r="C690" s="1" t="s">
        <v>3632</v>
      </c>
      <c r="D690" s="411" t="str">
        <f t="shared" si="11"/>
        <v>13-01</v>
      </c>
      <c r="E690" s="273" t="e">
        <f ca="1">_xludf.IFNA(VLOOKUP('Comp X - UP'!B690,'Urban Plastix Holds'!$I$37:$U$705,9,0),0)</f>
        <v>#NAME?</v>
      </c>
      <c r="F690" s="274"/>
      <c r="G690" s="274" t="e">
        <f t="shared" ca="1" si="6"/>
        <v>#NAME?</v>
      </c>
      <c r="H690" s="274">
        <f t="shared" si="7"/>
        <v>0</v>
      </c>
    </row>
    <row r="691" spans="2:8" ht="13.5" customHeight="1">
      <c r="B691" s="1" t="s">
        <v>2280</v>
      </c>
      <c r="C691" s="1" t="s">
        <v>3632</v>
      </c>
      <c r="D691" s="413" t="str">
        <f t="shared" si="11"/>
        <v>07-13</v>
      </c>
      <c r="E691" s="273" t="e">
        <f ca="1">_xludf.IFNA(VLOOKUP('Comp X - UP'!B691,'Urban Plastix Holds'!$I$37:$U$705,10,0),0)</f>
        <v>#NAME?</v>
      </c>
      <c r="F691" s="274"/>
      <c r="G691" s="274" t="e">
        <f t="shared" ca="1" si="6"/>
        <v>#NAME?</v>
      </c>
      <c r="H691" s="274">
        <f t="shared" si="7"/>
        <v>0</v>
      </c>
    </row>
    <row r="692" spans="2:8" ht="13.5" customHeight="1">
      <c r="B692" s="1" t="s">
        <v>2280</v>
      </c>
      <c r="C692" s="1" t="s">
        <v>3632</v>
      </c>
      <c r="D692" s="414" t="str">
        <f t="shared" si="11"/>
        <v>11-26</v>
      </c>
      <c r="E692" s="273" t="e">
        <f ca="1">_xludf.IFNA(VLOOKUP('Comp X - UP'!B692,'Urban Plastix Holds'!$I$37:$U$705,11,0),0)</f>
        <v>#NAME?</v>
      </c>
      <c r="F692" s="274"/>
      <c r="G692" s="274" t="e">
        <f t="shared" ca="1" si="6"/>
        <v>#NAME?</v>
      </c>
      <c r="H692" s="274">
        <f t="shared" si="7"/>
        <v>0</v>
      </c>
    </row>
    <row r="693" spans="2:8" ht="13.5" customHeight="1">
      <c r="B693" s="1" t="s">
        <v>2280</v>
      </c>
      <c r="C693" s="1" t="s">
        <v>3632</v>
      </c>
      <c r="D693" s="415" t="str">
        <f t="shared" si="11"/>
        <v>18-01</v>
      </c>
      <c r="E693" s="273" t="e">
        <f ca="1">_xludf.IFNA(VLOOKUP('Comp X - UP'!B693,'Urban Plastix Holds'!$I$37:$U$705,12,0),0)</f>
        <v>#NAME?</v>
      </c>
      <c r="F693" s="274"/>
      <c r="G693" s="274" t="e">
        <f t="shared" ca="1" si="6"/>
        <v>#NAME?</v>
      </c>
      <c r="H693" s="274">
        <f t="shared" si="7"/>
        <v>0</v>
      </c>
    </row>
    <row r="694" spans="2:8" ht="13.5" customHeight="1">
      <c r="B694" s="1" t="s">
        <v>2280</v>
      </c>
      <c r="C694" s="1" t="s">
        <v>3632</v>
      </c>
      <c r="D694" s="416" t="str">
        <f t="shared" si="11"/>
        <v>Color Code</v>
      </c>
      <c r="E694" s="273" t="e">
        <f ca="1">_xludf.IFNA(VLOOKUP('Comp X - UP'!B694,'Urban Plastix Holds'!$I$37:$U$705,13,0),0)</f>
        <v>#NAME?</v>
      </c>
      <c r="F694" s="274"/>
      <c r="G694" s="274" t="e">
        <f t="shared" ca="1" si="6"/>
        <v>#NAME?</v>
      </c>
      <c r="H694" s="274">
        <f t="shared" si="7"/>
        <v>0</v>
      </c>
    </row>
    <row r="695" spans="2:8" ht="13.5" customHeight="1">
      <c r="B695" s="1" t="s">
        <v>2281</v>
      </c>
      <c r="C695" s="1" t="s">
        <v>3633</v>
      </c>
      <c r="D695" s="406" t="str">
        <f t="shared" si="11"/>
        <v>11-12</v>
      </c>
      <c r="E695" s="273" t="e">
        <f ca="1">_xludf.IFNA(VLOOKUP('Comp X - UP'!B695,'Urban Plastix Holds'!$I$37:$U$705,5,0),0)</f>
        <v>#NAME?</v>
      </c>
      <c r="F695" s="274"/>
      <c r="G695" s="274" t="e">
        <f t="shared" ca="1" si="6"/>
        <v>#NAME?</v>
      </c>
      <c r="H695" s="274">
        <f t="shared" si="7"/>
        <v>0</v>
      </c>
    </row>
    <row r="696" spans="2:8" ht="13.5" customHeight="1">
      <c r="B696" s="1" t="s">
        <v>2281</v>
      </c>
      <c r="C696" s="1" t="s">
        <v>3633</v>
      </c>
      <c r="D696" s="408" t="str">
        <f t="shared" si="11"/>
        <v>14-01</v>
      </c>
      <c r="E696" s="273" t="e">
        <f ca="1">_xludf.IFNA(VLOOKUP('Comp X - UP'!B696,'Urban Plastix Holds'!$I$37:$U$705,6,0),0)</f>
        <v>#NAME?</v>
      </c>
      <c r="F696" s="274"/>
      <c r="G696" s="274" t="e">
        <f t="shared" ca="1" si="6"/>
        <v>#NAME?</v>
      </c>
      <c r="H696" s="274">
        <f t="shared" si="7"/>
        <v>0</v>
      </c>
    </row>
    <row r="697" spans="2:8" ht="13.5" customHeight="1">
      <c r="B697" s="1" t="s">
        <v>2281</v>
      </c>
      <c r="C697" s="1" t="s">
        <v>3633</v>
      </c>
      <c r="D697" s="409" t="str">
        <f t="shared" si="11"/>
        <v>15-12</v>
      </c>
      <c r="E697" s="273" t="e">
        <f ca="1">_xludf.IFNA(VLOOKUP('Comp X - UP'!B697,'Urban Plastix Holds'!$I$37:$U$705,7,0),0)</f>
        <v>#NAME?</v>
      </c>
      <c r="F697" s="274"/>
      <c r="G697" s="274" t="e">
        <f t="shared" ca="1" si="6"/>
        <v>#NAME?</v>
      </c>
      <c r="H697" s="274">
        <f t="shared" si="7"/>
        <v>0</v>
      </c>
    </row>
    <row r="698" spans="2:8" ht="13.5" customHeight="1">
      <c r="B698" s="1" t="s">
        <v>2281</v>
      </c>
      <c r="C698" s="1" t="s">
        <v>3633</v>
      </c>
      <c r="D698" s="410" t="str">
        <f t="shared" si="11"/>
        <v>16-16</v>
      </c>
      <c r="E698" s="273" t="e">
        <f ca="1">_xludf.IFNA(VLOOKUP('Comp X - UP'!B698,'Urban Plastix Holds'!$I$37:$U$705,8,0),0)</f>
        <v>#NAME?</v>
      </c>
      <c r="F698" s="274"/>
      <c r="G698" s="274" t="e">
        <f t="shared" ca="1" si="6"/>
        <v>#NAME?</v>
      </c>
      <c r="H698" s="274">
        <f t="shared" si="7"/>
        <v>0</v>
      </c>
    </row>
    <row r="699" spans="2:8" ht="13.5" customHeight="1">
      <c r="B699" s="1" t="s">
        <v>2281</v>
      </c>
      <c r="C699" s="1" t="s">
        <v>3633</v>
      </c>
      <c r="D699" s="411" t="str">
        <f t="shared" si="11"/>
        <v>13-01</v>
      </c>
      <c r="E699" s="273" t="e">
        <f ca="1">_xludf.IFNA(VLOOKUP('Comp X - UP'!B699,'Urban Plastix Holds'!$I$37:$U$705,9,0),0)</f>
        <v>#NAME?</v>
      </c>
      <c r="F699" s="274"/>
      <c r="G699" s="274" t="e">
        <f t="shared" ca="1" si="6"/>
        <v>#NAME?</v>
      </c>
      <c r="H699" s="274">
        <f t="shared" si="7"/>
        <v>0</v>
      </c>
    </row>
    <row r="700" spans="2:8" ht="13.5" customHeight="1">
      <c r="B700" s="1" t="s">
        <v>2281</v>
      </c>
      <c r="C700" s="1" t="s">
        <v>3633</v>
      </c>
      <c r="D700" s="413" t="str">
        <f t="shared" si="11"/>
        <v>07-13</v>
      </c>
      <c r="E700" s="273" t="e">
        <f ca="1">_xludf.IFNA(VLOOKUP('Comp X - UP'!B700,'Urban Plastix Holds'!$I$37:$U$705,10,0),0)</f>
        <v>#NAME?</v>
      </c>
      <c r="F700" s="274"/>
      <c r="G700" s="274" t="e">
        <f t="shared" ca="1" si="6"/>
        <v>#NAME?</v>
      </c>
      <c r="H700" s="274">
        <f t="shared" si="7"/>
        <v>0</v>
      </c>
    </row>
    <row r="701" spans="2:8" ht="13.5" customHeight="1">
      <c r="B701" s="1" t="s">
        <v>2281</v>
      </c>
      <c r="C701" s="1" t="s">
        <v>3633</v>
      </c>
      <c r="D701" s="414" t="str">
        <f t="shared" si="11"/>
        <v>11-26</v>
      </c>
      <c r="E701" s="273" t="e">
        <f ca="1">_xludf.IFNA(VLOOKUP('Comp X - UP'!B701,'Urban Plastix Holds'!$I$37:$U$705,11,0),0)</f>
        <v>#NAME?</v>
      </c>
      <c r="F701" s="274"/>
      <c r="G701" s="274" t="e">
        <f t="shared" ca="1" si="6"/>
        <v>#NAME?</v>
      </c>
      <c r="H701" s="274">
        <f t="shared" si="7"/>
        <v>0</v>
      </c>
    </row>
    <row r="702" spans="2:8" ht="13.5" customHeight="1">
      <c r="B702" s="1" t="s">
        <v>2281</v>
      </c>
      <c r="C702" s="1" t="s">
        <v>3633</v>
      </c>
      <c r="D702" s="415" t="str">
        <f t="shared" si="11"/>
        <v>18-01</v>
      </c>
      <c r="E702" s="273" t="e">
        <f ca="1">_xludf.IFNA(VLOOKUP('Comp X - UP'!B702,'Urban Plastix Holds'!$I$37:$U$705,12,0),0)</f>
        <v>#NAME?</v>
      </c>
      <c r="F702" s="274"/>
      <c r="G702" s="274" t="e">
        <f t="shared" ca="1" si="6"/>
        <v>#NAME?</v>
      </c>
      <c r="H702" s="274">
        <f t="shared" si="7"/>
        <v>0</v>
      </c>
    </row>
    <row r="703" spans="2:8" ht="13.5" customHeight="1">
      <c r="B703" s="1" t="s">
        <v>2281</v>
      </c>
      <c r="C703" s="1" t="s">
        <v>3633</v>
      </c>
      <c r="D703" s="416" t="str">
        <f t="shared" si="11"/>
        <v>Color Code</v>
      </c>
      <c r="E703" s="273" t="e">
        <f ca="1">_xludf.IFNA(VLOOKUP('Comp X - UP'!B703,'Urban Plastix Holds'!$I$37:$U$705,13,0),0)</f>
        <v>#NAME?</v>
      </c>
      <c r="F703" s="274"/>
      <c r="G703" s="274" t="e">
        <f t="shared" ca="1" si="6"/>
        <v>#NAME?</v>
      </c>
      <c r="H703" s="274">
        <f t="shared" si="7"/>
        <v>0</v>
      </c>
    </row>
    <row r="704" spans="2:8" ht="13.5" customHeight="1">
      <c r="B704" s="1" t="s">
        <v>2282</v>
      </c>
      <c r="C704" s="1" t="s">
        <v>3634</v>
      </c>
      <c r="D704" s="406" t="str">
        <f t="shared" si="11"/>
        <v>11-12</v>
      </c>
      <c r="E704" s="273" t="e">
        <f ca="1">_xludf.IFNA(VLOOKUP('Comp X - UP'!B704,'Urban Plastix Holds'!$I$37:$U$705,5,0),0)</f>
        <v>#NAME?</v>
      </c>
      <c r="F704" s="274"/>
      <c r="G704" s="274" t="e">
        <f t="shared" ca="1" si="6"/>
        <v>#NAME?</v>
      </c>
      <c r="H704" s="274">
        <f t="shared" si="7"/>
        <v>0</v>
      </c>
    </row>
    <row r="705" spans="2:8" ht="13.5" customHeight="1">
      <c r="B705" s="1" t="s">
        <v>2282</v>
      </c>
      <c r="C705" s="1" t="s">
        <v>3634</v>
      </c>
      <c r="D705" s="408" t="str">
        <f t="shared" si="11"/>
        <v>14-01</v>
      </c>
      <c r="E705" s="273" t="e">
        <f ca="1">_xludf.IFNA(VLOOKUP('Comp X - UP'!B705,'Urban Plastix Holds'!$I$37:$U$705,6,0),0)</f>
        <v>#NAME?</v>
      </c>
      <c r="F705" s="274"/>
      <c r="G705" s="274" t="e">
        <f t="shared" ca="1" si="6"/>
        <v>#NAME?</v>
      </c>
      <c r="H705" s="274">
        <f t="shared" si="7"/>
        <v>0</v>
      </c>
    </row>
    <row r="706" spans="2:8" ht="13.5" customHeight="1">
      <c r="B706" s="1" t="s">
        <v>2282</v>
      </c>
      <c r="C706" s="1" t="s">
        <v>3634</v>
      </c>
      <c r="D706" s="409" t="str">
        <f t="shared" si="11"/>
        <v>15-12</v>
      </c>
      <c r="E706" s="273" t="e">
        <f ca="1">_xludf.IFNA(VLOOKUP('Comp X - UP'!B706,'Urban Plastix Holds'!$I$37:$U$705,7,0),0)</f>
        <v>#NAME?</v>
      </c>
      <c r="F706" s="274"/>
      <c r="G706" s="274" t="e">
        <f t="shared" ca="1" si="6"/>
        <v>#NAME?</v>
      </c>
      <c r="H706" s="274">
        <f t="shared" si="7"/>
        <v>0</v>
      </c>
    </row>
    <row r="707" spans="2:8" ht="13.5" customHeight="1">
      <c r="B707" s="1" t="s">
        <v>2282</v>
      </c>
      <c r="C707" s="1" t="s">
        <v>3634</v>
      </c>
      <c r="D707" s="410" t="str">
        <f t="shared" si="11"/>
        <v>16-16</v>
      </c>
      <c r="E707" s="273" t="e">
        <f ca="1">_xludf.IFNA(VLOOKUP('Comp X - UP'!B707,'Urban Plastix Holds'!$I$37:$U$705,8,0),0)</f>
        <v>#NAME?</v>
      </c>
      <c r="F707" s="274"/>
      <c r="G707" s="274" t="e">
        <f t="shared" ca="1" si="6"/>
        <v>#NAME?</v>
      </c>
      <c r="H707" s="274">
        <f t="shared" si="7"/>
        <v>0</v>
      </c>
    </row>
    <row r="708" spans="2:8" ht="13.5" customHeight="1">
      <c r="B708" s="1" t="s">
        <v>2282</v>
      </c>
      <c r="C708" s="1" t="s">
        <v>3634</v>
      </c>
      <c r="D708" s="411" t="str">
        <f t="shared" si="11"/>
        <v>13-01</v>
      </c>
      <c r="E708" s="273" t="e">
        <f ca="1">_xludf.IFNA(VLOOKUP('Comp X - UP'!B708,'Urban Plastix Holds'!$I$37:$U$705,9,0),0)</f>
        <v>#NAME?</v>
      </c>
      <c r="F708" s="274"/>
      <c r="G708" s="274" t="e">
        <f t="shared" ca="1" si="6"/>
        <v>#NAME?</v>
      </c>
      <c r="H708" s="274">
        <f t="shared" si="7"/>
        <v>0</v>
      </c>
    </row>
    <row r="709" spans="2:8" ht="13.5" customHeight="1">
      <c r="B709" s="1" t="s">
        <v>2282</v>
      </c>
      <c r="C709" s="1" t="s">
        <v>3634</v>
      </c>
      <c r="D709" s="413" t="str">
        <f t="shared" si="11"/>
        <v>07-13</v>
      </c>
      <c r="E709" s="273" t="e">
        <f ca="1">_xludf.IFNA(VLOOKUP('Comp X - UP'!B709,'Urban Plastix Holds'!$I$37:$U$705,10,0),0)</f>
        <v>#NAME?</v>
      </c>
      <c r="F709" s="274"/>
      <c r="G709" s="274" t="e">
        <f t="shared" ca="1" si="6"/>
        <v>#NAME?</v>
      </c>
      <c r="H709" s="274">
        <f t="shared" si="7"/>
        <v>0</v>
      </c>
    </row>
    <row r="710" spans="2:8" ht="13.5" customHeight="1">
      <c r="B710" s="1" t="s">
        <v>2282</v>
      </c>
      <c r="C710" s="1" t="s">
        <v>3634</v>
      </c>
      <c r="D710" s="414" t="str">
        <f t="shared" si="11"/>
        <v>11-26</v>
      </c>
      <c r="E710" s="273" t="e">
        <f ca="1">_xludf.IFNA(VLOOKUP('Comp X - UP'!B710,'Urban Plastix Holds'!$I$37:$U$705,11,0),0)</f>
        <v>#NAME?</v>
      </c>
      <c r="F710" s="274"/>
      <c r="G710" s="274" t="e">
        <f t="shared" ca="1" si="6"/>
        <v>#NAME?</v>
      </c>
      <c r="H710" s="274">
        <f t="shared" si="7"/>
        <v>0</v>
      </c>
    </row>
    <row r="711" spans="2:8" ht="13.5" customHeight="1">
      <c r="B711" s="1" t="s">
        <v>2282</v>
      </c>
      <c r="C711" s="1" t="s">
        <v>3634</v>
      </c>
      <c r="D711" s="415" t="str">
        <f t="shared" si="11"/>
        <v>18-01</v>
      </c>
      <c r="E711" s="273" t="e">
        <f ca="1">_xludf.IFNA(VLOOKUP('Comp X - UP'!B711,'Urban Plastix Holds'!$I$37:$U$705,12,0),0)</f>
        <v>#NAME?</v>
      </c>
      <c r="F711" s="274"/>
      <c r="G711" s="274" t="e">
        <f t="shared" ca="1" si="6"/>
        <v>#NAME?</v>
      </c>
      <c r="H711" s="274">
        <f t="shared" si="7"/>
        <v>0</v>
      </c>
    </row>
    <row r="712" spans="2:8" ht="13.5" customHeight="1">
      <c r="B712" s="1" t="s">
        <v>2282</v>
      </c>
      <c r="C712" s="1" t="s">
        <v>3634</v>
      </c>
      <c r="D712" s="416" t="str">
        <f t="shared" si="11"/>
        <v>Color Code</v>
      </c>
      <c r="E712" s="273" t="e">
        <f ca="1">_xludf.IFNA(VLOOKUP('Comp X - UP'!B712,'Urban Plastix Holds'!$I$37:$U$705,13,0),0)</f>
        <v>#NAME?</v>
      </c>
      <c r="F712" s="274"/>
      <c r="G712" s="274" t="e">
        <f t="shared" ca="1" si="6"/>
        <v>#NAME?</v>
      </c>
      <c r="H712" s="274">
        <f t="shared" si="7"/>
        <v>0</v>
      </c>
    </row>
    <row r="713" spans="2:8" ht="13.5" customHeight="1">
      <c r="B713" s="1" t="s">
        <v>2222</v>
      </c>
      <c r="C713" s="1" t="s">
        <v>3635</v>
      </c>
      <c r="D713" s="406" t="str">
        <f t="shared" ref="D713:D757" si="12">D560</f>
        <v>11-12</v>
      </c>
      <c r="E713" s="273" t="e">
        <f ca="1">_xludf.IFNA(VLOOKUP('Comp X - UP'!B713,'Urban Plastix Holds'!$I$37:$U$705,5,0),0)</f>
        <v>#NAME?</v>
      </c>
      <c r="F713" s="274"/>
      <c r="G713" s="274" t="e">
        <f t="shared" ca="1" si="6"/>
        <v>#NAME?</v>
      </c>
      <c r="H713" s="274">
        <f t="shared" si="7"/>
        <v>0</v>
      </c>
    </row>
    <row r="714" spans="2:8" ht="13.5" customHeight="1">
      <c r="B714" s="1" t="s">
        <v>2222</v>
      </c>
      <c r="C714" s="1" t="s">
        <v>3635</v>
      </c>
      <c r="D714" s="408" t="str">
        <f t="shared" si="12"/>
        <v>14-01</v>
      </c>
      <c r="E714" s="273" t="e">
        <f ca="1">_xludf.IFNA(VLOOKUP('Comp X - UP'!B714,'Urban Plastix Holds'!$I$37:$U$705,6,0),0)</f>
        <v>#NAME?</v>
      </c>
      <c r="F714" s="274"/>
      <c r="G714" s="274" t="e">
        <f t="shared" ca="1" si="6"/>
        <v>#NAME?</v>
      </c>
      <c r="H714" s="274">
        <f t="shared" si="7"/>
        <v>0</v>
      </c>
    </row>
    <row r="715" spans="2:8" ht="13.5" customHeight="1">
      <c r="B715" s="1" t="s">
        <v>2222</v>
      </c>
      <c r="C715" s="1" t="s">
        <v>3635</v>
      </c>
      <c r="D715" s="409" t="str">
        <f t="shared" si="12"/>
        <v>15-12</v>
      </c>
      <c r="E715" s="273" t="e">
        <f ca="1">_xludf.IFNA(VLOOKUP('Comp X - UP'!B715,'Urban Plastix Holds'!$I$37:$U$705,7,0),0)</f>
        <v>#NAME?</v>
      </c>
      <c r="F715" s="274"/>
      <c r="G715" s="274" t="e">
        <f t="shared" ca="1" si="6"/>
        <v>#NAME?</v>
      </c>
      <c r="H715" s="274">
        <f t="shared" si="7"/>
        <v>0</v>
      </c>
    </row>
    <row r="716" spans="2:8" ht="13.5" customHeight="1">
      <c r="B716" s="1" t="s">
        <v>2222</v>
      </c>
      <c r="C716" s="1" t="s">
        <v>3635</v>
      </c>
      <c r="D716" s="410" t="str">
        <f t="shared" si="12"/>
        <v>16-16</v>
      </c>
      <c r="E716" s="273" t="e">
        <f ca="1">_xludf.IFNA(VLOOKUP('Comp X - UP'!B716,'Urban Plastix Holds'!$I$37:$U$705,8,0),0)</f>
        <v>#NAME?</v>
      </c>
      <c r="F716" s="274"/>
      <c r="G716" s="274" t="e">
        <f t="shared" ca="1" si="6"/>
        <v>#NAME?</v>
      </c>
      <c r="H716" s="274">
        <f t="shared" si="7"/>
        <v>0</v>
      </c>
    </row>
    <row r="717" spans="2:8" ht="13.5" customHeight="1">
      <c r="B717" s="1" t="s">
        <v>2222</v>
      </c>
      <c r="C717" s="1" t="s">
        <v>3635</v>
      </c>
      <c r="D717" s="411" t="str">
        <f t="shared" si="12"/>
        <v>13-01</v>
      </c>
      <c r="E717" s="273" t="e">
        <f ca="1">_xludf.IFNA(VLOOKUP('Comp X - UP'!B717,'Urban Plastix Holds'!$I$37:$U$705,9,0),0)</f>
        <v>#NAME?</v>
      </c>
      <c r="F717" s="274"/>
      <c r="G717" s="274" t="e">
        <f t="shared" ca="1" si="6"/>
        <v>#NAME?</v>
      </c>
      <c r="H717" s="274">
        <f t="shared" si="7"/>
        <v>0</v>
      </c>
    </row>
    <row r="718" spans="2:8" ht="13.5" customHeight="1">
      <c r="B718" s="1" t="s">
        <v>2222</v>
      </c>
      <c r="C718" s="1" t="s">
        <v>3635</v>
      </c>
      <c r="D718" s="413" t="str">
        <f t="shared" si="12"/>
        <v>07-13</v>
      </c>
      <c r="E718" s="273" t="e">
        <f ca="1">_xludf.IFNA(VLOOKUP('Comp X - UP'!B718,'Urban Plastix Holds'!$I$37:$U$705,10,0),0)</f>
        <v>#NAME?</v>
      </c>
      <c r="F718" s="274"/>
      <c r="G718" s="274" t="e">
        <f t="shared" ca="1" si="6"/>
        <v>#NAME?</v>
      </c>
      <c r="H718" s="274">
        <f t="shared" si="7"/>
        <v>0</v>
      </c>
    </row>
    <row r="719" spans="2:8" ht="13.5" customHeight="1">
      <c r="B719" s="1" t="s">
        <v>2222</v>
      </c>
      <c r="C719" s="1" t="s">
        <v>3635</v>
      </c>
      <c r="D719" s="414" t="str">
        <f t="shared" si="12"/>
        <v>11-26</v>
      </c>
      <c r="E719" s="273" t="e">
        <f ca="1">_xludf.IFNA(VLOOKUP('Comp X - UP'!B719,'Urban Plastix Holds'!$I$37:$U$705,11,0),0)</f>
        <v>#NAME?</v>
      </c>
      <c r="F719" s="274"/>
      <c r="G719" s="274" t="e">
        <f t="shared" ca="1" si="6"/>
        <v>#NAME?</v>
      </c>
      <c r="H719" s="274">
        <f t="shared" si="7"/>
        <v>0</v>
      </c>
    </row>
    <row r="720" spans="2:8" ht="13.5" customHeight="1">
      <c r="B720" s="1" t="s">
        <v>2222</v>
      </c>
      <c r="C720" s="1" t="s">
        <v>3635</v>
      </c>
      <c r="D720" s="415" t="str">
        <f t="shared" si="12"/>
        <v>18-01</v>
      </c>
      <c r="E720" s="273" t="e">
        <f ca="1">_xludf.IFNA(VLOOKUP('Comp X - UP'!B720,'Urban Plastix Holds'!$I$37:$U$705,12,0),0)</f>
        <v>#NAME?</v>
      </c>
      <c r="F720" s="274"/>
      <c r="G720" s="274" t="e">
        <f t="shared" ca="1" si="6"/>
        <v>#NAME?</v>
      </c>
      <c r="H720" s="274">
        <f t="shared" si="7"/>
        <v>0</v>
      </c>
    </row>
    <row r="721" spans="2:8" ht="13.5" customHeight="1">
      <c r="B721" s="1" t="s">
        <v>2222</v>
      </c>
      <c r="C721" s="1" t="s">
        <v>3635</v>
      </c>
      <c r="D721" s="416" t="str">
        <f t="shared" si="12"/>
        <v>Color Code</v>
      </c>
      <c r="E721" s="273" t="e">
        <f ca="1">_xludf.IFNA(VLOOKUP('Comp X - UP'!B721,'Urban Plastix Holds'!$I$37:$U$705,13,0),0)</f>
        <v>#NAME?</v>
      </c>
      <c r="F721" s="274"/>
      <c r="G721" s="274" t="e">
        <f t="shared" ca="1" si="6"/>
        <v>#NAME?</v>
      </c>
      <c r="H721" s="274">
        <f t="shared" si="7"/>
        <v>0</v>
      </c>
    </row>
    <row r="722" spans="2:8" ht="13.5" customHeight="1">
      <c r="B722" s="1" t="s">
        <v>2255</v>
      </c>
      <c r="C722" s="1" t="s">
        <v>3636</v>
      </c>
      <c r="D722" s="406" t="str">
        <f t="shared" si="12"/>
        <v>11-12</v>
      </c>
      <c r="E722" s="273" t="e">
        <f ca="1">_xludf.IFNA(VLOOKUP('Comp X - UP'!B722,'Urban Plastix Holds'!$I$37:$U$705,5,0),0)</f>
        <v>#NAME?</v>
      </c>
      <c r="F722" s="274"/>
      <c r="G722" s="274" t="e">
        <f t="shared" ca="1" si="6"/>
        <v>#NAME?</v>
      </c>
      <c r="H722" s="274">
        <f t="shared" si="7"/>
        <v>0</v>
      </c>
    </row>
    <row r="723" spans="2:8" ht="13.5" customHeight="1">
      <c r="B723" s="1" t="s">
        <v>2255</v>
      </c>
      <c r="C723" s="1" t="s">
        <v>3636</v>
      </c>
      <c r="D723" s="408" t="str">
        <f t="shared" si="12"/>
        <v>14-01</v>
      </c>
      <c r="E723" s="273" t="e">
        <f ca="1">_xludf.IFNA(VLOOKUP('Comp X - UP'!B723,'Urban Plastix Holds'!$I$37:$U$705,6,0),0)</f>
        <v>#NAME?</v>
      </c>
      <c r="F723" s="274"/>
      <c r="G723" s="274" t="e">
        <f t="shared" ca="1" si="6"/>
        <v>#NAME?</v>
      </c>
      <c r="H723" s="274">
        <f t="shared" si="7"/>
        <v>0</v>
      </c>
    </row>
    <row r="724" spans="2:8" ht="13.5" customHeight="1">
      <c r="B724" s="1" t="s">
        <v>2255</v>
      </c>
      <c r="C724" s="1" t="s">
        <v>3636</v>
      </c>
      <c r="D724" s="409" t="str">
        <f t="shared" si="12"/>
        <v>15-12</v>
      </c>
      <c r="E724" s="273" t="e">
        <f ca="1">_xludf.IFNA(VLOOKUP('Comp X - UP'!B724,'Urban Plastix Holds'!$I$37:$U$705,7,0),0)</f>
        <v>#NAME?</v>
      </c>
      <c r="F724" s="274"/>
      <c r="G724" s="274" t="e">
        <f t="shared" ca="1" si="6"/>
        <v>#NAME?</v>
      </c>
      <c r="H724" s="274">
        <f t="shared" si="7"/>
        <v>0</v>
      </c>
    </row>
    <row r="725" spans="2:8" ht="13.5" customHeight="1">
      <c r="B725" s="1" t="s">
        <v>2255</v>
      </c>
      <c r="C725" s="1" t="s">
        <v>3636</v>
      </c>
      <c r="D725" s="410" t="str">
        <f t="shared" si="12"/>
        <v>16-16</v>
      </c>
      <c r="E725" s="273" t="e">
        <f ca="1">_xludf.IFNA(VLOOKUP('Comp X - UP'!B725,'Urban Plastix Holds'!$I$37:$U$705,8,0),0)</f>
        <v>#NAME?</v>
      </c>
      <c r="F725" s="274"/>
      <c r="G725" s="274" t="e">
        <f t="shared" ca="1" si="6"/>
        <v>#NAME?</v>
      </c>
      <c r="H725" s="274">
        <f t="shared" si="7"/>
        <v>0</v>
      </c>
    </row>
    <row r="726" spans="2:8" ht="13.5" customHeight="1">
      <c r="B726" s="1" t="s">
        <v>2255</v>
      </c>
      <c r="C726" s="1" t="s">
        <v>3636</v>
      </c>
      <c r="D726" s="411" t="str">
        <f t="shared" si="12"/>
        <v>13-01</v>
      </c>
      <c r="E726" s="273" t="e">
        <f ca="1">_xludf.IFNA(VLOOKUP('Comp X - UP'!B726,'Urban Plastix Holds'!$I$37:$U$705,9,0),0)</f>
        <v>#NAME?</v>
      </c>
      <c r="F726" s="274"/>
      <c r="G726" s="274" t="e">
        <f t="shared" ca="1" si="6"/>
        <v>#NAME?</v>
      </c>
      <c r="H726" s="274">
        <f t="shared" si="7"/>
        <v>0</v>
      </c>
    </row>
    <row r="727" spans="2:8" ht="13.5" customHeight="1">
      <c r="B727" s="1" t="s">
        <v>2255</v>
      </c>
      <c r="C727" s="1" t="s">
        <v>3636</v>
      </c>
      <c r="D727" s="413" t="str">
        <f t="shared" si="12"/>
        <v>07-13</v>
      </c>
      <c r="E727" s="273" t="e">
        <f ca="1">_xludf.IFNA(VLOOKUP('Comp X - UP'!B727,'Urban Plastix Holds'!$I$37:$U$705,10,0),0)</f>
        <v>#NAME?</v>
      </c>
      <c r="F727" s="274"/>
      <c r="G727" s="274" t="e">
        <f t="shared" ca="1" si="6"/>
        <v>#NAME?</v>
      </c>
      <c r="H727" s="274">
        <f t="shared" si="7"/>
        <v>0</v>
      </c>
    </row>
    <row r="728" spans="2:8" ht="13.5" customHeight="1">
      <c r="B728" s="1" t="s">
        <v>2255</v>
      </c>
      <c r="C728" s="1" t="s">
        <v>3636</v>
      </c>
      <c r="D728" s="414" t="str">
        <f t="shared" si="12"/>
        <v>11-26</v>
      </c>
      <c r="E728" s="273" t="e">
        <f ca="1">_xludf.IFNA(VLOOKUP('Comp X - UP'!B728,'Urban Plastix Holds'!$I$37:$U$705,11,0),0)</f>
        <v>#NAME?</v>
      </c>
      <c r="F728" s="274"/>
      <c r="G728" s="274" t="e">
        <f t="shared" ca="1" si="6"/>
        <v>#NAME?</v>
      </c>
      <c r="H728" s="274">
        <f t="shared" si="7"/>
        <v>0</v>
      </c>
    </row>
    <row r="729" spans="2:8" ht="13.5" customHeight="1">
      <c r="B729" s="1" t="s">
        <v>2255</v>
      </c>
      <c r="C729" s="1" t="s">
        <v>3636</v>
      </c>
      <c r="D729" s="415" t="str">
        <f t="shared" si="12"/>
        <v>18-01</v>
      </c>
      <c r="E729" s="273" t="e">
        <f ca="1">_xludf.IFNA(VLOOKUP('Comp X - UP'!B729,'Urban Plastix Holds'!$I$37:$U$705,12,0),0)</f>
        <v>#NAME?</v>
      </c>
      <c r="F729" s="274"/>
      <c r="G729" s="274" t="e">
        <f t="shared" ca="1" si="6"/>
        <v>#NAME?</v>
      </c>
      <c r="H729" s="274">
        <f t="shared" si="7"/>
        <v>0</v>
      </c>
    </row>
    <row r="730" spans="2:8" ht="13.5" customHeight="1">
      <c r="B730" s="1" t="s">
        <v>2255</v>
      </c>
      <c r="C730" s="1" t="s">
        <v>3636</v>
      </c>
      <c r="D730" s="416" t="str">
        <f t="shared" si="12"/>
        <v>Color Code</v>
      </c>
      <c r="E730" s="273" t="e">
        <f ca="1">_xludf.IFNA(VLOOKUP('Comp X - UP'!B730,'Urban Plastix Holds'!$I$37:$U$705,13,0),0)</f>
        <v>#NAME?</v>
      </c>
      <c r="F730" s="274"/>
      <c r="G730" s="274" t="e">
        <f t="shared" ca="1" si="6"/>
        <v>#NAME?</v>
      </c>
      <c r="H730" s="274">
        <f t="shared" si="7"/>
        <v>0</v>
      </c>
    </row>
    <row r="731" spans="2:8" ht="13.5" customHeight="1">
      <c r="B731" s="1" t="s">
        <v>2220</v>
      </c>
      <c r="C731" s="1" t="s">
        <v>3637</v>
      </c>
      <c r="D731" s="406" t="str">
        <f t="shared" si="12"/>
        <v>11-12</v>
      </c>
      <c r="E731" s="273" t="e">
        <f ca="1">_xludf.IFNA(VLOOKUP('Comp X - UP'!B731,'Urban Plastix Holds'!$I$37:$U$705,5,0),0)</f>
        <v>#NAME?</v>
      </c>
      <c r="F731" s="274"/>
      <c r="G731" s="274" t="e">
        <f t="shared" ca="1" si="6"/>
        <v>#NAME?</v>
      </c>
      <c r="H731" s="274">
        <f t="shared" si="7"/>
        <v>0</v>
      </c>
    </row>
    <row r="732" spans="2:8" ht="13.5" customHeight="1">
      <c r="B732" s="1" t="s">
        <v>2220</v>
      </c>
      <c r="C732" s="1" t="s">
        <v>3637</v>
      </c>
      <c r="D732" s="408" t="str">
        <f t="shared" si="12"/>
        <v>14-01</v>
      </c>
      <c r="E732" s="273" t="e">
        <f ca="1">_xludf.IFNA(VLOOKUP('Comp X - UP'!B732,'Urban Plastix Holds'!$I$37:$U$705,6,0),0)</f>
        <v>#NAME?</v>
      </c>
      <c r="F732" s="274"/>
      <c r="G732" s="274" t="e">
        <f t="shared" ca="1" si="6"/>
        <v>#NAME?</v>
      </c>
      <c r="H732" s="274">
        <f t="shared" si="7"/>
        <v>0</v>
      </c>
    </row>
    <row r="733" spans="2:8" ht="13.5" customHeight="1">
      <c r="B733" s="1" t="s">
        <v>2220</v>
      </c>
      <c r="C733" s="1" t="s">
        <v>3637</v>
      </c>
      <c r="D733" s="409" t="str">
        <f t="shared" si="12"/>
        <v>15-12</v>
      </c>
      <c r="E733" s="273" t="e">
        <f ca="1">_xludf.IFNA(VLOOKUP('Comp X - UP'!B733,'Urban Plastix Holds'!$I$37:$U$705,7,0),0)</f>
        <v>#NAME?</v>
      </c>
      <c r="F733" s="274"/>
      <c r="G733" s="274" t="e">
        <f t="shared" ca="1" si="6"/>
        <v>#NAME?</v>
      </c>
      <c r="H733" s="274">
        <f t="shared" si="7"/>
        <v>0</v>
      </c>
    </row>
    <row r="734" spans="2:8" ht="13.5" customHeight="1">
      <c r="B734" s="1" t="s">
        <v>2220</v>
      </c>
      <c r="C734" s="1" t="s">
        <v>3637</v>
      </c>
      <c r="D734" s="410" t="str">
        <f t="shared" si="12"/>
        <v>16-16</v>
      </c>
      <c r="E734" s="273" t="e">
        <f ca="1">_xludf.IFNA(VLOOKUP('Comp X - UP'!B734,'Urban Plastix Holds'!$I$37:$U$705,8,0),0)</f>
        <v>#NAME?</v>
      </c>
      <c r="F734" s="274"/>
      <c r="G734" s="274" t="e">
        <f t="shared" ca="1" si="6"/>
        <v>#NAME?</v>
      </c>
      <c r="H734" s="274">
        <f t="shared" si="7"/>
        <v>0</v>
      </c>
    </row>
    <row r="735" spans="2:8" ht="13.5" customHeight="1">
      <c r="B735" s="1" t="s">
        <v>2220</v>
      </c>
      <c r="C735" s="1" t="s">
        <v>3637</v>
      </c>
      <c r="D735" s="411" t="str">
        <f t="shared" si="12"/>
        <v>13-01</v>
      </c>
      <c r="E735" s="273" t="e">
        <f ca="1">_xludf.IFNA(VLOOKUP('Comp X - UP'!B735,'Urban Plastix Holds'!$I$37:$U$705,9,0),0)</f>
        <v>#NAME?</v>
      </c>
      <c r="F735" s="274"/>
      <c r="G735" s="274" t="e">
        <f t="shared" ca="1" si="6"/>
        <v>#NAME?</v>
      </c>
      <c r="H735" s="274">
        <f t="shared" si="7"/>
        <v>0</v>
      </c>
    </row>
    <row r="736" spans="2:8" ht="13.5" customHeight="1">
      <c r="B736" s="1" t="s">
        <v>2220</v>
      </c>
      <c r="C736" s="1" t="s">
        <v>3637</v>
      </c>
      <c r="D736" s="413" t="str">
        <f t="shared" si="12"/>
        <v>07-13</v>
      </c>
      <c r="E736" s="273" t="e">
        <f ca="1">_xludf.IFNA(VLOOKUP('Comp X - UP'!B736,'Urban Plastix Holds'!$I$37:$U$705,10,0),0)</f>
        <v>#NAME?</v>
      </c>
      <c r="F736" s="274"/>
      <c r="G736" s="274" t="e">
        <f t="shared" ca="1" si="6"/>
        <v>#NAME?</v>
      </c>
      <c r="H736" s="274">
        <f t="shared" si="7"/>
        <v>0</v>
      </c>
    </row>
    <row r="737" spans="2:8" ht="13.5" customHeight="1">
      <c r="B737" s="1" t="s">
        <v>2220</v>
      </c>
      <c r="C737" s="1" t="s">
        <v>3637</v>
      </c>
      <c r="D737" s="414" t="str">
        <f t="shared" si="12"/>
        <v>11-26</v>
      </c>
      <c r="E737" s="273" t="e">
        <f ca="1">_xludf.IFNA(VLOOKUP('Comp X - UP'!B737,'Urban Plastix Holds'!$I$37:$U$705,11,0),0)</f>
        <v>#NAME?</v>
      </c>
      <c r="F737" s="274"/>
      <c r="G737" s="274" t="e">
        <f t="shared" ca="1" si="6"/>
        <v>#NAME?</v>
      </c>
      <c r="H737" s="274">
        <f t="shared" si="7"/>
        <v>0</v>
      </c>
    </row>
    <row r="738" spans="2:8" ht="13.5" customHeight="1">
      <c r="B738" s="1" t="s">
        <v>2220</v>
      </c>
      <c r="C738" s="1" t="s">
        <v>3637</v>
      </c>
      <c r="D738" s="415" t="str">
        <f t="shared" si="12"/>
        <v>18-01</v>
      </c>
      <c r="E738" s="273" t="e">
        <f ca="1">_xludf.IFNA(VLOOKUP('Comp X - UP'!B738,'Urban Plastix Holds'!$I$37:$U$705,12,0),0)</f>
        <v>#NAME?</v>
      </c>
      <c r="F738" s="274"/>
      <c r="G738" s="274" t="e">
        <f t="shared" ca="1" si="6"/>
        <v>#NAME?</v>
      </c>
      <c r="H738" s="274">
        <f t="shared" si="7"/>
        <v>0</v>
      </c>
    </row>
    <row r="739" spans="2:8" ht="13.5" customHeight="1">
      <c r="B739" s="1" t="s">
        <v>2220</v>
      </c>
      <c r="C739" s="1" t="s">
        <v>3637</v>
      </c>
      <c r="D739" s="416" t="str">
        <f t="shared" si="12"/>
        <v>Color Code</v>
      </c>
      <c r="E739" s="273" t="e">
        <f ca="1">_xludf.IFNA(VLOOKUP('Comp X - UP'!B739,'Urban Plastix Holds'!$I$37:$U$705,13,0),0)</f>
        <v>#NAME?</v>
      </c>
      <c r="F739" s="274"/>
      <c r="G739" s="274" t="e">
        <f t="shared" ca="1" si="6"/>
        <v>#NAME?</v>
      </c>
      <c r="H739" s="274">
        <f t="shared" si="7"/>
        <v>0</v>
      </c>
    </row>
    <row r="740" spans="2:8" ht="13.5" customHeight="1">
      <c r="B740" s="1" t="s">
        <v>2218</v>
      </c>
      <c r="C740" s="1" t="s">
        <v>3638</v>
      </c>
      <c r="D740" s="406" t="str">
        <f t="shared" si="12"/>
        <v>11-12</v>
      </c>
      <c r="E740" s="273" t="e">
        <f ca="1">_xludf.IFNA(VLOOKUP('Comp X - UP'!B740,'Urban Plastix Holds'!$I$37:$U$705,5,0),0)</f>
        <v>#NAME?</v>
      </c>
      <c r="F740" s="274"/>
      <c r="G740" s="274" t="e">
        <f t="shared" ca="1" si="6"/>
        <v>#NAME?</v>
      </c>
      <c r="H740" s="274">
        <f t="shared" si="7"/>
        <v>0</v>
      </c>
    </row>
    <row r="741" spans="2:8" ht="13.5" customHeight="1">
      <c r="B741" s="1" t="s">
        <v>2218</v>
      </c>
      <c r="C741" s="1" t="s">
        <v>3638</v>
      </c>
      <c r="D741" s="408" t="str">
        <f t="shared" si="12"/>
        <v>14-01</v>
      </c>
      <c r="E741" s="273" t="e">
        <f ca="1">_xludf.IFNA(VLOOKUP('Comp X - UP'!B741,'Urban Plastix Holds'!$I$37:$U$705,6,0),0)</f>
        <v>#NAME?</v>
      </c>
      <c r="F741" s="274"/>
      <c r="G741" s="274" t="e">
        <f t="shared" ca="1" si="6"/>
        <v>#NAME?</v>
      </c>
      <c r="H741" s="274">
        <f t="shared" si="7"/>
        <v>0</v>
      </c>
    </row>
    <row r="742" spans="2:8" ht="13.5" customHeight="1">
      <c r="B742" s="1" t="s">
        <v>2218</v>
      </c>
      <c r="C742" s="1" t="s">
        <v>3638</v>
      </c>
      <c r="D742" s="409" t="str">
        <f t="shared" si="12"/>
        <v>15-12</v>
      </c>
      <c r="E742" s="273" t="e">
        <f ca="1">_xludf.IFNA(VLOOKUP('Comp X - UP'!B742,'Urban Plastix Holds'!$I$37:$U$705,7,0),0)</f>
        <v>#NAME?</v>
      </c>
      <c r="F742" s="274"/>
      <c r="G742" s="274" t="e">
        <f t="shared" ca="1" si="6"/>
        <v>#NAME?</v>
      </c>
      <c r="H742" s="274">
        <f t="shared" si="7"/>
        <v>0</v>
      </c>
    </row>
    <row r="743" spans="2:8" ht="13.5" customHeight="1">
      <c r="B743" s="1" t="s">
        <v>2218</v>
      </c>
      <c r="C743" s="1" t="s">
        <v>3638</v>
      </c>
      <c r="D743" s="410" t="str">
        <f t="shared" si="12"/>
        <v>16-16</v>
      </c>
      <c r="E743" s="273" t="e">
        <f ca="1">_xludf.IFNA(VLOOKUP('Comp X - UP'!B743,'Urban Plastix Holds'!$I$37:$U$705,8,0),0)</f>
        <v>#NAME?</v>
      </c>
      <c r="F743" s="274"/>
      <c r="G743" s="274" t="e">
        <f t="shared" ca="1" si="6"/>
        <v>#NAME?</v>
      </c>
      <c r="H743" s="274">
        <f t="shared" si="7"/>
        <v>0</v>
      </c>
    </row>
    <row r="744" spans="2:8" ht="13.5" customHeight="1">
      <c r="B744" s="1" t="s">
        <v>2218</v>
      </c>
      <c r="C744" s="1" t="s">
        <v>3638</v>
      </c>
      <c r="D744" s="411" t="str">
        <f t="shared" si="12"/>
        <v>13-01</v>
      </c>
      <c r="E744" s="273" t="e">
        <f ca="1">_xludf.IFNA(VLOOKUP('Comp X - UP'!B744,'Urban Plastix Holds'!$I$37:$U$705,9,0),0)</f>
        <v>#NAME?</v>
      </c>
      <c r="F744" s="274"/>
      <c r="G744" s="274" t="e">
        <f t="shared" ca="1" si="6"/>
        <v>#NAME?</v>
      </c>
      <c r="H744" s="274">
        <f t="shared" si="7"/>
        <v>0</v>
      </c>
    </row>
    <row r="745" spans="2:8" ht="13.5" customHeight="1">
      <c r="B745" s="1" t="s">
        <v>2218</v>
      </c>
      <c r="C745" s="1" t="s">
        <v>3638</v>
      </c>
      <c r="D745" s="413" t="str">
        <f t="shared" si="12"/>
        <v>07-13</v>
      </c>
      <c r="E745" s="273" t="e">
        <f ca="1">_xludf.IFNA(VLOOKUP('Comp X - UP'!B745,'Urban Plastix Holds'!$I$37:$U$705,10,0),0)</f>
        <v>#NAME?</v>
      </c>
      <c r="F745" s="274"/>
      <c r="G745" s="274" t="e">
        <f t="shared" ca="1" si="6"/>
        <v>#NAME?</v>
      </c>
      <c r="H745" s="274">
        <f t="shared" si="7"/>
        <v>0</v>
      </c>
    </row>
    <row r="746" spans="2:8" ht="13.5" customHeight="1">
      <c r="B746" s="1" t="s">
        <v>2218</v>
      </c>
      <c r="C746" s="1" t="s">
        <v>3638</v>
      </c>
      <c r="D746" s="414" t="str">
        <f t="shared" si="12"/>
        <v>11-26</v>
      </c>
      <c r="E746" s="273" t="e">
        <f ca="1">_xludf.IFNA(VLOOKUP('Comp X - UP'!B746,'Urban Plastix Holds'!$I$37:$U$705,11,0),0)</f>
        <v>#NAME?</v>
      </c>
      <c r="F746" s="274"/>
      <c r="G746" s="274" t="e">
        <f t="shared" ca="1" si="6"/>
        <v>#NAME?</v>
      </c>
      <c r="H746" s="274">
        <f t="shared" si="7"/>
        <v>0</v>
      </c>
    </row>
    <row r="747" spans="2:8" ht="13.5" customHeight="1">
      <c r="B747" s="1" t="s">
        <v>2218</v>
      </c>
      <c r="C747" s="1" t="s">
        <v>3638</v>
      </c>
      <c r="D747" s="415" t="str">
        <f t="shared" si="12"/>
        <v>18-01</v>
      </c>
      <c r="E747" s="273" t="e">
        <f ca="1">_xludf.IFNA(VLOOKUP('Comp X - UP'!B747,'Urban Plastix Holds'!$I$37:$U$705,12,0),0)</f>
        <v>#NAME?</v>
      </c>
      <c r="F747" s="274"/>
      <c r="G747" s="274" t="e">
        <f t="shared" ca="1" si="6"/>
        <v>#NAME?</v>
      </c>
      <c r="H747" s="274">
        <f t="shared" si="7"/>
        <v>0</v>
      </c>
    </row>
    <row r="748" spans="2:8" ht="13.5" customHeight="1">
      <c r="B748" s="1" t="s">
        <v>2218</v>
      </c>
      <c r="C748" s="1" t="s">
        <v>3638</v>
      </c>
      <c r="D748" s="416" t="str">
        <f t="shared" si="12"/>
        <v>Color Code</v>
      </c>
      <c r="E748" s="273" t="e">
        <f ca="1">_xludf.IFNA(VLOOKUP('Comp X - UP'!B748,'Urban Plastix Holds'!$I$37:$U$705,13,0),0)</f>
        <v>#NAME?</v>
      </c>
      <c r="F748" s="274"/>
      <c r="G748" s="274" t="e">
        <f t="shared" ca="1" si="6"/>
        <v>#NAME?</v>
      </c>
      <c r="H748" s="274">
        <f t="shared" si="7"/>
        <v>0</v>
      </c>
    </row>
    <row r="749" spans="2:8" ht="13.5" customHeight="1">
      <c r="B749" s="1" t="s">
        <v>2219</v>
      </c>
      <c r="C749" s="1" t="s">
        <v>3639</v>
      </c>
      <c r="D749" s="406" t="str">
        <f t="shared" si="12"/>
        <v>11-12</v>
      </c>
      <c r="E749" s="273" t="e">
        <f ca="1">_xludf.IFNA(VLOOKUP('Comp X - UP'!B749,'Urban Plastix Holds'!$I$37:$U$705,5,0),0)</f>
        <v>#NAME?</v>
      </c>
      <c r="F749" s="274"/>
      <c r="G749" s="274" t="e">
        <f t="shared" ca="1" si="6"/>
        <v>#NAME?</v>
      </c>
      <c r="H749" s="274">
        <f t="shared" si="7"/>
        <v>0</v>
      </c>
    </row>
    <row r="750" spans="2:8" ht="13.5" customHeight="1">
      <c r="B750" s="1" t="s">
        <v>2219</v>
      </c>
      <c r="C750" s="1" t="s">
        <v>3639</v>
      </c>
      <c r="D750" s="408" t="str">
        <f t="shared" si="12"/>
        <v>14-01</v>
      </c>
      <c r="E750" s="273" t="e">
        <f ca="1">_xludf.IFNA(VLOOKUP('Comp X - UP'!B750,'Urban Plastix Holds'!$I$37:$U$705,6,0),0)</f>
        <v>#NAME?</v>
      </c>
      <c r="F750" s="274"/>
      <c r="G750" s="274" t="e">
        <f t="shared" ca="1" si="6"/>
        <v>#NAME?</v>
      </c>
      <c r="H750" s="274">
        <f t="shared" si="7"/>
        <v>0</v>
      </c>
    </row>
    <row r="751" spans="2:8" ht="13.5" customHeight="1">
      <c r="B751" s="1" t="s">
        <v>2219</v>
      </c>
      <c r="C751" s="1" t="s">
        <v>3639</v>
      </c>
      <c r="D751" s="409" t="str">
        <f t="shared" si="12"/>
        <v>15-12</v>
      </c>
      <c r="E751" s="273" t="e">
        <f ca="1">_xludf.IFNA(VLOOKUP('Comp X - UP'!B751,'Urban Plastix Holds'!$I$37:$U$705,7,0),0)</f>
        <v>#NAME?</v>
      </c>
      <c r="F751" s="274"/>
      <c r="G751" s="274" t="e">
        <f t="shared" ca="1" si="6"/>
        <v>#NAME?</v>
      </c>
      <c r="H751" s="274">
        <f t="shared" si="7"/>
        <v>0</v>
      </c>
    </row>
    <row r="752" spans="2:8" ht="13.5" customHeight="1">
      <c r="B752" s="1" t="s">
        <v>2219</v>
      </c>
      <c r="C752" s="1" t="s">
        <v>3639</v>
      </c>
      <c r="D752" s="410" t="str">
        <f t="shared" si="12"/>
        <v>16-16</v>
      </c>
      <c r="E752" s="273" t="e">
        <f ca="1">_xludf.IFNA(VLOOKUP('Comp X - UP'!B752,'Urban Plastix Holds'!$I$37:$U$705,8,0),0)</f>
        <v>#NAME?</v>
      </c>
      <c r="F752" s="274"/>
      <c r="G752" s="274" t="e">
        <f t="shared" ca="1" si="6"/>
        <v>#NAME?</v>
      </c>
      <c r="H752" s="274">
        <f t="shared" si="7"/>
        <v>0</v>
      </c>
    </row>
    <row r="753" spans="2:8" ht="13.5" customHeight="1">
      <c r="B753" s="1" t="s">
        <v>2219</v>
      </c>
      <c r="C753" s="1" t="s">
        <v>3639</v>
      </c>
      <c r="D753" s="411" t="str">
        <f t="shared" si="12"/>
        <v>13-01</v>
      </c>
      <c r="E753" s="273" t="e">
        <f ca="1">_xludf.IFNA(VLOOKUP('Comp X - UP'!B753,'Urban Plastix Holds'!$I$37:$U$705,9,0),0)</f>
        <v>#NAME?</v>
      </c>
      <c r="F753" s="274"/>
      <c r="G753" s="274" t="e">
        <f t="shared" ca="1" si="6"/>
        <v>#NAME?</v>
      </c>
      <c r="H753" s="274">
        <f t="shared" si="7"/>
        <v>0</v>
      </c>
    </row>
    <row r="754" spans="2:8" ht="13.5" customHeight="1">
      <c r="B754" s="1" t="s">
        <v>2219</v>
      </c>
      <c r="C754" s="1" t="s">
        <v>3639</v>
      </c>
      <c r="D754" s="413" t="str">
        <f t="shared" si="12"/>
        <v>07-13</v>
      </c>
      <c r="E754" s="273" t="e">
        <f ca="1">_xludf.IFNA(VLOOKUP('Comp X - UP'!B754,'Urban Plastix Holds'!$I$37:$U$705,10,0),0)</f>
        <v>#NAME?</v>
      </c>
      <c r="F754" s="274"/>
      <c r="G754" s="274" t="e">
        <f t="shared" ca="1" si="6"/>
        <v>#NAME?</v>
      </c>
      <c r="H754" s="274">
        <f t="shared" si="7"/>
        <v>0</v>
      </c>
    </row>
    <row r="755" spans="2:8" ht="13.5" customHeight="1">
      <c r="B755" s="1" t="s">
        <v>2219</v>
      </c>
      <c r="C755" s="1" t="s">
        <v>3639</v>
      </c>
      <c r="D755" s="414" t="str">
        <f t="shared" si="12"/>
        <v>11-26</v>
      </c>
      <c r="E755" s="273" t="e">
        <f ca="1">_xludf.IFNA(VLOOKUP('Comp X - UP'!B755,'Urban Plastix Holds'!$I$37:$U$705,11,0),0)</f>
        <v>#NAME?</v>
      </c>
      <c r="F755" s="274"/>
      <c r="G755" s="274" t="e">
        <f t="shared" ca="1" si="6"/>
        <v>#NAME?</v>
      </c>
      <c r="H755" s="274">
        <f t="shared" si="7"/>
        <v>0</v>
      </c>
    </row>
    <row r="756" spans="2:8" ht="13.5" customHeight="1">
      <c r="B756" s="1" t="s">
        <v>2219</v>
      </c>
      <c r="C756" s="1" t="s">
        <v>3639</v>
      </c>
      <c r="D756" s="415" t="str">
        <f t="shared" si="12"/>
        <v>18-01</v>
      </c>
      <c r="E756" s="273" t="e">
        <f ca="1">_xludf.IFNA(VLOOKUP('Comp X - UP'!B756,'Urban Plastix Holds'!$I$37:$U$705,12,0),0)</f>
        <v>#NAME?</v>
      </c>
      <c r="F756" s="274"/>
      <c r="G756" s="274" t="e">
        <f t="shared" ca="1" si="6"/>
        <v>#NAME?</v>
      </c>
      <c r="H756" s="274">
        <f t="shared" si="7"/>
        <v>0</v>
      </c>
    </row>
    <row r="757" spans="2:8" ht="13.5" customHeight="1">
      <c r="B757" s="1" t="s">
        <v>2219</v>
      </c>
      <c r="C757" s="1" t="s">
        <v>3639</v>
      </c>
      <c r="D757" s="416" t="str">
        <f t="shared" si="12"/>
        <v>Color Code</v>
      </c>
      <c r="E757" s="273" t="e">
        <f ca="1">_xludf.IFNA(VLOOKUP('Comp X - UP'!B757,'Urban Plastix Holds'!$I$37:$U$705,13,0),0)</f>
        <v>#NAME?</v>
      </c>
      <c r="F757" s="274"/>
      <c r="G757" s="274" t="e">
        <f t="shared" ca="1" si="6"/>
        <v>#NAME?</v>
      </c>
      <c r="H757" s="274">
        <f t="shared" si="7"/>
        <v>0</v>
      </c>
    </row>
    <row r="758" spans="2:8" ht="13.5" customHeight="1">
      <c r="B758" s="1" t="s">
        <v>2259</v>
      </c>
      <c r="C758" s="1" t="s">
        <v>3640</v>
      </c>
      <c r="D758" s="406" t="str">
        <f t="shared" ref="D758:D775" si="13">D641</f>
        <v>11-12</v>
      </c>
      <c r="E758" s="273" t="e">
        <f ca="1">_xludf.IFNA(VLOOKUP('Comp X - UP'!B758,'Urban Plastix Holds'!$I$37:$U$705,5,0),0)</f>
        <v>#NAME?</v>
      </c>
      <c r="F758" s="274"/>
      <c r="G758" s="274" t="e">
        <f t="shared" ca="1" si="6"/>
        <v>#NAME?</v>
      </c>
      <c r="H758" s="274">
        <f t="shared" si="7"/>
        <v>0</v>
      </c>
    </row>
    <row r="759" spans="2:8" ht="13.5" customHeight="1">
      <c r="B759" s="1" t="s">
        <v>2259</v>
      </c>
      <c r="C759" s="1" t="s">
        <v>3640</v>
      </c>
      <c r="D759" s="408" t="str">
        <f t="shared" si="13"/>
        <v>14-01</v>
      </c>
      <c r="E759" s="273" t="e">
        <f ca="1">_xludf.IFNA(VLOOKUP('Comp X - UP'!B759,'Urban Plastix Holds'!$I$37:$U$705,6,0),0)</f>
        <v>#NAME?</v>
      </c>
      <c r="F759" s="274"/>
      <c r="G759" s="274" t="e">
        <f t="shared" ca="1" si="6"/>
        <v>#NAME?</v>
      </c>
      <c r="H759" s="274">
        <f t="shared" si="7"/>
        <v>0</v>
      </c>
    </row>
    <row r="760" spans="2:8" ht="13.5" customHeight="1">
      <c r="B760" s="1" t="s">
        <v>2259</v>
      </c>
      <c r="C760" s="1" t="s">
        <v>3640</v>
      </c>
      <c r="D760" s="409" t="str">
        <f t="shared" si="13"/>
        <v>15-12</v>
      </c>
      <c r="E760" s="273" t="e">
        <f ca="1">_xludf.IFNA(VLOOKUP('Comp X - UP'!B760,'Urban Plastix Holds'!$I$37:$U$705,7,0),0)</f>
        <v>#NAME?</v>
      </c>
      <c r="F760" s="274"/>
      <c r="G760" s="274" t="e">
        <f t="shared" ca="1" si="6"/>
        <v>#NAME?</v>
      </c>
      <c r="H760" s="274">
        <f t="shared" si="7"/>
        <v>0</v>
      </c>
    </row>
    <row r="761" spans="2:8" ht="13.5" customHeight="1">
      <c r="B761" s="1" t="s">
        <v>2259</v>
      </c>
      <c r="C761" s="1" t="s">
        <v>3640</v>
      </c>
      <c r="D761" s="410" t="str">
        <f t="shared" si="13"/>
        <v>16-16</v>
      </c>
      <c r="E761" s="273" t="e">
        <f ca="1">_xludf.IFNA(VLOOKUP('Comp X - UP'!B761,'Urban Plastix Holds'!$I$37:$U$705,8,0),0)</f>
        <v>#NAME?</v>
      </c>
      <c r="F761" s="274"/>
      <c r="G761" s="274" t="e">
        <f t="shared" ca="1" si="6"/>
        <v>#NAME?</v>
      </c>
      <c r="H761" s="274">
        <f t="shared" si="7"/>
        <v>0</v>
      </c>
    </row>
    <row r="762" spans="2:8" ht="13.5" customHeight="1">
      <c r="B762" s="1" t="s">
        <v>2259</v>
      </c>
      <c r="C762" s="1" t="s">
        <v>3640</v>
      </c>
      <c r="D762" s="411" t="str">
        <f t="shared" si="13"/>
        <v>13-01</v>
      </c>
      <c r="E762" s="273" t="e">
        <f ca="1">_xludf.IFNA(VLOOKUP('Comp X - UP'!B762,'Urban Plastix Holds'!$I$37:$U$705,9,0),0)</f>
        <v>#NAME?</v>
      </c>
      <c r="F762" s="274"/>
      <c r="G762" s="274" t="e">
        <f t="shared" ca="1" si="6"/>
        <v>#NAME?</v>
      </c>
      <c r="H762" s="274">
        <f t="shared" si="7"/>
        <v>0</v>
      </c>
    </row>
    <row r="763" spans="2:8" ht="13.5" customHeight="1">
      <c r="B763" s="1" t="s">
        <v>2259</v>
      </c>
      <c r="C763" s="1" t="s">
        <v>3640</v>
      </c>
      <c r="D763" s="413" t="str">
        <f t="shared" si="13"/>
        <v>07-13</v>
      </c>
      <c r="E763" s="273" t="e">
        <f ca="1">_xludf.IFNA(VLOOKUP('Comp X - UP'!B763,'Urban Plastix Holds'!$I$37:$U$705,10,0),0)</f>
        <v>#NAME?</v>
      </c>
      <c r="F763" s="274"/>
      <c r="G763" s="274" t="e">
        <f t="shared" ca="1" si="6"/>
        <v>#NAME?</v>
      </c>
      <c r="H763" s="274">
        <f t="shared" si="7"/>
        <v>0</v>
      </c>
    </row>
    <row r="764" spans="2:8" ht="13.5" customHeight="1">
      <c r="B764" s="1" t="s">
        <v>2259</v>
      </c>
      <c r="C764" s="1" t="s">
        <v>3640</v>
      </c>
      <c r="D764" s="414" t="str">
        <f t="shared" si="13"/>
        <v>11-26</v>
      </c>
      <c r="E764" s="273" t="e">
        <f ca="1">_xludf.IFNA(VLOOKUP('Comp X - UP'!B764,'Urban Plastix Holds'!$I$37:$U$705,11,0),0)</f>
        <v>#NAME?</v>
      </c>
      <c r="F764" s="274"/>
      <c r="G764" s="274" t="e">
        <f t="shared" ca="1" si="6"/>
        <v>#NAME?</v>
      </c>
      <c r="H764" s="274">
        <f t="shared" si="7"/>
        <v>0</v>
      </c>
    </row>
    <row r="765" spans="2:8" ht="13.5" customHeight="1">
      <c r="B765" s="1" t="s">
        <v>2259</v>
      </c>
      <c r="C765" s="1" t="s">
        <v>3640</v>
      </c>
      <c r="D765" s="415" t="str">
        <f t="shared" si="13"/>
        <v>18-01</v>
      </c>
      <c r="E765" s="273" t="e">
        <f ca="1">_xludf.IFNA(VLOOKUP('Comp X - UP'!B765,'Urban Plastix Holds'!$I$37:$U$705,12,0),0)</f>
        <v>#NAME?</v>
      </c>
      <c r="F765" s="274"/>
      <c r="G765" s="274" t="e">
        <f t="shared" ca="1" si="6"/>
        <v>#NAME?</v>
      </c>
      <c r="H765" s="274">
        <f t="shared" si="7"/>
        <v>0</v>
      </c>
    </row>
    <row r="766" spans="2:8" ht="13.5" customHeight="1">
      <c r="B766" s="1" t="s">
        <v>2259</v>
      </c>
      <c r="C766" s="1" t="s">
        <v>3640</v>
      </c>
      <c r="D766" s="416" t="str">
        <f t="shared" si="13"/>
        <v>Color Code</v>
      </c>
      <c r="E766" s="273" t="e">
        <f ca="1">_xludf.IFNA(VLOOKUP('Comp X - UP'!B766,'Urban Plastix Holds'!$I$37:$U$705,13,0),0)</f>
        <v>#NAME?</v>
      </c>
      <c r="F766" s="274"/>
      <c r="G766" s="274" t="e">
        <f t="shared" ca="1" si="6"/>
        <v>#NAME?</v>
      </c>
      <c r="H766" s="274">
        <f t="shared" si="7"/>
        <v>0</v>
      </c>
    </row>
    <row r="767" spans="2:8" ht="13.5" customHeight="1">
      <c r="B767" s="1" t="s">
        <v>2221</v>
      </c>
      <c r="C767" s="1" t="s">
        <v>3641</v>
      </c>
      <c r="D767" s="406" t="str">
        <f t="shared" si="13"/>
        <v>11-12</v>
      </c>
      <c r="E767" s="273" t="e">
        <f ca="1">_xludf.IFNA(VLOOKUP('Comp X - UP'!B767,'Urban Plastix Holds'!$I$37:$U$705,5,0),0)</f>
        <v>#NAME?</v>
      </c>
      <c r="F767" s="274"/>
      <c r="G767" s="274" t="e">
        <f t="shared" ref="G767:G892" ca="1" si="14">E767*F767</f>
        <v>#NAME?</v>
      </c>
      <c r="H767" s="274">
        <f t="shared" ref="H767:H892" si="15">IF($S$11="Y",G767*0.15,0)</f>
        <v>0</v>
      </c>
    </row>
    <row r="768" spans="2:8" ht="13.5" customHeight="1">
      <c r="B768" s="1" t="s">
        <v>2221</v>
      </c>
      <c r="C768" s="1" t="s">
        <v>3641</v>
      </c>
      <c r="D768" s="408" t="str">
        <f t="shared" si="13"/>
        <v>14-01</v>
      </c>
      <c r="E768" s="273" t="e">
        <f ca="1">_xludf.IFNA(VLOOKUP('Comp X - UP'!B768,'Urban Plastix Holds'!$I$37:$U$705,6,0),0)</f>
        <v>#NAME?</v>
      </c>
      <c r="F768" s="274"/>
      <c r="G768" s="274" t="e">
        <f t="shared" ca="1" si="14"/>
        <v>#NAME?</v>
      </c>
      <c r="H768" s="274">
        <f t="shared" si="15"/>
        <v>0</v>
      </c>
    </row>
    <row r="769" spans="2:8" ht="13.5" customHeight="1">
      <c r="B769" s="1" t="s">
        <v>2221</v>
      </c>
      <c r="C769" s="1" t="s">
        <v>3641</v>
      </c>
      <c r="D769" s="409" t="str">
        <f t="shared" si="13"/>
        <v>15-12</v>
      </c>
      <c r="E769" s="273" t="e">
        <f ca="1">_xludf.IFNA(VLOOKUP('Comp X - UP'!B769,'Urban Plastix Holds'!$I$37:$U$705,7,0),0)</f>
        <v>#NAME?</v>
      </c>
      <c r="F769" s="274"/>
      <c r="G769" s="274" t="e">
        <f t="shared" ca="1" si="14"/>
        <v>#NAME?</v>
      </c>
      <c r="H769" s="274">
        <f t="shared" si="15"/>
        <v>0</v>
      </c>
    </row>
    <row r="770" spans="2:8" ht="13.5" customHeight="1">
      <c r="B770" s="1" t="s">
        <v>2221</v>
      </c>
      <c r="C770" s="1" t="s">
        <v>3641</v>
      </c>
      <c r="D770" s="410" t="str">
        <f t="shared" si="13"/>
        <v>16-16</v>
      </c>
      <c r="E770" s="273" t="e">
        <f ca="1">_xludf.IFNA(VLOOKUP('Comp X - UP'!B770,'Urban Plastix Holds'!$I$37:$U$705,8,0),0)</f>
        <v>#NAME?</v>
      </c>
      <c r="F770" s="274"/>
      <c r="G770" s="274" t="e">
        <f t="shared" ca="1" si="14"/>
        <v>#NAME?</v>
      </c>
      <c r="H770" s="274">
        <f t="shared" si="15"/>
        <v>0</v>
      </c>
    </row>
    <row r="771" spans="2:8" ht="13.5" customHeight="1">
      <c r="B771" s="1" t="s">
        <v>2221</v>
      </c>
      <c r="C771" s="1" t="s">
        <v>3641</v>
      </c>
      <c r="D771" s="411" t="str">
        <f t="shared" si="13"/>
        <v>13-01</v>
      </c>
      <c r="E771" s="273" t="e">
        <f ca="1">_xludf.IFNA(VLOOKUP('Comp X - UP'!B771,'Urban Plastix Holds'!$I$37:$U$705,9,0),0)</f>
        <v>#NAME?</v>
      </c>
      <c r="F771" s="274"/>
      <c r="G771" s="274" t="e">
        <f t="shared" ca="1" si="14"/>
        <v>#NAME?</v>
      </c>
      <c r="H771" s="274">
        <f t="shared" si="15"/>
        <v>0</v>
      </c>
    </row>
    <row r="772" spans="2:8" ht="13.5" customHeight="1">
      <c r="B772" s="1" t="s">
        <v>2221</v>
      </c>
      <c r="C772" s="1" t="s">
        <v>3641</v>
      </c>
      <c r="D772" s="413" t="str">
        <f t="shared" si="13"/>
        <v>07-13</v>
      </c>
      <c r="E772" s="273" t="e">
        <f ca="1">_xludf.IFNA(VLOOKUP('Comp X - UP'!B772,'Urban Plastix Holds'!$I$37:$U$705,10,0),0)</f>
        <v>#NAME?</v>
      </c>
      <c r="F772" s="274"/>
      <c r="G772" s="274" t="e">
        <f t="shared" ca="1" si="14"/>
        <v>#NAME?</v>
      </c>
      <c r="H772" s="274">
        <f t="shared" si="15"/>
        <v>0</v>
      </c>
    </row>
    <row r="773" spans="2:8" ht="13.5" customHeight="1">
      <c r="B773" s="1" t="s">
        <v>2221</v>
      </c>
      <c r="C773" s="1" t="s">
        <v>3641</v>
      </c>
      <c r="D773" s="414" t="str">
        <f t="shared" si="13"/>
        <v>11-26</v>
      </c>
      <c r="E773" s="273" t="e">
        <f ca="1">_xludf.IFNA(VLOOKUP('Comp X - UP'!B773,'Urban Plastix Holds'!$I$37:$U$705,11,0),0)</f>
        <v>#NAME?</v>
      </c>
      <c r="F773" s="274"/>
      <c r="G773" s="274" t="e">
        <f t="shared" ca="1" si="14"/>
        <v>#NAME?</v>
      </c>
      <c r="H773" s="274">
        <f t="shared" si="15"/>
        <v>0</v>
      </c>
    </row>
    <row r="774" spans="2:8" ht="13.5" customHeight="1">
      <c r="B774" s="1" t="s">
        <v>2221</v>
      </c>
      <c r="C774" s="1" t="s">
        <v>3641</v>
      </c>
      <c r="D774" s="415" t="str">
        <f t="shared" si="13"/>
        <v>18-01</v>
      </c>
      <c r="E774" s="273" t="e">
        <f ca="1">_xludf.IFNA(VLOOKUP('Comp X - UP'!B774,'Urban Plastix Holds'!$I$37:$U$705,12,0),0)</f>
        <v>#NAME?</v>
      </c>
      <c r="F774" s="274"/>
      <c r="G774" s="274" t="e">
        <f t="shared" ca="1" si="14"/>
        <v>#NAME?</v>
      </c>
      <c r="H774" s="274">
        <f t="shared" si="15"/>
        <v>0</v>
      </c>
    </row>
    <row r="775" spans="2:8" ht="13.5" customHeight="1">
      <c r="B775" s="1" t="s">
        <v>2221</v>
      </c>
      <c r="C775" s="1" t="s">
        <v>3641</v>
      </c>
      <c r="D775" s="416" t="str">
        <f t="shared" si="13"/>
        <v>Color Code</v>
      </c>
      <c r="E775" s="273" t="e">
        <f ca="1">_xludf.IFNA(VLOOKUP('Comp X - UP'!B775,'Urban Plastix Holds'!$I$37:$U$705,13,0),0)</f>
        <v>#NAME?</v>
      </c>
      <c r="F775" s="274"/>
      <c r="G775" s="274" t="e">
        <f t="shared" ca="1" si="14"/>
        <v>#NAME?</v>
      </c>
      <c r="H775" s="274">
        <f t="shared" si="15"/>
        <v>0</v>
      </c>
    </row>
    <row r="776" spans="2:8" ht="13.5" customHeight="1">
      <c r="B776" s="1" t="s">
        <v>2216</v>
      </c>
      <c r="C776" s="1" t="s">
        <v>3642</v>
      </c>
      <c r="D776" s="406" t="str">
        <f t="shared" ref="D776:D811" si="16">D569</f>
        <v>11-12</v>
      </c>
      <c r="E776" s="273" t="e">
        <f ca="1">_xludf.IFNA(VLOOKUP('Comp X - UP'!B776,'Urban Plastix Holds'!$I$37:$U$705,5,0),0)</f>
        <v>#NAME?</v>
      </c>
      <c r="F776" s="274"/>
      <c r="G776" s="274" t="e">
        <f t="shared" ca="1" si="14"/>
        <v>#NAME?</v>
      </c>
      <c r="H776" s="274">
        <f t="shared" si="15"/>
        <v>0</v>
      </c>
    </row>
    <row r="777" spans="2:8" ht="13.5" customHeight="1">
      <c r="B777" s="1" t="s">
        <v>2216</v>
      </c>
      <c r="C777" s="1" t="s">
        <v>3642</v>
      </c>
      <c r="D777" s="408" t="str">
        <f t="shared" si="16"/>
        <v>14-01</v>
      </c>
      <c r="E777" s="273" t="e">
        <f ca="1">_xludf.IFNA(VLOOKUP('Comp X - UP'!B777,'Urban Plastix Holds'!$I$37:$U$705,6,0),0)</f>
        <v>#NAME?</v>
      </c>
      <c r="F777" s="274"/>
      <c r="G777" s="274" t="e">
        <f t="shared" ca="1" si="14"/>
        <v>#NAME?</v>
      </c>
      <c r="H777" s="274">
        <f t="shared" si="15"/>
        <v>0</v>
      </c>
    </row>
    <row r="778" spans="2:8" ht="13.5" customHeight="1">
      <c r="B778" s="1" t="s">
        <v>2216</v>
      </c>
      <c r="C778" s="1" t="s">
        <v>3642</v>
      </c>
      <c r="D778" s="409" t="str">
        <f t="shared" si="16"/>
        <v>15-12</v>
      </c>
      <c r="E778" s="273" t="e">
        <f ca="1">_xludf.IFNA(VLOOKUP('Comp X - UP'!B778,'Urban Plastix Holds'!$I$37:$U$705,7,0),0)</f>
        <v>#NAME?</v>
      </c>
      <c r="F778" s="274"/>
      <c r="G778" s="274" t="e">
        <f t="shared" ca="1" si="14"/>
        <v>#NAME?</v>
      </c>
      <c r="H778" s="274">
        <f t="shared" si="15"/>
        <v>0</v>
      </c>
    </row>
    <row r="779" spans="2:8" ht="13.5" customHeight="1">
      <c r="B779" s="1" t="s">
        <v>2216</v>
      </c>
      <c r="C779" s="1" t="s">
        <v>3642</v>
      </c>
      <c r="D779" s="410" t="str">
        <f t="shared" si="16"/>
        <v>16-16</v>
      </c>
      <c r="E779" s="273" t="e">
        <f ca="1">_xludf.IFNA(VLOOKUP('Comp X - UP'!B779,'Urban Plastix Holds'!$I$37:$U$705,8,0),0)</f>
        <v>#NAME?</v>
      </c>
      <c r="F779" s="274"/>
      <c r="G779" s="274" t="e">
        <f t="shared" ca="1" si="14"/>
        <v>#NAME?</v>
      </c>
      <c r="H779" s="274">
        <f t="shared" si="15"/>
        <v>0</v>
      </c>
    </row>
    <row r="780" spans="2:8" ht="13.5" customHeight="1">
      <c r="B780" s="1" t="s">
        <v>2216</v>
      </c>
      <c r="C780" s="1" t="s">
        <v>3642</v>
      </c>
      <c r="D780" s="411" t="str">
        <f t="shared" si="16"/>
        <v>13-01</v>
      </c>
      <c r="E780" s="273" t="e">
        <f ca="1">_xludf.IFNA(VLOOKUP('Comp X - UP'!B780,'Urban Plastix Holds'!$I$37:$U$705,9,0),0)</f>
        <v>#NAME?</v>
      </c>
      <c r="F780" s="274"/>
      <c r="G780" s="274" t="e">
        <f t="shared" ca="1" si="14"/>
        <v>#NAME?</v>
      </c>
      <c r="H780" s="274">
        <f t="shared" si="15"/>
        <v>0</v>
      </c>
    </row>
    <row r="781" spans="2:8" ht="13.5" customHeight="1">
      <c r="B781" s="1" t="s">
        <v>2216</v>
      </c>
      <c r="C781" s="1" t="s">
        <v>3642</v>
      </c>
      <c r="D781" s="413" t="str">
        <f t="shared" si="16"/>
        <v>07-13</v>
      </c>
      <c r="E781" s="273" t="e">
        <f ca="1">_xludf.IFNA(VLOOKUP('Comp X - UP'!B781,'Urban Plastix Holds'!$I$37:$U$705,10,0),0)</f>
        <v>#NAME?</v>
      </c>
      <c r="F781" s="274"/>
      <c r="G781" s="274" t="e">
        <f t="shared" ca="1" si="14"/>
        <v>#NAME?</v>
      </c>
      <c r="H781" s="274">
        <f t="shared" si="15"/>
        <v>0</v>
      </c>
    </row>
    <row r="782" spans="2:8" ht="13.5" customHeight="1">
      <c r="B782" s="1" t="s">
        <v>2216</v>
      </c>
      <c r="C782" s="1" t="s">
        <v>3642</v>
      </c>
      <c r="D782" s="414" t="str">
        <f t="shared" si="16"/>
        <v>11-26</v>
      </c>
      <c r="E782" s="273" t="e">
        <f ca="1">_xludf.IFNA(VLOOKUP('Comp X - UP'!B782,'Urban Plastix Holds'!$I$37:$U$705,11,0),0)</f>
        <v>#NAME?</v>
      </c>
      <c r="F782" s="274"/>
      <c r="G782" s="274" t="e">
        <f t="shared" ca="1" si="14"/>
        <v>#NAME?</v>
      </c>
      <c r="H782" s="274">
        <f t="shared" si="15"/>
        <v>0</v>
      </c>
    </row>
    <row r="783" spans="2:8" ht="13.5" customHeight="1">
      <c r="B783" s="1" t="s">
        <v>2216</v>
      </c>
      <c r="C783" s="1" t="s">
        <v>3642</v>
      </c>
      <c r="D783" s="415" t="str">
        <f t="shared" si="16"/>
        <v>18-01</v>
      </c>
      <c r="E783" s="273" t="e">
        <f ca="1">_xludf.IFNA(VLOOKUP('Comp X - UP'!B783,'Urban Plastix Holds'!$I$37:$U$705,12,0),0)</f>
        <v>#NAME?</v>
      </c>
      <c r="F783" s="274"/>
      <c r="G783" s="274" t="e">
        <f t="shared" ca="1" si="14"/>
        <v>#NAME?</v>
      </c>
      <c r="H783" s="274">
        <f t="shared" si="15"/>
        <v>0</v>
      </c>
    </row>
    <row r="784" spans="2:8" ht="13.5" customHeight="1">
      <c r="B784" s="1" t="s">
        <v>2216</v>
      </c>
      <c r="C784" s="1" t="s">
        <v>3642</v>
      </c>
      <c r="D784" s="416" t="str">
        <f t="shared" si="16"/>
        <v>Color Code</v>
      </c>
      <c r="E784" s="273" t="e">
        <f ca="1">_xludf.IFNA(VLOOKUP('Comp X - UP'!B784,'Urban Plastix Holds'!$I$37:$U$705,13,0),0)</f>
        <v>#NAME?</v>
      </c>
      <c r="F784" s="274"/>
      <c r="G784" s="274" t="e">
        <f t="shared" ca="1" si="14"/>
        <v>#NAME?</v>
      </c>
      <c r="H784" s="274">
        <f t="shared" si="15"/>
        <v>0</v>
      </c>
    </row>
    <row r="785" spans="2:8" ht="13.5" customHeight="1">
      <c r="B785" s="1" t="s">
        <v>2217</v>
      </c>
      <c r="C785" s="1" t="s">
        <v>3643</v>
      </c>
      <c r="D785" s="406" t="str">
        <f t="shared" si="16"/>
        <v>11-12</v>
      </c>
      <c r="E785" s="273" t="e">
        <f ca="1">_xludf.IFNA(VLOOKUP('Comp X - UP'!B785,'Urban Plastix Holds'!$I$37:$U$705,5,0),0)</f>
        <v>#NAME?</v>
      </c>
      <c r="F785" s="274"/>
      <c r="G785" s="274" t="e">
        <f t="shared" ca="1" si="14"/>
        <v>#NAME?</v>
      </c>
      <c r="H785" s="274">
        <f t="shared" si="15"/>
        <v>0</v>
      </c>
    </row>
    <row r="786" spans="2:8" ht="13.5" customHeight="1">
      <c r="B786" s="1" t="s">
        <v>2217</v>
      </c>
      <c r="C786" s="1" t="s">
        <v>3643</v>
      </c>
      <c r="D786" s="408" t="str">
        <f t="shared" si="16"/>
        <v>14-01</v>
      </c>
      <c r="E786" s="273" t="e">
        <f ca="1">_xludf.IFNA(VLOOKUP('Comp X - UP'!B786,'Urban Plastix Holds'!$I$37:$U$705,6,0),0)</f>
        <v>#NAME?</v>
      </c>
      <c r="F786" s="274"/>
      <c r="G786" s="274" t="e">
        <f t="shared" ca="1" si="14"/>
        <v>#NAME?</v>
      </c>
      <c r="H786" s="274">
        <f t="shared" si="15"/>
        <v>0</v>
      </c>
    </row>
    <row r="787" spans="2:8" ht="13.5" customHeight="1">
      <c r="B787" s="1" t="s">
        <v>2217</v>
      </c>
      <c r="C787" s="1" t="s">
        <v>3643</v>
      </c>
      <c r="D787" s="409" t="str">
        <f t="shared" si="16"/>
        <v>15-12</v>
      </c>
      <c r="E787" s="273" t="e">
        <f ca="1">_xludf.IFNA(VLOOKUP('Comp X - UP'!B787,'Urban Plastix Holds'!$I$37:$U$705,7,0),0)</f>
        <v>#NAME?</v>
      </c>
      <c r="F787" s="274"/>
      <c r="G787" s="274" t="e">
        <f t="shared" ca="1" si="14"/>
        <v>#NAME?</v>
      </c>
      <c r="H787" s="274">
        <f t="shared" si="15"/>
        <v>0</v>
      </c>
    </row>
    <row r="788" spans="2:8" ht="13.5" customHeight="1">
      <c r="B788" s="1" t="s">
        <v>2217</v>
      </c>
      <c r="C788" s="1" t="s">
        <v>3643</v>
      </c>
      <c r="D788" s="410" t="str">
        <f t="shared" si="16"/>
        <v>16-16</v>
      </c>
      <c r="E788" s="273" t="e">
        <f ca="1">_xludf.IFNA(VLOOKUP('Comp X - UP'!B788,'Urban Plastix Holds'!$I$37:$U$705,8,0),0)</f>
        <v>#NAME?</v>
      </c>
      <c r="F788" s="274"/>
      <c r="G788" s="274" t="e">
        <f t="shared" ca="1" si="14"/>
        <v>#NAME?</v>
      </c>
      <c r="H788" s="274">
        <f t="shared" si="15"/>
        <v>0</v>
      </c>
    </row>
    <row r="789" spans="2:8" ht="13.5" customHeight="1">
      <c r="B789" s="1" t="s">
        <v>2217</v>
      </c>
      <c r="C789" s="1" t="s">
        <v>3643</v>
      </c>
      <c r="D789" s="411" t="str">
        <f t="shared" si="16"/>
        <v>13-01</v>
      </c>
      <c r="E789" s="273" t="e">
        <f ca="1">_xludf.IFNA(VLOOKUP('Comp X - UP'!B789,'Urban Plastix Holds'!$I$37:$U$705,9,0),0)</f>
        <v>#NAME?</v>
      </c>
      <c r="F789" s="274"/>
      <c r="G789" s="274" t="e">
        <f t="shared" ca="1" si="14"/>
        <v>#NAME?</v>
      </c>
      <c r="H789" s="274">
        <f t="shared" si="15"/>
        <v>0</v>
      </c>
    </row>
    <row r="790" spans="2:8" ht="13.5" customHeight="1">
      <c r="B790" s="1" t="s">
        <v>2217</v>
      </c>
      <c r="C790" s="1" t="s">
        <v>3643</v>
      </c>
      <c r="D790" s="413" t="str">
        <f t="shared" si="16"/>
        <v>07-13</v>
      </c>
      <c r="E790" s="273" t="e">
        <f ca="1">_xludf.IFNA(VLOOKUP('Comp X - UP'!B790,'Urban Plastix Holds'!$I$37:$U$705,10,0),0)</f>
        <v>#NAME?</v>
      </c>
      <c r="F790" s="274"/>
      <c r="G790" s="274" t="e">
        <f t="shared" ca="1" si="14"/>
        <v>#NAME?</v>
      </c>
      <c r="H790" s="274">
        <f t="shared" si="15"/>
        <v>0</v>
      </c>
    </row>
    <row r="791" spans="2:8" ht="13.5" customHeight="1">
      <c r="B791" s="1" t="s">
        <v>2217</v>
      </c>
      <c r="C791" s="1" t="s">
        <v>3643</v>
      </c>
      <c r="D791" s="414" t="str">
        <f t="shared" si="16"/>
        <v>11-26</v>
      </c>
      <c r="E791" s="273" t="e">
        <f ca="1">_xludf.IFNA(VLOOKUP('Comp X - UP'!B791,'Urban Plastix Holds'!$I$37:$U$705,11,0),0)</f>
        <v>#NAME?</v>
      </c>
      <c r="F791" s="274"/>
      <c r="G791" s="274" t="e">
        <f t="shared" ca="1" si="14"/>
        <v>#NAME?</v>
      </c>
      <c r="H791" s="274">
        <f t="shared" si="15"/>
        <v>0</v>
      </c>
    </row>
    <row r="792" spans="2:8" ht="13.5" customHeight="1">
      <c r="B792" s="1" t="s">
        <v>2217</v>
      </c>
      <c r="C792" s="1" t="s">
        <v>3643</v>
      </c>
      <c r="D792" s="415" t="str">
        <f t="shared" si="16"/>
        <v>18-01</v>
      </c>
      <c r="E792" s="273" t="e">
        <f ca="1">_xludf.IFNA(VLOOKUP('Comp X - UP'!B792,'Urban Plastix Holds'!$I$37:$U$705,12,0),0)</f>
        <v>#NAME?</v>
      </c>
      <c r="F792" s="274"/>
      <c r="G792" s="274" t="e">
        <f t="shared" ca="1" si="14"/>
        <v>#NAME?</v>
      </c>
      <c r="H792" s="274">
        <f t="shared" si="15"/>
        <v>0</v>
      </c>
    </row>
    <row r="793" spans="2:8" ht="13.5" customHeight="1">
      <c r="B793" s="1" t="s">
        <v>2217</v>
      </c>
      <c r="C793" s="1" t="s">
        <v>3643</v>
      </c>
      <c r="D793" s="416" t="str">
        <f t="shared" si="16"/>
        <v>Color Code</v>
      </c>
      <c r="E793" s="273" t="e">
        <f ca="1">_xludf.IFNA(VLOOKUP('Comp X - UP'!B793,'Urban Plastix Holds'!$I$37:$U$705,13,0),0)</f>
        <v>#NAME?</v>
      </c>
      <c r="F793" s="274"/>
      <c r="G793" s="274" t="e">
        <f t="shared" ca="1" si="14"/>
        <v>#NAME?</v>
      </c>
      <c r="H793" s="274">
        <f t="shared" si="15"/>
        <v>0</v>
      </c>
    </row>
    <row r="794" spans="2:8" ht="13.5" customHeight="1">
      <c r="B794" s="1" t="s">
        <v>2261</v>
      </c>
      <c r="C794" s="1" t="s">
        <v>3644</v>
      </c>
      <c r="D794" s="406" t="str">
        <f t="shared" si="16"/>
        <v>11-12</v>
      </c>
      <c r="E794" s="273" t="e">
        <f ca="1">_xludf.IFNA(VLOOKUP('Comp X - UP'!B794,'Urban Plastix Holds'!$I$37:$U$705,5,0),0)</f>
        <v>#NAME?</v>
      </c>
      <c r="F794" s="274"/>
      <c r="G794" s="274" t="e">
        <f t="shared" ca="1" si="14"/>
        <v>#NAME?</v>
      </c>
      <c r="H794" s="274">
        <f t="shared" si="15"/>
        <v>0</v>
      </c>
    </row>
    <row r="795" spans="2:8" ht="13.5" customHeight="1">
      <c r="B795" s="1" t="s">
        <v>2261</v>
      </c>
      <c r="C795" s="1" t="s">
        <v>3644</v>
      </c>
      <c r="D795" s="408" t="str">
        <f t="shared" si="16"/>
        <v>14-01</v>
      </c>
      <c r="E795" s="273" t="e">
        <f ca="1">_xludf.IFNA(VLOOKUP('Comp X - UP'!B795,'Urban Plastix Holds'!$I$37:$U$705,6,0),0)</f>
        <v>#NAME?</v>
      </c>
      <c r="F795" s="274"/>
      <c r="G795" s="274" t="e">
        <f t="shared" ca="1" si="14"/>
        <v>#NAME?</v>
      </c>
      <c r="H795" s="274">
        <f t="shared" si="15"/>
        <v>0</v>
      </c>
    </row>
    <row r="796" spans="2:8" ht="13.5" customHeight="1">
      <c r="B796" s="1" t="s">
        <v>2261</v>
      </c>
      <c r="C796" s="1" t="s">
        <v>3644</v>
      </c>
      <c r="D796" s="409" t="str">
        <f t="shared" si="16"/>
        <v>15-12</v>
      </c>
      <c r="E796" s="273" t="e">
        <f ca="1">_xludf.IFNA(VLOOKUP('Comp X - UP'!B796,'Urban Plastix Holds'!$I$37:$U$705,7,0),0)</f>
        <v>#NAME?</v>
      </c>
      <c r="F796" s="274"/>
      <c r="G796" s="274" t="e">
        <f t="shared" ca="1" si="14"/>
        <v>#NAME?</v>
      </c>
      <c r="H796" s="274">
        <f t="shared" si="15"/>
        <v>0</v>
      </c>
    </row>
    <row r="797" spans="2:8" ht="13.5" customHeight="1">
      <c r="B797" s="1" t="s">
        <v>2261</v>
      </c>
      <c r="C797" s="1" t="s">
        <v>3644</v>
      </c>
      <c r="D797" s="410" t="str">
        <f t="shared" si="16"/>
        <v>16-16</v>
      </c>
      <c r="E797" s="273" t="e">
        <f ca="1">_xludf.IFNA(VLOOKUP('Comp X - UP'!B797,'Urban Plastix Holds'!$I$37:$U$705,8,0),0)</f>
        <v>#NAME?</v>
      </c>
      <c r="F797" s="274"/>
      <c r="G797" s="274" t="e">
        <f t="shared" ca="1" si="14"/>
        <v>#NAME?</v>
      </c>
      <c r="H797" s="274">
        <f t="shared" si="15"/>
        <v>0</v>
      </c>
    </row>
    <row r="798" spans="2:8" ht="13.5" customHeight="1">
      <c r="B798" s="1" t="s">
        <v>2261</v>
      </c>
      <c r="C798" s="1" t="s">
        <v>3644</v>
      </c>
      <c r="D798" s="411" t="str">
        <f t="shared" si="16"/>
        <v>13-01</v>
      </c>
      <c r="E798" s="273" t="e">
        <f ca="1">_xludf.IFNA(VLOOKUP('Comp X - UP'!B798,'Urban Plastix Holds'!$I$37:$U$705,9,0),0)</f>
        <v>#NAME?</v>
      </c>
      <c r="F798" s="274"/>
      <c r="G798" s="274" t="e">
        <f t="shared" ca="1" si="14"/>
        <v>#NAME?</v>
      </c>
      <c r="H798" s="274">
        <f t="shared" si="15"/>
        <v>0</v>
      </c>
    </row>
    <row r="799" spans="2:8" ht="13.5" customHeight="1">
      <c r="B799" s="1" t="s">
        <v>2261</v>
      </c>
      <c r="C799" s="1" t="s">
        <v>3644</v>
      </c>
      <c r="D799" s="413" t="str">
        <f t="shared" si="16"/>
        <v>07-13</v>
      </c>
      <c r="E799" s="273" t="e">
        <f ca="1">_xludf.IFNA(VLOOKUP('Comp X - UP'!B799,'Urban Plastix Holds'!$I$37:$U$705,10,0),0)</f>
        <v>#NAME?</v>
      </c>
      <c r="F799" s="274"/>
      <c r="G799" s="274" t="e">
        <f t="shared" ca="1" si="14"/>
        <v>#NAME?</v>
      </c>
      <c r="H799" s="274">
        <f t="shared" si="15"/>
        <v>0</v>
      </c>
    </row>
    <row r="800" spans="2:8" ht="13.5" customHeight="1">
      <c r="B800" s="1" t="s">
        <v>2261</v>
      </c>
      <c r="C800" s="1" t="s">
        <v>3644</v>
      </c>
      <c r="D800" s="414" t="str">
        <f t="shared" si="16"/>
        <v>11-26</v>
      </c>
      <c r="E800" s="273" t="e">
        <f ca="1">_xludf.IFNA(VLOOKUP('Comp X - UP'!B800,'Urban Plastix Holds'!$I$37:$U$705,11,0),0)</f>
        <v>#NAME?</v>
      </c>
      <c r="F800" s="274"/>
      <c r="G800" s="274" t="e">
        <f t="shared" ca="1" si="14"/>
        <v>#NAME?</v>
      </c>
      <c r="H800" s="274">
        <f t="shared" si="15"/>
        <v>0</v>
      </c>
    </row>
    <row r="801" spans="2:8" ht="13.5" customHeight="1">
      <c r="B801" s="1" t="s">
        <v>2261</v>
      </c>
      <c r="C801" s="1" t="s">
        <v>3644</v>
      </c>
      <c r="D801" s="415" t="str">
        <f t="shared" si="16"/>
        <v>18-01</v>
      </c>
      <c r="E801" s="273" t="e">
        <f ca="1">_xludf.IFNA(VLOOKUP('Comp X - UP'!B801,'Urban Plastix Holds'!$I$37:$U$705,12,0),0)</f>
        <v>#NAME?</v>
      </c>
      <c r="F801" s="274"/>
      <c r="G801" s="274" t="e">
        <f t="shared" ca="1" si="14"/>
        <v>#NAME?</v>
      </c>
      <c r="H801" s="274">
        <f t="shared" si="15"/>
        <v>0</v>
      </c>
    </row>
    <row r="802" spans="2:8" ht="13.5" customHeight="1">
      <c r="B802" s="1" t="s">
        <v>2261</v>
      </c>
      <c r="C802" s="1" t="s">
        <v>3644</v>
      </c>
      <c r="D802" s="416" t="str">
        <f t="shared" si="16"/>
        <v>Color Code</v>
      </c>
      <c r="E802" s="273" t="e">
        <f ca="1">_xludf.IFNA(VLOOKUP('Comp X - UP'!B802,'Urban Plastix Holds'!$I$37:$U$705,13,0),0)</f>
        <v>#NAME?</v>
      </c>
      <c r="F802" s="274"/>
      <c r="G802" s="274" t="e">
        <f t="shared" ca="1" si="14"/>
        <v>#NAME?</v>
      </c>
      <c r="H802" s="274">
        <f t="shared" si="15"/>
        <v>0</v>
      </c>
    </row>
    <row r="803" spans="2:8" ht="13.5" customHeight="1">
      <c r="B803" s="1" t="s">
        <v>2262</v>
      </c>
      <c r="C803" s="1" t="s">
        <v>3645</v>
      </c>
      <c r="D803" s="406" t="str">
        <f t="shared" si="16"/>
        <v>11-12</v>
      </c>
      <c r="E803" s="273" t="e">
        <f ca="1">_xludf.IFNA(VLOOKUP('Comp X - UP'!B803,'Urban Plastix Holds'!$I$37:$U$705,5,0),0)</f>
        <v>#NAME?</v>
      </c>
      <c r="F803" s="274"/>
      <c r="G803" s="274" t="e">
        <f t="shared" ca="1" si="14"/>
        <v>#NAME?</v>
      </c>
      <c r="H803" s="274">
        <f t="shared" si="15"/>
        <v>0</v>
      </c>
    </row>
    <row r="804" spans="2:8" ht="13.5" customHeight="1">
      <c r="B804" s="1" t="s">
        <v>2262</v>
      </c>
      <c r="C804" s="1" t="s">
        <v>3645</v>
      </c>
      <c r="D804" s="408" t="str">
        <f t="shared" si="16"/>
        <v>14-01</v>
      </c>
      <c r="E804" s="273" t="e">
        <f ca="1">_xludf.IFNA(VLOOKUP('Comp X - UP'!B804,'Urban Plastix Holds'!$I$37:$U$705,6,0),0)</f>
        <v>#NAME?</v>
      </c>
      <c r="F804" s="274"/>
      <c r="G804" s="274" t="e">
        <f t="shared" ca="1" si="14"/>
        <v>#NAME?</v>
      </c>
      <c r="H804" s="274">
        <f t="shared" si="15"/>
        <v>0</v>
      </c>
    </row>
    <row r="805" spans="2:8" ht="13.5" customHeight="1">
      <c r="B805" s="1" t="s">
        <v>2262</v>
      </c>
      <c r="C805" s="1" t="s">
        <v>3645</v>
      </c>
      <c r="D805" s="409" t="str">
        <f t="shared" si="16"/>
        <v>15-12</v>
      </c>
      <c r="E805" s="273" t="e">
        <f ca="1">_xludf.IFNA(VLOOKUP('Comp X - UP'!B805,'Urban Plastix Holds'!$I$37:$U$705,7,0),0)</f>
        <v>#NAME?</v>
      </c>
      <c r="F805" s="274"/>
      <c r="G805" s="274" t="e">
        <f t="shared" ca="1" si="14"/>
        <v>#NAME?</v>
      </c>
      <c r="H805" s="274">
        <f t="shared" si="15"/>
        <v>0</v>
      </c>
    </row>
    <row r="806" spans="2:8" ht="13.5" customHeight="1">
      <c r="B806" s="1" t="s">
        <v>2262</v>
      </c>
      <c r="C806" s="1" t="s">
        <v>3645</v>
      </c>
      <c r="D806" s="410" t="str">
        <f t="shared" si="16"/>
        <v>16-16</v>
      </c>
      <c r="E806" s="273" t="e">
        <f ca="1">_xludf.IFNA(VLOOKUP('Comp X - UP'!B806,'Urban Plastix Holds'!$I$37:$U$705,8,0),0)</f>
        <v>#NAME?</v>
      </c>
      <c r="F806" s="274"/>
      <c r="G806" s="274" t="e">
        <f t="shared" ca="1" si="14"/>
        <v>#NAME?</v>
      </c>
      <c r="H806" s="274">
        <f t="shared" si="15"/>
        <v>0</v>
      </c>
    </row>
    <row r="807" spans="2:8" ht="13.5" customHeight="1">
      <c r="B807" s="1" t="s">
        <v>2262</v>
      </c>
      <c r="C807" s="1" t="s">
        <v>3645</v>
      </c>
      <c r="D807" s="411" t="str">
        <f t="shared" si="16"/>
        <v>13-01</v>
      </c>
      <c r="E807" s="273" t="e">
        <f ca="1">_xludf.IFNA(VLOOKUP('Comp X - UP'!B807,'Urban Plastix Holds'!$I$37:$U$705,9,0),0)</f>
        <v>#NAME?</v>
      </c>
      <c r="F807" s="274"/>
      <c r="G807" s="274" t="e">
        <f t="shared" ca="1" si="14"/>
        <v>#NAME?</v>
      </c>
      <c r="H807" s="274">
        <f t="shared" si="15"/>
        <v>0</v>
      </c>
    </row>
    <row r="808" spans="2:8" ht="13.5" customHeight="1">
      <c r="B808" s="1" t="s">
        <v>2262</v>
      </c>
      <c r="C808" s="1" t="s">
        <v>3645</v>
      </c>
      <c r="D808" s="413" t="str">
        <f t="shared" si="16"/>
        <v>07-13</v>
      </c>
      <c r="E808" s="273" t="e">
        <f ca="1">_xludf.IFNA(VLOOKUP('Comp X - UP'!B808,'Urban Plastix Holds'!$I$37:$U$705,10,0),0)</f>
        <v>#NAME?</v>
      </c>
      <c r="F808" s="274"/>
      <c r="G808" s="274" t="e">
        <f t="shared" ca="1" si="14"/>
        <v>#NAME?</v>
      </c>
      <c r="H808" s="274">
        <f t="shared" si="15"/>
        <v>0</v>
      </c>
    </row>
    <row r="809" spans="2:8" ht="13.5" customHeight="1">
      <c r="B809" s="1" t="s">
        <v>2262</v>
      </c>
      <c r="C809" s="1" t="s">
        <v>3645</v>
      </c>
      <c r="D809" s="414" t="str">
        <f t="shared" si="16"/>
        <v>11-26</v>
      </c>
      <c r="E809" s="273" t="e">
        <f ca="1">_xludf.IFNA(VLOOKUP('Comp X - UP'!B809,'Urban Plastix Holds'!$I$37:$U$705,11,0),0)</f>
        <v>#NAME?</v>
      </c>
      <c r="F809" s="274"/>
      <c r="G809" s="274" t="e">
        <f t="shared" ca="1" si="14"/>
        <v>#NAME?</v>
      </c>
      <c r="H809" s="274">
        <f t="shared" si="15"/>
        <v>0</v>
      </c>
    </row>
    <row r="810" spans="2:8" ht="13.5" customHeight="1">
      <c r="B810" s="1" t="s">
        <v>2262</v>
      </c>
      <c r="C810" s="1" t="s">
        <v>3645</v>
      </c>
      <c r="D810" s="415" t="str">
        <f t="shared" si="16"/>
        <v>18-01</v>
      </c>
      <c r="E810" s="273" t="e">
        <f ca="1">_xludf.IFNA(VLOOKUP('Comp X - UP'!B810,'Urban Plastix Holds'!$I$37:$U$705,12,0),0)</f>
        <v>#NAME?</v>
      </c>
      <c r="F810" s="274"/>
      <c r="G810" s="274" t="e">
        <f t="shared" ca="1" si="14"/>
        <v>#NAME?</v>
      </c>
      <c r="H810" s="274">
        <f t="shared" si="15"/>
        <v>0</v>
      </c>
    </row>
    <row r="811" spans="2:8" ht="13.5" customHeight="1">
      <c r="B811" s="1" t="s">
        <v>2262</v>
      </c>
      <c r="C811" s="1" t="s">
        <v>3645</v>
      </c>
      <c r="D811" s="416" t="str">
        <f t="shared" si="16"/>
        <v>Color Code</v>
      </c>
      <c r="E811" s="273" t="e">
        <f ca="1">_xludf.IFNA(VLOOKUP('Comp X - UP'!B811,'Urban Plastix Holds'!$I$37:$U$705,13,0),0)</f>
        <v>#NAME?</v>
      </c>
      <c r="F811" s="274"/>
      <c r="G811" s="274" t="e">
        <f t="shared" ca="1" si="14"/>
        <v>#NAME?</v>
      </c>
      <c r="H811" s="274">
        <f t="shared" si="15"/>
        <v>0</v>
      </c>
    </row>
    <row r="812" spans="2:8" ht="13.5" customHeight="1">
      <c r="B812" s="1" t="s">
        <v>2260</v>
      </c>
      <c r="C812" s="1" t="s">
        <v>3646</v>
      </c>
      <c r="D812" s="406" t="str">
        <f t="shared" ref="D812:D892" si="17">D587</f>
        <v>11-12</v>
      </c>
      <c r="E812" s="273" t="e">
        <f ca="1">_xludf.IFNA(VLOOKUP('Comp X - UP'!B812,'Urban Plastix Holds'!$I$37:$U$705,5,0),0)</f>
        <v>#NAME?</v>
      </c>
      <c r="F812" s="274"/>
      <c r="G812" s="274" t="e">
        <f t="shared" ca="1" si="14"/>
        <v>#NAME?</v>
      </c>
      <c r="H812" s="274">
        <f t="shared" si="15"/>
        <v>0</v>
      </c>
    </row>
    <row r="813" spans="2:8" ht="13.5" customHeight="1">
      <c r="B813" s="1" t="s">
        <v>2260</v>
      </c>
      <c r="C813" s="1" t="s">
        <v>3646</v>
      </c>
      <c r="D813" s="408" t="str">
        <f t="shared" si="17"/>
        <v>14-01</v>
      </c>
      <c r="E813" s="273" t="e">
        <f ca="1">_xludf.IFNA(VLOOKUP('Comp X - UP'!B813,'Urban Plastix Holds'!$I$37:$U$705,6,0),0)</f>
        <v>#NAME?</v>
      </c>
      <c r="F813" s="274"/>
      <c r="G813" s="274" t="e">
        <f t="shared" ca="1" si="14"/>
        <v>#NAME?</v>
      </c>
      <c r="H813" s="274">
        <f t="shared" si="15"/>
        <v>0</v>
      </c>
    </row>
    <row r="814" spans="2:8" ht="13.5" customHeight="1">
      <c r="B814" s="1" t="s">
        <v>2260</v>
      </c>
      <c r="C814" s="1" t="s">
        <v>3646</v>
      </c>
      <c r="D814" s="409" t="str">
        <f t="shared" si="17"/>
        <v>15-12</v>
      </c>
      <c r="E814" s="273" t="e">
        <f ca="1">_xludf.IFNA(VLOOKUP('Comp X - UP'!B814,'Urban Plastix Holds'!$I$37:$U$705,7,0),0)</f>
        <v>#NAME?</v>
      </c>
      <c r="F814" s="274"/>
      <c r="G814" s="274" t="e">
        <f t="shared" ca="1" si="14"/>
        <v>#NAME?</v>
      </c>
      <c r="H814" s="274">
        <f t="shared" si="15"/>
        <v>0</v>
      </c>
    </row>
    <row r="815" spans="2:8" ht="13.5" customHeight="1">
      <c r="B815" s="1" t="s">
        <v>2260</v>
      </c>
      <c r="C815" s="1" t="s">
        <v>3646</v>
      </c>
      <c r="D815" s="410" t="str">
        <f t="shared" si="17"/>
        <v>16-16</v>
      </c>
      <c r="E815" s="273" t="e">
        <f ca="1">_xludf.IFNA(VLOOKUP('Comp X - UP'!B815,'Urban Plastix Holds'!$I$37:$U$705,8,0),0)</f>
        <v>#NAME?</v>
      </c>
      <c r="F815" s="274"/>
      <c r="G815" s="274" t="e">
        <f t="shared" ca="1" si="14"/>
        <v>#NAME?</v>
      </c>
      <c r="H815" s="274">
        <f t="shared" si="15"/>
        <v>0</v>
      </c>
    </row>
    <row r="816" spans="2:8" ht="13.5" customHeight="1">
      <c r="B816" s="1" t="s">
        <v>2260</v>
      </c>
      <c r="C816" s="1" t="s">
        <v>3646</v>
      </c>
      <c r="D816" s="411" t="str">
        <f t="shared" si="17"/>
        <v>13-01</v>
      </c>
      <c r="E816" s="273" t="e">
        <f ca="1">_xludf.IFNA(VLOOKUP('Comp X - UP'!B816,'Urban Plastix Holds'!$I$37:$U$705,9,0),0)</f>
        <v>#NAME?</v>
      </c>
      <c r="F816" s="274"/>
      <c r="G816" s="274" t="e">
        <f t="shared" ca="1" si="14"/>
        <v>#NAME?</v>
      </c>
      <c r="H816" s="274">
        <f t="shared" si="15"/>
        <v>0</v>
      </c>
    </row>
    <row r="817" spans="2:8" ht="13.5" customHeight="1">
      <c r="B817" s="1" t="s">
        <v>2260</v>
      </c>
      <c r="C817" s="1" t="s">
        <v>3646</v>
      </c>
      <c r="D817" s="413" t="str">
        <f t="shared" si="17"/>
        <v>07-13</v>
      </c>
      <c r="E817" s="273" t="e">
        <f ca="1">_xludf.IFNA(VLOOKUP('Comp X - UP'!B817,'Urban Plastix Holds'!$I$37:$U$705,10,0),0)</f>
        <v>#NAME?</v>
      </c>
      <c r="F817" s="274"/>
      <c r="G817" s="274" t="e">
        <f t="shared" ca="1" si="14"/>
        <v>#NAME?</v>
      </c>
      <c r="H817" s="274">
        <f t="shared" si="15"/>
        <v>0</v>
      </c>
    </row>
    <row r="818" spans="2:8" ht="13.5" customHeight="1">
      <c r="B818" s="1" t="s">
        <v>2260</v>
      </c>
      <c r="C818" s="1" t="s">
        <v>3646</v>
      </c>
      <c r="D818" s="414" t="str">
        <f t="shared" si="17"/>
        <v>11-26</v>
      </c>
      <c r="E818" s="273" t="e">
        <f ca="1">_xludf.IFNA(VLOOKUP('Comp X - UP'!B818,'Urban Plastix Holds'!$I$37:$U$705,11,0),0)</f>
        <v>#NAME?</v>
      </c>
      <c r="F818" s="274"/>
      <c r="G818" s="274" t="e">
        <f t="shared" ca="1" si="14"/>
        <v>#NAME?</v>
      </c>
      <c r="H818" s="274">
        <f t="shared" si="15"/>
        <v>0</v>
      </c>
    </row>
    <row r="819" spans="2:8" ht="13.5" customHeight="1">
      <c r="B819" s="1" t="s">
        <v>2260</v>
      </c>
      <c r="C819" s="1" t="s">
        <v>3646</v>
      </c>
      <c r="D819" s="415" t="str">
        <f t="shared" si="17"/>
        <v>18-01</v>
      </c>
      <c r="E819" s="273" t="e">
        <f ca="1">_xludf.IFNA(VLOOKUP('Comp X - UP'!B819,'Urban Plastix Holds'!$I$37:$U$705,12,0),0)</f>
        <v>#NAME?</v>
      </c>
      <c r="F819" s="274"/>
      <c r="G819" s="274" t="e">
        <f t="shared" ca="1" si="14"/>
        <v>#NAME?</v>
      </c>
      <c r="H819" s="274">
        <f t="shared" si="15"/>
        <v>0</v>
      </c>
    </row>
    <row r="820" spans="2:8" ht="13.5" customHeight="1">
      <c r="B820" s="1" t="s">
        <v>2260</v>
      </c>
      <c r="C820" s="1" t="s">
        <v>3646</v>
      </c>
      <c r="D820" s="416" t="str">
        <f t="shared" si="17"/>
        <v>Color Code</v>
      </c>
      <c r="E820" s="273" t="e">
        <f ca="1">_xludf.IFNA(VLOOKUP('Comp X - UP'!B820,'Urban Plastix Holds'!$I$37:$U$705,13,0),0)</f>
        <v>#NAME?</v>
      </c>
      <c r="F820" s="274"/>
      <c r="G820" s="274" t="e">
        <f t="shared" ca="1" si="14"/>
        <v>#NAME?</v>
      </c>
      <c r="H820" s="274">
        <f t="shared" si="15"/>
        <v>0</v>
      </c>
    </row>
    <row r="821" spans="2:8" ht="13.5" customHeight="1">
      <c r="B821" s="1" t="s">
        <v>2270</v>
      </c>
      <c r="C821" s="1" t="s">
        <v>3647</v>
      </c>
      <c r="D821" s="406" t="str">
        <f t="shared" si="17"/>
        <v>11-12</v>
      </c>
      <c r="E821" s="273" t="e">
        <f ca="1">_xludf.IFNA(VLOOKUP('Comp X - UP'!B821,'Urban Plastix Holds'!$I$37:$U$705,5,0),0)</f>
        <v>#NAME?</v>
      </c>
      <c r="F821" s="274"/>
      <c r="G821" s="274" t="e">
        <f t="shared" ca="1" si="14"/>
        <v>#NAME?</v>
      </c>
      <c r="H821" s="274">
        <f t="shared" si="15"/>
        <v>0</v>
      </c>
    </row>
    <row r="822" spans="2:8" ht="13.5" customHeight="1">
      <c r="B822" s="1" t="s">
        <v>2270</v>
      </c>
      <c r="C822" s="1" t="s">
        <v>3647</v>
      </c>
      <c r="D822" s="408" t="str">
        <f t="shared" si="17"/>
        <v>14-01</v>
      </c>
      <c r="E822" s="273" t="e">
        <f ca="1">_xludf.IFNA(VLOOKUP('Comp X - UP'!B822,'Urban Plastix Holds'!$I$37:$U$705,6,0),0)</f>
        <v>#NAME?</v>
      </c>
      <c r="F822" s="274"/>
      <c r="G822" s="274" t="e">
        <f t="shared" ca="1" si="14"/>
        <v>#NAME?</v>
      </c>
      <c r="H822" s="274">
        <f t="shared" si="15"/>
        <v>0</v>
      </c>
    </row>
    <row r="823" spans="2:8" ht="13.5" customHeight="1">
      <c r="B823" s="1" t="s">
        <v>2270</v>
      </c>
      <c r="C823" s="1" t="s">
        <v>3647</v>
      </c>
      <c r="D823" s="409" t="str">
        <f t="shared" si="17"/>
        <v>15-12</v>
      </c>
      <c r="E823" s="273" t="e">
        <f ca="1">_xludf.IFNA(VLOOKUP('Comp X - UP'!B823,'Urban Plastix Holds'!$I$37:$U$705,7,0),0)</f>
        <v>#NAME?</v>
      </c>
      <c r="F823" s="274"/>
      <c r="G823" s="274" t="e">
        <f t="shared" ca="1" si="14"/>
        <v>#NAME?</v>
      </c>
      <c r="H823" s="274">
        <f t="shared" si="15"/>
        <v>0</v>
      </c>
    </row>
    <row r="824" spans="2:8" ht="13.5" customHeight="1">
      <c r="B824" s="1" t="s">
        <v>2270</v>
      </c>
      <c r="C824" s="1" t="s">
        <v>3647</v>
      </c>
      <c r="D824" s="410" t="str">
        <f t="shared" si="17"/>
        <v>16-16</v>
      </c>
      <c r="E824" s="273" t="e">
        <f ca="1">_xludf.IFNA(VLOOKUP('Comp X - UP'!B824,'Urban Plastix Holds'!$I$37:$U$705,8,0),0)</f>
        <v>#NAME?</v>
      </c>
      <c r="F824" s="274"/>
      <c r="G824" s="274" t="e">
        <f t="shared" ca="1" si="14"/>
        <v>#NAME?</v>
      </c>
      <c r="H824" s="274">
        <f t="shared" si="15"/>
        <v>0</v>
      </c>
    </row>
    <row r="825" spans="2:8" ht="13.5" customHeight="1">
      <c r="B825" s="1" t="s">
        <v>2270</v>
      </c>
      <c r="C825" s="1" t="s">
        <v>3647</v>
      </c>
      <c r="D825" s="411" t="str">
        <f t="shared" si="17"/>
        <v>13-01</v>
      </c>
      <c r="E825" s="273" t="e">
        <f ca="1">_xludf.IFNA(VLOOKUP('Comp X - UP'!B825,'Urban Plastix Holds'!$I$37:$U$705,9,0),0)</f>
        <v>#NAME?</v>
      </c>
      <c r="F825" s="274"/>
      <c r="G825" s="274" t="e">
        <f t="shared" ca="1" si="14"/>
        <v>#NAME?</v>
      </c>
      <c r="H825" s="274">
        <f t="shared" si="15"/>
        <v>0</v>
      </c>
    </row>
    <row r="826" spans="2:8" ht="13.5" customHeight="1">
      <c r="B826" s="1" t="s">
        <v>2270</v>
      </c>
      <c r="C826" s="1" t="s">
        <v>3647</v>
      </c>
      <c r="D826" s="413" t="str">
        <f t="shared" si="17"/>
        <v>07-13</v>
      </c>
      <c r="E826" s="273" t="e">
        <f ca="1">_xludf.IFNA(VLOOKUP('Comp X - UP'!B826,'Urban Plastix Holds'!$I$37:$U$705,10,0),0)</f>
        <v>#NAME?</v>
      </c>
      <c r="F826" s="274"/>
      <c r="G826" s="274" t="e">
        <f t="shared" ca="1" si="14"/>
        <v>#NAME?</v>
      </c>
      <c r="H826" s="274">
        <f t="shared" si="15"/>
        <v>0</v>
      </c>
    </row>
    <row r="827" spans="2:8" ht="13.5" customHeight="1">
      <c r="B827" s="1" t="s">
        <v>2270</v>
      </c>
      <c r="C827" s="1" t="s">
        <v>3647</v>
      </c>
      <c r="D827" s="414" t="str">
        <f t="shared" si="17"/>
        <v>11-26</v>
      </c>
      <c r="E827" s="273" t="e">
        <f ca="1">_xludf.IFNA(VLOOKUP('Comp X - UP'!B827,'Urban Plastix Holds'!$I$37:$U$705,11,0),0)</f>
        <v>#NAME?</v>
      </c>
      <c r="F827" s="274"/>
      <c r="G827" s="274" t="e">
        <f t="shared" ca="1" si="14"/>
        <v>#NAME?</v>
      </c>
      <c r="H827" s="274">
        <f t="shared" si="15"/>
        <v>0</v>
      </c>
    </row>
    <row r="828" spans="2:8" ht="13.5" customHeight="1">
      <c r="B828" s="1" t="s">
        <v>2270</v>
      </c>
      <c r="C828" s="1" t="s">
        <v>3647</v>
      </c>
      <c r="D828" s="415" t="str">
        <f t="shared" si="17"/>
        <v>18-01</v>
      </c>
      <c r="E828" s="273" t="e">
        <f ca="1">_xludf.IFNA(VLOOKUP('Comp X - UP'!B828,'Urban Plastix Holds'!$I$37:$U$705,12,0),0)</f>
        <v>#NAME?</v>
      </c>
      <c r="F828" s="274"/>
      <c r="G828" s="274" t="e">
        <f t="shared" ca="1" si="14"/>
        <v>#NAME?</v>
      </c>
      <c r="H828" s="274">
        <f t="shared" si="15"/>
        <v>0</v>
      </c>
    </row>
    <row r="829" spans="2:8" ht="13.5" customHeight="1">
      <c r="B829" s="1" t="s">
        <v>2270</v>
      </c>
      <c r="C829" s="1" t="s">
        <v>3647</v>
      </c>
      <c r="D829" s="416" t="str">
        <f t="shared" si="17"/>
        <v>Color Code</v>
      </c>
      <c r="E829" s="273" t="e">
        <f ca="1">_xludf.IFNA(VLOOKUP('Comp X - UP'!B829,'Urban Plastix Holds'!$I$37:$U$705,13,0),0)</f>
        <v>#NAME?</v>
      </c>
      <c r="F829" s="274"/>
      <c r="G829" s="274" t="e">
        <f t="shared" ca="1" si="14"/>
        <v>#NAME?</v>
      </c>
      <c r="H829" s="274">
        <f t="shared" si="15"/>
        <v>0</v>
      </c>
    </row>
    <row r="830" spans="2:8" ht="13.5" customHeight="1">
      <c r="B830" s="1" t="s">
        <v>2263</v>
      </c>
      <c r="C830" s="1" t="s">
        <v>3648</v>
      </c>
      <c r="D830" s="406" t="str">
        <f t="shared" si="17"/>
        <v>11-12</v>
      </c>
      <c r="E830" s="273" t="e">
        <f ca="1">_xludf.IFNA(VLOOKUP('Comp X - UP'!B830,'Urban Plastix Holds'!$I$37:$U$705,5,0),0)</f>
        <v>#NAME?</v>
      </c>
      <c r="F830" s="274"/>
      <c r="G830" s="274" t="e">
        <f t="shared" ca="1" si="14"/>
        <v>#NAME?</v>
      </c>
      <c r="H830" s="274">
        <f t="shared" si="15"/>
        <v>0</v>
      </c>
    </row>
    <row r="831" spans="2:8" ht="13.5" customHeight="1">
      <c r="B831" s="1" t="s">
        <v>2263</v>
      </c>
      <c r="C831" s="1" t="s">
        <v>3648</v>
      </c>
      <c r="D831" s="408" t="str">
        <f t="shared" si="17"/>
        <v>14-01</v>
      </c>
      <c r="E831" s="273" t="e">
        <f ca="1">_xludf.IFNA(VLOOKUP('Comp X - UP'!B831,'Urban Plastix Holds'!$I$37:$U$705,6,0),0)</f>
        <v>#NAME?</v>
      </c>
      <c r="F831" s="274"/>
      <c r="G831" s="274" t="e">
        <f t="shared" ca="1" si="14"/>
        <v>#NAME?</v>
      </c>
      <c r="H831" s="274">
        <f t="shared" si="15"/>
        <v>0</v>
      </c>
    </row>
    <row r="832" spans="2:8" ht="13.5" customHeight="1">
      <c r="B832" s="1" t="s">
        <v>2263</v>
      </c>
      <c r="C832" s="1" t="s">
        <v>3648</v>
      </c>
      <c r="D832" s="409" t="str">
        <f t="shared" si="17"/>
        <v>15-12</v>
      </c>
      <c r="E832" s="273" t="e">
        <f ca="1">_xludf.IFNA(VLOOKUP('Comp X - UP'!B832,'Urban Plastix Holds'!$I$37:$U$705,7,0),0)</f>
        <v>#NAME?</v>
      </c>
      <c r="F832" s="274"/>
      <c r="G832" s="274" t="e">
        <f t="shared" ca="1" si="14"/>
        <v>#NAME?</v>
      </c>
      <c r="H832" s="274">
        <f t="shared" si="15"/>
        <v>0</v>
      </c>
    </row>
    <row r="833" spans="2:8" ht="13.5" customHeight="1">
      <c r="B833" s="1" t="s">
        <v>2263</v>
      </c>
      <c r="C833" s="1" t="s">
        <v>3648</v>
      </c>
      <c r="D833" s="410" t="str">
        <f t="shared" si="17"/>
        <v>16-16</v>
      </c>
      <c r="E833" s="273" t="e">
        <f ca="1">_xludf.IFNA(VLOOKUP('Comp X - UP'!B833,'Urban Plastix Holds'!$I$37:$U$705,8,0),0)</f>
        <v>#NAME?</v>
      </c>
      <c r="F833" s="274"/>
      <c r="G833" s="274" t="e">
        <f t="shared" ca="1" si="14"/>
        <v>#NAME?</v>
      </c>
      <c r="H833" s="274">
        <f t="shared" si="15"/>
        <v>0</v>
      </c>
    </row>
    <row r="834" spans="2:8" ht="13.5" customHeight="1">
      <c r="B834" s="1" t="s">
        <v>2263</v>
      </c>
      <c r="C834" s="1" t="s">
        <v>3648</v>
      </c>
      <c r="D834" s="411" t="str">
        <f t="shared" si="17"/>
        <v>13-01</v>
      </c>
      <c r="E834" s="273" t="e">
        <f ca="1">_xludf.IFNA(VLOOKUP('Comp X - UP'!B834,'Urban Plastix Holds'!$I$37:$U$705,9,0),0)</f>
        <v>#NAME?</v>
      </c>
      <c r="F834" s="274"/>
      <c r="G834" s="274" t="e">
        <f t="shared" ca="1" si="14"/>
        <v>#NAME?</v>
      </c>
      <c r="H834" s="274">
        <f t="shared" si="15"/>
        <v>0</v>
      </c>
    </row>
    <row r="835" spans="2:8" ht="13.5" customHeight="1">
      <c r="B835" s="1" t="s">
        <v>2263</v>
      </c>
      <c r="C835" s="1" t="s">
        <v>3648</v>
      </c>
      <c r="D835" s="413" t="str">
        <f t="shared" si="17"/>
        <v>07-13</v>
      </c>
      <c r="E835" s="273" t="e">
        <f ca="1">_xludf.IFNA(VLOOKUP('Comp X - UP'!B835,'Urban Plastix Holds'!$I$37:$U$705,10,0),0)</f>
        <v>#NAME?</v>
      </c>
      <c r="F835" s="274"/>
      <c r="G835" s="274" t="e">
        <f t="shared" ca="1" si="14"/>
        <v>#NAME?</v>
      </c>
      <c r="H835" s="274">
        <f t="shared" si="15"/>
        <v>0</v>
      </c>
    </row>
    <row r="836" spans="2:8" ht="13.5" customHeight="1">
      <c r="B836" s="1" t="s">
        <v>2263</v>
      </c>
      <c r="C836" s="1" t="s">
        <v>3648</v>
      </c>
      <c r="D836" s="414" t="str">
        <f t="shared" si="17"/>
        <v>11-26</v>
      </c>
      <c r="E836" s="273" t="e">
        <f ca="1">_xludf.IFNA(VLOOKUP('Comp X - UP'!B836,'Urban Plastix Holds'!$I$37:$U$705,11,0),0)</f>
        <v>#NAME?</v>
      </c>
      <c r="F836" s="274"/>
      <c r="G836" s="274" t="e">
        <f t="shared" ca="1" si="14"/>
        <v>#NAME?</v>
      </c>
      <c r="H836" s="274">
        <f t="shared" si="15"/>
        <v>0</v>
      </c>
    </row>
    <row r="837" spans="2:8" ht="13.5" customHeight="1">
      <c r="B837" s="1" t="s">
        <v>2263</v>
      </c>
      <c r="C837" s="1" t="s">
        <v>3648</v>
      </c>
      <c r="D837" s="415" t="str">
        <f t="shared" si="17"/>
        <v>18-01</v>
      </c>
      <c r="E837" s="273" t="e">
        <f ca="1">_xludf.IFNA(VLOOKUP('Comp X - UP'!B837,'Urban Plastix Holds'!$I$37:$U$705,12,0),0)</f>
        <v>#NAME?</v>
      </c>
      <c r="F837" s="274"/>
      <c r="G837" s="274" t="e">
        <f t="shared" ca="1" si="14"/>
        <v>#NAME?</v>
      </c>
      <c r="H837" s="274">
        <f t="shared" si="15"/>
        <v>0</v>
      </c>
    </row>
    <row r="838" spans="2:8" ht="13.5" customHeight="1">
      <c r="B838" s="1" t="s">
        <v>2263</v>
      </c>
      <c r="C838" s="1" t="s">
        <v>3648</v>
      </c>
      <c r="D838" s="416" t="str">
        <f t="shared" si="17"/>
        <v>Color Code</v>
      </c>
      <c r="E838" s="273" t="e">
        <f ca="1">_xludf.IFNA(VLOOKUP('Comp X - UP'!B838,'Urban Plastix Holds'!$I$37:$U$705,13,0),0)</f>
        <v>#NAME?</v>
      </c>
      <c r="F838" s="274"/>
      <c r="G838" s="274" t="e">
        <f t="shared" ca="1" si="14"/>
        <v>#NAME?</v>
      </c>
      <c r="H838" s="274">
        <f t="shared" si="15"/>
        <v>0</v>
      </c>
    </row>
    <row r="839" spans="2:8" ht="13.5" customHeight="1">
      <c r="B839" s="1" t="s">
        <v>2264</v>
      </c>
      <c r="C839" s="1" t="s">
        <v>3649</v>
      </c>
      <c r="D839" s="406" t="str">
        <f t="shared" si="17"/>
        <v>11-12</v>
      </c>
      <c r="E839" s="273" t="e">
        <f ca="1">_xludf.IFNA(VLOOKUP('Comp X - UP'!B839,'Urban Plastix Holds'!$I$37:$U$705,5,0),0)</f>
        <v>#NAME?</v>
      </c>
      <c r="F839" s="274"/>
      <c r="G839" s="274" t="e">
        <f t="shared" ca="1" si="14"/>
        <v>#NAME?</v>
      </c>
      <c r="H839" s="274">
        <f t="shared" si="15"/>
        <v>0</v>
      </c>
    </row>
    <row r="840" spans="2:8" ht="13.5" customHeight="1">
      <c r="B840" s="1" t="s">
        <v>2264</v>
      </c>
      <c r="C840" s="1" t="s">
        <v>3649</v>
      </c>
      <c r="D840" s="408" t="str">
        <f t="shared" si="17"/>
        <v>14-01</v>
      </c>
      <c r="E840" s="273" t="e">
        <f ca="1">_xludf.IFNA(VLOOKUP('Comp X - UP'!B840,'Urban Plastix Holds'!$I$37:$U$705,6,0),0)</f>
        <v>#NAME?</v>
      </c>
      <c r="F840" s="274"/>
      <c r="G840" s="274" t="e">
        <f t="shared" ca="1" si="14"/>
        <v>#NAME?</v>
      </c>
      <c r="H840" s="274">
        <f t="shared" si="15"/>
        <v>0</v>
      </c>
    </row>
    <row r="841" spans="2:8" ht="13.5" customHeight="1">
      <c r="B841" s="1" t="s">
        <v>2264</v>
      </c>
      <c r="C841" s="1" t="s">
        <v>3649</v>
      </c>
      <c r="D841" s="409" t="str">
        <f t="shared" si="17"/>
        <v>15-12</v>
      </c>
      <c r="E841" s="273" t="e">
        <f ca="1">_xludf.IFNA(VLOOKUP('Comp X - UP'!B841,'Urban Plastix Holds'!$I$37:$U$705,7,0),0)</f>
        <v>#NAME?</v>
      </c>
      <c r="F841" s="274"/>
      <c r="G841" s="274" t="e">
        <f t="shared" ca="1" si="14"/>
        <v>#NAME?</v>
      </c>
      <c r="H841" s="274">
        <f t="shared" si="15"/>
        <v>0</v>
      </c>
    </row>
    <row r="842" spans="2:8" ht="13.5" customHeight="1">
      <c r="B842" s="1" t="s">
        <v>2264</v>
      </c>
      <c r="C842" s="1" t="s">
        <v>3649</v>
      </c>
      <c r="D842" s="410" t="str">
        <f t="shared" si="17"/>
        <v>16-16</v>
      </c>
      <c r="E842" s="273" t="e">
        <f ca="1">_xludf.IFNA(VLOOKUP('Comp X - UP'!B842,'Urban Plastix Holds'!$I$37:$U$705,8,0),0)</f>
        <v>#NAME?</v>
      </c>
      <c r="F842" s="274"/>
      <c r="G842" s="274" t="e">
        <f t="shared" ca="1" si="14"/>
        <v>#NAME?</v>
      </c>
      <c r="H842" s="274">
        <f t="shared" si="15"/>
        <v>0</v>
      </c>
    </row>
    <row r="843" spans="2:8" ht="13.5" customHeight="1">
      <c r="B843" s="1" t="s">
        <v>2264</v>
      </c>
      <c r="C843" s="1" t="s">
        <v>3649</v>
      </c>
      <c r="D843" s="411" t="str">
        <f t="shared" si="17"/>
        <v>13-01</v>
      </c>
      <c r="E843" s="273" t="e">
        <f ca="1">_xludf.IFNA(VLOOKUP('Comp X - UP'!B843,'Urban Plastix Holds'!$I$37:$U$705,9,0),0)</f>
        <v>#NAME?</v>
      </c>
      <c r="F843" s="274"/>
      <c r="G843" s="274" t="e">
        <f t="shared" ca="1" si="14"/>
        <v>#NAME?</v>
      </c>
      <c r="H843" s="274">
        <f t="shared" si="15"/>
        <v>0</v>
      </c>
    </row>
    <row r="844" spans="2:8" ht="13.5" customHeight="1">
      <c r="B844" s="1" t="s">
        <v>2264</v>
      </c>
      <c r="C844" s="1" t="s">
        <v>3649</v>
      </c>
      <c r="D844" s="413" t="str">
        <f t="shared" si="17"/>
        <v>07-13</v>
      </c>
      <c r="E844" s="273" t="e">
        <f ca="1">_xludf.IFNA(VLOOKUP('Comp X - UP'!B844,'Urban Plastix Holds'!$I$37:$U$705,10,0),0)</f>
        <v>#NAME?</v>
      </c>
      <c r="F844" s="274"/>
      <c r="G844" s="274" t="e">
        <f t="shared" ca="1" si="14"/>
        <v>#NAME?</v>
      </c>
      <c r="H844" s="274">
        <f t="shared" si="15"/>
        <v>0</v>
      </c>
    </row>
    <row r="845" spans="2:8" ht="13.5" customHeight="1">
      <c r="B845" s="1" t="s">
        <v>2264</v>
      </c>
      <c r="C845" s="1" t="s">
        <v>3649</v>
      </c>
      <c r="D845" s="414" t="str">
        <f t="shared" si="17"/>
        <v>11-26</v>
      </c>
      <c r="E845" s="273" t="e">
        <f ca="1">_xludf.IFNA(VLOOKUP('Comp X - UP'!B845,'Urban Plastix Holds'!$I$37:$U$705,11,0),0)</f>
        <v>#NAME?</v>
      </c>
      <c r="F845" s="274"/>
      <c r="G845" s="274" t="e">
        <f t="shared" ca="1" si="14"/>
        <v>#NAME?</v>
      </c>
      <c r="H845" s="274">
        <f t="shared" si="15"/>
        <v>0</v>
      </c>
    </row>
    <row r="846" spans="2:8" ht="13.5" customHeight="1">
      <c r="B846" s="1" t="s">
        <v>2264</v>
      </c>
      <c r="C846" s="1" t="s">
        <v>3649</v>
      </c>
      <c r="D846" s="415" t="str">
        <f t="shared" si="17"/>
        <v>18-01</v>
      </c>
      <c r="E846" s="273" t="e">
        <f ca="1">_xludf.IFNA(VLOOKUP('Comp X - UP'!B846,'Urban Plastix Holds'!$I$37:$U$705,12,0),0)</f>
        <v>#NAME?</v>
      </c>
      <c r="F846" s="274"/>
      <c r="G846" s="274" t="e">
        <f t="shared" ca="1" si="14"/>
        <v>#NAME?</v>
      </c>
      <c r="H846" s="274">
        <f t="shared" si="15"/>
        <v>0</v>
      </c>
    </row>
    <row r="847" spans="2:8" ht="13.5" customHeight="1">
      <c r="B847" s="1" t="s">
        <v>2264</v>
      </c>
      <c r="C847" s="1" t="s">
        <v>3649</v>
      </c>
      <c r="D847" s="416" t="str">
        <f t="shared" si="17"/>
        <v>Color Code</v>
      </c>
      <c r="E847" s="273" t="e">
        <f ca="1">_xludf.IFNA(VLOOKUP('Comp X - UP'!B847,'Urban Plastix Holds'!$I$37:$U$705,13,0),0)</f>
        <v>#NAME?</v>
      </c>
      <c r="F847" s="274"/>
      <c r="G847" s="274" t="e">
        <f t="shared" ca="1" si="14"/>
        <v>#NAME?</v>
      </c>
      <c r="H847" s="274">
        <f t="shared" si="15"/>
        <v>0</v>
      </c>
    </row>
    <row r="848" spans="2:8" ht="13.5" customHeight="1">
      <c r="B848" s="1" t="s">
        <v>2265</v>
      </c>
      <c r="C848" s="1" t="s">
        <v>3650</v>
      </c>
      <c r="D848" s="406" t="str">
        <f t="shared" si="17"/>
        <v>11-12</v>
      </c>
      <c r="E848" s="273" t="e">
        <f ca="1">_xludf.IFNA(VLOOKUP('Comp X - UP'!B848,'Urban Plastix Holds'!$I$37:$U$705,5,0),0)</f>
        <v>#NAME?</v>
      </c>
      <c r="F848" s="274"/>
      <c r="G848" s="274" t="e">
        <f t="shared" ca="1" si="14"/>
        <v>#NAME?</v>
      </c>
      <c r="H848" s="274">
        <f t="shared" si="15"/>
        <v>0</v>
      </c>
    </row>
    <row r="849" spans="2:8" ht="13.5" customHeight="1">
      <c r="B849" s="1" t="s">
        <v>2265</v>
      </c>
      <c r="C849" s="1" t="s">
        <v>3650</v>
      </c>
      <c r="D849" s="408" t="str">
        <f t="shared" si="17"/>
        <v>14-01</v>
      </c>
      <c r="E849" s="273" t="e">
        <f ca="1">_xludf.IFNA(VLOOKUP('Comp X - UP'!B849,'Urban Plastix Holds'!$I$37:$U$705,6,0),0)</f>
        <v>#NAME?</v>
      </c>
      <c r="F849" s="274"/>
      <c r="G849" s="274" t="e">
        <f t="shared" ca="1" si="14"/>
        <v>#NAME?</v>
      </c>
      <c r="H849" s="274">
        <f t="shared" si="15"/>
        <v>0</v>
      </c>
    </row>
    <row r="850" spans="2:8" ht="13.5" customHeight="1">
      <c r="B850" s="1" t="s">
        <v>2265</v>
      </c>
      <c r="C850" s="1" t="s">
        <v>3650</v>
      </c>
      <c r="D850" s="409" t="str">
        <f t="shared" si="17"/>
        <v>15-12</v>
      </c>
      <c r="E850" s="273" t="e">
        <f ca="1">_xludf.IFNA(VLOOKUP('Comp X - UP'!B850,'Urban Plastix Holds'!$I$37:$U$705,7,0),0)</f>
        <v>#NAME?</v>
      </c>
      <c r="F850" s="274"/>
      <c r="G850" s="274" t="e">
        <f t="shared" ca="1" si="14"/>
        <v>#NAME?</v>
      </c>
      <c r="H850" s="274">
        <f t="shared" si="15"/>
        <v>0</v>
      </c>
    </row>
    <row r="851" spans="2:8" ht="13.5" customHeight="1">
      <c r="B851" s="1" t="s">
        <v>2265</v>
      </c>
      <c r="C851" s="1" t="s">
        <v>3650</v>
      </c>
      <c r="D851" s="410" t="str">
        <f t="shared" si="17"/>
        <v>16-16</v>
      </c>
      <c r="E851" s="273" t="e">
        <f ca="1">_xludf.IFNA(VLOOKUP('Comp X - UP'!B851,'Urban Plastix Holds'!$I$37:$U$705,8,0),0)</f>
        <v>#NAME?</v>
      </c>
      <c r="F851" s="274"/>
      <c r="G851" s="274" t="e">
        <f t="shared" ca="1" si="14"/>
        <v>#NAME?</v>
      </c>
      <c r="H851" s="274">
        <f t="shared" si="15"/>
        <v>0</v>
      </c>
    </row>
    <row r="852" spans="2:8" ht="13.5" customHeight="1">
      <c r="B852" s="1" t="s">
        <v>2265</v>
      </c>
      <c r="C852" s="1" t="s">
        <v>3650</v>
      </c>
      <c r="D852" s="411" t="str">
        <f t="shared" si="17"/>
        <v>13-01</v>
      </c>
      <c r="E852" s="273" t="e">
        <f ca="1">_xludf.IFNA(VLOOKUP('Comp X - UP'!B852,'Urban Plastix Holds'!$I$37:$U$705,9,0),0)</f>
        <v>#NAME?</v>
      </c>
      <c r="F852" s="274"/>
      <c r="G852" s="274" t="e">
        <f t="shared" ca="1" si="14"/>
        <v>#NAME?</v>
      </c>
      <c r="H852" s="274">
        <f t="shared" si="15"/>
        <v>0</v>
      </c>
    </row>
    <row r="853" spans="2:8" ht="13.5" customHeight="1">
      <c r="B853" s="1" t="s">
        <v>2265</v>
      </c>
      <c r="C853" s="1" t="s">
        <v>3650</v>
      </c>
      <c r="D853" s="413" t="str">
        <f t="shared" si="17"/>
        <v>07-13</v>
      </c>
      <c r="E853" s="273" t="e">
        <f ca="1">_xludf.IFNA(VLOOKUP('Comp X - UP'!B853,'Urban Plastix Holds'!$I$37:$U$705,10,0),0)</f>
        <v>#NAME?</v>
      </c>
      <c r="F853" s="274"/>
      <c r="G853" s="274" t="e">
        <f t="shared" ca="1" si="14"/>
        <v>#NAME?</v>
      </c>
      <c r="H853" s="274">
        <f t="shared" si="15"/>
        <v>0</v>
      </c>
    </row>
    <row r="854" spans="2:8" ht="13.5" customHeight="1">
      <c r="B854" s="1" t="s">
        <v>2265</v>
      </c>
      <c r="C854" s="1" t="s">
        <v>3650</v>
      </c>
      <c r="D854" s="414" t="str">
        <f t="shared" si="17"/>
        <v>11-26</v>
      </c>
      <c r="E854" s="273" t="e">
        <f ca="1">_xludf.IFNA(VLOOKUP('Comp X - UP'!B854,'Urban Plastix Holds'!$I$37:$U$705,11,0),0)</f>
        <v>#NAME?</v>
      </c>
      <c r="F854" s="274"/>
      <c r="G854" s="274" t="e">
        <f t="shared" ca="1" si="14"/>
        <v>#NAME?</v>
      </c>
      <c r="H854" s="274">
        <f t="shared" si="15"/>
        <v>0</v>
      </c>
    </row>
    <row r="855" spans="2:8" ht="13.5" customHeight="1">
      <c r="B855" s="1" t="s">
        <v>2265</v>
      </c>
      <c r="C855" s="1" t="s">
        <v>3650</v>
      </c>
      <c r="D855" s="415" t="str">
        <f t="shared" si="17"/>
        <v>18-01</v>
      </c>
      <c r="E855" s="273" t="e">
        <f ca="1">_xludf.IFNA(VLOOKUP('Comp X - UP'!B855,'Urban Plastix Holds'!$I$37:$U$705,12,0),0)</f>
        <v>#NAME?</v>
      </c>
      <c r="F855" s="274"/>
      <c r="G855" s="274" t="e">
        <f t="shared" ca="1" si="14"/>
        <v>#NAME?</v>
      </c>
      <c r="H855" s="274">
        <f t="shared" si="15"/>
        <v>0</v>
      </c>
    </row>
    <row r="856" spans="2:8" ht="13.5" customHeight="1">
      <c r="B856" s="1" t="s">
        <v>2265</v>
      </c>
      <c r="C856" s="1" t="s">
        <v>3650</v>
      </c>
      <c r="D856" s="416" t="str">
        <f t="shared" si="17"/>
        <v>Color Code</v>
      </c>
      <c r="E856" s="273" t="e">
        <f ca="1">_xludf.IFNA(VLOOKUP('Comp X - UP'!B856,'Urban Plastix Holds'!$I$37:$U$705,13,0),0)</f>
        <v>#NAME?</v>
      </c>
      <c r="F856" s="274"/>
      <c r="G856" s="274" t="e">
        <f t="shared" ca="1" si="14"/>
        <v>#NAME?</v>
      </c>
      <c r="H856" s="274">
        <f t="shared" si="15"/>
        <v>0</v>
      </c>
    </row>
    <row r="857" spans="2:8" ht="13.5" customHeight="1">
      <c r="B857" s="1" t="s">
        <v>2266</v>
      </c>
      <c r="C857" s="1" t="s">
        <v>3651</v>
      </c>
      <c r="D857" s="406" t="str">
        <f t="shared" si="17"/>
        <v>11-12</v>
      </c>
      <c r="E857" s="273" t="e">
        <f ca="1">_xludf.IFNA(VLOOKUP('Comp X - UP'!B857,'Urban Plastix Holds'!$I$37:$U$705,5,0),0)</f>
        <v>#NAME?</v>
      </c>
      <c r="F857" s="274"/>
      <c r="G857" s="274" t="e">
        <f t="shared" ca="1" si="14"/>
        <v>#NAME?</v>
      </c>
      <c r="H857" s="274">
        <f t="shared" si="15"/>
        <v>0</v>
      </c>
    </row>
    <row r="858" spans="2:8" ht="13.5" customHeight="1">
      <c r="B858" s="1" t="s">
        <v>2266</v>
      </c>
      <c r="C858" s="1" t="s">
        <v>3651</v>
      </c>
      <c r="D858" s="408" t="str">
        <f t="shared" si="17"/>
        <v>14-01</v>
      </c>
      <c r="E858" s="273" t="e">
        <f ca="1">_xludf.IFNA(VLOOKUP('Comp X - UP'!B858,'Urban Plastix Holds'!$I$37:$U$705,6,0),0)</f>
        <v>#NAME?</v>
      </c>
      <c r="F858" s="274"/>
      <c r="G858" s="274" t="e">
        <f t="shared" ca="1" si="14"/>
        <v>#NAME?</v>
      </c>
      <c r="H858" s="274">
        <f t="shared" si="15"/>
        <v>0</v>
      </c>
    </row>
    <row r="859" spans="2:8" ht="13.5" customHeight="1">
      <c r="B859" s="1" t="s">
        <v>2266</v>
      </c>
      <c r="C859" s="1" t="s">
        <v>3651</v>
      </c>
      <c r="D859" s="409" t="str">
        <f t="shared" si="17"/>
        <v>15-12</v>
      </c>
      <c r="E859" s="273" t="e">
        <f ca="1">_xludf.IFNA(VLOOKUP('Comp X - UP'!B859,'Urban Plastix Holds'!$I$37:$U$705,7,0),0)</f>
        <v>#NAME?</v>
      </c>
      <c r="F859" s="274"/>
      <c r="G859" s="274" t="e">
        <f t="shared" ca="1" si="14"/>
        <v>#NAME?</v>
      </c>
      <c r="H859" s="274">
        <f t="shared" si="15"/>
        <v>0</v>
      </c>
    </row>
    <row r="860" spans="2:8" ht="13.5" customHeight="1">
      <c r="B860" s="1" t="s">
        <v>2266</v>
      </c>
      <c r="C860" s="1" t="s">
        <v>3651</v>
      </c>
      <c r="D860" s="410" t="str">
        <f t="shared" si="17"/>
        <v>16-16</v>
      </c>
      <c r="E860" s="273" t="e">
        <f ca="1">_xludf.IFNA(VLOOKUP('Comp X - UP'!B860,'Urban Plastix Holds'!$I$37:$U$705,8,0),0)</f>
        <v>#NAME?</v>
      </c>
      <c r="F860" s="274"/>
      <c r="G860" s="274" t="e">
        <f t="shared" ca="1" si="14"/>
        <v>#NAME?</v>
      </c>
      <c r="H860" s="274">
        <f t="shared" si="15"/>
        <v>0</v>
      </c>
    </row>
    <row r="861" spans="2:8" ht="13.5" customHeight="1">
      <c r="B861" s="1" t="s">
        <v>2266</v>
      </c>
      <c r="C861" s="1" t="s">
        <v>3651</v>
      </c>
      <c r="D861" s="411" t="str">
        <f t="shared" si="17"/>
        <v>13-01</v>
      </c>
      <c r="E861" s="273" t="e">
        <f ca="1">_xludf.IFNA(VLOOKUP('Comp X - UP'!B861,'Urban Plastix Holds'!$I$37:$U$705,9,0),0)</f>
        <v>#NAME?</v>
      </c>
      <c r="F861" s="274"/>
      <c r="G861" s="274" t="e">
        <f t="shared" ca="1" si="14"/>
        <v>#NAME?</v>
      </c>
      <c r="H861" s="274">
        <f t="shared" si="15"/>
        <v>0</v>
      </c>
    </row>
    <row r="862" spans="2:8" ht="13.5" customHeight="1">
      <c r="B862" s="1" t="s">
        <v>2266</v>
      </c>
      <c r="C862" s="1" t="s">
        <v>3651</v>
      </c>
      <c r="D862" s="413" t="str">
        <f t="shared" si="17"/>
        <v>07-13</v>
      </c>
      <c r="E862" s="273" t="e">
        <f ca="1">_xludf.IFNA(VLOOKUP('Comp X - UP'!B862,'Urban Plastix Holds'!$I$37:$U$705,10,0),0)</f>
        <v>#NAME?</v>
      </c>
      <c r="F862" s="274"/>
      <c r="G862" s="274" t="e">
        <f t="shared" ca="1" si="14"/>
        <v>#NAME?</v>
      </c>
      <c r="H862" s="274">
        <f t="shared" si="15"/>
        <v>0</v>
      </c>
    </row>
    <row r="863" spans="2:8" ht="13.5" customHeight="1">
      <c r="B863" s="1" t="s">
        <v>2266</v>
      </c>
      <c r="C863" s="1" t="s">
        <v>3651</v>
      </c>
      <c r="D863" s="414" t="str">
        <f t="shared" si="17"/>
        <v>11-26</v>
      </c>
      <c r="E863" s="273" t="e">
        <f ca="1">_xludf.IFNA(VLOOKUP('Comp X - UP'!B863,'Urban Plastix Holds'!$I$37:$U$705,11,0),0)</f>
        <v>#NAME?</v>
      </c>
      <c r="F863" s="274"/>
      <c r="G863" s="274" t="e">
        <f t="shared" ca="1" si="14"/>
        <v>#NAME?</v>
      </c>
      <c r="H863" s="274">
        <f t="shared" si="15"/>
        <v>0</v>
      </c>
    </row>
    <row r="864" spans="2:8" ht="13.5" customHeight="1">
      <c r="B864" s="1" t="s">
        <v>2266</v>
      </c>
      <c r="C864" s="1" t="s">
        <v>3651</v>
      </c>
      <c r="D864" s="415" t="str">
        <f t="shared" si="17"/>
        <v>18-01</v>
      </c>
      <c r="E864" s="273" t="e">
        <f ca="1">_xludf.IFNA(VLOOKUP('Comp X - UP'!B864,'Urban Plastix Holds'!$I$37:$U$705,12,0),0)</f>
        <v>#NAME?</v>
      </c>
      <c r="F864" s="274"/>
      <c r="G864" s="274" t="e">
        <f t="shared" ca="1" si="14"/>
        <v>#NAME?</v>
      </c>
      <c r="H864" s="274">
        <f t="shared" si="15"/>
        <v>0</v>
      </c>
    </row>
    <row r="865" spans="2:8" ht="13.5" customHeight="1">
      <c r="B865" s="1" t="s">
        <v>2266</v>
      </c>
      <c r="C865" s="1" t="s">
        <v>3651</v>
      </c>
      <c r="D865" s="416" t="str">
        <f t="shared" si="17"/>
        <v>Color Code</v>
      </c>
      <c r="E865" s="273" t="e">
        <f ca="1">_xludf.IFNA(VLOOKUP('Comp X - UP'!B865,'Urban Plastix Holds'!$I$37:$U$705,13,0),0)</f>
        <v>#NAME?</v>
      </c>
      <c r="F865" s="274"/>
      <c r="G865" s="274" t="e">
        <f t="shared" ca="1" si="14"/>
        <v>#NAME?</v>
      </c>
      <c r="H865" s="274">
        <f t="shared" si="15"/>
        <v>0</v>
      </c>
    </row>
    <row r="866" spans="2:8" ht="13.5" customHeight="1">
      <c r="B866" s="1" t="s">
        <v>2267</v>
      </c>
      <c r="C866" s="1" t="s">
        <v>3652</v>
      </c>
      <c r="D866" s="406" t="str">
        <f t="shared" si="17"/>
        <v>11-12</v>
      </c>
      <c r="E866" s="273" t="e">
        <f ca="1">_xludf.IFNA(VLOOKUP('Comp X - UP'!B866,'Urban Plastix Holds'!$I$37:$U$705,5,0),0)</f>
        <v>#NAME?</v>
      </c>
      <c r="F866" s="274"/>
      <c r="G866" s="274" t="e">
        <f t="shared" ca="1" si="14"/>
        <v>#NAME?</v>
      </c>
      <c r="H866" s="274">
        <f t="shared" si="15"/>
        <v>0</v>
      </c>
    </row>
    <row r="867" spans="2:8" ht="13.5" customHeight="1">
      <c r="B867" s="1" t="s">
        <v>2267</v>
      </c>
      <c r="C867" s="1" t="s">
        <v>3652</v>
      </c>
      <c r="D867" s="408" t="str">
        <f t="shared" si="17"/>
        <v>14-01</v>
      </c>
      <c r="E867" s="273" t="e">
        <f ca="1">_xludf.IFNA(VLOOKUP('Comp X - UP'!B867,'Urban Plastix Holds'!$I$37:$U$705,6,0),0)</f>
        <v>#NAME?</v>
      </c>
      <c r="F867" s="274"/>
      <c r="G867" s="274" t="e">
        <f t="shared" ca="1" si="14"/>
        <v>#NAME?</v>
      </c>
      <c r="H867" s="274">
        <f t="shared" si="15"/>
        <v>0</v>
      </c>
    </row>
    <row r="868" spans="2:8" ht="13.5" customHeight="1">
      <c r="B868" s="1" t="s">
        <v>2267</v>
      </c>
      <c r="C868" s="1" t="s">
        <v>3652</v>
      </c>
      <c r="D868" s="409" t="str">
        <f t="shared" si="17"/>
        <v>15-12</v>
      </c>
      <c r="E868" s="273" t="e">
        <f ca="1">_xludf.IFNA(VLOOKUP('Comp X - UP'!B868,'Urban Plastix Holds'!$I$37:$U$705,7,0),0)</f>
        <v>#NAME?</v>
      </c>
      <c r="F868" s="274"/>
      <c r="G868" s="274" t="e">
        <f t="shared" ca="1" si="14"/>
        <v>#NAME?</v>
      </c>
      <c r="H868" s="274">
        <f t="shared" si="15"/>
        <v>0</v>
      </c>
    </row>
    <row r="869" spans="2:8" ht="13.5" customHeight="1">
      <c r="B869" s="1" t="s">
        <v>2267</v>
      </c>
      <c r="C869" s="1" t="s">
        <v>3652</v>
      </c>
      <c r="D869" s="410" t="str">
        <f t="shared" si="17"/>
        <v>16-16</v>
      </c>
      <c r="E869" s="273" t="e">
        <f ca="1">_xludf.IFNA(VLOOKUP('Comp X - UP'!B869,'Urban Plastix Holds'!$I$37:$U$705,8,0),0)</f>
        <v>#NAME?</v>
      </c>
      <c r="F869" s="274"/>
      <c r="G869" s="274" t="e">
        <f t="shared" ca="1" si="14"/>
        <v>#NAME?</v>
      </c>
      <c r="H869" s="274">
        <f t="shared" si="15"/>
        <v>0</v>
      </c>
    </row>
    <row r="870" spans="2:8" ht="13.5" customHeight="1">
      <c r="B870" s="1" t="s">
        <v>2267</v>
      </c>
      <c r="C870" s="1" t="s">
        <v>3652</v>
      </c>
      <c r="D870" s="411" t="str">
        <f t="shared" si="17"/>
        <v>13-01</v>
      </c>
      <c r="E870" s="273" t="e">
        <f ca="1">_xludf.IFNA(VLOOKUP('Comp X - UP'!B870,'Urban Plastix Holds'!$I$37:$U$705,9,0),0)</f>
        <v>#NAME?</v>
      </c>
      <c r="F870" s="274"/>
      <c r="G870" s="274" t="e">
        <f t="shared" ca="1" si="14"/>
        <v>#NAME?</v>
      </c>
      <c r="H870" s="274">
        <f t="shared" si="15"/>
        <v>0</v>
      </c>
    </row>
    <row r="871" spans="2:8" ht="13.5" customHeight="1">
      <c r="B871" s="1" t="s">
        <v>2267</v>
      </c>
      <c r="C871" s="1" t="s">
        <v>3652</v>
      </c>
      <c r="D871" s="413" t="str">
        <f t="shared" si="17"/>
        <v>07-13</v>
      </c>
      <c r="E871" s="273" t="e">
        <f ca="1">_xludf.IFNA(VLOOKUP('Comp X - UP'!B871,'Urban Plastix Holds'!$I$37:$U$705,10,0),0)</f>
        <v>#NAME?</v>
      </c>
      <c r="F871" s="274"/>
      <c r="G871" s="274" t="e">
        <f t="shared" ca="1" si="14"/>
        <v>#NAME?</v>
      </c>
      <c r="H871" s="274">
        <f t="shared" si="15"/>
        <v>0</v>
      </c>
    </row>
    <row r="872" spans="2:8" ht="13.5" customHeight="1">
      <c r="B872" s="1" t="s">
        <v>2267</v>
      </c>
      <c r="C872" s="1" t="s">
        <v>3652</v>
      </c>
      <c r="D872" s="414" t="str">
        <f t="shared" si="17"/>
        <v>11-26</v>
      </c>
      <c r="E872" s="273" t="e">
        <f ca="1">_xludf.IFNA(VLOOKUP('Comp X - UP'!B872,'Urban Plastix Holds'!$I$37:$U$705,11,0),0)</f>
        <v>#NAME?</v>
      </c>
      <c r="F872" s="274"/>
      <c r="G872" s="274" t="e">
        <f t="shared" ca="1" si="14"/>
        <v>#NAME?</v>
      </c>
      <c r="H872" s="274">
        <f t="shared" si="15"/>
        <v>0</v>
      </c>
    </row>
    <row r="873" spans="2:8" ht="13.5" customHeight="1">
      <c r="B873" s="1" t="s">
        <v>2267</v>
      </c>
      <c r="C873" s="1" t="s">
        <v>3652</v>
      </c>
      <c r="D873" s="415" t="str">
        <f t="shared" si="17"/>
        <v>18-01</v>
      </c>
      <c r="E873" s="273" t="e">
        <f ca="1">_xludf.IFNA(VLOOKUP('Comp X - UP'!B873,'Urban Plastix Holds'!$I$37:$U$705,12,0),0)</f>
        <v>#NAME?</v>
      </c>
      <c r="F873" s="274"/>
      <c r="G873" s="274" t="e">
        <f t="shared" ca="1" si="14"/>
        <v>#NAME?</v>
      </c>
      <c r="H873" s="274">
        <f t="shared" si="15"/>
        <v>0</v>
      </c>
    </row>
    <row r="874" spans="2:8" ht="13.5" customHeight="1">
      <c r="B874" s="1" t="s">
        <v>2267</v>
      </c>
      <c r="C874" s="1" t="s">
        <v>3652</v>
      </c>
      <c r="D874" s="416" t="str">
        <f t="shared" si="17"/>
        <v>Color Code</v>
      </c>
      <c r="E874" s="273" t="e">
        <f ca="1">_xludf.IFNA(VLOOKUP('Comp X - UP'!B874,'Urban Plastix Holds'!$I$37:$U$705,13,0),0)</f>
        <v>#NAME?</v>
      </c>
      <c r="F874" s="274"/>
      <c r="G874" s="274" t="e">
        <f t="shared" ca="1" si="14"/>
        <v>#NAME?</v>
      </c>
      <c r="H874" s="274">
        <f t="shared" si="15"/>
        <v>0</v>
      </c>
    </row>
    <row r="875" spans="2:8" ht="13.5" customHeight="1">
      <c r="B875" s="1" t="s">
        <v>2268</v>
      </c>
      <c r="C875" s="1" t="s">
        <v>3653</v>
      </c>
      <c r="D875" s="406" t="str">
        <f t="shared" si="17"/>
        <v>11-12</v>
      </c>
      <c r="E875" s="273" t="e">
        <f ca="1">_xludf.IFNA(VLOOKUP('Comp X - UP'!B875,'Urban Plastix Holds'!$I$37:$U$705,5,0),0)</f>
        <v>#NAME?</v>
      </c>
      <c r="F875" s="274"/>
      <c r="G875" s="274" t="e">
        <f t="shared" ca="1" si="14"/>
        <v>#NAME?</v>
      </c>
      <c r="H875" s="274">
        <f t="shared" si="15"/>
        <v>0</v>
      </c>
    </row>
    <row r="876" spans="2:8" ht="13.5" customHeight="1">
      <c r="B876" s="1" t="s">
        <v>2268</v>
      </c>
      <c r="C876" s="1" t="s">
        <v>3653</v>
      </c>
      <c r="D876" s="408" t="str">
        <f t="shared" si="17"/>
        <v>14-01</v>
      </c>
      <c r="E876" s="273" t="e">
        <f ca="1">_xludf.IFNA(VLOOKUP('Comp X - UP'!B876,'Urban Plastix Holds'!$I$37:$U$705,6,0),0)</f>
        <v>#NAME?</v>
      </c>
      <c r="F876" s="274"/>
      <c r="G876" s="274" t="e">
        <f t="shared" ca="1" si="14"/>
        <v>#NAME?</v>
      </c>
      <c r="H876" s="274">
        <f t="shared" si="15"/>
        <v>0</v>
      </c>
    </row>
    <row r="877" spans="2:8" ht="13.5" customHeight="1">
      <c r="B877" s="1" t="s">
        <v>2268</v>
      </c>
      <c r="C877" s="1" t="s">
        <v>3653</v>
      </c>
      <c r="D877" s="409" t="str">
        <f t="shared" si="17"/>
        <v>15-12</v>
      </c>
      <c r="E877" s="273" t="e">
        <f ca="1">_xludf.IFNA(VLOOKUP('Comp X - UP'!B877,'Urban Plastix Holds'!$I$37:$U$705,7,0),0)</f>
        <v>#NAME?</v>
      </c>
      <c r="F877" s="274"/>
      <c r="G877" s="274" t="e">
        <f t="shared" ca="1" si="14"/>
        <v>#NAME?</v>
      </c>
      <c r="H877" s="274">
        <f t="shared" si="15"/>
        <v>0</v>
      </c>
    </row>
    <row r="878" spans="2:8" ht="13.5" customHeight="1">
      <c r="B878" s="1" t="s">
        <v>2268</v>
      </c>
      <c r="C878" s="1" t="s">
        <v>3653</v>
      </c>
      <c r="D878" s="410" t="str">
        <f t="shared" si="17"/>
        <v>16-16</v>
      </c>
      <c r="E878" s="273" t="e">
        <f ca="1">_xludf.IFNA(VLOOKUP('Comp X - UP'!B878,'Urban Plastix Holds'!$I$37:$U$705,8,0),0)</f>
        <v>#NAME?</v>
      </c>
      <c r="F878" s="274"/>
      <c r="G878" s="274" t="e">
        <f t="shared" ca="1" si="14"/>
        <v>#NAME?</v>
      </c>
      <c r="H878" s="274">
        <f t="shared" si="15"/>
        <v>0</v>
      </c>
    </row>
    <row r="879" spans="2:8" ht="13.5" customHeight="1">
      <c r="B879" s="1" t="s">
        <v>2268</v>
      </c>
      <c r="C879" s="1" t="s">
        <v>3653</v>
      </c>
      <c r="D879" s="411" t="str">
        <f t="shared" si="17"/>
        <v>13-01</v>
      </c>
      <c r="E879" s="273" t="e">
        <f ca="1">_xludf.IFNA(VLOOKUP('Comp X - UP'!B879,'Urban Plastix Holds'!$I$37:$U$705,9,0),0)</f>
        <v>#NAME?</v>
      </c>
      <c r="F879" s="274"/>
      <c r="G879" s="274" t="e">
        <f t="shared" ca="1" si="14"/>
        <v>#NAME?</v>
      </c>
      <c r="H879" s="274">
        <f t="shared" si="15"/>
        <v>0</v>
      </c>
    </row>
    <row r="880" spans="2:8" ht="13.5" customHeight="1">
      <c r="B880" s="1" t="s">
        <v>2268</v>
      </c>
      <c r="C880" s="1" t="s">
        <v>3653</v>
      </c>
      <c r="D880" s="413" t="str">
        <f t="shared" si="17"/>
        <v>07-13</v>
      </c>
      <c r="E880" s="273" t="e">
        <f ca="1">_xludf.IFNA(VLOOKUP('Comp X - UP'!B880,'Urban Plastix Holds'!$I$37:$U$705,10,0),0)</f>
        <v>#NAME?</v>
      </c>
      <c r="F880" s="274"/>
      <c r="G880" s="274" t="e">
        <f t="shared" ca="1" si="14"/>
        <v>#NAME?</v>
      </c>
      <c r="H880" s="274">
        <f t="shared" si="15"/>
        <v>0</v>
      </c>
    </row>
    <row r="881" spans="2:8" ht="13.5" customHeight="1">
      <c r="B881" s="1" t="s">
        <v>2268</v>
      </c>
      <c r="C881" s="1" t="s">
        <v>3653</v>
      </c>
      <c r="D881" s="414" t="str">
        <f t="shared" si="17"/>
        <v>11-26</v>
      </c>
      <c r="E881" s="273" t="e">
        <f ca="1">_xludf.IFNA(VLOOKUP('Comp X - UP'!B881,'Urban Plastix Holds'!$I$37:$U$705,11,0),0)</f>
        <v>#NAME?</v>
      </c>
      <c r="F881" s="274"/>
      <c r="G881" s="274" t="e">
        <f t="shared" ca="1" si="14"/>
        <v>#NAME?</v>
      </c>
      <c r="H881" s="274">
        <f t="shared" si="15"/>
        <v>0</v>
      </c>
    </row>
    <row r="882" spans="2:8" ht="13.5" customHeight="1">
      <c r="B882" s="1" t="s">
        <v>2268</v>
      </c>
      <c r="C882" s="1" t="s">
        <v>3653</v>
      </c>
      <c r="D882" s="415" t="str">
        <f t="shared" si="17"/>
        <v>18-01</v>
      </c>
      <c r="E882" s="273" t="e">
        <f ca="1">_xludf.IFNA(VLOOKUP('Comp X - UP'!B882,'Urban Plastix Holds'!$I$37:$U$705,12,0),0)</f>
        <v>#NAME?</v>
      </c>
      <c r="F882" s="274"/>
      <c r="G882" s="274" t="e">
        <f t="shared" ca="1" si="14"/>
        <v>#NAME?</v>
      </c>
      <c r="H882" s="274">
        <f t="shared" si="15"/>
        <v>0</v>
      </c>
    </row>
    <row r="883" spans="2:8" ht="13.5" customHeight="1">
      <c r="B883" s="1" t="s">
        <v>2268</v>
      </c>
      <c r="C883" s="1" t="s">
        <v>3653</v>
      </c>
      <c r="D883" s="416" t="str">
        <f t="shared" si="17"/>
        <v>Color Code</v>
      </c>
      <c r="E883" s="273" t="e">
        <f ca="1">_xludf.IFNA(VLOOKUP('Comp X - UP'!B883,'Urban Plastix Holds'!$I$37:$U$705,13,0),0)</f>
        <v>#NAME?</v>
      </c>
      <c r="F883" s="274"/>
      <c r="G883" s="274" t="e">
        <f t="shared" ca="1" si="14"/>
        <v>#NAME?</v>
      </c>
      <c r="H883" s="274">
        <f t="shared" si="15"/>
        <v>0</v>
      </c>
    </row>
    <row r="884" spans="2:8" ht="13.5" customHeight="1">
      <c r="B884" s="1" t="s">
        <v>2269</v>
      </c>
      <c r="C884" s="1" t="s">
        <v>3654</v>
      </c>
      <c r="D884" s="406" t="str">
        <f t="shared" si="17"/>
        <v>11-12</v>
      </c>
      <c r="E884" s="273" t="e">
        <f ca="1">_xludf.IFNA(VLOOKUP('Comp X - UP'!B884,'Urban Plastix Holds'!$I$37:$U$705,5,0),0)</f>
        <v>#NAME?</v>
      </c>
      <c r="F884" s="274"/>
      <c r="G884" s="274" t="e">
        <f t="shared" ca="1" si="14"/>
        <v>#NAME?</v>
      </c>
      <c r="H884" s="274">
        <f t="shared" si="15"/>
        <v>0</v>
      </c>
    </row>
    <row r="885" spans="2:8" ht="13.5" customHeight="1">
      <c r="B885" s="1" t="s">
        <v>2269</v>
      </c>
      <c r="C885" s="1" t="s">
        <v>3654</v>
      </c>
      <c r="D885" s="408" t="str">
        <f t="shared" si="17"/>
        <v>14-01</v>
      </c>
      <c r="E885" s="273" t="e">
        <f ca="1">_xludf.IFNA(VLOOKUP('Comp X - UP'!B885,'Urban Plastix Holds'!$I$37:$U$705,6,0),0)</f>
        <v>#NAME?</v>
      </c>
      <c r="F885" s="274"/>
      <c r="G885" s="274" t="e">
        <f t="shared" ca="1" si="14"/>
        <v>#NAME?</v>
      </c>
      <c r="H885" s="274">
        <f t="shared" si="15"/>
        <v>0</v>
      </c>
    </row>
    <row r="886" spans="2:8" ht="13.5" customHeight="1">
      <c r="B886" s="1" t="s">
        <v>2269</v>
      </c>
      <c r="C886" s="1" t="s">
        <v>3654</v>
      </c>
      <c r="D886" s="409" t="str">
        <f t="shared" si="17"/>
        <v>15-12</v>
      </c>
      <c r="E886" s="273" t="e">
        <f ca="1">_xludf.IFNA(VLOOKUP('Comp X - UP'!B886,'Urban Plastix Holds'!$I$37:$U$705,7,0),0)</f>
        <v>#NAME?</v>
      </c>
      <c r="F886" s="274"/>
      <c r="G886" s="274" t="e">
        <f t="shared" ca="1" si="14"/>
        <v>#NAME?</v>
      </c>
      <c r="H886" s="274">
        <f t="shared" si="15"/>
        <v>0</v>
      </c>
    </row>
    <row r="887" spans="2:8" ht="13.5" customHeight="1">
      <c r="B887" s="1" t="s">
        <v>2269</v>
      </c>
      <c r="C887" s="1" t="s">
        <v>3654</v>
      </c>
      <c r="D887" s="410" t="str">
        <f t="shared" si="17"/>
        <v>16-16</v>
      </c>
      <c r="E887" s="273" t="e">
        <f ca="1">_xludf.IFNA(VLOOKUP('Comp X - UP'!B887,'Urban Plastix Holds'!$I$37:$U$705,8,0),0)</f>
        <v>#NAME?</v>
      </c>
      <c r="F887" s="274"/>
      <c r="G887" s="274" t="e">
        <f t="shared" ca="1" si="14"/>
        <v>#NAME?</v>
      </c>
      <c r="H887" s="274">
        <f t="shared" si="15"/>
        <v>0</v>
      </c>
    </row>
    <row r="888" spans="2:8" ht="13.5" customHeight="1">
      <c r="B888" s="1" t="s">
        <v>2269</v>
      </c>
      <c r="C888" s="1" t="s">
        <v>3654</v>
      </c>
      <c r="D888" s="411" t="str">
        <f t="shared" si="17"/>
        <v>13-01</v>
      </c>
      <c r="E888" s="273" t="e">
        <f ca="1">_xludf.IFNA(VLOOKUP('Comp X - UP'!B888,'Urban Plastix Holds'!$I$37:$U$705,9,0),0)</f>
        <v>#NAME?</v>
      </c>
      <c r="F888" s="274"/>
      <c r="G888" s="274" t="e">
        <f t="shared" ca="1" si="14"/>
        <v>#NAME?</v>
      </c>
      <c r="H888" s="274">
        <f t="shared" si="15"/>
        <v>0</v>
      </c>
    </row>
    <row r="889" spans="2:8" ht="13.5" customHeight="1">
      <c r="B889" s="1" t="s">
        <v>2269</v>
      </c>
      <c r="C889" s="1" t="s">
        <v>3654</v>
      </c>
      <c r="D889" s="413" t="str">
        <f t="shared" si="17"/>
        <v>07-13</v>
      </c>
      <c r="E889" s="273" t="e">
        <f ca="1">_xludf.IFNA(VLOOKUP('Comp X - UP'!B889,'Urban Plastix Holds'!$I$37:$U$705,10,0),0)</f>
        <v>#NAME?</v>
      </c>
      <c r="F889" s="274"/>
      <c r="G889" s="274" t="e">
        <f t="shared" ca="1" si="14"/>
        <v>#NAME?</v>
      </c>
      <c r="H889" s="274">
        <f t="shared" si="15"/>
        <v>0</v>
      </c>
    </row>
    <row r="890" spans="2:8" ht="13.5" customHeight="1">
      <c r="B890" s="1" t="s">
        <v>2269</v>
      </c>
      <c r="C890" s="1" t="s">
        <v>3654</v>
      </c>
      <c r="D890" s="414" t="str">
        <f t="shared" si="17"/>
        <v>11-26</v>
      </c>
      <c r="E890" s="273" t="e">
        <f ca="1">_xludf.IFNA(VLOOKUP('Comp X - UP'!B890,'Urban Plastix Holds'!$I$37:$U$705,11,0),0)</f>
        <v>#NAME?</v>
      </c>
      <c r="F890" s="274"/>
      <c r="G890" s="274" t="e">
        <f t="shared" ca="1" si="14"/>
        <v>#NAME?</v>
      </c>
      <c r="H890" s="274">
        <f t="shared" si="15"/>
        <v>0</v>
      </c>
    </row>
    <row r="891" spans="2:8" ht="13.5" customHeight="1">
      <c r="B891" s="1" t="s">
        <v>2269</v>
      </c>
      <c r="C891" s="1" t="s">
        <v>3654</v>
      </c>
      <c r="D891" s="415" t="str">
        <f t="shared" si="17"/>
        <v>18-01</v>
      </c>
      <c r="E891" s="273" t="e">
        <f ca="1">_xludf.IFNA(VLOOKUP('Comp X - UP'!B891,'Urban Plastix Holds'!$I$37:$U$705,12,0),0)</f>
        <v>#NAME?</v>
      </c>
      <c r="F891" s="274"/>
      <c r="G891" s="274" t="e">
        <f t="shared" ca="1" si="14"/>
        <v>#NAME?</v>
      </c>
      <c r="H891" s="274">
        <f t="shared" si="15"/>
        <v>0</v>
      </c>
    </row>
    <row r="892" spans="2:8" ht="13.5" customHeight="1">
      <c r="B892" s="1" t="s">
        <v>2269</v>
      </c>
      <c r="C892" s="1" t="s">
        <v>3654</v>
      </c>
      <c r="D892" s="416" t="str">
        <f t="shared" si="17"/>
        <v>Color Code</v>
      </c>
      <c r="E892" s="273" t="e">
        <f ca="1">_xludf.IFNA(VLOOKUP('Comp X - UP'!B892,'Urban Plastix Holds'!$I$37:$U$705,13,0),0)</f>
        <v>#NAME?</v>
      </c>
      <c r="F892" s="274"/>
      <c r="G892" s="274" t="e">
        <f t="shared" ca="1" si="14"/>
        <v>#NAME?</v>
      </c>
      <c r="H892" s="274">
        <f t="shared" si="15"/>
        <v>0</v>
      </c>
    </row>
    <row r="893" spans="2:8" ht="13.5" customHeight="1">
      <c r="E893" s="273"/>
      <c r="F893" s="274"/>
      <c r="G893" s="274"/>
      <c r="H893" s="274"/>
    </row>
    <row r="894" spans="2:8" ht="13.5" customHeight="1">
      <c r="E894" s="273"/>
      <c r="F894" s="274"/>
      <c r="G894" s="274"/>
      <c r="H894" s="274"/>
    </row>
    <row r="895" spans="2:8" ht="13.5" customHeight="1">
      <c r="E895" s="273"/>
      <c r="F895" s="274"/>
      <c r="G895" s="274"/>
      <c r="H895" s="274"/>
    </row>
    <row r="896" spans="2:8" ht="13.5" customHeight="1">
      <c r="E896" s="273"/>
      <c r="F896" s="274"/>
      <c r="G896" s="274"/>
      <c r="H896" s="274"/>
    </row>
    <row r="897" spans="5:8" ht="13.5" customHeight="1">
      <c r="E897" s="273"/>
      <c r="F897" s="274"/>
      <c r="G897" s="274"/>
      <c r="H897" s="274"/>
    </row>
    <row r="898" spans="5:8" ht="13.5" customHeight="1">
      <c r="E898" s="273"/>
      <c r="F898" s="274"/>
      <c r="G898" s="274"/>
      <c r="H898" s="274"/>
    </row>
    <row r="899" spans="5:8" ht="13.5" customHeight="1">
      <c r="E899" s="273"/>
      <c r="F899" s="274"/>
      <c r="G899" s="274"/>
      <c r="H899" s="274"/>
    </row>
    <row r="900" spans="5:8" ht="13.5" customHeight="1">
      <c r="E900" s="273"/>
      <c r="F900" s="274"/>
      <c r="G900" s="274"/>
      <c r="H900" s="274"/>
    </row>
    <row r="901" spans="5:8" ht="13.5" customHeight="1">
      <c r="E901" s="273"/>
      <c r="F901" s="274"/>
      <c r="G901" s="274"/>
      <c r="H901" s="274"/>
    </row>
    <row r="902" spans="5:8" ht="13.5" customHeight="1">
      <c r="E902" s="273"/>
      <c r="F902" s="274"/>
      <c r="G902" s="274"/>
      <c r="H902" s="274"/>
    </row>
    <row r="903" spans="5:8" ht="13.5" customHeight="1">
      <c r="E903" s="273"/>
      <c r="F903" s="274"/>
      <c r="G903" s="274"/>
      <c r="H903" s="274"/>
    </row>
    <row r="904" spans="5:8" ht="13.5" customHeight="1">
      <c r="E904" s="273"/>
      <c r="F904" s="274"/>
      <c r="G904" s="274"/>
      <c r="H904" s="274"/>
    </row>
    <row r="905" spans="5:8" ht="13.5" customHeight="1">
      <c r="E905" s="273"/>
      <c r="F905" s="274"/>
      <c r="G905" s="274"/>
      <c r="H905" s="274"/>
    </row>
    <row r="906" spans="5:8" ht="13.5" customHeight="1">
      <c r="E906" s="273"/>
      <c r="F906" s="274"/>
      <c r="G906" s="274"/>
      <c r="H906" s="274"/>
    </row>
    <row r="907" spans="5:8" ht="13.5" customHeight="1">
      <c r="E907" s="273"/>
      <c r="F907" s="274"/>
      <c r="G907" s="274"/>
      <c r="H907" s="274"/>
    </row>
    <row r="908" spans="5:8" ht="13.5" customHeight="1">
      <c r="E908" s="273"/>
      <c r="F908" s="274"/>
      <c r="G908" s="274"/>
      <c r="H908" s="274"/>
    </row>
    <row r="909" spans="5:8" ht="13.5" customHeight="1">
      <c r="E909" s="273"/>
      <c r="F909" s="274"/>
      <c r="G909" s="274"/>
      <c r="H909" s="274"/>
    </row>
    <row r="910" spans="5:8" ht="13.5" customHeight="1">
      <c r="E910" s="273"/>
      <c r="F910" s="274"/>
      <c r="G910" s="274"/>
      <c r="H910" s="274"/>
    </row>
    <row r="911" spans="5:8" ht="13.5" customHeight="1">
      <c r="E911" s="273"/>
      <c r="F911" s="274"/>
      <c r="G911" s="274"/>
      <c r="H911" s="274"/>
    </row>
    <row r="912" spans="5:8" ht="13.5" customHeight="1">
      <c r="E912" s="273"/>
      <c r="F912" s="274"/>
      <c r="G912" s="274"/>
      <c r="H912" s="274"/>
    </row>
    <row r="913" spans="5:8" ht="13.5" customHeight="1">
      <c r="E913" s="273"/>
      <c r="F913" s="274"/>
      <c r="G913" s="274"/>
      <c r="H913" s="274"/>
    </row>
    <row r="914" spans="5:8" ht="13.5" customHeight="1">
      <c r="E914" s="273"/>
      <c r="F914" s="274"/>
      <c r="G914" s="274"/>
      <c r="H914" s="274"/>
    </row>
    <row r="915" spans="5:8" ht="13.5" customHeight="1">
      <c r="E915" s="273"/>
      <c r="F915" s="274"/>
      <c r="G915" s="274"/>
      <c r="H915" s="274"/>
    </row>
    <row r="916" spans="5:8" ht="13.5" customHeight="1">
      <c r="E916" s="273"/>
      <c r="F916" s="274"/>
      <c r="G916" s="274"/>
      <c r="H916" s="274"/>
    </row>
    <row r="917" spans="5:8" ht="13.5" customHeight="1">
      <c r="E917" s="273"/>
      <c r="F917" s="274"/>
      <c r="G917" s="274"/>
      <c r="H917" s="274"/>
    </row>
    <row r="918" spans="5:8" ht="13.5" customHeight="1">
      <c r="E918" s="273"/>
      <c r="F918" s="274"/>
      <c r="G918" s="274"/>
      <c r="H918" s="274"/>
    </row>
    <row r="919" spans="5:8" ht="13.5" customHeight="1">
      <c r="E919" s="273"/>
      <c r="F919" s="274"/>
      <c r="G919" s="274"/>
      <c r="H919" s="274"/>
    </row>
    <row r="920" spans="5:8" ht="13.5" customHeight="1">
      <c r="E920" s="273"/>
      <c r="F920" s="274"/>
      <c r="G920" s="274"/>
      <c r="H920" s="274"/>
    </row>
    <row r="921" spans="5:8" ht="13.5" customHeight="1">
      <c r="E921" s="273"/>
      <c r="F921" s="274"/>
      <c r="G921" s="274"/>
      <c r="H921" s="274"/>
    </row>
    <row r="922" spans="5:8" ht="13.5" customHeight="1">
      <c r="E922" s="273"/>
      <c r="F922" s="274"/>
      <c r="G922" s="274"/>
      <c r="H922" s="274"/>
    </row>
    <row r="923" spans="5:8" ht="13.5" customHeight="1">
      <c r="E923" s="273"/>
      <c r="F923" s="274"/>
      <c r="G923" s="274"/>
      <c r="H923" s="274"/>
    </row>
    <row r="924" spans="5:8" ht="13.5" customHeight="1">
      <c r="E924" s="273"/>
      <c r="F924" s="274"/>
      <c r="G924" s="274"/>
      <c r="H924" s="274"/>
    </row>
    <row r="925" spans="5:8" ht="13.5" customHeight="1">
      <c r="E925" s="273"/>
      <c r="F925" s="274"/>
      <c r="G925" s="274"/>
      <c r="H925" s="274"/>
    </row>
    <row r="926" spans="5:8" ht="13.5" customHeight="1">
      <c r="E926" s="273"/>
      <c r="F926" s="274"/>
      <c r="G926" s="274"/>
      <c r="H926" s="274"/>
    </row>
    <row r="927" spans="5:8" ht="13.5" customHeight="1">
      <c r="E927" s="273"/>
      <c r="F927" s="274"/>
      <c r="G927" s="274"/>
      <c r="H927" s="274"/>
    </row>
    <row r="928" spans="5:8" ht="13.5" customHeight="1">
      <c r="E928" s="273"/>
      <c r="F928" s="274"/>
      <c r="G928" s="274"/>
      <c r="H928" s="274"/>
    </row>
    <row r="929" spans="5:8" ht="13.5" customHeight="1">
      <c r="E929" s="273"/>
      <c r="F929" s="274"/>
      <c r="G929" s="274"/>
      <c r="H929" s="274"/>
    </row>
    <row r="930" spans="5:8" ht="13.5" customHeight="1">
      <c r="E930" s="273"/>
      <c r="F930" s="274"/>
      <c r="G930" s="274"/>
      <c r="H930" s="274"/>
    </row>
    <row r="931" spans="5:8" ht="13.5" customHeight="1">
      <c r="E931" s="273"/>
      <c r="F931" s="274"/>
      <c r="G931" s="274"/>
      <c r="H931" s="274"/>
    </row>
    <row r="932" spans="5:8" ht="13.5" customHeight="1">
      <c r="E932" s="273"/>
      <c r="F932" s="274"/>
      <c r="G932" s="274"/>
      <c r="H932" s="274"/>
    </row>
    <row r="933" spans="5:8" ht="13.5" customHeight="1">
      <c r="E933" s="273"/>
      <c r="F933" s="274"/>
      <c r="G933" s="274"/>
      <c r="H933" s="274"/>
    </row>
    <row r="934" spans="5:8" ht="13.5" customHeight="1">
      <c r="E934" s="273"/>
      <c r="F934" s="274"/>
      <c r="G934" s="274"/>
      <c r="H934" s="274"/>
    </row>
    <row r="935" spans="5:8" ht="13.5" customHeight="1">
      <c r="E935" s="273"/>
      <c r="F935" s="274"/>
      <c r="G935" s="274"/>
      <c r="H935" s="274"/>
    </row>
    <row r="936" spans="5:8" ht="13.5" customHeight="1">
      <c r="E936" s="273"/>
      <c r="F936" s="274"/>
      <c r="G936" s="274"/>
      <c r="H936" s="274"/>
    </row>
    <row r="937" spans="5:8" ht="13.5" customHeight="1">
      <c r="E937" s="273"/>
      <c r="F937" s="274"/>
      <c r="G937" s="274"/>
      <c r="H937" s="274"/>
    </row>
    <row r="938" spans="5:8" ht="13.5" customHeight="1">
      <c r="E938" s="273"/>
      <c r="F938" s="274"/>
      <c r="G938" s="274"/>
      <c r="H938" s="274"/>
    </row>
    <row r="939" spans="5:8" ht="13.5" customHeight="1">
      <c r="E939" s="273"/>
      <c r="F939" s="274"/>
      <c r="G939" s="274"/>
      <c r="H939" s="274"/>
    </row>
    <row r="940" spans="5:8" ht="13.5" customHeight="1">
      <c r="E940" s="273"/>
      <c r="F940" s="274"/>
      <c r="G940" s="274"/>
      <c r="H940" s="274"/>
    </row>
    <row r="941" spans="5:8" ht="13.5" customHeight="1">
      <c r="E941" s="273"/>
      <c r="F941" s="274"/>
      <c r="G941" s="274"/>
      <c r="H941" s="274"/>
    </row>
    <row r="942" spans="5:8" ht="13.5" customHeight="1">
      <c r="E942" s="273"/>
      <c r="F942" s="274"/>
      <c r="G942" s="274"/>
      <c r="H942" s="274"/>
    </row>
    <row r="943" spans="5:8" ht="13.5" customHeight="1">
      <c r="E943" s="273"/>
      <c r="F943" s="274"/>
      <c r="G943" s="274"/>
      <c r="H943" s="274"/>
    </row>
    <row r="944" spans="5:8" ht="13.5" customHeight="1">
      <c r="E944" s="273"/>
      <c r="F944" s="274"/>
      <c r="G944" s="274"/>
      <c r="H944" s="274"/>
    </row>
    <row r="945" spans="5:8" ht="13.5" customHeight="1">
      <c r="E945" s="273"/>
      <c r="F945" s="274"/>
      <c r="G945" s="274"/>
      <c r="H945" s="274"/>
    </row>
    <row r="946" spans="5:8" ht="13.5" customHeight="1">
      <c r="E946" s="273"/>
      <c r="F946" s="274"/>
      <c r="G946" s="274"/>
      <c r="H946" s="274"/>
    </row>
    <row r="947" spans="5:8" ht="13.5" customHeight="1">
      <c r="E947" s="273"/>
      <c r="F947" s="274"/>
      <c r="G947" s="274"/>
      <c r="H947" s="274"/>
    </row>
    <row r="948" spans="5:8" ht="13.5" customHeight="1">
      <c r="E948" s="273"/>
      <c r="F948" s="274"/>
      <c r="G948" s="274"/>
      <c r="H948" s="274"/>
    </row>
    <row r="949" spans="5:8" ht="13.5" customHeight="1">
      <c r="E949" s="273"/>
      <c r="F949" s="274"/>
      <c r="G949" s="274"/>
      <c r="H949" s="274"/>
    </row>
    <row r="950" spans="5:8" ht="13.5" customHeight="1">
      <c r="E950" s="273"/>
      <c r="F950" s="274"/>
      <c r="G950" s="274"/>
      <c r="H950" s="274"/>
    </row>
    <row r="951" spans="5:8" ht="13.5" customHeight="1">
      <c r="E951" s="273"/>
      <c r="F951" s="274"/>
      <c r="G951" s="274"/>
      <c r="H951" s="274"/>
    </row>
    <row r="952" spans="5:8" ht="13.5" customHeight="1">
      <c r="E952" s="273"/>
      <c r="F952" s="274"/>
      <c r="G952" s="274"/>
      <c r="H952" s="274"/>
    </row>
    <row r="953" spans="5:8" ht="13.5" customHeight="1">
      <c r="E953" s="273"/>
      <c r="F953" s="274"/>
      <c r="G953" s="274"/>
      <c r="H953" s="274"/>
    </row>
    <row r="954" spans="5:8" ht="13.5" customHeight="1">
      <c r="E954" s="273"/>
      <c r="F954" s="274"/>
      <c r="G954" s="274"/>
      <c r="H954" s="274"/>
    </row>
    <row r="955" spans="5:8" ht="13.5" customHeight="1">
      <c r="E955" s="273"/>
      <c r="F955" s="274"/>
      <c r="G955" s="274"/>
      <c r="H955" s="274"/>
    </row>
    <row r="956" spans="5:8" ht="13.5" customHeight="1">
      <c r="E956" s="273"/>
      <c r="F956" s="274"/>
      <c r="G956" s="274"/>
      <c r="H956" s="274"/>
    </row>
    <row r="957" spans="5:8" ht="13.5" customHeight="1">
      <c r="E957" s="273"/>
      <c r="F957" s="274"/>
      <c r="G957" s="274"/>
      <c r="H957" s="274"/>
    </row>
    <row r="958" spans="5:8" ht="13.5" customHeight="1">
      <c r="E958" s="273"/>
      <c r="F958" s="274"/>
      <c r="G958" s="274"/>
      <c r="H958" s="274"/>
    </row>
    <row r="959" spans="5:8" ht="13.5" customHeight="1">
      <c r="E959" s="273"/>
      <c r="F959" s="274"/>
      <c r="G959" s="274"/>
      <c r="H959" s="274"/>
    </row>
    <row r="960" spans="5:8" ht="13.5" customHeight="1">
      <c r="E960" s="273"/>
      <c r="F960" s="274"/>
      <c r="G960" s="274"/>
      <c r="H960" s="274"/>
    </row>
    <row r="961" spans="5:8" ht="13.5" customHeight="1">
      <c r="E961" s="273"/>
      <c r="F961" s="274"/>
      <c r="G961" s="274"/>
      <c r="H961" s="274"/>
    </row>
    <row r="962" spans="5:8" ht="13.5" customHeight="1">
      <c r="E962" s="273"/>
      <c r="F962" s="274"/>
      <c r="G962" s="274"/>
      <c r="H962" s="274"/>
    </row>
    <row r="963" spans="5:8" ht="13.5" customHeight="1">
      <c r="E963" s="273"/>
      <c r="F963" s="274"/>
      <c r="G963" s="274"/>
      <c r="H963" s="274"/>
    </row>
    <row r="964" spans="5:8" ht="13.5" customHeight="1">
      <c r="E964" s="273"/>
      <c r="F964" s="274"/>
      <c r="G964" s="274"/>
      <c r="H964" s="274"/>
    </row>
    <row r="965" spans="5:8" ht="13.5" customHeight="1">
      <c r="E965" s="273"/>
      <c r="F965" s="274"/>
      <c r="G965" s="274"/>
      <c r="H965" s="274"/>
    </row>
    <row r="966" spans="5:8" ht="13.5" customHeight="1">
      <c r="E966" s="273"/>
      <c r="F966" s="274"/>
      <c r="G966" s="274"/>
      <c r="H966" s="274"/>
    </row>
    <row r="967" spans="5:8" ht="13.5" customHeight="1">
      <c r="E967" s="273"/>
      <c r="F967" s="274"/>
      <c r="G967" s="274"/>
      <c r="H967" s="274"/>
    </row>
    <row r="968" spans="5:8" ht="13.5" customHeight="1">
      <c r="E968" s="273"/>
      <c r="F968" s="274"/>
      <c r="G968" s="274"/>
      <c r="H968" s="274"/>
    </row>
    <row r="969" spans="5:8" ht="13.5" customHeight="1">
      <c r="E969" s="273"/>
      <c r="F969" s="274"/>
      <c r="G969" s="274"/>
      <c r="H969" s="274"/>
    </row>
    <row r="970" spans="5:8" ht="13.5" customHeight="1">
      <c r="E970" s="273"/>
      <c r="F970" s="274"/>
      <c r="G970" s="274"/>
      <c r="H970" s="274"/>
    </row>
    <row r="971" spans="5:8" ht="13.5" customHeight="1">
      <c r="E971" s="273"/>
      <c r="F971" s="274"/>
      <c r="G971" s="274"/>
      <c r="H971" s="274"/>
    </row>
    <row r="972" spans="5:8" ht="13.5" customHeight="1">
      <c r="E972" s="273"/>
      <c r="F972" s="274"/>
      <c r="G972" s="274"/>
      <c r="H972" s="274"/>
    </row>
    <row r="973" spans="5:8" ht="13.5" customHeight="1">
      <c r="E973" s="273"/>
      <c r="F973" s="274"/>
      <c r="G973" s="274"/>
      <c r="H973" s="274"/>
    </row>
    <row r="974" spans="5:8" ht="13.5" customHeight="1">
      <c r="E974" s="273"/>
      <c r="F974" s="274"/>
      <c r="G974" s="274"/>
      <c r="H974" s="274"/>
    </row>
    <row r="975" spans="5:8" ht="13.5" customHeight="1">
      <c r="E975" s="273"/>
      <c r="F975" s="274"/>
      <c r="G975" s="274"/>
      <c r="H975" s="274"/>
    </row>
    <row r="976" spans="5:8" ht="13.5" customHeight="1">
      <c r="E976" s="273"/>
      <c r="F976" s="274"/>
      <c r="G976" s="274"/>
      <c r="H976" s="274"/>
    </row>
    <row r="977" spans="5:8" ht="13.5" customHeight="1">
      <c r="E977" s="273"/>
      <c r="F977" s="274"/>
      <c r="G977" s="274"/>
      <c r="H977" s="274"/>
    </row>
    <row r="978" spans="5:8" ht="13.5" customHeight="1">
      <c r="E978" s="273"/>
      <c r="F978" s="274"/>
      <c r="G978" s="274"/>
      <c r="H978" s="274"/>
    </row>
    <row r="979" spans="5:8" ht="13.5" customHeight="1">
      <c r="E979" s="273"/>
      <c r="F979" s="274"/>
      <c r="G979" s="274"/>
      <c r="H979" s="274"/>
    </row>
    <row r="980" spans="5:8" ht="13.5" customHeight="1">
      <c r="E980" s="273"/>
      <c r="F980" s="274"/>
      <c r="G980" s="274"/>
      <c r="H980" s="274"/>
    </row>
    <row r="981" spans="5:8" ht="13.5" customHeight="1">
      <c r="E981" s="273"/>
      <c r="F981" s="274"/>
      <c r="G981" s="274"/>
      <c r="H981" s="274"/>
    </row>
    <row r="982" spans="5:8" ht="13.5" customHeight="1">
      <c r="E982" s="273"/>
      <c r="F982" s="274"/>
      <c r="G982" s="274"/>
      <c r="H982" s="274"/>
    </row>
    <row r="983" spans="5:8" ht="13.5" customHeight="1">
      <c r="E983" s="273"/>
      <c r="F983" s="274"/>
      <c r="G983" s="274"/>
      <c r="H983" s="274"/>
    </row>
    <row r="984" spans="5:8" ht="13.5" customHeight="1">
      <c r="E984" s="273"/>
      <c r="F984" s="274"/>
      <c r="G984" s="274"/>
      <c r="H984" s="274"/>
    </row>
    <row r="985" spans="5:8" ht="13.5" customHeight="1">
      <c r="E985" s="273"/>
      <c r="F985" s="274"/>
      <c r="G985" s="274"/>
      <c r="H985" s="274"/>
    </row>
    <row r="986" spans="5:8" ht="13.5" customHeight="1">
      <c r="E986" s="273"/>
      <c r="F986" s="274"/>
      <c r="G986" s="274"/>
      <c r="H986" s="274"/>
    </row>
    <row r="987" spans="5:8" ht="13.5" customHeight="1">
      <c r="E987" s="273"/>
      <c r="F987" s="274"/>
      <c r="G987" s="274"/>
      <c r="H987" s="274"/>
    </row>
    <row r="988" spans="5:8" ht="13.5" customHeight="1">
      <c r="E988" s="273"/>
      <c r="F988" s="274"/>
      <c r="G988" s="274"/>
      <c r="H988" s="274"/>
    </row>
    <row r="989" spans="5:8" ht="13.5" customHeight="1">
      <c r="E989" s="273"/>
      <c r="F989" s="274"/>
      <c r="G989" s="274"/>
      <c r="H989" s="274"/>
    </row>
    <row r="990" spans="5:8" ht="13.5" customHeight="1">
      <c r="E990" s="273"/>
      <c r="F990" s="274"/>
      <c r="G990" s="274"/>
      <c r="H990" s="274"/>
    </row>
    <row r="991" spans="5:8" ht="13.5" customHeight="1">
      <c r="E991" s="273"/>
      <c r="F991" s="274"/>
      <c r="G991" s="274"/>
      <c r="H991" s="274"/>
    </row>
    <row r="992" spans="5:8" ht="13.5" customHeight="1">
      <c r="E992" s="273"/>
      <c r="F992" s="274"/>
      <c r="G992" s="274"/>
      <c r="H992" s="274"/>
    </row>
    <row r="993" spans="5:8" ht="13.5" customHeight="1">
      <c r="E993" s="273"/>
      <c r="F993" s="274"/>
      <c r="G993" s="274"/>
      <c r="H993" s="274"/>
    </row>
    <row r="994" spans="5:8" ht="13.5" customHeight="1">
      <c r="E994" s="273"/>
      <c r="F994" s="274"/>
      <c r="G994" s="274"/>
      <c r="H994" s="274"/>
    </row>
    <row r="995" spans="5:8" ht="13.5" customHeight="1">
      <c r="E995" s="273"/>
      <c r="F995" s="274"/>
      <c r="G995" s="274"/>
      <c r="H995" s="274"/>
    </row>
    <row r="996" spans="5:8" ht="13.5" customHeight="1">
      <c r="E996" s="273"/>
      <c r="F996" s="274"/>
      <c r="G996" s="274"/>
      <c r="H996" s="274"/>
    </row>
    <row r="997" spans="5:8" ht="13.5" customHeight="1">
      <c r="E997" s="273"/>
      <c r="F997" s="274"/>
      <c r="G997" s="274"/>
      <c r="H997" s="274"/>
    </row>
    <row r="998" spans="5:8" ht="13.5" customHeight="1">
      <c r="E998" s="273"/>
      <c r="F998" s="274"/>
      <c r="G998" s="274"/>
      <c r="H998" s="274"/>
    </row>
    <row r="999" spans="5:8" ht="13.5" customHeight="1">
      <c r="E999" s="273"/>
      <c r="F999" s="274"/>
      <c r="G999" s="274"/>
      <c r="H999" s="274"/>
    </row>
    <row r="1000" spans="5:8" ht="13.5" customHeight="1">
      <c r="E1000" s="273"/>
      <c r="F1000" s="274"/>
      <c r="G1000" s="274"/>
      <c r="H1000" s="274"/>
    </row>
  </sheetData>
  <conditionalFormatting sqref="N19:N88">
    <cfRule type="cellIs" dxfId="1" priority="1" operator="lessThan">
      <formula>0</formula>
    </cfRule>
    <cfRule type="cellIs" dxfId="0" priority="2" operator="greaterThan">
      <formula>0</formula>
    </cfRule>
  </conditionalFormatting>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A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1.1640625" defaultRowHeight="15" customHeight="1"/>
  <cols>
    <col min="1" max="1" width="16.1640625" customWidth="1"/>
    <col min="2" max="5" width="8.1640625" customWidth="1"/>
    <col min="6" max="11" width="8.6640625" customWidth="1"/>
    <col min="12" max="12" width="11" customWidth="1"/>
    <col min="13" max="13" width="7.83203125" customWidth="1"/>
    <col min="14" max="14" width="1.5" customWidth="1"/>
    <col min="15" max="15" width="22.1640625" customWidth="1"/>
    <col min="16" max="20" width="8.1640625" customWidth="1"/>
    <col min="21" max="27" width="14.33203125" customWidth="1"/>
  </cols>
  <sheetData>
    <row r="1" spans="1:27" ht="32.25" customHeight="1">
      <c r="A1" s="39"/>
      <c r="B1" s="462" t="s">
        <v>23</v>
      </c>
      <c r="C1" s="460"/>
      <c r="D1" s="460"/>
      <c r="E1" s="460"/>
      <c r="F1" s="460"/>
      <c r="G1" s="460"/>
      <c r="H1" s="460"/>
      <c r="I1" s="460"/>
      <c r="J1" s="461"/>
      <c r="K1" s="40"/>
      <c r="L1" s="41"/>
      <c r="M1" s="42"/>
      <c r="N1" s="12"/>
      <c r="O1" s="1"/>
      <c r="P1" s="1"/>
      <c r="Q1" s="1"/>
      <c r="R1" s="1"/>
      <c r="S1" s="1"/>
      <c r="T1" s="1"/>
      <c r="U1" s="1"/>
      <c r="V1" s="1"/>
      <c r="W1" s="1"/>
      <c r="X1" s="1"/>
      <c r="Y1" s="1"/>
      <c r="Z1" s="1"/>
      <c r="AA1" s="1"/>
    </row>
    <row r="2" spans="1:27" ht="36">
      <c r="A2" s="43" t="s">
        <v>24</v>
      </c>
      <c r="B2" s="44" t="str">
        <f>'Kilter Holds'!T35</f>
        <v>Red</v>
      </c>
      <c r="C2" s="45" t="str">
        <f>'Kilter Holds'!U35</f>
        <v>Orange</v>
      </c>
      <c r="D2" s="46" t="str">
        <f>'Kilter Holds'!V35</f>
        <v>Yellow</v>
      </c>
      <c r="E2" s="47" t="str">
        <f>'Kilter Holds'!W35</f>
        <v>Green</v>
      </c>
      <c r="F2" s="48" t="str">
        <f>'Kilter Holds'!X35</f>
        <v>Blue</v>
      </c>
      <c r="G2" s="49" t="str">
        <f>'Kilter Holds'!Y35</f>
        <v>Purple</v>
      </c>
      <c r="H2" s="50" t="str">
        <f>'Kilter Holds'!Z35</f>
        <v>Hot Pink</v>
      </c>
      <c r="I2" s="51" t="str">
        <f>'Kilter Holds'!AA35</f>
        <v>Black</v>
      </c>
      <c r="J2" s="52" t="str">
        <f>'Kilter Holds'!AB35</f>
        <v>Other Color</v>
      </c>
      <c r="K2" s="53" t="s">
        <v>25</v>
      </c>
      <c r="L2" s="54" t="s">
        <v>26</v>
      </c>
      <c r="M2" s="55"/>
      <c r="N2" s="1"/>
      <c r="O2" s="1"/>
      <c r="P2" s="1"/>
      <c r="Q2" s="1"/>
      <c r="R2" s="1"/>
      <c r="S2" s="1"/>
      <c r="T2" s="1"/>
      <c r="U2" s="1"/>
      <c r="V2" s="1"/>
      <c r="W2" s="1"/>
      <c r="X2" s="1"/>
      <c r="Y2" s="1"/>
      <c r="Z2" s="1"/>
      <c r="AA2" s="1"/>
    </row>
    <row r="3" spans="1:27" ht="13">
      <c r="A3" s="56" t="s">
        <v>27</v>
      </c>
      <c r="B3" s="57">
        <f>IFERROR(SUMPRODUCT(('Kilter Holds'!$J$37:$J$662)*('Kilter Holds'!$I$37:$I$662=$A3),'Kilter Holds'!T$37:T$662),0)+IFERROR(SUMPRODUCT(('Urban Plastix Holds'!$H$37:$H$705)*('Urban Plastix Holds'!$F$37:$F$705=$A3),'Urban Plastix Holds'!M$37:M$705),0)+IFERROR(SUMPRODUCT(('Kilter Holds'!$L$37:$L$662)*('Kilter Holds'!$K$37:$K$662=$A3),'Kilter Holds'!T$37:T$662),0)</f>
        <v>0</v>
      </c>
      <c r="C3" s="58">
        <f>IFERROR(SUMPRODUCT(('Kilter Holds'!$J$37:$J$662)*('Kilter Holds'!$I$37:$I$662=$A3),'Kilter Holds'!U$37:U$662),0)+IFERROR(SUMPRODUCT(('Urban Plastix Holds'!$H$37:$H$705)*('Urban Plastix Holds'!$F$37:$F$705=$A3),'Urban Plastix Holds'!N$37:N$705),0)+IFERROR(SUMPRODUCT(('Kilter Holds'!$L$37:$L$662)*('Kilter Holds'!$K$37:$K$662=$A3),'Kilter Holds'!U$37:U$662),0)</f>
        <v>0</v>
      </c>
      <c r="D3" s="58">
        <f>IFERROR(SUMPRODUCT(('Kilter Holds'!$J$37:$J$662)*('Kilter Holds'!$I$37:$I$662=$A3),'Kilter Holds'!V$37:V$662),0)+IFERROR(SUMPRODUCT(('Urban Plastix Holds'!$H$37:$H$705)*('Urban Plastix Holds'!$F$37:$F$705=$A3),'Urban Plastix Holds'!O$37:O$705),0)+IFERROR(SUMPRODUCT(('Kilter Holds'!$L$37:$L$662)*('Kilter Holds'!$K$37:$K$662=$A3),'Kilter Holds'!V$37:V$662),0)</f>
        <v>0</v>
      </c>
      <c r="E3" s="58">
        <f>IFERROR(SUMPRODUCT(('Kilter Holds'!$J$37:$J$662)*('Kilter Holds'!$I$37:$I$662=$A3),'Kilter Holds'!W$37:W$662),0)+IFERROR(SUMPRODUCT(('Urban Plastix Holds'!$H$37:$H$705)*('Urban Plastix Holds'!$F$37:$F$705=$A3),'Urban Plastix Holds'!P$37:P$705),0)+IFERROR(SUMPRODUCT(('Kilter Holds'!$L$37:$L$662)*('Kilter Holds'!$K$37:$K$662=$A3),'Kilter Holds'!W$37:W$662),0)</f>
        <v>0</v>
      </c>
      <c r="F3" s="58">
        <f>IFERROR(SUMPRODUCT(('Kilter Holds'!$J$37:$J$662)*('Kilter Holds'!$I$37:$I$662=$A3),'Kilter Holds'!X$37:X$662),0)+IFERROR(SUMPRODUCT(('Urban Plastix Holds'!$H$37:$H$705)*('Urban Plastix Holds'!$F$37:$F$705=$A3),'Urban Plastix Holds'!Q$37:Q$705),0)+IFERROR(SUMPRODUCT(('Kilter Holds'!$L$37:$L$662)*('Kilter Holds'!$K$37:$K$662=$A3),'Kilter Holds'!X$37:X$662),0)</f>
        <v>0</v>
      </c>
      <c r="G3" s="58">
        <f>IFERROR(SUMPRODUCT(('Kilter Holds'!$J$37:$J$662)*('Kilter Holds'!$I$37:$I$662=$A3),'Kilter Holds'!Y$37:Y$662),0)+IFERROR(SUMPRODUCT(('Urban Plastix Holds'!$H$37:$H$705)*('Urban Plastix Holds'!$F$37:$F$705=$A3),'Urban Plastix Holds'!R$37:R$705),0)+IFERROR(SUMPRODUCT(('Kilter Holds'!$L$37:$L$662)*('Kilter Holds'!$K$37:$K$662=$A3),'Kilter Holds'!Y$37:Y$662),0)</f>
        <v>0</v>
      </c>
      <c r="H3" s="58">
        <f>IFERROR(SUMPRODUCT(('Kilter Holds'!$J$37:$J$662)*('Kilter Holds'!$I$37:$I$662=$A3),'Kilter Holds'!Z$37:Z$662),0)+IFERROR(SUMPRODUCT(('Urban Plastix Holds'!$H$37:$H$705)*('Urban Plastix Holds'!$F$37:$F$705=$A3),'Urban Plastix Holds'!S$37:S$705),0)+IFERROR(SUMPRODUCT(('Kilter Holds'!$L$37:$L$662)*('Kilter Holds'!$K$37:$K$662=$A3),'Kilter Holds'!Z$37:Z$662),0)</f>
        <v>0</v>
      </c>
      <c r="I3" s="58">
        <f>IFERROR(SUMPRODUCT(('Kilter Holds'!$J$37:$J$662)*('Kilter Holds'!$I$37:$I$662=$A3),'Kilter Holds'!AA$37:AA$662),0)+IFERROR(SUMPRODUCT(('Urban Plastix Holds'!$H$37:$H$705)*('Urban Plastix Holds'!$F$37:$F$705=$A3),'Urban Plastix Holds'!T$37:T$705),0)+IFERROR(SUMPRODUCT(('Kilter Holds'!$L$37:$L$662)*('Kilter Holds'!$K$37:$K$662=$A3),'Kilter Holds'!AA$37:AA$662),0)</f>
        <v>0</v>
      </c>
      <c r="J3" s="59">
        <f>IFERROR(SUMPRODUCT(('Kilter Holds'!$J$37:$J$662)*('Kilter Holds'!$I$37:$I$662=$A3),'Kilter Holds'!AB$37:AB$662),0)+IFERROR(SUMPRODUCT(('Urban Plastix Holds'!$H$37:$H$705)*('Urban Plastix Holds'!$F$37:$F$705=$A3),'Urban Plastix Holds'!U$37:U$705),0)+IFERROR(SUMPRODUCT(('Kilter Holds'!$L$37:$L$662)*('Kilter Holds'!$K$37:$K$662=$A3),'Kilter Holds'!AB$37:AB$662),0)</f>
        <v>0</v>
      </c>
      <c r="K3" s="60">
        <f t="shared" ref="K3:K17" si="0">SUM(B3:J3)</f>
        <v>0</v>
      </c>
      <c r="L3" s="61">
        <f t="shared" ref="L3:L17" si="1">IFERROR($K3 / $K$19,0)</f>
        <v>0</v>
      </c>
      <c r="M3" s="463">
        <f>SUM(L4:L7)</f>
        <v>0</v>
      </c>
      <c r="N3" s="1"/>
      <c r="O3" s="1"/>
      <c r="P3" s="1"/>
      <c r="Q3" s="1"/>
      <c r="R3" s="1"/>
      <c r="S3" s="1"/>
      <c r="T3" s="1"/>
      <c r="U3" s="1"/>
      <c r="V3" s="1"/>
      <c r="W3" s="1"/>
      <c r="X3" s="1"/>
      <c r="Y3" s="1"/>
      <c r="Z3" s="1"/>
      <c r="AA3" s="1"/>
    </row>
    <row r="4" spans="1:27" ht="13">
      <c r="A4" s="62" t="s">
        <v>28</v>
      </c>
      <c r="B4" s="63">
        <f>IFERROR(SUMPRODUCT(('Kilter Holds'!$J$37:$J$662)*('Kilter Holds'!$I$37:$I$662=$A4),'Kilter Holds'!T$37:T$662),0)+IFERROR(SUMPRODUCT(('Urban Plastix Holds'!$H$37:$H$705)*('Urban Plastix Holds'!$F$37:$F$705=$A4),'Urban Plastix Holds'!M$37:M$705),0)+IFERROR(SUMPRODUCT(('Kilter Holds'!$L$37:$L$662)*('Kilter Holds'!$K$37:$K$662=$A4),'Kilter Holds'!T$37:T$662),0)</f>
        <v>0</v>
      </c>
      <c r="C4" s="64">
        <f>IFERROR(SUMPRODUCT(('Kilter Holds'!$J$37:$J$662)*('Kilter Holds'!$I$37:$I$662=$A4),'Kilter Holds'!U$37:U$662),0)+IFERROR(SUMPRODUCT(('Urban Plastix Holds'!$H$37:$H$705)*('Urban Plastix Holds'!$F$37:$F$705=$A4),'Urban Plastix Holds'!N$37:N$705),0)+IFERROR(SUMPRODUCT(('Kilter Holds'!$L$37:$L$662)*('Kilter Holds'!$K$37:$K$662=$A4),'Kilter Holds'!U$37:U$662),0)</f>
        <v>0</v>
      </c>
      <c r="D4" s="64">
        <f>IFERROR(SUMPRODUCT(('Kilter Holds'!$J$37:$J$662)*('Kilter Holds'!$I$37:$I$662=$A4),'Kilter Holds'!V$37:V$662),0)+IFERROR(SUMPRODUCT(('Urban Plastix Holds'!$H$37:$H$705)*('Urban Plastix Holds'!$F$37:$F$705=$A4),'Urban Plastix Holds'!O$37:O$705),0)+IFERROR(SUMPRODUCT(('Kilter Holds'!$L$37:$L$662)*('Kilter Holds'!$K$37:$K$662=$A4),'Kilter Holds'!V$37:V$662),0)</f>
        <v>0</v>
      </c>
      <c r="E4" s="64">
        <f>IFERROR(SUMPRODUCT(('Kilter Holds'!$J$37:$J$662)*('Kilter Holds'!$I$37:$I$662=$A4),'Kilter Holds'!W$37:W$662),0)+IFERROR(SUMPRODUCT(('Urban Plastix Holds'!$H$37:$H$705)*('Urban Plastix Holds'!$F$37:$F$705=$A4),'Urban Plastix Holds'!P$37:P$705),0)+IFERROR(SUMPRODUCT(('Kilter Holds'!$L$37:$L$662)*('Kilter Holds'!$K$37:$K$662=$A4),'Kilter Holds'!W$37:W$662),0)</f>
        <v>0</v>
      </c>
      <c r="F4" s="64">
        <f>IFERROR(SUMPRODUCT(('Kilter Holds'!$J$37:$J$662)*('Kilter Holds'!$I$37:$I$662=$A4),'Kilter Holds'!X$37:X$662),0)+IFERROR(SUMPRODUCT(('Urban Plastix Holds'!$H$37:$H$705)*('Urban Plastix Holds'!$F$37:$F$705=$A4),'Urban Plastix Holds'!Q$37:Q$705),0)+IFERROR(SUMPRODUCT(('Kilter Holds'!$L$37:$L$662)*('Kilter Holds'!$K$37:$K$662=$A4),'Kilter Holds'!X$37:X$662),0)</f>
        <v>0</v>
      </c>
      <c r="G4" s="64">
        <f>IFERROR(SUMPRODUCT(('Kilter Holds'!$J$37:$J$662)*('Kilter Holds'!$I$37:$I$662=$A4),'Kilter Holds'!Y$37:Y$662),0)+IFERROR(SUMPRODUCT(('Urban Plastix Holds'!$H$37:$H$705)*('Urban Plastix Holds'!$F$37:$F$705=$A4),'Urban Plastix Holds'!R$37:R$705),0)+IFERROR(SUMPRODUCT(('Kilter Holds'!$L$37:$L$662)*('Kilter Holds'!$K$37:$K$662=$A4),'Kilter Holds'!Y$37:Y$662),0)</f>
        <v>0</v>
      </c>
      <c r="H4" s="64">
        <f>IFERROR(SUMPRODUCT(('Kilter Holds'!$J$37:$J$662)*('Kilter Holds'!$I$37:$I$662=$A4),'Kilter Holds'!Z$37:Z$662),0)+IFERROR(SUMPRODUCT(('Urban Plastix Holds'!$H$37:$H$705)*('Urban Plastix Holds'!$F$37:$F$705=$A4),'Urban Plastix Holds'!S$37:S$705),0)+IFERROR(SUMPRODUCT(('Kilter Holds'!$L$37:$L$662)*('Kilter Holds'!$K$37:$K$662=$A4),'Kilter Holds'!Z$37:Z$662),0)</f>
        <v>0</v>
      </c>
      <c r="I4" s="64">
        <f>IFERROR(SUMPRODUCT(('Kilter Holds'!$J$37:$J$662)*('Kilter Holds'!$I$37:$I$662=$A4),'Kilter Holds'!AA$37:AA$662),0)+IFERROR(SUMPRODUCT(('Urban Plastix Holds'!$H$37:$H$705)*('Urban Plastix Holds'!$F$37:$F$705=$A4),'Urban Plastix Holds'!T$37:T$705),0)+IFERROR(SUMPRODUCT(('Kilter Holds'!$L$37:$L$662)*('Kilter Holds'!$K$37:$K$662=$A4),'Kilter Holds'!AA$37:AA$662),0)</f>
        <v>0</v>
      </c>
      <c r="J4" s="65">
        <f>IFERROR(SUMPRODUCT(('Kilter Holds'!$J$37:$J$662)*('Kilter Holds'!$I$37:$I$662=$A4),'Kilter Holds'!AB$37:AB$662),0)+IFERROR(SUMPRODUCT(('Urban Plastix Holds'!$H$37:$H$705)*('Urban Plastix Holds'!$F$37:$F$705=$A4),'Urban Plastix Holds'!U$37:U$705),0)+IFERROR(SUMPRODUCT(('Kilter Holds'!$L$37:$L$662)*('Kilter Holds'!$K$37:$K$662=$A4),'Kilter Holds'!AB$37:AB$662),0)</f>
        <v>0</v>
      </c>
      <c r="K4" s="66">
        <f t="shared" si="0"/>
        <v>0</v>
      </c>
      <c r="L4" s="67">
        <f t="shared" si="1"/>
        <v>0</v>
      </c>
      <c r="M4" s="464"/>
      <c r="N4" s="1"/>
      <c r="O4" s="1"/>
      <c r="P4" s="1"/>
      <c r="Q4" s="1"/>
      <c r="R4" s="1"/>
      <c r="S4" s="1"/>
      <c r="T4" s="1"/>
      <c r="U4" s="1"/>
      <c r="V4" s="1"/>
      <c r="W4" s="1"/>
      <c r="X4" s="1"/>
      <c r="Y4" s="1"/>
      <c r="Z4" s="1"/>
      <c r="AA4" s="1"/>
    </row>
    <row r="5" spans="1:27" ht="13">
      <c r="A5" s="62" t="s">
        <v>29</v>
      </c>
      <c r="B5" s="63">
        <f>IFERROR(SUMPRODUCT(('Kilter Holds'!$J$37:$J$662)*('Kilter Holds'!$I$37:$I$662=$A5),'Kilter Holds'!T$37:T$662),0)+IFERROR(SUMPRODUCT(('Urban Plastix Holds'!$H$37:$H$705)*('Urban Plastix Holds'!$F$37:$F$705=$A5),'Urban Plastix Holds'!M$37:M$705),0)+IFERROR(SUMPRODUCT(('Kilter Holds'!$L$37:$L$662)*('Kilter Holds'!$K$37:$K$662=$A5),'Kilter Holds'!T$37:T$662),0)</f>
        <v>0</v>
      </c>
      <c r="C5" s="64">
        <f>IFERROR(SUMPRODUCT(('Kilter Holds'!$J$37:$J$662)*('Kilter Holds'!$I$37:$I$662=$A5),'Kilter Holds'!U$37:U$662),0)+IFERROR(SUMPRODUCT(('Urban Plastix Holds'!$H$37:$H$705)*('Urban Plastix Holds'!$F$37:$F$705=$A5),'Urban Plastix Holds'!N$37:N$705),0)+IFERROR(SUMPRODUCT(('Kilter Holds'!$L$37:$L$662)*('Kilter Holds'!$K$37:$K$662=$A5),'Kilter Holds'!U$37:U$662),0)</f>
        <v>0</v>
      </c>
      <c r="D5" s="64">
        <f>IFERROR(SUMPRODUCT(('Kilter Holds'!$J$37:$J$662)*('Kilter Holds'!$I$37:$I$662=$A5),'Kilter Holds'!V$37:V$662),0)+IFERROR(SUMPRODUCT(('Urban Plastix Holds'!$H$37:$H$705)*('Urban Plastix Holds'!$F$37:$F$705=$A5),'Urban Plastix Holds'!O$37:O$705),0)+IFERROR(SUMPRODUCT(('Kilter Holds'!$L$37:$L$662)*('Kilter Holds'!$K$37:$K$662=$A5),'Kilter Holds'!V$37:V$662),0)</f>
        <v>0</v>
      </c>
      <c r="E5" s="64">
        <f>IFERROR(SUMPRODUCT(('Kilter Holds'!$J$37:$J$662)*('Kilter Holds'!$I$37:$I$662=$A5),'Kilter Holds'!W$37:W$662),0)+IFERROR(SUMPRODUCT(('Urban Plastix Holds'!$H$37:$H$705)*('Urban Plastix Holds'!$F$37:$F$705=$A5),'Urban Plastix Holds'!P$37:P$705),0)+IFERROR(SUMPRODUCT(('Kilter Holds'!$L$37:$L$662)*('Kilter Holds'!$K$37:$K$662=$A5),'Kilter Holds'!W$37:W$662),0)</f>
        <v>0</v>
      </c>
      <c r="F5" s="64">
        <f>IFERROR(SUMPRODUCT(('Kilter Holds'!$J$37:$J$662)*('Kilter Holds'!$I$37:$I$662=$A5),'Kilter Holds'!X$37:X$662),0)+IFERROR(SUMPRODUCT(('Urban Plastix Holds'!$H$37:$H$705)*('Urban Plastix Holds'!$F$37:$F$705=$A5),'Urban Plastix Holds'!Q$37:Q$705),0)+IFERROR(SUMPRODUCT(('Kilter Holds'!$L$37:$L$662)*('Kilter Holds'!$K$37:$K$662=$A5),'Kilter Holds'!X$37:X$662),0)</f>
        <v>0</v>
      </c>
      <c r="G5" s="64">
        <f>IFERROR(SUMPRODUCT(('Kilter Holds'!$J$37:$J$662)*('Kilter Holds'!$I$37:$I$662=$A5),'Kilter Holds'!Y$37:Y$662),0)+IFERROR(SUMPRODUCT(('Urban Plastix Holds'!$H$37:$H$705)*('Urban Plastix Holds'!$F$37:$F$705=$A5),'Urban Plastix Holds'!R$37:R$705),0)+IFERROR(SUMPRODUCT(('Kilter Holds'!$L$37:$L$662)*('Kilter Holds'!$K$37:$K$662=$A5),'Kilter Holds'!Y$37:Y$662),0)</f>
        <v>0</v>
      </c>
      <c r="H5" s="64">
        <f>IFERROR(SUMPRODUCT(('Kilter Holds'!$J$37:$J$662)*('Kilter Holds'!$I$37:$I$662=$A5),'Kilter Holds'!Z$37:Z$662),0)+IFERROR(SUMPRODUCT(('Urban Plastix Holds'!$H$37:$H$705)*('Urban Plastix Holds'!$F$37:$F$705=$A5),'Urban Plastix Holds'!S$37:S$705),0)+IFERROR(SUMPRODUCT(('Kilter Holds'!$L$37:$L$662)*('Kilter Holds'!$K$37:$K$662=$A5),'Kilter Holds'!Z$37:Z$662),0)</f>
        <v>0</v>
      </c>
      <c r="I5" s="64">
        <f>IFERROR(SUMPRODUCT(('Kilter Holds'!$J$37:$J$662)*('Kilter Holds'!$I$37:$I$662=$A5),'Kilter Holds'!AA$37:AA$662),0)+IFERROR(SUMPRODUCT(('Urban Plastix Holds'!$H$37:$H$705)*('Urban Plastix Holds'!$F$37:$F$705=$A5),'Urban Plastix Holds'!T$37:T$705),0)+IFERROR(SUMPRODUCT(('Kilter Holds'!$L$37:$L$662)*('Kilter Holds'!$K$37:$K$662=$A5),'Kilter Holds'!AA$37:AA$662),0)</f>
        <v>0</v>
      </c>
      <c r="J5" s="65">
        <f>IFERROR(SUMPRODUCT(('Kilter Holds'!$J$37:$J$662)*('Kilter Holds'!$I$37:$I$662=$A5),'Kilter Holds'!AB$37:AB$662),0)+IFERROR(SUMPRODUCT(('Urban Plastix Holds'!$H$37:$H$705)*('Urban Plastix Holds'!$F$37:$F$705=$A5),'Urban Plastix Holds'!U$37:U$705),0)+IFERROR(SUMPRODUCT(('Kilter Holds'!$L$37:$L$662)*('Kilter Holds'!$K$37:$K$662=$A5),'Kilter Holds'!AB$37:AB$662),0)</f>
        <v>0</v>
      </c>
      <c r="K5" s="66">
        <f t="shared" si="0"/>
        <v>0</v>
      </c>
      <c r="L5" s="67">
        <f t="shared" si="1"/>
        <v>0</v>
      </c>
      <c r="M5" s="464"/>
      <c r="N5" s="1"/>
      <c r="O5" s="1"/>
      <c r="P5" s="1"/>
      <c r="Q5" s="1"/>
      <c r="R5" s="1"/>
      <c r="S5" s="1"/>
      <c r="T5" s="1"/>
      <c r="U5" s="1"/>
      <c r="V5" s="1"/>
      <c r="W5" s="1"/>
      <c r="X5" s="1"/>
      <c r="Y5" s="1"/>
      <c r="Z5" s="1"/>
      <c r="AA5" s="1"/>
    </row>
    <row r="6" spans="1:27" ht="13">
      <c r="A6" s="62" t="s">
        <v>30</v>
      </c>
      <c r="B6" s="63">
        <f>IFERROR(SUMPRODUCT(('Kilter Holds'!$J$37:$J$662)*('Kilter Holds'!$I$37:$I$662=$A6),'Kilter Holds'!T$37:T$662),0)+IFERROR(SUMPRODUCT(('Urban Plastix Holds'!$H$37:$H$705)*('Urban Plastix Holds'!$F$37:$F$705=$A6),'Urban Plastix Holds'!M$37:M$705),0)+IFERROR(SUMPRODUCT(('Kilter Holds'!$L$37:$L$662)*('Kilter Holds'!$K$37:$K$662=$A6),'Kilter Holds'!T$37:T$662),0)</f>
        <v>0</v>
      </c>
      <c r="C6" s="64">
        <f>IFERROR(SUMPRODUCT(('Kilter Holds'!$J$37:$J$662)*('Kilter Holds'!$I$37:$I$662=$A6),'Kilter Holds'!U$37:U$662),0)+IFERROR(SUMPRODUCT(('Urban Plastix Holds'!$H$37:$H$705)*('Urban Plastix Holds'!$F$37:$F$705=$A6),'Urban Plastix Holds'!N$37:N$705),0)+IFERROR(SUMPRODUCT(('Kilter Holds'!$L$37:$L$662)*('Kilter Holds'!$K$37:$K$662=$A6),'Kilter Holds'!U$37:U$662),0)</f>
        <v>0</v>
      </c>
      <c r="D6" s="64">
        <f>IFERROR(SUMPRODUCT(('Kilter Holds'!$J$37:$J$662)*('Kilter Holds'!$I$37:$I$662=$A6),'Kilter Holds'!V$37:V$662),0)+IFERROR(SUMPRODUCT(('Urban Plastix Holds'!$H$37:$H$705)*('Urban Plastix Holds'!$F$37:$F$705=$A6),'Urban Plastix Holds'!O$37:O$705),0)+IFERROR(SUMPRODUCT(('Kilter Holds'!$L$37:$L$662)*('Kilter Holds'!$K$37:$K$662=$A6),'Kilter Holds'!V$37:V$662),0)</f>
        <v>0</v>
      </c>
      <c r="E6" s="64">
        <f>IFERROR(SUMPRODUCT(('Kilter Holds'!$J$37:$J$662)*('Kilter Holds'!$I$37:$I$662=$A6),'Kilter Holds'!W$37:W$662),0)+IFERROR(SUMPRODUCT(('Urban Plastix Holds'!$H$37:$H$705)*('Urban Plastix Holds'!$F$37:$F$705=$A6),'Urban Plastix Holds'!P$37:P$705),0)+IFERROR(SUMPRODUCT(('Kilter Holds'!$L$37:$L$662)*('Kilter Holds'!$K$37:$K$662=$A6),'Kilter Holds'!W$37:W$662),0)</f>
        <v>0</v>
      </c>
      <c r="F6" s="64">
        <f>IFERROR(SUMPRODUCT(('Kilter Holds'!$J$37:$J$662)*('Kilter Holds'!$I$37:$I$662=$A6),'Kilter Holds'!X$37:X$662),0)+IFERROR(SUMPRODUCT(('Urban Plastix Holds'!$H$37:$H$705)*('Urban Plastix Holds'!$F$37:$F$705=$A6),'Urban Plastix Holds'!Q$37:Q$705),0)+IFERROR(SUMPRODUCT(('Kilter Holds'!$L$37:$L$662)*('Kilter Holds'!$K$37:$K$662=$A6),'Kilter Holds'!X$37:X$662),0)</f>
        <v>0</v>
      </c>
      <c r="G6" s="64">
        <f>IFERROR(SUMPRODUCT(('Kilter Holds'!$J$37:$J$662)*('Kilter Holds'!$I$37:$I$662=$A6),'Kilter Holds'!Y$37:Y$662),0)+IFERROR(SUMPRODUCT(('Urban Plastix Holds'!$H$37:$H$705)*('Urban Plastix Holds'!$F$37:$F$705=$A6),'Urban Plastix Holds'!R$37:R$705),0)+IFERROR(SUMPRODUCT(('Kilter Holds'!$L$37:$L$662)*('Kilter Holds'!$K$37:$K$662=$A6),'Kilter Holds'!Y$37:Y$662),0)</f>
        <v>0</v>
      </c>
      <c r="H6" s="64">
        <f>IFERROR(SUMPRODUCT(('Kilter Holds'!$J$37:$J$662)*('Kilter Holds'!$I$37:$I$662=$A6),'Kilter Holds'!Z$37:Z$662),0)+IFERROR(SUMPRODUCT(('Urban Plastix Holds'!$H$37:$H$705)*('Urban Plastix Holds'!$F$37:$F$705=$A6),'Urban Plastix Holds'!S$37:S$705),0)+IFERROR(SUMPRODUCT(('Kilter Holds'!$L$37:$L$662)*('Kilter Holds'!$K$37:$K$662=$A6),'Kilter Holds'!Z$37:Z$662),0)</f>
        <v>0</v>
      </c>
      <c r="I6" s="64">
        <f>IFERROR(SUMPRODUCT(('Kilter Holds'!$J$37:$J$662)*('Kilter Holds'!$I$37:$I$662=$A6),'Kilter Holds'!AA$37:AA$662),0)+IFERROR(SUMPRODUCT(('Urban Plastix Holds'!$H$37:$H$705)*('Urban Plastix Holds'!$F$37:$F$705=$A6),'Urban Plastix Holds'!T$37:T$705),0)+IFERROR(SUMPRODUCT(('Kilter Holds'!$L$37:$L$662)*('Kilter Holds'!$K$37:$K$662=$A6),'Kilter Holds'!AA$37:AA$662),0)</f>
        <v>0</v>
      </c>
      <c r="J6" s="65">
        <f>IFERROR(SUMPRODUCT(('Kilter Holds'!$J$37:$J$662)*('Kilter Holds'!$I$37:$I$662=$A6),'Kilter Holds'!AB$37:AB$662),0)+IFERROR(SUMPRODUCT(('Urban Plastix Holds'!$H$37:$H$705)*('Urban Plastix Holds'!$F$37:$F$705=$A6),'Urban Plastix Holds'!U$37:U$705),0)+IFERROR(SUMPRODUCT(('Kilter Holds'!$L$37:$L$662)*('Kilter Holds'!$K$37:$K$662=$A6),'Kilter Holds'!AB$37:AB$662),0)</f>
        <v>0</v>
      </c>
      <c r="K6" s="66">
        <f t="shared" si="0"/>
        <v>0</v>
      </c>
      <c r="L6" s="67">
        <f t="shared" si="1"/>
        <v>0</v>
      </c>
      <c r="M6" s="464"/>
      <c r="N6" s="1"/>
      <c r="O6" s="1"/>
      <c r="P6" s="1"/>
      <c r="Q6" s="1"/>
      <c r="R6" s="1"/>
      <c r="S6" s="1"/>
      <c r="T6" s="1"/>
      <c r="U6" s="1"/>
      <c r="V6" s="1"/>
      <c r="W6" s="1"/>
      <c r="X6" s="1"/>
      <c r="Y6" s="1"/>
      <c r="Z6" s="1"/>
      <c r="AA6" s="1"/>
    </row>
    <row r="7" spans="1:27" ht="18" customHeight="1">
      <c r="A7" s="68" t="s">
        <v>31</v>
      </c>
      <c r="B7" s="69">
        <f>IFERROR(SUMPRODUCT(('Kilter Holds'!$J$37:$J$662)*('Kilter Holds'!$I$37:$I$662=$A7),'Kilter Holds'!T$37:T$662),0)+IFERROR(SUMPRODUCT(('Urban Plastix Holds'!$H$37:$H$705)*('Urban Plastix Holds'!$F$37:$F$705=$A7),'Urban Plastix Holds'!M$37:M$705),0)+IFERROR(SUMPRODUCT(('Kilter Holds'!$L$37:$L$662)*('Kilter Holds'!$K$37:$K$662=$A7),'Kilter Holds'!T$37:T$662),0)</f>
        <v>0</v>
      </c>
      <c r="C7" s="70">
        <f>IFERROR(SUMPRODUCT(('Kilter Holds'!$J$37:$J$662)*('Kilter Holds'!$I$37:$I$662=$A7),'Kilter Holds'!U$37:U$662),0)+IFERROR(SUMPRODUCT(('Urban Plastix Holds'!$H$37:$H$705)*('Urban Plastix Holds'!$F$37:$F$705=$A7),'Urban Plastix Holds'!N$37:N$705),0)+IFERROR(SUMPRODUCT(('Kilter Holds'!$L$37:$L$662)*('Kilter Holds'!$K$37:$K$662=$A7),'Kilter Holds'!U$37:U$662),0)</f>
        <v>0</v>
      </c>
      <c r="D7" s="70">
        <f>IFERROR(SUMPRODUCT(('Kilter Holds'!$J$37:$J$662)*('Kilter Holds'!$I$37:$I$662=$A7),'Kilter Holds'!V$37:V$662),0)+IFERROR(SUMPRODUCT(('Urban Plastix Holds'!$H$37:$H$705)*('Urban Plastix Holds'!$F$37:$F$705=$A7),'Urban Plastix Holds'!O$37:O$705),0)+IFERROR(SUMPRODUCT(('Kilter Holds'!$L$37:$L$662)*('Kilter Holds'!$K$37:$K$662=$A7),'Kilter Holds'!V$37:V$662),0)</f>
        <v>0</v>
      </c>
      <c r="E7" s="70">
        <f>IFERROR(SUMPRODUCT(('Kilter Holds'!$J$37:$J$662)*('Kilter Holds'!$I$37:$I$662=$A7),'Kilter Holds'!W$37:W$662),0)+IFERROR(SUMPRODUCT(('Urban Plastix Holds'!$H$37:$H$705)*('Urban Plastix Holds'!$F$37:$F$705=$A7),'Urban Plastix Holds'!P$37:P$705),0)+IFERROR(SUMPRODUCT(('Kilter Holds'!$L$37:$L$662)*('Kilter Holds'!$K$37:$K$662=$A7),'Kilter Holds'!W$37:W$662),0)</f>
        <v>0</v>
      </c>
      <c r="F7" s="70">
        <f>IFERROR(SUMPRODUCT(('Kilter Holds'!$J$37:$J$662)*('Kilter Holds'!$I$37:$I$662=$A7),'Kilter Holds'!X$37:X$662),0)+IFERROR(SUMPRODUCT(('Urban Plastix Holds'!$H$37:$H$705)*('Urban Plastix Holds'!$F$37:$F$705=$A7),'Urban Plastix Holds'!Q$37:Q$705),0)+IFERROR(SUMPRODUCT(('Kilter Holds'!$L$37:$L$662)*('Kilter Holds'!$K$37:$K$662=$A7),'Kilter Holds'!X$37:X$662),0)</f>
        <v>0</v>
      </c>
      <c r="G7" s="70">
        <f>IFERROR(SUMPRODUCT(('Kilter Holds'!$J$37:$J$662)*('Kilter Holds'!$I$37:$I$662=$A7),'Kilter Holds'!Y$37:Y$662),0)+IFERROR(SUMPRODUCT(('Urban Plastix Holds'!$H$37:$H$705)*('Urban Plastix Holds'!$F$37:$F$705=$A7),'Urban Plastix Holds'!R$37:R$705),0)+IFERROR(SUMPRODUCT(('Kilter Holds'!$L$37:$L$662)*('Kilter Holds'!$K$37:$K$662=$A7),'Kilter Holds'!Y$37:Y$662),0)</f>
        <v>0</v>
      </c>
      <c r="H7" s="70">
        <f>IFERROR(SUMPRODUCT(('Kilter Holds'!$J$37:$J$662)*('Kilter Holds'!$I$37:$I$662=$A7),'Kilter Holds'!Z$37:Z$662),0)+IFERROR(SUMPRODUCT(('Urban Plastix Holds'!$H$37:$H$705)*('Urban Plastix Holds'!$F$37:$F$705=$A7),'Urban Plastix Holds'!S$37:S$705),0)+IFERROR(SUMPRODUCT(('Kilter Holds'!$L$37:$L$662)*('Kilter Holds'!$K$37:$K$662=$A7),'Kilter Holds'!Z$37:Z$662),0)</f>
        <v>0</v>
      </c>
      <c r="I7" s="70">
        <f>IFERROR(SUMPRODUCT(('Kilter Holds'!$J$37:$J$662)*('Kilter Holds'!$I$37:$I$662=$A7),'Kilter Holds'!AA$37:AA$662),0)+IFERROR(SUMPRODUCT(('Urban Plastix Holds'!$H$37:$H$705)*('Urban Plastix Holds'!$F$37:$F$705=$A7),'Urban Plastix Holds'!T$37:T$705),0)+IFERROR(SUMPRODUCT(('Kilter Holds'!$L$37:$L$662)*('Kilter Holds'!$K$37:$K$662=$A7),'Kilter Holds'!AA$37:AA$662),0)</f>
        <v>0</v>
      </c>
      <c r="J7" s="71">
        <f>IFERROR(SUMPRODUCT(('Kilter Holds'!$J$37:$J$662)*('Kilter Holds'!$I$37:$I$662=$A7),'Kilter Holds'!AB$37:AB$662),0)+IFERROR(SUMPRODUCT(('Urban Plastix Holds'!$H$37:$H$705)*('Urban Plastix Holds'!$F$37:$F$705=$A7),'Urban Plastix Holds'!U$37:U$705),0)+IFERROR(SUMPRODUCT(('Kilter Holds'!$L$37:$L$662)*('Kilter Holds'!$K$37:$K$662=$A7),'Kilter Holds'!AB$37:AB$662),0)</f>
        <v>0</v>
      </c>
      <c r="K7" s="72">
        <f t="shared" si="0"/>
        <v>0</v>
      </c>
      <c r="L7" s="73">
        <f t="shared" si="1"/>
        <v>0</v>
      </c>
      <c r="M7" s="465"/>
      <c r="N7" s="1"/>
      <c r="O7" s="1"/>
      <c r="P7" s="1"/>
      <c r="Q7" s="1"/>
      <c r="R7" s="1"/>
      <c r="S7" s="1"/>
      <c r="T7" s="1"/>
      <c r="U7" s="1"/>
      <c r="V7" s="1"/>
      <c r="W7" s="1"/>
      <c r="X7" s="1"/>
      <c r="Y7" s="1"/>
      <c r="Z7" s="1"/>
      <c r="AA7" s="1"/>
    </row>
    <row r="8" spans="1:27" ht="13">
      <c r="A8" s="62" t="s">
        <v>32</v>
      </c>
      <c r="B8" s="57">
        <f>IFERROR(SUMPRODUCT(('Kilter Holds'!$J$37:$J$662)*('Kilter Holds'!$I$37:$I$662=$A8),'Kilter Holds'!T$37:T$662),0)+IFERROR(SUMPRODUCT(('Urban Plastix Holds'!$H$37:$H$705)*('Urban Plastix Holds'!$F$37:$F$705=$A8),'Urban Plastix Holds'!M$37:M$705),0)+IFERROR(SUMPRODUCT(('Kilter Holds'!$L$37:$L$662)*('Kilter Holds'!$K$37:$K$662=$A8),'Kilter Holds'!T$37:T$662),0)</f>
        <v>0</v>
      </c>
      <c r="C8" s="58">
        <f>IFERROR(SUMPRODUCT(('Kilter Holds'!$J$37:$J$662)*('Kilter Holds'!$I$37:$I$662=$A8),'Kilter Holds'!U$37:U$662),0)+IFERROR(SUMPRODUCT(('Urban Plastix Holds'!$H$37:$H$705)*('Urban Plastix Holds'!$F$37:$F$705=$A8),'Urban Plastix Holds'!N$37:N$705),0)+IFERROR(SUMPRODUCT(('Kilter Holds'!$L$37:$L$662)*('Kilter Holds'!$K$37:$K$662=$A8),'Kilter Holds'!U$37:U$662),0)</f>
        <v>0</v>
      </c>
      <c r="D8" s="58">
        <f>IFERROR(SUMPRODUCT(('Kilter Holds'!$J$37:$J$662)*('Kilter Holds'!$I$37:$I$662=$A8),'Kilter Holds'!V$37:V$662),0)+IFERROR(SUMPRODUCT(('Urban Plastix Holds'!$H$37:$H$705)*('Urban Plastix Holds'!$F$37:$F$705=$A8),'Urban Plastix Holds'!O$37:O$705),0)+IFERROR(SUMPRODUCT(('Kilter Holds'!$L$37:$L$662)*('Kilter Holds'!$K$37:$K$662=$A8),'Kilter Holds'!V$37:V$662),0)</f>
        <v>0</v>
      </c>
      <c r="E8" s="58">
        <f>IFERROR(SUMPRODUCT(('Kilter Holds'!$J$37:$J$662)*('Kilter Holds'!$I$37:$I$662=$A8),'Kilter Holds'!W$37:W$662),0)+IFERROR(SUMPRODUCT(('Urban Plastix Holds'!$H$37:$H$705)*('Urban Plastix Holds'!$F$37:$F$705=$A8),'Urban Plastix Holds'!P$37:P$705),0)+IFERROR(SUMPRODUCT(('Kilter Holds'!$L$37:$L$662)*('Kilter Holds'!$K$37:$K$662=$A8),'Kilter Holds'!W$37:W$662),0)</f>
        <v>0</v>
      </c>
      <c r="F8" s="58">
        <f>IFERROR(SUMPRODUCT(('Kilter Holds'!$J$37:$J$662)*('Kilter Holds'!$I$37:$I$662=$A8),'Kilter Holds'!X$37:X$662),0)+IFERROR(SUMPRODUCT(('Urban Plastix Holds'!$H$37:$H$705)*('Urban Plastix Holds'!$F$37:$F$705=$A8),'Urban Plastix Holds'!Q$37:Q$705),0)+IFERROR(SUMPRODUCT(('Kilter Holds'!$L$37:$L$662)*('Kilter Holds'!$K$37:$K$662=$A8),'Kilter Holds'!X$37:X$662),0)</f>
        <v>0</v>
      </c>
      <c r="G8" s="58">
        <f>IFERROR(SUMPRODUCT(('Kilter Holds'!$J$37:$J$662)*('Kilter Holds'!$I$37:$I$662=$A8),'Kilter Holds'!Y$37:Y$662),0)+IFERROR(SUMPRODUCT(('Urban Plastix Holds'!$H$37:$H$705)*('Urban Plastix Holds'!$F$37:$F$705=$A8),'Urban Plastix Holds'!R$37:R$705),0)+IFERROR(SUMPRODUCT(('Kilter Holds'!$L$37:$L$662)*('Kilter Holds'!$K$37:$K$662=$A8),'Kilter Holds'!Y$37:Y$662),0)</f>
        <v>0</v>
      </c>
      <c r="H8" s="58">
        <f>IFERROR(SUMPRODUCT(('Kilter Holds'!$J$37:$J$662)*('Kilter Holds'!$I$37:$I$662=$A8),'Kilter Holds'!Z$37:Z$662),0)+IFERROR(SUMPRODUCT(('Urban Plastix Holds'!$H$37:$H$705)*('Urban Plastix Holds'!$F$37:$F$705=$A8),'Urban Plastix Holds'!S$37:S$705),0)+IFERROR(SUMPRODUCT(('Kilter Holds'!$L$37:$L$662)*('Kilter Holds'!$K$37:$K$662=$A8),'Kilter Holds'!Z$37:Z$662),0)</f>
        <v>0</v>
      </c>
      <c r="I8" s="58">
        <f>IFERROR(SUMPRODUCT(('Kilter Holds'!$J$37:$J$662)*('Kilter Holds'!$I$37:$I$662=$A8),'Kilter Holds'!AA$37:AA$662),0)+IFERROR(SUMPRODUCT(('Urban Plastix Holds'!$H$37:$H$705)*('Urban Plastix Holds'!$F$37:$F$705=$A8),'Urban Plastix Holds'!T$37:T$705),0)+IFERROR(SUMPRODUCT(('Kilter Holds'!$L$37:$L$662)*('Kilter Holds'!$K$37:$K$662=$A8),'Kilter Holds'!AA$37:AA$662),0)</f>
        <v>0</v>
      </c>
      <c r="J8" s="59">
        <f>IFERROR(SUMPRODUCT(('Kilter Holds'!$J$37:$J$662)*('Kilter Holds'!$I$37:$I$662=$A8),'Kilter Holds'!AB$37:AB$662),0)+IFERROR(SUMPRODUCT(('Urban Plastix Holds'!$H$37:$H$705)*('Urban Plastix Holds'!$F$37:$F$705=$A8),'Urban Plastix Holds'!U$37:U$705),0)+IFERROR(SUMPRODUCT(('Kilter Holds'!$L$37:$L$662)*('Kilter Holds'!$K$37:$K$662=$A8),'Kilter Holds'!AB$37:AB$662),0)</f>
        <v>0</v>
      </c>
      <c r="K8" s="66">
        <f t="shared" si="0"/>
        <v>0</v>
      </c>
      <c r="L8" s="67">
        <f t="shared" si="1"/>
        <v>0</v>
      </c>
      <c r="M8" s="463">
        <f>SUM(L8:L14)</f>
        <v>0</v>
      </c>
      <c r="N8" s="1"/>
      <c r="O8" s="1"/>
      <c r="P8" s="1"/>
      <c r="Q8" s="1"/>
      <c r="R8" s="1"/>
      <c r="S8" s="1"/>
      <c r="T8" s="1"/>
      <c r="U8" s="1"/>
      <c r="V8" s="1"/>
      <c r="W8" s="1"/>
      <c r="X8" s="1"/>
      <c r="Y8" s="1"/>
      <c r="Z8" s="1"/>
      <c r="AA8" s="1"/>
    </row>
    <row r="9" spans="1:27" ht="13">
      <c r="A9" s="62" t="s">
        <v>33</v>
      </c>
      <c r="B9" s="63">
        <f>IFERROR(SUMPRODUCT(('Kilter Holds'!$J$37:$J$662)*('Kilter Holds'!$I$37:$I$662=$A9),'Kilter Holds'!T$37:T$662),0)+IFERROR(SUMPRODUCT(('Urban Plastix Holds'!$H$37:$H$705)*('Urban Plastix Holds'!$F$37:$F$705=$A9),'Urban Plastix Holds'!M$37:M$705),0)+IFERROR(SUMPRODUCT(('Kilter Holds'!$L$37:$L$662)*('Kilter Holds'!$K$37:$K$662=$A9),'Kilter Holds'!T$37:T$662),0)</f>
        <v>0</v>
      </c>
      <c r="C9" s="64">
        <f>IFERROR(SUMPRODUCT(('Kilter Holds'!$J$37:$J$662)*('Kilter Holds'!$I$37:$I$662=$A9),'Kilter Holds'!U$37:U$662),0)+IFERROR(SUMPRODUCT(('Urban Plastix Holds'!$H$37:$H$705)*('Urban Plastix Holds'!$F$37:$F$705=$A9),'Urban Plastix Holds'!N$37:N$705),0)+IFERROR(SUMPRODUCT(('Kilter Holds'!$L$37:$L$662)*('Kilter Holds'!$K$37:$K$662=$A9),'Kilter Holds'!U$37:U$662),0)</f>
        <v>0</v>
      </c>
      <c r="D9" s="64">
        <f>IFERROR(SUMPRODUCT(('Kilter Holds'!$J$37:$J$662)*('Kilter Holds'!$I$37:$I$662=$A9),'Kilter Holds'!V$37:V$662),0)+IFERROR(SUMPRODUCT(('Urban Plastix Holds'!$H$37:$H$705)*('Urban Plastix Holds'!$F$37:$F$705=$A9),'Urban Plastix Holds'!O$37:O$705),0)+IFERROR(SUMPRODUCT(('Kilter Holds'!$L$37:$L$662)*('Kilter Holds'!$K$37:$K$662=$A9),'Kilter Holds'!V$37:V$662),0)</f>
        <v>0</v>
      </c>
      <c r="E9" s="64">
        <f>IFERROR(SUMPRODUCT(('Kilter Holds'!$J$37:$J$662)*('Kilter Holds'!$I$37:$I$662=$A9),'Kilter Holds'!W$37:W$662),0)+IFERROR(SUMPRODUCT(('Urban Plastix Holds'!$H$37:$H$705)*('Urban Plastix Holds'!$F$37:$F$705=$A9),'Urban Plastix Holds'!P$37:P$705),0)+IFERROR(SUMPRODUCT(('Kilter Holds'!$L$37:$L$662)*('Kilter Holds'!$K$37:$K$662=$A9),'Kilter Holds'!W$37:W$662),0)</f>
        <v>0</v>
      </c>
      <c r="F9" s="64">
        <f>IFERROR(SUMPRODUCT(('Kilter Holds'!$J$37:$J$662)*('Kilter Holds'!$I$37:$I$662=$A9),'Kilter Holds'!X$37:X$662),0)+IFERROR(SUMPRODUCT(('Urban Plastix Holds'!$H$37:$H$705)*('Urban Plastix Holds'!$F$37:$F$705=$A9),'Urban Plastix Holds'!Q$37:Q$705),0)+IFERROR(SUMPRODUCT(('Kilter Holds'!$L$37:$L$662)*('Kilter Holds'!$K$37:$K$662=$A9),'Kilter Holds'!X$37:X$662),0)</f>
        <v>0</v>
      </c>
      <c r="G9" s="64">
        <f>IFERROR(SUMPRODUCT(('Kilter Holds'!$J$37:$J$662)*('Kilter Holds'!$I$37:$I$662=$A9),'Kilter Holds'!Y$37:Y$662),0)+IFERROR(SUMPRODUCT(('Urban Plastix Holds'!$H$37:$H$705)*('Urban Plastix Holds'!$F$37:$F$705=$A9),'Urban Plastix Holds'!R$37:R$705),0)+IFERROR(SUMPRODUCT(('Kilter Holds'!$L$37:$L$662)*('Kilter Holds'!$K$37:$K$662=$A9),'Kilter Holds'!Y$37:Y$662),0)</f>
        <v>0</v>
      </c>
      <c r="H9" s="64">
        <f>IFERROR(SUMPRODUCT(('Kilter Holds'!$J$37:$J$662)*('Kilter Holds'!$I$37:$I$662=$A9),'Kilter Holds'!Z$37:Z$662),0)+IFERROR(SUMPRODUCT(('Urban Plastix Holds'!$H$37:$H$705)*('Urban Plastix Holds'!$F$37:$F$705=$A9),'Urban Plastix Holds'!S$37:S$705),0)+IFERROR(SUMPRODUCT(('Kilter Holds'!$L$37:$L$662)*('Kilter Holds'!$K$37:$K$662=$A9),'Kilter Holds'!Z$37:Z$662),0)</f>
        <v>0</v>
      </c>
      <c r="I9" s="64">
        <f>IFERROR(SUMPRODUCT(('Kilter Holds'!$J$37:$J$662)*('Kilter Holds'!$I$37:$I$662=$A9),'Kilter Holds'!AA$37:AA$662),0)+IFERROR(SUMPRODUCT(('Urban Plastix Holds'!$H$37:$H$705)*('Urban Plastix Holds'!$F$37:$F$705=$A9),'Urban Plastix Holds'!T$37:T$705),0)+IFERROR(SUMPRODUCT(('Kilter Holds'!$L$37:$L$662)*('Kilter Holds'!$K$37:$K$662=$A9),'Kilter Holds'!AA$37:AA$662),0)</f>
        <v>0</v>
      </c>
      <c r="J9" s="65">
        <f>IFERROR(SUMPRODUCT(('Kilter Holds'!$J$37:$J$662)*('Kilter Holds'!$I$37:$I$662=$A9),'Kilter Holds'!AB$37:AB$662),0)+IFERROR(SUMPRODUCT(('Urban Plastix Holds'!$H$37:$H$705)*('Urban Plastix Holds'!$F$37:$F$705=$A9),'Urban Plastix Holds'!U$37:U$705),0)+IFERROR(SUMPRODUCT(('Kilter Holds'!$L$37:$L$662)*('Kilter Holds'!$K$37:$K$662=$A9),'Kilter Holds'!AB$37:AB$662),0)</f>
        <v>0</v>
      </c>
      <c r="K9" s="66">
        <f t="shared" si="0"/>
        <v>0</v>
      </c>
      <c r="L9" s="67">
        <f t="shared" si="1"/>
        <v>0</v>
      </c>
      <c r="M9" s="464"/>
      <c r="N9" s="1"/>
      <c r="O9" s="1"/>
      <c r="P9" s="1"/>
      <c r="Q9" s="1"/>
      <c r="R9" s="1"/>
      <c r="S9" s="1"/>
      <c r="T9" s="1"/>
      <c r="U9" s="1"/>
      <c r="V9" s="1"/>
      <c r="W9" s="1"/>
      <c r="X9" s="1"/>
      <c r="Y9" s="1"/>
      <c r="Z9" s="1"/>
      <c r="AA9" s="1"/>
    </row>
    <row r="10" spans="1:27" ht="13">
      <c r="A10" s="62" t="s">
        <v>34</v>
      </c>
      <c r="B10" s="63">
        <f>IFERROR(SUMPRODUCT(('Kilter Holds'!$J$37:$J$662)*('Kilter Holds'!$I$37:$I$662=$A10),'Kilter Holds'!T$37:T$662),0)+IFERROR(SUMPRODUCT(('Urban Plastix Holds'!$H$37:$H$705)*('Urban Plastix Holds'!$F$37:$F$705=$A10),'Urban Plastix Holds'!M$37:M$705),0)+IFERROR(SUMPRODUCT(('Kilter Holds'!$L$37:$L$662)*('Kilter Holds'!$K$37:$K$662=$A10),'Kilter Holds'!T$37:T$662),0)</f>
        <v>0</v>
      </c>
      <c r="C10" s="64">
        <f>IFERROR(SUMPRODUCT(('Kilter Holds'!$J$37:$J$662)*('Kilter Holds'!$I$37:$I$662=$A10),'Kilter Holds'!U$37:U$662),0)+IFERROR(SUMPRODUCT(('Urban Plastix Holds'!$H$37:$H$705)*('Urban Plastix Holds'!$F$37:$F$705=$A10),'Urban Plastix Holds'!N$37:N$705),0)+IFERROR(SUMPRODUCT(('Kilter Holds'!$L$37:$L$662)*('Kilter Holds'!$K$37:$K$662=$A10),'Kilter Holds'!U$37:U$662),0)</f>
        <v>0</v>
      </c>
      <c r="D10" s="64">
        <f>IFERROR(SUMPRODUCT(('Kilter Holds'!$J$37:$J$662)*('Kilter Holds'!$I$37:$I$662=$A10),'Kilter Holds'!V$37:V$662),0)+IFERROR(SUMPRODUCT(('Urban Plastix Holds'!$H$37:$H$705)*('Urban Plastix Holds'!$F$37:$F$705=$A10),'Urban Plastix Holds'!O$37:O$705),0)+IFERROR(SUMPRODUCT(('Kilter Holds'!$L$37:$L$662)*('Kilter Holds'!$K$37:$K$662=$A10),'Kilter Holds'!V$37:V$662),0)</f>
        <v>0</v>
      </c>
      <c r="E10" s="64">
        <f>IFERROR(SUMPRODUCT(('Kilter Holds'!$J$37:$J$662)*('Kilter Holds'!$I$37:$I$662=$A10),'Kilter Holds'!W$37:W$662),0)+IFERROR(SUMPRODUCT(('Urban Plastix Holds'!$H$37:$H$705)*('Urban Plastix Holds'!$F$37:$F$705=$A10),'Urban Plastix Holds'!P$37:P$705),0)+IFERROR(SUMPRODUCT(('Kilter Holds'!$L$37:$L$662)*('Kilter Holds'!$K$37:$K$662=$A10),'Kilter Holds'!W$37:W$662),0)</f>
        <v>0</v>
      </c>
      <c r="F10" s="64">
        <f>IFERROR(SUMPRODUCT(('Kilter Holds'!$J$37:$J$662)*('Kilter Holds'!$I$37:$I$662=$A10),'Kilter Holds'!X$37:X$662),0)+IFERROR(SUMPRODUCT(('Urban Plastix Holds'!$H$37:$H$705)*('Urban Plastix Holds'!$F$37:$F$705=$A10),'Urban Plastix Holds'!Q$37:Q$705),0)+IFERROR(SUMPRODUCT(('Kilter Holds'!$L$37:$L$662)*('Kilter Holds'!$K$37:$K$662=$A10),'Kilter Holds'!X$37:X$662),0)</f>
        <v>0</v>
      </c>
      <c r="G10" s="64">
        <f>IFERROR(SUMPRODUCT(('Kilter Holds'!$J$37:$J$662)*('Kilter Holds'!$I$37:$I$662=$A10),'Kilter Holds'!Y$37:Y$662),0)+IFERROR(SUMPRODUCT(('Urban Plastix Holds'!$H$37:$H$705)*('Urban Plastix Holds'!$F$37:$F$705=$A10),'Urban Plastix Holds'!R$37:R$705),0)+IFERROR(SUMPRODUCT(('Kilter Holds'!$L$37:$L$662)*('Kilter Holds'!$K$37:$K$662=$A10),'Kilter Holds'!Y$37:Y$662),0)</f>
        <v>0</v>
      </c>
      <c r="H10" s="64">
        <f>IFERROR(SUMPRODUCT(('Kilter Holds'!$J$37:$J$662)*('Kilter Holds'!$I$37:$I$662=$A10),'Kilter Holds'!Z$37:Z$662),0)+IFERROR(SUMPRODUCT(('Urban Plastix Holds'!$H$37:$H$705)*('Urban Plastix Holds'!$F$37:$F$705=$A10),'Urban Plastix Holds'!S$37:S$705),0)+IFERROR(SUMPRODUCT(('Kilter Holds'!$L$37:$L$662)*('Kilter Holds'!$K$37:$K$662=$A10),'Kilter Holds'!Z$37:Z$662),0)</f>
        <v>0</v>
      </c>
      <c r="I10" s="64">
        <f>IFERROR(SUMPRODUCT(('Kilter Holds'!$J$37:$J$662)*('Kilter Holds'!$I$37:$I$662=$A10),'Kilter Holds'!AA$37:AA$662),0)+IFERROR(SUMPRODUCT(('Urban Plastix Holds'!$H$37:$H$705)*('Urban Plastix Holds'!$F$37:$F$705=$A10),'Urban Plastix Holds'!T$37:T$705),0)+IFERROR(SUMPRODUCT(('Kilter Holds'!$L$37:$L$662)*('Kilter Holds'!$K$37:$K$662=$A10),'Kilter Holds'!AA$37:AA$662),0)</f>
        <v>0</v>
      </c>
      <c r="J10" s="65">
        <f>IFERROR(SUMPRODUCT(('Kilter Holds'!$J$37:$J$662)*('Kilter Holds'!$I$37:$I$662=$A10),'Kilter Holds'!AB$37:AB$662),0)+IFERROR(SUMPRODUCT(('Urban Plastix Holds'!$H$37:$H$705)*('Urban Plastix Holds'!$F$37:$F$705=$A10),'Urban Plastix Holds'!U$37:U$705),0)+IFERROR(SUMPRODUCT(('Kilter Holds'!$L$37:$L$662)*('Kilter Holds'!$K$37:$K$662=$A10),'Kilter Holds'!AB$37:AB$662),0)</f>
        <v>0</v>
      </c>
      <c r="K10" s="66">
        <f t="shared" si="0"/>
        <v>0</v>
      </c>
      <c r="L10" s="67">
        <f t="shared" si="1"/>
        <v>0</v>
      </c>
      <c r="M10" s="464"/>
      <c r="N10" s="1"/>
      <c r="O10" s="1"/>
      <c r="P10" s="1"/>
      <c r="Q10" s="1"/>
      <c r="R10" s="1"/>
      <c r="S10" s="1"/>
      <c r="T10" s="1"/>
      <c r="U10" s="1"/>
      <c r="V10" s="1"/>
      <c r="W10" s="1"/>
      <c r="X10" s="1"/>
      <c r="Y10" s="1"/>
      <c r="Z10" s="1"/>
      <c r="AA10" s="1"/>
    </row>
    <row r="11" spans="1:27" ht="13">
      <c r="A11" s="62" t="s">
        <v>35</v>
      </c>
      <c r="B11" s="63">
        <f>IFERROR(SUMPRODUCT(('Kilter Holds'!$J$37:$J$662)*('Kilter Holds'!$I$37:$I$662=$A11),'Kilter Holds'!T$37:T$662),0)+IFERROR(SUMPRODUCT(('Urban Plastix Holds'!$H$37:$H$705)*('Urban Plastix Holds'!$F$37:$F$705=$A11),'Urban Plastix Holds'!M$37:M$705),0)+IFERROR(SUMPRODUCT(('Kilter Holds'!$L$37:$L$662)*('Kilter Holds'!$K$37:$K$662=$A11),'Kilter Holds'!T$37:T$662),0)</f>
        <v>0</v>
      </c>
      <c r="C11" s="64">
        <f>IFERROR(SUMPRODUCT(('Kilter Holds'!$J$37:$J$662)*('Kilter Holds'!$I$37:$I$662=$A11),'Kilter Holds'!U$37:U$662),0)+IFERROR(SUMPRODUCT(('Urban Plastix Holds'!$H$37:$H$705)*('Urban Plastix Holds'!$F$37:$F$705=$A11),'Urban Plastix Holds'!N$37:N$705),0)+IFERROR(SUMPRODUCT(('Kilter Holds'!$L$37:$L$662)*('Kilter Holds'!$K$37:$K$662=$A11),'Kilter Holds'!U$37:U$662),0)</f>
        <v>0</v>
      </c>
      <c r="D11" s="64">
        <f>IFERROR(SUMPRODUCT(('Kilter Holds'!$J$37:$J$662)*('Kilter Holds'!$I$37:$I$662=$A11),'Kilter Holds'!V$37:V$662),0)+IFERROR(SUMPRODUCT(('Urban Plastix Holds'!$H$37:$H$705)*('Urban Plastix Holds'!$F$37:$F$705=$A11),'Urban Plastix Holds'!O$37:O$705),0)+IFERROR(SUMPRODUCT(('Kilter Holds'!$L$37:$L$662)*('Kilter Holds'!$K$37:$K$662=$A11),'Kilter Holds'!V$37:V$662),0)</f>
        <v>0</v>
      </c>
      <c r="E11" s="64">
        <f>IFERROR(SUMPRODUCT(('Kilter Holds'!$J$37:$J$662)*('Kilter Holds'!$I$37:$I$662=$A11),'Kilter Holds'!W$37:W$662),0)+IFERROR(SUMPRODUCT(('Urban Plastix Holds'!$H$37:$H$705)*('Urban Plastix Holds'!$F$37:$F$705=$A11),'Urban Plastix Holds'!P$37:P$705),0)+IFERROR(SUMPRODUCT(('Kilter Holds'!$L$37:$L$662)*('Kilter Holds'!$K$37:$K$662=$A11),'Kilter Holds'!W$37:W$662),0)</f>
        <v>0</v>
      </c>
      <c r="F11" s="64">
        <f>IFERROR(SUMPRODUCT(('Kilter Holds'!$J$37:$J$662)*('Kilter Holds'!$I$37:$I$662=$A11),'Kilter Holds'!X$37:X$662),0)+IFERROR(SUMPRODUCT(('Urban Plastix Holds'!$H$37:$H$705)*('Urban Plastix Holds'!$F$37:$F$705=$A11),'Urban Plastix Holds'!Q$37:Q$705),0)+IFERROR(SUMPRODUCT(('Kilter Holds'!$L$37:$L$662)*('Kilter Holds'!$K$37:$K$662=$A11),'Kilter Holds'!X$37:X$662),0)</f>
        <v>0</v>
      </c>
      <c r="G11" s="64">
        <f>IFERROR(SUMPRODUCT(('Kilter Holds'!$J$37:$J$662)*('Kilter Holds'!$I$37:$I$662=$A11),'Kilter Holds'!Y$37:Y$662),0)+IFERROR(SUMPRODUCT(('Urban Plastix Holds'!$H$37:$H$705)*('Urban Plastix Holds'!$F$37:$F$705=$A11),'Urban Plastix Holds'!R$37:R$705),0)+IFERROR(SUMPRODUCT(('Kilter Holds'!$L$37:$L$662)*('Kilter Holds'!$K$37:$K$662=$A11),'Kilter Holds'!Y$37:Y$662),0)</f>
        <v>0</v>
      </c>
      <c r="H11" s="64">
        <f>IFERROR(SUMPRODUCT(('Kilter Holds'!$J$37:$J$662)*('Kilter Holds'!$I$37:$I$662=$A11),'Kilter Holds'!Z$37:Z$662),0)+IFERROR(SUMPRODUCT(('Urban Plastix Holds'!$H$37:$H$705)*('Urban Plastix Holds'!$F$37:$F$705=$A11),'Urban Plastix Holds'!S$37:S$705),0)+IFERROR(SUMPRODUCT(('Kilter Holds'!$L$37:$L$662)*('Kilter Holds'!$K$37:$K$662=$A11),'Kilter Holds'!Z$37:Z$662),0)</f>
        <v>0</v>
      </c>
      <c r="I11" s="64">
        <f>IFERROR(SUMPRODUCT(('Kilter Holds'!$J$37:$J$662)*('Kilter Holds'!$I$37:$I$662=$A11),'Kilter Holds'!AA$37:AA$662),0)+IFERROR(SUMPRODUCT(('Urban Plastix Holds'!$H$37:$H$705)*('Urban Plastix Holds'!$F$37:$F$705=$A11),'Urban Plastix Holds'!T$37:T$705),0)+IFERROR(SUMPRODUCT(('Kilter Holds'!$L$37:$L$662)*('Kilter Holds'!$K$37:$K$662=$A11),'Kilter Holds'!AA$37:AA$662),0)</f>
        <v>0</v>
      </c>
      <c r="J11" s="65">
        <f>IFERROR(SUMPRODUCT(('Kilter Holds'!$J$37:$J$662)*('Kilter Holds'!$I$37:$I$662=$A11),'Kilter Holds'!AB$37:AB$662),0)+IFERROR(SUMPRODUCT(('Urban Plastix Holds'!$H$37:$H$705)*('Urban Plastix Holds'!$F$37:$F$705=$A11),'Urban Plastix Holds'!U$37:U$705),0)+IFERROR(SUMPRODUCT(('Kilter Holds'!$L$37:$L$662)*('Kilter Holds'!$K$37:$K$662=$A11),'Kilter Holds'!AB$37:AB$662),0)</f>
        <v>0</v>
      </c>
      <c r="K11" s="66">
        <f t="shared" si="0"/>
        <v>0</v>
      </c>
      <c r="L11" s="67">
        <f t="shared" si="1"/>
        <v>0</v>
      </c>
      <c r="M11" s="464"/>
      <c r="N11" s="1"/>
      <c r="O11" s="1"/>
      <c r="P11" s="1"/>
      <c r="Q11" s="1"/>
      <c r="R11" s="1"/>
      <c r="S11" s="1"/>
      <c r="T11" s="1"/>
      <c r="U11" s="1"/>
      <c r="V11" s="1"/>
      <c r="W11" s="1"/>
      <c r="X11" s="1"/>
      <c r="Y11" s="1"/>
      <c r="Z11" s="1"/>
      <c r="AA11" s="1"/>
    </row>
    <row r="12" spans="1:27" ht="13">
      <c r="A12" s="62" t="s">
        <v>36</v>
      </c>
      <c r="B12" s="63">
        <f>IFERROR(SUMPRODUCT(('Kilter Holds'!$J$37:$J$662)*('Kilter Holds'!$I$37:$I$662=$A12),'Kilter Holds'!T$37:T$662),0)+IFERROR(SUMPRODUCT(('Urban Plastix Holds'!$H$37:$H$705)*('Urban Plastix Holds'!$F$37:$F$705=$A12),'Urban Plastix Holds'!M$37:M$705),0)+IFERROR(SUMPRODUCT(('Kilter Holds'!$L$37:$L$662)*('Kilter Holds'!$K$37:$K$662=$A12),'Kilter Holds'!T$37:T$662),0)</f>
        <v>0</v>
      </c>
      <c r="C12" s="64">
        <f>IFERROR(SUMPRODUCT(('Kilter Holds'!$J$37:$J$662)*('Kilter Holds'!$I$37:$I$662=$A12),'Kilter Holds'!U$37:U$662),0)+IFERROR(SUMPRODUCT(('Urban Plastix Holds'!$H$37:$H$705)*('Urban Plastix Holds'!$F$37:$F$705=$A12),'Urban Plastix Holds'!N$37:N$705),0)+IFERROR(SUMPRODUCT(('Kilter Holds'!$L$37:$L$662)*('Kilter Holds'!$K$37:$K$662=$A12),'Kilter Holds'!U$37:U$662),0)</f>
        <v>0</v>
      </c>
      <c r="D12" s="64">
        <f>IFERROR(SUMPRODUCT(('Kilter Holds'!$J$37:$J$662)*('Kilter Holds'!$I$37:$I$662=$A12),'Kilter Holds'!V$37:V$662),0)+IFERROR(SUMPRODUCT(('Urban Plastix Holds'!$H$37:$H$705)*('Urban Plastix Holds'!$F$37:$F$705=$A12),'Urban Plastix Holds'!O$37:O$705),0)+IFERROR(SUMPRODUCT(('Kilter Holds'!$L$37:$L$662)*('Kilter Holds'!$K$37:$K$662=$A12),'Kilter Holds'!V$37:V$662),0)</f>
        <v>0</v>
      </c>
      <c r="E12" s="64">
        <f>IFERROR(SUMPRODUCT(('Kilter Holds'!$J$37:$J$662)*('Kilter Holds'!$I$37:$I$662=$A12),'Kilter Holds'!W$37:W$662),0)+IFERROR(SUMPRODUCT(('Urban Plastix Holds'!$H$37:$H$705)*('Urban Plastix Holds'!$F$37:$F$705=$A12),'Urban Plastix Holds'!P$37:P$705),0)+IFERROR(SUMPRODUCT(('Kilter Holds'!$L$37:$L$662)*('Kilter Holds'!$K$37:$K$662=$A12),'Kilter Holds'!W$37:W$662),0)</f>
        <v>0</v>
      </c>
      <c r="F12" s="64">
        <f>IFERROR(SUMPRODUCT(('Kilter Holds'!$J$37:$J$662)*('Kilter Holds'!$I$37:$I$662=$A12),'Kilter Holds'!X$37:X$662),0)+IFERROR(SUMPRODUCT(('Urban Plastix Holds'!$H$37:$H$705)*('Urban Plastix Holds'!$F$37:$F$705=$A12),'Urban Plastix Holds'!Q$37:Q$705),0)+IFERROR(SUMPRODUCT(('Kilter Holds'!$L$37:$L$662)*('Kilter Holds'!$K$37:$K$662=$A12),'Kilter Holds'!X$37:X$662),0)</f>
        <v>0</v>
      </c>
      <c r="G12" s="64">
        <f>IFERROR(SUMPRODUCT(('Kilter Holds'!$J$37:$J$662)*('Kilter Holds'!$I$37:$I$662=$A12),'Kilter Holds'!Y$37:Y$662),0)+IFERROR(SUMPRODUCT(('Urban Plastix Holds'!$H$37:$H$705)*('Urban Plastix Holds'!$F$37:$F$705=$A12),'Urban Plastix Holds'!R$37:R$705),0)+IFERROR(SUMPRODUCT(('Kilter Holds'!$L$37:$L$662)*('Kilter Holds'!$K$37:$K$662=$A12),'Kilter Holds'!Y$37:Y$662),0)</f>
        <v>0</v>
      </c>
      <c r="H12" s="64">
        <f>IFERROR(SUMPRODUCT(('Kilter Holds'!$J$37:$J$662)*('Kilter Holds'!$I$37:$I$662=$A12),'Kilter Holds'!Z$37:Z$662),0)+IFERROR(SUMPRODUCT(('Urban Plastix Holds'!$H$37:$H$705)*('Urban Plastix Holds'!$F$37:$F$705=$A12),'Urban Plastix Holds'!S$37:S$705),0)+IFERROR(SUMPRODUCT(('Kilter Holds'!$L$37:$L$662)*('Kilter Holds'!$K$37:$K$662=$A12),'Kilter Holds'!Z$37:Z$662),0)</f>
        <v>0</v>
      </c>
      <c r="I12" s="64">
        <f>IFERROR(SUMPRODUCT(('Kilter Holds'!$J$37:$J$662)*('Kilter Holds'!$I$37:$I$662=$A12),'Kilter Holds'!AA$37:AA$662),0)+IFERROR(SUMPRODUCT(('Urban Plastix Holds'!$H$37:$H$705)*('Urban Plastix Holds'!$F$37:$F$705=$A12),'Urban Plastix Holds'!T$37:T$705),0)+IFERROR(SUMPRODUCT(('Kilter Holds'!$L$37:$L$662)*('Kilter Holds'!$K$37:$K$662=$A12),'Kilter Holds'!AA$37:AA$662),0)</f>
        <v>0</v>
      </c>
      <c r="J12" s="65">
        <f>IFERROR(SUMPRODUCT(('Kilter Holds'!$J$37:$J$662)*('Kilter Holds'!$I$37:$I$662=$A12),'Kilter Holds'!AB$37:AB$662),0)+IFERROR(SUMPRODUCT(('Urban Plastix Holds'!$H$37:$H$705)*('Urban Plastix Holds'!$F$37:$F$705=$A12),'Urban Plastix Holds'!U$37:U$705),0)+IFERROR(SUMPRODUCT(('Kilter Holds'!$L$37:$L$662)*('Kilter Holds'!$K$37:$K$662=$A12),'Kilter Holds'!AB$37:AB$662),0)</f>
        <v>0</v>
      </c>
      <c r="K12" s="66">
        <f t="shared" si="0"/>
        <v>0</v>
      </c>
      <c r="L12" s="67">
        <f t="shared" si="1"/>
        <v>0</v>
      </c>
      <c r="M12" s="464"/>
      <c r="N12" s="1"/>
      <c r="O12" s="1"/>
      <c r="P12" s="1"/>
      <c r="Q12" s="1"/>
      <c r="R12" s="1"/>
      <c r="S12" s="1"/>
      <c r="T12" s="1"/>
      <c r="U12" s="1"/>
      <c r="V12" s="1"/>
      <c r="W12" s="1"/>
      <c r="X12" s="1"/>
      <c r="Y12" s="1"/>
      <c r="Z12" s="1"/>
      <c r="AA12" s="1"/>
    </row>
    <row r="13" spans="1:27" ht="13">
      <c r="A13" s="62" t="s">
        <v>37</v>
      </c>
      <c r="B13" s="63">
        <f>IFERROR(SUMPRODUCT(('Kilter Holds'!$J$37:$J$662)*('Kilter Holds'!$I$37:$I$662=$A13),'Kilter Holds'!T$37:T$662),0)+IFERROR(SUMPRODUCT(('Urban Plastix Holds'!$H$37:$H$705)*('Urban Plastix Holds'!$F$37:$F$705=$A13),'Urban Plastix Holds'!M$37:M$705),0)+IFERROR(SUMPRODUCT(('Kilter Holds'!$L$37:$L$662)*('Kilter Holds'!$K$37:$K$662=$A13),'Kilter Holds'!T$37:T$662),0)</f>
        <v>0</v>
      </c>
      <c r="C13" s="64">
        <f>IFERROR(SUMPRODUCT(('Kilter Holds'!$J$37:$J$662)*('Kilter Holds'!$I$37:$I$662=$A13),'Kilter Holds'!U$37:U$662),0)+IFERROR(SUMPRODUCT(('Urban Plastix Holds'!$H$37:$H$705)*('Urban Plastix Holds'!$F$37:$F$705=$A13),'Urban Plastix Holds'!N$37:N$705),0)+IFERROR(SUMPRODUCT(('Kilter Holds'!$L$37:$L$662)*('Kilter Holds'!$K$37:$K$662=$A13),'Kilter Holds'!U$37:U$662),0)</f>
        <v>0</v>
      </c>
      <c r="D13" s="64">
        <f>IFERROR(SUMPRODUCT(('Kilter Holds'!$J$37:$J$662)*('Kilter Holds'!$I$37:$I$662=$A13),'Kilter Holds'!V$37:V$662),0)+IFERROR(SUMPRODUCT(('Urban Plastix Holds'!$H$37:$H$705)*('Urban Plastix Holds'!$F$37:$F$705=$A13),'Urban Plastix Holds'!O$37:O$705),0)+IFERROR(SUMPRODUCT(('Kilter Holds'!$L$37:$L$662)*('Kilter Holds'!$K$37:$K$662=$A13),'Kilter Holds'!V$37:V$662),0)</f>
        <v>0</v>
      </c>
      <c r="E13" s="64">
        <f>IFERROR(SUMPRODUCT(('Kilter Holds'!$J$37:$J$662)*('Kilter Holds'!$I$37:$I$662=$A13),'Kilter Holds'!W$37:W$662),0)+IFERROR(SUMPRODUCT(('Urban Plastix Holds'!$H$37:$H$705)*('Urban Plastix Holds'!$F$37:$F$705=$A13),'Urban Plastix Holds'!P$37:P$705),0)+IFERROR(SUMPRODUCT(('Kilter Holds'!$L$37:$L$662)*('Kilter Holds'!$K$37:$K$662=$A13),'Kilter Holds'!W$37:W$662),0)</f>
        <v>0</v>
      </c>
      <c r="F13" s="64">
        <f>IFERROR(SUMPRODUCT(('Kilter Holds'!$J$37:$J$662)*('Kilter Holds'!$I$37:$I$662=$A13),'Kilter Holds'!X$37:X$662),0)+IFERROR(SUMPRODUCT(('Urban Plastix Holds'!$H$37:$H$705)*('Urban Plastix Holds'!$F$37:$F$705=$A13),'Urban Plastix Holds'!Q$37:Q$705),0)+IFERROR(SUMPRODUCT(('Kilter Holds'!$L$37:$L$662)*('Kilter Holds'!$K$37:$K$662=$A13),'Kilter Holds'!X$37:X$662),0)</f>
        <v>0</v>
      </c>
      <c r="G13" s="64">
        <f>IFERROR(SUMPRODUCT(('Kilter Holds'!$J$37:$J$662)*('Kilter Holds'!$I$37:$I$662=$A13),'Kilter Holds'!Y$37:Y$662),0)+IFERROR(SUMPRODUCT(('Urban Plastix Holds'!$H$37:$H$705)*('Urban Plastix Holds'!$F$37:$F$705=$A13),'Urban Plastix Holds'!R$37:R$705),0)+IFERROR(SUMPRODUCT(('Kilter Holds'!$L$37:$L$662)*('Kilter Holds'!$K$37:$K$662=$A13),'Kilter Holds'!Y$37:Y$662),0)</f>
        <v>0</v>
      </c>
      <c r="H13" s="64">
        <f>IFERROR(SUMPRODUCT(('Kilter Holds'!$J$37:$J$662)*('Kilter Holds'!$I$37:$I$662=$A13),'Kilter Holds'!Z$37:Z$662),0)+IFERROR(SUMPRODUCT(('Urban Plastix Holds'!$H$37:$H$705)*('Urban Plastix Holds'!$F$37:$F$705=$A13),'Urban Plastix Holds'!S$37:S$705),0)+IFERROR(SUMPRODUCT(('Kilter Holds'!$L$37:$L$662)*('Kilter Holds'!$K$37:$K$662=$A13),'Kilter Holds'!Z$37:Z$662),0)</f>
        <v>0</v>
      </c>
      <c r="I13" s="64">
        <f>IFERROR(SUMPRODUCT(('Kilter Holds'!$J$37:$J$662)*('Kilter Holds'!$I$37:$I$662=$A13),'Kilter Holds'!AA$37:AA$662),0)+IFERROR(SUMPRODUCT(('Urban Plastix Holds'!$H$37:$H$705)*('Urban Plastix Holds'!$F$37:$F$705=$A13),'Urban Plastix Holds'!T$37:T$705),0)+IFERROR(SUMPRODUCT(('Kilter Holds'!$L$37:$L$662)*('Kilter Holds'!$K$37:$K$662=$A13),'Kilter Holds'!AA$37:AA$662),0)</f>
        <v>0</v>
      </c>
      <c r="J13" s="65">
        <f>IFERROR(SUMPRODUCT(('Kilter Holds'!$J$37:$J$662)*('Kilter Holds'!$I$37:$I$662=$A13),'Kilter Holds'!AB$37:AB$662),0)+IFERROR(SUMPRODUCT(('Urban Plastix Holds'!$H$37:$H$705)*('Urban Plastix Holds'!$F$37:$F$705=$A13),'Urban Plastix Holds'!U$37:U$705),0)+IFERROR(SUMPRODUCT(('Kilter Holds'!$L$37:$L$662)*('Kilter Holds'!$K$37:$K$662=$A13),'Kilter Holds'!AB$37:AB$662),0)</f>
        <v>0</v>
      </c>
      <c r="K13" s="66">
        <f t="shared" si="0"/>
        <v>0</v>
      </c>
      <c r="L13" s="67">
        <f t="shared" si="1"/>
        <v>0</v>
      </c>
      <c r="M13" s="464"/>
      <c r="N13" s="1"/>
      <c r="O13" s="1"/>
      <c r="P13" s="1"/>
      <c r="Q13" s="1"/>
      <c r="R13" s="1"/>
      <c r="S13" s="1"/>
      <c r="T13" s="1"/>
      <c r="U13" s="1"/>
      <c r="V13" s="1"/>
      <c r="W13" s="1"/>
      <c r="X13" s="1"/>
      <c r="Y13" s="1"/>
      <c r="Z13" s="1"/>
      <c r="AA13" s="1"/>
    </row>
    <row r="14" spans="1:27" ht="13">
      <c r="A14" s="68" t="s">
        <v>38</v>
      </c>
      <c r="B14" s="69">
        <f>IFERROR(SUMPRODUCT(('Kilter Holds'!$J$37:$J$662)*('Kilter Holds'!$I$37:$I$662=$A14),'Kilter Holds'!T$37:T$662),0)+IFERROR(SUMPRODUCT(('Urban Plastix Holds'!$H$37:$H$705)*('Urban Plastix Holds'!$F$37:$F$705=$A14),'Urban Plastix Holds'!M$37:M$705),0)+IFERROR(SUMPRODUCT(('Kilter Holds'!$L$37:$L$662)*('Kilter Holds'!$K$37:$K$662=$A14),'Kilter Holds'!T$37:T$662),0)</f>
        <v>0</v>
      </c>
      <c r="C14" s="70">
        <f>IFERROR(SUMPRODUCT(('Kilter Holds'!$J$37:$J$662)*('Kilter Holds'!$I$37:$I$662=$A14),'Kilter Holds'!U$37:U$662),0)+IFERROR(SUMPRODUCT(('Urban Plastix Holds'!$H$37:$H$705)*('Urban Plastix Holds'!$F$37:$F$705=$A14),'Urban Plastix Holds'!N$37:N$705),0)+IFERROR(SUMPRODUCT(('Kilter Holds'!$L$37:$L$662)*('Kilter Holds'!$K$37:$K$662=$A14),'Kilter Holds'!U$37:U$662),0)</f>
        <v>0</v>
      </c>
      <c r="D14" s="70">
        <f>IFERROR(SUMPRODUCT(('Kilter Holds'!$J$37:$J$662)*('Kilter Holds'!$I$37:$I$662=$A14),'Kilter Holds'!V$37:V$662),0)+IFERROR(SUMPRODUCT(('Urban Plastix Holds'!$H$37:$H$705)*('Urban Plastix Holds'!$F$37:$F$705=$A14),'Urban Plastix Holds'!O$37:O$705),0)+IFERROR(SUMPRODUCT(('Kilter Holds'!$L$37:$L$662)*('Kilter Holds'!$K$37:$K$662=$A14),'Kilter Holds'!V$37:V$662),0)</f>
        <v>0</v>
      </c>
      <c r="E14" s="70">
        <f>IFERROR(SUMPRODUCT(('Kilter Holds'!$J$37:$J$662)*('Kilter Holds'!$I$37:$I$662=$A14),'Kilter Holds'!W$37:W$662),0)+IFERROR(SUMPRODUCT(('Urban Plastix Holds'!$H$37:$H$705)*('Urban Plastix Holds'!$F$37:$F$705=$A14),'Urban Plastix Holds'!P$37:P$705),0)+IFERROR(SUMPRODUCT(('Kilter Holds'!$L$37:$L$662)*('Kilter Holds'!$K$37:$K$662=$A14),'Kilter Holds'!W$37:W$662),0)</f>
        <v>0</v>
      </c>
      <c r="F14" s="70">
        <f>IFERROR(SUMPRODUCT(('Kilter Holds'!$J$37:$J$662)*('Kilter Holds'!$I$37:$I$662=$A14),'Kilter Holds'!X$37:X$662),0)+IFERROR(SUMPRODUCT(('Urban Plastix Holds'!$H$37:$H$705)*('Urban Plastix Holds'!$F$37:$F$705=$A14),'Urban Plastix Holds'!Q$37:Q$705),0)+IFERROR(SUMPRODUCT(('Kilter Holds'!$L$37:$L$662)*('Kilter Holds'!$K$37:$K$662=$A14),'Kilter Holds'!X$37:X$662),0)</f>
        <v>0</v>
      </c>
      <c r="G14" s="70">
        <f>IFERROR(SUMPRODUCT(('Kilter Holds'!$J$37:$J$662)*('Kilter Holds'!$I$37:$I$662=$A14),'Kilter Holds'!Y$37:Y$662),0)+IFERROR(SUMPRODUCT(('Urban Plastix Holds'!$H$37:$H$705)*('Urban Plastix Holds'!$F$37:$F$705=$A14),'Urban Plastix Holds'!R$37:R$705),0)+IFERROR(SUMPRODUCT(('Kilter Holds'!$L$37:$L$662)*('Kilter Holds'!$K$37:$K$662=$A14),'Kilter Holds'!Y$37:Y$662),0)</f>
        <v>0</v>
      </c>
      <c r="H14" s="70">
        <f>IFERROR(SUMPRODUCT(('Kilter Holds'!$J$37:$J$662)*('Kilter Holds'!$I$37:$I$662=$A14),'Kilter Holds'!Z$37:Z$662),0)+IFERROR(SUMPRODUCT(('Urban Plastix Holds'!$H$37:$H$705)*('Urban Plastix Holds'!$F$37:$F$705=$A14),'Urban Plastix Holds'!S$37:S$705),0)+IFERROR(SUMPRODUCT(('Kilter Holds'!$L$37:$L$662)*('Kilter Holds'!$K$37:$K$662=$A14),'Kilter Holds'!Z$37:Z$662),0)</f>
        <v>0</v>
      </c>
      <c r="I14" s="70">
        <f>IFERROR(SUMPRODUCT(('Kilter Holds'!$J$37:$J$662)*('Kilter Holds'!$I$37:$I$662=$A14),'Kilter Holds'!AA$37:AA$662),0)+IFERROR(SUMPRODUCT(('Urban Plastix Holds'!$H$37:$H$705)*('Urban Plastix Holds'!$F$37:$F$705=$A14),'Urban Plastix Holds'!T$37:T$705),0)+IFERROR(SUMPRODUCT(('Kilter Holds'!$L$37:$L$662)*('Kilter Holds'!$K$37:$K$662=$A14),'Kilter Holds'!AA$37:AA$662),0)</f>
        <v>0</v>
      </c>
      <c r="J14" s="71">
        <f>IFERROR(SUMPRODUCT(('Kilter Holds'!$J$37:$J$662)*('Kilter Holds'!$I$37:$I$662=$A14),'Kilter Holds'!AB$37:AB$662),0)+IFERROR(SUMPRODUCT(('Urban Plastix Holds'!$H$37:$H$705)*('Urban Plastix Holds'!$F$37:$F$705=$A14),'Urban Plastix Holds'!U$37:U$705),0)+IFERROR(SUMPRODUCT(('Kilter Holds'!$L$37:$L$662)*('Kilter Holds'!$K$37:$K$662=$A14),'Kilter Holds'!AB$37:AB$662),0)</f>
        <v>0</v>
      </c>
      <c r="K14" s="72">
        <f t="shared" si="0"/>
        <v>0</v>
      </c>
      <c r="L14" s="67">
        <f t="shared" si="1"/>
        <v>0</v>
      </c>
      <c r="M14" s="465"/>
      <c r="N14" s="1"/>
      <c r="O14" s="1"/>
      <c r="P14" s="1"/>
      <c r="Q14" s="1"/>
      <c r="R14" s="1"/>
      <c r="S14" s="1"/>
      <c r="T14" s="1"/>
      <c r="U14" s="1"/>
      <c r="V14" s="1"/>
      <c r="W14" s="1"/>
      <c r="X14" s="1"/>
      <c r="Y14" s="1"/>
      <c r="Z14" s="1"/>
      <c r="AA14" s="1"/>
    </row>
    <row r="15" spans="1:27" ht="13">
      <c r="A15" s="74" t="s">
        <v>39</v>
      </c>
      <c r="B15" s="75">
        <f>IFERROR(SUMPRODUCT(('Kilter Holds'!$J$37:$J$662)*('Kilter Holds'!$I$37:$I$662=$A15),'Kilter Holds'!T$37:T$662),0)+IFERROR(SUMPRODUCT(('Urban Plastix Holds'!$H$37:$H$705)*('Urban Plastix Holds'!$F$37:$F$705=$A15),'Urban Plastix Holds'!M$37:M$705),0)+IFERROR(SUMPRODUCT(('Kilter Holds'!$L$37:$L$662)*('Kilter Holds'!$K$37:$K$662=$A15),'Kilter Holds'!T$37:T$662),0)</f>
        <v>0</v>
      </c>
      <c r="C15" s="76">
        <f>IFERROR(SUMPRODUCT(('Kilter Holds'!$J$37:$J$662)*('Kilter Holds'!$I$37:$I$662=$A15),'Kilter Holds'!U$37:U$662),0)+IFERROR(SUMPRODUCT(('Urban Plastix Holds'!$H$37:$H$705)*('Urban Plastix Holds'!$F$37:$F$705=$A15),'Urban Plastix Holds'!N$37:N$705),0)+IFERROR(SUMPRODUCT(('Kilter Holds'!$L$37:$L$662)*('Kilter Holds'!$K$37:$K$662=$A15),'Kilter Holds'!U$37:U$662),0)</f>
        <v>0</v>
      </c>
      <c r="D15" s="76">
        <f>IFERROR(SUMPRODUCT(('Kilter Holds'!$J$37:$J$662)*('Kilter Holds'!$I$37:$I$662=$A15),'Kilter Holds'!V$37:V$662),0)+IFERROR(SUMPRODUCT(('Urban Plastix Holds'!$H$37:$H$705)*('Urban Plastix Holds'!$F$37:$F$705=$A15),'Urban Plastix Holds'!O$37:O$705),0)+IFERROR(SUMPRODUCT(('Kilter Holds'!$L$37:$L$662)*('Kilter Holds'!$K$37:$K$662=$A15),'Kilter Holds'!V$37:V$662),0)</f>
        <v>0</v>
      </c>
      <c r="E15" s="76">
        <f>IFERROR(SUMPRODUCT(('Kilter Holds'!$J$37:$J$662)*('Kilter Holds'!$I$37:$I$662=$A15),'Kilter Holds'!W$37:W$662),0)+IFERROR(SUMPRODUCT(('Urban Plastix Holds'!$H$37:$H$705)*('Urban Plastix Holds'!$F$37:$F$705=$A15),'Urban Plastix Holds'!P$37:P$705),0)+IFERROR(SUMPRODUCT(('Kilter Holds'!$L$37:$L$662)*('Kilter Holds'!$K$37:$K$662=$A15),'Kilter Holds'!W$37:W$662),0)</f>
        <v>0</v>
      </c>
      <c r="F15" s="76">
        <f>IFERROR(SUMPRODUCT(('Kilter Holds'!$J$37:$J$662)*('Kilter Holds'!$I$37:$I$662=$A15),'Kilter Holds'!X$37:X$662),0)+IFERROR(SUMPRODUCT(('Urban Plastix Holds'!$H$37:$H$705)*('Urban Plastix Holds'!$F$37:$F$705=$A15),'Urban Plastix Holds'!Q$37:Q$705),0)+IFERROR(SUMPRODUCT(('Kilter Holds'!$L$37:$L$662)*('Kilter Holds'!$K$37:$K$662=$A15),'Kilter Holds'!X$37:X$662),0)</f>
        <v>0</v>
      </c>
      <c r="G15" s="76">
        <f>IFERROR(SUMPRODUCT(('Kilter Holds'!$J$37:$J$662)*('Kilter Holds'!$I$37:$I$662=$A15),'Kilter Holds'!Y$37:Y$662),0)+IFERROR(SUMPRODUCT(('Urban Plastix Holds'!$H$37:$H$705)*('Urban Plastix Holds'!$F$37:$F$705=$A15),'Urban Plastix Holds'!R$37:R$705),0)+IFERROR(SUMPRODUCT(('Kilter Holds'!$L$37:$L$662)*('Kilter Holds'!$K$37:$K$662=$A15),'Kilter Holds'!Y$37:Y$662),0)</f>
        <v>0</v>
      </c>
      <c r="H15" s="76">
        <f>IFERROR(SUMPRODUCT(('Kilter Holds'!$J$37:$J$662)*('Kilter Holds'!$I$37:$I$662=$A15),'Kilter Holds'!Z$37:Z$662),0)+IFERROR(SUMPRODUCT(('Urban Plastix Holds'!$H$37:$H$705)*('Urban Plastix Holds'!$F$37:$F$705=$A15),'Urban Plastix Holds'!S$37:S$705),0)+IFERROR(SUMPRODUCT(('Kilter Holds'!$L$37:$L$662)*('Kilter Holds'!$K$37:$K$662=$A15),'Kilter Holds'!Z$37:Z$662),0)</f>
        <v>0</v>
      </c>
      <c r="I15" s="76">
        <f>IFERROR(SUMPRODUCT(('Kilter Holds'!$J$37:$J$662)*('Kilter Holds'!$I$37:$I$662=$A15),'Kilter Holds'!AA$37:AA$662),0)+IFERROR(SUMPRODUCT(('Urban Plastix Holds'!$H$37:$H$705)*('Urban Plastix Holds'!$F$37:$F$705=$A15),'Urban Plastix Holds'!T$37:T$705),0)+IFERROR(SUMPRODUCT(('Kilter Holds'!$L$37:$L$662)*('Kilter Holds'!$K$37:$K$662=$A15),'Kilter Holds'!AA$37:AA$662),0)</f>
        <v>0</v>
      </c>
      <c r="J15" s="77">
        <f>IFERROR(SUMPRODUCT(('Kilter Holds'!$J$37:$J$662)*('Kilter Holds'!$I$37:$I$662=$A15),'Kilter Holds'!AB$37:AB$662),0)+IFERROR(SUMPRODUCT(('Urban Plastix Holds'!$H$37:$H$705)*('Urban Plastix Holds'!$F$37:$F$705=$A15),'Urban Plastix Holds'!U$37:U$705),0)+IFERROR(SUMPRODUCT(('Kilter Holds'!$L$37:$L$662)*('Kilter Holds'!$K$37:$K$662=$A15),'Kilter Holds'!AB$37:AB$662),0)</f>
        <v>0</v>
      </c>
      <c r="K15" s="78">
        <f t="shared" si="0"/>
        <v>0</v>
      </c>
      <c r="L15" s="79">
        <f t="shared" si="1"/>
        <v>0</v>
      </c>
      <c r="M15" s="80">
        <f t="shared" ref="M15:M17" si="2">L15</f>
        <v>0</v>
      </c>
      <c r="N15" s="1"/>
      <c r="O15" s="1"/>
      <c r="P15" s="1"/>
      <c r="Q15" s="1"/>
      <c r="R15" s="1"/>
      <c r="S15" s="1"/>
      <c r="T15" s="1"/>
      <c r="U15" s="1"/>
      <c r="V15" s="1"/>
      <c r="W15" s="1"/>
      <c r="X15" s="1"/>
      <c r="Y15" s="1"/>
      <c r="Z15" s="1"/>
      <c r="AA15" s="1"/>
    </row>
    <row r="16" spans="1:27" ht="13">
      <c r="A16" s="74" t="s">
        <v>40</v>
      </c>
      <c r="B16" s="75">
        <f>IFERROR(SUMPRODUCT(('Kilter Holds'!$J$37:$J$662)*('Kilter Holds'!$I$37:$I$662=$A16),'Kilter Holds'!T$37:T$662),0)+IFERROR(SUMPRODUCT(('Urban Plastix Holds'!$H$37:$H$705)*('Urban Plastix Holds'!$F$37:$F$705=$A16),'Urban Plastix Holds'!M$37:M$705),0)+IFERROR(SUMPRODUCT(('Kilter Holds'!$L$37:$L$662)*('Kilter Holds'!$K$37:$K$662=$A16),'Kilter Holds'!T$37:T$662),0)</f>
        <v>0</v>
      </c>
      <c r="C16" s="76">
        <f>IFERROR(SUMPRODUCT(('Kilter Holds'!$J$37:$J$662)*('Kilter Holds'!$I$37:$I$662=$A16),'Kilter Holds'!U$37:U$662),0)+IFERROR(SUMPRODUCT(('Urban Plastix Holds'!$H$37:$H$705)*('Urban Plastix Holds'!$F$37:$F$705=$A16),'Urban Plastix Holds'!N$37:N$705),0)+IFERROR(SUMPRODUCT(('Kilter Holds'!$L$37:$L$662)*('Kilter Holds'!$K$37:$K$662=$A16),'Kilter Holds'!U$37:U$662),0)</f>
        <v>0</v>
      </c>
      <c r="D16" s="76">
        <f>IFERROR(SUMPRODUCT(('Kilter Holds'!$J$37:$J$662)*('Kilter Holds'!$I$37:$I$662=$A16),'Kilter Holds'!V$37:V$662),0)+IFERROR(SUMPRODUCT(('Urban Plastix Holds'!$H$37:$H$705)*('Urban Plastix Holds'!$F$37:$F$705=$A16),'Urban Plastix Holds'!O$37:O$705),0)+IFERROR(SUMPRODUCT(('Kilter Holds'!$L$37:$L$662)*('Kilter Holds'!$K$37:$K$662=$A16),'Kilter Holds'!V$37:V$662),0)</f>
        <v>0</v>
      </c>
      <c r="E16" s="76">
        <f>IFERROR(SUMPRODUCT(('Kilter Holds'!$J$37:$J$662)*('Kilter Holds'!$I$37:$I$662=$A16),'Kilter Holds'!W$37:W$662),0)+IFERROR(SUMPRODUCT(('Urban Plastix Holds'!$H$37:$H$705)*('Urban Plastix Holds'!$F$37:$F$705=$A16),'Urban Plastix Holds'!P$37:P$705),0)+IFERROR(SUMPRODUCT(('Kilter Holds'!$L$37:$L$662)*('Kilter Holds'!$K$37:$K$662=$A16),'Kilter Holds'!W$37:W$662),0)</f>
        <v>0</v>
      </c>
      <c r="F16" s="76">
        <f>IFERROR(SUMPRODUCT(('Kilter Holds'!$J$37:$J$662)*('Kilter Holds'!$I$37:$I$662=$A16),'Kilter Holds'!X$37:X$662),0)+IFERROR(SUMPRODUCT(('Urban Plastix Holds'!$H$37:$H$705)*('Urban Plastix Holds'!$F$37:$F$705=$A16),'Urban Plastix Holds'!Q$37:Q$705),0)+IFERROR(SUMPRODUCT(('Kilter Holds'!$L$37:$L$662)*('Kilter Holds'!$K$37:$K$662=$A16),'Kilter Holds'!X$37:X$662),0)</f>
        <v>0</v>
      </c>
      <c r="G16" s="76">
        <f>IFERROR(SUMPRODUCT(('Kilter Holds'!$J$37:$J$662)*('Kilter Holds'!$I$37:$I$662=$A16),'Kilter Holds'!Y$37:Y$662),0)+IFERROR(SUMPRODUCT(('Urban Plastix Holds'!$H$37:$H$705)*('Urban Plastix Holds'!$F$37:$F$705=$A16),'Urban Plastix Holds'!R$37:R$705),0)+IFERROR(SUMPRODUCT(('Kilter Holds'!$L$37:$L$662)*('Kilter Holds'!$K$37:$K$662=$A16),'Kilter Holds'!Y$37:Y$662),0)</f>
        <v>0</v>
      </c>
      <c r="H16" s="76">
        <f>IFERROR(SUMPRODUCT(('Kilter Holds'!$J$37:$J$662)*('Kilter Holds'!$I$37:$I$662=$A16),'Kilter Holds'!Z$37:Z$662),0)+IFERROR(SUMPRODUCT(('Urban Plastix Holds'!$H$37:$H$705)*('Urban Plastix Holds'!$F$37:$F$705=$A16),'Urban Plastix Holds'!S$37:S$705),0)+IFERROR(SUMPRODUCT(('Kilter Holds'!$L$37:$L$662)*('Kilter Holds'!$K$37:$K$662=$A16),'Kilter Holds'!Z$37:Z$662),0)</f>
        <v>0</v>
      </c>
      <c r="I16" s="76">
        <f>IFERROR(SUMPRODUCT(('Kilter Holds'!$J$37:$J$662)*('Kilter Holds'!$I$37:$I$662=$A16),'Kilter Holds'!AA$37:AA$662),0)+IFERROR(SUMPRODUCT(('Urban Plastix Holds'!$H$37:$H$705)*('Urban Plastix Holds'!$F$37:$F$705=$A16),'Urban Plastix Holds'!T$37:T$705),0)+IFERROR(SUMPRODUCT(('Kilter Holds'!$L$37:$L$662)*('Kilter Holds'!$K$37:$K$662=$A16),'Kilter Holds'!AA$37:AA$662),0)</f>
        <v>0</v>
      </c>
      <c r="J16" s="77">
        <f>IFERROR(SUMPRODUCT(('Kilter Holds'!$J$37:$J$662)*('Kilter Holds'!$I$37:$I$662=$A16),'Kilter Holds'!AB$37:AB$662),0)+IFERROR(SUMPRODUCT(('Urban Plastix Holds'!$H$37:$H$705)*('Urban Plastix Holds'!$F$37:$F$705=$A16),'Urban Plastix Holds'!U$37:U$705),0)+IFERROR(SUMPRODUCT(('Kilter Holds'!$L$37:$L$662)*('Kilter Holds'!$K$37:$K$662=$A16),'Kilter Holds'!AB$37:AB$662),0)</f>
        <v>0</v>
      </c>
      <c r="K16" s="78">
        <f t="shared" si="0"/>
        <v>0</v>
      </c>
      <c r="L16" s="79">
        <f t="shared" si="1"/>
        <v>0</v>
      </c>
      <c r="M16" s="80">
        <f t="shared" si="2"/>
        <v>0</v>
      </c>
      <c r="N16" s="1"/>
      <c r="O16" s="1"/>
      <c r="P16" s="1"/>
      <c r="Q16" s="1"/>
      <c r="R16" s="1"/>
      <c r="S16" s="1"/>
      <c r="T16" s="1"/>
      <c r="U16" s="1"/>
      <c r="V16" s="1"/>
      <c r="W16" s="1"/>
      <c r="X16" s="1"/>
      <c r="Y16" s="1"/>
      <c r="Z16" s="1"/>
      <c r="AA16" s="1"/>
    </row>
    <row r="17" spans="1:27" ht="13">
      <c r="A17" s="74" t="s">
        <v>41</v>
      </c>
      <c r="B17" s="75">
        <f>IFERROR(SUMPRODUCT(('Kilter Holds'!$J$37:$J$662)*('Kilter Holds'!$I$37:$I$662=$A17),'Kilter Holds'!T$37:T$662),0)+IFERROR(SUMPRODUCT(('Urban Plastix Holds'!$H$37:$H$705)*('Urban Plastix Holds'!$F$37:$F$705=$A17),'Urban Plastix Holds'!M$37:M$705),0)+IFERROR(SUMPRODUCT(('Kilter Holds'!$L$37:$L$662)*('Kilter Holds'!$K$37:$K$662=$A17),'Kilter Holds'!T$37:T$662),0)</f>
        <v>0</v>
      </c>
      <c r="C17" s="76">
        <f>IFERROR(SUMPRODUCT(('Kilter Holds'!$J$37:$J$662)*('Kilter Holds'!$I$37:$I$662=$A17),'Kilter Holds'!U$37:U$662),0)+IFERROR(SUMPRODUCT(('Urban Plastix Holds'!$H$37:$H$705)*('Urban Plastix Holds'!$F$37:$F$705=$A17),'Urban Plastix Holds'!N$37:N$705),0)+IFERROR(SUMPRODUCT(('Kilter Holds'!$L$37:$L$662)*('Kilter Holds'!$K$37:$K$662=$A17),'Kilter Holds'!U$37:U$662),0)</f>
        <v>0</v>
      </c>
      <c r="D17" s="76">
        <f>IFERROR(SUMPRODUCT(('Kilter Holds'!$J$37:$J$662)*('Kilter Holds'!$I$37:$I$662=$A17),'Kilter Holds'!V$37:V$662),0)+IFERROR(SUMPRODUCT(('Urban Plastix Holds'!$H$37:$H$705)*('Urban Plastix Holds'!$F$37:$F$705=$A17),'Urban Plastix Holds'!O$37:O$705),0)+IFERROR(SUMPRODUCT(('Kilter Holds'!$L$37:$L$662)*('Kilter Holds'!$K$37:$K$662=$A17),'Kilter Holds'!V$37:V$662),0)</f>
        <v>0</v>
      </c>
      <c r="E17" s="76">
        <f>IFERROR(SUMPRODUCT(('Kilter Holds'!$J$37:$J$662)*('Kilter Holds'!$I$37:$I$662=$A17),'Kilter Holds'!W$37:W$662),0)+IFERROR(SUMPRODUCT(('Urban Plastix Holds'!$H$37:$H$705)*('Urban Plastix Holds'!$F$37:$F$705=$A17),'Urban Plastix Holds'!P$37:P$705),0)+IFERROR(SUMPRODUCT(('Kilter Holds'!$L$37:$L$662)*('Kilter Holds'!$K$37:$K$662=$A17),'Kilter Holds'!W$37:W$662),0)</f>
        <v>0</v>
      </c>
      <c r="F17" s="76">
        <f>IFERROR(SUMPRODUCT(('Kilter Holds'!$J$37:$J$662)*('Kilter Holds'!$I$37:$I$662=$A17),'Kilter Holds'!X$37:X$662),0)+IFERROR(SUMPRODUCT(('Urban Plastix Holds'!$H$37:$H$705)*('Urban Plastix Holds'!$F$37:$F$705=$A17),'Urban Plastix Holds'!Q$37:Q$705),0)+IFERROR(SUMPRODUCT(('Kilter Holds'!$L$37:$L$662)*('Kilter Holds'!$K$37:$K$662=$A17),'Kilter Holds'!X$37:X$662),0)</f>
        <v>0</v>
      </c>
      <c r="G17" s="76">
        <f>IFERROR(SUMPRODUCT(('Kilter Holds'!$J$37:$J$662)*('Kilter Holds'!$I$37:$I$662=$A17),'Kilter Holds'!Y$37:Y$662),0)+IFERROR(SUMPRODUCT(('Urban Plastix Holds'!$H$37:$H$705)*('Urban Plastix Holds'!$F$37:$F$705=$A17),'Urban Plastix Holds'!R$37:R$705),0)+IFERROR(SUMPRODUCT(('Kilter Holds'!$L$37:$L$662)*('Kilter Holds'!$K$37:$K$662=$A17),'Kilter Holds'!Y$37:Y$662),0)</f>
        <v>0</v>
      </c>
      <c r="H17" s="76">
        <f>IFERROR(SUMPRODUCT(('Kilter Holds'!$J$37:$J$662)*('Kilter Holds'!$I$37:$I$662=$A17),'Kilter Holds'!Z$37:Z$662),0)+IFERROR(SUMPRODUCT(('Urban Plastix Holds'!$H$37:$H$705)*('Urban Plastix Holds'!$F$37:$F$705=$A17),'Urban Plastix Holds'!S$37:S$705),0)+IFERROR(SUMPRODUCT(('Kilter Holds'!$L$37:$L$662)*('Kilter Holds'!$K$37:$K$662=$A17),'Kilter Holds'!Z$37:Z$662),0)</f>
        <v>0</v>
      </c>
      <c r="I17" s="76">
        <f>IFERROR(SUMPRODUCT(('Kilter Holds'!$J$37:$J$662)*('Kilter Holds'!$I$37:$I$662=$A17),'Kilter Holds'!AA$37:AA$662),0)+IFERROR(SUMPRODUCT(('Urban Plastix Holds'!$H$37:$H$705)*('Urban Plastix Holds'!$F$37:$F$705=$A17),'Urban Plastix Holds'!T$37:T$705),0)+IFERROR(SUMPRODUCT(('Kilter Holds'!$L$37:$L$662)*('Kilter Holds'!$K$37:$K$662=$A17),'Kilter Holds'!AA$37:AA$662),0)</f>
        <v>0</v>
      </c>
      <c r="J17" s="77">
        <f>IFERROR(SUMPRODUCT(('Kilter Holds'!$J$37:$J$662)*('Kilter Holds'!$I$37:$I$662=$A17),'Kilter Holds'!AB$37:AB$662),0)+IFERROR(SUMPRODUCT(('Urban Plastix Holds'!$H$37:$H$705)*('Urban Plastix Holds'!$F$37:$F$705=$A17),'Urban Plastix Holds'!U$37:U$705),0)+IFERROR(SUMPRODUCT(('Kilter Holds'!$L$37:$L$662)*('Kilter Holds'!$K$37:$K$662=$A17),'Kilter Holds'!AB$37:AB$662),0)</f>
        <v>0</v>
      </c>
      <c r="K17" s="78">
        <f t="shared" si="0"/>
        <v>0</v>
      </c>
      <c r="L17" s="79">
        <f t="shared" si="1"/>
        <v>0</v>
      </c>
      <c r="M17" s="80">
        <f t="shared" si="2"/>
        <v>0</v>
      </c>
      <c r="N17" s="1"/>
      <c r="O17" s="1"/>
      <c r="P17" s="1"/>
      <c r="Q17" s="1"/>
      <c r="R17" s="1"/>
      <c r="S17" s="1"/>
      <c r="T17" s="1"/>
      <c r="U17" s="1"/>
      <c r="V17" s="1"/>
      <c r="W17" s="1"/>
      <c r="X17" s="1"/>
      <c r="Y17" s="1"/>
      <c r="Z17" s="1"/>
      <c r="AA17" s="1"/>
    </row>
    <row r="18" spans="1:27" ht="28">
      <c r="A18" s="81" t="s">
        <v>42</v>
      </c>
      <c r="B18" s="82">
        <f t="shared" ref="B18:K18" si="3">SUM(B3:B14)</f>
        <v>0</v>
      </c>
      <c r="C18" s="82">
        <f t="shared" si="3"/>
        <v>0</v>
      </c>
      <c r="D18" s="82">
        <f t="shared" si="3"/>
        <v>0</v>
      </c>
      <c r="E18" s="82">
        <f t="shared" si="3"/>
        <v>0</v>
      </c>
      <c r="F18" s="82">
        <f t="shared" si="3"/>
        <v>0</v>
      </c>
      <c r="G18" s="82">
        <f t="shared" si="3"/>
        <v>0</v>
      </c>
      <c r="H18" s="82">
        <f t="shared" si="3"/>
        <v>0</v>
      </c>
      <c r="I18" s="82">
        <f t="shared" si="3"/>
        <v>0</v>
      </c>
      <c r="J18" s="82">
        <f t="shared" si="3"/>
        <v>0</v>
      </c>
      <c r="K18" s="83">
        <f t="shared" si="3"/>
        <v>0</v>
      </c>
      <c r="L18" s="84" t="s">
        <v>43</v>
      </c>
      <c r="M18" s="85"/>
      <c r="N18" s="1"/>
      <c r="O18" s="1"/>
      <c r="P18" s="1"/>
      <c r="Q18" s="1"/>
      <c r="R18" s="1"/>
      <c r="S18" s="1"/>
      <c r="T18" s="1"/>
      <c r="U18" s="1"/>
      <c r="V18" s="1"/>
      <c r="W18" s="1"/>
      <c r="X18" s="1"/>
      <c r="Y18" s="1"/>
      <c r="Z18" s="1"/>
      <c r="AA18" s="1"/>
    </row>
    <row r="19" spans="1:27" ht="14">
      <c r="A19" s="81" t="s">
        <v>44</v>
      </c>
      <c r="B19" s="86">
        <f t="shared" ref="B19:K19" si="4">SUM(B15:B18)</f>
        <v>0</v>
      </c>
      <c r="C19" s="86">
        <f t="shared" si="4"/>
        <v>0</v>
      </c>
      <c r="D19" s="86">
        <f t="shared" si="4"/>
        <v>0</v>
      </c>
      <c r="E19" s="86">
        <f t="shared" si="4"/>
        <v>0</v>
      </c>
      <c r="F19" s="86">
        <f t="shared" si="4"/>
        <v>0</v>
      </c>
      <c r="G19" s="86">
        <f t="shared" si="4"/>
        <v>0</v>
      </c>
      <c r="H19" s="86">
        <f t="shared" si="4"/>
        <v>0</v>
      </c>
      <c r="I19" s="86">
        <f t="shared" si="4"/>
        <v>0</v>
      </c>
      <c r="J19" s="86">
        <f t="shared" si="4"/>
        <v>0</v>
      </c>
      <c r="K19" s="83">
        <f t="shared" si="4"/>
        <v>0</v>
      </c>
      <c r="L19" s="84" t="s">
        <v>15</v>
      </c>
      <c r="M19" s="1"/>
      <c r="N19" s="1"/>
      <c r="O19" s="1"/>
      <c r="P19" s="1"/>
      <c r="Q19" s="1"/>
      <c r="R19" s="1"/>
      <c r="S19" s="1"/>
      <c r="T19" s="1"/>
      <c r="U19" s="1"/>
      <c r="V19" s="1"/>
      <c r="W19" s="1"/>
      <c r="X19" s="1"/>
      <c r="Y19" s="1"/>
      <c r="Z19" s="1"/>
      <c r="AA19" s="85"/>
    </row>
    <row r="20" spans="1:27" ht="13">
      <c r="A20" s="87" t="s">
        <v>45</v>
      </c>
      <c r="B20" s="88">
        <f t="shared" ref="B20:J20" si="5">IFERROR(B19/$K$19,0)</f>
        <v>0</v>
      </c>
      <c r="C20" s="88">
        <f t="shared" si="5"/>
        <v>0</v>
      </c>
      <c r="D20" s="88">
        <f t="shared" si="5"/>
        <v>0</v>
      </c>
      <c r="E20" s="88">
        <f t="shared" si="5"/>
        <v>0</v>
      </c>
      <c r="F20" s="88">
        <f t="shared" si="5"/>
        <v>0</v>
      </c>
      <c r="G20" s="88">
        <f t="shared" si="5"/>
        <v>0</v>
      </c>
      <c r="H20" s="88">
        <f t="shared" si="5"/>
        <v>0</v>
      </c>
      <c r="I20" s="88">
        <f t="shared" si="5"/>
        <v>0</v>
      </c>
      <c r="J20" s="88">
        <f t="shared" si="5"/>
        <v>0</v>
      </c>
      <c r="N20" s="1"/>
      <c r="O20" s="1"/>
      <c r="P20" s="1"/>
      <c r="Q20" s="1"/>
      <c r="R20" s="1"/>
      <c r="S20" s="1"/>
      <c r="T20" s="1"/>
      <c r="U20" s="1"/>
      <c r="V20" s="1"/>
      <c r="W20" s="1"/>
      <c r="X20" s="1"/>
      <c r="Y20" s="1"/>
      <c r="Z20" s="1"/>
      <c r="AA20" s="1"/>
    </row>
    <row r="21" spans="1:27" ht="15.75" customHeight="1">
      <c r="A21" s="87" t="s">
        <v>46</v>
      </c>
      <c r="B21" s="88">
        <f t="shared" ref="B21:J21" si="6">IFERROR(B15/B19,0)</f>
        <v>0</v>
      </c>
      <c r="C21" s="88">
        <f t="shared" si="6"/>
        <v>0</v>
      </c>
      <c r="D21" s="88">
        <f t="shared" si="6"/>
        <v>0</v>
      </c>
      <c r="E21" s="88">
        <f t="shared" si="6"/>
        <v>0</v>
      </c>
      <c r="F21" s="88">
        <f t="shared" si="6"/>
        <v>0</v>
      </c>
      <c r="G21" s="88">
        <f t="shared" si="6"/>
        <v>0</v>
      </c>
      <c r="H21" s="88">
        <f t="shared" si="6"/>
        <v>0</v>
      </c>
      <c r="I21" s="88">
        <f t="shared" si="6"/>
        <v>0</v>
      </c>
      <c r="J21" s="88">
        <f t="shared" si="6"/>
        <v>0</v>
      </c>
      <c r="N21" s="1"/>
      <c r="O21" s="1"/>
      <c r="P21" s="1"/>
      <c r="Q21" s="1"/>
      <c r="R21" s="1"/>
      <c r="S21" s="1"/>
      <c r="T21" s="1"/>
      <c r="U21" s="1"/>
      <c r="V21" s="1"/>
      <c r="W21" s="1"/>
      <c r="X21" s="1"/>
      <c r="Y21" s="1"/>
      <c r="Z21" s="1"/>
      <c r="AA21" s="1"/>
    </row>
    <row r="22" spans="1:27" ht="15.75" customHeight="1">
      <c r="A22" s="1"/>
      <c r="N22" s="1"/>
      <c r="O22" s="1"/>
      <c r="P22" s="1"/>
      <c r="Q22" s="1"/>
      <c r="R22" s="1"/>
      <c r="S22" s="1"/>
      <c r="T22" s="1"/>
      <c r="U22" s="1"/>
      <c r="V22" s="1"/>
      <c r="W22" s="1"/>
      <c r="X22" s="1"/>
      <c r="Y22" s="1"/>
      <c r="Z22" s="1"/>
      <c r="AA22" s="1"/>
    </row>
    <row r="23" spans="1:27" ht="15.75" customHeight="1">
      <c r="A23" s="87"/>
      <c r="L23" s="89"/>
      <c r="N23" s="1"/>
      <c r="O23" s="1"/>
      <c r="P23" s="1"/>
      <c r="Q23" s="1"/>
      <c r="R23" s="1"/>
      <c r="S23" s="1"/>
      <c r="T23" s="1"/>
      <c r="U23" s="1"/>
      <c r="V23" s="1"/>
      <c r="W23" s="1"/>
      <c r="X23" s="1"/>
      <c r="Y23" s="1"/>
      <c r="Z23" s="1"/>
      <c r="AA23" s="1"/>
    </row>
    <row r="24" spans="1:27" ht="15.75" customHeight="1">
      <c r="A24" s="39"/>
      <c r="B24" s="462" t="s">
        <v>23</v>
      </c>
      <c r="C24" s="460"/>
      <c r="D24" s="460"/>
      <c r="E24" s="460"/>
      <c r="F24" s="460"/>
      <c r="G24" s="460"/>
      <c r="H24" s="460"/>
      <c r="I24" s="460"/>
      <c r="J24" s="461"/>
      <c r="K24" s="40"/>
      <c r="L24" s="41"/>
      <c r="M24" s="42"/>
      <c r="N24" s="1"/>
      <c r="O24" s="1"/>
      <c r="P24" s="1"/>
      <c r="Q24" s="1"/>
      <c r="R24" s="1"/>
      <c r="S24" s="1"/>
      <c r="T24" s="1"/>
      <c r="U24" s="1"/>
      <c r="V24" s="1"/>
      <c r="W24" s="1"/>
      <c r="X24" s="1"/>
      <c r="Y24" s="1"/>
      <c r="Z24" s="1"/>
      <c r="AA24" s="1"/>
    </row>
    <row r="25" spans="1:27" ht="15.75" customHeight="1">
      <c r="A25" s="43" t="s">
        <v>24</v>
      </c>
      <c r="B25" s="44" t="str">
        <f t="shared" ref="B25:J25" si="7">B2</f>
        <v>Red</v>
      </c>
      <c r="C25" s="45" t="str">
        <f t="shared" si="7"/>
        <v>Orange</v>
      </c>
      <c r="D25" s="46" t="str">
        <f t="shared" si="7"/>
        <v>Yellow</v>
      </c>
      <c r="E25" s="47" t="str">
        <f t="shared" si="7"/>
        <v>Green</v>
      </c>
      <c r="F25" s="48" t="str">
        <f t="shared" si="7"/>
        <v>Blue</v>
      </c>
      <c r="G25" s="49" t="str">
        <f t="shared" si="7"/>
        <v>Purple</v>
      </c>
      <c r="H25" s="50" t="str">
        <f t="shared" si="7"/>
        <v>Hot Pink</v>
      </c>
      <c r="I25" s="51" t="str">
        <f t="shared" si="7"/>
        <v>Black</v>
      </c>
      <c r="J25" s="52" t="str">
        <f t="shared" si="7"/>
        <v>Other Color</v>
      </c>
      <c r="K25" s="53" t="s">
        <v>25</v>
      </c>
      <c r="L25" s="54" t="s">
        <v>26</v>
      </c>
      <c r="M25" s="55"/>
      <c r="N25" s="1"/>
      <c r="O25" s="1"/>
      <c r="P25" s="1"/>
      <c r="Q25" s="1"/>
      <c r="R25" s="1"/>
      <c r="S25" s="1"/>
      <c r="T25" s="1"/>
      <c r="U25" s="1"/>
      <c r="V25" s="1"/>
      <c r="W25" s="1"/>
      <c r="X25" s="1"/>
      <c r="Y25" s="1"/>
      <c r="Z25" s="1"/>
      <c r="AA25" s="1"/>
    </row>
    <row r="26" spans="1:27" ht="15.75" customHeight="1">
      <c r="A26" s="56" t="s">
        <v>47</v>
      </c>
      <c r="B26" s="90">
        <f>IFERROR(SUMPRODUCT(('Kilter Holds'!$O$37:$O$662)*('Kilter Holds'!$N$37:$N$662=$A26),'Kilter Holds'!T$37:T$662),0)+IFERROR(SUMPRODUCT(('Urban Plastix Holds'!$H$37:$H$705)*('Urban Plastix Holds'!$G$37:$G$705=$A26),'Urban Plastix Holds'!M$37:M$705),0)</f>
        <v>0</v>
      </c>
      <c r="C26" s="91">
        <f>IFERROR(SUMPRODUCT(('Kilter Holds'!$O$37:$O$662)*('Kilter Holds'!$N$37:$N$662=$A26),'Kilter Holds'!U$37:U$662),0)+IFERROR(SUMPRODUCT(('Urban Plastix Holds'!$H$37:$H$705)*('Urban Plastix Holds'!$G$37:$G$705=$A26),'Urban Plastix Holds'!N$37:N$705),0)</f>
        <v>0</v>
      </c>
      <c r="D26" s="91">
        <f>IFERROR(SUMPRODUCT(('Kilter Holds'!$O$37:$O$662)*('Kilter Holds'!$N$37:$N$662=$A26),'Kilter Holds'!V$37:V$662),0)+IFERROR(SUMPRODUCT(('Urban Plastix Holds'!$H$37:$H$705)*('Urban Plastix Holds'!$G$37:$G$705=$A26),'Urban Plastix Holds'!O$37:O$705),0)</f>
        <v>0</v>
      </c>
      <c r="E26" s="91">
        <f>IFERROR(SUMPRODUCT(('Kilter Holds'!$O$37:$O$662)*('Kilter Holds'!$N$37:$N$662=$A26),'Kilter Holds'!W$37:W$662),0)+IFERROR(SUMPRODUCT(('Urban Plastix Holds'!$H$37:$H$705)*('Urban Plastix Holds'!$G$37:$G$705=$A26),'Urban Plastix Holds'!P$37:P$705),0)</f>
        <v>0</v>
      </c>
      <c r="F26" s="91">
        <f>IFERROR(SUMPRODUCT(('Kilter Holds'!$O$37:$O$662)*('Kilter Holds'!$N$37:$N$662=$A26),'Kilter Holds'!X$37:X$662),0)+IFERROR(SUMPRODUCT(('Urban Plastix Holds'!$H$37:$H$705)*('Urban Plastix Holds'!$G$37:$G$705=$A26),'Urban Plastix Holds'!Q$37:Q$705),0)</f>
        <v>0</v>
      </c>
      <c r="G26" s="91">
        <f>IFERROR(SUMPRODUCT(('Kilter Holds'!$O$37:$O$662)*('Kilter Holds'!$N$37:$N$662=$A26),'Kilter Holds'!Y$37:Y$662),0)+IFERROR(SUMPRODUCT(('Urban Plastix Holds'!$H$37:$H$705)*('Urban Plastix Holds'!$G$37:$G$705=$A26),'Urban Plastix Holds'!R$37:R$705),0)</f>
        <v>0</v>
      </c>
      <c r="H26" s="91">
        <f>IFERROR(SUMPRODUCT(('Kilter Holds'!$O$37:$O$662)*('Kilter Holds'!$N$37:$N$662=$A26),'Kilter Holds'!Z$37:Z$662),0)+IFERROR(SUMPRODUCT(('Urban Plastix Holds'!$H$37:$H$705)*('Urban Plastix Holds'!$G$37:$G$705=$A26),'Urban Plastix Holds'!S$37:S$705),0)</f>
        <v>0</v>
      </c>
      <c r="I26" s="91">
        <f>IFERROR(SUMPRODUCT(('Kilter Holds'!$O$37:$O$662)*('Kilter Holds'!$N$37:$N$662=$A26),'Kilter Holds'!AA$37:AA$662),0)+IFERROR(SUMPRODUCT(('Urban Plastix Holds'!$H$37:$H$705)*('Urban Plastix Holds'!$G$37:$G$705=$A26),'Urban Plastix Holds'!T$37:T$705),0)</f>
        <v>0</v>
      </c>
      <c r="J26" s="92">
        <f>IFERROR(SUMPRODUCT(('Kilter Holds'!$O$37:$O$662)*('Kilter Holds'!$N$37:$N$662=$A26),'Kilter Holds'!AB$37:AB$662),0)+IFERROR(SUMPRODUCT(('Urban Plastix Holds'!$H$37:$H$705)*('Urban Plastix Holds'!$G$37:$G$705=$A26),'Urban Plastix Holds'!U$37:U$705),0)</f>
        <v>0</v>
      </c>
      <c r="K26" s="93">
        <f t="shared" ref="K26:K28" si="8">SUM(B26:J26)</f>
        <v>0</v>
      </c>
      <c r="L26" s="61">
        <f t="shared" ref="L26:L28" si="9">IFERROR($K26 / $K$29,0)</f>
        <v>0</v>
      </c>
      <c r="M26" s="466"/>
      <c r="N26" s="1"/>
      <c r="O26" s="1"/>
      <c r="P26" s="1"/>
      <c r="Q26" s="1"/>
      <c r="R26" s="1"/>
      <c r="S26" s="1"/>
      <c r="T26" s="1"/>
      <c r="U26" s="1"/>
      <c r="V26" s="1"/>
      <c r="W26" s="1"/>
      <c r="X26" s="1"/>
      <c r="Y26" s="1"/>
      <c r="Z26" s="1"/>
      <c r="AA26" s="1"/>
    </row>
    <row r="27" spans="1:27" ht="15.75" customHeight="1">
      <c r="A27" s="62" t="s">
        <v>48</v>
      </c>
      <c r="B27" s="95">
        <f>IFERROR(SUMPRODUCT(('Kilter Holds'!$O$37:$O$662)*('Kilter Holds'!$N$37:$N$662=$A27),'Kilter Holds'!T$37:T$662),0)+IFERROR(SUMPRODUCT(('Urban Plastix Holds'!$H$37:$H$705)*('Urban Plastix Holds'!$G$37:$G$705=$A27),'Urban Plastix Holds'!M$37:M$705),0)</f>
        <v>0</v>
      </c>
      <c r="C27" s="64">
        <f>IFERROR(SUMPRODUCT(('Kilter Holds'!$O$37:$O$662)*('Kilter Holds'!$N$37:$N$662=$A27),'Kilter Holds'!U$37:U$662),0)+IFERROR(SUMPRODUCT(('Urban Plastix Holds'!$H$37:$H$705)*('Urban Plastix Holds'!$G$37:$G$705=$A27),'Urban Plastix Holds'!N$37:N$705),0)</f>
        <v>0</v>
      </c>
      <c r="D27" s="64">
        <f>IFERROR(SUMPRODUCT(('Kilter Holds'!$O$37:$O$662)*('Kilter Holds'!$N$37:$N$662=$A27),'Kilter Holds'!V$37:V$662),0)+IFERROR(SUMPRODUCT(('Urban Plastix Holds'!$H$37:$H$705)*('Urban Plastix Holds'!$G$37:$G$705=$A27),'Urban Plastix Holds'!O$37:O$705),0)</f>
        <v>0</v>
      </c>
      <c r="E27" s="64">
        <f>IFERROR(SUMPRODUCT(('Kilter Holds'!$O$37:$O$662)*('Kilter Holds'!$N$37:$N$662=$A27),'Kilter Holds'!W$37:W$662),0)+IFERROR(SUMPRODUCT(('Urban Plastix Holds'!$H$37:$H$705)*('Urban Plastix Holds'!$G$37:$G$705=$A27),'Urban Plastix Holds'!P$37:P$705),0)</f>
        <v>0</v>
      </c>
      <c r="F27" s="64">
        <f>IFERROR(SUMPRODUCT(('Kilter Holds'!$O$37:$O$662)*('Kilter Holds'!$N$37:$N$662=$A27),'Kilter Holds'!X$37:X$662),0)+IFERROR(SUMPRODUCT(('Urban Plastix Holds'!$H$37:$H$705)*('Urban Plastix Holds'!$G$37:$G$705=$A27),'Urban Plastix Holds'!Q$37:Q$705),0)</f>
        <v>0</v>
      </c>
      <c r="G27" s="64">
        <f>IFERROR(SUMPRODUCT(('Kilter Holds'!$O$37:$O$662)*('Kilter Holds'!$N$37:$N$662=$A27),'Kilter Holds'!Y$37:Y$662),0)+IFERROR(SUMPRODUCT(('Urban Plastix Holds'!$H$37:$H$705)*('Urban Plastix Holds'!$G$37:$G$705=$A27),'Urban Plastix Holds'!R$37:R$705),0)</f>
        <v>0</v>
      </c>
      <c r="H27" s="64">
        <f>IFERROR(SUMPRODUCT(('Kilter Holds'!$O$37:$O$662)*('Kilter Holds'!$N$37:$N$662=$A27),'Kilter Holds'!Z$37:Z$662),0)+IFERROR(SUMPRODUCT(('Urban Plastix Holds'!$H$37:$H$705)*('Urban Plastix Holds'!$G$37:$G$705=$A27),'Urban Plastix Holds'!S$37:S$705),0)</f>
        <v>0</v>
      </c>
      <c r="I27" s="64">
        <f>IFERROR(SUMPRODUCT(('Kilter Holds'!$O$37:$O$662)*('Kilter Holds'!$N$37:$N$662=$A27),'Kilter Holds'!AA$37:AA$662),0)+IFERROR(SUMPRODUCT(('Urban Plastix Holds'!$H$37:$H$705)*('Urban Plastix Holds'!$G$37:$G$705=$A27),'Urban Plastix Holds'!T$37:T$705),0)</f>
        <v>0</v>
      </c>
      <c r="J27" s="96">
        <f>IFERROR(SUMPRODUCT(('Kilter Holds'!$O$37:$O$662)*('Kilter Holds'!$N$37:$N$662=$A27),'Kilter Holds'!AB$37:AB$662),0)+IFERROR(SUMPRODUCT(('Urban Plastix Holds'!$H$37:$H$705)*('Urban Plastix Holds'!$G$37:$G$705=$A27),'Urban Plastix Holds'!U$37:U$705),0)</f>
        <v>0</v>
      </c>
      <c r="K27" s="97">
        <f t="shared" si="8"/>
        <v>0</v>
      </c>
      <c r="L27" s="67">
        <f t="shared" si="9"/>
        <v>0</v>
      </c>
      <c r="M27" s="455"/>
      <c r="N27" s="1"/>
      <c r="O27" s="1"/>
      <c r="P27" s="1"/>
      <c r="Q27" s="1"/>
      <c r="R27" s="1"/>
      <c r="S27" s="1"/>
      <c r="T27" s="1"/>
      <c r="U27" s="1"/>
      <c r="V27" s="1"/>
      <c r="W27" s="1"/>
      <c r="X27" s="1"/>
      <c r="Y27" s="1"/>
      <c r="Z27" s="1"/>
      <c r="AA27" s="1"/>
    </row>
    <row r="28" spans="1:27" ht="15.75" customHeight="1">
      <c r="A28" s="68" t="s">
        <v>49</v>
      </c>
      <c r="B28" s="98">
        <f>IFERROR(SUMPRODUCT(('Kilter Holds'!$O$37:$O$662)*('Kilter Holds'!$N$37:$N$662=$A28),'Kilter Holds'!T$37:T$662),0)+IFERROR(SUMPRODUCT(('Urban Plastix Holds'!$H$37:$H$705)*('Urban Plastix Holds'!$G$37:$G$705=$A28),'Urban Plastix Holds'!M$37:M$705),0)</f>
        <v>0</v>
      </c>
      <c r="C28" s="99">
        <f>IFERROR(SUMPRODUCT(('Kilter Holds'!$O$37:$O$662)*('Kilter Holds'!$N$37:$N$662=$A28),'Kilter Holds'!U$37:U$662),0)+IFERROR(SUMPRODUCT(('Urban Plastix Holds'!$H$37:$H$705)*('Urban Plastix Holds'!$G$37:$G$705=$A28),'Urban Plastix Holds'!N$37:N$705),0)</f>
        <v>0</v>
      </c>
      <c r="D28" s="99">
        <f>IFERROR(SUMPRODUCT(('Kilter Holds'!$O$37:$O$662)*('Kilter Holds'!$N$37:$N$662=$A28),'Kilter Holds'!V$37:V$662),0)+IFERROR(SUMPRODUCT(('Urban Plastix Holds'!$H$37:$H$705)*('Urban Plastix Holds'!$G$37:$G$705=$A28),'Urban Plastix Holds'!O$37:O$705),0)</f>
        <v>0</v>
      </c>
      <c r="E28" s="99">
        <f>IFERROR(SUMPRODUCT(('Kilter Holds'!$O$37:$O$662)*('Kilter Holds'!$N$37:$N$662=$A28),'Kilter Holds'!W$37:W$662),0)+IFERROR(SUMPRODUCT(('Urban Plastix Holds'!$H$37:$H$705)*('Urban Plastix Holds'!$G$37:$G$705=$A28),'Urban Plastix Holds'!P$37:P$705),0)</f>
        <v>0</v>
      </c>
      <c r="F28" s="99">
        <f>IFERROR(SUMPRODUCT(('Kilter Holds'!$O$37:$O$662)*('Kilter Holds'!$N$37:$N$662=$A28),'Kilter Holds'!X$37:X$662),0)+IFERROR(SUMPRODUCT(('Urban Plastix Holds'!$H$37:$H$705)*('Urban Plastix Holds'!$G$37:$G$705=$A28),'Urban Plastix Holds'!Q$37:Q$705),0)</f>
        <v>0</v>
      </c>
      <c r="G28" s="99">
        <f>IFERROR(SUMPRODUCT(('Kilter Holds'!$O$37:$O$662)*('Kilter Holds'!$N$37:$N$662=$A28),'Kilter Holds'!Y$37:Y$662),0)+IFERROR(SUMPRODUCT(('Urban Plastix Holds'!$H$37:$H$705)*('Urban Plastix Holds'!$G$37:$G$705=$A28),'Urban Plastix Holds'!R$37:R$705),0)</f>
        <v>0</v>
      </c>
      <c r="H28" s="99">
        <f>IFERROR(SUMPRODUCT(('Kilter Holds'!$O$37:$O$662)*('Kilter Holds'!$N$37:$N$662=$A28),'Kilter Holds'!Z$37:Z$662),0)+IFERROR(SUMPRODUCT(('Urban Plastix Holds'!$H$37:$H$705)*('Urban Plastix Holds'!$G$37:$G$705=$A28),'Urban Plastix Holds'!S$37:S$705),0)</f>
        <v>0</v>
      </c>
      <c r="I28" s="99">
        <f>IFERROR(SUMPRODUCT(('Kilter Holds'!$O$37:$O$662)*('Kilter Holds'!$N$37:$N$662=$A28),'Kilter Holds'!AA$37:AA$662),0)+IFERROR(SUMPRODUCT(('Urban Plastix Holds'!$H$37:$H$705)*('Urban Plastix Holds'!$G$37:$G$705=$A28),'Urban Plastix Holds'!T$37:T$705),0)</f>
        <v>0</v>
      </c>
      <c r="J28" s="100">
        <f>IFERROR(SUMPRODUCT(('Kilter Holds'!$O$37:$O$662)*('Kilter Holds'!$N$37:$N$662=$A28),'Kilter Holds'!AB$37:AB$662),0)+IFERROR(SUMPRODUCT(('Urban Plastix Holds'!$H$37:$H$705)*('Urban Plastix Holds'!$G$37:$G$705=$A28),'Urban Plastix Holds'!U$37:U$705),0)</f>
        <v>0</v>
      </c>
      <c r="K28" s="101">
        <f t="shared" si="8"/>
        <v>0</v>
      </c>
      <c r="L28" s="73">
        <f t="shared" si="9"/>
        <v>0</v>
      </c>
      <c r="M28" s="455"/>
      <c r="N28" s="1"/>
      <c r="O28" s="1"/>
      <c r="P28" s="1"/>
      <c r="Q28" s="1"/>
      <c r="R28" s="1"/>
      <c r="S28" s="1"/>
      <c r="T28" s="1"/>
      <c r="U28" s="1"/>
      <c r="V28" s="1"/>
      <c r="W28" s="1"/>
      <c r="X28" s="1"/>
      <c r="Y28" s="1"/>
      <c r="Z28" s="1"/>
      <c r="AA28" s="1"/>
    </row>
    <row r="29" spans="1:27" ht="15.75" customHeight="1">
      <c r="A29" s="81" t="s">
        <v>50</v>
      </c>
      <c r="B29" s="82">
        <f t="shared" ref="B29:K29" si="10">SUM(B26:B28)</f>
        <v>0</v>
      </c>
      <c r="C29" s="82">
        <f t="shared" si="10"/>
        <v>0</v>
      </c>
      <c r="D29" s="82">
        <f t="shared" si="10"/>
        <v>0</v>
      </c>
      <c r="E29" s="82">
        <f t="shared" si="10"/>
        <v>0</v>
      </c>
      <c r="F29" s="82">
        <f t="shared" si="10"/>
        <v>0</v>
      </c>
      <c r="G29" s="82">
        <f t="shared" si="10"/>
        <v>0</v>
      </c>
      <c r="H29" s="82">
        <f t="shared" si="10"/>
        <v>0</v>
      </c>
      <c r="I29" s="82">
        <f t="shared" si="10"/>
        <v>0</v>
      </c>
      <c r="J29" s="82">
        <f t="shared" si="10"/>
        <v>0</v>
      </c>
      <c r="K29" s="83">
        <f t="shared" si="10"/>
        <v>0</v>
      </c>
      <c r="L29" s="84" t="s">
        <v>15</v>
      </c>
      <c r="M29" s="94"/>
      <c r="N29" s="1"/>
      <c r="O29" s="1"/>
      <c r="P29" s="1"/>
      <c r="Q29" s="1"/>
      <c r="R29" s="1"/>
      <c r="S29" s="1"/>
      <c r="T29" s="1"/>
      <c r="U29" s="1"/>
      <c r="V29" s="1"/>
      <c r="W29" s="1"/>
      <c r="X29" s="1"/>
      <c r="Y29" s="1"/>
      <c r="Z29" s="1"/>
      <c r="AA29" s="1"/>
    </row>
    <row r="30" spans="1:27" ht="15.75" customHeight="1">
      <c r="A30" s="87" t="s">
        <v>51</v>
      </c>
      <c r="B30" s="88">
        <f t="shared" ref="B30:J30" si="11">IFERROR(B29/$K$19,0)</f>
        <v>0</v>
      </c>
      <c r="C30" s="88">
        <f t="shared" si="11"/>
        <v>0</v>
      </c>
      <c r="D30" s="88">
        <f t="shared" si="11"/>
        <v>0</v>
      </c>
      <c r="E30" s="88">
        <f t="shared" si="11"/>
        <v>0</v>
      </c>
      <c r="F30" s="88">
        <f t="shared" si="11"/>
        <v>0</v>
      </c>
      <c r="G30" s="88">
        <f t="shared" si="11"/>
        <v>0</v>
      </c>
      <c r="H30" s="88">
        <f t="shared" si="11"/>
        <v>0</v>
      </c>
      <c r="I30" s="88">
        <f t="shared" si="11"/>
        <v>0</v>
      </c>
      <c r="J30" s="88">
        <f t="shared" si="11"/>
        <v>0</v>
      </c>
      <c r="K30" s="1"/>
      <c r="L30" s="89"/>
      <c r="N30" s="1"/>
      <c r="O30" s="1"/>
      <c r="P30" s="1"/>
      <c r="Q30" s="1"/>
      <c r="R30" s="1"/>
      <c r="S30" s="1"/>
      <c r="T30" s="1"/>
      <c r="U30" s="1"/>
      <c r="V30" s="1"/>
      <c r="W30" s="1"/>
      <c r="X30" s="1"/>
      <c r="Y30" s="1"/>
      <c r="Z30" s="1"/>
      <c r="AA30" s="1"/>
    </row>
    <row r="31" spans="1:27" ht="15.75" customHeight="1">
      <c r="A31" s="87"/>
      <c r="B31" s="1"/>
      <c r="C31" s="1"/>
      <c r="D31" s="1"/>
      <c r="E31" s="1"/>
      <c r="F31" s="1"/>
      <c r="G31" s="10"/>
      <c r="H31" s="1"/>
      <c r="I31" s="1"/>
      <c r="J31" s="1"/>
      <c r="K31" s="1"/>
      <c r="L31" s="89"/>
      <c r="M31" s="1"/>
      <c r="N31" s="1"/>
      <c r="O31" s="1"/>
      <c r="P31" s="1"/>
      <c r="Q31" s="1"/>
      <c r="R31" s="1"/>
      <c r="S31" s="1"/>
      <c r="T31" s="1"/>
      <c r="U31" s="1"/>
      <c r="V31" s="1"/>
      <c r="W31" s="1"/>
      <c r="X31" s="1"/>
      <c r="Y31" s="1"/>
      <c r="Z31" s="1"/>
      <c r="AA31" s="1"/>
    </row>
    <row r="32" spans="1:27" ht="15.75" customHeight="1">
      <c r="A32" s="39"/>
      <c r="B32" s="462" t="s">
        <v>23</v>
      </c>
      <c r="C32" s="460"/>
      <c r="D32" s="460"/>
      <c r="E32" s="460"/>
      <c r="F32" s="460"/>
      <c r="G32" s="460"/>
      <c r="H32" s="460"/>
      <c r="I32" s="460"/>
      <c r="J32" s="461"/>
      <c r="K32" s="40"/>
      <c r="L32" s="41"/>
      <c r="M32" s="42"/>
      <c r="N32" s="1"/>
      <c r="O32" s="1"/>
      <c r="P32" s="1"/>
      <c r="Q32" s="1"/>
      <c r="R32" s="1"/>
      <c r="S32" s="1"/>
      <c r="T32" s="1"/>
      <c r="U32" s="1"/>
      <c r="V32" s="1"/>
      <c r="W32" s="1"/>
      <c r="X32" s="1"/>
      <c r="Y32" s="1"/>
      <c r="Z32" s="1"/>
      <c r="AA32" s="1"/>
    </row>
    <row r="33" spans="1:27" ht="15.75" customHeight="1">
      <c r="A33" s="43" t="s">
        <v>24</v>
      </c>
      <c r="B33" s="44" t="str">
        <f t="shared" ref="B33:J33" si="12">B2</f>
        <v>Red</v>
      </c>
      <c r="C33" s="45" t="str">
        <f t="shared" si="12"/>
        <v>Orange</v>
      </c>
      <c r="D33" s="46" t="str">
        <f t="shared" si="12"/>
        <v>Yellow</v>
      </c>
      <c r="E33" s="47" t="str">
        <f t="shared" si="12"/>
        <v>Green</v>
      </c>
      <c r="F33" s="48" t="str">
        <f t="shared" si="12"/>
        <v>Blue</v>
      </c>
      <c r="G33" s="49" t="str">
        <f t="shared" si="12"/>
        <v>Purple</v>
      </c>
      <c r="H33" s="50" t="str">
        <f t="shared" si="12"/>
        <v>Hot Pink</v>
      </c>
      <c r="I33" s="51" t="str">
        <f t="shared" si="12"/>
        <v>Black</v>
      </c>
      <c r="J33" s="52" t="str">
        <f t="shared" si="12"/>
        <v>Other Color</v>
      </c>
      <c r="K33" s="53" t="s">
        <v>25</v>
      </c>
      <c r="L33" s="54" t="s">
        <v>26</v>
      </c>
      <c r="M33" s="55"/>
      <c r="N33" s="1"/>
      <c r="O33" s="1"/>
      <c r="P33" s="1"/>
      <c r="Q33" s="1"/>
      <c r="R33" s="1"/>
      <c r="S33" s="1"/>
      <c r="T33" s="1"/>
      <c r="U33" s="1"/>
      <c r="V33" s="1"/>
      <c r="W33" s="1"/>
      <c r="X33" s="1"/>
      <c r="Y33" s="1"/>
      <c r="Z33" s="1"/>
      <c r="AA33" s="1"/>
    </row>
    <row r="34" spans="1:27" ht="15.75" customHeight="1">
      <c r="A34" s="56" t="s">
        <v>52</v>
      </c>
      <c r="B34" s="90">
        <f>IFERROR(SUMPRODUCT(('Kilter Holds'!$O$37:$O$662)*('Kilter Holds'!$C$37:$C$662=$A34),'Kilter Holds'!T$37:T$662),0)+IFERROR(SUMPRODUCT(('Urban Plastix Holds'!$H$37:$H$705)*('Urban Plastix Holds'!$C$37:$C$705=$A34),'Urban Plastix Holds'!M$37:M$705),0)</f>
        <v>0</v>
      </c>
      <c r="C34" s="91">
        <f>IFERROR(SUMPRODUCT(('Kilter Holds'!$O$37:$O$662)*('Kilter Holds'!$C$37:$C$662=$A34),'Kilter Holds'!U$37:U$662),0)+IFERROR(SUMPRODUCT(('Urban Plastix Holds'!$H$37:$H$705)*('Urban Plastix Holds'!$C$37:$C$705=$A34),'Urban Plastix Holds'!N$37:N$705),0)</f>
        <v>0</v>
      </c>
      <c r="D34" s="91">
        <f>IFERROR(SUMPRODUCT(('Kilter Holds'!$O$37:$O$662)*('Kilter Holds'!$C$37:$C$662=$A34),'Kilter Holds'!V$37:V$662),0)+IFERROR(SUMPRODUCT(('Urban Plastix Holds'!$H$37:$H$705)*('Urban Plastix Holds'!$C$37:$C$705=$A34),'Urban Plastix Holds'!O$37:O$705),0)</f>
        <v>0</v>
      </c>
      <c r="E34" s="91">
        <f>IFERROR(SUMPRODUCT(('Kilter Holds'!$O$37:$O$662)*('Kilter Holds'!$C$37:$C$662=$A34),'Kilter Holds'!W$37:W$662),0)+IFERROR(SUMPRODUCT(('Urban Plastix Holds'!$H$37:$H$705)*('Urban Plastix Holds'!$C$37:$C$705=$A34),'Urban Plastix Holds'!P$37:P$705),0)</f>
        <v>0</v>
      </c>
      <c r="F34" s="91">
        <f>IFERROR(SUMPRODUCT(('Kilter Holds'!$O$37:$O$662)*('Kilter Holds'!$C$37:$C$662=$A34),'Kilter Holds'!X$37:X$662),0)+IFERROR(SUMPRODUCT(('Urban Plastix Holds'!$H$37:$H$705)*('Urban Plastix Holds'!$C$37:$C$705=$A34),'Urban Plastix Holds'!Q$37:Q$705),0)</f>
        <v>0</v>
      </c>
      <c r="G34" s="91">
        <f>IFERROR(SUMPRODUCT(('Kilter Holds'!$O$37:$O$662)*('Kilter Holds'!$C$37:$C$662=$A34),'Kilter Holds'!Y$37:Y$662),0)+IFERROR(SUMPRODUCT(('Urban Plastix Holds'!$H$37:$H$705)*('Urban Plastix Holds'!$C$37:$C$705=$A34),'Urban Plastix Holds'!R$37:R$705),0)</f>
        <v>0</v>
      </c>
      <c r="H34" s="91">
        <f>IFERROR(SUMPRODUCT(('Kilter Holds'!$O$37:$O$662)*('Kilter Holds'!$C$37:$C$662=$A34),'Kilter Holds'!Z$37:Z$662),0)+IFERROR(SUMPRODUCT(('Urban Plastix Holds'!$H$37:$H$705)*('Urban Plastix Holds'!$C$37:$C$705=$A34),'Urban Plastix Holds'!S$37:S$705),0)</f>
        <v>0</v>
      </c>
      <c r="I34" s="91">
        <f>IFERROR(SUMPRODUCT(('Kilter Holds'!$O$37:$O$662)*('Kilter Holds'!$C$37:$C$662=$A34),'Kilter Holds'!AA$37:AA$662),0)+IFERROR(SUMPRODUCT(('Urban Plastix Holds'!$H$37:$H$705)*('Urban Plastix Holds'!$C$37:$C$705=$A34),'Urban Plastix Holds'!T$37:T$705),0)</f>
        <v>0</v>
      </c>
      <c r="J34" s="92">
        <f>IFERROR(SUMPRODUCT(('Kilter Holds'!$O$37:$O$662)*('Kilter Holds'!$C$37:$C$662=$A34),'Kilter Holds'!AB$37:AB$662),0)+IFERROR(SUMPRODUCT(('Urban Plastix Holds'!$H$37:$H$705)*('Urban Plastix Holds'!$C$37:$C$705=$A34),'Urban Plastix Holds'!U$37:U$705),0)</f>
        <v>0</v>
      </c>
      <c r="K34" s="60">
        <f t="shared" ref="K34:K41" si="13">SUM(B34:J34)</f>
        <v>0</v>
      </c>
      <c r="L34" s="61">
        <f t="shared" ref="L34:L41" si="14">IFERROR($K34 / $K$42,0)</f>
        <v>0</v>
      </c>
      <c r="M34" s="463">
        <f>SUM(L34:L36)</f>
        <v>0</v>
      </c>
      <c r="N34" s="1"/>
      <c r="O34" s="1"/>
      <c r="P34" s="1"/>
      <c r="Q34" s="1"/>
      <c r="R34" s="1"/>
      <c r="S34" s="1"/>
      <c r="T34" s="1"/>
      <c r="U34" s="1"/>
      <c r="V34" s="1"/>
      <c r="W34" s="1"/>
      <c r="X34" s="1"/>
      <c r="Y34" s="1"/>
      <c r="Z34" s="1"/>
      <c r="AA34" s="1"/>
    </row>
    <row r="35" spans="1:27" ht="15.75" customHeight="1">
      <c r="A35" s="62" t="s">
        <v>53</v>
      </c>
      <c r="B35" s="95">
        <f>IFERROR(SUMPRODUCT(('Kilter Holds'!$O$37:$O$662)*('Kilter Holds'!$C$37:$C$662=$A35),'Kilter Holds'!T$37:T$662),0)+IFERROR(SUMPRODUCT(('Urban Plastix Holds'!$H$37:$H$705)*('Urban Plastix Holds'!$C$37:$C$705=$A35),'Urban Plastix Holds'!M$37:M$705),0)</f>
        <v>0</v>
      </c>
      <c r="C35" s="64">
        <f>IFERROR(SUMPRODUCT(('Kilter Holds'!$O$37:$O$662)*('Kilter Holds'!$C$37:$C$662=$A35),'Kilter Holds'!U$37:U$662),0)+IFERROR(SUMPRODUCT(('Urban Plastix Holds'!$H$37:$H$705)*('Urban Plastix Holds'!$C$37:$C$705=$A35),'Urban Plastix Holds'!N$37:N$705),0)</f>
        <v>0</v>
      </c>
      <c r="D35" s="64">
        <f>IFERROR(SUMPRODUCT(('Kilter Holds'!$O$37:$O$662)*('Kilter Holds'!$C$37:$C$662=$A35),'Kilter Holds'!V$37:V$662),0)+IFERROR(SUMPRODUCT(('Urban Plastix Holds'!$H$37:$H$705)*('Urban Plastix Holds'!$C$37:$C$705=$A35),'Urban Plastix Holds'!O$37:O$705),0)</f>
        <v>0</v>
      </c>
      <c r="E35" s="64">
        <f>IFERROR(SUMPRODUCT(('Kilter Holds'!$O$37:$O$662)*('Kilter Holds'!$C$37:$C$662=$A35),'Kilter Holds'!W$37:W$662),0)+IFERROR(SUMPRODUCT(('Urban Plastix Holds'!$H$37:$H$705)*('Urban Plastix Holds'!$C$37:$C$705=$A35),'Urban Plastix Holds'!P$37:P$705),0)</f>
        <v>0</v>
      </c>
      <c r="F35" s="64">
        <f>IFERROR(SUMPRODUCT(('Kilter Holds'!$O$37:$O$662)*('Kilter Holds'!$C$37:$C$662=$A35),'Kilter Holds'!X$37:X$662),0)+IFERROR(SUMPRODUCT(('Urban Plastix Holds'!$H$37:$H$705)*('Urban Plastix Holds'!$C$37:$C$705=$A35),'Urban Plastix Holds'!Q$37:Q$705),0)</f>
        <v>0</v>
      </c>
      <c r="G35" s="64">
        <f>IFERROR(SUMPRODUCT(('Kilter Holds'!$O$37:$O$662)*('Kilter Holds'!$C$37:$C$662=$A35),'Kilter Holds'!Y$37:Y$662),0)+IFERROR(SUMPRODUCT(('Urban Plastix Holds'!$H$37:$H$705)*('Urban Plastix Holds'!$C$37:$C$705=$A35),'Urban Plastix Holds'!R$37:R$705),0)</f>
        <v>0</v>
      </c>
      <c r="H35" s="64">
        <f>IFERROR(SUMPRODUCT(('Kilter Holds'!$O$37:$O$662)*('Kilter Holds'!$C$37:$C$662=$A35),'Kilter Holds'!Z$37:Z$662),0)+IFERROR(SUMPRODUCT(('Urban Plastix Holds'!$H$37:$H$705)*('Urban Plastix Holds'!$C$37:$C$705=$A35),'Urban Plastix Holds'!S$37:S$705),0)</f>
        <v>0</v>
      </c>
      <c r="I35" s="64">
        <f>IFERROR(SUMPRODUCT(('Kilter Holds'!$O$37:$O$662)*('Kilter Holds'!$C$37:$C$662=$A35),'Kilter Holds'!AA$37:AA$662),0)+IFERROR(SUMPRODUCT(('Urban Plastix Holds'!$H$37:$H$705)*('Urban Plastix Holds'!$C$37:$C$705=$A35),'Urban Plastix Holds'!T$37:T$705),0)</f>
        <v>0</v>
      </c>
      <c r="J35" s="96">
        <f>IFERROR(SUMPRODUCT(('Kilter Holds'!$O$37:$O$662)*('Kilter Holds'!$C$37:$C$662=$A35),'Kilter Holds'!AB$37:AB$662),0)+IFERROR(SUMPRODUCT(('Urban Plastix Holds'!$H$37:$H$705)*('Urban Plastix Holds'!$C$37:$C$705=$A35),'Urban Plastix Holds'!U$37:U$705),0)</f>
        <v>0</v>
      </c>
      <c r="K35" s="66">
        <f t="shared" si="13"/>
        <v>0</v>
      </c>
      <c r="L35" s="67">
        <f t="shared" si="14"/>
        <v>0</v>
      </c>
      <c r="M35" s="464"/>
      <c r="N35" s="1"/>
      <c r="O35" s="1"/>
      <c r="P35" s="1"/>
      <c r="Q35" s="1"/>
      <c r="R35" s="1"/>
      <c r="S35" s="1"/>
      <c r="T35" s="1"/>
      <c r="U35" s="1"/>
      <c r="V35" s="1"/>
      <c r="W35" s="1"/>
      <c r="X35" s="1"/>
      <c r="Y35" s="1"/>
      <c r="Z35" s="1"/>
      <c r="AA35" s="1"/>
    </row>
    <row r="36" spans="1:27" ht="15.75" customHeight="1">
      <c r="A36" s="68" t="s">
        <v>54</v>
      </c>
      <c r="B36" s="102">
        <f>IFERROR(SUMPRODUCT(('Kilter Holds'!$O$37:$O$662)*('Kilter Holds'!$C$37:$C$662=$A36),'Kilter Holds'!T$37:T$662),0)+IFERROR(SUMPRODUCT(('Urban Plastix Holds'!$H$37:$H$705)*('Urban Plastix Holds'!$C$37:$C$705=$A36),'Urban Plastix Holds'!M$37:M$705),0)</f>
        <v>0</v>
      </c>
      <c r="C36" s="70">
        <f>IFERROR(SUMPRODUCT(('Kilter Holds'!$O$37:$O$662)*('Kilter Holds'!$C$37:$C$662=$A36),'Kilter Holds'!U$37:U$662),0)+IFERROR(SUMPRODUCT(('Urban Plastix Holds'!$H$37:$H$705)*('Urban Plastix Holds'!$C$37:$C$705=$A36),'Urban Plastix Holds'!N$37:N$705),0)</f>
        <v>0</v>
      </c>
      <c r="D36" s="70">
        <f>IFERROR(SUMPRODUCT(('Kilter Holds'!$O$37:$O$662)*('Kilter Holds'!$C$37:$C$662=$A36),'Kilter Holds'!V$37:V$662),0)+IFERROR(SUMPRODUCT(('Urban Plastix Holds'!$H$37:$H$705)*('Urban Plastix Holds'!$C$37:$C$705=$A36),'Urban Plastix Holds'!O$37:O$705),0)</f>
        <v>0</v>
      </c>
      <c r="E36" s="70">
        <f>IFERROR(SUMPRODUCT(('Kilter Holds'!$O$37:$O$662)*('Kilter Holds'!$C$37:$C$662=$A36),'Kilter Holds'!W$37:W$662),0)+IFERROR(SUMPRODUCT(('Urban Plastix Holds'!$H$37:$H$705)*('Urban Plastix Holds'!$C$37:$C$705=$A36),'Urban Plastix Holds'!P$37:P$705),0)</f>
        <v>0</v>
      </c>
      <c r="F36" s="70">
        <f>IFERROR(SUMPRODUCT(('Kilter Holds'!$O$37:$O$662)*('Kilter Holds'!$C$37:$C$662=$A36),'Kilter Holds'!X$37:X$662),0)+IFERROR(SUMPRODUCT(('Urban Plastix Holds'!$H$37:$H$705)*('Urban Plastix Holds'!$C$37:$C$705=$A36),'Urban Plastix Holds'!Q$37:Q$705),0)</f>
        <v>0</v>
      </c>
      <c r="G36" s="70">
        <f>IFERROR(SUMPRODUCT(('Kilter Holds'!$O$37:$O$662)*('Kilter Holds'!$C$37:$C$662=$A36),'Kilter Holds'!Y$37:Y$662),0)+IFERROR(SUMPRODUCT(('Urban Plastix Holds'!$H$37:$H$705)*('Urban Plastix Holds'!$C$37:$C$705=$A36),'Urban Plastix Holds'!R$37:R$705),0)</f>
        <v>0</v>
      </c>
      <c r="H36" s="70">
        <f>IFERROR(SUMPRODUCT(('Kilter Holds'!$O$37:$O$662)*('Kilter Holds'!$C$37:$C$662=$A36),'Kilter Holds'!Z$37:Z$662),0)+IFERROR(SUMPRODUCT(('Urban Plastix Holds'!$H$37:$H$705)*('Urban Plastix Holds'!$C$37:$C$705=$A36),'Urban Plastix Holds'!S$37:S$705),0)</f>
        <v>0</v>
      </c>
      <c r="I36" s="70">
        <f>IFERROR(SUMPRODUCT(('Kilter Holds'!$O$37:$O$662)*('Kilter Holds'!$C$37:$C$662=$A36),'Kilter Holds'!AA$37:AA$662),0)+IFERROR(SUMPRODUCT(('Urban Plastix Holds'!$H$37:$H$705)*('Urban Plastix Holds'!$C$37:$C$705=$A36),'Urban Plastix Holds'!T$37:T$705),0)</f>
        <v>0</v>
      </c>
      <c r="J36" s="103">
        <f>IFERROR(SUMPRODUCT(('Kilter Holds'!$O$37:$O$662)*('Kilter Holds'!$C$37:$C$662=$A36),'Kilter Holds'!AB$37:AB$662),0)+IFERROR(SUMPRODUCT(('Urban Plastix Holds'!$H$37:$H$705)*('Urban Plastix Holds'!$C$37:$C$705=$A36),'Urban Plastix Holds'!U$37:U$705),0)</f>
        <v>0</v>
      </c>
      <c r="K36" s="72">
        <f t="shared" si="13"/>
        <v>0</v>
      </c>
      <c r="L36" s="73">
        <f t="shared" si="14"/>
        <v>0</v>
      </c>
      <c r="M36" s="465"/>
      <c r="N36" s="1"/>
      <c r="O36" s="1"/>
      <c r="P36" s="1"/>
      <c r="Q36" s="1"/>
      <c r="R36" s="1"/>
      <c r="S36" s="1"/>
      <c r="T36" s="1"/>
      <c r="U36" s="1"/>
      <c r="V36" s="1"/>
      <c r="W36" s="1"/>
      <c r="X36" s="1"/>
      <c r="Y36" s="1"/>
      <c r="Z36" s="1"/>
      <c r="AA36" s="1"/>
    </row>
    <row r="37" spans="1:27" ht="15.75" customHeight="1">
      <c r="A37" s="56" t="s">
        <v>55</v>
      </c>
      <c r="B37" s="95">
        <f>IFERROR(SUMPRODUCT(('Kilter Holds'!$O$37:$O$662)*('Kilter Holds'!$C$37:$C$662=$A37),'Kilter Holds'!T$37:T$662),0)+IFERROR(SUMPRODUCT(('Urban Plastix Holds'!$H$37:$H$705)*('Urban Plastix Holds'!$C$37:$C$705=$A37),'Urban Plastix Holds'!M$37:M$705),0)</f>
        <v>0</v>
      </c>
      <c r="C37" s="64">
        <f>IFERROR(SUMPRODUCT(('Kilter Holds'!$O$37:$O$662)*('Kilter Holds'!$C$37:$C$662=$A37),'Kilter Holds'!U$37:U$662),0)+IFERROR(SUMPRODUCT(('Urban Plastix Holds'!$H$37:$H$705)*('Urban Plastix Holds'!$C$37:$C$705=$A37),'Urban Plastix Holds'!N$37:N$705),0)</f>
        <v>0</v>
      </c>
      <c r="D37" s="64">
        <f>IFERROR(SUMPRODUCT(('Kilter Holds'!$O$37:$O$662)*('Kilter Holds'!$C$37:$C$662=$A37),'Kilter Holds'!V$37:V$662),0)+IFERROR(SUMPRODUCT(('Urban Plastix Holds'!$H$37:$H$705)*('Urban Plastix Holds'!$C$37:$C$705=$A37),'Urban Plastix Holds'!O$37:O$705),0)</f>
        <v>0</v>
      </c>
      <c r="E37" s="64">
        <f>IFERROR(SUMPRODUCT(('Kilter Holds'!$O$37:$O$662)*('Kilter Holds'!$C$37:$C$662=$A37),'Kilter Holds'!W$37:W$662),0)+IFERROR(SUMPRODUCT(('Urban Plastix Holds'!$H$37:$H$705)*('Urban Plastix Holds'!$C$37:$C$705=$A37),'Urban Plastix Holds'!P$37:P$705),0)</f>
        <v>0</v>
      </c>
      <c r="F37" s="64">
        <f>IFERROR(SUMPRODUCT(('Kilter Holds'!$O$37:$O$662)*('Kilter Holds'!$C$37:$C$662=$A37),'Kilter Holds'!X$37:X$662),0)+IFERROR(SUMPRODUCT(('Urban Plastix Holds'!$H$37:$H$705)*('Urban Plastix Holds'!$C$37:$C$705=$A37),'Urban Plastix Holds'!Q$37:Q$705),0)</f>
        <v>0</v>
      </c>
      <c r="G37" s="64">
        <f>IFERROR(SUMPRODUCT(('Kilter Holds'!$O$37:$O$662)*('Kilter Holds'!$C$37:$C$662=$A37),'Kilter Holds'!Y$37:Y$662),0)+IFERROR(SUMPRODUCT(('Urban Plastix Holds'!$H$37:$H$705)*('Urban Plastix Holds'!$C$37:$C$705=$A37),'Urban Plastix Holds'!R$37:R$705),0)</f>
        <v>0</v>
      </c>
      <c r="H37" s="64">
        <f>IFERROR(SUMPRODUCT(('Kilter Holds'!$O$37:$O$662)*('Kilter Holds'!$C$37:$C$662=$A37),'Kilter Holds'!Z$37:Z$662),0)+IFERROR(SUMPRODUCT(('Urban Plastix Holds'!$H$37:$H$705)*('Urban Plastix Holds'!$C$37:$C$705=$A37),'Urban Plastix Holds'!S$37:S$705),0)</f>
        <v>0</v>
      </c>
      <c r="I37" s="64">
        <f>IFERROR(SUMPRODUCT(('Kilter Holds'!$O$37:$O$662)*('Kilter Holds'!$C$37:$C$662=$A37),'Kilter Holds'!AA$37:AA$662),0)+IFERROR(SUMPRODUCT(('Urban Plastix Holds'!$H$37:$H$705)*('Urban Plastix Holds'!$C$37:$C$705=$A37),'Urban Plastix Holds'!T$37:T$705),0)</f>
        <v>0</v>
      </c>
      <c r="J37" s="96">
        <f>IFERROR(SUMPRODUCT(('Kilter Holds'!$O$37:$O$662)*('Kilter Holds'!$C$37:$C$662=$A37),'Kilter Holds'!AB$37:AB$662),0)+IFERROR(SUMPRODUCT(('Urban Plastix Holds'!$H$37:$H$705)*('Urban Plastix Holds'!$C$37:$C$705=$A37),'Urban Plastix Holds'!U$37:U$705),0)</f>
        <v>0</v>
      </c>
      <c r="K37" s="60">
        <f t="shared" si="13"/>
        <v>0</v>
      </c>
      <c r="L37" s="61">
        <f t="shared" si="14"/>
        <v>0</v>
      </c>
      <c r="M37" s="104">
        <f t="shared" ref="M37:M41" si="15">L37</f>
        <v>0</v>
      </c>
      <c r="N37" s="1"/>
      <c r="O37" s="1"/>
      <c r="P37" s="1"/>
      <c r="Q37" s="1"/>
      <c r="R37" s="1"/>
      <c r="S37" s="1"/>
      <c r="T37" s="1"/>
      <c r="U37" s="1"/>
      <c r="V37" s="1"/>
      <c r="W37" s="1"/>
      <c r="X37" s="1"/>
      <c r="Y37" s="1"/>
      <c r="Z37" s="1"/>
      <c r="AA37" s="1"/>
    </row>
    <row r="38" spans="1:27" ht="15.75" customHeight="1">
      <c r="A38" s="62" t="s">
        <v>56</v>
      </c>
      <c r="B38" s="95">
        <f>IFERROR(SUMPRODUCT(('Kilter Holds'!$O$37:$O$662)*('Kilter Holds'!$C$37:$C$662=$A38),'Kilter Holds'!T$37:T$662),0)+IFERROR(SUMPRODUCT(('Urban Plastix Holds'!$H$37:$H$705)*('Urban Plastix Holds'!$C$37:$C$705=$A38),'Urban Plastix Holds'!M$37:M$705),0)</f>
        <v>0</v>
      </c>
      <c r="C38" s="64">
        <f>IFERROR(SUMPRODUCT(('Kilter Holds'!$O$37:$O$662)*('Kilter Holds'!$C$37:$C$662=$A38),'Kilter Holds'!U$37:U$662),0)+IFERROR(SUMPRODUCT(('Urban Plastix Holds'!$H$37:$H$705)*('Urban Plastix Holds'!$C$37:$C$705=$A38),'Urban Plastix Holds'!N$37:N$705),0)</f>
        <v>0</v>
      </c>
      <c r="D38" s="64">
        <f>IFERROR(SUMPRODUCT(('Kilter Holds'!$O$37:$O$662)*('Kilter Holds'!$C$37:$C$662=$A38),'Kilter Holds'!V$37:V$662),0)+IFERROR(SUMPRODUCT(('Urban Plastix Holds'!$H$37:$H$705)*('Urban Plastix Holds'!$C$37:$C$705=$A38),'Urban Plastix Holds'!O$37:O$705),0)</f>
        <v>0</v>
      </c>
      <c r="E38" s="64">
        <f>IFERROR(SUMPRODUCT(('Kilter Holds'!$O$37:$O$662)*('Kilter Holds'!$C$37:$C$662=$A38),'Kilter Holds'!W$37:W$662),0)+IFERROR(SUMPRODUCT(('Urban Plastix Holds'!$H$37:$H$705)*('Urban Plastix Holds'!$C$37:$C$705=$A38),'Urban Plastix Holds'!P$37:P$705),0)</f>
        <v>0</v>
      </c>
      <c r="F38" s="64">
        <f>IFERROR(SUMPRODUCT(('Kilter Holds'!$O$37:$O$662)*('Kilter Holds'!$C$37:$C$662=$A38),'Kilter Holds'!X$37:X$662),0)+IFERROR(SUMPRODUCT(('Urban Plastix Holds'!$H$37:$H$705)*('Urban Plastix Holds'!$C$37:$C$705=$A38),'Urban Plastix Holds'!Q$37:Q$705),0)</f>
        <v>0</v>
      </c>
      <c r="G38" s="64">
        <f>IFERROR(SUMPRODUCT(('Kilter Holds'!$O$37:$O$662)*('Kilter Holds'!$C$37:$C$662=$A38),'Kilter Holds'!Y$37:Y$662),0)+IFERROR(SUMPRODUCT(('Urban Plastix Holds'!$H$37:$H$705)*('Urban Plastix Holds'!$C$37:$C$705=$A38),'Urban Plastix Holds'!R$37:R$705),0)</f>
        <v>0</v>
      </c>
      <c r="H38" s="64">
        <f>IFERROR(SUMPRODUCT(('Kilter Holds'!$O$37:$O$662)*('Kilter Holds'!$C$37:$C$662=$A38),'Kilter Holds'!Z$37:Z$662),0)+IFERROR(SUMPRODUCT(('Urban Plastix Holds'!$H$37:$H$705)*('Urban Plastix Holds'!$C$37:$C$705=$A38),'Urban Plastix Holds'!S$37:S$705),0)</f>
        <v>0</v>
      </c>
      <c r="I38" s="64">
        <f>IFERROR(SUMPRODUCT(('Kilter Holds'!$O$37:$O$662)*('Kilter Holds'!$C$37:$C$662=$A38),'Kilter Holds'!AA$37:AA$662),0)+IFERROR(SUMPRODUCT(('Urban Plastix Holds'!$H$37:$H$705)*('Urban Plastix Holds'!$C$37:$C$705=$A38),'Urban Plastix Holds'!T$37:T$705),0)</f>
        <v>0</v>
      </c>
      <c r="J38" s="96">
        <f>IFERROR(SUMPRODUCT(('Kilter Holds'!$O$37:$O$662)*('Kilter Holds'!$C$37:$C$662=$A38),'Kilter Holds'!AB$37:AB$662),0)+IFERROR(SUMPRODUCT(('Urban Plastix Holds'!$H$37:$H$705)*('Urban Plastix Holds'!$C$37:$C$705=$A38),'Urban Plastix Holds'!U$37:U$705),0)</f>
        <v>0</v>
      </c>
      <c r="K38" s="66">
        <f t="shared" si="13"/>
        <v>0</v>
      </c>
      <c r="L38" s="67">
        <f t="shared" si="14"/>
        <v>0</v>
      </c>
      <c r="M38" s="104">
        <f t="shared" si="15"/>
        <v>0</v>
      </c>
      <c r="N38" s="1"/>
      <c r="O38" s="1"/>
      <c r="P38" s="1"/>
      <c r="Q38" s="1"/>
      <c r="R38" s="1"/>
      <c r="S38" s="1"/>
      <c r="T38" s="1"/>
      <c r="U38" s="1"/>
      <c r="V38" s="1"/>
      <c r="W38" s="1"/>
      <c r="X38" s="1"/>
      <c r="Y38" s="1"/>
      <c r="Z38" s="1"/>
      <c r="AA38" s="1"/>
    </row>
    <row r="39" spans="1:27" ht="15.75" customHeight="1">
      <c r="A39" s="62" t="s">
        <v>57</v>
      </c>
      <c r="B39" s="95">
        <f>IFERROR(SUMPRODUCT(('Kilter Holds'!$O$37:$O$662)*('Kilter Holds'!$C$37:$C$662=$A39),'Kilter Holds'!T$37:T$662),0)+IFERROR(SUMPRODUCT(('Urban Plastix Holds'!$H$37:$H$705)*('Urban Plastix Holds'!$C$37:$C$705=$A39),'Urban Plastix Holds'!M$37:M$705),0)</f>
        <v>0</v>
      </c>
      <c r="C39" s="64">
        <f>IFERROR(SUMPRODUCT(('Kilter Holds'!$O$37:$O$662)*('Kilter Holds'!$C$37:$C$662=$A39),'Kilter Holds'!U$37:U$662),0)+IFERROR(SUMPRODUCT(('Urban Plastix Holds'!$H$37:$H$705)*('Urban Plastix Holds'!$C$37:$C$705=$A39),'Urban Plastix Holds'!N$37:N$705),0)</f>
        <v>0</v>
      </c>
      <c r="D39" s="64">
        <f>IFERROR(SUMPRODUCT(('Kilter Holds'!$O$37:$O$662)*('Kilter Holds'!$C$37:$C$662=$A39),'Kilter Holds'!V$37:V$662),0)+IFERROR(SUMPRODUCT(('Urban Plastix Holds'!$H$37:$H$705)*('Urban Plastix Holds'!$C$37:$C$705=$A39),'Urban Plastix Holds'!O$37:O$705),0)</f>
        <v>0</v>
      </c>
      <c r="E39" s="64">
        <f>IFERROR(SUMPRODUCT(('Kilter Holds'!$O$37:$O$662)*('Kilter Holds'!$C$37:$C$662=$A39),'Kilter Holds'!W$37:W$662),0)+IFERROR(SUMPRODUCT(('Urban Plastix Holds'!$H$37:$H$705)*('Urban Plastix Holds'!$C$37:$C$705=$A39),'Urban Plastix Holds'!P$37:P$705),0)</f>
        <v>0</v>
      </c>
      <c r="F39" s="64">
        <f>IFERROR(SUMPRODUCT(('Kilter Holds'!$O$37:$O$662)*('Kilter Holds'!$C$37:$C$662=$A39),'Kilter Holds'!X$37:X$662),0)+IFERROR(SUMPRODUCT(('Urban Plastix Holds'!$H$37:$H$705)*('Urban Plastix Holds'!$C$37:$C$705=$A39),'Urban Plastix Holds'!Q$37:Q$705),0)</f>
        <v>0</v>
      </c>
      <c r="G39" s="64">
        <f>IFERROR(SUMPRODUCT(('Kilter Holds'!$O$37:$O$662)*('Kilter Holds'!$C$37:$C$662=$A39),'Kilter Holds'!Y$37:Y$662),0)+IFERROR(SUMPRODUCT(('Urban Plastix Holds'!$H$37:$H$705)*('Urban Plastix Holds'!$C$37:$C$705=$A39),'Urban Plastix Holds'!R$37:R$705),0)</f>
        <v>0</v>
      </c>
      <c r="H39" s="64">
        <f>IFERROR(SUMPRODUCT(('Kilter Holds'!$O$37:$O$662)*('Kilter Holds'!$C$37:$C$662=$A39),'Kilter Holds'!Z$37:Z$662),0)+IFERROR(SUMPRODUCT(('Urban Plastix Holds'!$H$37:$H$705)*('Urban Plastix Holds'!$C$37:$C$705=$A39),'Urban Plastix Holds'!S$37:S$705),0)</f>
        <v>0</v>
      </c>
      <c r="I39" s="64">
        <f>IFERROR(SUMPRODUCT(('Kilter Holds'!$O$37:$O$662)*('Kilter Holds'!$C$37:$C$662=$A39),'Kilter Holds'!AA$37:AA$662),0)+IFERROR(SUMPRODUCT(('Urban Plastix Holds'!$H$37:$H$705)*('Urban Plastix Holds'!$C$37:$C$705=$A39),'Urban Plastix Holds'!T$37:T$705),0)</f>
        <v>0</v>
      </c>
      <c r="J39" s="96">
        <f>IFERROR(SUMPRODUCT(('Kilter Holds'!$O$37:$O$662)*('Kilter Holds'!$C$37:$C$662=$A39),'Kilter Holds'!AB$37:AB$662),0)+IFERROR(SUMPRODUCT(('Urban Plastix Holds'!$H$37:$H$705)*('Urban Plastix Holds'!$C$37:$C$705=$A39),'Urban Plastix Holds'!U$37:U$705),0)</f>
        <v>0</v>
      </c>
      <c r="K39" s="66">
        <f t="shared" si="13"/>
        <v>0</v>
      </c>
      <c r="L39" s="67">
        <f t="shared" si="14"/>
        <v>0</v>
      </c>
      <c r="M39" s="104">
        <f t="shared" si="15"/>
        <v>0</v>
      </c>
      <c r="N39" s="1"/>
      <c r="O39" s="1"/>
      <c r="P39" s="1"/>
      <c r="Q39" s="1"/>
      <c r="R39" s="1"/>
      <c r="S39" s="1"/>
      <c r="T39" s="1"/>
      <c r="U39" s="1"/>
      <c r="V39" s="1"/>
      <c r="W39" s="1"/>
      <c r="X39" s="1"/>
      <c r="Y39" s="1"/>
      <c r="Z39" s="1"/>
      <c r="AA39" s="1"/>
    </row>
    <row r="40" spans="1:27" ht="15.75" customHeight="1">
      <c r="A40" s="68" t="s">
        <v>58</v>
      </c>
      <c r="B40" s="102">
        <f>IFERROR(SUMPRODUCT(('Kilter Holds'!$O$37:$O$662)*('Kilter Holds'!$C$37:$C$662=$A40),'Kilter Holds'!T$37:T$662),0)+IFERROR(SUMPRODUCT(('Urban Plastix Holds'!$H$37:$H$705)*('Urban Plastix Holds'!$C$37:$C$705=$A40),'Urban Plastix Holds'!M$37:M$705),0)</f>
        <v>0</v>
      </c>
      <c r="C40" s="70">
        <f>IFERROR(SUMPRODUCT(('Kilter Holds'!$O$37:$O$662)*('Kilter Holds'!$C$37:$C$662=$A40),'Kilter Holds'!U$37:U$662),0)+IFERROR(SUMPRODUCT(('Urban Plastix Holds'!$H$37:$H$705)*('Urban Plastix Holds'!$C$37:$C$705=$A40),'Urban Plastix Holds'!N$37:N$705),0)</f>
        <v>0</v>
      </c>
      <c r="D40" s="70">
        <f>IFERROR(SUMPRODUCT(('Kilter Holds'!$O$37:$O$662)*('Kilter Holds'!$C$37:$C$662=$A40),'Kilter Holds'!V$37:V$662),0)+IFERROR(SUMPRODUCT(('Urban Plastix Holds'!$H$37:$H$705)*('Urban Plastix Holds'!$C$37:$C$705=$A40),'Urban Plastix Holds'!O$37:O$705),0)</f>
        <v>0</v>
      </c>
      <c r="E40" s="70">
        <f>IFERROR(SUMPRODUCT(('Kilter Holds'!$O$37:$O$662)*('Kilter Holds'!$C$37:$C$662=$A40),'Kilter Holds'!W$37:W$662),0)+IFERROR(SUMPRODUCT(('Urban Plastix Holds'!$H$37:$H$705)*('Urban Plastix Holds'!$C$37:$C$705=$A40),'Urban Plastix Holds'!P$37:P$705),0)</f>
        <v>0</v>
      </c>
      <c r="F40" s="70">
        <f>IFERROR(SUMPRODUCT(('Kilter Holds'!$O$37:$O$662)*('Kilter Holds'!$C$37:$C$662=$A40),'Kilter Holds'!X$37:X$662),0)+IFERROR(SUMPRODUCT(('Urban Plastix Holds'!$H$37:$H$705)*('Urban Plastix Holds'!$C$37:$C$705=$A40),'Urban Plastix Holds'!Q$37:Q$705),0)</f>
        <v>0</v>
      </c>
      <c r="G40" s="70">
        <f>IFERROR(SUMPRODUCT(('Kilter Holds'!$O$37:$O$662)*('Kilter Holds'!$C$37:$C$662=$A40),'Kilter Holds'!Y$37:Y$662),0)+IFERROR(SUMPRODUCT(('Urban Plastix Holds'!$H$37:$H$705)*('Urban Plastix Holds'!$C$37:$C$705=$A40),'Urban Plastix Holds'!R$37:R$705),0)</f>
        <v>0</v>
      </c>
      <c r="H40" s="70">
        <f>IFERROR(SUMPRODUCT(('Kilter Holds'!$O$37:$O$662)*('Kilter Holds'!$C$37:$C$662=$A40),'Kilter Holds'!Z$37:Z$662),0)+IFERROR(SUMPRODUCT(('Urban Plastix Holds'!$H$37:$H$705)*('Urban Plastix Holds'!$C$37:$C$705=$A40),'Urban Plastix Holds'!S$37:S$705),0)</f>
        <v>0</v>
      </c>
      <c r="I40" s="70">
        <f>IFERROR(SUMPRODUCT(('Kilter Holds'!$O$37:$O$662)*('Kilter Holds'!$C$37:$C$662=$A40),'Kilter Holds'!AA$37:AA$662),0)+IFERROR(SUMPRODUCT(('Urban Plastix Holds'!$H$37:$H$705)*('Urban Plastix Holds'!$C$37:$C$705=$A40),'Urban Plastix Holds'!T$37:T$705),0)</f>
        <v>0</v>
      </c>
      <c r="J40" s="103">
        <f>IFERROR(SUMPRODUCT(('Kilter Holds'!$O$37:$O$662)*('Kilter Holds'!$C$37:$C$662=$A40),'Kilter Holds'!AB$37:AB$662),0)+IFERROR(SUMPRODUCT(('Urban Plastix Holds'!$H$37:$H$705)*('Urban Plastix Holds'!$C$37:$C$705=$A40),'Urban Plastix Holds'!U$37:U$705),0)</f>
        <v>0</v>
      </c>
      <c r="K40" s="72">
        <f t="shared" si="13"/>
        <v>0</v>
      </c>
      <c r="L40" s="73">
        <f t="shared" si="14"/>
        <v>0</v>
      </c>
      <c r="M40" s="104">
        <f t="shared" si="15"/>
        <v>0</v>
      </c>
      <c r="N40" s="1"/>
      <c r="O40" s="1"/>
      <c r="P40" s="1"/>
      <c r="Q40" s="1"/>
      <c r="R40" s="1"/>
      <c r="S40" s="1"/>
      <c r="T40" s="1"/>
      <c r="U40" s="1"/>
      <c r="V40" s="1"/>
      <c r="W40" s="1"/>
      <c r="X40" s="1"/>
      <c r="Y40" s="1"/>
      <c r="Z40" s="1"/>
      <c r="AA40" s="1"/>
    </row>
    <row r="41" spans="1:27" ht="15.75" customHeight="1">
      <c r="A41" s="68" t="s">
        <v>41</v>
      </c>
      <c r="B41" s="102">
        <f>IFERROR(SUMPRODUCT(('Kilter Holds'!$O$37:$O$662)*('Kilter Holds'!$C$37:$C$662=$A41),'Kilter Holds'!T$37:T$662),0)+IFERROR(SUMPRODUCT(('Urban Plastix Holds'!$H$37:$H$705)*('Urban Plastix Holds'!$C$37:$C$705=$A41),'Urban Plastix Holds'!M$37:M$705),0)</f>
        <v>0</v>
      </c>
      <c r="C41" s="70">
        <f>IFERROR(SUMPRODUCT(('Kilter Holds'!$O$37:$O$662)*('Kilter Holds'!$C$37:$C$662=$A41),'Kilter Holds'!U$37:U$662),0)+IFERROR(SUMPRODUCT(('Urban Plastix Holds'!$H$37:$H$705)*('Urban Plastix Holds'!$C$37:$C$705=$A41),'Urban Plastix Holds'!N$37:N$705),0)</f>
        <v>0</v>
      </c>
      <c r="D41" s="70">
        <f>IFERROR(SUMPRODUCT(('Kilter Holds'!$O$37:$O$662)*('Kilter Holds'!$C$37:$C$662=$A41),'Kilter Holds'!V$37:V$662),0)+IFERROR(SUMPRODUCT(('Urban Plastix Holds'!$H$37:$H$705)*('Urban Plastix Holds'!$C$37:$C$705=$A41),'Urban Plastix Holds'!O$37:O$705),0)</f>
        <v>0</v>
      </c>
      <c r="E41" s="70">
        <f>IFERROR(SUMPRODUCT(('Kilter Holds'!$O$37:$O$662)*('Kilter Holds'!$C$37:$C$662=$A41),'Kilter Holds'!W$37:W$662),0)+IFERROR(SUMPRODUCT(('Urban Plastix Holds'!$H$37:$H$705)*('Urban Plastix Holds'!$C$37:$C$705=$A41),'Urban Plastix Holds'!P$37:P$705),0)</f>
        <v>0</v>
      </c>
      <c r="F41" s="70">
        <f>IFERROR(SUMPRODUCT(('Kilter Holds'!$O$37:$O$662)*('Kilter Holds'!$C$37:$C$662=$A41),'Kilter Holds'!X$37:X$662),0)+IFERROR(SUMPRODUCT(('Urban Plastix Holds'!$H$37:$H$705)*('Urban Plastix Holds'!$C$37:$C$705=$A41),'Urban Plastix Holds'!Q$37:Q$705),0)</f>
        <v>0</v>
      </c>
      <c r="G41" s="70">
        <f>IFERROR(SUMPRODUCT(('Kilter Holds'!$O$37:$O$662)*('Kilter Holds'!$C$37:$C$662=$A41),'Kilter Holds'!Y$37:Y$662),0)+IFERROR(SUMPRODUCT(('Urban Plastix Holds'!$H$37:$H$705)*('Urban Plastix Holds'!$C$37:$C$705=$A41),'Urban Plastix Holds'!R$37:R$705),0)</f>
        <v>0</v>
      </c>
      <c r="H41" s="70">
        <f>IFERROR(SUMPRODUCT(('Kilter Holds'!$O$37:$O$662)*('Kilter Holds'!$C$37:$C$662=$A41),'Kilter Holds'!Z$37:Z$662),0)+IFERROR(SUMPRODUCT(('Urban Plastix Holds'!$H$37:$H$705)*('Urban Plastix Holds'!$C$37:$C$705=$A41),'Urban Plastix Holds'!S$37:S$705),0)</f>
        <v>0</v>
      </c>
      <c r="I41" s="70">
        <f>IFERROR(SUMPRODUCT(('Kilter Holds'!$O$37:$O$662)*('Kilter Holds'!$C$37:$C$662=$A41),'Kilter Holds'!AA$37:AA$662),0)+IFERROR(SUMPRODUCT(('Urban Plastix Holds'!$H$37:$H$705)*('Urban Plastix Holds'!$C$37:$C$705=$A41),'Urban Plastix Holds'!T$37:T$705),0)</f>
        <v>0</v>
      </c>
      <c r="J41" s="103">
        <f>IFERROR(SUMPRODUCT(('Kilter Holds'!$O$37:$O$662)*('Kilter Holds'!$C$37:$C$662=$A41),'Kilter Holds'!AB$37:AB$662),0)+IFERROR(SUMPRODUCT(('Urban Plastix Holds'!$H$37:$H$705)*('Urban Plastix Holds'!$C$37:$C$705=$A41),'Urban Plastix Holds'!U$37:U$705),0)</f>
        <v>0</v>
      </c>
      <c r="K41" s="66">
        <f t="shared" si="13"/>
        <v>0</v>
      </c>
      <c r="L41" s="67">
        <f t="shared" si="14"/>
        <v>0</v>
      </c>
      <c r="M41" s="104">
        <f t="shared" si="15"/>
        <v>0</v>
      </c>
      <c r="N41" s="1"/>
      <c r="O41" s="1"/>
      <c r="P41" s="1"/>
      <c r="Q41" s="1"/>
      <c r="R41" s="1"/>
      <c r="S41" s="1"/>
      <c r="T41" s="1"/>
      <c r="U41" s="1"/>
      <c r="V41" s="1"/>
      <c r="W41" s="1"/>
      <c r="X41" s="1"/>
      <c r="Y41" s="1"/>
      <c r="Z41" s="1"/>
      <c r="AA41" s="1"/>
    </row>
    <row r="42" spans="1:27" ht="15.75" customHeight="1">
      <c r="A42" s="81" t="s">
        <v>59</v>
      </c>
      <c r="B42" s="82">
        <f t="shared" ref="B42:K42" si="16">SUM(B34:B41)</f>
        <v>0</v>
      </c>
      <c r="C42" s="82">
        <f t="shared" si="16"/>
        <v>0</v>
      </c>
      <c r="D42" s="82">
        <f t="shared" si="16"/>
        <v>0</v>
      </c>
      <c r="E42" s="82">
        <f t="shared" si="16"/>
        <v>0</v>
      </c>
      <c r="F42" s="82">
        <f t="shared" si="16"/>
        <v>0</v>
      </c>
      <c r="G42" s="82">
        <f t="shared" si="16"/>
        <v>0</v>
      </c>
      <c r="H42" s="82">
        <f t="shared" si="16"/>
        <v>0</v>
      </c>
      <c r="I42" s="82">
        <f t="shared" si="16"/>
        <v>0</v>
      </c>
      <c r="J42" s="82">
        <f t="shared" si="16"/>
        <v>0</v>
      </c>
      <c r="K42" s="83">
        <f t="shared" si="16"/>
        <v>0</v>
      </c>
      <c r="L42" s="84" t="s">
        <v>15</v>
      </c>
      <c r="M42" s="1"/>
      <c r="N42" s="1"/>
      <c r="O42" s="1"/>
      <c r="P42" s="1"/>
      <c r="Q42" s="1"/>
      <c r="R42" s="1"/>
      <c r="S42" s="1"/>
      <c r="T42" s="1"/>
      <c r="U42" s="1"/>
      <c r="V42" s="1"/>
      <c r="W42" s="1"/>
      <c r="X42" s="1"/>
      <c r="Y42" s="1"/>
      <c r="Z42" s="1"/>
      <c r="AA42" s="1"/>
    </row>
    <row r="43" spans="1:27" ht="15.75" customHeight="1">
      <c r="A43" s="87" t="s">
        <v>51</v>
      </c>
      <c r="B43" s="88">
        <f t="shared" ref="B43:J43" si="17">IFERROR(B42/$K$19,0)</f>
        <v>0</v>
      </c>
      <c r="C43" s="88">
        <f t="shared" si="17"/>
        <v>0</v>
      </c>
      <c r="D43" s="88">
        <f t="shared" si="17"/>
        <v>0</v>
      </c>
      <c r="E43" s="88">
        <f t="shared" si="17"/>
        <v>0</v>
      </c>
      <c r="F43" s="88">
        <f t="shared" si="17"/>
        <v>0</v>
      </c>
      <c r="G43" s="88">
        <f t="shared" si="17"/>
        <v>0</v>
      </c>
      <c r="H43" s="88">
        <f t="shared" si="17"/>
        <v>0</v>
      </c>
      <c r="I43" s="88">
        <f t="shared" si="17"/>
        <v>0</v>
      </c>
      <c r="J43" s="88">
        <f t="shared" si="17"/>
        <v>0</v>
      </c>
      <c r="N43" s="1"/>
      <c r="O43" s="1"/>
      <c r="P43" s="1"/>
      <c r="Q43" s="1"/>
      <c r="R43" s="1"/>
      <c r="S43" s="1"/>
      <c r="T43" s="1"/>
      <c r="U43" s="1"/>
      <c r="V43" s="1"/>
      <c r="W43" s="1"/>
      <c r="X43" s="1"/>
      <c r="Y43" s="1"/>
      <c r="Z43" s="1"/>
      <c r="AA43" s="1"/>
    </row>
    <row r="44" spans="1:27" ht="15.75" customHeight="1">
      <c r="A44" s="105"/>
      <c r="B44" s="1"/>
      <c r="C44" s="1"/>
      <c r="D44" s="1"/>
      <c r="E44" s="1"/>
      <c r="F44" s="1"/>
      <c r="G44" s="1"/>
      <c r="H44" s="1"/>
      <c r="I44" s="1"/>
      <c r="J44" s="1"/>
      <c r="K44" s="1"/>
      <c r="L44" s="89"/>
      <c r="M44" s="1"/>
      <c r="N44" s="1"/>
      <c r="O44" s="1"/>
      <c r="P44" s="1"/>
      <c r="Q44" s="1"/>
      <c r="R44" s="1"/>
      <c r="S44" s="1"/>
      <c r="T44" s="1"/>
      <c r="U44" s="1"/>
      <c r="V44" s="1"/>
      <c r="W44" s="1"/>
      <c r="X44" s="1"/>
      <c r="Y44" s="1"/>
      <c r="Z44" s="1"/>
      <c r="AA44" s="1"/>
    </row>
    <row r="45" spans="1:27" ht="15.75" customHeight="1">
      <c r="A45" s="43" t="s">
        <v>24</v>
      </c>
      <c r="B45" s="44" t="str">
        <f t="shared" ref="B45:J45" si="18">B2</f>
        <v>Red</v>
      </c>
      <c r="C45" s="45" t="str">
        <f t="shared" si="18"/>
        <v>Orange</v>
      </c>
      <c r="D45" s="46" t="str">
        <f t="shared" si="18"/>
        <v>Yellow</v>
      </c>
      <c r="E45" s="47" t="str">
        <f t="shared" si="18"/>
        <v>Green</v>
      </c>
      <c r="F45" s="48" t="str">
        <f t="shared" si="18"/>
        <v>Blue</v>
      </c>
      <c r="G45" s="49" t="str">
        <f t="shared" si="18"/>
        <v>Purple</v>
      </c>
      <c r="H45" s="50" t="str">
        <f t="shared" si="18"/>
        <v>Hot Pink</v>
      </c>
      <c r="I45" s="51" t="str">
        <f t="shared" si="18"/>
        <v>Black</v>
      </c>
      <c r="J45" s="52" t="str">
        <f t="shared" si="18"/>
        <v>Other Color</v>
      </c>
      <c r="K45" s="53" t="s">
        <v>25</v>
      </c>
      <c r="L45" s="54" t="s">
        <v>26</v>
      </c>
      <c r="M45" s="1"/>
      <c r="N45" s="1"/>
      <c r="O45" s="1"/>
      <c r="P45" s="1"/>
      <c r="Q45" s="1"/>
      <c r="R45" s="1"/>
      <c r="S45" s="1"/>
      <c r="T45" s="1"/>
      <c r="U45" s="1"/>
      <c r="V45" s="1"/>
      <c r="W45" s="1"/>
      <c r="X45" s="1"/>
      <c r="Y45" s="1"/>
      <c r="Z45" s="1"/>
      <c r="AA45" s="1"/>
    </row>
    <row r="46" spans="1:27" ht="15.75" customHeight="1">
      <c r="A46" s="56" t="s">
        <v>60</v>
      </c>
      <c r="B46" s="57">
        <f>IFERROR(SUMPRODUCT(('Kilter Holds'!$E$37:$E$662)*('Kilter Holds'!$D$37:$D$662=$A46),'Kilter Holds'!T$37:T$662),0)+IFERROR(SUMPRODUCT(('Urban Plastix Holds'!$H$37:$H$705)*('Urban Plastix Holds'!$D$37:$D$705=$A46),'Urban Plastix Holds'!M$37:M$705),0)+IFERROR(SUMPRODUCT(('Kilter Holds'!$G$37:$G$662)*('Kilter Holds'!$F$37:$F$662=$A46),'Kilter Holds'!T$37:T$662),0)</f>
        <v>0</v>
      </c>
      <c r="C46" s="58">
        <f>IFERROR(SUMPRODUCT(('Kilter Holds'!$E$37:$E$662)*('Kilter Holds'!$D$37:$D$662=$A46),'Kilter Holds'!U$37:U$662),0)+IFERROR(SUMPRODUCT(('Urban Plastix Holds'!$H$37:$H$705)*('Urban Plastix Holds'!$D$37:$D$705=$A46),'Urban Plastix Holds'!N$37:N$705),0)+IFERROR(SUMPRODUCT(('Kilter Holds'!$G$37:$G$662)*('Kilter Holds'!$F$37:$F$662=$A46),'Kilter Holds'!U$37:U$662),0)</f>
        <v>0</v>
      </c>
      <c r="D46" s="58">
        <f>IFERROR(SUMPRODUCT(('Kilter Holds'!$E$37:$E$662)*('Kilter Holds'!$D$37:$D$662=$A46),'Kilter Holds'!V$37:V$662),0)+IFERROR(SUMPRODUCT(('Urban Plastix Holds'!$H$37:$H$705)*('Urban Plastix Holds'!$D$37:$D$705=$A46),'Urban Plastix Holds'!O$37:O$705),0)+IFERROR(SUMPRODUCT(('Kilter Holds'!$G$37:$G$662)*('Kilter Holds'!$F$37:$F$662=$A46),'Kilter Holds'!V$37:V$662),0)</f>
        <v>0</v>
      </c>
      <c r="E46" s="58">
        <f>IFERROR(SUMPRODUCT(('Kilter Holds'!$E$37:$E$662)*('Kilter Holds'!$D$37:$D$662=$A46),'Kilter Holds'!W$37:W$662),0)+IFERROR(SUMPRODUCT(('Urban Plastix Holds'!$H$37:$H$705)*('Urban Plastix Holds'!$D$37:$D$705=$A46),'Urban Plastix Holds'!P$37:P$705),0)+IFERROR(SUMPRODUCT(('Kilter Holds'!$G$37:$G$662)*('Kilter Holds'!$F$37:$F$662=$A46),'Kilter Holds'!W$37:W$662),0)</f>
        <v>0</v>
      </c>
      <c r="F46" s="58">
        <f>IFERROR(SUMPRODUCT(('Kilter Holds'!$E$37:$E$662)*('Kilter Holds'!$D$37:$D$662=$A46),'Kilter Holds'!X$37:X$662),0)+IFERROR(SUMPRODUCT(('Urban Plastix Holds'!$H$37:$H$705)*('Urban Plastix Holds'!$D$37:$D$705=$A46),'Urban Plastix Holds'!Q$37:Q$705),0)+IFERROR(SUMPRODUCT(('Kilter Holds'!$G$37:$G$662)*('Kilter Holds'!$F$37:$F$662=$A46),'Kilter Holds'!X$37:X$662),0)</f>
        <v>0</v>
      </c>
      <c r="G46" s="58">
        <f>IFERROR(SUMPRODUCT(('Kilter Holds'!$E$37:$E$662)*('Kilter Holds'!$D$37:$D$662=$A46),'Kilter Holds'!Y$37:Y$662),0)+IFERROR(SUMPRODUCT(('Urban Plastix Holds'!$H$37:$H$705)*('Urban Plastix Holds'!$D$37:$D$705=$A46),'Urban Plastix Holds'!R$37:R$705),0)+IFERROR(SUMPRODUCT(('Kilter Holds'!$G$37:$G$662)*('Kilter Holds'!$F$37:$F$662=$A46),'Kilter Holds'!Y$37:Y$662),0)</f>
        <v>0</v>
      </c>
      <c r="H46" s="58">
        <f>IFERROR(SUMPRODUCT(('Kilter Holds'!$E$37:$E$662)*('Kilter Holds'!$D$37:$D$662=$A46),'Kilter Holds'!Z$37:Z$662),0)+IFERROR(SUMPRODUCT(('Urban Plastix Holds'!$H$37:$H$705)*('Urban Plastix Holds'!$D$37:$D$705=$A46),'Urban Plastix Holds'!S$37:S$705),0)+IFERROR(SUMPRODUCT(('Kilter Holds'!$G$37:$G$662)*('Kilter Holds'!$F$37:$F$662=$A46),'Kilter Holds'!Z$37:Z$662),0)</f>
        <v>0</v>
      </c>
      <c r="I46" s="58">
        <f>IFERROR(SUMPRODUCT(('Kilter Holds'!$E$37:$E$662)*('Kilter Holds'!$D$37:$D$662=$A46),'Kilter Holds'!AA$37:AA$662),0)+IFERROR(SUMPRODUCT(('Urban Plastix Holds'!$H$37:$H$705)*('Urban Plastix Holds'!$D$37:$D$705=$A46),'Urban Plastix Holds'!T$37:T$705),0)+IFERROR(SUMPRODUCT(('Kilter Holds'!$G$37:$G$662)*('Kilter Holds'!$F$37:$F$662=$A46),'Kilter Holds'!AA$37:AA$662),0)</f>
        <v>0</v>
      </c>
      <c r="J46" s="59">
        <f>IFERROR(SUMPRODUCT(('Kilter Holds'!$E$37:$E$662)*('Kilter Holds'!$D$37:$D$662=$A46),'Kilter Holds'!AB$37:AB$662),0)+IFERROR(SUMPRODUCT(('Urban Plastix Holds'!$H$37:$H$705)*('Urban Plastix Holds'!$D$37:$D$705=$A46),'Urban Plastix Holds'!U$37:U$705),0)+IFERROR(SUMPRODUCT(('Kilter Holds'!$G$37:$G$662)*('Kilter Holds'!$F$37:$F$662=$A46),'Kilter Holds'!AB$37:AB$662),0)</f>
        <v>0</v>
      </c>
      <c r="K46" s="60">
        <f t="shared" ref="K46:K54" si="19">SUM(B46:J46)</f>
        <v>0</v>
      </c>
      <c r="L46" s="61">
        <f t="shared" ref="L46:L54" si="20">IFERROR($K46 / $K$19,0)</f>
        <v>0</v>
      </c>
      <c r="M46" s="1"/>
      <c r="N46" s="1"/>
      <c r="O46" s="1"/>
      <c r="P46" s="1"/>
      <c r="Q46" s="1"/>
      <c r="R46" s="1"/>
      <c r="S46" s="1"/>
      <c r="T46" s="1"/>
      <c r="U46" s="1"/>
      <c r="V46" s="1"/>
      <c r="W46" s="1"/>
      <c r="X46" s="1"/>
      <c r="Y46" s="1"/>
      <c r="Z46" s="1"/>
      <c r="AA46" s="1"/>
    </row>
    <row r="47" spans="1:27" ht="15.75" customHeight="1">
      <c r="A47" s="62" t="s">
        <v>61</v>
      </c>
      <c r="B47" s="63">
        <f>IFERROR(SUMPRODUCT(('Kilter Holds'!$E$37:$E$662)*('Kilter Holds'!$D$37:$D$662=$A47),'Kilter Holds'!T$37:T$662),0)+IFERROR(SUMPRODUCT(('Urban Plastix Holds'!$H$37:$H$705)*('Urban Plastix Holds'!$D$37:$D$705=$A47),'Urban Plastix Holds'!M$37:M$705),0)+IFERROR(SUMPRODUCT(('Kilter Holds'!$G$37:$G$662)*('Kilter Holds'!$F$37:$F$662=$A47),'Kilter Holds'!T$37:T$662),0)</f>
        <v>0</v>
      </c>
      <c r="C47" s="64">
        <f>IFERROR(SUMPRODUCT(('Kilter Holds'!$E$37:$E$662)*('Kilter Holds'!$D$37:$D$662=$A47),'Kilter Holds'!U$37:U$662),0)+IFERROR(SUMPRODUCT(('Urban Plastix Holds'!$H$37:$H$705)*('Urban Plastix Holds'!$D$37:$D$705=$A47),'Urban Plastix Holds'!N$37:N$705),0)+IFERROR(SUMPRODUCT(('Kilter Holds'!$G$37:$G$662)*('Kilter Holds'!$F$37:$F$662=$A47),'Kilter Holds'!U$37:U$662),0)</f>
        <v>0</v>
      </c>
      <c r="D47" s="64">
        <f>IFERROR(SUMPRODUCT(('Kilter Holds'!$E$37:$E$662)*('Kilter Holds'!$D$37:$D$662=$A47),'Kilter Holds'!V$37:V$662),0)+IFERROR(SUMPRODUCT(('Urban Plastix Holds'!$H$37:$H$705)*('Urban Plastix Holds'!$D$37:$D$705=$A47),'Urban Plastix Holds'!O$37:O$705),0)+IFERROR(SUMPRODUCT(('Kilter Holds'!$G$37:$G$662)*('Kilter Holds'!$F$37:$F$662=$A47),'Kilter Holds'!V$37:V$662),0)</f>
        <v>0</v>
      </c>
      <c r="E47" s="64">
        <f>IFERROR(SUMPRODUCT(('Kilter Holds'!$E$37:$E$662)*('Kilter Holds'!$D$37:$D$662=$A47),'Kilter Holds'!W$37:W$662),0)+IFERROR(SUMPRODUCT(('Urban Plastix Holds'!$H$37:$H$705)*('Urban Plastix Holds'!$D$37:$D$705=$A47),'Urban Plastix Holds'!P$37:P$705),0)+IFERROR(SUMPRODUCT(('Kilter Holds'!$G$37:$G$662)*('Kilter Holds'!$F$37:$F$662=$A47),'Kilter Holds'!W$37:W$662),0)</f>
        <v>0</v>
      </c>
      <c r="F47" s="64">
        <f>IFERROR(SUMPRODUCT(('Kilter Holds'!$E$37:$E$662)*('Kilter Holds'!$D$37:$D$662=$A47),'Kilter Holds'!X$37:X$662),0)+IFERROR(SUMPRODUCT(('Urban Plastix Holds'!$H$37:$H$705)*('Urban Plastix Holds'!$D$37:$D$705=$A47),'Urban Plastix Holds'!Q$37:Q$705),0)+IFERROR(SUMPRODUCT(('Kilter Holds'!$G$37:$G$662)*('Kilter Holds'!$F$37:$F$662=$A47),'Kilter Holds'!X$37:X$662),0)</f>
        <v>0</v>
      </c>
      <c r="G47" s="64">
        <f>IFERROR(SUMPRODUCT(('Kilter Holds'!$E$37:$E$662)*('Kilter Holds'!$D$37:$D$662=$A47),'Kilter Holds'!Y$37:Y$662),0)+IFERROR(SUMPRODUCT(('Urban Plastix Holds'!$H$37:$H$705)*('Urban Plastix Holds'!$D$37:$D$705=$A47),'Urban Plastix Holds'!R$37:R$705),0)+IFERROR(SUMPRODUCT(('Kilter Holds'!$G$37:$G$662)*('Kilter Holds'!$F$37:$F$662=$A47),'Kilter Holds'!Y$37:Y$662),0)</f>
        <v>0</v>
      </c>
      <c r="H47" s="64">
        <f>IFERROR(SUMPRODUCT(('Kilter Holds'!$E$37:$E$662)*('Kilter Holds'!$D$37:$D$662=$A47),'Kilter Holds'!Z$37:Z$662),0)+IFERROR(SUMPRODUCT(('Urban Plastix Holds'!$H$37:$H$705)*('Urban Plastix Holds'!$D$37:$D$705=$A47),'Urban Plastix Holds'!S$37:S$705),0)+IFERROR(SUMPRODUCT(('Kilter Holds'!$G$37:$G$662)*('Kilter Holds'!$F$37:$F$662=$A47),'Kilter Holds'!Z$37:Z$662),0)</f>
        <v>0</v>
      </c>
      <c r="I47" s="64">
        <f>IFERROR(SUMPRODUCT(('Kilter Holds'!$E$37:$E$662)*('Kilter Holds'!$D$37:$D$662=$A47),'Kilter Holds'!AA$37:AA$662),0)+IFERROR(SUMPRODUCT(('Urban Plastix Holds'!$H$37:$H$705)*('Urban Plastix Holds'!$D$37:$D$705=$A47),'Urban Plastix Holds'!T$37:T$705),0)+IFERROR(SUMPRODUCT(('Kilter Holds'!$G$37:$G$662)*('Kilter Holds'!$F$37:$F$662=$A47),'Kilter Holds'!AA$37:AA$662),0)</f>
        <v>0</v>
      </c>
      <c r="J47" s="65">
        <f>IFERROR(SUMPRODUCT(('Kilter Holds'!$E$37:$E$662)*('Kilter Holds'!$D$37:$D$662=$A47),'Kilter Holds'!AB$37:AB$662),0)+IFERROR(SUMPRODUCT(('Urban Plastix Holds'!$H$37:$H$705)*('Urban Plastix Holds'!$D$37:$D$705=$A47),'Urban Plastix Holds'!U$37:U$705),0)+IFERROR(SUMPRODUCT(('Kilter Holds'!$G$37:$G$662)*('Kilter Holds'!$F$37:$F$662=$A47),'Kilter Holds'!AB$37:AB$662),0)</f>
        <v>0</v>
      </c>
      <c r="K47" s="66">
        <f t="shared" si="19"/>
        <v>0</v>
      </c>
      <c r="L47" s="67">
        <f t="shared" si="20"/>
        <v>0</v>
      </c>
      <c r="M47" s="1"/>
      <c r="N47" s="1"/>
      <c r="O47" s="1"/>
      <c r="P47" s="1"/>
      <c r="Q47" s="1"/>
      <c r="R47" s="1"/>
      <c r="S47" s="1"/>
      <c r="T47" s="1"/>
      <c r="U47" s="1"/>
      <c r="V47" s="1"/>
      <c r="W47" s="1"/>
      <c r="X47" s="1"/>
      <c r="Y47" s="1"/>
      <c r="Z47" s="1"/>
      <c r="AA47" s="1"/>
    </row>
    <row r="48" spans="1:27" ht="15.75" customHeight="1">
      <c r="A48" s="62" t="s">
        <v>62</v>
      </c>
      <c r="B48" s="63">
        <f>IFERROR(SUMPRODUCT(('Kilter Holds'!$E$37:$E$662)*('Kilter Holds'!$D$37:$D$662=$A48),'Kilter Holds'!T$37:T$662),0)+IFERROR(SUMPRODUCT(('Urban Plastix Holds'!$H$37:$H$705)*('Urban Plastix Holds'!$D$37:$D$705=$A48),'Urban Plastix Holds'!M$37:M$705),0)+IFERROR(SUMPRODUCT(('Kilter Holds'!$G$37:$G$662)*('Kilter Holds'!$F$37:$F$662=$A48),'Kilter Holds'!T$37:T$662),0)</f>
        <v>0</v>
      </c>
      <c r="C48" s="64">
        <f>IFERROR(SUMPRODUCT(('Kilter Holds'!$E$37:$E$662)*('Kilter Holds'!$D$37:$D$662=$A48),'Kilter Holds'!U$37:U$662),0)+IFERROR(SUMPRODUCT(('Urban Plastix Holds'!$H$37:$H$705)*('Urban Plastix Holds'!$D$37:$D$705=$A48),'Urban Plastix Holds'!N$37:N$705),0)+IFERROR(SUMPRODUCT(('Kilter Holds'!$G$37:$G$662)*('Kilter Holds'!$F$37:$F$662=$A48),'Kilter Holds'!U$37:U$662),0)</f>
        <v>0</v>
      </c>
      <c r="D48" s="64">
        <f>IFERROR(SUMPRODUCT(('Kilter Holds'!$E$37:$E$662)*('Kilter Holds'!$D$37:$D$662=$A48),'Kilter Holds'!V$37:V$662),0)+IFERROR(SUMPRODUCT(('Urban Plastix Holds'!$H$37:$H$705)*('Urban Plastix Holds'!$D$37:$D$705=$A48),'Urban Plastix Holds'!O$37:O$705),0)+IFERROR(SUMPRODUCT(('Kilter Holds'!$G$37:$G$662)*('Kilter Holds'!$F$37:$F$662=$A48),'Kilter Holds'!V$37:V$662),0)</f>
        <v>0</v>
      </c>
      <c r="E48" s="64">
        <f>IFERROR(SUMPRODUCT(('Kilter Holds'!$E$37:$E$662)*('Kilter Holds'!$D$37:$D$662=$A48),'Kilter Holds'!W$37:W$662),0)+IFERROR(SUMPRODUCT(('Urban Plastix Holds'!$H$37:$H$705)*('Urban Plastix Holds'!$D$37:$D$705=$A48),'Urban Plastix Holds'!P$37:P$705),0)+IFERROR(SUMPRODUCT(('Kilter Holds'!$G$37:$G$662)*('Kilter Holds'!$F$37:$F$662=$A48),'Kilter Holds'!W$37:W$662),0)</f>
        <v>0</v>
      </c>
      <c r="F48" s="64">
        <f>IFERROR(SUMPRODUCT(('Kilter Holds'!$E$37:$E$662)*('Kilter Holds'!$D$37:$D$662=$A48),'Kilter Holds'!X$37:X$662),0)+IFERROR(SUMPRODUCT(('Urban Plastix Holds'!$H$37:$H$705)*('Urban Plastix Holds'!$D$37:$D$705=$A48),'Urban Plastix Holds'!Q$37:Q$705),0)+IFERROR(SUMPRODUCT(('Kilter Holds'!$G$37:$G$662)*('Kilter Holds'!$F$37:$F$662=$A48),'Kilter Holds'!X$37:X$662),0)</f>
        <v>0</v>
      </c>
      <c r="G48" s="64">
        <f>IFERROR(SUMPRODUCT(('Kilter Holds'!$E$37:$E$662)*('Kilter Holds'!$D$37:$D$662=$A48),'Kilter Holds'!Y$37:Y$662),0)+IFERROR(SUMPRODUCT(('Urban Plastix Holds'!$H$37:$H$705)*('Urban Plastix Holds'!$D$37:$D$705=$A48),'Urban Plastix Holds'!R$37:R$705),0)+IFERROR(SUMPRODUCT(('Kilter Holds'!$G$37:$G$662)*('Kilter Holds'!$F$37:$F$662=$A48),'Kilter Holds'!Y$37:Y$662),0)</f>
        <v>0</v>
      </c>
      <c r="H48" s="64">
        <f>IFERROR(SUMPRODUCT(('Kilter Holds'!$E$37:$E$662)*('Kilter Holds'!$D$37:$D$662=$A48),'Kilter Holds'!Z$37:Z$662),0)+IFERROR(SUMPRODUCT(('Urban Plastix Holds'!$H$37:$H$705)*('Urban Plastix Holds'!$D$37:$D$705=$A48),'Urban Plastix Holds'!S$37:S$705),0)+IFERROR(SUMPRODUCT(('Kilter Holds'!$G$37:$G$662)*('Kilter Holds'!$F$37:$F$662=$A48),'Kilter Holds'!Z$37:Z$662),0)</f>
        <v>0</v>
      </c>
      <c r="I48" s="64">
        <f>IFERROR(SUMPRODUCT(('Kilter Holds'!$E$37:$E$662)*('Kilter Holds'!$D$37:$D$662=$A48),'Kilter Holds'!AA$37:AA$662),0)+IFERROR(SUMPRODUCT(('Urban Plastix Holds'!$H$37:$H$705)*('Urban Plastix Holds'!$D$37:$D$705=$A48),'Urban Plastix Holds'!T$37:T$705),0)+IFERROR(SUMPRODUCT(('Kilter Holds'!$G$37:$G$662)*('Kilter Holds'!$F$37:$F$662=$A48),'Kilter Holds'!AA$37:AA$662),0)</f>
        <v>0</v>
      </c>
      <c r="J48" s="65">
        <f>IFERROR(SUMPRODUCT(('Kilter Holds'!$E$37:$E$662)*('Kilter Holds'!$D$37:$D$662=$A48),'Kilter Holds'!AB$37:AB$662),0)+IFERROR(SUMPRODUCT(('Urban Plastix Holds'!$H$37:$H$705)*('Urban Plastix Holds'!$D$37:$D$705=$A48),'Urban Plastix Holds'!U$37:U$705),0)+IFERROR(SUMPRODUCT(('Kilter Holds'!$G$37:$G$662)*('Kilter Holds'!$F$37:$F$662=$A48),'Kilter Holds'!AB$37:AB$662),0)</f>
        <v>0</v>
      </c>
      <c r="K48" s="66">
        <f t="shared" si="19"/>
        <v>0</v>
      </c>
      <c r="L48" s="67">
        <f t="shared" si="20"/>
        <v>0</v>
      </c>
      <c r="M48" s="1"/>
      <c r="N48" s="1"/>
      <c r="O48" s="1"/>
      <c r="P48" s="1"/>
      <c r="Q48" s="1"/>
      <c r="R48" s="1"/>
      <c r="S48" s="1"/>
      <c r="T48" s="1"/>
      <c r="U48" s="1"/>
      <c r="V48" s="1"/>
      <c r="W48" s="1"/>
      <c r="X48" s="1"/>
      <c r="Y48" s="1"/>
      <c r="Z48" s="1"/>
      <c r="AA48" s="1"/>
    </row>
    <row r="49" spans="1:27" ht="15.75" customHeight="1">
      <c r="A49" s="62" t="s">
        <v>63</v>
      </c>
      <c r="B49" s="63">
        <f>IFERROR(SUMPRODUCT(('Kilter Holds'!$E$37:$E$662)*('Kilter Holds'!$D$37:$D$662=$A49),'Kilter Holds'!T$37:T$662),0)+IFERROR(SUMPRODUCT(('Urban Plastix Holds'!$H$37:$H$705)*('Urban Plastix Holds'!$D$37:$D$705=$A49),'Urban Plastix Holds'!M$37:M$705),0)+IFERROR(SUMPRODUCT(('Kilter Holds'!$G$37:$G$662)*('Kilter Holds'!$F$37:$F$662=$A49),'Kilter Holds'!T$37:T$662),0)</f>
        <v>0</v>
      </c>
      <c r="C49" s="64">
        <f>IFERROR(SUMPRODUCT(('Kilter Holds'!$E$37:$E$662)*('Kilter Holds'!$D$37:$D$662=$A49),'Kilter Holds'!U$37:U$662),0)+IFERROR(SUMPRODUCT(('Urban Plastix Holds'!$H$37:$H$705)*('Urban Plastix Holds'!$D$37:$D$705=$A49),'Urban Plastix Holds'!N$37:N$705),0)+IFERROR(SUMPRODUCT(('Kilter Holds'!$G$37:$G$662)*('Kilter Holds'!$F$37:$F$662=$A49),'Kilter Holds'!U$37:U$662),0)</f>
        <v>0</v>
      </c>
      <c r="D49" s="64">
        <f>IFERROR(SUMPRODUCT(('Kilter Holds'!$E$37:$E$662)*('Kilter Holds'!$D$37:$D$662=$A49),'Kilter Holds'!V$37:V$662),0)+IFERROR(SUMPRODUCT(('Urban Plastix Holds'!$H$37:$H$705)*('Urban Plastix Holds'!$D$37:$D$705=$A49),'Urban Plastix Holds'!O$37:O$705),0)+IFERROR(SUMPRODUCT(('Kilter Holds'!$G$37:$G$662)*('Kilter Holds'!$F$37:$F$662=$A49),'Kilter Holds'!V$37:V$662),0)</f>
        <v>0</v>
      </c>
      <c r="E49" s="64">
        <f>IFERROR(SUMPRODUCT(('Kilter Holds'!$E$37:$E$662)*('Kilter Holds'!$D$37:$D$662=$A49),'Kilter Holds'!W$37:W$662),0)+IFERROR(SUMPRODUCT(('Urban Plastix Holds'!$H$37:$H$705)*('Urban Plastix Holds'!$D$37:$D$705=$A49),'Urban Plastix Holds'!P$37:P$705),0)+IFERROR(SUMPRODUCT(('Kilter Holds'!$G$37:$G$662)*('Kilter Holds'!$F$37:$F$662=$A49),'Kilter Holds'!W$37:W$662),0)</f>
        <v>0</v>
      </c>
      <c r="F49" s="64">
        <f>IFERROR(SUMPRODUCT(('Kilter Holds'!$E$37:$E$662)*('Kilter Holds'!$D$37:$D$662=$A49),'Kilter Holds'!X$37:X$662),0)+IFERROR(SUMPRODUCT(('Urban Plastix Holds'!$H$37:$H$705)*('Urban Plastix Holds'!$D$37:$D$705=$A49),'Urban Plastix Holds'!Q$37:Q$705),0)+IFERROR(SUMPRODUCT(('Kilter Holds'!$G$37:$G$662)*('Kilter Holds'!$F$37:$F$662=$A49),'Kilter Holds'!X$37:X$662),0)</f>
        <v>0</v>
      </c>
      <c r="G49" s="64">
        <f>IFERROR(SUMPRODUCT(('Kilter Holds'!$E$37:$E$662)*('Kilter Holds'!$D$37:$D$662=$A49),'Kilter Holds'!Y$37:Y$662),0)+IFERROR(SUMPRODUCT(('Urban Plastix Holds'!$H$37:$H$705)*('Urban Plastix Holds'!$D$37:$D$705=$A49),'Urban Plastix Holds'!R$37:R$705),0)+IFERROR(SUMPRODUCT(('Kilter Holds'!$G$37:$G$662)*('Kilter Holds'!$F$37:$F$662=$A49),'Kilter Holds'!Y$37:Y$662),0)</f>
        <v>0</v>
      </c>
      <c r="H49" s="64">
        <f>IFERROR(SUMPRODUCT(('Kilter Holds'!$E$37:$E$662)*('Kilter Holds'!$D$37:$D$662=$A49),'Kilter Holds'!Z$37:Z$662),0)+IFERROR(SUMPRODUCT(('Urban Plastix Holds'!$H$37:$H$705)*('Urban Plastix Holds'!$D$37:$D$705=$A49),'Urban Plastix Holds'!S$37:S$705),0)+IFERROR(SUMPRODUCT(('Kilter Holds'!$G$37:$G$662)*('Kilter Holds'!$F$37:$F$662=$A49),'Kilter Holds'!Z$37:Z$662),0)</f>
        <v>0</v>
      </c>
      <c r="I49" s="64">
        <f>IFERROR(SUMPRODUCT(('Kilter Holds'!$E$37:$E$662)*('Kilter Holds'!$D$37:$D$662=$A49),'Kilter Holds'!AA$37:AA$662),0)+IFERROR(SUMPRODUCT(('Urban Plastix Holds'!$H$37:$H$705)*('Urban Plastix Holds'!$D$37:$D$705=$A49),'Urban Plastix Holds'!T$37:T$705),0)+IFERROR(SUMPRODUCT(('Kilter Holds'!$G$37:$G$662)*('Kilter Holds'!$F$37:$F$662=$A49),'Kilter Holds'!AA$37:AA$662),0)</f>
        <v>0</v>
      </c>
      <c r="J49" s="65">
        <f>IFERROR(SUMPRODUCT(('Kilter Holds'!$E$37:$E$662)*('Kilter Holds'!$D$37:$D$662=$A49),'Kilter Holds'!AB$37:AB$662),0)+IFERROR(SUMPRODUCT(('Urban Plastix Holds'!$H$37:$H$705)*('Urban Plastix Holds'!$D$37:$D$705=$A49),'Urban Plastix Holds'!U$37:U$705),0)+IFERROR(SUMPRODUCT(('Kilter Holds'!$G$37:$G$662)*('Kilter Holds'!$F$37:$F$662=$A49),'Kilter Holds'!AB$37:AB$662),0)</f>
        <v>0</v>
      </c>
      <c r="K49" s="66">
        <f t="shared" si="19"/>
        <v>0</v>
      </c>
      <c r="L49" s="67">
        <f t="shared" si="20"/>
        <v>0</v>
      </c>
      <c r="M49" s="1"/>
      <c r="N49" s="1"/>
      <c r="O49" s="1"/>
      <c r="P49" s="1"/>
      <c r="Q49" s="1"/>
      <c r="R49" s="1"/>
      <c r="S49" s="1"/>
      <c r="T49" s="1"/>
      <c r="U49" s="1"/>
      <c r="V49" s="1"/>
      <c r="W49" s="1"/>
      <c r="X49" s="1"/>
      <c r="Y49" s="1"/>
      <c r="Z49" s="1"/>
      <c r="AA49" s="1"/>
    </row>
    <row r="50" spans="1:27" ht="15.75" customHeight="1">
      <c r="A50" s="62" t="s">
        <v>48</v>
      </c>
      <c r="B50" s="63">
        <f>IFERROR(SUMPRODUCT(('Kilter Holds'!$E$37:$E$662)*('Kilter Holds'!$D$37:$D$662=$A50),'Kilter Holds'!T$37:T$662),0)+IFERROR(SUMPRODUCT(('Urban Plastix Holds'!$H$37:$H$705)*('Urban Plastix Holds'!$D$37:$D$705=$A50),'Urban Plastix Holds'!M$37:M$705),0)+IFERROR(SUMPRODUCT(('Kilter Holds'!$G$37:$G$662)*('Kilter Holds'!$F$37:$F$662=$A50),'Kilter Holds'!T$37:T$662),0)</f>
        <v>0</v>
      </c>
      <c r="C50" s="64">
        <f>IFERROR(SUMPRODUCT(('Kilter Holds'!$E$37:$E$662)*('Kilter Holds'!$D$37:$D$662=$A50),'Kilter Holds'!U$37:U$662),0)+IFERROR(SUMPRODUCT(('Urban Plastix Holds'!$H$37:$H$705)*('Urban Plastix Holds'!$D$37:$D$705=$A50),'Urban Plastix Holds'!N$37:N$705),0)+IFERROR(SUMPRODUCT(('Kilter Holds'!$G$37:$G$662)*('Kilter Holds'!$F$37:$F$662=$A50),'Kilter Holds'!U$37:U$662),0)</f>
        <v>0</v>
      </c>
      <c r="D50" s="64">
        <f>IFERROR(SUMPRODUCT(('Kilter Holds'!$E$37:$E$662)*('Kilter Holds'!$D$37:$D$662=$A50),'Kilter Holds'!V$37:V$662),0)+IFERROR(SUMPRODUCT(('Urban Plastix Holds'!$H$37:$H$705)*('Urban Plastix Holds'!$D$37:$D$705=$A50),'Urban Plastix Holds'!O$37:O$705),0)+IFERROR(SUMPRODUCT(('Kilter Holds'!$G$37:$G$662)*('Kilter Holds'!$F$37:$F$662=$A50),'Kilter Holds'!V$37:V$662),0)</f>
        <v>0</v>
      </c>
      <c r="E50" s="64">
        <f>IFERROR(SUMPRODUCT(('Kilter Holds'!$E$37:$E$662)*('Kilter Holds'!$D$37:$D$662=$A50),'Kilter Holds'!W$37:W$662),0)+IFERROR(SUMPRODUCT(('Urban Plastix Holds'!$H$37:$H$705)*('Urban Plastix Holds'!$D$37:$D$705=$A50),'Urban Plastix Holds'!P$37:P$705),0)+IFERROR(SUMPRODUCT(('Kilter Holds'!$G$37:$G$662)*('Kilter Holds'!$F$37:$F$662=$A50),'Kilter Holds'!W$37:W$662),0)</f>
        <v>0</v>
      </c>
      <c r="F50" s="64">
        <f>IFERROR(SUMPRODUCT(('Kilter Holds'!$E$37:$E$662)*('Kilter Holds'!$D$37:$D$662=$A50),'Kilter Holds'!X$37:X$662),0)+IFERROR(SUMPRODUCT(('Urban Plastix Holds'!$H$37:$H$705)*('Urban Plastix Holds'!$D$37:$D$705=$A50),'Urban Plastix Holds'!Q$37:Q$705),0)+IFERROR(SUMPRODUCT(('Kilter Holds'!$G$37:$G$662)*('Kilter Holds'!$F$37:$F$662=$A50),'Kilter Holds'!X$37:X$662),0)</f>
        <v>0</v>
      </c>
      <c r="G50" s="64">
        <f>IFERROR(SUMPRODUCT(('Kilter Holds'!$E$37:$E$662)*('Kilter Holds'!$D$37:$D$662=$A50),'Kilter Holds'!Y$37:Y$662),0)+IFERROR(SUMPRODUCT(('Urban Plastix Holds'!$H$37:$H$705)*('Urban Plastix Holds'!$D$37:$D$705=$A50),'Urban Plastix Holds'!R$37:R$705),0)+IFERROR(SUMPRODUCT(('Kilter Holds'!$G$37:$G$662)*('Kilter Holds'!$F$37:$F$662=$A50),'Kilter Holds'!Y$37:Y$662),0)</f>
        <v>0</v>
      </c>
      <c r="H50" s="64">
        <f>IFERROR(SUMPRODUCT(('Kilter Holds'!$E$37:$E$662)*('Kilter Holds'!$D$37:$D$662=$A50),'Kilter Holds'!Z$37:Z$662),0)+IFERROR(SUMPRODUCT(('Urban Plastix Holds'!$H$37:$H$705)*('Urban Plastix Holds'!$D$37:$D$705=$A50),'Urban Plastix Holds'!S$37:S$705),0)+IFERROR(SUMPRODUCT(('Kilter Holds'!$G$37:$G$662)*('Kilter Holds'!$F$37:$F$662=$A50),'Kilter Holds'!Z$37:Z$662),0)</f>
        <v>0</v>
      </c>
      <c r="I50" s="64">
        <f>IFERROR(SUMPRODUCT(('Kilter Holds'!$E$37:$E$662)*('Kilter Holds'!$D$37:$D$662=$A50),'Kilter Holds'!AA$37:AA$662),0)+IFERROR(SUMPRODUCT(('Urban Plastix Holds'!$H$37:$H$705)*('Urban Plastix Holds'!$D$37:$D$705=$A50),'Urban Plastix Holds'!T$37:T$705),0)+IFERROR(SUMPRODUCT(('Kilter Holds'!$G$37:$G$662)*('Kilter Holds'!$F$37:$F$662=$A50),'Kilter Holds'!AA$37:AA$662),0)</f>
        <v>0</v>
      </c>
      <c r="J50" s="65">
        <f>IFERROR(SUMPRODUCT(('Kilter Holds'!$E$37:$E$662)*('Kilter Holds'!$D$37:$D$662=$A50),'Kilter Holds'!AB$37:AB$662),0)+IFERROR(SUMPRODUCT(('Urban Plastix Holds'!$H$37:$H$705)*('Urban Plastix Holds'!$D$37:$D$705=$A50),'Urban Plastix Holds'!U$37:U$705),0)+IFERROR(SUMPRODUCT(('Kilter Holds'!$G$37:$G$662)*('Kilter Holds'!$F$37:$F$662=$A50),'Kilter Holds'!AB$37:AB$662),0)</f>
        <v>0</v>
      </c>
      <c r="K50" s="66">
        <f t="shared" si="19"/>
        <v>0</v>
      </c>
      <c r="L50" s="67">
        <f t="shared" si="20"/>
        <v>0</v>
      </c>
      <c r="M50" s="1"/>
      <c r="N50" s="1"/>
      <c r="O50" s="1"/>
      <c r="P50" s="1"/>
      <c r="Q50" s="1"/>
      <c r="R50" s="1"/>
      <c r="S50" s="1"/>
      <c r="T50" s="1"/>
      <c r="U50" s="1"/>
      <c r="V50" s="1"/>
      <c r="W50" s="1"/>
      <c r="X50" s="1"/>
      <c r="Y50" s="1"/>
      <c r="Z50" s="1"/>
      <c r="AA50" s="1"/>
    </row>
    <row r="51" spans="1:27" ht="15.75" customHeight="1">
      <c r="A51" s="62" t="s">
        <v>64</v>
      </c>
      <c r="B51" s="63">
        <f>IFERROR(SUMPRODUCT(('Kilter Holds'!$E$37:$E$662)*('Kilter Holds'!$D$37:$D$662=$A51),'Kilter Holds'!T$37:T$662),0)+IFERROR(SUMPRODUCT(('Urban Plastix Holds'!$H$37:$H$705)*('Urban Plastix Holds'!$D$37:$D$705=$A51),'Urban Plastix Holds'!M$37:M$705),0)+IFERROR(SUMPRODUCT(('Kilter Holds'!$G$37:$G$662)*('Kilter Holds'!$F$37:$F$662=$A51),'Kilter Holds'!T$37:T$662),0)</f>
        <v>0</v>
      </c>
      <c r="C51" s="64">
        <f>IFERROR(SUMPRODUCT(('Kilter Holds'!$E$37:$E$662)*('Kilter Holds'!$D$37:$D$662=$A51),'Kilter Holds'!U$37:U$662),0)+IFERROR(SUMPRODUCT(('Urban Plastix Holds'!$H$37:$H$705)*('Urban Plastix Holds'!$D$37:$D$705=$A51),'Urban Plastix Holds'!N$37:N$705),0)+IFERROR(SUMPRODUCT(('Kilter Holds'!$G$37:$G$662)*('Kilter Holds'!$F$37:$F$662=$A51),'Kilter Holds'!U$37:U$662),0)</f>
        <v>0</v>
      </c>
      <c r="D51" s="64">
        <f>IFERROR(SUMPRODUCT(('Kilter Holds'!$E$37:$E$662)*('Kilter Holds'!$D$37:$D$662=$A51),'Kilter Holds'!V$37:V$662),0)+IFERROR(SUMPRODUCT(('Urban Plastix Holds'!$H$37:$H$705)*('Urban Plastix Holds'!$D$37:$D$705=$A51),'Urban Plastix Holds'!O$37:O$705),0)+IFERROR(SUMPRODUCT(('Kilter Holds'!$G$37:$G$662)*('Kilter Holds'!$F$37:$F$662=$A51),'Kilter Holds'!V$37:V$662),0)</f>
        <v>0</v>
      </c>
      <c r="E51" s="64">
        <f>IFERROR(SUMPRODUCT(('Kilter Holds'!$E$37:$E$662)*('Kilter Holds'!$D$37:$D$662=$A51),'Kilter Holds'!W$37:W$662),0)+IFERROR(SUMPRODUCT(('Urban Plastix Holds'!$H$37:$H$705)*('Urban Plastix Holds'!$D$37:$D$705=$A51),'Urban Plastix Holds'!P$37:P$705),0)+IFERROR(SUMPRODUCT(('Kilter Holds'!$G$37:$G$662)*('Kilter Holds'!$F$37:$F$662=$A51),'Kilter Holds'!W$37:W$662),0)</f>
        <v>0</v>
      </c>
      <c r="F51" s="64">
        <f>IFERROR(SUMPRODUCT(('Kilter Holds'!$E$37:$E$662)*('Kilter Holds'!$D$37:$D$662=$A51),'Kilter Holds'!X$37:X$662),0)+IFERROR(SUMPRODUCT(('Urban Plastix Holds'!$H$37:$H$705)*('Urban Plastix Holds'!$D$37:$D$705=$A51),'Urban Plastix Holds'!Q$37:Q$705),0)+IFERROR(SUMPRODUCT(('Kilter Holds'!$G$37:$G$662)*('Kilter Holds'!$F$37:$F$662=$A51),'Kilter Holds'!X$37:X$662),0)</f>
        <v>0</v>
      </c>
      <c r="G51" s="64">
        <f>IFERROR(SUMPRODUCT(('Kilter Holds'!$E$37:$E$662)*('Kilter Holds'!$D$37:$D$662=$A51),'Kilter Holds'!Y$37:Y$662),0)+IFERROR(SUMPRODUCT(('Urban Plastix Holds'!$H$37:$H$705)*('Urban Plastix Holds'!$D$37:$D$705=$A51),'Urban Plastix Holds'!R$37:R$705),0)+IFERROR(SUMPRODUCT(('Kilter Holds'!$G$37:$G$662)*('Kilter Holds'!$F$37:$F$662=$A51),'Kilter Holds'!Y$37:Y$662),0)</f>
        <v>0</v>
      </c>
      <c r="H51" s="64">
        <f>IFERROR(SUMPRODUCT(('Kilter Holds'!$E$37:$E$662)*('Kilter Holds'!$D$37:$D$662=$A51),'Kilter Holds'!Z$37:Z$662),0)+IFERROR(SUMPRODUCT(('Urban Plastix Holds'!$H$37:$H$705)*('Urban Plastix Holds'!$D$37:$D$705=$A51),'Urban Plastix Holds'!S$37:S$705),0)+IFERROR(SUMPRODUCT(('Kilter Holds'!$G$37:$G$662)*('Kilter Holds'!$F$37:$F$662=$A51),'Kilter Holds'!Z$37:Z$662),0)</f>
        <v>0</v>
      </c>
      <c r="I51" s="64">
        <f>IFERROR(SUMPRODUCT(('Kilter Holds'!$E$37:$E$662)*('Kilter Holds'!$D$37:$D$662=$A51),'Kilter Holds'!AA$37:AA$662),0)+IFERROR(SUMPRODUCT(('Urban Plastix Holds'!$H$37:$H$705)*('Urban Plastix Holds'!$D$37:$D$705=$A51),'Urban Plastix Holds'!T$37:T$705),0)+IFERROR(SUMPRODUCT(('Kilter Holds'!$G$37:$G$662)*('Kilter Holds'!$F$37:$F$662=$A51),'Kilter Holds'!AA$37:AA$662),0)</f>
        <v>0</v>
      </c>
      <c r="J51" s="65">
        <f>IFERROR(SUMPRODUCT(('Kilter Holds'!$E$37:$E$662)*('Kilter Holds'!$D$37:$D$662=$A51),'Kilter Holds'!AB$37:AB$662),0)+IFERROR(SUMPRODUCT(('Urban Plastix Holds'!$H$37:$H$705)*('Urban Plastix Holds'!$D$37:$D$705=$A51),'Urban Plastix Holds'!U$37:U$705),0)+IFERROR(SUMPRODUCT(('Kilter Holds'!$G$37:$G$662)*('Kilter Holds'!$F$37:$F$662=$A51),'Kilter Holds'!AB$37:AB$662),0)</f>
        <v>0</v>
      </c>
      <c r="K51" s="66">
        <f t="shared" si="19"/>
        <v>0</v>
      </c>
      <c r="L51" s="67">
        <f t="shared" si="20"/>
        <v>0</v>
      </c>
      <c r="M51" s="1"/>
      <c r="N51" s="1"/>
      <c r="O51" s="1"/>
      <c r="P51" s="1"/>
      <c r="Q51" s="1"/>
      <c r="R51" s="1"/>
      <c r="S51" s="1"/>
      <c r="T51" s="1"/>
      <c r="U51" s="1"/>
      <c r="V51" s="1"/>
      <c r="W51" s="1"/>
      <c r="X51" s="1"/>
      <c r="Y51" s="1"/>
      <c r="Z51" s="1"/>
      <c r="AA51" s="1"/>
    </row>
    <row r="52" spans="1:27" ht="15.75" customHeight="1">
      <c r="A52" s="62" t="s">
        <v>65</v>
      </c>
      <c r="B52" s="63">
        <f>IFERROR(SUMPRODUCT(('Kilter Holds'!$E$37:$E$662)*('Kilter Holds'!$D$37:$D$662=$A52),'Kilter Holds'!T$37:T$662),0)+IFERROR(SUMPRODUCT(('Urban Plastix Holds'!$H$37:$H$705)*('Urban Plastix Holds'!$D$37:$D$705=$A52),'Urban Plastix Holds'!M$37:M$705),0)+IFERROR(SUMPRODUCT(('Kilter Holds'!$G$37:$G$662)*('Kilter Holds'!$F$37:$F$662=$A52),'Kilter Holds'!T$37:T$662),0)</f>
        <v>0</v>
      </c>
      <c r="C52" s="64">
        <f>IFERROR(SUMPRODUCT(('Kilter Holds'!$E$37:$E$662)*('Kilter Holds'!$D$37:$D$662=$A52),'Kilter Holds'!U$37:U$662),0)+IFERROR(SUMPRODUCT(('Urban Plastix Holds'!$H$37:$H$705)*('Urban Plastix Holds'!$D$37:$D$705=$A52),'Urban Plastix Holds'!N$37:N$705),0)+IFERROR(SUMPRODUCT(('Kilter Holds'!$G$37:$G$662)*('Kilter Holds'!$F$37:$F$662=$A52),'Kilter Holds'!U$37:U$662),0)</f>
        <v>0</v>
      </c>
      <c r="D52" s="64">
        <f>IFERROR(SUMPRODUCT(('Kilter Holds'!$E$37:$E$662)*('Kilter Holds'!$D$37:$D$662=$A52),'Kilter Holds'!V$37:V$662),0)+IFERROR(SUMPRODUCT(('Urban Plastix Holds'!$H$37:$H$705)*('Urban Plastix Holds'!$D$37:$D$705=$A52),'Urban Plastix Holds'!O$37:O$705),0)+IFERROR(SUMPRODUCT(('Kilter Holds'!$G$37:$G$662)*('Kilter Holds'!$F$37:$F$662=$A52),'Kilter Holds'!V$37:V$662),0)</f>
        <v>0</v>
      </c>
      <c r="E52" s="64">
        <f>IFERROR(SUMPRODUCT(('Kilter Holds'!$E$37:$E$662)*('Kilter Holds'!$D$37:$D$662=$A52),'Kilter Holds'!W$37:W$662),0)+IFERROR(SUMPRODUCT(('Urban Plastix Holds'!$H$37:$H$705)*('Urban Plastix Holds'!$D$37:$D$705=$A52),'Urban Plastix Holds'!P$37:P$705),0)+IFERROR(SUMPRODUCT(('Kilter Holds'!$G$37:$G$662)*('Kilter Holds'!$F$37:$F$662=$A52),'Kilter Holds'!W$37:W$662),0)</f>
        <v>0</v>
      </c>
      <c r="F52" s="64">
        <f>IFERROR(SUMPRODUCT(('Kilter Holds'!$E$37:$E$662)*('Kilter Holds'!$D$37:$D$662=$A52),'Kilter Holds'!X$37:X$662),0)+IFERROR(SUMPRODUCT(('Urban Plastix Holds'!$H$37:$H$705)*('Urban Plastix Holds'!$D$37:$D$705=$A52),'Urban Plastix Holds'!Q$37:Q$705),0)+IFERROR(SUMPRODUCT(('Kilter Holds'!$G$37:$G$662)*('Kilter Holds'!$F$37:$F$662=$A52),'Kilter Holds'!X$37:X$662),0)</f>
        <v>0</v>
      </c>
      <c r="G52" s="64">
        <f>IFERROR(SUMPRODUCT(('Kilter Holds'!$E$37:$E$662)*('Kilter Holds'!$D$37:$D$662=$A52),'Kilter Holds'!Y$37:Y$662),0)+IFERROR(SUMPRODUCT(('Urban Plastix Holds'!$H$37:$H$705)*('Urban Plastix Holds'!$D$37:$D$705=$A52),'Urban Plastix Holds'!R$37:R$705),0)+IFERROR(SUMPRODUCT(('Kilter Holds'!$G$37:$G$662)*('Kilter Holds'!$F$37:$F$662=$A52),'Kilter Holds'!Y$37:Y$662),0)</f>
        <v>0</v>
      </c>
      <c r="H52" s="64">
        <f>IFERROR(SUMPRODUCT(('Kilter Holds'!$E$37:$E$662)*('Kilter Holds'!$D$37:$D$662=$A52),'Kilter Holds'!Z$37:Z$662),0)+IFERROR(SUMPRODUCT(('Urban Plastix Holds'!$H$37:$H$705)*('Urban Plastix Holds'!$D$37:$D$705=$A52),'Urban Plastix Holds'!S$37:S$705),0)+IFERROR(SUMPRODUCT(('Kilter Holds'!$G$37:$G$662)*('Kilter Holds'!$F$37:$F$662=$A52),'Kilter Holds'!Z$37:Z$662),0)</f>
        <v>0</v>
      </c>
      <c r="I52" s="64">
        <f>IFERROR(SUMPRODUCT(('Kilter Holds'!$E$37:$E$662)*('Kilter Holds'!$D$37:$D$662=$A52),'Kilter Holds'!AA$37:AA$662),0)+IFERROR(SUMPRODUCT(('Urban Plastix Holds'!$H$37:$H$705)*('Urban Plastix Holds'!$D$37:$D$705=$A52),'Urban Plastix Holds'!T$37:T$705),0)+IFERROR(SUMPRODUCT(('Kilter Holds'!$G$37:$G$662)*('Kilter Holds'!$F$37:$F$662=$A52),'Kilter Holds'!AA$37:AA$662),0)</f>
        <v>0</v>
      </c>
      <c r="J52" s="65">
        <f>IFERROR(SUMPRODUCT(('Kilter Holds'!$E$37:$E$662)*('Kilter Holds'!$D$37:$D$662=$A52),'Kilter Holds'!AB$37:AB$662),0)+IFERROR(SUMPRODUCT(('Urban Plastix Holds'!$H$37:$H$705)*('Urban Plastix Holds'!$D$37:$D$705=$A52),'Urban Plastix Holds'!U$37:U$705),0)+IFERROR(SUMPRODUCT(('Kilter Holds'!$G$37:$G$662)*('Kilter Holds'!$F$37:$F$662=$A52),'Kilter Holds'!AB$37:AB$662),0)</f>
        <v>0</v>
      </c>
      <c r="K52" s="66">
        <f t="shared" si="19"/>
        <v>0</v>
      </c>
      <c r="L52" s="67">
        <f t="shared" si="20"/>
        <v>0</v>
      </c>
      <c r="M52" s="1"/>
      <c r="N52" s="1"/>
      <c r="O52" s="1"/>
      <c r="P52" s="1"/>
      <c r="Q52" s="1"/>
      <c r="R52" s="1"/>
      <c r="S52" s="1"/>
      <c r="T52" s="1"/>
      <c r="U52" s="1"/>
      <c r="V52" s="1"/>
      <c r="W52" s="1"/>
      <c r="X52" s="1"/>
      <c r="Y52" s="1"/>
      <c r="Z52" s="1"/>
      <c r="AA52" s="1"/>
    </row>
    <row r="53" spans="1:27" ht="15.75" customHeight="1">
      <c r="A53" s="62" t="s">
        <v>38</v>
      </c>
      <c r="B53" s="63">
        <f>IFERROR(SUMPRODUCT(('Kilter Holds'!$E$37:$E$662)*('Kilter Holds'!$D$37:$D$662=$A53),'Kilter Holds'!T$37:T$662),0)+IFERROR(SUMPRODUCT(('Urban Plastix Holds'!$H$37:$H$705)*('Urban Plastix Holds'!$D$37:$D$705=$A53),'Urban Plastix Holds'!M$37:M$705),0)+IFERROR(SUMPRODUCT(('Kilter Holds'!$G$37:$G$662)*('Kilter Holds'!$F$37:$F$662=$A53),'Kilter Holds'!T$37:T$662),0)</f>
        <v>0</v>
      </c>
      <c r="C53" s="64">
        <f>IFERROR(SUMPRODUCT(('Kilter Holds'!$E$37:$E$662)*('Kilter Holds'!$D$37:$D$662=$A53),'Kilter Holds'!U$37:U$662),0)+IFERROR(SUMPRODUCT(('Urban Plastix Holds'!$H$37:$H$705)*('Urban Plastix Holds'!$D$37:$D$705=$A53),'Urban Plastix Holds'!N$37:N$705),0)+IFERROR(SUMPRODUCT(('Kilter Holds'!$G$37:$G$662)*('Kilter Holds'!$F$37:$F$662=$A53),'Kilter Holds'!U$37:U$662),0)</f>
        <v>0</v>
      </c>
      <c r="D53" s="64">
        <f>IFERROR(SUMPRODUCT(('Kilter Holds'!$E$37:$E$662)*('Kilter Holds'!$D$37:$D$662=$A53),'Kilter Holds'!V$37:V$662),0)+IFERROR(SUMPRODUCT(('Urban Plastix Holds'!$H$37:$H$705)*('Urban Plastix Holds'!$D$37:$D$705=$A53),'Urban Plastix Holds'!O$37:O$705),0)+IFERROR(SUMPRODUCT(('Kilter Holds'!$G$37:$G$662)*('Kilter Holds'!$F$37:$F$662=$A53),'Kilter Holds'!V$37:V$662),0)</f>
        <v>0</v>
      </c>
      <c r="E53" s="64">
        <f>IFERROR(SUMPRODUCT(('Kilter Holds'!$E$37:$E$662)*('Kilter Holds'!$D$37:$D$662=$A53),'Kilter Holds'!W$37:W$662),0)+IFERROR(SUMPRODUCT(('Urban Plastix Holds'!$H$37:$H$705)*('Urban Plastix Holds'!$D$37:$D$705=$A53),'Urban Plastix Holds'!P$37:P$705),0)+IFERROR(SUMPRODUCT(('Kilter Holds'!$G$37:$G$662)*('Kilter Holds'!$F$37:$F$662=$A53),'Kilter Holds'!W$37:W$662),0)</f>
        <v>0</v>
      </c>
      <c r="F53" s="64">
        <f>IFERROR(SUMPRODUCT(('Kilter Holds'!$E$37:$E$662)*('Kilter Holds'!$D$37:$D$662=$A53),'Kilter Holds'!X$37:X$662),0)+IFERROR(SUMPRODUCT(('Urban Plastix Holds'!$H$37:$H$705)*('Urban Plastix Holds'!$D$37:$D$705=$A53),'Urban Plastix Holds'!Q$37:Q$705),0)+IFERROR(SUMPRODUCT(('Kilter Holds'!$G$37:$G$662)*('Kilter Holds'!$F$37:$F$662=$A53),'Kilter Holds'!X$37:X$662),0)</f>
        <v>0</v>
      </c>
      <c r="G53" s="64">
        <f>IFERROR(SUMPRODUCT(('Kilter Holds'!$E$37:$E$662)*('Kilter Holds'!$D$37:$D$662=$A53),'Kilter Holds'!Y$37:Y$662),0)+IFERROR(SUMPRODUCT(('Urban Plastix Holds'!$H$37:$H$705)*('Urban Plastix Holds'!$D$37:$D$705=$A53),'Urban Plastix Holds'!R$37:R$705),0)+IFERROR(SUMPRODUCT(('Kilter Holds'!$G$37:$G$662)*('Kilter Holds'!$F$37:$F$662=$A53),'Kilter Holds'!Y$37:Y$662),0)</f>
        <v>0</v>
      </c>
      <c r="H53" s="64">
        <f>IFERROR(SUMPRODUCT(('Kilter Holds'!$E$37:$E$662)*('Kilter Holds'!$D$37:$D$662=$A53),'Kilter Holds'!Z$37:Z$662),0)+IFERROR(SUMPRODUCT(('Urban Plastix Holds'!$H$37:$H$705)*('Urban Plastix Holds'!$D$37:$D$705=$A53),'Urban Plastix Holds'!S$37:S$705),0)+IFERROR(SUMPRODUCT(('Kilter Holds'!$G$37:$G$662)*('Kilter Holds'!$F$37:$F$662=$A53),'Kilter Holds'!Z$37:Z$662),0)</f>
        <v>0</v>
      </c>
      <c r="I53" s="64">
        <f>IFERROR(SUMPRODUCT(('Kilter Holds'!$E$37:$E$662)*('Kilter Holds'!$D$37:$D$662=$A53),'Kilter Holds'!AA$37:AA$662),0)+IFERROR(SUMPRODUCT(('Urban Plastix Holds'!$H$37:$H$705)*('Urban Plastix Holds'!$D$37:$D$705=$A53),'Urban Plastix Holds'!T$37:T$705),0)+IFERROR(SUMPRODUCT(('Kilter Holds'!$G$37:$G$662)*('Kilter Holds'!$F$37:$F$662=$A53),'Kilter Holds'!AA$37:AA$662),0)</f>
        <v>0</v>
      </c>
      <c r="J53" s="65">
        <f>IFERROR(SUMPRODUCT(('Kilter Holds'!$E$37:$E$662)*('Kilter Holds'!$D$37:$D$662=$A53),'Kilter Holds'!AB$37:AB$662),0)+IFERROR(SUMPRODUCT(('Urban Plastix Holds'!$H$37:$H$705)*('Urban Plastix Holds'!$D$37:$D$705=$A53),'Urban Plastix Holds'!U$37:U$705),0)+IFERROR(SUMPRODUCT(('Kilter Holds'!$G$37:$G$662)*('Kilter Holds'!$F$37:$F$662=$A53),'Kilter Holds'!AB$37:AB$662),0)</f>
        <v>0</v>
      </c>
      <c r="K53" s="66">
        <f t="shared" si="19"/>
        <v>0</v>
      </c>
      <c r="L53" s="67">
        <f t="shared" si="20"/>
        <v>0</v>
      </c>
      <c r="M53" s="1"/>
      <c r="N53" s="1"/>
      <c r="O53" s="1"/>
      <c r="P53" s="1"/>
      <c r="Q53" s="1"/>
      <c r="R53" s="1"/>
      <c r="S53" s="1"/>
      <c r="T53" s="1"/>
      <c r="U53" s="1"/>
      <c r="V53" s="1"/>
      <c r="W53" s="1"/>
      <c r="X53" s="1"/>
      <c r="Y53" s="1"/>
      <c r="Z53" s="1"/>
      <c r="AA53" s="1"/>
    </row>
    <row r="54" spans="1:27" ht="15.75" customHeight="1">
      <c r="A54" s="68" t="s">
        <v>41</v>
      </c>
      <c r="B54" s="69">
        <f>IFERROR(SUMPRODUCT(('Kilter Holds'!$E$37:$E$662)*('Kilter Holds'!$D$37:$D$662=$A54),'Kilter Holds'!T$37:T$662),0)+IFERROR(SUMPRODUCT(('Urban Plastix Holds'!$H$37:$H$705)*('Urban Plastix Holds'!$D$37:$D$705=$A54),'Urban Plastix Holds'!M$37:M$705),0)+IFERROR(SUMPRODUCT(('Kilter Holds'!$G$37:$G$662)*('Kilter Holds'!$F$37:$F$662=$A54),'Kilter Holds'!T$37:T$662),0)</f>
        <v>0</v>
      </c>
      <c r="C54" s="70">
        <f>IFERROR(SUMPRODUCT(('Kilter Holds'!$E$37:$E$662)*('Kilter Holds'!$D$37:$D$662=$A54),'Kilter Holds'!U$37:U$662),0)+IFERROR(SUMPRODUCT(('Urban Plastix Holds'!$H$37:$H$705)*('Urban Plastix Holds'!$D$37:$D$705=$A54),'Urban Plastix Holds'!N$37:N$705),0)+IFERROR(SUMPRODUCT(('Kilter Holds'!$G$37:$G$662)*('Kilter Holds'!$F$37:$F$662=$A54),'Kilter Holds'!U$37:U$662),0)</f>
        <v>0</v>
      </c>
      <c r="D54" s="70">
        <f>IFERROR(SUMPRODUCT(('Kilter Holds'!$E$37:$E$662)*('Kilter Holds'!$D$37:$D$662=$A54),'Kilter Holds'!V$37:V$662),0)+IFERROR(SUMPRODUCT(('Urban Plastix Holds'!$H$37:$H$705)*('Urban Plastix Holds'!$D$37:$D$705=$A54),'Urban Plastix Holds'!O$37:O$705),0)+IFERROR(SUMPRODUCT(('Kilter Holds'!$G$37:$G$662)*('Kilter Holds'!$F$37:$F$662=$A54),'Kilter Holds'!V$37:V$662),0)</f>
        <v>0</v>
      </c>
      <c r="E54" s="70">
        <f>IFERROR(SUMPRODUCT(('Kilter Holds'!$E$37:$E$662)*('Kilter Holds'!$D$37:$D$662=$A54),'Kilter Holds'!W$37:W$662),0)+IFERROR(SUMPRODUCT(('Urban Plastix Holds'!$H$37:$H$705)*('Urban Plastix Holds'!$D$37:$D$705=$A54),'Urban Plastix Holds'!P$37:P$705),0)+IFERROR(SUMPRODUCT(('Kilter Holds'!$G$37:$G$662)*('Kilter Holds'!$F$37:$F$662=$A54),'Kilter Holds'!W$37:W$662),0)</f>
        <v>0</v>
      </c>
      <c r="F54" s="70">
        <f>IFERROR(SUMPRODUCT(('Kilter Holds'!$E$37:$E$662)*('Kilter Holds'!$D$37:$D$662=$A54),'Kilter Holds'!X$37:X$662),0)+IFERROR(SUMPRODUCT(('Urban Plastix Holds'!$H$37:$H$705)*('Urban Plastix Holds'!$D$37:$D$705=$A54),'Urban Plastix Holds'!Q$37:Q$705),0)+IFERROR(SUMPRODUCT(('Kilter Holds'!$G$37:$G$662)*('Kilter Holds'!$F$37:$F$662=$A54),'Kilter Holds'!X$37:X$662),0)</f>
        <v>0</v>
      </c>
      <c r="G54" s="70">
        <f>IFERROR(SUMPRODUCT(('Kilter Holds'!$E$37:$E$662)*('Kilter Holds'!$D$37:$D$662=$A54),'Kilter Holds'!Y$37:Y$662),0)+IFERROR(SUMPRODUCT(('Urban Plastix Holds'!$H$37:$H$705)*('Urban Plastix Holds'!$D$37:$D$705=$A54),'Urban Plastix Holds'!R$37:R$705),0)+IFERROR(SUMPRODUCT(('Kilter Holds'!$G$37:$G$662)*('Kilter Holds'!$F$37:$F$662=$A54),'Kilter Holds'!Y$37:Y$662),0)</f>
        <v>0</v>
      </c>
      <c r="H54" s="70">
        <f>IFERROR(SUMPRODUCT(('Kilter Holds'!$E$37:$E$662)*('Kilter Holds'!$D$37:$D$662=$A54),'Kilter Holds'!Z$37:Z$662),0)+IFERROR(SUMPRODUCT(('Urban Plastix Holds'!$H$37:$H$705)*('Urban Plastix Holds'!$D$37:$D$705=$A54),'Urban Plastix Holds'!S$37:S$705),0)+IFERROR(SUMPRODUCT(('Kilter Holds'!$G$37:$G$662)*('Kilter Holds'!$F$37:$F$662=$A54),'Kilter Holds'!Z$37:Z$662),0)</f>
        <v>0</v>
      </c>
      <c r="I54" s="70">
        <f>IFERROR(SUMPRODUCT(('Kilter Holds'!$E$37:$E$662)*('Kilter Holds'!$D$37:$D$662=$A54),'Kilter Holds'!AA$37:AA$662),0)+IFERROR(SUMPRODUCT(('Urban Plastix Holds'!$H$37:$H$705)*('Urban Plastix Holds'!$D$37:$D$705=$A54),'Urban Plastix Holds'!T$37:T$705),0)+IFERROR(SUMPRODUCT(('Kilter Holds'!$G$37:$G$662)*('Kilter Holds'!$F$37:$F$662=$A54),'Kilter Holds'!AA$37:AA$662),0)</f>
        <v>0</v>
      </c>
      <c r="J54" s="71">
        <f>IFERROR(SUMPRODUCT(('Kilter Holds'!$E$37:$E$662)*('Kilter Holds'!$D$37:$D$662=$A54),'Kilter Holds'!AB$37:AB$662),0)+IFERROR(SUMPRODUCT(('Urban Plastix Holds'!$H$37:$H$705)*('Urban Plastix Holds'!$D$37:$D$705=$A54),'Urban Plastix Holds'!U$37:U$705),0)+IFERROR(SUMPRODUCT(('Kilter Holds'!$G$37:$G$662)*('Kilter Holds'!$F$37:$F$662=$A54),'Kilter Holds'!AB$37:AB$662),0)</f>
        <v>0</v>
      </c>
      <c r="K54" s="72">
        <f t="shared" si="19"/>
        <v>0</v>
      </c>
      <c r="L54" s="67">
        <f t="shared" si="20"/>
        <v>0</v>
      </c>
      <c r="M54" s="1"/>
      <c r="N54" s="1"/>
      <c r="O54" s="1"/>
      <c r="P54" s="1"/>
      <c r="Q54" s="1"/>
      <c r="R54" s="1"/>
      <c r="S54" s="1"/>
      <c r="T54" s="1"/>
      <c r="U54" s="1"/>
      <c r="V54" s="1"/>
      <c r="W54" s="1"/>
      <c r="X54" s="1"/>
      <c r="Y54" s="1"/>
      <c r="Z54" s="1"/>
      <c r="AA54" s="1"/>
    </row>
    <row r="55" spans="1:27" ht="15.75" customHeight="1">
      <c r="A55" s="81" t="s">
        <v>59</v>
      </c>
      <c r="B55" s="82">
        <f t="shared" ref="B55:K55" si="21">SUM(B46:B54)</f>
        <v>0</v>
      </c>
      <c r="C55" s="82">
        <f t="shared" si="21"/>
        <v>0</v>
      </c>
      <c r="D55" s="82">
        <f t="shared" si="21"/>
        <v>0</v>
      </c>
      <c r="E55" s="82">
        <f t="shared" si="21"/>
        <v>0</v>
      </c>
      <c r="F55" s="82">
        <f t="shared" si="21"/>
        <v>0</v>
      </c>
      <c r="G55" s="82">
        <f t="shared" si="21"/>
        <v>0</v>
      </c>
      <c r="H55" s="82">
        <f t="shared" si="21"/>
        <v>0</v>
      </c>
      <c r="I55" s="82">
        <f t="shared" si="21"/>
        <v>0</v>
      </c>
      <c r="J55" s="82">
        <f t="shared" si="21"/>
        <v>0</v>
      </c>
      <c r="K55" s="83">
        <f t="shared" si="21"/>
        <v>0</v>
      </c>
      <c r="L55" s="84" t="s">
        <v>15</v>
      </c>
      <c r="M55" s="1"/>
      <c r="N55" s="1"/>
      <c r="O55" s="1"/>
      <c r="P55" s="1"/>
      <c r="Q55" s="1"/>
      <c r="R55" s="1"/>
      <c r="S55" s="1"/>
      <c r="T55" s="1"/>
      <c r="U55" s="1"/>
      <c r="V55" s="1"/>
      <c r="W55" s="1"/>
      <c r="X55" s="1"/>
      <c r="Y55" s="1"/>
      <c r="Z55" s="1"/>
      <c r="AA55" s="1"/>
    </row>
    <row r="56" spans="1:27" ht="15.75" customHeight="1">
      <c r="A56" s="87" t="s">
        <v>51</v>
      </c>
      <c r="B56" s="88">
        <f t="shared" ref="B56:J56" si="22">IFERROR(B55/$K$19,0)</f>
        <v>0</v>
      </c>
      <c r="C56" s="88">
        <f t="shared" si="22"/>
        <v>0</v>
      </c>
      <c r="D56" s="88">
        <f t="shared" si="22"/>
        <v>0</v>
      </c>
      <c r="E56" s="88">
        <f t="shared" si="22"/>
        <v>0</v>
      </c>
      <c r="F56" s="88">
        <f t="shared" si="22"/>
        <v>0</v>
      </c>
      <c r="G56" s="88">
        <f t="shared" si="22"/>
        <v>0</v>
      </c>
      <c r="H56" s="88">
        <f t="shared" si="22"/>
        <v>0</v>
      </c>
      <c r="I56" s="88">
        <f t="shared" si="22"/>
        <v>0</v>
      </c>
      <c r="J56" s="88">
        <f t="shared" si="22"/>
        <v>0</v>
      </c>
      <c r="K56" s="1"/>
      <c r="L56" s="89"/>
      <c r="M56" s="1"/>
      <c r="N56" s="1"/>
      <c r="O56" s="1"/>
      <c r="P56" s="1"/>
      <c r="Q56" s="1"/>
      <c r="R56" s="1"/>
      <c r="S56" s="1"/>
      <c r="T56" s="1"/>
      <c r="U56" s="1"/>
      <c r="V56" s="1"/>
      <c r="W56" s="1"/>
      <c r="X56" s="1"/>
      <c r="Y56" s="1"/>
      <c r="Z56" s="1"/>
      <c r="AA56" s="1"/>
    </row>
    <row r="57" spans="1:27" ht="15.75" customHeight="1">
      <c r="A57" s="105"/>
      <c r="B57" s="1"/>
      <c r="C57" s="1"/>
      <c r="D57" s="1"/>
      <c r="E57" s="1"/>
      <c r="F57" s="1"/>
      <c r="G57" s="1"/>
      <c r="H57" s="1"/>
      <c r="I57" s="1"/>
      <c r="J57" s="1"/>
      <c r="K57" s="1"/>
      <c r="L57" s="89"/>
      <c r="M57" s="1"/>
      <c r="N57" s="1"/>
      <c r="O57" s="1"/>
      <c r="P57" s="1"/>
      <c r="Q57" s="1"/>
      <c r="R57" s="1"/>
      <c r="S57" s="1"/>
      <c r="T57" s="1"/>
      <c r="U57" s="1"/>
      <c r="V57" s="1"/>
      <c r="W57" s="1"/>
      <c r="X57" s="1"/>
      <c r="Y57" s="1"/>
      <c r="Z57" s="1"/>
      <c r="AA57" s="1"/>
    </row>
    <row r="58" spans="1:27" ht="15.75" customHeight="1">
      <c r="A58" s="43" t="s">
        <v>24</v>
      </c>
      <c r="B58" s="44" t="str">
        <f t="shared" ref="B58:J58" si="23">B2</f>
        <v>Red</v>
      </c>
      <c r="C58" s="45" t="str">
        <f t="shared" si="23"/>
        <v>Orange</v>
      </c>
      <c r="D58" s="46" t="str">
        <f t="shared" si="23"/>
        <v>Yellow</v>
      </c>
      <c r="E58" s="47" t="str">
        <f t="shared" si="23"/>
        <v>Green</v>
      </c>
      <c r="F58" s="48" t="str">
        <f t="shared" si="23"/>
        <v>Blue</v>
      </c>
      <c r="G58" s="49" t="str">
        <f t="shared" si="23"/>
        <v>Purple</v>
      </c>
      <c r="H58" s="50" t="str">
        <f t="shared" si="23"/>
        <v>Hot Pink</v>
      </c>
      <c r="I58" s="51" t="str">
        <f t="shared" si="23"/>
        <v>Black</v>
      </c>
      <c r="J58" s="52" t="str">
        <f t="shared" si="23"/>
        <v>Other Color</v>
      </c>
      <c r="K58" s="53" t="s">
        <v>25</v>
      </c>
      <c r="L58" s="54" t="s">
        <v>26</v>
      </c>
      <c r="M58" s="1"/>
      <c r="N58" s="1"/>
      <c r="O58" s="1"/>
      <c r="P58" s="1"/>
      <c r="Q58" s="1"/>
      <c r="R58" s="1"/>
      <c r="S58" s="1"/>
      <c r="T58" s="1"/>
      <c r="U58" s="1"/>
      <c r="V58" s="1"/>
      <c r="W58" s="1"/>
      <c r="X58" s="1"/>
      <c r="Y58" s="1"/>
      <c r="Z58" s="1"/>
      <c r="AA58" s="1"/>
    </row>
    <row r="59" spans="1:27" ht="15.75" customHeight="1">
      <c r="A59" s="56" t="s">
        <v>66</v>
      </c>
      <c r="B59" s="57">
        <f>IFERROR(SUMPRODUCT(('Kilter Holds'!$O$37:$O$662)*('Kilter Holds'!$H$37:$H$662=$A59),'Kilter Holds'!T$37:T$662),0)+IFERROR(SUMPRODUCT(('Urban Plastix Holds'!$H$37:$H$705)*('Urban Plastix Holds'!$E$37:$E$705=$A59),'Urban Plastix Holds'!M$37:M$705),0)</f>
        <v>0</v>
      </c>
      <c r="C59" s="58">
        <f>IFERROR(SUMPRODUCT(('Kilter Holds'!$O$37:$O$662)*('Kilter Holds'!$H$37:$H$662=$A59),'Kilter Holds'!U$37:U$662),0)+IFERROR(SUMPRODUCT(('Urban Plastix Holds'!$H$37:$H$705)*('Urban Plastix Holds'!$E$37:$E$705=$A59),'Urban Plastix Holds'!N$37:N$705),0)</f>
        <v>0</v>
      </c>
      <c r="D59" s="58">
        <f>IFERROR(SUMPRODUCT(('Kilter Holds'!$O$37:$O$662)*('Kilter Holds'!$H$37:$H$662=$A59),'Kilter Holds'!V$37:V$662),0)+IFERROR(SUMPRODUCT(('Urban Plastix Holds'!$H$37:$H$705)*('Urban Plastix Holds'!$E$37:$E$705=$A59),'Urban Plastix Holds'!O$37:O$705),0)</f>
        <v>0</v>
      </c>
      <c r="E59" s="58">
        <f>IFERROR(SUMPRODUCT(('Kilter Holds'!$O$37:$O$662)*('Kilter Holds'!$H$37:$H$662=$A59),'Kilter Holds'!W$37:W$662),0)+IFERROR(SUMPRODUCT(('Urban Plastix Holds'!$H$37:$H$705)*('Urban Plastix Holds'!$E$37:$E$705=$A59),'Urban Plastix Holds'!P$37:P$705),0)</f>
        <v>0</v>
      </c>
      <c r="F59" s="58">
        <f>IFERROR(SUMPRODUCT(('Kilter Holds'!$O$37:$O$662)*('Kilter Holds'!$H$37:$H$662=$A59),'Kilter Holds'!X$37:X$662),0)+IFERROR(SUMPRODUCT(('Urban Plastix Holds'!$H$37:$H$705)*('Urban Plastix Holds'!$E$37:$E$705=$A59),'Urban Plastix Holds'!Q$37:Q$705),0)</f>
        <v>0</v>
      </c>
      <c r="G59" s="58">
        <f>IFERROR(SUMPRODUCT(('Kilter Holds'!$O$37:$O$662)*('Kilter Holds'!$H$37:$H$662=$A59),'Kilter Holds'!Y$37:Y$662),0)+IFERROR(SUMPRODUCT(('Urban Plastix Holds'!$H$37:$H$705)*('Urban Plastix Holds'!$E$37:$E$705=$A59),'Urban Plastix Holds'!R$37:R$705),0)</f>
        <v>0</v>
      </c>
      <c r="H59" s="58">
        <f>IFERROR(SUMPRODUCT(('Kilter Holds'!$O$37:$O$662)*('Kilter Holds'!$H$37:$H$662=$A59),'Kilter Holds'!Z$37:Z$662),0)+IFERROR(SUMPRODUCT(('Urban Plastix Holds'!$H$37:$H$705)*('Urban Plastix Holds'!$E$37:$E$705=$A59),'Urban Plastix Holds'!S$37:S$705),0)</f>
        <v>0</v>
      </c>
      <c r="I59" s="58">
        <f>IFERROR(SUMPRODUCT(('Kilter Holds'!$O$37:$O$662)*('Kilter Holds'!$H$37:$H$662=$A59),'Kilter Holds'!AA$37:AA$662),0)+IFERROR(SUMPRODUCT(('Urban Plastix Holds'!$H$37:$H$705)*('Urban Plastix Holds'!$E$37:$E$705=$A59),'Urban Plastix Holds'!T$37:T$705),0)</f>
        <v>0</v>
      </c>
      <c r="J59" s="59">
        <f>IFERROR(SUMPRODUCT(('Kilter Holds'!$O$37:$O$662)*('Kilter Holds'!$H$37:$H$662=$A59),'Kilter Holds'!AB$37:AB$662),0)+IFERROR(SUMPRODUCT(('Urban Plastix Holds'!$H$37:$H$705)*('Urban Plastix Holds'!$E$37:$E$705=$A59),'Urban Plastix Holds'!U$37:U$705),0)</f>
        <v>0</v>
      </c>
      <c r="K59" s="60">
        <f t="shared" ref="K59:K61" si="24">SUM(B59:J59)</f>
        <v>0</v>
      </c>
      <c r="L59" s="61">
        <f t="shared" ref="L59:L61" si="25">IFERROR($K59 / $K$19,0)</f>
        <v>0</v>
      </c>
      <c r="M59" s="1"/>
      <c r="N59" s="1"/>
      <c r="O59" s="1"/>
      <c r="P59" s="1"/>
      <c r="Q59" s="1"/>
      <c r="R59" s="1"/>
      <c r="S59" s="1"/>
      <c r="T59" s="1"/>
      <c r="U59" s="1"/>
      <c r="V59" s="1"/>
      <c r="W59" s="1"/>
      <c r="X59" s="1"/>
      <c r="Y59" s="1"/>
      <c r="Z59" s="1"/>
      <c r="AA59" s="1"/>
    </row>
    <row r="60" spans="1:27" ht="15.75" customHeight="1">
      <c r="A60" s="62" t="s">
        <v>67</v>
      </c>
      <c r="B60" s="63">
        <f>IFERROR(SUMPRODUCT(('Kilter Holds'!$O$37:$O$662)*('Kilter Holds'!$H$37:$H$662=$A60),'Kilter Holds'!T$37:T$662),0)+IFERROR(SUMPRODUCT(('Urban Plastix Holds'!$H$37:$H$705)*('Urban Plastix Holds'!$E$37:$E$705=$A60),'Urban Plastix Holds'!M$37:M$705),0)</f>
        <v>0</v>
      </c>
      <c r="C60" s="64">
        <f>IFERROR(SUMPRODUCT(('Kilter Holds'!$O$37:$O$662)*('Kilter Holds'!$H$37:$H$662=$A60),'Kilter Holds'!U$37:U$662),0)+IFERROR(SUMPRODUCT(('Urban Plastix Holds'!$H$37:$H$705)*('Urban Plastix Holds'!$E$37:$E$705=$A60),'Urban Plastix Holds'!N$37:N$705),0)</f>
        <v>0</v>
      </c>
      <c r="D60" s="64">
        <f>IFERROR(SUMPRODUCT(('Kilter Holds'!$O$37:$O$662)*('Kilter Holds'!$H$37:$H$662=$A60),'Kilter Holds'!V$37:V$662),0)+IFERROR(SUMPRODUCT(('Urban Plastix Holds'!$H$37:$H$705)*('Urban Plastix Holds'!$E$37:$E$705=$A60),'Urban Plastix Holds'!O$37:O$705),0)</f>
        <v>0</v>
      </c>
      <c r="E60" s="64">
        <f>IFERROR(SUMPRODUCT(('Kilter Holds'!$O$37:$O$662)*('Kilter Holds'!$H$37:$H$662=$A60),'Kilter Holds'!W$37:W$662),0)+IFERROR(SUMPRODUCT(('Urban Plastix Holds'!$H$37:$H$705)*('Urban Plastix Holds'!$E$37:$E$705=$A60),'Urban Plastix Holds'!P$37:P$705),0)</f>
        <v>0</v>
      </c>
      <c r="F60" s="64">
        <f>IFERROR(SUMPRODUCT(('Kilter Holds'!$O$37:$O$662)*('Kilter Holds'!$H$37:$H$662=$A60),'Kilter Holds'!X$37:X$662),0)+IFERROR(SUMPRODUCT(('Urban Plastix Holds'!$H$37:$H$705)*('Urban Plastix Holds'!$E$37:$E$705=$A60),'Urban Plastix Holds'!Q$37:Q$705),0)</f>
        <v>0</v>
      </c>
      <c r="G60" s="64">
        <f>IFERROR(SUMPRODUCT(('Kilter Holds'!$O$37:$O$662)*('Kilter Holds'!$H$37:$H$662=$A60),'Kilter Holds'!Y$37:Y$662),0)+IFERROR(SUMPRODUCT(('Urban Plastix Holds'!$H$37:$H$705)*('Urban Plastix Holds'!$E$37:$E$705=$A60),'Urban Plastix Holds'!R$37:R$705),0)</f>
        <v>0</v>
      </c>
      <c r="H60" s="64">
        <f>IFERROR(SUMPRODUCT(('Kilter Holds'!$O$37:$O$662)*('Kilter Holds'!$H$37:$H$662=$A60),'Kilter Holds'!Z$37:Z$662),0)+IFERROR(SUMPRODUCT(('Urban Plastix Holds'!$H$37:$H$705)*('Urban Plastix Holds'!$E$37:$E$705=$A60),'Urban Plastix Holds'!S$37:S$705),0)</f>
        <v>0</v>
      </c>
      <c r="I60" s="64">
        <f>IFERROR(SUMPRODUCT(('Kilter Holds'!$O$37:$O$662)*('Kilter Holds'!$H$37:$H$662=$A60),'Kilter Holds'!AA$37:AA$662),0)+IFERROR(SUMPRODUCT(('Urban Plastix Holds'!$H$37:$H$705)*('Urban Plastix Holds'!$E$37:$E$705=$A60),'Urban Plastix Holds'!T$37:T$705),0)</f>
        <v>0</v>
      </c>
      <c r="J60" s="65">
        <f>IFERROR(SUMPRODUCT(('Kilter Holds'!$O$37:$O$662)*('Kilter Holds'!$H$37:$H$662=$A60),'Kilter Holds'!AB$37:AB$662),0)+IFERROR(SUMPRODUCT(('Urban Plastix Holds'!$H$37:$H$705)*('Urban Plastix Holds'!$E$37:$E$705=$A60),'Urban Plastix Holds'!U$37:U$705),0)</f>
        <v>0</v>
      </c>
      <c r="K60" s="66">
        <f t="shared" si="24"/>
        <v>0</v>
      </c>
      <c r="L60" s="67">
        <f t="shared" si="25"/>
        <v>0</v>
      </c>
      <c r="M60" s="1"/>
      <c r="N60" s="1"/>
      <c r="O60" s="1"/>
      <c r="P60" s="1"/>
      <c r="Q60" s="1"/>
      <c r="R60" s="1"/>
      <c r="S60" s="1"/>
      <c r="T60" s="1"/>
      <c r="U60" s="1"/>
      <c r="V60" s="1"/>
      <c r="W60" s="1"/>
      <c r="X60" s="1"/>
      <c r="Y60" s="1"/>
      <c r="Z60" s="1"/>
      <c r="AA60" s="1"/>
    </row>
    <row r="61" spans="1:27" ht="15.75" customHeight="1">
      <c r="A61" s="62" t="s">
        <v>68</v>
      </c>
      <c r="B61" s="69">
        <f>IFERROR(SUMPRODUCT(('Kilter Holds'!$O$37:$O$662)*('Kilter Holds'!$H$37:$H$662=$A61),'Kilter Holds'!T$37:T$662),0)+IFERROR(SUMPRODUCT(('Urban Plastix Holds'!$H$37:$H$705)*('Urban Plastix Holds'!$E$37:$E$705=$A61),'Urban Plastix Holds'!M$37:M$705),0)</f>
        <v>0</v>
      </c>
      <c r="C61" s="70">
        <f>IFERROR(SUMPRODUCT(('Kilter Holds'!$O$37:$O$662)*('Kilter Holds'!$H$37:$H$662=$A61),'Kilter Holds'!U$37:U$662),0)+IFERROR(SUMPRODUCT(('Urban Plastix Holds'!$H$37:$H$705)*('Urban Plastix Holds'!$E$37:$E$705=$A61),'Urban Plastix Holds'!N$37:N$705),0)</f>
        <v>0</v>
      </c>
      <c r="D61" s="70">
        <f>IFERROR(SUMPRODUCT(('Kilter Holds'!$O$37:$O$662)*('Kilter Holds'!$H$37:$H$662=$A61),'Kilter Holds'!V$37:V$662),0)+IFERROR(SUMPRODUCT(('Urban Plastix Holds'!$H$37:$H$705)*('Urban Plastix Holds'!$E$37:$E$705=$A61),'Urban Plastix Holds'!O$37:O$705),0)</f>
        <v>0</v>
      </c>
      <c r="E61" s="70">
        <f>IFERROR(SUMPRODUCT(('Kilter Holds'!$O$37:$O$662)*('Kilter Holds'!$H$37:$H$662=$A61),'Kilter Holds'!W$37:W$662),0)+IFERROR(SUMPRODUCT(('Urban Plastix Holds'!$H$37:$H$705)*('Urban Plastix Holds'!$E$37:$E$705=$A61),'Urban Plastix Holds'!P$37:P$705),0)</f>
        <v>0</v>
      </c>
      <c r="F61" s="70">
        <f>IFERROR(SUMPRODUCT(('Kilter Holds'!$O$37:$O$662)*('Kilter Holds'!$H$37:$H$662=$A61),'Kilter Holds'!X$37:X$662),0)+IFERROR(SUMPRODUCT(('Urban Plastix Holds'!$H$37:$H$705)*('Urban Plastix Holds'!$E$37:$E$705=$A61),'Urban Plastix Holds'!Q$37:Q$705),0)</f>
        <v>0</v>
      </c>
      <c r="G61" s="70">
        <f>IFERROR(SUMPRODUCT(('Kilter Holds'!$O$37:$O$662)*('Kilter Holds'!$H$37:$H$662=$A61),'Kilter Holds'!Y$37:Y$662),0)+IFERROR(SUMPRODUCT(('Urban Plastix Holds'!$H$37:$H$705)*('Urban Plastix Holds'!$E$37:$E$705=$A61),'Urban Plastix Holds'!R$37:R$705),0)</f>
        <v>0</v>
      </c>
      <c r="H61" s="70">
        <f>IFERROR(SUMPRODUCT(('Kilter Holds'!$O$37:$O$662)*('Kilter Holds'!$H$37:$H$662=$A61),'Kilter Holds'!Z$37:Z$662),0)+IFERROR(SUMPRODUCT(('Urban Plastix Holds'!$H$37:$H$705)*('Urban Plastix Holds'!$E$37:$E$705=$A61),'Urban Plastix Holds'!S$37:S$705),0)</f>
        <v>0</v>
      </c>
      <c r="I61" s="70">
        <f>IFERROR(SUMPRODUCT(('Kilter Holds'!$O$37:$O$662)*('Kilter Holds'!$H$37:$H$662=$A61),'Kilter Holds'!AA$37:AA$662),0)+IFERROR(SUMPRODUCT(('Urban Plastix Holds'!$H$37:$H$705)*('Urban Plastix Holds'!$E$37:$E$705=$A61),'Urban Plastix Holds'!T$37:T$705),0)</f>
        <v>0</v>
      </c>
      <c r="J61" s="71">
        <f>IFERROR(SUMPRODUCT(('Kilter Holds'!$O$37:$O$662)*('Kilter Holds'!$H$37:$H$662=$A61),'Kilter Holds'!AB$37:AB$662),0)+IFERROR(SUMPRODUCT(('Urban Plastix Holds'!$H$37:$H$705)*('Urban Plastix Holds'!$E$37:$E$705=$A61),'Urban Plastix Holds'!U$37:U$705),0)</f>
        <v>0</v>
      </c>
      <c r="K61" s="66">
        <f t="shared" si="24"/>
        <v>0</v>
      </c>
      <c r="L61" s="67">
        <f t="shared" si="25"/>
        <v>0</v>
      </c>
      <c r="M61" s="1"/>
      <c r="N61" s="1"/>
      <c r="O61" s="1"/>
      <c r="P61" s="1"/>
      <c r="Q61" s="1"/>
      <c r="R61" s="1"/>
      <c r="S61" s="1"/>
      <c r="T61" s="1"/>
      <c r="U61" s="1"/>
      <c r="V61" s="1"/>
      <c r="W61" s="1"/>
      <c r="X61" s="1"/>
      <c r="Y61" s="1"/>
      <c r="Z61" s="1"/>
      <c r="AA61" s="1"/>
    </row>
    <row r="62" spans="1:27" ht="15.75" customHeight="1">
      <c r="A62" s="81" t="s">
        <v>59</v>
      </c>
      <c r="B62" s="82">
        <f t="shared" ref="B62:K62" si="26">SUM(B59:B61)</f>
        <v>0</v>
      </c>
      <c r="C62" s="82">
        <f t="shared" si="26"/>
        <v>0</v>
      </c>
      <c r="D62" s="82">
        <f t="shared" si="26"/>
        <v>0</v>
      </c>
      <c r="E62" s="82">
        <f t="shared" si="26"/>
        <v>0</v>
      </c>
      <c r="F62" s="82">
        <f t="shared" si="26"/>
        <v>0</v>
      </c>
      <c r="G62" s="82">
        <f t="shared" si="26"/>
        <v>0</v>
      </c>
      <c r="H62" s="82">
        <f t="shared" si="26"/>
        <v>0</v>
      </c>
      <c r="I62" s="82">
        <f t="shared" si="26"/>
        <v>0</v>
      </c>
      <c r="J62" s="82">
        <f t="shared" si="26"/>
        <v>0</v>
      </c>
      <c r="K62" s="83">
        <f t="shared" si="26"/>
        <v>0</v>
      </c>
      <c r="L62" s="84" t="s">
        <v>15</v>
      </c>
      <c r="M62" s="1"/>
      <c r="N62" s="1"/>
      <c r="O62" s="1"/>
      <c r="P62" s="1"/>
      <c r="Q62" s="1"/>
      <c r="R62" s="1"/>
      <c r="S62" s="1"/>
      <c r="T62" s="1"/>
      <c r="U62" s="1"/>
      <c r="V62" s="1"/>
      <c r="W62" s="1"/>
      <c r="X62" s="1"/>
      <c r="Y62" s="1"/>
      <c r="Z62" s="1"/>
      <c r="AA62" s="1"/>
    </row>
    <row r="63" spans="1:27" ht="15.75" customHeight="1">
      <c r="A63" s="87" t="s">
        <v>51</v>
      </c>
      <c r="B63" s="88">
        <f t="shared" ref="B63:J63" si="27">IFERROR(B62/$K$19,0)</f>
        <v>0</v>
      </c>
      <c r="C63" s="88">
        <f t="shared" si="27"/>
        <v>0</v>
      </c>
      <c r="D63" s="88">
        <f t="shared" si="27"/>
        <v>0</v>
      </c>
      <c r="E63" s="88">
        <f t="shared" si="27"/>
        <v>0</v>
      </c>
      <c r="F63" s="88">
        <f t="shared" si="27"/>
        <v>0</v>
      </c>
      <c r="G63" s="88">
        <f t="shared" si="27"/>
        <v>0</v>
      </c>
      <c r="H63" s="88">
        <f t="shared" si="27"/>
        <v>0</v>
      </c>
      <c r="I63" s="88">
        <f t="shared" si="27"/>
        <v>0</v>
      </c>
      <c r="J63" s="88">
        <f t="shared" si="27"/>
        <v>0</v>
      </c>
      <c r="K63" s="1"/>
      <c r="L63" s="89"/>
      <c r="M63" s="1"/>
      <c r="N63" s="1"/>
      <c r="O63" s="1"/>
      <c r="P63" s="1"/>
      <c r="Q63" s="1"/>
      <c r="R63" s="1"/>
      <c r="S63" s="1"/>
      <c r="T63" s="1"/>
      <c r="U63" s="1"/>
      <c r="V63" s="1"/>
      <c r="W63" s="1"/>
      <c r="X63" s="1"/>
      <c r="Y63" s="1"/>
      <c r="Z63" s="1"/>
      <c r="AA63" s="1"/>
    </row>
    <row r="64" spans="1:27" ht="15.75" customHeight="1">
      <c r="A64" s="105"/>
      <c r="B64" s="1"/>
      <c r="C64" s="1"/>
      <c r="D64" s="1"/>
      <c r="E64" s="1"/>
      <c r="F64" s="1"/>
      <c r="G64" s="1"/>
      <c r="H64" s="1"/>
      <c r="I64" s="1"/>
      <c r="J64" s="1"/>
      <c r="K64" s="1"/>
      <c r="L64" s="89"/>
      <c r="M64" s="1"/>
      <c r="N64" s="1"/>
      <c r="O64" s="1"/>
      <c r="P64" s="1"/>
      <c r="Q64" s="1"/>
      <c r="R64" s="1"/>
      <c r="S64" s="1"/>
      <c r="T64" s="1"/>
      <c r="U64" s="1"/>
      <c r="V64" s="1"/>
      <c r="W64" s="1"/>
      <c r="X64" s="1"/>
      <c r="Y64" s="1"/>
      <c r="Z64" s="1"/>
      <c r="AA64" s="1"/>
    </row>
    <row r="65" spans="1:27" ht="15.75" customHeight="1">
      <c r="A65" s="43" t="s">
        <v>24</v>
      </c>
      <c r="B65" s="44" t="str">
        <f t="shared" ref="B65:J65" si="28">B58</f>
        <v>Red</v>
      </c>
      <c r="C65" s="45" t="str">
        <f t="shared" si="28"/>
        <v>Orange</v>
      </c>
      <c r="D65" s="46" t="str">
        <f t="shared" si="28"/>
        <v>Yellow</v>
      </c>
      <c r="E65" s="47" t="str">
        <f t="shared" si="28"/>
        <v>Green</v>
      </c>
      <c r="F65" s="48" t="str">
        <f t="shared" si="28"/>
        <v>Blue</v>
      </c>
      <c r="G65" s="49" t="str">
        <f t="shared" si="28"/>
        <v>Purple</v>
      </c>
      <c r="H65" s="50" t="str">
        <f t="shared" si="28"/>
        <v>Hot Pink</v>
      </c>
      <c r="I65" s="51" t="str">
        <f t="shared" si="28"/>
        <v>Black</v>
      </c>
      <c r="J65" s="52" t="str">
        <f t="shared" si="28"/>
        <v>Other Color</v>
      </c>
      <c r="K65" s="53" t="s">
        <v>25</v>
      </c>
      <c r="L65" s="54" t="s">
        <v>26</v>
      </c>
      <c r="M65" s="1"/>
      <c r="N65" s="1"/>
      <c r="O65" s="1"/>
      <c r="P65" s="1"/>
      <c r="Q65" s="1"/>
      <c r="R65" s="1"/>
      <c r="S65" s="1"/>
      <c r="T65" s="1"/>
      <c r="U65" s="1"/>
      <c r="V65" s="1"/>
      <c r="W65" s="1"/>
      <c r="X65" s="1"/>
      <c r="Y65" s="1"/>
      <c r="Z65" s="1"/>
      <c r="AA65" s="1"/>
    </row>
    <row r="66" spans="1:27" ht="15.75" customHeight="1">
      <c r="A66" s="56" t="s">
        <v>69</v>
      </c>
      <c r="B66" s="57">
        <f>IFERROR(SUMPRODUCT(('Kilter Holds'!$O$37:$O$662)*('Kilter Holds'!$H$37:$H$662=$A59),'Kilter Holds'!T$37:T$662),0)+IFERROR(SUMPRODUCT(('Kilter Holds'!$O$37:$O$662)*('Kilter Holds'!$H$37:$H$662=$A60),'Kilter Holds'!T$37:T$662),0)+IFERROR(SUMPRODUCT(('Kilter Holds'!$O$37:$O$662)*('Kilter Holds'!$H$37:$H$662=$A61),'Kilter Holds'!T$37:T$662),0)</f>
        <v>0</v>
      </c>
      <c r="C66" s="58">
        <f>IFERROR(SUMPRODUCT(('Kilter Holds'!$O$37:$O$662)*('Kilter Holds'!$H$37:$H$662=$A59),'Kilter Holds'!U$37:U$662),0)+IFERROR(SUMPRODUCT(('Kilter Holds'!$O$37:$O$662)*('Kilter Holds'!$H$37:$H$662=$A60),'Kilter Holds'!U$37:U$662),0)+IFERROR(SUMPRODUCT(('Kilter Holds'!$O$37:$O$662)*('Kilter Holds'!$H$37:$H$662=$A61),'Kilter Holds'!U$37:U$662),0)</f>
        <v>0</v>
      </c>
      <c r="D66" s="58">
        <f>IFERROR(SUMPRODUCT(('Kilter Holds'!$O$37:$O$662)*('Kilter Holds'!$H$37:$H$662=$A59),'Kilter Holds'!V$37:V$662),0)+IFERROR(SUMPRODUCT(('Kilter Holds'!$O$37:$O$662)*('Kilter Holds'!$H$37:$H$662=$A60),'Kilter Holds'!V$37:V$662),0)+IFERROR(SUMPRODUCT(('Kilter Holds'!$O$37:$O$662)*('Kilter Holds'!$H$37:$H$662=$A61),'Kilter Holds'!V$37:V$662),0)</f>
        <v>0</v>
      </c>
      <c r="E66" s="58">
        <f>IFERROR(SUMPRODUCT(('Kilter Holds'!$O$37:$O$662)*('Kilter Holds'!$H$37:$H$662=$A59),'Kilter Holds'!W$37:W$662),0)+IFERROR(SUMPRODUCT(('Kilter Holds'!$O$37:$O$662)*('Kilter Holds'!$H$37:$H$662=$A60),'Kilter Holds'!W$37:W$662),0)+IFERROR(SUMPRODUCT(('Kilter Holds'!$O$37:$O$662)*('Kilter Holds'!$H$37:$H$662=$A61),'Kilter Holds'!W$37:W$662),0)</f>
        <v>0</v>
      </c>
      <c r="F66" s="58">
        <f>IFERROR(SUMPRODUCT(('Kilter Holds'!$O$37:$O$662)*('Kilter Holds'!$H$37:$H$662=$A59),'Kilter Holds'!X$37:X$662),0)+IFERROR(SUMPRODUCT(('Kilter Holds'!$O$37:$O$662)*('Kilter Holds'!$H$37:$H$662=$A60),'Kilter Holds'!X$37:X$662),0)+IFERROR(SUMPRODUCT(('Kilter Holds'!$O$37:$O$662)*('Kilter Holds'!$H$37:$H$662=$A61),'Kilter Holds'!X$37:X$662),0)</f>
        <v>0</v>
      </c>
      <c r="G66" s="58">
        <f>IFERROR(SUMPRODUCT(('Kilter Holds'!$O$37:$O$662)*('Kilter Holds'!$H$37:$H$662=$A59),'Kilter Holds'!Y$37:Y$662),0)+IFERROR(SUMPRODUCT(('Kilter Holds'!$O$37:$O$662)*('Kilter Holds'!$H$37:$H$662=$A60),'Kilter Holds'!Y$37:Y$662),0)+IFERROR(SUMPRODUCT(('Kilter Holds'!$O$37:$O$662)*('Kilter Holds'!$H$37:$H$662=$A61),'Kilter Holds'!Y$37:Y$662),0)</f>
        <v>0</v>
      </c>
      <c r="H66" s="58">
        <f>IFERROR(SUMPRODUCT(('Kilter Holds'!$O$37:$O$662)*('Kilter Holds'!$H$37:$H$662=$A59),'Kilter Holds'!Z$37:Z$662),0)+IFERROR(SUMPRODUCT(('Kilter Holds'!$O$37:$O$662)*('Kilter Holds'!$H$37:$H$662=$A60),'Kilter Holds'!Z$37:Z$662),0)+IFERROR(SUMPRODUCT(('Kilter Holds'!$O$37:$O$662)*('Kilter Holds'!$H$37:$H$662=$A61),'Kilter Holds'!Z$37:Z$662),0)</f>
        <v>0</v>
      </c>
      <c r="I66" s="58">
        <f>IFERROR(SUMPRODUCT(('Kilter Holds'!$O$37:$O$662)*('Kilter Holds'!$H$37:$H$662=$A59),'Kilter Holds'!AA$37:AA$662),0)+IFERROR(SUMPRODUCT(('Kilter Holds'!$O$37:$O$662)*('Kilter Holds'!$H$37:$H$662=$A60),'Kilter Holds'!AA$37:AA$662),0)+IFERROR(SUMPRODUCT(('Kilter Holds'!$O$37:$O$662)*('Kilter Holds'!$H$37:$H$662=$A61),'Kilter Holds'!AA$37:AA$662),0)</f>
        <v>0</v>
      </c>
      <c r="J66" s="59">
        <f>IFERROR(SUMPRODUCT(('Kilter Holds'!$O$37:$O$662)*('Kilter Holds'!$H$37:$H$662=$A59),'Kilter Holds'!AB$37:AB$662),0)+IFERROR(SUMPRODUCT(('Kilter Holds'!$O$37:$O$662)*('Kilter Holds'!$H$37:$H$662=$A60),'Kilter Holds'!AB$37:AB$662),0)+IFERROR(SUMPRODUCT(('Kilter Holds'!$O$37:$O$662)*('Kilter Holds'!$H$37:$H$662=$A61),'Kilter Holds'!AB$37:AB$662),0)</f>
        <v>0</v>
      </c>
      <c r="K66" s="60">
        <f t="shared" ref="K66:K67" si="29">SUM(B66:J66)</f>
        <v>0</v>
      </c>
      <c r="L66" s="61">
        <f t="shared" ref="L66:L67" si="30">IFERROR($K66 / $K$19,0)</f>
        <v>0</v>
      </c>
      <c r="M66" s="1"/>
      <c r="N66" s="1"/>
      <c r="O66" s="1"/>
      <c r="P66" s="1"/>
      <c r="Q66" s="1"/>
      <c r="R66" s="1"/>
      <c r="S66" s="1"/>
      <c r="T66" s="1"/>
      <c r="U66" s="1"/>
      <c r="V66" s="1"/>
      <c r="W66" s="1"/>
      <c r="X66" s="1"/>
      <c r="Y66" s="1"/>
      <c r="Z66" s="1"/>
      <c r="AA66" s="1"/>
    </row>
    <row r="67" spans="1:27" ht="15.75" customHeight="1">
      <c r="A67" s="62" t="s">
        <v>70</v>
      </c>
      <c r="B67" s="69">
        <f t="array" ref="B67">IFERROR(SUMPRODUCT(('Urban Plastix Holds'!$H$37:$H$705)*('Urban Plastix Holds'!$E$37:$E$705=$A59),'Urban Plastix Holds'!M$37:M$705),0)+IFERROR(SUMPRODUCT(('Urban Plastix Holds'!$H$37:$H$705)*('Urban Plastix Holds'!$E$37:$E$705=$A60),'Urban Plastix Holds'!M$37:M$705),0)++IFERROR(SUMPRODUCT(('Urban Plastix Holds'!$H$37:$H$705)*('Urban Plastix Holds'!$E$37:$E$705=$A61),'Urban Plastix Holds'!M$37:M$705),0)</f>
        <v>0</v>
      </c>
      <c r="C67" s="70">
        <f t="array" ref="C67">IFERROR(SUMPRODUCT(('Urban Plastix Holds'!$H$37:$H$705)*('Urban Plastix Holds'!$E$37:$E$705=$A59),'Urban Plastix Holds'!N$37:N$705),0)+IFERROR(SUMPRODUCT(('Urban Plastix Holds'!$H$37:$H$705)*('Urban Plastix Holds'!$E$37:$E$705=$A60),'Urban Plastix Holds'!N$37:N$705),0)++IFERROR(SUMPRODUCT(('Urban Plastix Holds'!$H$37:$H$705)*('Urban Plastix Holds'!$E$37:$E$705=$A61),'Urban Plastix Holds'!N$37:N$705),0)</f>
        <v>0</v>
      </c>
      <c r="D67" s="70">
        <f t="array" ref="D67">IFERROR(SUMPRODUCT(('Urban Plastix Holds'!$H$37:$H$705)*('Urban Plastix Holds'!$E$37:$E$705=$A59),'Urban Plastix Holds'!O$37:O$705),0)+IFERROR(SUMPRODUCT(('Urban Plastix Holds'!$H$37:$H$705)*('Urban Plastix Holds'!$E$37:$E$705=$A60),'Urban Plastix Holds'!O$37:O$705),0)++IFERROR(SUMPRODUCT(('Urban Plastix Holds'!$H$37:$H$705)*('Urban Plastix Holds'!$E$37:$E$705=$A61),'Urban Plastix Holds'!O$37:O$705),0)</f>
        <v>0</v>
      </c>
      <c r="E67" s="70">
        <f t="array" ref="E67">IFERROR(SUMPRODUCT(('Urban Plastix Holds'!$H$37:$H$705)*('Urban Plastix Holds'!$E$37:$E$705=$A59),'Urban Plastix Holds'!P$37:P$705),0)+IFERROR(SUMPRODUCT(('Urban Plastix Holds'!$H$37:$H$705)*('Urban Plastix Holds'!$E$37:$E$705=$A60),'Urban Plastix Holds'!P$37:P$705),0)++IFERROR(SUMPRODUCT(('Urban Plastix Holds'!$H$37:$H$705)*('Urban Plastix Holds'!$E$37:$E$705=$A61),'Urban Plastix Holds'!P$37:P$705),0)</f>
        <v>0</v>
      </c>
      <c r="F67" s="70">
        <f t="array" ref="F67">IFERROR(SUMPRODUCT(('Urban Plastix Holds'!$H$37:$H$705)*('Urban Plastix Holds'!$E$37:$E$705=$A59),'Urban Plastix Holds'!Q$37:Q$705),0)+IFERROR(SUMPRODUCT(('Urban Plastix Holds'!$H$37:$H$705)*('Urban Plastix Holds'!$E$37:$E$705=$A60),'Urban Plastix Holds'!Q$37:Q$705),0)++IFERROR(SUMPRODUCT(('Urban Plastix Holds'!$H$37:$H$705)*('Urban Plastix Holds'!$E$37:$E$705=$A61),'Urban Plastix Holds'!Q$37:Q$705),0)</f>
        <v>0</v>
      </c>
      <c r="G67" s="70">
        <f t="array" ref="G67">IFERROR(SUMPRODUCT(('Urban Plastix Holds'!$H$37:$H$705)*('Urban Plastix Holds'!$E$37:$E$705=$A59),'Urban Plastix Holds'!R$37:R$705),0)+IFERROR(SUMPRODUCT(('Urban Plastix Holds'!$H$37:$H$705)*('Urban Plastix Holds'!$E$37:$E$705=$A60),'Urban Plastix Holds'!R$37:R$705),0)++IFERROR(SUMPRODUCT(('Urban Plastix Holds'!$H$37:$H$705)*('Urban Plastix Holds'!$E$37:$E$705=$A61),'Urban Plastix Holds'!R$37:R$705),0)</f>
        <v>0</v>
      </c>
      <c r="H67" s="70">
        <f t="array" ref="H67">IFERROR(SUMPRODUCT(('Urban Plastix Holds'!$H$37:$H$705)*('Urban Plastix Holds'!$E$37:$E$705=$A59),'Urban Plastix Holds'!S$37:S$705),0)+IFERROR(SUMPRODUCT(('Urban Plastix Holds'!$H$37:$H$705)*('Urban Plastix Holds'!$E$37:$E$705=$A60),'Urban Plastix Holds'!S$37:S$705),0)++IFERROR(SUMPRODUCT(('Urban Plastix Holds'!$H$37:$H$705)*('Urban Plastix Holds'!$E$37:$E$705=$A61),'Urban Plastix Holds'!S$37:S$705),0)</f>
        <v>0</v>
      </c>
      <c r="I67" s="70">
        <f t="array" ref="I67">IFERROR(SUMPRODUCT(('Urban Plastix Holds'!$H$37:$H$705)*('Urban Plastix Holds'!$E$37:$E$705=$A59),'Urban Plastix Holds'!T$37:T$705),0)+IFERROR(SUMPRODUCT(('Urban Plastix Holds'!$H$37:$H$705)*('Urban Plastix Holds'!$E$37:$E$705=$A60),'Urban Plastix Holds'!T$37:T$705),0)++IFERROR(SUMPRODUCT(('Urban Plastix Holds'!$H$37:$H$705)*('Urban Plastix Holds'!$E$37:$E$705=$A61),'Urban Plastix Holds'!T$37:T$705),0)</f>
        <v>0</v>
      </c>
      <c r="J67" s="71">
        <f t="array" ref="J67">IFERROR(SUMPRODUCT(('Urban Plastix Holds'!$H$37:$H$705)*('Urban Plastix Holds'!$E$37:$E$705=$A59),'Urban Plastix Holds'!U$37:U$705),0)+IFERROR(SUMPRODUCT(('Urban Plastix Holds'!$H$37:$H$705)*('Urban Plastix Holds'!$E$37:$E$705=$A60),'Urban Plastix Holds'!U$37:U$705),0)++IFERROR(SUMPRODUCT(('Urban Plastix Holds'!$H$37:$H$705)*('Urban Plastix Holds'!$E$37:$E$705=$A61),'Urban Plastix Holds'!U$37:U$705),0)</f>
        <v>0</v>
      </c>
      <c r="K67" s="66">
        <f t="shared" si="29"/>
        <v>0</v>
      </c>
      <c r="L67" s="67">
        <f t="shared" si="30"/>
        <v>0</v>
      </c>
      <c r="M67" s="1"/>
      <c r="N67" s="1"/>
      <c r="O67" s="1"/>
      <c r="P67" s="1"/>
      <c r="Q67" s="1"/>
      <c r="R67" s="1"/>
      <c r="S67" s="1"/>
      <c r="T67" s="1"/>
      <c r="U67" s="1"/>
      <c r="V67" s="1"/>
      <c r="W67" s="1"/>
      <c r="X67" s="1"/>
      <c r="Y67" s="1"/>
      <c r="Z67" s="1"/>
      <c r="AA67" s="1"/>
    </row>
    <row r="68" spans="1:27" ht="15.75" customHeight="1">
      <c r="A68" s="81" t="s">
        <v>59</v>
      </c>
      <c r="B68" s="82">
        <f t="shared" ref="B68:K68" si="31">SUM(B66:B67)</f>
        <v>0</v>
      </c>
      <c r="C68" s="82">
        <f t="shared" si="31"/>
        <v>0</v>
      </c>
      <c r="D68" s="82">
        <f t="shared" si="31"/>
        <v>0</v>
      </c>
      <c r="E68" s="82">
        <f t="shared" si="31"/>
        <v>0</v>
      </c>
      <c r="F68" s="82">
        <f t="shared" si="31"/>
        <v>0</v>
      </c>
      <c r="G68" s="82">
        <f t="shared" si="31"/>
        <v>0</v>
      </c>
      <c r="H68" s="82">
        <f t="shared" si="31"/>
        <v>0</v>
      </c>
      <c r="I68" s="82">
        <f t="shared" si="31"/>
        <v>0</v>
      </c>
      <c r="J68" s="82">
        <f t="shared" si="31"/>
        <v>0</v>
      </c>
      <c r="K68" s="83">
        <f t="shared" si="31"/>
        <v>0</v>
      </c>
      <c r="L68" s="84" t="s">
        <v>15</v>
      </c>
      <c r="M68" s="1"/>
      <c r="N68" s="1"/>
      <c r="O68" s="1"/>
      <c r="P68" s="1"/>
      <c r="Q68" s="1"/>
      <c r="R68" s="1"/>
      <c r="S68" s="1"/>
      <c r="T68" s="1"/>
      <c r="U68" s="1"/>
      <c r="V68" s="1"/>
      <c r="W68" s="1"/>
      <c r="X68" s="1"/>
      <c r="Y68" s="1"/>
      <c r="Z68" s="1"/>
      <c r="AA68" s="1"/>
    </row>
    <row r="69" spans="1:27" ht="15.75" customHeight="1">
      <c r="A69" s="87" t="s">
        <v>51</v>
      </c>
      <c r="B69" s="88">
        <f t="shared" ref="B69:J69" si="32">IFERROR(B68/$K$19,0)</f>
        <v>0</v>
      </c>
      <c r="C69" s="88">
        <f t="shared" si="32"/>
        <v>0</v>
      </c>
      <c r="D69" s="88">
        <f t="shared" si="32"/>
        <v>0</v>
      </c>
      <c r="E69" s="88">
        <f t="shared" si="32"/>
        <v>0</v>
      </c>
      <c r="F69" s="88">
        <f t="shared" si="32"/>
        <v>0</v>
      </c>
      <c r="G69" s="88">
        <f t="shared" si="32"/>
        <v>0</v>
      </c>
      <c r="H69" s="88">
        <f t="shared" si="32"/>
        <v>0</v>
      </c>
      <c r="I69" s="88">
        <f t="shared" si="32"/>
        <v>0</v>
      </c>
      <c r="J69" s="88">
        <f t="shared" si="32"/>
        <v>0</v>
      </c>
      <c r="K69" s="1"/>
      <c r="L69" s="89"/>
      <c r="M69" s="1"/>
      <c r="N69" s="1"/>
      <c r="O69" s="1"/>
      <c r="P69" s="1"/>
      <c r="Q69" s="1"/>
      <c r="R69" s="1"/>
      <c r="S69" s="1"/>
      <c r="T69" s="1"/>
      <c r="U69" s="1"/>
      <c r="V69" s="1"/>
      <c r="W69" s="1"/>
      <c r="X69" s="1"/>
      <c r="Y69" s="1"/>
      <c r="Z69" s="1"/>
      <c r="AA69" s="1"/>
    </row>
    <row r="70" spans="1:27" ht="15.75" customHeight="1">
      <c r="A70" s="105"/>
      <c r="B70" s="1"/>
      <c r="C70" s="1"/>
      <c r="D70" s="1"/>
      <c r="E70" s="1"/>
      <c r="F70" s="1"/>
      <c r="G70" s="1"/>
      <c r="H70" s="1"/>
      <c r="I70" s="1"/>
      <c r="J70" s="1"/>
      <c r="K70" s="1"/>
      <c r="L70" s="89"/>
      <c r="M70" s="1"/>
      <c r="N70" s="1"/>
      <c r="O70" s="1"/>
      <c r="P70" s="1"/>
      <c r="Q70" s="1"/>
      <c r="R70" s="1"/>
      <c r="S70" s="1"/>
      <c r="T70" s="1"/>
      <c r="U70" s="1"/>
      <c r="V70" s="1"/>
      <c r="W70" s="1"/>
      <c r="X70" s="1"/>
      <c r="Y70" s="1"/>
      <c r="Z70" s="1"/>
      <c r="AA70" s="1"/>
    </row>
    <row r="71" spans="1:27" ht="15.75" customHeight="1">
      <c r="A71" s="105"/>
      <c r="B71" s="1"/>
      <c r="C71" s="1"/>
      <c r="D71" s="1"/>
      <c r="E71" s="1"/>
      <c r="F71" s="1"/>
      <c r="G71" s="1"/>
      <c r="H71" s="1"/>
      <c r="I71" s="1"/>
      <c r="J71" s="1"/>
      <c r="K71" s="1"/>
      <c r="L71" s="89"/>
      <c r="M71" s="1"/>
      <c r="N71" s="1"/>
      <c r="O71" s="1"/>
      <c r="P71" s="1"/>
      <c r="Q71" s="1"/>
      <c r="R71" s="1"/>
      <c r="S71" s="1"/>
      <c r="T71" s="1"/>
      <c r="U71" s="1"/>
      <c r="V71" s="1"/>
      <c r="W71" s="1"/>
      <c r="X71" s="1"/>
      <c r="Y71" s="1"/>
      <c r="Z71" s="1"/>
      <c r="AA71" s="1"/>
    </row>
    <row r="72" spans="1:27" ht="15.75" customHeight="1">
      <c r="A72" s="105"/>
      <c r="B72" s="1"/>
      <c r="C72" s="1"/>
      <c r="D72" s="1"/>
      <c r="E72" s="1"/>
      <c r="F72" s="1"/>
      <c r="G72" s="1"/>
      <c r="H72" s="1"/>
      <c r="I72" s="1"/>
      <c r="J72" s="1"/>
      <c r="K72" s="1"/>
      <c r="L72" s="89"/>
      <c r="M72" s="1"/>
      <c r="N72" s="1"/>
      <c r="O72" s="1"/>
      <c r="P72" s="1"/>
      <c r="Q72" s="1"/>
      <c r="R72" s="1"/>
      <c r="S72" s="1"/>
      <c r="T72" s="1"/>
      <c r="U72" s="1"/>
      <c r="V72" s="1"/>
      <c r="W72" s="1"/>
      <c r="X72" s="1"/>
      <c r="Y72" s="1"/>
      <c r="Z72" s="1"/>
      <c r="AA72" s="1"/>
    </row>
    <row r="73" spans="1:27" ht="15.75" customHeight="1">
      <c r="A73" s="105"/>
      <c r="B73" s="1"/>
      <c r="C73" s="1"/>
      <c r="D73" s="1"/>
      <c r="E73" s="1"/>
      <c r="F73" s="1"/>
      <c r="G73" s="1"/>
      <c r="H73" s="1"/>
      <c r="I73" s="1"/>
      <c r="J73" s="1"/>
      <c r="K73" s="1"/>
      <c r="L73" s="89"/>
      <c r="M73" s="1"/>
      <c r="N73" s="1"/>
      <c r="O73" s="1"/>
      <c r="P73" s="1"/>
      <c r="Q73" s="1"/>
      <c r="R73" s="1"/>
      <c r="S73" s="1"/>
      <c r="T73" s="1"/>
      <c r="U73" s="1"/>
      <c r="V73" s="1"/>
      <c r="W73" s="1"/>
      <c r="X73" s="1"/>
      <c r="Y73" s="1"/>
      <c r="Z73" s="1"/>
      <c r="AA73" s="1"/>
    </row>
    <row r="74" spans="1:27" ht="15.75" customHeight="1">
      <c r="A74" s="105"/>
      <c r="B74" s="1"/>
      <c r="C74" s="1"/>
      <c r="D74" s="1"/>
      <c r="E74" s="1"/>
      <c r="F74" s="1"/>
      <c r="G74" s="1"/>
      <c r="H74" s="1"/>
      <c r="I74" s="1"/>
      <c r="J74" s="1"/>
      <c r="K74" s="1"/>
      <c r="L74" s="89"/>
      <c r="M74" s="1"/>
      <c r="N74" s="1"/>
      <c r="O74" s="1"/>
      <c r="P74" s="1"/>
      <c r="Q74" s="1"/>
      <c r="R74" s="1"/>
      <c r="S74" s="1"/>
      <c r="T74" s="1"/>
      <c r="U74" s="1"/>
      <c r="V74" s="1"/>
      <c r="W74" s="1"/>
      <c r="X74" s="1"/>
      <c r="Y74" s="1"/>
      <c r="Z74" s="1"/>
      <c r="AA74" s="1"/>
    </row>
    <row r="75" spans="1:27" ht="15.75" customHeight="1">
      <c r="A75" s="105"/>
      <c r="B75" s="1"/>
      <c r="C75" s="1"/>
      <c r="D75" s="1"/>
      <c r="E75" s="1"/>
      <c r="F75" s="1"/>
      <c r="G75" s="1"/>
      <c r="H75" s="1"/>
      <c r="I75" s="1"/>
      <c r="J75" s="1"/>
      <c r="K75" s="1"/>
      <c r="L75" s="89"/>
      <c r="M75" s="1"/>
      <c r="N75" s="1"/>
      <c r="O75" s="1"/>
      <c r="P75" s="1"/>
      <c r="Q75" s="1"/>
      <c r="R75" s="1"/>
      <c r="S75" s="1"/>
      <c r="T75" s="1"/>
      <c r="U75" s="1"/>
      <c r="V75" s="1"/>
      <c r="W75" s="1"/>
      <c r="X75" s="1"/>
      <c r="Y75" s="1"/>
      <c r="Z75" s="1"/>
      <c r="AA75" s="1"/>
    </row>
    <row r="76" spans="1:27" ht="15.75" customHeight="1">
      <c r="A76" s="105"/>
      <c r="B76" s="1"/>
      <c r="C76" s="1"/>
      <c r="D76" s="1"/>
      <c r="E76" s="1"/>
      <c r="F76" s="1"/>
      <c r="G76" s="1"/>
      <c r="H76" s="1"/>
      <c r="I76" s="1"/>
      <c r="J76" s="1"/>
      <c r="K76" s="1"/>
      <c r="L76" s="89"/>
      <c r="M76" s="1"/>
      <c r="N76" s="1"/>
      <c r="O76" s="1"/>
      <c r="P76" s="1"/>
      <c r="Q76" s="1"/>
      <c r="R76" s="1"/>
      <c r="S76" s="1"/>
      <c r="T76" s="1"/>
      <c r="U76" s="1"/>
      <c r="V76" s="1"/>
      <c r="W76" s="1"/>
      <c r="X76" s="1"/>
      <c r="Y76" s="1"/>
      <c r="Z76" s="1"/>
      <c r="AA76" s="1"/>
    </row>
    <row r="77" spans="1:27" ht="15.75" customHeight="1">
      <c r="A77" s="105"/>
      <c r="B77" s="1"/>
      <c r="C77" s="1"/>
      <c r="D77" s="1"/>
      <c r="E77" s="1"/>
      <c r="F77" s="1"/>
      <c r="G77" s="1"/>
      <c r="H77" s="1"/>
      <c r="I77" s="1"/>
      <c r="J77" s="1"/>
      <c r="K77" s="1"/>
      <c r="L77" s="89"/>
      <c r="M77" s="1"/>
      <c r="N77" s="1"/>
      <c r="O77" s="1"/>
      <c r="P77" s="1"/>
      <c r="Q77" s="1"/>
      <c r="R77" s="1"/>
      <c r="S77" s="1"/>
      <c r="T77" s="1"/>
      <c r="U77" s="1"/>
      <c r="V77" s="1"/>
      <c r="W77" s="1"/>
      <c r="X77" s="1"/>
      <c r="Y77" s="1"/>
      <c r="Z77" s="1"/>
      <c r="AA77" s="1"/>
    </row>
    <row r="78" spans="1:27" ht="15.75" customHeight="1">
      <c r="A78" s="105"/>
      <c r="B78" s="1"/>
      <c r="C78" s="1"/>
      <c r="D78" s="1"/>
      <c r="E78" s="1"/>
      <c r="F78" s="1"/>
      <c r="G78" s="1"/>
      <c r="H78" s="1"/>
      <c r="I78" s="1"/>
      <c r="J78" s="1"/>
      <c r="K78" s="1"/>
      <c r="L78" s="89"/>
      <c r="M78" s="1"/>
      <c r="N78" s="1"/>
      <c r="O78" s="1"/>
      <c r="P78" s="1"/>
      <c r="Q78" s="1"/>
      <c r="R78" s="1"/>
      <c r="S78" s="1"/>
      <c r="T78" s="1"/>
      <c r="U78" s="1"/>
      <c r="V78" s="1"/>
      <c r="W78" s="1"/>
      <c r="X78" s="1"/>
      <c r="Y78" s="1"/>
      <c r="Z78" s="1"/>
      <c r="AA78" s="1"/>
    </row>
    <row r="79" spans="1:27" ht="15.75" customHeight="1">
      <c r="A79" s="105"/>
      <c r="B79" s="1"/>
      <c r="C79" s="1"/>
      <c r="D79" s="1"/>
      <c r="E79" s="1"/>
      <c r="F79" s="1"/>
      <c r="G79" s="1"/>
      <c r="H79" s="1"/>
      <c r="I79" s="1"/>
      <c r="J79" s="1"/>
      <c r="K79" s="1"/>
      <c r="L79" s="89"/>
      <c r="M79" s="1"/>
      <c r="N79" s="1"/>
      <c r="O79" s="1"/>
      <c r="P79" s="1"/>
      <c r="Q79" s="1"/>
      <c r="R79" s="1"/>
      <c r="S79" s="1"/>
      <c r="T79" s="1"/>
      <c r="U79" s="1"/>
      <c r="V79" s="1"/>
      <c r="W79" s="1"/>
      <c r="X79" s="1"/>
      <c r="Y79" s="1"/>
      <c r="Z79" s="1"/>
      <c r="AA79" s="1"/>
    </row>
    <row r="80" spans="1:27" ht="15.75" customHeight="1">
      <c r="A80" s="105"/>
      <c r="B80" s="1"/>
      <c r="C80" s="1"/>
      <c r="D80" s="1"/>
      <c r="E80" s="1"/>
      <c r="F80" s="1"/>
      <c r="G80" s="1"/>
      <c r="H80" s="1"/>
      <c r="I80" s="1"/>
      <c r="J80" s="1"/>
      <c r="K80" s="1"/>
      <c r="L80" s="89"/>
      <c r="M80" s="1"/>
      <c r="N80" s="1"/>
      <c r="O80" s="1"/>
      <c r="P80" s="1"/>
      <c r="Q80" s="1"/>
      <c r="R80" s="1"/>
      <c r="S80" s="1"/>
      <c r="T80" s="1"/>
      <c r="U80" s="1"/>
      <c r="V80" s="1"/>
      <c r="W80" s="1"/>
      <c r="X80" s="1"/>
      <c r="Y80" s="1"/>
      <c r="Z80" s="1"/>
      <c r="AA80" s="1"/>
    </row>
    <row r="81" spans="1:27" ht="15.75" customHeight="1">
      <c r="A81" s="105"/>
      <c r="B81" s="1"/>
      <c r="C81" s="1"/>
      <c r="D81" s="1"/>
      <c r="E81" s="1"/>
      <c r="F81" s="1"/>
      <c r="G81" s="1"/>
      <c r="H81" s="1"/>
      <c r="I81" s="1"/>
      <c r="J81" s="1"/>
      <c r="K81" s="1"/>
      <c r="L81" s="89"/>
      <c r="M81" s="1"/>
      <c r="N81" s="1"/>
      <c r="O81" s="1"/>
      <c r="P81" s="1"/>
      <c r="Q81" s="1"/>
      <c r="R81" s="1"/>
      <c r="S81" s="1"/>
      <c r="T81" s="1"/>
      <c r="U81" s="1"/>
      <c r="V81" s="1"/>
      <c r="W81" s="1"/>
      <c r="X81" s="1"/>
      <c r="Y81" s="1"/>
      <c r="Z81" s="1"/>
      <c r="AA81" s="1"/>
    </row>
    <row r="82" spans="1:27" ht="15.75" customHeight="1">
      <c r="A82" s="105"/>
      <c r="B82" s="1"/>
      <c r="C82" s="1"/>
      <c r="D82" s="1"/>
      <c r="E82" s="1"/>
      <c r="F82" s="1"/>
      <c r="G82" s="1"/>
      <c r="H82" s="1"/>
      <c r="I82" s="1"/>
      <c r="J82" s="1"/>
      <c r="K82" s="1"/>
      <c r="L82" s="89"/>
      <c r="M82" s="1"/>
      <c r="N82" s="1"/>
      <c r="O82" s="1"/>
      <c r="P82" s="1"/>
      <c r="Q82" s="1"/>
      <c r="R82" s="1"/>
      <c r="S82" s="1"/>
      <c r="T82" s="1"/>
      <c r="U82" s="1"/>
      <c r="V82" s="1"/>
      <c r="W82" s="1"/>
      <c r="X82" s="1"/>
      <c r="Y82" s="1"/>
      <c r="Z82" s="1"/>
      <c r="AA82" s="1"/>
    </row>
    <row r="83" spans="1:27" ht="15.75" customHeight="1">
      <c r="A83" s="105"/>
      <c r="B83" s="1"/>
      <c r="C83" s="1"/>
      <c r="D83" s="1"/>
      <c r="E83" s="1"/>
      <c r="F83" s="1"/>
      <c r="G83" s="1"/>
      <c r="H83" s="1"/>
      <c r="I83" s="1"/>
      <c r="J83" s="1"/>
      <c r="K83" s="1"/>
      <c r="L83" s="89"/>
      <c r="M83" s="1"/>
      <c r="N83" s="1"/>
      <c r="O83" s="1"/>
      <c r="P83" s="1"/>
      <c r="Q83" s="1"/>
      <c r="R83" s="1"/>
      <c r="S83" s="1"/>
      <c r="T83" s="1"/>
      <c r="U83" s="1"/>
      <c r="V83" s="1"/>
      <c r="W83" s="1"/>
      <c r="X83" s="1"/>
      <c r="Y83" s="1"/>
      <c r="Z83" s="1"/>
      <c r="AA83" s="1"/>
    </row>
    <row r="84" spans="1:27" ht="15.75" customHeight="1">
      <c r="A84" s="105"/>
      <c r="B84" s="1"/>
      <c r="C84" s="1"/>
      <c r="D84" s="1"/>
      <c r="E84" s="1"/>
      <c r="F84" s="1"/>
      <c r="G84" s="1"/>
      <c r="H84" s="1"/>
      <c r="I84" s="1"/>
      <c r="J84" s="1"/>
      <c r="K84" s="1"/>
      <c r="L84" s="89"/>
      <c r="M84" s="1"/>
      <c r="N84" s="1"/>
      <c r="O84" s="1"/>
      <c r="P84" s="1"/>
      <c r="Q84" s="1"/>
      <c r="R84" s="1"/>
      <c r="S84" s="1"/>
      <c r="T84" s="1"/>
      <c r="U84" s="1"/>
      <c r="V84" s="1"/>
      <c r="W84" s="1"/>
      <c r="X84" s="1"/>
      <c r="Y84" s="1"/>
      <c r="Z84" s="1"/>
      <c r="AA84" s="1"/>
    </row>
    <row r="85" spans="1:27" ht="15.75" customHeight="1">
      <c r="A85" s="105"/>
      <c r="B85" s="1"/>
      <c r="C85" s="1"/>
      <c r="D85" s="1"/>
      <c r="E85" s="1"/>
      <c r="F85" s="1"/>
      <c r="G85" s="1"/>
      <c r="H85" s="1"/>
      <c r="I85" s="1"/>
      <c r="J85" s="1"/>
      <c r="K85" s="1"/>
      <c r="L85" s="89"/>
      <c r="M85" s="1"/>
      <c r="N85" s="1"/>
      <c r="O85" s="1"/>
      <c r="P85" s="1"/>
      <c r="Q85" s="1"/>
      <c r="R85" s="1"/>
      <c r="S85" s="1"/>
      <c r="T85" s="1"/>
      <c r="U85" s="1"/>
      <c r="V85" s="1"/>
      <c r="W85" s="1"/>
      <c r="X85" s="1"/>
      <c r="Y85" s="1"/>
      <c r="Z85" s="1"/>
      <c r="AA85" s="1"/>
    </row>
    <row r="86" spans="1:27" ht="15.75" customHeight="1">
      <c r="A86" s="105"/>
      <c r="B86" s="1"/>
      <c r="C86" s="1"/>
      <c r="D86" s="1"/>
      <c r="E86" s="1"/>
      <c r="F86" s="1"/>
      <c r="G86" s="1"/>
      <c r="H86" s="1"/>
      <c r="I86" s="1"/>
      <c r="J86" s="1"/>
      <c r="K86" s="1"/>
      <c r="L86" s="89"/>
      <c r="M86" s="1"/>
      <c r="N86" s="1"/>
      <c r="O86" s="1"/>
      <c r="P86" s="1"/>
      <c r="Q86" s="1"/>
      <c r="R86" s="1"/>
      <c r="S86" s="1"/>
      <c r="T86" s="1"/>
      <c r="U86" s="1"/>
      <c r="V86" s="1"/>
      <c r="W86" s="1"/>
      <c r="X86" s="1"/>
      <c r="Y86" s="1"/>
      <c r="Z86" s="1"/>
      <c r="AA86" s="1"/>
    </row>
    <row r="87" spans="1:27" ht="15.75" customHeight="1">
      <c r="A87" s="105"/>
      <c r="B87" s="1"/>
      <c r="C87" s="1"/>
      <c r="D87" s="1"/>
      <c r="E87" s="1"/>
      <c r="F87" s="1"/>
      <c r="G87" s="1"/>
      <c r="H87" s="1"/>
      <c r="I87" s="1"/>
      <c r="J87" s="1"/>
      <c r="K87" s="1"/>
      <c r="L87" s="89"/>
      <c r="M87" s="1"/>
      <c r="N87" s="1"/>
      <c r="O87" s="1"/>
      <c r="P87" s="1"/>
      <c r="Q87" s="1"/>
      <c r="R87" s="1"/>
      <c r="S87" s="1"/>
      <c r="T87" s="1"/>
      <c r="U87" s="1"/>
      <c r="V87" s="1"/>
      <c r="W87" s="1"/>
      <c r="X87" s="1"/>
      <c r="Y87" s="1"/>
      <c r="Z87" s="1"/>
      <c r="AA87" s="1"/>
    </row>
    <row r="88" spans="1:27" ht="15.75" customHeight="1">
      <c r="A88" s="105"/>
      <c r="B88" s="1"/>
      <c r="C88" s="1"/>
      <c r="D88" s="1"/>
      <c r="E88" s="1"/>
      <c r="F88" s="1"/>
      <c r="G88" s="1"/>
      <c r="H88" s="1"/>
      <c r="I88" s="1"/>
      <c r="J88" s="1"/>
      <c r="K88" s="1"/>
      <c r="L88" s="89"/>
      <c r="M88" s="1"/>
      <c r="N88" s="1"/>
      <c r="O88" s="1"/>
      <c r="P88" s="1"/>
      <c r="Q88" s="1"/>
      <c r="R88" s="1"/>
      <c r="S88" s="1"/>
      <c r="T88" s="1"/>
      <c r="U88" s="1"/>
      <c r="V88" s="1"/>
      <c r="W88" s="1"/>
      <c r="X88" s="1"/>
      <c r="Y88" s="1"/>
      <c r="Z88" s="1"/>
      <c r="AA88" s="1"/>
    </row>
    <row r="89" spans="1:27" ht="15.75" customHeight="1">
      <c r="A89" s="105"/>
      <c r="B89" s="1"/>
      <c r="C89" s="1"/>
      <c r="D89" s="1"/>
      <c r="E89" s="1"/>
      <c r="F89" s="1"/>
      <c r="G89" s="1"/>
      <c r="H89" s="1"/>
      <c r="I89" s="1"/>
      <c r="J89" s="1"/>
      <c r="K89" s="1"/>
      <c r="L89" s="89"/>
      <c r="M89" s="1"/>
      <c r="N89" s="1"/>
      <c r="O89" s="1"/>
      <c r="P89" s="1"/>
      <c r="Q89" s="1"/>
      <c r="R89" s="1"/>
      <c r="S89" s="1"/>
      <c r="T89" s="1"/>
      <c r="U89" s="1"/>
      <c r="V89" s="1"/>
      <c r="W89" s="1"/>
      <c r="X89" s="1"/>
      <c r="Y89" s="1"/>
      <c r="Z89" s="1"/>
      <c r="AA89" s="1"/>
    </row>
    <row r="90" spans="1:27" ht="15.75" customHeight="1">
      <c r="A90" s="105"/>
      <c r="B90" s="1"/>
      <c r="C90" s="1"/>
      <c r="D90" s="1"/>
      <c r="E90" s="1"/>
      <c r="F90" s="1"/>
      <c r="G90" s="1"/>
      <c r="H90" s="1"/>
      <c r="I90" s="1"/>
      <c r="J90" s="1"/>
      <c r="K90" s="1"/>
      <c r="L90" s="89"/>
      <c r="M90" s="1"/>
      <c r="N90" s="1"/>
      <c r="O90" s="1"/>
      <c r="P90" s="1"/>
      <c r="Q90" s="1"/>
      <c r="R90" s="1"/>
      <c r="S90" s="1"/>
      <c r="T90" s="1"/>
      <c r="U90" s="1"/>
      <c r="V90" s="1"/>
      <c r="W90" s="1"/>
      <c r="X90" s="1"/>
      <c r="Y90" s="1"/>
      <c r="Z90" s="1"/>
      <c r="AA90" s="1"/>
    </row>
    <row r="91" spans="1:27" ht="15.75" customHeight="1">
      <c r="A91" s="105"/>
      <c r="B91" s="1"/>
      <c r="C91" s="1"/>
      <c r="D91" s="1"/>
      <c r="E91" s="1"/>
      <c r="F91" s="1"/>
      <c r="G91" s="1"/>
      <c r="H91" s="1"/>
      <c r="I91" s="1"/>
      <c r="J91" s="1"/>
      <c r="K91" s="1"/>
      <c r="L91" s="89"/>
      <c r="M91" s="1"/>
      <c r="N91" s="1"/>
      <c r="O91" s="1"/>
      <c r="P91" s="1"/>
      <c r="Q91" s="1"/>
      <c r="R91" s="1"/>
      <c r="S91" s="1"/>
      <c r="T91" s="1"/>
      <c r="U91" s="1"/>
      <c r="V91" s="1"/>
      <c r="W91" s="1"/>
      <c r="X91" s="1"/>
      <c r="Y91" s="1"/>
      <c r="Z91" s="1"/>
      <c r="AA91" s="1"/>
    </row>
    <row r="92" spans="1:27" ht="15.75" customHeight="1">
      <c r="A92" s="105"/>
      <c r="B92" s="1"/>
      <c r="C92" s="1"/>
      <c r="D92" s="1"/>
      <c r="E92" s="1"/>
      <c r="F92" s="1"/>
      <c r="G92" s="1"/>
      <c r="H92" s="1"/>
      <c r="I92" s="1"/>
      <c r="J92" s="1"/>
      <c r="K92" s="1"/>
      <c r="L92" s="89"/>
      <c r="M92" s="1"/>
      <c r="N92" s="1"/>
      <c r="O92" s="1"/>
      <c r="P92" s="1"/>
      <c r="Q92" s="1"/>
      <c r="R92" s="1"/>
      <c r="S92" s="1"/>
      <c r="T92" s="1"/>
      <c r="U92" s="1"/>
      <c r="V92" s="1"/>
      <c r="W92" s="1"/>
      <c r="X92" s="1"/>
      <c r="Y92" s="1"/>
      <c r="Z92" s="1"/>
      <c r="AA92" s="1"/>
    </row>
    <row r="93" spans="1:27" ht="15.75" customHeight="1">
      <c r="A93" s="105"/>
      <c r="B93" s="1"/>
      <c r="C93" s="1"/>
      <c r="D93" s="1"/>
      <c r="E93" s="1"/>
      <c r="F93" s="1"/>
      <c r="G93" s="1"/>
      <c r="H93" s="1"/>
      <c r="I93" s="1"/>
      <c r="J93" s="1"/>
      <c r="K93" s="1"/>
      <c r="L93" s="89"/>
      <c r="M93" s="1"/>
      <c r="N93" s="1"/>
      <c r="O93" s="1"/>
      <c r="P93" s="1"/>
      <c r="Q93" s="1"/>
      <c r="R93" s="1"/>
      <c r="S93" s="1"/>
      <c r="T93" s="1"/>
      <c r="U93" s="1"/>
      <c r="V93" s="1"/>
      <c r="W93" s="1"/>
      <c r="X93" s="1"/>
      <c r="Y93" s="1"/>
      <c r="Z93" s="1"/>
      <c r="AA93" s="1"/>
    </row>
    <row r="94" spans="1:27" ht="15.75" customHeight="1">
      <c r="A94" s="105"/>
      <c r="B94" s="1"/>
      <c r="C94" s="1"/>
      <c r="D94" s="1"/>
      <c r="E94" s="1"/>
      <c r="F94" s="1"/>
      <c r="G94" s="1"/>
      <c r="H94" s="1"/>
      <c r="I94" s="1"/>
      <c r="J94" s="1"/>
      <c r="K94" s="1"/>
      <c r="L94" s="89"/>
      <c r="M94" s="1"/>
      <c r="N94" s="1"/>
      <c r="O94" s="1"/>
      <c r="P94" s="1"/>
      <c r="Q94" s="1"/>
      <c r="R94" s="1"/>
      <c r="S94" s="1"/>
      <c r="T94" s="1"/>
      <c r="U94" s="1"/>
      <c r="V94" s="1"/>
      <c r="W94" s="1"/>
      <c r="X94" s="1"/>
      <c r="Y94" s="1"/>
      <c r="Z94" s="1"/>
      <c r="AA94" s="1"/>
    </row>
    <row r="95" spans="1:27" ht="15.75" customHeight="1">
      <c r="A95" s="105"/>
      <c r="B95" s="1"/>
      <c r="C95" s="1"/>
      <c r="D95" s="1"/>
      <c r="E95" s="1"/>
      <c r="F95" s="1"/>
      <c r="G95" s="1"/>
      <c r="H95" s="1"/>
      <c r="I95" s="1"/>
      <c r="J95" s="1"/>
      <c r="K95" s="1"/>
      <c r="L95" s="89"/>
      <c r="M95" s="1"/>
      <c r="N95" s="1"/>
      <c r="O95" s="1"/>
      <c r="P95" s="1"/>
      <c r="Q95" s="1"/>
      <c r="R95" s="1"/>
      <c r="S95" s="1"/>
      <c r="T95" s="1"/>
      <c r="U95" s="1"/>
      <c r="V95" s="1"/>
      <c r="W95" s="1"/>
      <c r="X95" s="1"/>
      <c r="Y95" s="1"/>
      <c r="Z95" s="1"/>
      <c r="AA95" s="1"/>
    </row>
    <row r="96" spans="1:27" ht="15.75" customHeight="1">
      <c r="A96" s="105"/>
      <c r="B96" s="1"/>
      <c r="C96" s="1"/>
      <c r="D96" s="1"/>
      <c r="E96" s="1"/>
      <c r="F96" s="1"/>
      <c r="G96" s="1"/>
      <c r="H96" s="1"/>
      <c r="I96" s="1"/>
      <c r="J96" s="1"/>
      <c r="K96" s="1"/>
      <c r="L96" s="89"/>
      <c r="M96" s="1"/>
      <c r="N96" s="1"/>
      <c r="O96" s="1"/>
      <c r="P96" s="1"/>
      <c r="Q96" s="1"/>
      <c r="R96" s="1"/>
      <c r="S96" s="1"/>
      <c r="T96" s="1"/>
      <c r="U96" s="1"/>
      <c r="V96" s="1"/>
      <c r="W96" s="1"/>
      <c r="X96" s="1"/>
      <c r="Y96" s="1"/>
      <c r="Z96" s="1"/>
      <c r="AA96" s="1"/>
    </row>
    <row r="97" spans="1:27" ht="15.75" customHeight="1">
      <c r="A97" s="105"/>
      <c r="B97" s="1"/>
      <c r="C97" s="1"/>
      <c r="D97" s="1"/>
      <c r="E97" s="1"/>
      <c r="F97" s="1"/>
      <c r="G97" s="1"/>
      <c r="H97" s="1"/>
      <c r="I97" s="1"/>
      <c r="J97" s="1"/>
      <c r="K97" s="1"/>
      <c r="L97" s="89"/>
      <c r="M97" s="1"/>
      <c r="N97" s="1"/>
      <c r="O97" s="1"/>
      <c r="P97" s="1"/>
      <c r="Q97" s="1"/>
      <c r="R97" s="1"/>
      <c r="S97" s="1"/>
      <c r="T97" s="1"/>
      <c r="U97" s="1"/>
      <c r="V97" s="1"/>
      <c r="W97" s="1"/>
      <c r="X97" s="1"/>
      <c r="Y97" s="1"/>
      <c r="Z97" s="1"/>
      <c r="AA97" s="1"/>
    </row>
    <row r="98" spans="1:27" ht="15.75" customHeight="1">
      <c r="A98" s="105"/>
      <c r="B98" s="1"/>
      <c r="C98" s="1"/>
      <c r="D98" s="1"/>
      <c r="E98" s="1"/>
      <c r="F98" s="1"/>
      <c r="G98" s="1"/>
      <c r="H98" s="1"/>
      <c r="I98" s="1"/>
      <c r="J98" s="1"/>
      <c r="K98" s="1"/>
      <c r="L98" s="89"/>
      <c r="M98" s="1"/>
      <c r="N98" s="1"/>
      <c r="O98" s="1"/>
      <c r="P98" s="1"/>
      <c r="Q98" s="1"/>
      <c r="R98" s="1"/>
      <c r="S98" s="1"/>
      <c r="T98" s="1"/>
      <c r="U98" s="1"/>
      <c r="V98" s="1"/>
      <c r="W98" s="1"/>
      <c r="X98" s="1"/>
      <c r="Y98" s="1"/>
      <c r="Z98" s="1"/>
      <c r="AA98" s="1"/>
    </row>
    <row r="99" spans="1:27" ht="15.75" customHeight="1">
      <c r="A99" s="105"/>
      <c r="B99" s="1"/>
      <c r="C99" s="1"/>
      <c r="D99" s="1"/>
      <c r="E99" s="1"/>
      <c r="F99" s="1"/>
      <c r="G99" s="1"/>
      <c r="H99" s="1"/>
      <c r="I99" s="1"/>
      <c r="J99" s="1"/>
      <c r="K99" s="1"/>
      <c r="L99" s="89"/>
      <c r="M99" s="1"/>
      <c r="N99" s="1"/>
      <c r="O99" s="1"/>
      <c r="P99" s="1"/>
      <c r="Q99" s="1"/>
      <c r="R99" s="1"/>
      <c r="S99" s="1"/>
      <c r="T99" s="1"/>
      <c r="U99" s="1"/>
      <c r="V99" s="1"/>
      <c r="W99" s="1"/>
      <c r="X99" s="1"/>
      <c r="Y99" s="1"/>
      <c r="Z99" s="1"/>
      <c r="AA99" s="1"/>
    </row>
    <row r="100" spans="1:27" ht="15.75" customHeight="1">
      <c r="A100" s="105"/>
      <c r="B100" s="1"/>
      <c r="C100" s="1"/>
      <c r="D100" s="1"/>
      <c r="E100" s="1"/>
      <c r="F100" s="1"/>
      <c r="G100" s="1"/>
      <c r="H100" s="1"/>
      <c r="I100" s="1"/>
      <c r="J100" s="1"/>
      <c r="K100" s="1"/>
      <c r="L100" s="89"/>
      <c r="M100" s="1"/>
      <c r="N100" s="1"/>
      <c r="O100" s="1"/>
      <c r="P100" s="1"/>
      <c r="Q100" s="1"/>
      <c r="R100" s="1"/>
      <c r="S100" s="1"/>
      <c r="T100" s="1"/>
      <c r="U100" s="1"/>
      <c r="V100" s="1"/>
      <c r="W100" s="1"/>
      <c r="X100" s="1"/>
      <c r="Y100" s="1"/>
      <c r="Z100" s="1"/>
      <c r="AA100" s="1"/>
    </row>
    <row r="101" spans="1:27" ht="15.75" customHeight="1">
      <c r="A101" s="105"/>
      <c r="B101" s="1"/>
      <c r="C101" s="1"/>
      <c r="D101" s="1"/>
      <c r="E101" s="1"/>
      <c r="F101" s="1"/>
      <c r="G101" s="1"/>
      <c r="H101" s="1"/>
      <c r="I101" s="1"/>
      <c r="J101" s="1"/>
      <c r="K101" s="1"/>
      <c r="L101" s="89"/>
      <c r="M101" s="1"/>
      <c r="N101" s="1"/>
      <c r="O101" s="1"/>
      <c r="P101" s="1"/>
      <c r="Q101" s="1"/>
      <c r="R101" s="1"/>
      <c r="S101" s="1"/>
      <c r="T101" s="1"/>
      <c r="U101" s="1"/>
      <c r="V101" s="1"/>
      <c r="W101" s="1"/>
      <c r="X101" s="1"/>
      <c r="Y101" s="1"/>
      <c r="Z101" s="1"/>
      <c r="AA101" s="1"/>
    </row>
    <row r="102" spans="1:27" ht="15.75" customHeight="1">
      <c r="A102" s="105"/>
      <c r="B102" s="1"/>
      <c r="C102" s="1"/>
      <c r="D102" s="1"/>
      <c r="E102" s="1"/>
      <c r="F102" s="1"/>
      <c r="G102" s="1"/>
      <c r="H102" s="1"/>
      <c r="I102" s="1"/>
      <c r="J102" s="1"/>
      <c r="K102" s="1"/>
      <c r="L102" s="89"/>
      <c r="M102" s="1"/>
      <c r="N102" s="1"/>
      <c r="O102" s="1"/>
      <c r="P102" s="1"/>
      <c r="Q102" s="1"/>
      <c r="R102" s="1"/>
      <c r="S102" s="1"/>
      <c r="T102" s="1"/>
      <c r="U102" s="1"/>
      <c r="V102" s="1"/>
      <c r="W102" s="1"/>
      <c r="X102" s="1"/>
      <c r="Y102" s="1"/>
      <c r="Z102" s="1"/>
      <c r="AA102" s="1"/>
    </row>
    <row r="103" spans="1:27" ht="15.75" customHeight="1">
      <c r="A103" s="105"/>
      <c r="B103" s="1"/>
      <c r="C103" s="1"/>
      <c r="D103" s="1"/>
      <c r="E103" s="1"/>
      <c r="F103" s="1"/>
      <c r="G103" s="1"/>
      <c r="H103" s="1"/>
      <c r="I103" s="1"/>
      <c r="J103" s="1"/>
      <c r="K103" s="1"/>
      <c r="L103" s="89"/>
      <c r="M103" s="1"/>
      <c r="N103" s="1"/>
      <c r="O103" s="1"/>
      <c r="P103" s="1"/>
      <c r="Q103" s="1"/>
      <c r="R103" s="1"/>
      <c r="S103" s="1"/>
      <c r="T103" s="1"/>
      <c r="U103" s="1"/>
      <c r="V103" s="1"/>
      <c r="W103" s="1"/>
      <c r="X103" s="1"/>
      <c r="Y103" s="1"/>
      <c r="Z103" s="1"/>
      <c r="AA103" s="1"/>
    </row>
    <row r="104" spans="1:27" ht="15.75" customHeight="1">
      <c r="A104" s="105"/>
      <c r="B104" s="1"/>
      <c r="C104" s="1"/>
      <c r="D104" s="1"/>
      <c r="E104" s="1"/>
      <c r="F104" s="1"/>
      <c r="G104" s="1"/>
      <c r="H104" s="1"/>
      <c r="I104" s="1"/>
      <c r="J104" s="1"/>
      <c r="K104" s="1"/>
      <c r="L104" s="89"/>
      <c r="M104" s="1"/>
      <c r="N104" s="1"/>
      <c r="O104" s="1"/>
      <c r="P104" s="1"/>
      <c r="Q104" s="1"/>
      <c r="R104" s="1"/>
      <c r="S104" s="1"/>
      <c r="T104" s="1"/>
      <c r="U104" s="1"/>
      <c r="V104" s="1"/>
      <c r="W104" s="1"/>
      <c r="X104" s="1"/>
      <c r="Y104" s="1"/>
      <c r="Z104" s="1"/>
      <c r="AA104" s="1"/>
    </row>
    <row r="105" spans="1:27" ht="15.75" customHeight="1">
      <c r="A105" s="105"/>
      <c r="B105" s="1"/>
      <c r="C105" s="1"/>
      <c r="D105" s="1"/>
      <c r="E105" s="1"/>
      <c r="F105" s="1"/>
      <c r="G105" s="1"/>
      <c r="H105" s="1"/>
      <c r="I105" s="1"/>
      <c r="J105" s="1"/>
      <c r="K105" s="1"/>
      <c r="L105" s="89"/>
      <c r="M105" s="1"/>
      <c r="N105" s="1"/>
      <c r="O105" s="1"/>
      <c r="P105" s="1"/>
      <c r="Q105" s="1"/>
      <c r="R105" s="1"/>
      <c r="S105" s="1"/>
      <c r="T105" s="1"/>
      <c r="U105" s="1"/>
      <c r="V105" s="1"/>
      <c r="W105" s="1"/>
      <c r="X105" s="1"/>
      <c r="Y105" s="1"/>
      <c r="Z105" s="1"/>
      <c r="AA105" s="1"/>
    </row>
    <row r="106" spans="1:27" ht="15.75" customHeight="1">
      <c r="A106" s="105"/>
      <c r="B106" s="1"/>
      <c r="C106" s="1"/>
      <c r="D106" s="1"/>
      <c r="E106" s="1"/>
      <c r="F106" s="1"/>
      <c r="G106" s="1"/>
      <c r="H106" s="1"/>
      <c r="I106" s="1"/>
      <c r="J106" s="1"/>
      <c r="K106" s="1"/>
      <c r="L106" s="89"/>
      <c r="M106" s="1"/>
      <c r="N106" s="1"/>
      <c r="O106" s="1"/>
      <c r="P106" s="1"/>
      <c r="Q106" s="1"/>
      <c r="R106" s="1"/>
      <c r="S106" s="1"/>
      <c r="T106" s="1"/>
      <c r="U106" s="1"/>
      <c r="V106" s="1"/>
      <c r="W106" s="1"/>
      <c r="X106" s="1"/>
      <c r="Y106" s="1"/>
      <c r="Z106" s="1"/>
      <c r="AA106" s="1"/>
    </row>
    <row r="107" spans="1:27" ht="15.75" customHeight="1">
      <c r="A107" s="105"/>
      <c r="B107" s="1"/>
      <c r="C107" s="1"/>
      <c r="D107" s="1"/>
      <c r="E107" s="1"/>
      <c r="F107" s="1"/>
      <c r="G107" s="1"/>
      <c r="H107" s="1"/>
      <c r="I107" s="1"/>
      <c r="J107" s="1"/>
      <c r="K107" s="1"/>
      <c r="L107" s="89"/>
      <c r="M107" s="1"/>
      <c r="N107" s="1"/>
      <c r="O107" s="1"/>
      <c r="P107" s="1"/>
      <c r="Q107" s="1"/>
      <c r="R107" s="1"/>
      <c r="S107" s="1"/>
      <c r="T107" s="1"/>
      <c r="U107" s="1"/>
      <c r="V107" s="1"/>
      <c r="W107" s="1"/>
      <c r="X107" s="1"/>
      <c r="Y107" s="1"/>
      <c r="Z107" s="1"/>
      <c r="AA107" s="1"/>
    </row>
    <row r="108" spans="1:27" ht="15.75" customHeight="1">
      <c r="A108" s="105"/>
      <c r="B108" s="1"/>
      <c r="C108" s="1"/>
      <c r="D108" s="1"/>
      <c r="E108" s="1"/>
      <c r="F108" s="1"/>
      <c r="G108" s="1"/>
      <c r="H108" s="1"/>
      <c r="I108" s="1"/>
      <c r="J108" s="1"/>
      <c r="K108" s="1"/>
      <c r="L108" s="89"/>
      <c r="M108" s="1"/>
      <c r="N108" s="1"/>
      <c r="O108" s="1"/>
      <c r="P108" s="1"/>
      <c r="Q108" s="1"/>
      <c r="R108" s="1"/>
      <c r="S108" s="1"/>
      <c r="T108" s="1"/>
      <c r="U108" s="1"/>
      <c r="V108" s="1"/>
      <c r="W108" s="1"/>
      <c r="X108" s="1"/>
      <c r="Y108" s="1"/>
      <c r="Z108" s="1"/>
      <c r="AA108" s="1"/>
    </row>
    <row r="109" spans="1:27" ht="15.75" customHeight="1">
      <c r="A109" s="105"/>
      <c r="B109" s="1"/>
      <c r="C109" s="1"/>
      <c r="D109" s="1"/>
      <c r="E109" s="1"/>
      <c r="F109" s="1"/>
      <c r="G109" s="1"/>
      <c r="H109" s="1"/>
      <c r="I109" s="1"/>
      <c r="J109" s="1"/>
      <c r="K109" s="1"/>
      <c r="L109" s="89"/>
      <c r="M109" s="1"/>
      <c r="N109" s="1"/>
      <c r="O109" s="1"/>
      <c r="P109" s="1"/>
      <c r="Q109" s="1"/>
      <c r="R109" s="1"/>
      <c r="S109" s="1"/>
      <c r="T109" s="1"/>
      <c r="U109" s="1"/>
      <c r="V109" s="1"/>
      <c r="W109" s="1"/>
      <c r="X109" s="1"/>
      <c r="Y109" s="1"/>
      <c r="Z109" s="1"/>
      <c r="AA109" s="1"/>
    </row>
    <row r="110" spans="1:27" ht="15.75" customHeight="1">
      <c r="A110" s="105"/>
      <c r="B110" s="1"/>
      <c r="C110" s="1"/>
      <c r="D110" s="1"/>
      <c r="E110" s="1"/>
      <c r="F110" s="1"/>
      <c r="G110" s="1"/>
      <c r="H110" s="1"/>
      <c r="I110" s="1"/>
      <c r="J110" s="1"/>
      <c r="K110" s="1"/>
      <c r="L110" s="89"/>
      <c r="M110" s="1"/>
      <c r="N110" s="1"/>
      <c r="O110" s="1"/>
      <c r="P110" s="1"/>
      <c r="Q110" s="1"/>
      <c r="R110" s="1"/>
      <c r="S110" s="1"/>
      <c r="T110" s="1"/>
      <c r="U110" s="1"/>
      <c r="V110" s="1"/>
      <c r="W110" s="1"/>
      <c r="X110" s="1"/>
      <c r="Y110" s="1"/>
      <c r="Z110" s="1"/>
      <c r="AA110" s="1"/>
    </row>
    <row r="111" spans="1:27" ht="15.75" customHeight="1">
      <c r="A111" s="105"/>
      <c r="B111" s="1"/>
      <c r="C111" s="1"/>
      <c r="D111" s="1"/>
      <c r="E111" s="1"/>
      <c r="F111" s="1"/>
      <c r="G111" s="1"/>
      <c r="H111" s="1"/>
      <c r="I111" s="1"/>
      <c r="J111" s="1"/>
      <c r="K111" s="1"/>
      <c r="L111" s="89"/>
      <c r="M111" s="1"/>
      <c r="N111" s="1"/>
      <c r="O111" s="1"/>
      <c r="P111" s="1"/>
      <c r="Q111" s="1"/>
      <c r="R111" s="1"/>
      <c r="S111" s="1"/>
      <c r="T111" s="1"/>
      <c r="U111" s="1"/>
      <c r="V111" s="1"/>
      <c r="W111" s="1"/>
      <c r="X111" s="1"/>
      <c r="Y111" s="1"/>
      <c r="Z111" s="1"/>
      <c r="AA111" s="1"/>
    </row>
    <row r="112" spans="1:27" ht="15.75" customHeight="1">
      <c r="A112" s="105"/>
      <c r="B112" s="1"/>
      <c r="C112" s="1"/>
      <c r="D112" s="1"/>
      <c r="E112" s="1"/>
      <c r="F112" s="1"/>
      <c r="G112" s="1"/>
      <c r="H112" s="1"/>
      <c r="I112" s="1"/>
      <c r="J112" s="1"/>
      <c r="K112" s="1"/>
      <c r="L112" s="89"/>
      <c r="M112" s="1"/>
      <c r="N112" s="1"/>
      <c r="O112" s="1"/>
      <c r="P112" s="1"/>
      <c r="Q112" s="1"/>
      <c r="R112" s="1"/>
      <c r="S112" s="1"/>
      <c r="T112" s="1"/>
      <c r="U112" s="1"/>
      <c r="V112" s="1"/>
      <c r="W112" s="1"/>
      <c r="X112" s="1"/>
      <c r="Y112" s="1"/>
      <c r="Z112" s="1"/>
      <c r="AA112" s="1"/>
    </row>
    <row r="113" spans="1:27" ht="15.75" customHeight="1">
      <c r="A113" s="105"/>
      <c r="B113" s="1"/>
      <c r="C113" s="1"/>
      <c r="D113" s="1"/>
      <c r="E113" s="1"/>
      <c r="F113" s="1"/>
      <c r="G113" s="1"/>
      <c r="H113" s="1"/>
      <c r="I113" s="1"/>
      <c r="J113" s="1"/>
      <c r="K113" s="1"/>
      <c r="L113" s="89"/>
      <c r="M113" s="1"/>
      <c r="N113" s="1"/>
      <c r="O113" s="1"/>
      <c r="P113" s="1"/>
      <c r="Q113" s="1"/>
      <c r="R113" s="1"/>
      <c r="S113" s="1"/>
      <c r="T113" s="1"/>
      <c r="U113" s="1"/>
      <c r="V113" s="1"/>
      <c r="W113" s="1"/>
      <c r="X113" s="1"/>
      <c r="Y113" s="1"/>
      <c r="Z113" s="1"/>
      <c r="AA113" s="1"/>
    </row>
    <row r="114" spans="1:27" ht="15.75" customHeight="1">
      <c r="A114" s="105"/>
      <c r="B114" s="1"/>
      <c r="C114" s="1"/>
      <c r="D114" s="1"/>
      <c r="E114" s="1"/>
      <c r="F114" s="1"/>
      <c r="G114" s="1"/>
      <c r="H114" s="1"/>
      <c r="I114" s="1"/>
      <c r="J114" s="1"/>
      <c r="K114" s="1"/>
      <c r="L114" s="89"/>
      <c r="M114" s="1"/>
      <c r="N114" s="1"/>
      <c r="O114" s="1"/>
      <c r="P114" s="1"/>
      <c r="Q114" s="1"/>
      <c r="R114" s="1"/>
      <c r="S114" s="1"/>
      <c r="T114" s="1"/>
      <c r="U114" s="1"/>
      <c r="V114" s="1"/>
      <c r="W114" s="1"/>
      <c r="X114" s="1"/>
      <c r="Y114" s="1"/>
      <c r="Z114" s="1"/>
      <c r="AA114" s="1"/>
    </row>
    <row r="115" spans="1:27" ht="15.75" customHeight="1">
      <c r="A115" s="105"/>
      <c r="B115" s="1"/>
      <c r="C115" s="1"/>
      <c r="D115" s="1"/>
      <c r="E115" s="1"/>
      <c r="F115" s="1"/>
      <c r="G115" s="1"/>
      <c r="H115" s="1"/>
      <c r="I115" s="1"/>
      <c r="J115" s="1"/>
      <c r="K115" s="1"/>
      <c r="L115" s="89"/>
      <c r="M115" s="1"/>
      <c r="N115" s="1"/>
      <c r="O115" s="1"/>
      <c r="P115" s="1"/>
      <c r="Q115" s="1"/>
      <c r="R115" s="1"/>
      <c r="S115" s="1"/>
      <c r="T115" s="1"/>
      <c r="U115" s="1"/>
      <c r="V115" s="1"/>
      <c r="W115" s="1"/>
      <c r="X115" s="1"/>
      <c r="Y115" s="1"/>
      <c r="Z115" s="1"/>
      <c r="AA115" s="1"/>
    </row>
    <row r="116" spans="1:27" ht="15.75" customHeight="1">
      <c r="A116" s="105"/>
      <c r="B116" s="1"/>
      <c r="C116" s="1"/>
      <c r="D116" s="1"/>
      <c r="E116" s="1"/>
      <c r="F116" s="1"/>
      <c r="G116" s="1"/>
      <c r="H116" s="1"/>
      <c r="I116" s="1"/>
      <c r="J116" s="1"/>
      <c r="K116" s="1"/>
      <c r="L116" s="89"/>
      <c r="M116" s="1"/>
      <c r="N116" s="1"/>
      <c r="O116" s="1"/>
      <c r="P116" s="1"/>
      <c r="Q116" s="1"/>
      <c r="R116" s="1"/>
      <c r="S116" s="1"/>
      <c r="T116" s="1"/>
      <c r="U116" s="1"/>
      <c r="V116" s="1"/>
      <c r="W116" s="1"/>
      <c r="X116" s="1"/>
      <c r="Y116" s="1"/>
      <c r="Z116" s="1"/>
      <c r="AA116" s="1"/>
    </row>
    <row r="117" spans="1:27" ht="15.75" customHeight="1">
      <c r="A117" s="105"/>
      <c r="B117" s="1"/>
      <c r="C117" s="1"/>
      <c r="D117" s="1"/>
      <c r="E117" s="1"/>
      <c r="F117" s="1"/>
      <c r="G117" s="1"/>
      <c r="H117" s="1"/>
      <c r="I117" s="1"/>
      <c r="J117" s="1"/>
      <c r="K117" s="1"/>
      <c r="L117" s="89"/>
      <c r="M117" s="1"/>
      <c r="N117" s="1"/>
      <c r="O117" s="1"/>
      <c r="P117" s="1"/>
      <c r="Q117" s="1"/>
      <c r="R117" s="1"/>
      <c r="S117" s="1"/>
      <c r="T117" s="1"/>
      <c r="U117" s="1"/>
      <c r="V117" s="1"/>
      <c r="W117" s="1"/>
      <c r="X117" s="1"/>
      <c r="Y117" s="1"/>
      <c r="Z117" s="1"/>
      <c r="AA117" s="1"/>
    </row>
    <row r="118" spans="1:27" ht="15.75" customHeight="1">
      <c r="A118" s="105"/>
      <c r="B118" s="1"/>
      <c r="C118" s="1"/>
      <c r="D118" s="1"/>
      <c r="E118" s="1"/>
      <c r="F118" s="1"/>
      <c r="G118" s="1"/>
      <c r="H118" s="1"/>
      <c r="I118" s="1"/>
      <c r="J118" s="1"/>
      <c r="K118" s="1"/>
      <c r="L118" s="89"/>
      <c r="M118" s="1"/>
      <c r="N118" s="1"/>
      <c r="O118" s="1"/>
      <c r="P118" s="1"/>
      <c r="Q118" s="1"/>
      <c r="R118" s="1"/>
      <c r="S118" s="1"/>
      <c r="T118" s="1"/>
      <c r="U118" s="1"/>
      <c r="V118" s="1"/>
      <c r="W118" s="1"/>
      <c r="X118" s="1"/>
      <c r="Y118" s="1"/>
      <c r="Z118" s="1"/>
      <c r="AA118" s="1"/>
    </row>
    <row r="119" spans="1:27" ht="15.75" customHeight="1">
      <c r="A119" s="105"/>
      <c r="B119" s="1"/>
      <c r="C119" s="1"/>
      <c r="D119" s="1"/>
      <c r="E119" s="1"/>
      <c r="F119" s="1"/>
      <c r="G119" s="1"/>
      <c r="H119" s="1"/>
      <c r="I119" s="1"/>
      <c r="J119" s="1"/>
      <c r="K119" s="1"/>
      <c r="L119" s="89"/>
      <c r="M119" s="1"/>
      <c r="N119" s="1"/>
      <c r="O119" s="1"/>
      <c r="P119" s="1"/>
      <c r="Q119" s="1"/>
      <c r="R119" s="1"/>
      <c r="S119" s="1"/>
      <c r="T119" s="1"/>
      <c r="U119" s="1"/>
      <c r="V119" s="1"/>
      <c r="W119" s="1"/>
      <c r="X119" s="1"/>
      <c r="Y119" s="1"/>
      <c r="Z119" s="1"/>
      <c r="AA119" s="1"/>
    </row>
    <row r="120" spans="1:27" ht="15.75" customHeight="1">
      <c r="A120" s="105"/>
      <c r="B120" s="1"/>
      <c r="C120" s="1"/>
      <c r="D120" s="1"/>
      <c r="E120" s="1"/>
      <c r="F120" s="1"/>
      <c r="G120" s="1"/>
      <c r="H120" s="1"/>
      <c r="I120" s="1"/>
      <c r="J120" s="1"/>
      <c r="K120" s="1"/>
      <c r="L120" s="89"/>
      <c r="M120" s="1"/>
      <c r="N120" s="1"/>
      <c r="O120" s="1"/>
      <c r="P120" s="1"/>
      <c r="Q120" s="1"/>
      <c r="R120" s="1"/>
      <c r="S120" s="1"/>
      <c r="T120" s="1"/>
      <c r="U120" s="1"/>
      <c r="V120" s="1"/>
      <c r="W120" s="1"/>
      <c r="X120" s="1"/>
      <c r="Y120" s="1"/>
      <c r="Z120" s="1"/>
      <c r="AA120" s="1"/>
    </row>
    <row r="121" spans="1:27" ht="15.75" customHeight="1">
      <c r="A121" s="105"/>
      <c r="B121" s="1"/>
      <c r="C121" s="1"/>
      <c r="D121" s="1"/>
      <c r="E121" s="1"/>
      <c r="F121" s="1"/>
      <c r="G121" s="1"/>
      <c r="H121" s="1"/>
      <c r="I121" s="1"/>
      <c r="J121" s="1"/>
      <c r="K121" s="1"/>
      <c r="L121" s="89"/>
      <c r="M121" s="1"/>
      <c r="N121" s="1"/>
      <c r="O121" s="1"/>
      <c r="P121" s="1"/>
      <c r="Q121" s="1"/>
      <c r="R121" s="1"/>
      <c r="S121" s="1"/>
      <c r="T121" s="1"/>
      <c r="U121" s="1"/>
      <c r="V121" s="1"/>
      <c r="W121" s="1"/>
      <c r="X121" s="1"/>
      <c r="Y121" s="1"/>
      <c r="Z121" s="1"/>
      <c r="AA121" s="1"/>
    </row>
    <row r="122" spans="1:27" ht="15.75" customHeight="1">
      <c r="A122" s="105"/>
      <c r="B122" s="1"/>
      <c r="C122" s="1"/>
      <c r="D122" s="1"/>
      <c r="E122" s="1"/>
      <c r="F122" s="1"/>
      <c r="G122" s="1"/>
      <c r="H122" s="1"/>
      <c r="I122" s="1"/>
      <c r="J122" s="1"/>
      <c r="K122" s="1"/>
      <c r="L122" s="89"/>
      <c r="M122" s="1"/>
      <c r="N122" s="1"/>
      <c r="O122" s="1"/>
      <c r="P122" s="1"/>
      <c r="Q122" s="1"/>
      <c r="R122" s="1"/>
      <c r="S122" s="1"/>
      <c r="T122" s="1"/>
      <c r="U122" s="1"/>
      <c r="V122" s="1"/>
      <c r="W122" s="1"/>
      <c r="X122" s="1"/>
      <c r="Y122" s="1"/>
      <c r="Z122" s="1"/>
      <c r="AA122" s="1"/>
    </row>
    <row r="123" spans="1:27" ht="15.75" customHeight="1">
      <c r="A123" s="105"/>
      <c r="B123" s="1"/>
      <c r="C123" s="1"/>
      <c r="D123" s="1"/>
      <c r="E123" s="1"/>
      <c r="F123" s="1"/>
      <c r="G123" s="1"/>
      <c r="H123" s="1"/>
      <c r="I123" s="1"/>
      <c r="J123" s="1"/>
      <c r="K123" s="1"/>
      <c r="L123" s="89"/>
      <c r="M123" s="1"/>
      <c r="N123" s="1"/>
      <c r="O123" s="1"/>
      <c r="P123" s="1"/>
      <c r="Q123" s="1"/>
      <c r="R123" s="1"/>
      <c r="S123" s="1"/>
      <c r="T123" s="1"/>
      <c r="U123" s="1"/>
      <c r="V123" s="1"/>
      <c r="W123" s="1"/>
      <c r="X123" s="1"/>
      <c r="Y123" s="1"/>
      <c r="Z123" s="1"/>
      <c r="AA123" s="1"/>
    </row>
    <row r="124" spans="1:27" ht="15.75" customHeight="1">
      <c r="A124" s="105"/>
      <c r="B124" s="1"/>
      <c r="C124" s="1"/>
      <c r="D124" s="1"/>
      <c r="E124" s="1"/>
      <c r="F124" s="1"/>
      <c r="G124" s="1"/>
      <c r="H124" s="1"/>
      <c r="I124" s="1"/>
      <c r="J124" s="1"/>
      <c r="K124" s="1"/>
      <c r="L124" s="89"/>
      <c r="M124" s="1"/>
      <c r="N124" s="1"/>
      <c r="O124" s="1"/>
      <c r="P124" s="1"/>
      <c r="Q124" s="1"/>
      <c r="R124" s="1"/>
      <c r="S124" s="1"/>
      <c r="T124" s="1"/>
      <c r="U124" s="1"/>
      <c r="V124" s="1"/>
      <c r="W124" s="1"/>
      <c r="X124" s="1"/>
      <c r="Y124" s="1"/>
      <c r="Z124" s="1"/>
      <c r="AA124" s="1"/>
    </row>
    <row r="125" spans="1:27" ht="15.75" customHeight="1">
      <c r="A125" s="105"/>
      <c r="B125" s="1"/>
      <c r="C125" s="1"/>
      <c r="D125" s="1"/>
      <c r="E125" s="1"/>
      <c r="F125" s="1"/>
      <c r="G125" s="1"/>
      <c r="H125" s="1"/>
      <c r="I125" s="1"/>
      <c r="J125" s="1"/>
      <c r="K125" s="1"/>
      <c r="L125" s="89"/>
      <c r="M125" s="1"/>
      <c r="N125" s="1"/>
      <c r="O125" s="1"/>
      <c r="P125" s="1"/>
      <c r="Q125" s="1"/>
      <c r="R125" s="1"/>
      <c r="S125" s="1"/>
      <c r="T125" s="1"/>
      <c r="U125" s="1"/>
      <c r="V125" s="1"/>
      <c r="W125" s="1"/>
      <c r="X125" s="1"/>
      <c r="Y125" s="1"/>
      <c r="Z125" s="1"/>
      <c r="AA125" s="1"/>
    </row>
    <row r="126" spans="1:27" ht="15.75" customHeight="1">
      <c r="A126" s="105"/>
      <c r="B126" s="1"/>
      <c r="C126" s="1"/>
      <c r="D126" s="1"/>
      <c r="E126" s="1"/>
      <c r="F126" s="1"/>
      <c r="G126" s="1"/>
      <c r="H126" s="1"/>
      <c r="I126" s="1"/>
      <c r="J126" s="1"/>
      <c r="K126" s="1"/>
      <c r="L126" s="89"/>
      <c r="M126" s="1"/>
      <c r="N126" s="1"/>
      <c r="O126" s="1"/>
      <c r="P126" s="1"/>
      <c r="Q126" s="1"/>
      <c r="R126" s="1"/>
      <c r="S126" s="1"/>
      <c r="T126" s="1"/>
      <c r="U126" s="1"/>
      <c r="V126" s="1"/>
      <c r="W126" s="1"/>
      <c r="X126" s="1"/>
      <c r="Y126" s="1"/>
      <c r="Z126" s="1"/>
      <c r="AA126" s="1"/>
    </row>
    <row r="127" spans="1:27" ht="15.75" customHeight="1">
      <c r="A127" s="105"/>
      <c r="B127" s="1"/>
      <c r="C127" s="1"/>
      <c r="D127" s="1"/>
      <c r="E127" s="1"/>
      <c r="F127" s="1"/>
      <c r="G127" s="1"/>
      <c r="H127" s="1"/>
      <c r="I127" s="1"/>
      <c r="J127" s="1"/>
      <c r="K127" s="1"/>
      <c r="L127" s="89"/>
      <c r="M127" s="1"/>
      <c r="N127" s="1"/>
      <c r="O127" s="1"/>
      <c r="P127" s="1"/>
      <c r="Q127" s="1"/>
      <c r="R127" s="1"/>
      <c r="S127" s="1"/>
      <c r="T127" s="1"/>
      <c r="U127" s="1"/>
      <c r="V127" s="1"/>
      <c r="W127" s="1"/>
      <c r="X127" s="1"/>
      <c r="Y127" s="1"/>
      <c r="Z127" s="1"/>
      <c r="AA127" s="1"/>
    </row>
    <row r="128" spans="1:27" ht="15.75" customHeight="1">
      <c r="A128" s="105"/>
      <c r="B128" s="1"/>
      <c r="C128" s="1"/>
      <c r="D128" s="1"/>
      <c r="E128" s="1"/>
      <c r="F128" s="1"/>
      <c r="G128" s="1"/>
      <c r="H128" s="1"/>
      <c r="I128" s="1"/>
      <c r="J128" s="1"/>
      <c r="K128" s="1"/>
      <c r="L128" s="89"/>
      <c r="M128" s="1"/>
      <c r="N128" s="1"/>
      <c r="O128" s="1"/>
      <c r="P128" s="1"/>
      <c r="Q128" s="1"/>
      <c r="R128" s="1"/>
      <c r="S128" s="1"/>
      <c r="T128" s="1"/>
      <c r="U128" s="1"/>
      <c r="V128" s="1"/>
      <c r="W128" s="1"/>
      <c r="X128" s="1"/>
      <c r="Y128" s="1"/>
      <c r="Z128" s="1"/>
      <c r="AA128" s="1"/>
    </row>
    <row r="129" spans="1:27" ht="15.75" customHeight="1">
      <c r="A129" s="105"/>
      <c r="B129" s="1"/>
      <c r="C129" s="1"/>
      <c r="D129" s="1"/>
      <c r="E129" s="1"/>
      <c r="F129" s="1"/>
      <c r="G129" s="1"/>
      <c r="H129" s="1"/>
      <c r="I129" s="1"/>
      <c r="J129" s="1"/>
      <c r="K129" s="1"/>
      <c r="L129" s="89"/>
      <c r="M129" s="1"/>
      <c r="N129" s="1"/>
      <c r="O129" s="1"/>
      <c r="P129" s="1"/>
      <c r="Q129" s="1"/>
      <c r="R129" s="1"/>
      <c r="S129" s="1"/>
      <c r="T129" s="1"/>
      <c r="U129" s="1"/>
      <c r="V129" s="1"/>
      <c r="W129" s="1"/>
      <c r="X129" s="1"/>
      <c r="Y129" s="1"/>
      <c r="Z129" s="1"/>
      <c r="AA129" s="1"/>
    </row>
    <row r="130" spans="1:27" ht="15.75" customHeight="1">
      <c r="A130" s="105"/>
      <c r="B130" s="1"/>
      <c r="C130" s="1"/>
      <c r="D130" s="1"/>
      <c r="E130" s="1"/>
      <c r="F130" s="1"/>
      <c r="G130" s="1"/>
      <c r="H130" s="1"/>
      <c r="I130" s="1"/>
      <c r="J130" s="1"/>
      <c r="K130" s="1"/>
      <c r="L130" s="89"/>
      <c r="M130" s="1"/>
      <c r="N130" s="1"/>
      <c r="O130" s="1"/>
      <c r="P130" s="1"/>
      <c r="Q130" s="1"/>
      <c r="R130" s="1"/>
      <c r="S130" s="1"/>
      <c r="T130" s="1"/>
      <c r="U130" s="1"/>
      <c r="V130" s="1"/>
      <c r="W130" s="1"/>
      <c r="X130" s="1"/>
      <c r="Y130" s="1"/>
      <c r="Z130" s="1"/>
      <c r="AA130" s="1"/>
    </row>
    <row r="131" spans="1:27" ht="15.75" customHeight="1">
      <c r="A131" s="105"/>
      <c r="B131" s="1"/>
      <c r="C131" s="1"/>
      <c r="D131" s="1"/>
      <c r="E131" s="1"/>
      <c r="F131" s="1"/>
      <c r="G131" s="1"/>
      <c r="H131" s="1"/>
      <c r="I131" s="1"/>
      <c r="J131" s="1"/>
      <c r="K131" s="1"/>
      <c r="L131" s="89"/>
      <c r="M131" s="1"/>
      <c r="N131" s="1"/>
      <c r="O131" s="1"/>
      <c r="P131" s="1"/>
      <c r="Q131" s="1"/>
      <c r="R131" s="1"/>
      <c r="S131" s="1"/>
      <c r="T131" s="1"/>
      <c r="U131" s="1"/>
      <c r="V131" s="1"/>
      <c r="W131" s="1"/>
      <c r="X131" s="1"/>
      <c r="Y131" s="1"/>
      <c r="Z131" s="1"/>
      <c r="AA131" s="1"/>
    </row>
    <row r="132" spans="1:27" ht="15.75" customHeight="1">
      <c r="A132" s="105"/>
      <c r="B132" s="1"/>
      <c r="C132" s="1"/>
      <c r="D132" s="1"/>
      <c r="E132" s="1"/>
      <c r="F132" s="1"/>
      <c r="G132" s="1"/>
      <c r="H132" s="1"/>
      <c r="I132" s="1"/>
      <c r="J132" s="1"/>
      <c r="K132" s="1"/>
      <c r="L132" s="89"/>
      <c r="M132" s="1"/>
      <c r="N132" s="1"/>
      <c r="O132" s="1"/>
      <c r="P132" s="1"/>
      <c r="Q132" s="1"/>
      <c r="R132" s="1"/>
      <c r="S132" s="1"/>
      <c r="T132" s="1"/>
      <c r="U132" s="1"/>
      <c r="V132" s="1"/>
      <c r="W132" s="1"/>
      <c r="X132" s="1"/>
      <c r="Y132" s="1"/>
      <c r="Z132" s="1"/>
      <c r="AA132" s="1"/>
    </row>
    <row r="133" spans="1:27" ht="15.75" customHeight="1">
      <c r="A133" s="105"/>
      <c r="B133" s="1"/>
      <c r="C133" s="1"/>
      <c r="D133" s="1"/>
      <c r="E133" s="1"/>
      <c r="F133" s="1"/>
      <c r="G133" s="1"/>
      <c r="H133" s="1"/>
      <c r="I133" s="1"/>
      <c r="J133" s="1"/>
      <c r="K133" s="1"/>
      <c r="L133" s="89"/>
      <c r="M133" s="1"/>
      <c r="N133" s="1"/>
      <c r="O133" s="1"/>
      <c r="P133" s="1"/>
      <c r="Q133" s="1"/>
      <c r="R133" s="1"/>
      <c r="S133" s="1"/>
      <c r="T133" s="1"/>
      <c r="U133" s="1"/>
      <c r="V133" s="1"/>
      <c r="W133" s="1"/>
      <c r="X133" s="1"/>
      <c r="Y133" s="1"/>
      <c r="Z133" s="1"/>
      <c r="AA133" s="1"/>
    </row>
    <row r="134" spans="1:27" ht="15.75" customHeight="1">
      <c r="A134" s="105"/>
      <c r="B134" s="1"/>
      <c r="C134" s="1"/>
      <c r="D134" s="1"/>
      <c r="E134" s="1"/>
      <c r="F134" s="1"/>
      <c r="G134" s="1"/>
      <c r="H134" s="1"/>
      <c r="I134" s="1"/>
      <c r="J134" s="1"/>
      <c r="K134" s="1"/>
      <c r="L134" s="89"/>
      <c r="M134" s="1"/>
      <c r="N134" s="1"/>
      <c r="O134" s="1"/>
      <c r="P134" s="1"/>
      <c r="Q134" s="1"/>
      <c r="R134" s="1"/>
      <c r="S134" s="1"/>
      <c r="T134" s="1"/>
      <c r="U134" s="1"/>
      <c r="V134" s="1"/>
      <c r="W134" s="1"/>
      <c r="X134" s="1"/>
      <c r="Y134" s="1"/>
      <c r="Z134" s="1"/>
      <c r="AA134" s="1"/>
    </row>
    <row r="135" spans="1:27" ht="15.75" customHeight="1">
      <c r="A135" s="105"/>
      <c r="B135" s="1"/>
      <c r="C135" s="1"/>
      <c r="D135" s="1"/>
      <c r="E135" s="1"/>
      <c r="F135" s="1"/>
      <c r="G135" s="1"/>
      <c r="H135" s="1"/>
      <c r="I135" s="1"/>
      <c r="J135" s="1"/>
      <c r="K135" s="1"/>
      <c r="L135" s="89"/>
      <c r="M135" s="1"/>
      <c r="N135" s="1"/>
      <c r="O135" s="1"/>
      <c r="P135" s="1"/>
      <c r="Q135" s="1"/>
      <c r="R135" s="1"/>
      <c r="S135" s="1"/>
      <c r="T135" s="1"/>
      <c r="U135" s="1"/>
      <c r="V135" s="1"/>
      <c r="W135" s="1"/>
      <c r="X135" s="1"/>
      <c r="Y135" s="1"/>
      <c r="Z135" s="1"/>
      <c r="AA135" s="1"/>
    </row>
    <row r="136" spans="1:27" ht="15.75" customHeight="1">
      <c r="A136" s="105"/>
      <c r="B136" s="1"/>
      <c r="C136" s="1"/>
      <c r="D136" s="1"/>
      <c r="E136" s="1"/>
      <c r="F136" s="1"/>
      <c r="G136" s="1"/>
      <c r="H136" s="1"/>
      <c r="I136" s="1"/>
      <c r="J136" s="1"/>
      <c r="K136" s="1"/>
      <c r="L136" s="89"/>
      <c r="M136" s="1"/>
      <c r="N136" s="1"/>
      <c r="O136" s="1"/>
      <c r="P136" s="1"/>
      <c r="Q136" s="1"/>
      <c r="R136" s="1"/>
      <c r="S136" s="1"/>
      <c r="T136" s="1"/>
      <c r="U136" s="1"/>
      <c r="V136" s="1"/>
      <c r="W136" s="1"/>
      <c r="X136" s="1"/>
      <c r="Y136" s="1"/>
      <c r="Z136" s="1"/>
      <c r="AA136" s="1"/>
    </row>
    <row r="137" spans="1:27" ht="15.75" customHeight="1">
      <c r="A137" s="105"/>
      <c r="B137" s="1"/>
      <c r="C137" s="1"/>
      <c r="D137" s="1"/>
      <c r="E137" s="1"/>
      <c r="F137" s="1"/>
      <c r="G137" s="1"/>
      <c r="H137" s="1"/>
      <c r="I137" s="1"/>
      <c r="J137" s="1"/>
      <c r="K137" s="1"/>
      <c r="L137" s="89"/>
      <c r="M137" s="1"/>
      <c r="N137" s="1"/>
      <c r="O137" s="1"/>
      <c r="P137" s="1"/>
      <c r="Q137" s="1"/>
      <c r="R137" s="1"/>
      <c r="S137" s="1"/>
      <c r="T137" s="1"/>
      <c r="U137" s="1"/>
      <c r="V137" s="1"/>
      <c r="W137" s="1"/>
      <c r="X137" s="1"/>
      <c r="Y137" s="1"/>
      <c r="Z137" s="1"/>
      <c r="AA137" s="1"/>
    </row>
    <row r="138" spans="1:27" ht="15.75" customHeight="1">
      <c r="A138" s="105"/>
      <c r="B138" s="1"/>
      <c r="C138" s="1"/>
      <c r="D138" s="1"/>
      <c r="E138" s="1"/>
      <c r="F138" s="1"/>
      <c r="G138" s="1"/>
      <c r="H138" s="1"/>
      <c r="I138" s="1"/>
      <c r="J138" s="1"/>
      <c r="K138" s="1"/>
      <c r="L138" s="89"/>
      <c r="M138" s="1"/>
      <c r="N138" s="1"/>
      <c r="O138" s="1"/>
      <c r="P138" s="1"/>
      <c r="Q138" s="1"/>
      <c r="R138" s="1"/>
      <c r="S138" s="1"/>
      <c r="T138" s="1"/>
      <c r="U138" s="1"/>
      <c r="V138" s="1"/>
      <c r="W138" s="1"/>
      <c r="X138" s="1"/>
      <c r="Y138" s="1"/>
      <c r="Z138" s="1"/>
      <c r="AA138" s="1"/>
    </row>
    <row r="139" spans="1:27" ht="15.75" customHeight="1">
      <c r="A139" s="105"/>
      <c r="B139" s="1"/>
      <c r="C139" s="1"/>
      <c r="D139" s="1"/>
      <c r="E139" s="1"/>
      <c r="F139" s="1"/>
      <c r="G139" s="1"/>
      <c r="H139" s="1"/>
      <c r="I139" s="1"/>
      <c r="J139" s="1"/>
      <c r="K139" s="1"/>
      <c r="L139" s="89"/>
      <c r="M139" s="1"/>
      <c r="N139" s="1"/>
      <c r="O139" s="1"/>
      <c r="P139" s="1"/>
      <c r="Q139" s="1"/>
      <c r="R139" s="1"/>
      <c r="S139" s="1"/>
      <c r="T139" s="1"/>
      <c r="U139" s="1"/>
      <c r="V139" s="1"/>
      <c r="W139" s="1"/>
      <c r="X139" s="1"/>
      <c r="Y139" s="1"/>
      <c r="Z139" s="1"/>
      <c r="AA139" s="1"/>
    </row>
    <row r="140" spans="1:27" ht="15.75" customHeight="1">
      <c r="A140" s="105"/>
      <c r="B140" s="1"/>
      <c r="C140" s="1"/>
      <c r="D140" s="1"/>
      <c r="E140" s="1"/>
      <c r="F140" s="1"/>
      <c r="G140" s="1"/>
      <c r="H140" s="1"/>
      <c r="I140" s="1"/>
      <c r="J140" s="1"/>
      <c r="K140" s="1"/>
      <c r="L140" s="89"/>
      <c r="M140" s="1"/>
      <c r="N140" s="1"/>
      <c r="O140" s="1"/>
      <c r="P140" s="1"/>
      <c r="Q140" s="1"/>
      <c r="R140" s="1"/>
      <c r="S140" s="1"/>
      <c r="T140" s="1"/>
      <c r="U140" s="1"/>
      <c r="V140" s="1"/>
      <c r="W140" s="1"/>
      <c r="X140" s="1"/>
      <c r="Y140" s="1"/>
      <c r="Z140" s="1"/>
      <c r="AA140" s="1"/>
    </row>
    <row r="141" spans="1:27" ht="15.75" customHeight="1">
      <c r="A141" s="105"/>
      <c r="B141" s="1"/>
      <c r="C141" s="1"/>
      <c r="D141" s="1"/>
      <c r="E141" s="1"/>
      <c r="F141" s="1"/>
      <c r="G141" s="1"/>
      <c r="H141" s="1"/>
      <c r="I141" s="1"/>
      <c r="J141" s="1"/>
      <c r="K141" s="1"/>
      <c r="L141" s="89"/>
      <c r="M141" s="1"/>
      <c r="N141" s="1"/>
      <c r="O141" s="1"/>
      <c r="P141" s="1"/>
      <c r="Q141" s="1"/>
      <c r="R141" s="1"/>
      <c r="S141" s="1"/>
      <c r="T141" s="1"/>
      <c r="U141" s="1"/>
      <c r="V141" s="1"/>
      <c r="W141" s="1"/>
      <c r="X141" s="1"/>
      <c r="Y141" s="1"/>
      <c r="Z141" s="1"/>
      <c r="AA141" s="1"/>
    </row>
    <row r="142" spans="1:27" ht="15.75" customHeight="1">
      <c r="A142" s="105"/>
      <c r="B142" s="1"/>
      <c r="C142" s="1"/>
      <c r="D142" s="1"/>
      <c r="E142" s="1"/>
      <c r="F142" s="1"/>
      <c r="G142" s="1"/>
      <c r="H142" s="1"/>
      <c r="I142" s="1"/>
      <c r="J142" s="1"/>
      <c r="K142" s="1"/>
      <c r="L142" s="89"/>
      <c r="M142" s="1"/>
      <c r="N142" s="1"/>
      <c r="O142" s="1"/>
      <c r="P142" s="1"/>
      <c r="Q142" s="1"/>
      <c r="R142" s="1"/>
      <c r="S142" s="1"/>
      <c r="T142" s="1"/>
      <c r="U142" s="1"/>
      <c r="V142" s="1"/>
      <c r="W142" s="1"/>
      <c r="X142" s="1"/>
      <c r="Y142" s="1"/>
      <c r="Z142" s="1"/>
      <c r="AA142" s="1"/>
    </row>
    <row r="143" spans="1:27" ht="15.75" customHeight="1">
      <c r="A143" s="105"/>
      <c r="B143" s="1"/>
      <c r="C143" s="1"/>
      <c r="D143" s="1"/>
      <c r="E143" s="1"/>
      <c r="F143" s="1"/>
      <c r="G143" s="1"/>
      <c r="H143" s="1"/>
      <c r="I143" s="1"/>
      <c r="J143" s="1"/>
      <c r="K143" s="1"/>
      <c r="L143" s="89"/>
      <c r="M143" s="1"/>
      <c r="N143" s="1"/>
      <c r="O143" s="1"/>
      <c r="P143" s="1"/>
      <c r="Q143" s="1"/>
      <c r="R143" s="1"/>
      <c r="S143" s="1"/>
      <c r="T143" s="1"/>
      <c r="U143" s="1"/>
      <c r="V143" s="1"/>
      <c r="W143" s="1"/>
      <c r="X143" s="1"/>
      <c r="Y143" s="1"/>
      <c r="Z143" s="1"/>
      <c r="AA143" s="1"/>
    </row>
    <row r="144" spans="1:27" ht="15.75" customHeight="1">
      <c r="A144" s="105"/>
      <c r="B144" s="1"/>
      <c r="C144" s="1"/>
      <c r="D144" s="1"/>
      <c r="E144" s="1"/>
      <c r="F144" s="1"/>
      <c r="G144" s="1"/>
      <c r="H144" s="1"/>
      <c r="I144" s="1"/>
      <c r="J144" s="1"/>
      <c r="K144" s="1"/>
      <c r="L144" s="89"/>
      <c r="M144" s="1"/>
      <c r="N144" s="1"/>
      <c r="O144" s="1"/>
      <c r="P144" s="1"/>
      <c r="Q144" s="1"/>
      <c r="R144" s="1"/>
      <c r="S144" s="1"/>
      <c r="T144" s="1"/>
      <c r="U144" s="1"/>
      <c r="V144" s="1"/>
      <c r="W144" s="1"/>
      <c r="X144" s="1"/>
      <c r="Y144" s="1"/>
      <c r="Z144" s="1"/>
      <c r="AA144" s="1"/>
    </row>
    <row r="145" spans="1:27" ht="15.75" customHeight="1">
      <c r="A145" s="105"/>
      <c r="B145" s="1"/>
      <c r="C145" s="1"/>
      <c r="D145" s="1"/>
      <c r="E145" s="1"/>
      <c r="F145" s="1"/>
      <c r="G145" s="1"/>
      <c r="H145" s="1"/>
      <c r="I145" s="1"/>
      <c r="J145" s="1"/>
      <c r="K145" s="1"/>
      <c r="L145" s="89"/>
      <c r="M145" s="1"/>
      <c r="N145" s="1"/>
      <c r="O145" s="1"/>
      <c r="P145" s="1"/>
      <c r="Q145" s="1"/>
      <c r="R145" s="1"/>
      <c r="S145" s="1"/>
      <c r="T145" s="1"/>
      <c r="U145" s="1"/>
      <c r="V145" s="1"/>
      <c r="W145" s="1"/>
      <c r="X145" s="1"/>
      <c r="Y145" s="1"/>
      <c r="Z145" s="1"/>
      <c r="AA145" s="1"/>
    </row>
    <row r="146" spans="1:27" ht="15.75" customHeight="1">
      <c r="A146" s="105"/>
      <c r="B146" s="1"/>
      <c r="C146" s="1"/>
      <c r="D146" s="1"/>
      <c r="E146" s="1"/>
      <c r="F146" s="1"/>
      <c r="G146" s="1"/>
      <c r="H146" s="1"/>
      <c r="I146" s="1"/>
      <c r="J146" s="1"/>
      <c r="K146" s="1"/>
      <c r="L146" s="89"/>
      <c r="M146" s="1"/>
      <c r="N146" s="1"/>
      <c r="O146" s="1"/>
      <c r="P146" s="1"/>
      <c r="Q146" s="1"/>
      <c r="R146" s="1"/>
      <c r="S146" s="1"/>
      <c r="T146" s="1"/>
      <c r="U146" s="1"/>
      <c r="V146" s="1"/>
      <c r="W146" s="1"/>
      <c r="X146" s="1"/>
      <c r="Y146" s="1"/>
      <c r="Z146" s="1"/>
      <c r="AA146" s="1"/>
    </row>
    <row r="147" spans="1:27" ht="15.75" customHeight="1">
      <c r="A147" s="105"/>
      <c r="B147" s="1"/>
      <c r="C147" s="1"/>
      <c r="D147" s="1"/>
      <c r="E147" s="1"/>
      <c r="F147" s="1"/>
      <c r="G147" s="1"/>
      <c r="H147" s="1"/>
      <c r="I147" s="1"/>
      <c r="J147" s="1"/>
      <c r="K147" s="1"/>
      <c r="L147" s="89"/>
      <c r="M147" s="1"/>
      <c r="N147" s="1"/>
      <c r="O147" s="1"/>
      <c r="P147" s="1"/>
      <c r="Q147" s="1"/>
      <c r="R147" s="1"/>
      <c r="S147" s="1"/>
      <c r="T147" s="1"/>
      <c r="U147" s="1"/>
      <c r="V147" s="1"/>
      <c r="W147" s="1"/>
      <c r="X147" s="1"/>
      <c r="Y147" s="1"/>
      <c r="Z147" s="1"/>
      <c r="AA147" s="1"/>
    </row>
    <row r="148" spans="1:27" ht="15.75" customHeight="1">
      <c r="A148" s="105"/>
      <c r="B148" s="1"/>
      <c r="C148" s="1"/>
      <c r="D148" s="1"/>
      <c r="E148" s="1"/>
      <c r="F148" s="1"/>
      <c r="G148" s="1"/>
      <c r="H148" s="1"/>
      <c r="I148" s="1"/>
      <c r="J148" s="1"/>
      <c r="K148" s="1"/>
      <c r="L148" s="89"/>
      <c r="M148" s="1"/>
      <c r="N148" s="1"/>
      <c r="O148" s="1"/>
      <c r="P148" s="1"/>
      <c r="Q148" s="1"/>
      <c r="R148" s="1"/>
      <c r="S148" s="1"/>
      <c r="T148" s="1"/>
      <c r="U148" s="1"/>
      <c r="V148" s="1"/>
      <c r="W148" s="1"/>
      <c r="X148" s="1"/>
      <c r="Y148" s="1"/>
      <c r="Z148" s="1"/>
      <c r="AA148" s="1"/>
    </row>
    <row r="149" spans="1:27" ht="15.75" customHeight="1">
      <c r="A149" s="105"/>
      <c r="B149" s="1"/>
      <c r="C149" s="1"/>
      <c r="D149" s="1"/>
      <c r="E149" s="1"/>
      <c r="F149" s="1"/>
      <c r="G149" s="1"/>
      <c r="H149" s="1"/>
      <c r="I149" s="1"/>
      <c r="J149" s="1"/>
      <c r="K149" s="1"/>
      <c r="L149" s="89"/>
      <c r="M149" s="1"/>
      <c r="N149" s="1"/>
      <c r="O149" s="1"/>
      <c r="P149" s="1"/>
      <c r="Q149" s="1"/>
      <c r="R149" s="1"/>
      <c r="S149" s="1"/>
      <c r="T149" s="1"/>
      <c r="U149" s="1"/>
      <c r="V149" s="1"/>
      <c r="W149" s="1"/>
      <c r="X149" s="1"/>
      <c r="Y149" s="1"/>
      <c r="Z149" s="1"/>
      <c r="AA149" s="1"/>
    </row>
    <row r="150" spans="1:27" ht="15.75" customHeight="1">
      <c r="A150" s="105"/>
      <c r="B150" s="1"/>
      <c r="C150" s="1"/>
      <c r="D150" s="1"/>
      <c r="E150" s="1"/>
      <c r="F150" s="1"/>
      <c r="G150" s="1"/>
      <c r="H150" s="1"/>
      <c r="I150" s="1"/>
      <c r="J150" s="1"/>
      <c r="K150" s="1"/>
      <c r="L150" s="89"/>
      <c r="M150" s="1"/>
      <c r="N150" s="1"/>
      <c r="O150" s="1"/>
      <c r="P150" s="1"/>
      <c r="Q150" s="1"/>
      <c r="R150" s="1"/>
      <c r="S150" s="1"/>
      <c r="T150" s="1"/>
      <c r="U150" s="1"/>
      <c r="V150" s="1"/>
      <c r="W150" s="1"/>
      <c r="X150" s="1"/>
      <c r="Y150" s="1"/>
      <c r="Z150" s="1"/>
      <c r="AA150" s="1"/>
    </row>
    <row r="151" spans="1:27" ht="15.75" customHeight="1">
      <c r="A151" s="105"/>
      <c r="B151" s="1"/>
      <c r="C151" s="1"/>
      <c r="D151" s="1"/>
      <c r="E151" s="1"/>
      <c r="F151" s="1"/>
      <c r="G151" s="1"/>
      <c r="H151" s="1"/>
      <c r="I151" s="1"/>
      <c r="J151" s="1"/>
      <c r="K151" s="1"/>
      <c r="L151" s="89"/>
      <c r="M151" s="1"/>
      <c r="N151" s="1"/>
      <c r="O151" s="1"/>
      <c r="P151" s="1"/>
      <c r="Q151" s="1"/>
      <c r="R151" s="1"/>
      <c r="S151" s="1"/>
      <c r="T151" s="1"/>
      <c r="U151" s="1"/>
      <c r="V151" s="1"/>
      <c r="W151" s="1"/>
      <c r="X151" s="1"/>
      <c r="Y151" s="1"/>
      <c r="Z151" s="1"/>
      <c r="AA151" s="1"/>
    </row>
    <row r="152" spans="1:27" ht="15.75" customHeight="1">
      <c r="A152" s="105"/>
      <c r="B152" s="1"/>
      <c r="C152" s="1"/>
      <c r="D152" s="1"/>
      <c r="E152" s="1"/>
      <c r="F152" s="1"/>
      <c r="G152" s="1"/>
      <c r="H152" s="1"/>
      <c r="I152" s="1"/>
      <c r="J152" s="1"/>
      <c r="K152" s="1"/>
      <c r="L152" s="89"/>
      <c r="M152" s="1"/>
      <c r="N152" s="1"/>
      <c r="O152" s="1"/>
      <c r="P152" s="1"/>
      <c r="Q152" s="1"/>
      <c r="R152" s="1"/>
      <c r="S152" s="1"/>
      <c r="T152" s="1"/>
      <c r="U152" s="1"/>
      <c r="V152" s="1"/>
      <c r="W152" s="1"/>
      <c r="X152" s="1"/>
      <c r="Y152" s="1"/>
      <c r="Z152" s="1"/>
      <c r="AA152" s="1"/>
    </row>
    <row r="153" spans="1:27" ht="15.75" customHeight="1">
      <c r="A153" s="105"/>
      <c r="B153" s="1"/>
      <c r="C153" s="1"/>
      <c r="D153" s="1"/>
      <c r="E153" s="1"/>
      <c r="F153" s="1"/>
      <c r="G153" s="1"/>
      <c r="H153" s="1"/>
      <c r="I153" s="1"/>
      <c r="J153" s="1"/>
      <c r="K153" s="1"/>
      <c r="L153" s="89"/>
      <c r="M153" s="1"/>
      <c r="N153" s="1"/>
      <c r="O153" s="1"/>
      <c r="P153" s="1"/>
      <c r="Q153" s="1"/>
      <c r="R153" s="1"/>
      <c r="S153" s="1"/>
      <c r="T153" s="1"/>
      <c r="U153" s="1"/>
      <c r="V153" s="1"/>
      <c r="W153" s="1"/>
      <c r="X153" s="1"/>
      <c r="Y153" s="1"/>
      <c r="Z153" s="1"/>
      <c r="AA153" s="1"/>
    </row>
    <row r="154" spans="1:27" ht="15.75" customHeight="1">
      <c r="A154" s="105"/>
      <c r="B154" s="1"/>
      <c r="C154" s="1"/>
      <c r="D154" s="1"/>
      <c r="E154" s="1"/>
      <c r="F154" s="1"/>
      <c r="G154" s="1"/>
      <c r="H154" s="1"/>
      <c r="I154" s="1"/>
      <c r="J154" s="1"/>
      <c r="K154" s="1"/>
      <c r="L154" s="89"/>
      <c r="M154" s="1"/>
      <c r="N154" s="1"/>
      <c r="O154" s="1"/>
      <c r="P154" s="1"/>
      <c r="Q154" s="1"/>
      <c r="R154" s="1"/>
      <c r="S154" s="1"/>
      <c r="T154" s="1"/>
      <c r="U154" s="1"/>
      <c r="V154" s="1"/>
      <c r="W154" s="1"/>
      <c r="X154" s="1"/>
      <c r="Y154" s="1"/>
      <c r="Z154" s="1"/>
      <c r="AA154" s="1"/>
    </row>
    <row r="155" spans="1:27" ht="15.75" customHeight="1">
      <c r="A155" s="105"/>
      <c r="B155" s="1"/>
      <c r="C155" s="1"/>
      <c r="D155" s="1"/>
      <c r="E155" s="1"/>
      <c r="F155" s="1"/>
      <c r="G155" s="1"/>
      <c r="H155" s="1"/>
      <c r="I155" s="1"/>
      <c r="J155" s="1"/>
      <c r="K155" s="1"/>
      <c r="L155" s="89"/>
      <c r="M155" s="1"/>
      <c r="N155" s="1"/>
      <c r="O155" s="1"/>
      <c r="P155" s="1"/>
      <c r="Q155" s="1"/>
      <c r="R155" s="1"/>
      <c r="S155" s="1"/>
      <c r="T155" s="1"/>
      <c r="U155" s="1"/>
      <c r="V155" s="1"/>
      <c r="W155" s="1"/>
      <c r="X155" s="1"/>
      <c r="Y155" s="1"/>
      <c r="Z155" s="1"/>
      <c r="AA155" s="1"/>
    </row>
    <row r="156" spans="1:27" ht="15.75" customHeight="1">
      <c r="A156" s="105"/>
      <c r="B156" s="1"/>
      <c r="C156" s="1"/>
      <c r="D156" s="1"/>
      <c r="E156" s="1"/>
      <c r="F156" s="1"/>
      <c r="G156" s="1"/>
      <c r="H156" s="1"/>
      <c r="I156" s="1"/>
      <c r="J156" s="1"/>
      <c r="K156" s="1"/>
      <c r="L156" s="89"/>
      <c r="M156" s="1"/>
      <c r="N156" s="1"/>
      <c r="O156" s="1"/>
      <c r="P156" s="1"/>
      <c r="Q156" s="1"/>
      <c r="R156" s="1"/>
      <c r="S156" s="1"/>
      <c r="T156" s="1"/>
      <c r="U156" s="1"/>
      <c r="V156" s="1"/>
      <c r="W156" s="1"/>
      <c r="X156" s="1"/>
      <c r="Y156" s="1"/>
      <c r="Z156" s="1"/>
      <c r="AA156" s="1"/>
    </row>
    <row r="157" spans="1:27" ht="15.75" customHeight="1">
      <c r="A157" s="105"/>
      <c r="B157" s="1"/>
      <c r="C157" s="1"/>
      <c r="D157" s="1"/>
      <c r="E157" s="1"/>
      <c r="F157" s="1"/>
      <c r="G157" s="1"/>
      <c r="H157" s="1"/>
      <c r="I157" s="1"/>
      <c r="J157" s="1"/>
      <c r="K157" s="1"/>
      <c r="L157" s="89"/>
      <c r="M157" s="1"/>
      <c r="N157" s="1"/>
      <c r="O157" s="1"/>
      <c r="P157" s="1"/>
      <c r="Q157" s="1"/>
      <c r="R157" s="1"/>
      <c r="S157" s="1"/>
      <c r="T157" s="1"/>
      <c r="U157" s="1"/>
      <c r="V157" s="1"/>
      <c r="W157" s="1"/>
      <c r="X157" s="1"/>
      <c r="Y157" s="1"/>
      <c r="Z157" s="1"/>
      <c r="AA157" s="1"/>
    </row>
    <row r="158" spans="1:27" ht="15.75" customHeight="1">
      <c r="A158" s="105"/>
      <c r="B158" s="1"/>
      <c r="C158" s="1"/>
      <c r="D158" s="1"/>
      <c r="E158" s="1"/>
      <c r="F158" s="1"/>
      <c r="G158" s="1"/>
      <c r="H158" s="1"/>
      <c r="I158" s="1"/>
      <c r="J158" s="1"/>
      <c r="K158" s="1"/>
      <c r="L158" s="89"/>
      <c r="M158" s="1"/>
      <c r="N158" s="1"/>
      <c r="O158" s="1"/>
      <c r="P158" s="1"/>
      <c r="Q158" s="1"/>
      <c r="R158" s="1"/>
      <c r="S158" s="1"/>
      <c r="T158" s="1"/>
      <c r="U158" s="1"/>
      <c r="V158" s="1"/>
      <c r="W158" s="1"/>
      <c r="X158" s="1"/>
      <c r="Y158" s="1"/>
      <c r="Z158" s="1"/>
      <c r="AA158" s="1"/>
    </row>
    <row r="159" spans="1:27" ht="15.75" customHeight="1">
      <c r="A159" s="105"/>
      <c r="B159" s="1"/>
      <c r="C159" s="1"/>
      <c r="D159" s="1"/>
      <c r="E159" s="1"/>
      <c r="F159" s="1"/>
      <c r="G159" s="1"/>
      <c r="H159" s="1"/>
      <c r="I159" s="1"/>
      <c r="J159" s="1"/>
      <c r="K159" s="1"/>
      <c r="L159" s="89"/>
      <c r="M159" s="1"/>
      <c r="N159" s="1"/>
      <c r="O159" s="1"/>
      <c r="P159" s="1"/>
      <c r="Q159" s="1"/>
      <c r="R159" s="1"/>
      <c r="S159" s="1"/>
      <c r="T159" s="1"/>
      <c r="U159" s="1"/>
      <c r="V159" s="1"/>
      <c r="W159" s="1"/>
      <c r="X159" s="1"/>
      <c r="Y159" s="1"/>
      <c r="Z159" s="1"/>
      <c r="AA159" s="1"/>
    </row>
    <row r="160" spans="1:27" ht="15.75" customHeight="1">
      <c r="A160" s="105"/>
      <c r="B160" s="1"/>
      <c r="C160" s="1"/>
      <c r="D160" s="1"/>
      <c r="E160" s="1"/>
      <c r="F160" s="1"/>
      <c r="G160" s="1"/>
      <c r="H160" s="1"/>
      <c r="I160" s="1"/>
      <c r="J160" s="1"/>
      <c r="K160" s="1"/>
      <c r="L160" s="89"/>
      <c r="M160" s="1"/>
      <c r="N160" s="1"/>
      <c r="O160" s="1"/>
      <c r="P160" s="1"/>
      <c r="Q160" s="1"/>
      <c r="R160" s="1"/>
      <c r="S160" s="1"/>
      <c r="T160" s="1"/>
      <c r="U160" s="1"/>
      <c r="V160" s="1"/>
      <c r="W160" s="1"/>
      <c r="X160" s="1"/>
      <c r="Y160" s="1"/>
      <c r="Z160" s="1"/>
      <c r="AA160" s="1"/>
    </row>
    <row r="161" spans="1:27" ht="15.75" customHeight="1">
      <c r="A161" s="105"/>
      <c r="B161" s="1"/>
      <c r="C161" s="1"/>
      <c r="D161" s="1"/>
      <c r="E161" s="1"/>
      <c r="F161" s="1"/>
      <c r="G161" s="1"/>
      <c r="H161" s="1"/>
      <c r="I161" s="1"/>
      <c r="J161" s="1"/>
      <c r="K161" s="1"/>
      <c r="L161" s="89"/>
      <c r="M161" s="1"/>
      <c r="N161" s="1"/>
      <c r="O161" s="1"/>
      <c r="P161" s="1"/>
      <c r="Q161" s="1"/>
      <c r="R161" s="1"/>
      <c r="S161" s="1"/>
      <c r="T161" s="1"/>
      <c r="U161" s="1"/>
      <c r="V161" s="1"/>
      <c r="W161" s="1"/>
      <c r="X161" s="1"/>
      <c r="Y161" s="1"/>
      <c r="Z161" s="1"/>
      <c r="AA161" s="1"/>
    </row>
    <row r="162" spans="1:27" ht="15.75" customHeight="1">
      <c r="A162" s="105"/>
      <c r="B162" s="1"/>
      <c r="C162" s="1"/>
      <c r="D162" s="1"/>
      <c r="E162" s="1"/>
      <c r="F162" s="1"/>
      <c r="G162" s="1"/>
      <c r="H162" s="1"/>
      <c r="I162" s="1"/>
      <c r="J162" s="1"/>
      <c r="K162" s="1"/>
      <c r="L162" s="89"/>
      <c r="M162" s="1"/>
      <c r="N162" s="1"/>
      <c r="O162" s="1"/>
      <c r="P162" s="1"/>
      <c r="Q162" s="1"/>
      <c r="R162" s="1"/>
      <c r="S162" s="1"/>
      <c r="T162" s="1"/>
      <c r="U162" s="1"/>
      <c r="V162" s="1"/>
      <c r="W162" s="1"/>
      <c r="X162" s="1"/>
      <c r="Y162" s="1"/>
      <c r="Z162" s="1"/>
      <c r="AA162" s="1"/>
    </row>
    <row r="163" spans="1:27" ht="15.75" customHeight="1">
      <c r="A163" s="105"/>
      <c r="B163" s="1"/>
      <c r="C163" s="1"/>
      <c r="D163" s="1"/>
      <c r="E163" s="1"/>
      <c r="F163" s="1"/>
      <c r="G163" s="1"/>
      <c r="H163" s="1"/>
      <c r="I163" s="1"/>
      <c r="J163" s="1"/>
      <c r="K163" s="1"/>
      <c r="L163" s="89"/>
      <c r="M163" s="1"/>
      <c r="N163" s="1"/>
      <c r="O163" s="1"/>
      <c r="P163" s="1"/>
      <c r="Q163" s="1"/>
      <c r="R163" s="1"/>
      <c r="S163" s="1"/>
      <c r="T163" s="1"/>
      <c r="U163" s="1"/>
      <c r="V163" s="1"/>
      <c r="W163" s="1"/>
      <c r="X163" s="1"/>
      <c r="Y163" s="1"/>
      <c r="Z163" s="1"/>
      <c r="AA163" s="1"/>
    </row>
    <row r="164" spans="1:27" ht="15.75" customHeight="1">
      <c r="A164" s="105"/>
      <c r="B164" s="1"/>
      <c r="C164" s="1"/>
      <c r="D164" s="1"/>
      <c r="E164" s="1"/>
      <c r="F164" s="1"/>
      <c r="G164" s="1"/>
      <c r="H164" s="1"/>
      <c r="I164" s="1"/>
      <c r="J164" s="1"/>
      <c r="K164" s="1"/>
      <c r="L164" s="89"/>
      <c r="M164" s="1"/>
      <c r="N164" s="1"/>
      <c r="O164" s="1"/>
      <c r="P164" s="1"/>
      <c r="Q164" s="1"/>
      <c r="R164" s="1"/>
      <c r="S164" s="1"/>
      <c r="T164" s="1"/>
      <c r="U164" s="1"/>
      <c r="V164" s="1"/>
      <c r="W164" s="1"/>
      <c r="X164" s="1"/>
      <c r="Y164" s="1"/>
      <c r="Z164" s="1"/>
      <c r="AA164" s="1"/>
    </row>
    <row r="165" spans="1:27" ht="15.75" customHeight="1">
      <c r="A165" s="105"/>
      <c r="B165" s="1"/>
      <c r="C165" s="1"/>
      <c r="D165" s="1"/>
      <c r="E165" s="1"/>
      <c r="F165" s="1"/>
      <c r="G165" s="1"/>
      <c r="H165" s="1"/>
      <c r="I165" s="1"/>
      <c r="J165" s="1"/>
      <c r="K165" s="1"/>
      <c r="L165" s="89"/>
      <c r="M165" s="1"/>
      <c r="N165" s="1"/>
      <c r="O165" s="1"/>
      <c r="P165" s="1"/>
      <c r="Q165" s="1"/>
      <c r="R165" s="1"/>
      <c r="S165" s="1"/>
      <c r="T165" s="1"/>
      <c r="U165" s="1"/>
      <c r="V165" s="1"/>
      <c r="W165" s="1"/>
      <c r="X165" s="1"/>
      <c r="Y165" s="1"/>
      <c r="Z165" s="1"/>
      <c r="AA165" s="1"/>
    </row>
    <row r="166" spans="1:27" ht="15.75" customHeight="1">
      <c r="A166" s="105"/>
      <c r="B166" s="1"/>
      <c r="C166" s="1"/>
      <c r="D166" s="1"/>
      <c r="E166" s="1"/>
      <c r="F166" s="1"/>
      <c r="G166" s="1"/>
      <c r="H166" s="1"/>
      <c r="I166" s="1"/>
      <c r="J166" s="1"/>
      <c r="K166" s="1"/>
      <c r="L166" s="89"/>
      <c r="M166" s="1"/>
      <c r="N166" s="1"/>
      <c r="O166" s="1"/>
      <c r="P166" s="1"/>
      <c r="Q166" s="1"/>
      <c r="R166" s="1"/>
      <c r="S166" s="1"/>
      <c r="T166" s="1"/>
      <c r="U166" s="1"/>
      <c r="V166" s="1"/>
      <c r="W166" s="1"/>
      <c r="X166" s="1"/>
      <c r="Y166" s="1"/>
      <c r="Z166" s="1"/>
      <c r="AA166" s="1"/>
    </row>
    <row r="167" spans="1:27" ht="15.75" customHeight="1">
      <c r="A167" s="105"/>
      <c r="B167" s="1"/>
      <c r="C167" s="1"/>
      <c r="D167" s="1"/>
      <c r="E167" s="1"/>
      <c r="F167" s="1"/>
      <c r="G167" s="1"/>
      <c r="H167" s="1"/>
      <c r="I167" s="1"/>
      <c r="J167" s="1"/>
      <c r="K167" s="1"/>
      <c r="L167" s="89"/>
      <c r="M167" s="1"/>
      <c r="N167" s="1"/>
      <c r="O167" s="1"/>
      <c r="P167" s="1"/>
      <c r="Q167" s="1"/>
      <c r="R167" s="1"/>
      <c r="S167" s="1"/>
      <c r="T167" s="1"/>
      <c r="U167" s="1"/>
      <c r="V167" s="1"/>
      <c r="W167" s="1"/>
      <c r="X167" s="1"/>
      <c r="Y167" s="1"/>
      <c r="Z167" s="1"/>
      <c r="AA167" s="1"/>
    </row>
    <row r="168" spans="1:27" ht="15.75" customHeight="1">
      <c r="A168" s="105"/>
      <c r="B168" s="1"/>
      <c r="C168" s="1"/>
      <c r="D168" s="1"/>
      <c r="E168" s="1"/>
      <c r="F168" s="1"/>
      <c r="G168" s="1"/>
      <c r="H168" s="1"/>
      <c r="I168" s="1"/>
      <c r="J168" s="1"/>
      <c r="K168" s="1"/>
      <c r="L168" s="89"/>
      <c r="M168" s="1"/>
      <c r="N168" s="1"/>
      <c r="O168" s="1"/>
      <c r="P168" s="1"/>
      <c r="Q168" s="1"/>
      <c r="R168" s="1"/>
      <c r="S168" s="1"/>
      <c r="T168" s="1"/>
      <c r="U168" s="1"/>
      <c r="V168" s="1"/>
      <c r="W168" s="1"/>
      <c r="X168" s="1"/>
      <c r="Y168" s="1"/>
      <c r="Z168" s="1"/>
      <c r="AA168" s="1"/>
    </row>
    <row r="169" spans="1:27" ht="15.75" customHeight="1">
      <c r="A169" s="105"/>
      <c r="B169" s="1"/>
      <c r="C169" s="1"/>
      <c r="D169" s="1"/>
      <c r="E169" s="1"/>
      <c r="F169" s="1"/>
      <c r="G169" s="1"/>
      <c r="H169" s="1"/>
      <c r="I169" s="1"/>
      <c r="J169" s="1"/>
      <c r="K169" s="1"/>
      <c r="L169" s="89"/>
      <c r="M169" s="1"/>
      <c r="N169" s="1"/>
      <c r="O169" s="1"/>
      <c r="P169" s="1"/>
      <c r="Q169" s="1"/>
      <c r="R169" s="1"/>
      <c r="S169" s="1"/>
      <c r="T169" s="1"/>
      <c r="U169" s="1"/>
      <c r="V169" s="1"/>
      <c r="W169" s="1"/>
      <c r="X169" s="1"/>
      <c r="Y169" s="1"/>
      <c r="Z169" s="1"/>
      <c r="AA169" s="1"/>
    </row>
    <row r="170" spans="1:27" ht="15.75" customHeight="1">
      <c r="A170" s="105"/>
      <c r="B170" s="1"/>
      <c r="C170" s="1"/>
      <c r="D170" s="1"/>
      <c r="E170" s="1"/>
      <c r="F170" s="1"/>
      <c r="G170" s="1"/>
      <c r="H170" s="1"/>
      <c r="I170" s="1"/>
      <c r="J170" s="1"/>
      <c r="K170" s="1"/>
      <c r="L170" s="89"/>
      <c r="M170" s="1"/>
      <c r="N170" s="1"/>
      <c r="O170" s="1"/>
      <c r="P170" s="1"/>
      <c r="Q170" s="1"/>
      <c r="R170" s="1"/>
      <c r="S170" s="1"/>
      <c r="T170" s="1"/>
      <c r="U170" s="1"/>
      <c r="V170" s="1"/>
      <c r="W170" s="1"/>
      <c r="X170" s="1"/>
      <c r="Y170" s="1"/>
      <c r="Z170" s="1"/>
      <c r="AA170" s="1"/>
    </row>
    <row r="171" spans="1:27" ht="15.75" customHeight="1">
      <c r="A171" s="105"/>
      <c r="B171" s="1"/>
      <c r="C171" s="1"/>
      <c r="D171" s="1"/>
      <c r="E171" s="1"/>
      <c r="F171" s="1"/>
      <c r="G171" s="1"/>
      <c r="H171" s="1"/>
      <c r="I171" s="1"/>
      <c r="J171" s="1"/>
      <c r="K171" s="1"/>
      <c r="L171" s="89"/>
      <c r="M171" s="1"/>
      <c r="N171" s="1"/>
      <c r="O171" s="1"/>
      <c r="P171" s="1"/>
      <c r="Q171" s="1"/>
      <c r="R171" s="1"/>
      <c r="S171" s="1"/>
      <c r="T171" s="1"/>
      <c r="U171" s="1"/>
      <c r="V171" s="1"/>
      <c r="W171" s="1"/>
      <c r="X171" s="1"/>
      <c r="Y171" s="1"/>
      <c r="Z171" s="1"/>
      <c r="AA171" s="1"/>
    </row>
    <row r="172" spans="1:27" ht="15.75" customHeight="1">
      <c r="A172" s="105"/>
      <c r="B172" s="1"/>
      <c r="C172" s="1"/>
      <c r="D172" s="1"/>
      <c r="E172" s="1"/>
      <c r="F172" s="1"/>
      <c r="G172" s="1"/>
      <c r="H172" s="1"/>
      <c r="I172" s="1"/>
      <c r="J172" s="1"/>
      <c r="K172" s="1"/>
      <c r="L172" s="89"/>
      <c r="M172" s="1"/>
      <c r="N172" s="1"/>
      <c r="O172" s="1"/>
      <c r="P172" s="1"/>
      <c r="Q172" s="1"/>
      <c r="R172" s="1"/>
      <c r="S172" s="1"/>
      <c r="T172" s="1"/>
      <c r="U172" s="1"/>
      <c r="V172" s="1"/>
      <c r="W172" s="1"/>
      <c r="X172" s="1"/>
      <c r="Y172" s="1"/>
      <c r="Z172" s="1"/>
      <c r="AA172" s="1"/>
    </row>
    <row r="173" spans="1:27" ht="15.75" customHeight="1">
      <c r="A173" s="105"/>
      <c r="B173" s="1"/>
      <c r="C173" s="1"/>
      <c r="D173" s="1"/>
      <c r="E173" s="1"/>
      <c r="F173" s="1"/>
      <c r="G173" s="1"/>
      <c r="H173" s="1"/>
      <c r="I173" s="1"/>
      <c r="J173" s="1"/>
      <c r="K173" s="1"/>
      <c r="L173" s="89"/>
      <c r="M173" s="1"/>
      <c r="N173" s="1"/>
      <c r="O173" s="1"/>
      <c r="P173" s="1"/>
      <c r="Q173" s="1"/>
      <c r="R173" s="1"/>
      <c r="S173" s="1"/>
      <c r="T173" s="1"/>
      <c r="U173" s="1"/>
      <c r="V173" s="1"/>
      <c r="W173" s="1"/>
      <c r="X173" s="1"/>
      <c r="Y173" s="1"/>
      <c r="Z173" s="1"/>
      <c r="AA173" s="1"/>
    </row>
    <row r="174" spans="1:27" ht="15.75" customHeight="1">
      <c r="A174" s="105"/>
      <c r="B174" s="1"/>
      <c r="C174" s="1"/>
      <c r="D174" s="1"/>
      <c r="E174" s="1"/>
      <c r="F174" s="1"/>
      <c r="G174" s="1"/>
      <c r="H174" s="1"/>
      <c r="I174" s="1"/>
      <c r="J174" s="1"/>
      <c r="K174" s="1"/>
      <c r="L174" s="89"/>
      <c r="M174" s="1"/>
      <c r="N174" s="1"/>
      <c r="O174" s="1"/>
      <c r="P174" s="1"/>
      <c r="Q174" s="1"/>
      <c r="R174" s="1"/>
      <c r="S174" s="1"/>
      <c r="T174" s="1"/>
      <c r="U174" s="1"/>
      <c r="V174" s="1"/>
      <c r="W174" s="1"/>
      <c r="X174" s="1"/>
      <c r="Y174" s="1"/>
      <c r="Z174" s="1"/>
      <c r="AA174" s="1"/>
    </row>
    <row r="175" spans="1:27" ht="15.75" customHeight="1">
      <c r="A175" s="105"/>
      <c r="B175" s="1"/>
      <c r="C175" s="1"/>
      <c r="D175" s="1"/>
      <c r="E175" s="1"/>
      <c r="F175" s="1"/>
      <c r="G175" s="1"/>
      <c r="H175" s="1"/>
      <c r="I175" s="1"/>
      <c r="J175" s="1"/>
      <c r="K175" s="1"/>
      <c r="L175" s="89"/>
      <c r="M175" s="1"/>
      <c r="N175" s="1"/>
      <c r="O175" s="1"/>
      <c r="P175" s="1"/>
      <c r="Q175" s="1"/>
      <c r="R175" s="1"/>
      <c r="S175" s="1"/>
      <c r="T175" s="1"/>
      <c r="U175" s="1"/>
      <c r="V175" s="1"/>
      <c r="W175" s="1"/>
      <c r="X175" s="1"/>
      <c r="Y175" s="1"/>
      <c r="Z175" s="1"/>
      <c r="AA175" s="1"/>
    </row>
    <row r="176" spans="1:27" ht="15.75" customHeight="1">
      <c r="A176" s="105"/>
      <c r="B176" s="1"/>
      <c r="C176" s="1"/>
      <c r="D176" s="1"/>
      <c r="E176" s="1"/>
      <c r="F176" s="1"/>
      <c r="G176" s="1"/>
      <c r="H176" s="1"/>
      <c r="I176" s="1"/>
      <c r="J176" s="1"/>
      <c r="K176" s="1"/>
      <c r="L176" s="89"/>
      <c r="M176" s="1"/>
      <c r="N176" s="1"/>
      <c r="O176" s="1"/>
      <c r="P176" s="1"/>
      <c r="Q176" s="1"/>
      <c r="R176" s="1"/>
      <c r="S176" s="1"/>
      <c r="T176" s="1"/>
      <c r="U176" s="1"/>
      <c r="V176" s="1"/>
      <c r="W176" s="1"/>
      <c r="X176" s="1"/>
      <c r="Y176" s="1"/>
      <c r="Z176" s="1"/>
      <c r="AA176" s="1"/>
    </row>
    <row r="177" spans="1:27" ht="15.75" customHeight="1">
      <c r="A177" s="105"/>
      <c r="B177" s="1"/>
      <c r="C177" s="1"/>
      <c r="D177" s="1"/>
      <c r="E177" s="1"/>
      <c r="F177" s="1"/>
      <c r="G177" s="1"/>
      <c r="H177" s="1"/>
      <c r="I177" s="1"/>
      <c r="J177" s="1"/>
      <c r="K177" s="1"/>
      <c r="L177" s="89"/>
      <c r="M177" s="1"/>
      <c r="N177" s="1"/>
      <c r="O177" s="1"/>
      <c r="P177" s="1"/>
      <c r="Q177" s="1"/>
      <c r="R177" s="1"/>
      <c r="S177" s="1"/>
      <c r="T177" s="1"/>
      <c r="U177" s="1"/>
      <c r="V177" s="1"/>
      <c r="W177" s="1"/>
      <c r="X177" s="1"/>
      <c r="Y177" s="1"/>
      <c r="Z177" s="1"/>
      <c r="AA177" s="1"/>
    </row>
    <row r="178" spans="1:27" ht="15.75" customHeight="1">
      <c r="A178" s="105"/>
      <c r="B178" s="1"/>
      <c r="C178" s="1"/>
      <c r="D178" s="1"/>
      <c r="E178" s="1"/>
      <c r="F178" s="1"/>
      <c r="G178" s="1"/>
      <c r="H178" s="1"/>
      <c r="I178" s="1"/>
      <c r="J178" s="1"/>
      <c r="K178" s="1"/>
      <c r="L178" s="89"/>
      <c r="M178" s="1"/>
      <c r="N178" s="1"/>
      <c r="O178" s="1"/>
      <c r="P178" s="1"/>
      <c r="Q178" s="1"/>
      <c r="R178" s="1"/>
      <c r="S178" s="1"/>
      <c r="T178" s="1"/>
      <c r="U178" s="1"/>
      <c r="V178" s="1"/>
      <c r="W178" s="1"/>
      <c r="X178" s="1"/>
      <c r="Y178" s="1"/>
      <c r="Z178" s="1"/>
      <c r="AA178" s="1"/>
    </row>
    <row r="179" spans="1:27" ht="15.75" customHeight="1">
      <c r="A179" s="105"/>
      <c r="B179" s="1"/>
      <c r="C179" s="1"/>
      <c r="D179" s="1"/>
      <c r="E179" s="1"/>
      <c r="F179" s="1"/>
      <c r="G179" s="1"/>
      <c r="H179" s="1"/>
      <c r="I179" s="1"/>
      <c r="J179" s="1"/>
      <c r="K179" s="1"/>
      <c r="L179" s="89"/>
      <c r="M179" s="1"/>
      <c r="N179" s="1"/>
      <c r="O179" s="1"/>
      <c r="P179" s="1"/>
      <c r="Q179" s="1"/>
      <c r="R179" s="1"/>
      <c r="S179" s="1"/>
      <c r="T179" s="1"/>
      <c r="U179" s="1"/>
      <c r="V179" s="1"/>
      <c r="W179" s="1"/>
      <c r="X179" s="1"/>
      <c r="Y179" s="1"/>
      <c r="Z179" s="1"/>
      <c r="AA179" s="1"/>
    </row>
    <row r="180" spans="1:27" ht="15.75" customHeight="1">
      <c r="A180" s="105"/>
      <c r="B180" s="1"/>
      <c r="C180" s="1"/>
      <c r="D180" s="1"/>
      <c r="E180" s="1"/>
      <c r="F180" s="1"/>
      <c r="G180" s="1"/>
      <c r="H180" s="1"/>
      <c r="I180" s="1"/>
      <c r="J180" s="1"/>
      <c r="K180" s="1"/>
      <c r="L180" s="89"/>
      <c r="M180" s="1"/>
      <c r="N180" s="1"/>
      <c r="O180" s="1"/>
      <c r="P180" s="1"/>
      <c r="Q180" s="1"/>
      <c r="R180" s="1"/>
      <c r="S180" s="1"/>
      <c r="T180" s="1"/>
      <c r="U180" s="1"/>
      <c r="V180" s="1"/>
      <c r="W180" s="1"/>
      <c r="X180" s="1"/>
      <c r="Y180" s="1"/>
      <c r="Z180" s="1"/>
      <c r="AA180" s="1"/>
    </row>
    <row r="181" spans="1:27" ht="15.75" customHeight="1">
      <c r="A181" s="105"/>
      <c r="B181" s="1"/>
      <c r="C181" s="1"/>
      <c r="D181" s="1"/>
      <c r="E181" s="1"/>
      <c r="F181" s="1"/>
      <c r="G181" s="1"/>
      <c r="H181" s="1"/>
      <c r="I181" s="1"/>
      <c r="J181" s="1"/>
      <c r="K181" s="1"/>
      <c r="L181" s="89"/>
      <c r="M181" s="1"/>
      <c r="N181" s="1"/>
      <c r="O181" s="1"/>
      <c r="P181" s="1"/>
      <c r="Q181" s="1"/>
      <c r="R181" s="1"/>
      <c r="S181" s="1"/>
      <c r="T181" s="1"/>
      <c r="U181" s="1"/>
      <c r="V181" s="1"/>
      <c r="W181" s="1"/>
      <c r="X181" s="1"/>
      <c r="Y181" s="1"/>
      <c r="Z181" s="1"/>
      <c r="AA181" s="1"/>
    </row>
    <row r="182" spans="1:27" ht="15.75" customHeight="1">
      <c r="A182" s="105"/>
      <c r="B182" s="1"/>
      <c r="C182" s="1"/>
      <c r="D182" s="1"/>
      <c r="E182" s="1"/>
      <c r="F182" s="1"/>
      <c r="G182" s="1"/>
      <c r="H182" s="1"/>
      <c r="I182" s="1"/>
      <c r="J182" s="1"/>
      <c r="K182" s="1"/>
      <c r="L182" s="89"/>
      <c r="M182" s="1"/>
      <c r="N182" s="1"/>
      <c r="O182" s="1"/>
      <c r="P182" s="1"/>
      <c r="Q182" s="1"/>
      <c r="R182" s="1"/>
      <c r="S182" s="1"/>
      <c r="T182" s="1"/>
      <c r="U182" s="1"/>
      <c r="V182" s="1"/>
      <c r="W182" s="1"/>
      <c r="X182" s="1"/>
      <c r="Y182" s="1"/>
      <c r="Z182" s="1"/>
      <c r="AA182" s="1"/>
    </row>
    <row r="183" spans="1:27" ht="15.75" customHeight="1">
      <c r="A183" s="105"/>
      <c r="B183" s="1"/>
      <c r="C183" s="1"/>
      <c r="D183" s="1"/>
      <c r="E183" s="1"/>
      <c r="F183" s="1"/>
      <c r="G183" s="1"/>
      <c r="H183" s="1"/>
      <c r="I183" s="1"/>
      <c r="J183" s="1"/>
      <c r="K183" s="1"/>
      <c r="L183" s="89"/>
      <c r="M183" s="1"/>
      <c r="N183" s="1"/>
      <c r="O183" s="1"/>
      <c r="P183" s="1"/>
      <c r="Q183" s="1"/>
      <c r="R183" s="1"/>
      <c r="S183" s="1"/>
      <c r="T183" s="1"/>
      <c r="U183" s="1"/>
      <c r="V183" s="1"/>
      <c r="W183" s="1"/>
      <c r="X183" s="1"/>
      <c r="Y183" s="1"/>
      <c r="Z183" s="1"/>
      <c r="AA183" s="1"/>
    </row>
    <row r="184" spans="1:27" ht="15.75" customHeight="1">
      <c r="A184" s="105"/>
      <c r="B184" s="1"/>
      <c r="C184" s="1"/>
      <c r="D184" s="1"/>
      <c r="E184" s="1"/>
      <c r="F184" s="1"/>
      <c r="G184" s="1"/>
      <c r="H184" s="1"/>
      <c r="I184" s="1"/>
      <c r="J184" s="1"/>
      <c r="K184" s="1"/>
      <c r="L184" s="89"/>
      <c r="M184" s="1"/>
      <c r="N184" s="1"/>
      <c r="O184" s="1"/>
      <c r="P184" s="1"/>
      <c r="Q184" s="1"/>
      <c r="R184" s="1"/>
      <c r="S184" s="1"/>
      <c r="T184" s="1"/>
      <c r="U184" s="1"/>
      <c r="V184" s="1"/>
      <c r="W184" s="1"/>
      <c r="X184" s="1"/>
      <c r="Y184" s="1"/>
      <c r="Z184" s="1"/>
      <c r="AA184" s="1"/>
    </row>
    <row r="185" spans="1:27" ht="15.75" customHeight="1">
      <c r="A185" s="105"/>
      <c r="B185" s="1"/>
      <c r="C185" s="1"/>
      <c r="D185" s="1"/>
      <c r="E185" s="1"/>
      <c r="F185" s="1"/>
      <c r="G185" s="1"/>
      <c r="H185" s="1"/>
      <c r="I185" s="1"/>
      <c r="J185" s="1"/>
      <c r="K185" s="1"/>
      <c r="L185" s="89"/>
      <c r="M185" s="1"/>
      <c r="N185" s="1"/>
      <c r="O185" s="1"/>
      <c r="P185" s="1"/>
      <c r="Q185" s="1"/>
      <c r="R185" s="1"/>
      <c r="S185" s="1"/>
      <c r="T185" s="1"/>
      <c r="U185" s="1"/>
      <c r="V185" s="1"/>
      <c r="W185" s="1"/>
      <c r="X185" s="1"/>
      <c r="Y185" s="1"/>
      <c r="Z185" s="1"/>
      <c r="AA185" s="1"/>
    </row>
    <row r="186" spans="1:27" ht="15.75" customHeight="1">
      <c r="A186" s="105"/>
      <c r="B186" s="1"/>
      <c r="C186" s="1"/>
      <c r="D186" s="1"/>
      <c r="E186" s="1"/>
      <c r="F186" s="1"/>
      <c r="G186" s="1"/>
      <c r="H186" s="1"/>
      <c r="I186" s="1"/>
      <c r="J186" s="1"/>
      <c r="K186" s="1"/>
      <c r="L186" s="89"/>
      <c r="M186" s="1"/>
      <c r="N186" s="1"/>
      <c r="O186" s="1"/>
      <c r="P186" s="1"/>
      <c r="Q186" s="1"/>
      <c r="R186" s="1"/>
      <c r="S186" s="1"/>
      <c r="T186" s="1"/>
      <c r="U186" s="1"/>
      <c r="V186" s="1"/>
      <c r="W186" s="1"/>
      <c r="X186" s="1"/>
      <c r="Y186" s="1"/>
      <c r="Z186" s="1"/>
      <c r="AA186" s="1"/>
    </row>
    <row r="187" spans="1:27" ht="15.75" customHeight="1">
      <c r="A187" s="105"/>
      <c r="B187" s="1"/>
      <c r="C187" s="1"/>
      <c r="D187" s="1"/>
      <c r="E187" s="1"/>
      <c r="F187" s="1"/>
      <c r="G187" s="1"/>
      <c r="H187" s="1"/>
      <c r="I187" s="1"/>
      <c r="J187" s="1"/>
      <c r="K187" s="1"/>
      <c r="L187" s="89"/>
      <c r="M187" s="1"/>
      <c r="N187" s="1"/>
      <c r="O187" s="1"/>
      <c r="P187" s="1"/>
      <c r="Q187" s="1"/>
      <c r="R187" s="1"/>
      <c r="S187" s="1"/>
      <c r="T187" s="1"/>
      <c r="U187" s="1"/>
      <c r="V187" s="1"/>
      <c r="W187" s="1"/>
      <c r="X187" s="1"/>
      <c r="Y187" s="1"/>
      <c r="Z187" s="1"/>
      <c r="AA187" s="1"/>
    </row>
    <row r="188" spans="1:27" ht="15.75" customHeight="1">
      <c r="A188" s="105"/>
      <c r="B188" s="1"/>
      <c r="C188" s="1"/>
      <c r="D188" s="1"/>
      <c r="E188" s="1"/>
      <c r="F188" s="1"/>
      <c r="G188" s="1"/>
      <c r="H188" s="1"/>
      <c r="I188" s="1"/>
      <c r="J188" s="1"/>
      <c r="K188" s="1"/>
      <c r="L188" s="89"/>
      <c r="M188" s="1"/>
      <c r="N188" s="1"/>
      <c r="O188" s="1"/>
      <c r="P188" s="1"/>
      <c r="Q188" s="1"/>
      <c r="R188" s="1"/>
      <c r="S188" s="1"/>
      <c r="T188" s="1"/>
      <c r="U188" s="1"/>
      <c r="V188" s="1"/>
      <c r="W188" s="1"/>
      <c r="X188" s="1"/>
      <c r="Y188" s="1"/>
      <c r="Z188" s="1"/>
      <c r="AA188" s="1"/>
    </row>
    <row r="189" spans="1:27" ht="15.75" customHeight="1">
      <c r="A189" s="105"/>
      <c r="B189" s="1"/>
      <c r="C189" s="1"/>
      <c r="D189" s="1"/>
      <c r="E189" s="1"/>
      <c r="F189" s="1"/>
      <c r="G189" s="1"/>
      <c r="H189" s="1"/>
      <c r="I189" s="1"/>
      <c r="J189" s="1"/>
      <c r="K189" s="1"/>
      <c r="L189" s="89"/>
      <c r="M189" s="1"/>
      <c r="N189" s="1"/>
      <c r="O189" s="1"/>
      <c r="P189" s="1"/>
      <c r="Q189" s="1"/>
      <c r="R189" s="1"/>
      <c r="S189" s="1"/>
      <c r="T189" s="1"/>
      <c r="U189" s="1"/>
      <c r="V189" s="1"/>
      <c r="W189" s="1"/>
      <c r="X189" s="1"/>
      <c r="Y189" s="1"/>
      <c r="Z189" s="1"/>
      <c r="AA189" s="1"/>
    </row>
    <row r="190" spans="1:27" ht="15.75" customHeight="1">
      <c r="A190" s="105"/>
      <c r="B190" s="1"/>
      <c r="C190" s="1"/>
      <c r="D190" s="1"/>
      <c r="E190" s="1"/>
      <c r="F190" s="1"/>
      <c r="G190" s="1"/>
      <c r="H190" s="1"/>
      <c r="I190" s="1"/>
      <c r="J190" s="1"/>
      <c r="K190" s="1"/>
      <c r="L190" s="89"/>
      <c r="M190" s="1"/>
      <c r="N190" s="1"/>
      <c r="O190" s="1"/>
      <c r="P190" s="1"/>
      <c r="Q190" s="1"/>
      <c r="R190" s="1"/>
      <c r="S190" s="1"/>
      <c r="T190" s="1"/>
      <c r="U190" s="1"/>
      <c r="V190" s="1"/>
      <c r="W190" s="1"/>
      <c r="X190" s="1"/>
      <c r="Y190" s="1"/>
      <c r="Z190" s="1"/>
      <c r="AA190" s="1"/>
    </row>
    <row r="191" spans="1:27" ht="15.75" customHeight="1">
      <c r="A191" s="105"/>
      <c r="B191" s="1"/>
      <c r="C191" s="1"/>
      <c r="D191" s="1"/>
      <c r="E191" s="1"/>
      <c r="F191" s="1"/>
      <c r="G191" s="1"/>
      <c r="H191" s="1"/>
      <c r="I191" s="1"/>
      <c r="J191" s="1"/>
      <c r="K191" s="1"/>
      <c r="L191" s="89"/>
      <c r="M191" s="1"/>
      <c r="N191" s="1"/>
      <c r="O191" s="1"/>
      <c r="P191" s="1"/>
      <c r="Q191" s="1"/>
      <c r="R191" s="1"/>
      <c r="S191" s="1"/>
      <c r="T191" s="1"/>
      <c r="U191" s="1"/>
      <c r="V191" s="1"/>
      <c r="W191" s="1"/>
      <c r="X191" s="1"/>
      <c r="Y191" s="1"/>
      <c r="Z191" s="1"/>
      <c r="AA191" s="1"/>
    </row>
    <row r="192" spans="1:27" ht="15.75" customHeight="1">
      <c r="A192" s="105"/>
      <c r="B192" s="1"/>
      <c r="C192" s="1"/>
      <c r="D192" s="1"/>
      <c r="E192" s="1"/>
      <c r="F192" s="1"/>
      <c r="G192" s="1"/>
      <c r="H192" s="1"/>
      <c r="I192" s="1"/>
      <c r="J192" s="1"/>
      <c r="K192" s="1"/>
      <c r="L192" s="89"/>
      <c r="M192" s="1"/>
      <c r="N192" s="1"/>
      <c r="O192" s="1"/>
      <c r="P192" s="1"/>
      <c r="Q192" s="1"/>
      <c r="R192" s="1"/>
      <c r="S192" s="1"/>
      <c r="T192" s="1"/>
      <c r="U192" s="1"/>
      <c r="V192" s="1"/>
      <c r="W192" s="1"/>
      <c r="X192" s="1"/>
      <c r="Y192" s="1"/>
      <c r="Z192" s="1"/>
      <c r="AA192" s="1"/>
    </row>
    <row r="193" spans="1:27" ht="15.75" customHeight="1">
      <c r="A193" s="105"/>
      <c r="B193" s="1"/>
      <c r="C193" s="1"/>
      <c r="D193" s="1"/>
      <c r="E193" s="1"/>
      <c r="F193" s="1"/>
      <c r="G193" s="1"/>
      <c r="H193" s="1"/>
      <c r="I193" s="1"/>
      <c r="J193" s="1"/>
      <c r="K193" s="1"/>
      <c r="L193" s="89"/>
      <c r="M193" s="1"/>
      <c r="N193" s="1"/>
      <c r="O193" s="1"/>
      <c r="P193" s="1"/>
      <c r="Q193" s="1"/>
      <c r="R193" s="1"/>
      <c r="S193" s="1"/>
      <c r="T193" s="1"/>
      <c r="U193" s="1"/>
      <c r="V193" s="1"/>
      <c r="W193" s="1"/>
      <c r="X193" s="1"/>
      <c r="Y193" s="1"/>
      <c r="Z193" s="1"/>
      <c r="AA193" s="1"/>
    </row>
    <row r="194" spans="1:27" ht="15.75" customHeight="1">
      <c r="A194" s="105"/>
      <c r="B194" s="1"/>
      <c r="C194" s="1"/>
      <c r="D194" s="1"/>
      <c r="E194" s="1"/>
      <c r="F194" s="1"/>
      <c r="G194" s="1"/>
      <c r="H194" s="1"/>
      <c r="I194" s="1"/>
      <c r="J194" s="1"/>
      <c r="K194" s="1"/>
      <c r="L194" s="89"/>
      <c r="M194" s="1"/>
      <c r="N194" s="1"/>
      <c r="O194" s="1"/>
      <c r="P194" s="1"/>
      <c r="Q194" s="1"/>
      <c r="R194" s="1"/>
      <c r="S194" s="1"/>
      <c r="T194" s="1"/>
      <c r="U194" s="1"/>
      <c r="V194" s="1"/>
      <c r="W194" s="1"/>
      <c r="X194" s="1"/>
      <c r="Y194" s="1"/>
      <c r="Z194" s="1"/>
      <c r="AA194" s="1"/>
    </row>
    <row r="195" spans="1:27" ht="15.75" customHeight="1">
      <c r="A195" s="105"/>
      <c r="B195" s="1"/>
      <c r="C195" s="1"/>
      <c r="D195" s="1"/>
      <c r="E195" s="1"/>
      <c r="F195" s="1"/>
      <c r="G195" s="1"/>
      <c r="H195" s="1"/>
      <c r="I195" s="1"/>
      <c r="J195" s="1"/>
      <c r="K195" s="1"/>
      <c r="L195" s="89"/>
      <c r="M195" s="1"/>
      <c r="N195" s="1"/>
      <c r="O195" s="1"/>
      <c r="P195" s="1"/>
      <c r="Q195" s="1"/>
      <c r="R195" s="1"/>
      <c r="S195" s="1"/>
      <c r="T195" s="1"/>
      <c r="U195" s="1"/>
      <c r="V195" s="1"/>
      <c r="W195" s="1"/>
      <c r="X195" s="1"/>
      <c r="Y195" s="1"/>
      <c r="Z195" s="1"/>
      <c r="AA195" s="1"/>
    </row>
    <row r="196" spans="1:27" ht="15.75" customHeight="1">
      <c r="A196" s="105"/>
      <c r="B196" s="1"/>
      <c r="C196" s="1"/>
      <c r="D196" s="1"/>
      <c r="E196" s="1"/>
      <c r="F196" s="1"/>
      <c r="G196" s="1"/>
      <c r="H196" s="1"/>
      <c r="I196" s="1"/>
      <c r="J196" s="1"/>
      <c r="K196" s="1"/>
      <c r="L196" s="89"/>
      <c r="M196" s="1"/>
      <c r="N196" s="1"/>
      <c r="O196" s="1"/>
      <c r="P196" s="1"/>
      <c r="Q196" s="1"/>
      <c r="R196" s="1"/>
      <c r="S196" s="1"/>
      <c r="T196" s="1"/>
      <c r="U196" s="1"/>
      <c r="V196" s="1"/>
      <c r="W196" s="1"/>
      <c r="X196" s="1"/>
      <c r="Y196" s="1"/>
      <c r="Z196" s="1"/>
      <c r="AA196" s="1"/>
    </row>
    <row r="197" spans="1:27" ht="15.75" customHeight="1">
      <c r="A197" s="105"/>
      <c r="B197" s="1"/>
      <c r="C197" s="1"/>
      <c r="D197" s="1"/>
      <c r="E197" s="1"/>
      <c r="F197" s="1"/>
      <c r="G197" s="1"/>
      <c r="H197" s="1"/>
      <c r="I197" s="1"/>
      <c r="J197" s="1"/>
      <c r="K197" s="1"/>
      <c r="L197" s="89"/>
      <c r="M197" s="1"/>
      <c r="N197" s="1"/>
      <c r="O197" s="1"/>
      <c r="P197" s="1"/>
      <c r="Q197" s="1"/>
      <c r="R197" s="1"/>
      <c r="S197" s="1"/>
      <c r="T197" s="1"/>
      <c r="U197" s="1"/>
      <c r="V197" s="1"/>
      <c r="W197" s="1"/>
      <c r="X197" s="1"/>
      <c r="Y197" s="1"/>
      <c r="Z197" s="1"/>
      <c r="AA197" s="1"/>
    </row>
    <row r="198" spans="1:27" ht="15.75" customHeight="1">
      <c r="A198" s="105"/>
      <c r="B198" s="1"/>
      <c r="C198" s="1"/>
      <c r="D198" s="1"/>
      <c r="E198" s="1"/>
      <c r="F198" s="1"/>
      <c r="G198" s="1"/>
      <c r="H198" s="1"/>
      <c r="I198" s="1"/>
      <c r="J198" s="1"/>
      <c r="K198" s="1"/>
      <c r="L198" s="89"/>
      <c r="M198" s="1"/>
      <c r="N198" s="1"/>
      <c r="O198" s="1"/>
      <c r="P198" s="1"/>
      <c r="Q198" s="1"/>
      <c r="R198" s="1"/>
      <c r="S198" s="1"/>
      <c r="T198" s="1"/>
      <c r="U198" s="1"/>
      <c r="V198" s="1"/>
      <c r="W198" s="1"/>
      <c r="X198" s="1"/>
      <c r="Y198" s="1"/>
      <c r="Z198" s="1"/>
      <c r="AA198" s="1"/>
    </row>
    <row r="199" spans="1:27" ht="15.75" customHeight="1">
      <c r="A199" s="105"/>
      <c r="B199" s="1"/>
      <c r="C199" s="1"/>
      <c r="D199" s="1"/>
      <c r="E199" s="1"/>
      <c r="F199" s="1"/>
      <c r="G199" s="1"/>
      <c r="H199" s="1"/>
      <c r="I199" s="1"/>
      <c r="J199" s="1"/>
      <c r="K199" s="1"/>
      <c r="L199" s="89"/>
      <c r="M199" s="1"/>
      <c r="N199" s="1"/>
      <c r="O199" s="1"/>
      <c r="P199" s="1"/>
      <c r="Q199" s="1"/>
      <c r="R199" s="1"/>
      <c r="S199" s="1"/>
      <c r="T199" s="1"/>
      <c r="U199" s="1"/>
      <c r="V199" s="1"/>
      <c r="W199" s="1"/>
      <c r="X199" s="1"/>
      <c r="Y199" s="1"/>
      <c r="Z199" s="1"/>
      <c r="AA199" s="1"/>
    </row>
    <row r="200" spans="1:27" ht="15.75" customHeight="1">
      <c r="A200" s="105"/>
      <c r="B200" s="1"/>
      <c r="C200" s="1"/>
      <c r="D200" s="1"/>
      <c r="E200" s="1"/>
      <c r="F200" s="1"/>
      <c r="G200" s="1"/>
      <c r="H200" s="1"/>
      <c r="I200" s="1"/>
      <c r="J200" s="1"/>
      <c r="K200" s="1"/>
      <c r="L200" s="89"/>
      <c r="M200" s="1"/>
      <c r="N200" s="1"/>
      <c r="O200" s="1"/>
      <c r="P200" s="1"/>
      <c r="Q200" s="1"/>
      <c r="R200" s="1"/>
      <c r="S200" s="1"/>
      <c r="T200" s="1"/>
      <c r="U200" s="1"/>
      <c r="V200" s="1"/>
      <c r="W200" s="1"/>
      <c r="X200" s="1"/>
      <c r="Y200" s="1"/>
      <c r="Z200" s="1"/>
      <c r="AA200" s="1"/>
    </row>
    <row r="201" spans="1:27" ht="15.75" customHeight="1">
      <c r="A201" s="105"/>
      <c r="B201" s="1"/>
      <c r="C201" s="1"/>
      <c r="D201" s="1"/>
      <c r="E201" s="1"/>
      <c r="F201" s="1"/>
      <c r="G201" s="1"/>
      <c r="H201" s="1"/>
      <c r="I201" s="1"/>
      <c r="J201" s="1"/>
      <c r="K201" s="1"/>
      <c r="L201" s="89"/>
      <c r="M201" s="1"/>
      <c r="N201" s="1"/>
      <c r="O201" s="1"/>
      <c r="P201" s="1"/>
      <c r="Q201" s="1"/>
      <c r="R201" s="1"/>
      <c r="S201" s="1"/>
      <c r="T201" s="1"/>
      <c r="U201" s="1"/>
      <c r="V201" s="1"/>
      <c r="W201" s="1"/>
      <c r="X201" s="1"/>
      <c r="Y201" s="1"/>
      <c r="Z201" s="1"/>
      <c r="AA201" s="1"/>
    </row>
    <row r="202" spans="1:27" ht="15.75" customHeight="1">
      <c r="A202" s="105"/>
      <c r="B202" s="1"/>
      <c r="C202" s="1"/>
      <c r="D202" s="1"/>
      <c r="E202" s="1"/>
      <c r="F202" s="1"/>
      <c r="G202" s="1"/>
      <c r="H202" s="1"/>
      <c r="I202" s="1"/>
      <c r="J202" s="1"/>
      <c r="K202" s="1"/>
      <c r="L202" s="89"/>
      <c r="M202" s="1"/>
      <c r="N202" s="1"/>
      <c r="O202" s="1"/>
      <c r="P202" s="1"/>
      <c r="Q202" s="1"/>
      <c r="R202" s="1"/>
      <c r="S202" s="1"/>
      <c r="T202" s="1"/>
      <c r="U202" s="1"/>
      <c r="V202" s="1"/>
      <c r="W202" s="1"/>
      <c r="X202" s="1"/>
      <c r="Y202" s="1"/>
      <c r="Z202" s="1"/>
      <c r="AA202" s="1"/>
    </row>
    <row r="203" spans="1:27" ht="15.75" customHeight="1">
      <c r="A203" s="105"/>
      <c r="B203" s="1"/>
      <c r="C203" s="1"/>
      <c r="D203" s="1"/>
      <c r="E203" s="1"/>
      <c r="F203" s="1"/>
      <c r="G203" s="1"/>
      <c r="H203" s="1"/>
      <c r="I203" s="1"/>
      <c r="J203" s="1"/>
      <c r="K203" s="1"/>
      <c r="L203" s="89"/>
      <c r="M203" s="1"/>
      <c r="N203" s="1"/>
      <c r="O203" s="1"/>
      <c r="P203" s="1"/>
      <c r="Q203" s="1"/>
      <c r="R203" s="1"/>
      <c r="S203" s="1"/>
      <c r="T203" s="1"/>
      <c r="U203" s="1"/>
      <c r="V203" s="1"/>
      <c r="W203" s="1"/>
      <c r="X203" s="1"/>
      <c r="Y203" s="1"/>
      <c r="Z203" s="1"/>
      <c r="AA203" s="1"/>
    </row>
    <row r="204" spans="1:27" ht="15.75" customHeight="1">
      <c r="A204" s="105"/>
      <c r="B204" s="1"/>
      <c r="C204" s="1"/>
      <c r="D204" s="1"/>
      <c r="E204" s="1"/>
      <c r="F204" s="1"/>
      <c r="G204" s="1"/>
      <c r="H204" s="1"/>
      <c r="I204" s="1"/>
      <c r="J204" s="1"/>
      <c r="K204" s="1"/>
      <c r="L204" s="89"/>
      <c r="M204" s="1"/>
      <c r="N204" s="1"/>
      <c r="O204" s="1"/>
      <c r="P204" s="1"/>
      <c r="Q204" s="1"/>
      <c r="R204" s="1"/>
      <c r="S204" s="1"/>
      <c r="T204" s="1"/>
      <c r="U204" s="1"/>
      <c r="V204" s="1"/>
      <c r="W204" s="1"/>
      <c r="X204" s="1"/>
      <c r="Y204" s="1"/>
      <c r="Z204" s="1"/>
      <c r="AA204" s="1"/>
    </row>
    <row r="205" spans="1:27" ht="15.75" customHeight="1">
      <c r="A205" s="105"/>
      <c r="B205" s="1"/>
      <c r="C205" s="1"/>
      <c r="D205" s="1"/>
      <c r="E205" s="1"/>
      <c r="F205" s="1"/>
      <c r="G205" s="1"/>
      <c r="H205" s="1"/>
      <c r="I205" s="1"/>
      <c r="J205" s="1"/>
      <c r="K205" s="1"/>
      <c r="L205" s="89"/>
      <c r="M205" s="1"/>
      <c r="N205" s="1"/>
      <c r="O205" s="1"/>
      <c r="P205" s="1"/>
      <c r="Q205" s="1"/>
      <c r="R205" s="1"/>
      <c r="S205" s="1"/>
      <c r="T205" s="1"/>
      <c r="U205" s="1"/>
      <c r="V205" s="1"/>
      <c r="W205" s="1"/>
      <c r="X205" s="1"/>
      <c r="Y205" s="1"/>
      <c r="Z205" s="1"/>
      <c r="AA205" s="1"/>
    </row>
    <row r="206" spans="1:27" ht="15.75" customHeight="1">
      <c r="A206" s="105"/>
      <c r="B206" s="1"/>
      <c r="C206" s="1"/>
      <c r="D206" s="1"/>
      <c r="E206" s="1"/>
      <c r="F206" s="1"/>
      <c r="G206" s="1"/>
      <c r="H206" s="1"/>
      <c r="I206" s="1"/>
      <c r="J206" s="1"/>
      <c r="K206" s="1"/>
      <c r="L206" s="89"/>
      <c r="M206" s="1"/>
      <c r="N206" s="1"/>
      <c r="O206" s="1"/>
      <c r="P206" s="1"/>
      <c r="Q206" s="1"/>
      <c r="R206" s="1"/>
      <c r="S206" s="1"/>
      <c r="T206" s="1"/>
      <c r="U206" s="1"/>
      <c r="V206" s="1"/>
      <c r="W206" s="1"/>
      <c r="X206" s="1"/>
      <c r="Y206" s="1"/>
      <c r="Z206" s="1"/>
      <c r="AA206" s="1"/>
    </row>
    <row r="207" spans="1:27" ht="15.75" customHeight="1">
      <c r="A207" s="105"/>
      <c r="B207" s="1"/>
      <c r="C207" s="1"/>
      <c r="D207" s="1"/>
      <c r="E207" s="1"/>
      <c r="F207" s="1"/>
      <c r="G207" s="1"/>
      <c r="H207" s="1"/>
      <c r="I207" s="1"/>
      <c r="J207" s="1"/>
      <c r="K207" s="1"/>
      <c r="L207" s="89"/>
      <c r="M207" s="1"/>
      <c r="N207" s="1"/>
      <c r="O207" s="1"/>
      <c r="P207" s="1"/>
      <c r="Q207" s="1"/>
      <c r="R207" s="1"/>
      <c r="S207" s="1"/>
      <c r="T207" s="1"/>
      <c r="U207" s="1"/>
      <c r="V207" s="1"/>
      <c r="W207" s="1"/>
      <c r="X207" s="1"/>
      <c r="Y207" s="1"/>
      <c r="Z207" s="1"/>
      <c r="AA207" s="1"/>
    </row>
    <row r="208" spans="1:27" ht="15.75" customHeight="1">
      <c r="A208" s="105"/>
      <c r="B208" s="1"/>
      <c r="C208" s="1"/>
      <c r="D208" s="1"/>
      <c r="E208" s="1"/>
      <c r="F208" s="1"/>
      <c r="G208" s="1"/>
      <c r="H208" s="1"/>
      <c r="I208" s="1"/>
      <c r="J208" s="1"/>
      <c r="K208" s="1"/>
      <c r="L208" s="89"/>
      <c r="M208" s="1"/>
      <c r="N208" s="1"/>
      <c r="O208" s="1"/>
      <c r="P208" s="1"/>
      <c r="Q208" s="1"/>
      <c r="R208" s="1"/>
      <c r="S208" s="1"/>
      <c r="T208" s="1"/>
      <c r="U208" s="1"/>
      <c r="V208" s="1"/>
      <c r="W208" s="1"/>
      <c r="X208" s="1"/>
      <c r="Y208" s="1"/>
      <c r="Z208" s="1"/>
      <c r="AA208" s="1"/>
    </row>
    <row r="209" spans="1:27" ht="15.75" customHeight="1">
      <c r="A209" s="105"/>
      <c r="B209" s="1"/>
      <c r="C209" s="1"/>
      <c r="D209" s="1"/>
      <c r="E209" s="1"/>
      <c r="F209" s="1"/>
      <c r="G209" s="1"/>
      <c r="H209" s="1"/>
      <c r="I209" s="1"/>
      <c r="J209" s="1"/>
      <c r="K209" s="1"/>
      <c r="L209" s="89"/>
      <c r="M209" s="1"/>
      <c r="N209" s="1"/>
      <c r="O209" s="1"/>
      <c r="P209" s="1"/>
      <c r="Q209" s="1"/>
      <c r="R209" s="1"/>
      <c r="S209" s="1"/>
      <c r="T209" s="1"/>
      <c r="U209" s="1"/>
      <c r="V209" s="1"/>
      <c r="W209" s="1"/>
      <c r="X209" s="1"/>
      <c r="Y209" s="1"/>
      <c r="Z209" s="1"/>
      <c r="AA209" s="1"/>
    </row>
    <row r="210" spans="1:27" ht="15.75" customHeight="1">
      <c r="A210" s="105"/>
      <c r="B210" s="1"/>
      <c r="C210" s="1"/>
      <c r="D210" s="1"/>
      <c r="E210" s="1"/>
      <c r="F210" s="1"/>
      <c r="G210" s="1"/>
      <c r="H210" s="1"/>
      <c r="I210" s="1"/>
      <c r="J210" s="1"/>
      <c r="K210" s="1"/>
      <c r="L210" s="89"/>
      <c r="M210" s="1"/>
      <c r="N210" s="1"/>
      <c r="O210" s="1"/>
      <c r="P210" s="1"/>
      <c r="Q210" s="1"/>
      <c r="R210" s="1"/>
      <c r="S210" s="1"/>
      <c r="T210" s="1"/>
      <c r="U210" s="1"/>
      <c r="V210" s="1"/>
      <c r="W210" s="1"/>
      <c r="X210" s="1"/>
      <c r="Y210" s="1"/>
      <c r="Z210" s="1"/>
      <c r="AA210" s="1"/>
    </row>
    <row r="211" spans="1:27" ht="15.75" customHeight="1">
      <c r="A211" s="105"/>
      <c r="B211" s="1"/>
      <c r="C211" s="1"/>
      <c r="D211" s="1"/>
      <c r="E211" s="1"/>
      <c r="F211" s="1"/>
      <c r="G211" s="1"/>
      <c r="H211" s="1"/>
      <c r="I211" s="1"/>
      <c r="J211" s="1"/>
      <c r="K211" s="1"/>
      <c r="L211" s="89"/>
      <c r="M211" s="1"/>
      <c r="N211" s="1"/>
      <c r="O211" s="1"/>
      <c r="P211" s="1"/>
      <c r="Q211" s="1"/>
      <c r="R211" s="1"/>
      <c r="S211" s="1"/>
      <c r="T211" s="1"/>
      <c r="U211" s="1"/>
      <c r="V211" s="1"/>
      <c r="W211" s="1"/>
      <c r="X211" s="1"/>
      <c r="Y211" s="1"/>
      <c r="Z211" s="1"/>
      <c r="AA211" s="1"/>
    </row>
    <row r="212" spans="1:27" ht="15.75" customHeight="1">
      <c r="A212" s="105"/>
      <c r="B212" s="1"/>
      <c r="C212" s="1"/>
      <c r="D212" s="1"/>
      <c r="E212" s="1"/>
      <c r="F212" s="1"/>
      <c r="G212" s="1"/>
      <c r="H212" s="1"/>
      <c r="I212" s="1"/>
      <c r="J212" s="1"/>
      <c r="K212" s="1"/>
      <c r="L212" s="89"/>
      <c r="M212" s="1"/>
      <c r="N212" s="1"/>
      <c r="O212" s="1"/>
      <c r="P212" s="1"/>
      <c r="Q212" s="1"/>
      <c r="R212" s="1"/>
      <c r="S212" s="1"/>
      <c r="T212" s="1"/>
      <c r="U212" s="1"/>
      <c r="V212" s="1"/>
      <c r="W212" s="1"/>
      <c r="X212" s="1"/>
      <c r="Y212" s="1"/>
      <c r="Z212" s="1"/>
      <c r="AA212" s="1"/>
    </row>
    <row r="213" spans="1:27" ht="15.75" customHeight="1">
      <c r="A213" s="105"/>
      <c r="B213" s="1"/>
      <c r="C213" s="1"/>
      <c r="D213" s="1"/>
      <c r="E213" s="1"/>
      <c r="F213" s="1"/>
      <c r="G213" s="1"/>
      <c r="H213" s="1"/>
      <c r="I213" s="1"/>
      <c r="J213" s="1"/>
      <c r="K213" s="1"/>
      <c r="L213" s="89"/>
      <c r="M213" s="1"/>
      <c r="N213" s="1"/>
      <c r="O213" s="1"/>
      <c r="P213" s="1"/>
      <c r="Q213" s="1"/>
      <c r="R213" s="1"/>
      <c r="S213" s="1"/>
      <c r="T213" s="1"/>
      <c r="U213" s="1"/>
      <c r="V213" s="1"/>
      <c r="W213" s="1"/>
      <c r="X213" s="1"/>
      <c r="Y213" s="1"/>
      <c r="Z213" s="1"/>
      <c r="AA213" s="1"/>
    </row>
    <row r="214" spans="1:27" ht="15.75" customHeight="1">
      <c r="A214" s="105"/>
      <c r="B214" s="1"/>
      <c r="C214" s="1"/>
      <c r="D214" s="1"/>
      <c r="E214" s="1"/>
      <c r="F214" s="1"/>
      <c r="G214" s="1"/>
      <c r="H214" s="1"/>
      <c r="I214" s="1"/>
      <c r="J214" s="1"/>
      <c r="K214" s="1"/>
      <c r="L214" s="89"/>
      <c r="M214" s="1"/>
      <c r="N214" s="1"/>
      <c r="O214" s="1"/>
      <c r="P214" s="1"/>
      <c r="Q214" s="1"/>
      <c r="R214" s="1"/>
      <c r="S214" s="1"/>
      <c r="T214" s="1"/>
      <c r="U214" s="1"/>
      <c r="V214" s="1"/>
      <c r="W214" s="1"/>
      <c r="X214" s="1"/>
      <c r="Y214" s="1"/>
      <c r="Z214" s="1"/>
      <c r="AA214" s="1"/>
    </row>
    <row r="215" spans="1:27" ht="15.75" customHeight="1">
      <c r="A215" s="105"/>
      <c r="B215" s="1"/>
      <c r="C215" s="1"/>
      <c r="D215" s="1"/>
      <c r="E215" s="1"/>
      <c r="F215" s="1"/>
      <c r="G215" s="1"/>
      <c r="H215" s="1"/>
      <c r="I215" s="1"/>
      <c r="J215" s="1"/>
      <c r="K215" s="1"/>
      <c r="L215" s="89"/>
      <c r="M215" s="1"/>
      <c r="N215" s="1"/>
      <c r="O215" s="1"/>
      <c r="P215" s="1"/>
      <c r="Q215" s="1"/>
      <c r="R215" s="1"/>
      <c r="S215" s="1"/>
      <c r="T215" s="1"/>
      <c r="U215" s="1"/>
      <c r="V215" s="1"/>
      <c r="W215" s="1"/>
      <c r="X215" s="1"/>
      <c r="Y215" s="1"/>
      <c r="Z215" s="1"/>
      <c r="AA215" s="1"/>
    </row>
    <row r="216" spans="1:27" ht="15.75" customHeight="1">
      <c r="A216" s="105"/>
      <c r="B216" s="1"/>
      <c r="C216" s="1"/>
      <c r="D216" s="1"/>
      <c r="E216" s="1"/>
      <c r="F216" s="1"/>
      <c r="G216" s="1"/>
      <c r="H216" s="1"/>
      <c r="I216" s="1"/>
      <c r="J216" s="1"/>
      <c r="K216" s="1"/>
      <c r="L216" s="89"/>
      <c r="M216" s="1"/>
      <c r="N216" s="1"/>
      <c r="O216" s="1"/>
      <c r="P216" s="1"/>
      <c r="Q216" s="1"/>
      <c r="R216" s="1"/>
      <c r="S216" s="1"/>
      <c r="T216" s="1"/>
      <c r="U216" s="1"/>
      <c r="V216" s="1"/>
      <c r="W216" s="1"/>
      <c r="X216" s="1"/>
      <c r="Y216" s="1"/>
      <c r="Z216" s="1"/>
      <c r="AA216" s="1"/>
    </row>
    <row r="217" spans="1:27" ht="15.75" customHeight="1">
      <c r="A217" s="105"/>
      <c r="B217" s="1"/>
      <c r="C217" s="1"/>
      <c r="D217" s="1"/>
      <c r="E217" s="1"/>
      <c r="F217" s="1"/>
      <c r="G217" s="1"/>
      <c r="H217" s="1"/>
      <c r="I217" s="1"/>
      <c r="J217" s="1"/>
      <c r="K217" s="1"/>
      <c r="L217" s="89"/>
      <c r="M217" s="1"/>
      <c r="N217" s="1"/>
      <c r="O217" s="1"/>
      <c r="P217" s="1"/>
      <c r="Q217" s="1"/>
      <c r="R217" s="1"/>
      <c r="S217" s="1"/>
      <c r="T217" s="1"/>
      <c r="U217" s="1"/>
      <c r="V217" s="1"/>
      <c r="W217" s="1"/>
      <c r="X217" s="1"/>
      <c r="Y217" s="1"/>
      <c r="Z217" s="1"/>
      <c r="AA217" s="1"/>
    </row>
    <row r="218" spans="1:27" ht="15.75" customHeight="1">
      <c r="A218" s="105"/>
      <c r="B218" s="1"/>
      <c r="C218" s="1"/>
      <c r="D218" s="1"/>
      <c r="E218" s="1"/>
      <c r="F218" s="1"/>
      <c r="G218" s="1"/>
      <c r="H218" s="1"/>
      <c r="I218" s="1"/>
      <c r="J218" s="1"/>
      <c r="K218" s="1"/>
      <c r="L218" s="89"/>
      <c r="M218" s="1"/>
      <c r="N218" s="1"/>
      <c r="O218" s="1"/>
      <c r="P218" s="1"/>
      <c r="Q218" s="1"/>
      <c r="R218" s="1"/>
      <c r="S218" s="1"/>
      <c r="T218" s="1"/>
      <c r="U218" s="1"/>
      <c r="V218" s="1"/>
      <c r="W218" s="1"/>
      <c r="X218" s="1"/>
      <c r="Y218" s="1"/>
      <c r="Z218" s="1"/>
      <c r="AA218" s="1"/>
    </row>
    <row r="219" spans="1:27" ht="15.75" customHeight="1">
      <c r="A219" s="105"/>
      <c r="B219" s="1"/>
      <c r="C219" s="1"/>
      <c r="D219" s="1"/>
      <c r="E219" s="1"/>
      <c r="F219" s="1"/>
      <c r="G219" s="1"/>
      <c r="H219" s="1"/>
      <c r="I219" s="1"/>
      <c r="J219" s="1"/>
      <c r="K219" s="1"/>
      <c r="L219" s="89"/>
      <c r="M219" s="1"/>
      <c r="N219" s="1"/>
      <c r="O219" s="1"/>
      <c r="P219" s="1"/>
      <c r="Q219" s="1"/>
      <c r="R219" s="1"/>
      <c r="S219" s="1"/>
      <c r="T219" s="1"/>
      <c r="U219" s="1"/>
      <c r="V219" s="1"/>
      <c r="W219" s="1"/>
      <c r="X219" s="1"/>
      <c r="Y219" s="1"/>
      <c r="Z219" s="1"/>
      <c r="AA219" s="1"/>
    </row>
    <row r="220" spans="1:27" ht="15.75" customHeight="1">
      <c r="A220" s="105"/>
      <c r="B220" s="1"/>
      <c r="C220" s="1"/>
      <c r="D220" s="1"/>
      <c r="E220" s="1"/>
      <c r="F220" s="1"/>
      <c r="G220" s="1"/>
      <c r="H220" s="1"/>
      <c r="I220" s="1"/>
      <c r="J220" s="1"/>
      <c r="K220" s="1"/>
      <c r="L220" s="89"/>
      <c r="M220" s="1"/>
      <c r="N220" s="1"/>
      <c r="O220" s="1"/>
      <c r="P220" s="1"/>
      <c r="Q220" s="1"/>
      <c r="R220" s="1"/>
      <c r="S220" s="1"/>
      <c r="T220" s="1"/>
      <c r="U220" s="1"/>
      <c r="V220" s="1"/>
      <c r="W220" s="1"/>
      <c r="X220" s="1"/>
      <c r="Y220" s="1"/>
      <c r="Z220" s="1"/>
      <c r="AA220" s="1"/>
    </row>
    <row r="221" spans="1:27" ht="15.75" customHeight="1">
      <c r="A221" s="105"/>
      <c r="B221" s="1"/>
      <c r="C221" s="1"/>
      <c r="D221" s="1"/>
      <c r="E221" s="1"/>
      <c r="F221" s="1"/>
      <c r="G221" s="1"/>
      <c r="H221" s="1"/>
      <c r="I221" s="1"/>
      <c r="J221" s="1"/>
      <c r="K221" s="1"/>
      <c r="L221" s="89"/>
      <c r="M221" s="1"/>
      <c r="N221" s="1"/>
      <c r="O221" s="1"/>
      <c r="P221" s="1"/>
      <c r="Q221" s="1"/>
      <c r="R221" s="1"/>
      <c r="S221" s="1"/>
      <c r="T221" s="1"/>
      <c r="U221" s="1"/>
      <c r="V221" s="1"/>
      <c r="W221" s="1"/>
      <c r="X221" s="1"/>
      <c r="Y221" s="1"/>
      <c r="Z221" s="1"/>
      <c r="AA221" s="1"/>
    </row>
    <row r="222" spans="1:27" ht="15.75" customHeight="1">
      <c r="A222" s="105"/>
      <c r="B222" s="1"/>
      <c r="C222" s="1"/>
      <c r="D222" s="1"/>
      <c r="E222" s="1"/>
      <c r="F222" s="1"/>
      <c r="G222" s="1"/>
      <c r="H222" s="1"/>
      <c r="I222" s="1"/>
      <c r="J222" s="1"/>
      <c r="K222" s="1"/>
      <c r="L222" s="89"/>
      <c r="M222" s="1"/>
      <c r="N222" s="1"/>
      <c r="O222" s="1"/>
      <c r="P222" s="1"/>
      <c r="Q222" s="1"/>
      <c r="R222" s="1"/>
      <c r="S222" s="1"/>
      <c r="T222" s="1"/>
      <c r="U222" s="1"/>
      <c r="V222" s="1"/>
      <c r="W222" s="1"/>
      <c r="X222" s="1"/>
      <c r="Y222" s="1"/>
      <c r="Z222" s="1"/>
      <c r="AA222" s="1"/>
    </row>
    <row r="223" spans="1:27" ht="15.75" customHeight="1">
      <c r="A223" s="105"/>
      <c r="B223" s="1"/>
      <c r="C223" s="1"/>
      <c r="D223" s="1"/>
      <c r="E223" s="1"/>
      <c r="F223" s="1"/>
      <c r="G223" s="1"/>
      <c r="H223" s="1"/>
      <c r="I223" s="1"/>
      <c r="J223" s="1"/>
      <c r="K223" s="1"/>
      <c r="L223" s="89"/>
      <c r="M223" s="1"/>
      <c r="N223" s="1"/>
      <c r="O223" s="1"/>
      <c r="P223" s="1"/>
      <c r="Q223" s="1"/>
      <c r="R223" s="1"/>
      <c r="S223" s="1"/>
      <c r="T223" s="1"/>
      <c r="U223" s="1"/>
      <c r="V223" s="1"/>
      <c r="W223" s="1"/>
      <c r="X223" s="1"/>
      <c r="Y223" s="1"/>
      <c r="Z223" s="1"/>
      <c r="AA223" s="1"/>
    </row>
    <row r="224" spans="1:27" ht="15.75" customHeight="1">
      <c r="A224" s="105"/>
      <c r="B224" s="1"/>
      <c r="C224" s="1"/>
      <c r="D224" s="1"/>
      <c r="E224" s="1"/>
      <c r="F224" s="1"/>
      <c r="G224" s="1"/>
      <c r="H224" s="1"/>
      <c r="I224" s="1"/>
      <c r="J224" s="1"/>
      <c r="K224" s="1"/>
      <c r="L224" s="89"/>
      <c r="M224" s="1"/>
      <c r="N224" s="1"/>
      <c r="O224" s="1"/>
      <c r="P224" s="1"/>
      <c r="Q224" s="1"/>
      <c r="R224" s="1"/>
      <c r="S224" s="1"/>
      <c r="T224" s="1"/>
      <c r="U224" s="1"/>
      <c r="V224" s="1"/>
      <c r="W224" s="1"/>
      <c r="X224" s="1"/>
      <c r="Y224" s="1"/>
      <c r="Z224" s="1"/>
      <c r="AA224" s="1"/>
    </row>
    <row r="225" spans="1:27" ht="15.75" customHeight="1">
      <c r="A225" s="105"/>
      <c r="B225" s="1"/>
      <c r="C225" s="1"/>
      <c r="D225" s="1"/>
      <c r="E225" s="1"/>
      <c r="F225" s="1"/>
      <c r="G225" s="1"/>
      <c r="H225" s="1"/>
      <c r="I225" s="1"/>
      <c r="J225" s="1"/>
      <c r="K225" s="1"/>
      <c r="L225" s="89"/>
      <c r="M225" s="1"/>
      <c r="N225" s="1"/>
      <c r="O225" s="1"/>
      <c r="P225" s="1"/>
      <c r="Q225" s="1"/>
      <c r="R225" s="1"/>
      <c r="S225" s="1"/>
      <c r="T225" s="1"/>
      <c r="U225" s="1"/>
      <c r="V225" s="1"/>
      <c r="W225" s="1"/>
      <c r="X225" s="1"/>
      <c r="Y225" s="1"/>
      <c r="Z225" s="1"/>
      <c r="AA225" s="1"/>
    </row>
    <row r="226" spans="1:27" ht="15.75" customHeight="1">
      <c r="A226" s="105"/>
      <c r="B226" s="1"/>
      <c r="C226" s="1"/>
      <c r="D226" s="1"/>
      <c r="E226" s="1"/>
      <c r="F226" s="1"/>
      <c r="G226" s="1"/>
      <c r="H226" s="1"/>
      <c r="I226" s="1"/>
      <c r="J226" s="1"/>
      <c r="K226" s="1"/>
      <c r="L226" s="89"/>
      <c r="M226" s="1"/>
      <c r="N226" s="1"/>
      <c r="O226" s="1"/>
      <c r="P226" s="1"/>
      <c r="Q226" s="1"/>
      <c r="R226" s="1"/>
      <c r="S226" s="1"/>
      <c r="T226" s="1"/>
      <c r="U226" s="1"/>
      <c r="V226" s="1"/>
      <c r="W226" s="1"/>
      <c r="X226" s="1"/>
      <c r="Y226" s="1"/>
      <c r="Z226" s="1"/>
      <c r="AA226" s="1"/>
    </row>
    <row r="227" spans="1:27" ht="15.75" customHeight="1">
      <c r="A227" s="105"/>
      <c r="B227" s="1"/>
      <c r="C227" s="1"/>
      <c r="D227" s="1"/>
      <c r="E227" s="1"/>
      <c r="F227" s="1"/>
      <c r="G227" s="1"/>
      <c r="H227" s="1"/>
      <c r="I227" s="1"/>
      <c r="J227" s="1"/>
      <c r="K227" s="1"/>
      <c r="L227" s="89"/>
      <c r="M227" s="1"/>
      <c r="N227" s="1"/>
      <c r="O227" s="1"/>
      <c r="P227" s="1"/>
      <c r="Q227" s="1"/>
      <c r="R227" s="1"/>
      <c r="S227" s="1"/>
      <c r="T227" s="1"/>
      <c r="U227" s="1"/>
      <c r="V227" s="1"/>
      <c r="W227" s="1"/>
      <c r="X227" s="1"/>
      <c r="Y227" s="1"/>
      <c r="Z227" s="1"/>
      <c r="AA227" s="1"/>
    </row>
    <row r="228" spans="1:27" ht="15.75" customHeight="1">
      <c r="A228" s="105"/>
      <c r="B228" s="1"/>
      <c r="C228" s="1"/>
      <c r="D228" s="1"/>
      <c r="E228" s="1"/>
      <c r="F228" s="1"/>
      <c r="G228" s="1"/>
      <c r="H228" s="1"/>
      <c r="I228" s="1"/>
      <c r="J228" s="1"/>
      <c r="K228" s="1"/>
      <c r="L228" s="89"/>
      <c r="M228" s="1"/>
      <c r="N228" s="1"/>
      <c r="O228" s="1"/>
      <c r="P228" s="1"/>
      <c r="Q228" s="1"/>
      <c r="R228" s="1"/>
      <c r="S228" s="1"/>
      <c r="T228" s="1"/>
      <c r="U228" s="1"/>
      <c r="V228" s="1"/>
      <c r="W228" s="1"/>
      <c r="X228" s="1"/>
      <c r="Y228" s="1"/>
      <c r="Z228" s="1"/>
      <c r="AA228" s="1"/>
    </row>
    <row r="229" spans="1:27" ht="15.75" customHeight="1">
      <c r="A229" s="105"/>
      <c r="B229" s="1"/>
      <c r="C229" s="1"/>
      <c r="D229" s="1"/>
      <c r="E229" s="1"/>
      <c r="F229" s="1"/>
      <c r="G229" s="1"/>
      <c r="H229" s="1"/>
      <c r="I229" s="1"/>
      <c r="J229" s="1"/>
      <c r="K229" s="1"/>
      <c r="L229" s="89"/>
      <c r="M229" s="1"/>
      <c r="N229" s="1"/>
      <c r="O229" s="1"/>
      <c r="P229" s="1"/>
      <c r="Q229" s="1"/>
      <c r="R229" s="1"/>
      <c r="S229" s="1"/>
      <c r="T229" s="1"/>
      <c r="U229" s="1"/>
      <c r="V229" s="1"/>
      <c r="W229" s="1"/>
      <c r="X229" s="1"/>
      <c r="Y229" s="1"/>
      <c r="Z229" s="1"/>
      <c r="AA229" s="1"/>
    </row>
    <row r="230" spans="1:27" ht="15.75" customHeight="1">
      <c r="A230" s="105"/>
      <c r="B230" s="1"/>
      <c r="C230" s="1"/>
      <c r="D230" s="1"/>
      <c r="E230" s="1"/>
      <c r="F230" s="1"/>
      <c r="G230" s="1"/>
      <c r="H230" s="1"/>
      <c r="I230" s="1"/>
      <c r="J230" s="1"/>
      <c r="K230" s="1"/>
      <c r="L230" s="89"/>
      <c r="M230" s="1"/>
      <c r="N230" s="1"/>
      <c r="O230" s="1"/>
      <c r="P230" s="1"/>
      <c r="Q230" s="1"/>
      <c r="R230" s="1"/>
      <c r="S230" s="1"/>
      <c r="T230" s="1"/>
      <c r="U230" s="1"/>
      <c r="V230" s="1"/>
      <c r="W230" s="1"/>
      <c r="X230" s="1"/>
      <c r="Y230" s="1"/>
      <c r="Z230" s="1"/>
      <c r="AA230" s="1"/>
    </row>
    <row r="231" spans="1:27" ht="15.75" customHeight="1">
      <c r="A231" s="105"/>
      <c r="B231" s="1"/>
      <c r="C231" s="1"/>
      <c r="D231" s="1"/>
      <c r="E231" s="1"/>
      <c r="F231" s="1"/>
      <c r="G231" s="1"/>
      <c r="H231" s="1"/>
      <c r="I231" s="1"/>
      <c r="J231" s="1"/>
      <c r="K231" s="1"/>
      <c r="L231" s="89"/>
      <c r="M231" s="1"/>
      <c r="N231" s="1"/>
      <c r="O231" s="1"/>
      <c r="P231" s="1"/>
      <c r="Q231" s="1"/>
      <c r="R231" s="1"/>
      <c r="S231" s="1"/>
      <c r="T231" s="1"/>
      <c r="U231" s="1"/>
      <c r="V231" s="1"/>
      <c r="W231" s="1"/>
      <c r="X231" s="1"/>
      <c r="Y231" s="1"/>
      <c r="Z231" s="1"/>
      <c r="AA231" s="1"/>
    </row>
    <row r="232" spans="1:27" ht="15.75" customHeight="1">
      <c r="A232" s="105"/>
      <c r="B232" s="1"/>
      <c r="C232" s="1"/>
      <c r="D232" s="1"/>
      <c r="E232" s="1"/>
      <c r="F232" s="1"/>
      <c r="G232" s="1"/>
      <c r="H232" s="1"/>
      <c r="I232" s="1"/>
      <c r="J232" s="1"/>
      <c r="K232" s="1"/>
      <c r="L232" s="89"/>
      <c r="M232" s="1"/>
      <c r="N232" s="1"/>
      <c r="O232" s="1"/>
      <c r="P232" s="1"/>
      <c r="Q232" s="1"/>
      <c r="R232" s="1"/>
      <c r="S232" s="1"/>
      <c r="T232" s="1"/>
      <c r="U232" s="1"/>
      <c r="V232" s="1"/>
      <c r="W232" s="1"/>
      <c r="X232" s="1"/>
      <c r="Y232" s="1"/>
      <c r="Z232" s="1"/>
      <c r="AA232" s="1"/>
    </row>
    <row r="233" spans="1:27" ht="15.75" customHeight="1">
      <c r="A233" s="105"/>
      <c r="B233" s="1"/>
      <c r="C233" s="1"/>
      <c r="D233" s="1"/>
      <c r="E233" s="1"/>
      <c r="F233" s="1"/>
      <c r="G233" s="1"/>
      <c r="H233" s="1"/>
      <c r="I233" s="1"/>
      <c r="J233" s="1"/>
      <c r="K233" s="1"/>
      <c r="L233" s="89"/>
      <c r="M233" s="1"/>
      <c r="N233" s="1"/>
      <c r="O233" s="1"/>
      <c r="P233" s="1"/>
      <c r="Q233" s="1"/>
      <c r="R233" s="1"/>
      <c r="S233" s="1"/>
      <c r="T233" s="1"/>
      <c r="U233" s="1"/>
      <c r="V233" s="1"/>
      <c r="W233" s="1"/>
      <c r="X233" s="1"/>
      <c r="Y233" s="1"/>
      <c r="Z233" s="1"/>
      <c r="AA233" s="1"/>
    </row>
    <row r="234" spans="1:27" ht="15.75" customHeight="1">
      <c r="A234" s="105"/>
      <c r="B234" s="1"/>
      <c r="C234" s="1"/>
      <c r="D234" s="1"/>
      <c r="E234" s="1"/>
      <c r="F234" s="1"/>
      <c r="G234" s="1"/>
      <c r="H234" s="1"/>
      <c r="I234" s="1"/>
      <c r="J234" s="1"/>
      <c r="K234" s="1"/>
      <c r="L234" s="89"/>
      <c r="M234" s="1"/>
      <c r="N234" s="1"/>
      <c r="O234" s="1"/>
      <c r="P234" s="1"/>
      <c r="Q234" s="1"/>
      <c r="R234" s="1"/>
      <c r="S234" s="1"/>
      <c r="T234" s="1"/>
      <c r="U234" s="1"/>
      <c r="V234" s="1"/>
      <c r="W234" s="1"/>
      <c r="X234" s="1"/>
      <c r="Y234" s="1"/>
      <c r="Z234" s="1"/>
      <c r="AA234" s="1"/>
    </row>
    <row r="235" spans="1:27" ht="15.75" customHeight="1">
      <c r="A235" s="105"/>
      <c r="B235" s="1"/>
      <c r="C235" s="1"/>
      <c r="D235" s="1"/>
      <c r="E235" s="1"/>
      <c r="F235" s="1"/>
      <c r="G235" s="1"/>
      <c r="H235" s="1"/>
      <c r="I235" s="1"/>
      <c r="J235" s="1"/>
      <c r="K235" s="1"/>
      <c r="L235" s="89"/>
      <c r="M235" s="1"/>
      <c r="N235" s="1"/>
      <c r="O235" s="1"/>
      <c r="P235" s="1"/>
      <c r="Q235" s="1"/>
      <c r="R235" s="1"/>
      <c r="S235" s="1"/>
      <c r="T235" s="1"/>
      <c r="U235" s="1"/>
      <c r="V235" s="1"/>
      <c r="W235" s="1"/>
      <c r="X235" s="1"/>
      <c r="Y235" s="1"/>
      <c r="Z235" s="1"/>
      <c r="AA235" s="1"/>
    </row>
    <row r="236" spans="1:27" ht="15.75" customHeight="1">
      <c r="A236" s="105"/>
      <c r="B236" s="1"/>
      <c r="C236" s="1"/>
      <c r="D236" s="1"/>
      <c r="E236" s="1"/>
      <c r="F236" s="1"/>
      <c r="G236" s="1"/>
      <c r="H236" s="1"/>
      <c r="I236" s="1"/>
      <c r="J236" s="1"/>
      <c r="K236" s="1"/>
      <c r="L236" s="89"/>
      <c r="M236" s="1"/>
      <c r="N236" s="1"/>
      <c r="O236" s="1"/>
      <c r="P236" s="1"/>
      <c r="Q236" s="1"/>
      <c r="R236" s="1"/>
      <c r="S236" s="1"/>
      <c r="T236" s="1"/>
      <c r="U236" s="1"/>
      <c r="V236" s="1"/>
      <c r="W236" s="1"/>
      <c r="X236" s="1"/>
      <c r="Y236" s="1"/>
      <c r="Z236" s="1"/>
      <c r="AA236" s="1"/>
    </row>
    <row r="237" spans="1:27" ht="15.75" customHeight="1">
      <c r="A237" s="105"/>
      <c r="B237" s="1"/>
      <c r="C237" s="1"/>
      <c r="D237" s="1"/>
      <c r="E237" s="1"/>
      <c r="F237" s="1"/>
      <c r="G237" s="1"/>
      <c r="H237" s="1"/>
      <c r="I237" s="1"/>
      <c r="J237" s="1"/>
      <c r="K237" s="1"/>
      <c r="L237" s="89"/>
      <c r="M237" s="1"/>
      <c r="N237" s="1"/>
      <c r="O237" s="1"/>
      <c r="P237" s="1"/>
      <c r="Q237" s="1"/>
      <c r="R237" s="1"/>
      <c r="S237" s="1"/>
      <c r="T237" s="1"/>
      <c r="U237" s="1"/>
      <c r="V237" s="1"/>
      <c r="W237" s="1"/>
      <c r="X237" s="1"/>
      <c r="Y237" s="1"/>
      <c r="Z237" s="1"/>
      <c r="AA237" s="1"/>
    </row>
    <row r="238" spans="1:27" ht="15.75" customHeight="1">
      <c r="A238" s="105"/>
      <c r="B238" s="1"/>
      <c r="C238" s="1"/>
      <c r="D238" s="1"/>
      <c r="E238" s="1"/>
      <c r="F238" s="1"/>
      <c r="G238" s="1"/>
      <c r="H238" s="1"/>
      <c r="I238" s="1"/>
      <c r="J238" s="1"/>
      <c r="K238" s="1"/>
      <c r="L238" s="89"/>
      <c r="M238" s="1"/>
      <c r="N238" s="1"/>
      <c r="O238" s="1"/>
      <c r="P238" s="1"/>
      <c r="Q238" s="1"/>
      <c r="R238" s="1"/>
      <c r="S238" s="1"/>
      <c r="T238" s="1"/>
      <c r="U238" s="1"/>
      <c r="V238" s="1"/>
      <c r="W238" s="1"/>
      <c r="X238" s="1"/>
      <c r="Y238" s="1"/>
      <c r="Z238" s="1"/>
      <c r="AA238" s="1"/>
    </row>
    <row r="239" spans="1:27" ht="15.75" customHeight="1">
      <c r="A239" s="105"/>
      <c r="B239" s="1"/>
      <c r="C239" s="1"/>
      <c r="D239" s="1"/>
      <c r="E239" s="1"/>
      <c r="F239" s="1"/>
      <c r="G239" s="1"/>
      <c r="H239" s="1"/>
      <c r="I239" s="1"/>
      <c r="J239" s="1"/>
      <c r="K239" s="1"/>
      <c r="L239" s="89"/>
      <c r="M239" s="1"/>
      <c r="N239" s="1"/>
      <c r="O239" s="1"/>
      <c r="P239" s="1"/>
      <c r="Q239" s="1"/>
      <c r="R239" s="1"/>
      <c r="S239" s="1"/>
      <c r="T239" s="1"/>
      <c r="U239" s="1"/>
      <c r="V239" s="1"/>
      <c r="W239" s="1"/>
      <c r="X239" s="1"/>
      <c r="Y239" s="1"/>
      <c r="Z239" s="1"/>
      <c r="AA239" s="1"/>
    </row>
    <row r="240" spans="1:27" ht="15.75" customHeight="1">
      <c r="A240" s="105"/>
      <c r="B240" s="1"/>
      <c r="C240" s="1"/>
      <c r="D240" s="1"/>
      <c r="E240" s="1"/>
      <c r="F240" s="1"/>
      <c r="G240" s="1"/>
      <c r="H240" s="1"/>
      <c r="I240" s="1"/>
      <c r="J240" s="1"/>
      <c r="K240" s="1"/>
      <c r="L240" s="89"/>
      <c r="M240" s="1"/>
      <c r="N240" s="1"/>
      <c r="O240" s="1"/>
      <c r="P240" s="1"/>
      <c r="Q240" s="1"/>
      <c r="R240" s="1"/>
      <c r="S240" s="1"/>
      <c r="T240" s="1"/>
      <c r="U240" s="1"/>
      <c r="V240" s="1"/>
      <c r="W240" s="1"/>
      <c r="X240" s="1"/>
      <c r="Y240" s="1"/>
      <c r="Z240" s="1"/>
      <c r="AA240" s="1"/>
    </row>
    <row r="241" spans="1:27" ht="15.75" customHeight="1">
      <c r="A241" s="105"/>
      <c r="B241" s="1"/>
      <c r="C241" s="1"/>
      <c r="D241" s="1"/>
      <c r="E241" s="1"/>
      <c r="F241" s="1"/>
      <c r="G241" s="1"/>
      <c r="H241" s="1"/>
      <c r="I241" s="1"/>
      <c r="J241" s="1"/>
      <c r="K241" s="1"/>
      <c r="L241" s="89"/>
      <c r="M241" s="1"/>
      <c r="N241" s="1"/>
      <c r="O241" s="1"/>
      <c r="P241" s="1"/>
      <c r="Q241" s="1"/>
      <c r="R241" s="1"/>
      <c r="S241" s="1"/>
      <c r="T241" s="1"/>
      <c r="U241" s="1"/>
      <c r="V241" s="1"/>
      <c r="W241" s="1"/>
      <c r="X241" s="1"/>
      <c r="Y241" s="1"/>
      <c r="Z241" s="1"/>
      <c r="AA241" s="1"/>
    </row>
    <row r="242" spans="1:27" ht="15.75" customHeight="1">
      <c r="A242" s="105"/>
      <c r="B242" s="1"/>
      <c r="C242" s="1"/>
      <c r="D242" s="1"/>
      <c r="E242" s="1"/>
      <c r="F242" s="1"/>
      <c r="G242" s="1"/>
      <c r="H242" s="1"/>
      <c r="I242" s="1"/>
      <c r="J242" s="1"/>
      <c r="K242" s="1"/>
      <c r="L242" s="89"/>
      <c r="M242" s="1"/>
      <c r="N242" s="1"/>
      <c r="O242" s="1"/>
      <c r="P242" s="1"/>
      <c r="Q242" s="1"/>
      <c r="R242" s="1"/>
      <c r="S242" s="1"/>
      <c r="T242" s="1"/>
      <c r="U242" s="1"/>
      <c r="V242" s="1"/>
      <c r="W242" s="1"/>
      <c r="X242" s="1"/>
      <c r="Y242" s="1"/>
      <c r="Z242" s="1"/>
      <c r="AA242" s="1"/>
    </row>
    <row r="243" spans="1:27" ht="15.75" customHeight="1">
      <c r="A243" s="105"/>
      <c r="B243" s="1"/>
      <c r="C243" s="1"/>
      <c r="D243" s="1"/>
      <c r="E243" s="1"/>
      <c r="F243" s="1"/>
      <c r="G243" s="1"/>
      <c r="H243" s="1"/>
      <c r="I243" s="1"/>
      <c r="J243" s="1"/>
      <c r="K243" s="1"/>
      <c r="L243" s="89"/>
      <c r="M243" s="1"/>
      <c r="N243" s="1"/>
      <c r="O243" s="1"/>
      <c r="P243" s="1"/>
      <c r="Q243" s="1"/>
      <c r="R243" s="1"/>
      <c r="S243" s="1"/>
      <c r="T243" s="1"/>
      <c r="U243" s="1"/>
      <c r="V243" s="1"/>
      <c r="W243" s="1"/>
      <c r="X243" s="1"/>
      <c r="Y243" s="1"/>
      <c r="Z243" s="1"/>
      <c r="AA243" s="1"/>
    </row>
    <row r="244" spans="1:27" ht="15.75" customHeight="1">
      <c r="A244" s="105"/>
      <c r="B244" s="1"/>
      <c r="C244" s="1"/>
      <c r="D244" s="1"/>
      <c r="E244" s="1"/>
      <c r="F244" s="1"/>
      <c r="G244" s="1"/>
      <c r="H244" s="1"/>
      <c r="I244" s="1"/>
      <c r="J244" s="1"/>
      <c r="K244" s="1"/>
      <c r="L244" s="89"/>
      <c r="M244" s="1"/>
      <c r="N244" s="1"/>
      <c r="O244" s="1"/>
      <c r="P244" s="1"/>
      <c r="Q244" s="1"/>
      <c r="R244" s="1"/>
      <c r="S244" s="1"/>
      <c r="T244" s="1"/>
      <c r="U244" s="1"/>
      <c r="V244" s="1"/>
      <c r="W244" s="1"/>
      <c r="X244" s="1"/>
      <c r="Y244" s="1"/>
      <c r="Z244" s="1"/>
      <c r="AA244" s="1"/>
    </row>
    <row r="245" spans="1:27" ht="15.75" customHeight="1">
      <c r="A245" s="105"/>
      <c r="B245" s="1"/>
      <c r="C245" s="1"/>
      <c r="D245" s="1"/>
      <c r="E245" s="1"/>
      <c r="F245" s="1"/>
      <c r="G245" s="1"/>
      <c r="H245" s="1"/>
      <c r="I245" s="1"/>
      <c r="J245" s="1"/>
      <c r="K245" s="1"/>
      <c r="L245" s="89"/>
      <c r="M245" s="1"/>
      <c r="N245" s="1"/>
      <c r="O245" s="1"/>
      <c r="P245" s="1"/>
      <c r="Q245" s="1"/>
      <c r="R245" s="1"/>
      <c r="S245" s="1"/>
      <c r="T245" s="1"/>
      <c r="U245" s="1"/>
      <c r="V245" s="1"/>
      <c r="W245" s="1"/>
      <c r="X245" s="1"/>
      <c r="Y245" s="1"/>
      <c r="Z245" s="1"/>
      <c r="AA245" s="1"/>
    </row>
    <row r="246" spans="1:27" ht="15.75" customHeight="1">
      <c r="A246" s="105"/>
      <c r="B246" s="1"/>
      <c r="C246" s="1"/>
      <c r="D246" s="1"/>
      <c r="E246" s="1"/>
      <c r="F246" s="1"/>
      <c r="G246" s="1"/>
      <c r="H246" s="1"/>
      <c r="I246" s="1"/>
      <c r="J246" s="1"/>
      <c r="K246" s="1"/>
      <c r="L246" s="89"/>
      <c r="M246" s="1"/>
      <c r="N246" s="1"/>
      <c r="O246" s="1"/>
      <c r="P246" s="1"/>
      <c r="Q246" s="1"/>
      <c r="R246" s="1"/>
      <c r="S246" s="1"/>
      <c r="T246" s="1"/>
      <c r="U246" s="1"/>
      <c r="V246" s="1"/>
      <c r="W246" s="1"/>
      <c r="X246" s="1"/>
      <c r="Y246" s="1"/>
      <c r="Z246" s="1"/>
      <c r="AA246" s="1"/>
    </row>
    <row r="247" spans="1:27" ht="15.75" customHeight="1">
      <c r="A247" s="105"/>
      <c r="B247" s="1"/>
      <c r="C247" s="1"/>
      <c r="D247" s="1"/>
      <c r="E247" s="1"/>
      <c r="F247" s="1"/>
      <c r="G247" s="1"/>
      <c r="H247" s="1"/>
      <c r="I247" s="1"/>
      <c r="J247" s="1"/>
      <c r="K247" s="1"/>
      <c r="L247" s="89"/>
      <c r="M247" s="1"/>
      <c r="N247" s="1"/>
      <c r="O247" s="1"/>
      <c r="P247" s="1"/>
      <c r="Q247" s="1"/>
      <c r="R247" s="1"/>
      <c r="S247" s="1"/>
      <c r="T247" s="1"/>
      <c r="U247" s="1"/>
      <c r="V247" s="1"/>
      <c r="W247" s="1"/>
      <c r="X247" s="1"/>
      <c r="Y247" s="1"/>
      <c r="Z247" s="1"/>
      <c r="AA247" s="1"/>
    </row>
    <row r="248" spans="1:27" ht="15.75" customHeight="1">
      <c r="A248" s="105"/>
      <c r="B248" s="1"/>
      <c r="C248" s="1"/>
      <c r="D248" s="1"/>
      <c r="E248" s="1"/>
      <c r="F248" s="1"/>
      <c r="G248" s="1"/>
      <c r="H248" s="1"/>
      <c r="I248" s="1"/>
      <c r="J248" s="1"/>
      <c r="K248" s="1"/>
      <c r="L248" s="89"/>
      <c r="M248" s="1"/>
      <c r="N248" s="1"/>
      <c r="O248" s="1"/>
      <c r="P248" s="1"/>
      <c r="Q248" s="1"/>
      <c r="R248" s="1"/>
      <c r="S248" s="1"/>
      <c r="T248" s="1"/>
      <c r="U248" s="1"/>
      <c r="V248" s="1"/>
      <c r="W248" s="1"/>
      <c r="X248" s="1"/>
      <c r="Y248" s="1"/>
      <c r="Z248" s="1"/>
      <c r="AA248" s="1"/>
    </row>
    <row r="249" spans="1:27" ht="15.75" customHeight="1">
      <c r="A249" s="105"/>
      <c r="B249" s="1"/>
      <c r="C249" s="1"/>
      <c r="D249" s="1"/>
      <c r="E249" s="1"/>
      <c r="F249" s="1"/>
      <c r="G249" s="1"/>
      <c r="H249" s="1"/>
      <c r="I249" s="1"/>
      <c r="J249" s="1"/>
      <c r="K249" s="1"/>
      <c r="L249" s="89"/>
      <c r="M249" s="1"/>
      <c r="N249" s="1"/>
      <c r="O249" s="1"/>
      <c r="P249" s="1"/>
      <c r="Q249" s="1"/>
      <c r="R249" s="1"/>
      <c r="S249" s="1"/>
      <c r="T249" s="1"/>
      <c r="U249" s="1"/>
      <c r="V249" s="1"/>
      <c r="W249" s="1"/>
      <c r="X249" s="1"/>
      <c r="Y249" s="1"/>
      <c r="Z249" s="1"/>
      <c r="AA249" s="1"/>
    </row>
    <row r="250" spans="1:27" ht="15.75" customHeight="1">
      <c r="A250" s="105"/>
      <c r="B250" s="1"/>
      <c r="C250" s="1"/>
      <c r="D250" s="1"/>
      <c r="E250" s="1"/>
      <c r="F250" s="1"/>
      <c r="G250" s="1"/>
      <c r="H250" s="1"/>
      <c r="I250" s="1"/>
      <c r="J250" s="1"/>
      <c r="K250" s="1"/>
      <c r="L250" s="89"/>
      <c r="M250" s="1"/>
      <c r="N250" s="1"/>
      <c r="O250" s="1"/>
      <c r="P250" s="1"/>
      <c r="Q250" s="1"/>
      <c r="R250" s="1"/>
      <c r="S250" s="1"/>
      <c r="T250" s="1"/>
      <c r="U250" s="1"/>
      <c r="V250" s="1"/>
      <c r="W250" s="1"/>
      <c r="X250" s="1"/>
      <c r="Y250" s="1"/>
      <c r="Z250" s="1"/>
      <c r="AA250" s="1"/>
    </row>
    <row r="251" spans="1:27" ht="15.75" customHeight="1">
      <c r="A251" s="105"/>
      <c r="B251" s="1"/>
      <c r="C251" s="1"/>
      <c r="D251" s="1"/>
      <c r="E251" s="1"/>
      <c r="F251" s="1"/>
      <c r="G251" s="1"/>
      <c r="H251" s="1"/>
      <c r="I251" s="1"/>
      <c r="J251" s="1"/>
      <c r="K251" s="1"/>
      <c r="L251" s="89"/>
      <c r="M251" s="1"/>
      <c r="N251" s="1"/>
      <c r="O251" s="1"/>
      <c r="P251" s="1"/>
      <c r="Q251" s="1"/>
      <c r="R251" s="1"/>
      <c r="S251" s="1"/>
      <c r="T251" s="1"/>
      <c r="U251" s="1"/>
      <c r="V251" s="1"/>
      <c r="W251" s="1"/>
      <c r="X251" s="1"/>
      <c r="Y251" s="1"/>
      <c r="Z251" s="1"/>
      <c r="AA251" s="1"/>
    </row>
    <row r="252" spans="1:27" ht="15.75" customHeight="1">
      <c r="A252" s="105"/>
      <c r="B252" s="1"/>
      <c r="C252" s="1"/>
      <c r="D252" s="1"/>
      <c r="E252" s="1"/>
      <c r="F252" s="1"/>
      <c r="G252" s="1"/>
      <c r="H252" s="1"/>
      <c r="I252" s="1"/>
      <c r="J252" s="1"/>
      <c r="K252" s="1"/>
      <c r="L252" s="89"/>
      <c r="M252" s="1"/>
      <c r="N252" s="1"/>
      <c r="O252" s="1"/>
      <c r="P252" s="1"/>
      <c r="Q252" s="1"/>
      <c r="R252" s="1"/>
      <c r="S252" s="1"/>
      <c r="T252" s="1"/>
      <c r="U252" s="1"/>
      <c r="V252" s="1"/>
      <c r="W252" s="1"/>
      <c r="X252" s="1"/>
      <c r="Y252" s="1"/>
      <c r="Z252" s="1"/>
      <c r="AA252" s="1"/>
    </row>
    <row r="253" spans="1:27" ht="15.75" customHeight="1">
      <c r="A253" s="105"/>
      <c r="B253" s="1"/>
      <c r="C253" s="1"/>
      <c r="D253" s="1"/>
      <c r="E253" s="1"/>
      <c r="F253" s="1"/>
      <c r="G253" s="1"/>
      <c r="H253" s="1"/>
      <c r="I253" s="1"/>
      <c r="J253" s="1"/>
      <c r="K253" s="1"/>
      <c r="L253" s="89"/>
      <c r="M253" s="1"/>
      <c r="N253" s="1"/>
      <c r="O253" s="1"/>
      <c r="P253" s="1"/>
      <c r="Q253" s="1"/>
      <c r="R253" s="1"/>
      <c r="S253" s="1"/>
      <c r="T253" s="1"/>
      <c r="U253" s="1"/>
      <c r="V253" s="1"/>
      <c r="W253" s="1"/>
      <c r="X253" s="1"/>
      <c r="Y253" s="1"/>
      <c r="Z253" s="1"/>
      <c r="AA253" s="1"/>
    </row>
    <row r="254" spans="1:27" ht="15.75" customHeight="1">
      <c r="A254" s="105"/>
      <c r="B254" s="1"/>
      <c r="C254" s="1"/>
      <c r="D254" s="1"/>
      <c r="E254" s="1"/>
      <c r="F254" s="1"/>
      <c r="G254" s="1"/>
      <c r="H254" s="1"/>
      <c r="I254" s="1"/>
      <c r="J254" s="1"/>
      <c r="K254" s="1"/>
      <c r="L254" s="89"/>
      <c r="M254" s="1"/>
      <c r="N254" s="1"/>
      <c r="O254" s="1"/>
      <c r="P254" s="1"/>
      <c r="Q254" s="1"/>
      <c r="R254" s="1"/>
      <c r="S254" s="1"/>
      <c r="T254" s="1"/>
      <c r="U254" s="1"/>
      <c r="V254" s="1"/>
      <c r="W254" s="1"/>
      <c r="X254" s="1"/>
      <c r="Y254" s="1"/>
      <c r="Z254" s="1"/>
      <c r="AA254" s="1"/>
    </row>
    <row r="255" spans="1:27" ht="15.75" customHeight="1">
      <c r="A255" s="105"/>
      <c r="B255" s="1"/>
      <c r="C255" s="1"/>
      <c r="D255" s="1"/>
      <c r="E255" s="1"/>
      <c r="F255" s="1"/>
      <c r="G255" s="1"/>
      <c r="H255" s="1"/>
      <c r="I255" s="1"/>
      <c r="J255" s="1"/>
      <c r="K255" s="1"/>
      <c r="L255" s="89"/>
      <c r="M255" s="1"/>
      <c r="N255" s="1"/>
      <c r="O255" s="1"/>
      <c r="P255" s="1"/>
      <c r="Q255" s="1"/>
      <c r="R255" s="1"/>
      <c r="S255" s="1"/>
      <c r="T255" s="1"/>
      <c r="U255" s="1"/>
      <c r="V255" s="1"/>
      <c r="W255" s="1"/>
      <c r="X255" s="1"/>
      <c r="Y255" s="1"/>
      <c r="Z255" s="1"/>
      <c r="AA255" s="1"/>
    </row>
    <row r="256" spans="1:27" ht="15.75" customHeight="1">
      <c r="A256" s="105"/>
      <c r="B256" s="1"/>
      <c r="C256" s="1"/>
      <c r="D256" s="1"/>
      <c r="E256" s="1"/>
      <c r="F256" s="1"/>
      <c r="G256" s="1"/>
      <c r="H256" s="1"/>
      <c r="I256" s="1"/>
      <c r="J256" s="1"/>
      <c r="K256" s="1"/>
      <c r="L256" s="89"/>
      <c r="M256" s="1"/>
      <c r="N256" s="1"/>
      <c r="O256" s="1"/>
      <c r="P256" s="1"/>
      <c r="Q256" s="1"/>
      <c r="R256" s="1"/>
      <c r="S256" s="1"/>
      <c r="T256" s="1"/>
      <c r="U256" s="1"/>
      <c r="V256" s="1"/>
      <c r="W256" s="1"/>
      <c r="X256" s="1"/>
      <c r="Y256" s="1"/>
      <c r="Z256" s="1"/>
      <c r="AA256" s="1"/>
    </row>
    <row r="257" spans="1:27" ht="15.75" customHeight="1">
      <c r="A257" s="105"/>
      <c r="B257" s="1"/>
      <c r="C257" s="1"/>
      <c r="D257" s="1"/>
      <c r="E257" s="1"/>
      <c r="F257" s="1"/>
      <c r="G257" s="1"/>
      <c r="H257" s="1"/>
      <c r="I257" s="1"/>
      <c r="J257" s="1"/>
      <c r="K257" s="1"/>
      <c r="L257" s="89"/>
      <c r="M257" s="1"/>
      <c r="N257" s="1"/>
      <c r="O257" s="1"/>
      <c r="P257" s="1"/>
      <c r="Q257" s="1"/>
      <c r="R257" s="1"/>
      <c r="S257" s="1"/>
      <c r="T257" s="1"/>
      <c r="U257" s="1"/>
      <c r="V257" s="1"/>
      <c r="W257" s="1"/>
      <c r="X257" s="1"/>
      <c r="Y257" s="1"/>
      <c r="Z257" s="1"/>
      <c r="AA257" s="1"/>
    </row>
    <row r="258" spans="1:27" ht="15.75" customHeight="1">
      <c r="A258" s="105"/>
      <c r="B258" s="1"/>
      <c r="C258" s="1"/>
      <c r="D258" s="1"/>
      <c r="E258" s="1"/>
      <c r="F258" s="1"/>
      <c r="G258" s="1"/>
      <c r="H258" s="1"/>
      <c r="I258" s="1"/>
      <c r="J258" s="1"/>
      <c r="K258" s="1"/>
      <c r="L258" s="89"/>
      <c r="M258" s="1"/>
      <c r="N258" s="1"/>
      <c r="O258" s="1"/>
      <c r="P258" s="1"/>
      <c r="Q258" s="1"/>
      <c r="R258" s="1"/>
      <c r="S258" s="1"/>
      <c r="T258" s="1"/>
      <c r="U258" s="1"/>
      <c r="V258" s="1"/>
      <c r="W258" s="1"/>
      <c r="X258" s="1"/>
      <c r="Y258" s="1"/>
      <c r="Z258" s="1"/>
      <c r="AA258" s="1"/>
    </row>
    <row r="259" spans="1:27" ht="15.75" customHeight="1">
      <c r="A259" s="105"/>
      <c r="B259" s="1"/>
      <c r="C259" s="1"/>
      <c r="D259" s="1"/>
      <c r="E259" s="1"/>
      <c r="F259" s="1"/>
      <c r="G259" s="1"/>
      <c r="H259" s="1"/>
      <c r="I259" s="1"/>
      <c r="J259" s="1"/>
      <c r="K259" s="1"/>
      <c r="L259" s="89"/>
      <c r="M259" s="1"/>
      <c r="N259" s="1"/>
      <c r="O259" s="1"/>
      <c r="P259" s="1"/>
      <c r="Q259" s="1"/>
      <c r="R259" s="1"/>
      <c r="S259" s="1"/>
      <c r="T259" s="1"/>
      <c r="U259" s="1"/>
      <c r="V259" s="1"/>
      <c r="W259" s="1"/>
      <c r="X259" s="1"/>
      <c r="Y259" s="1"/>
      <c r="Z259" s="1"/>
      <c r="AA259" s="1"/>
    </row>
    <row r="260" spans="1:27" ht="15.75" customHeight="1">
      <c r="A260" s="105"/>
      <c r="B260" s="1"/>
      <c r="C260" s="1"/>
      <c r="D260" s="1"/>
      <c r="E260" s="1"/>
      <c r="F260" s="1"/>
      <c r="G260" s="1"/>
      <c r="H260" s="1"/>
      <c r="I260" s="1"/>
      <c r="J260" s="1"/>
      <c r="K260" s="1"/>
      <c r="L260" s="89"/>
      <c r="M260" s="1"/>
      <c r="N260" s="1"/>
      <c r="O260" s="1"/>
      <c r="P260" s="1"/>
      <c r="Q260" s="1"/>
      <c r="R260" s="1"/>
      <c r="S260" s="1"/>
      <c r="T260" s="1"/>
      <c r="U260" s="1"/>
      <c r="V260" s="1"/>
      <c r="W260" s="1"/>
      <c r="X260" s="1"/>
      <c r="Y260" s="1"/>
      <c r="Z260" s="1"/>
      <c r="AA260" s="1"/>
    </row>
    <row r="261" spans="1:27" ht="15.75" customHeight="1">
      <c r="A261" s="105"/>
      <c r="B261" s="1"/>
      <c r="C261" s="1"/>
      <c r="D261" s="1"/>
      <c r="E261" s="1"/>
      <c r="F261" s="1"/>
      <c r="G261" s="1"/>
      <c r="H261" s="1"/>
      <c r="I261" s="1"/>
      <c r="J261" s="1"/>
      <c r="K261" s="1"/>
      <c r="L261" s="89"/>
      <c r="M261" s="1"/>
      <c r="N261" s="1"/>
      <c r="O261" s="1"/>
      <c r="P261" s="1"/>
      <c r="Q261" s="1"/>
      <c r="R261" s="1"/>
      <c r="S261" s="1"/>
      <c r="T261" s="1"/>
      <c r="U261" s="1"/>
      <c r="V261" s="1"/>
      <c r="W261" s="1"/>
      <c r="X261" s="1"/>
      <c r="Y261" s="1"/>
      <c r="Z261" s="1"/>
      <c r="AA261" s="1"/>
    </row>
    <row r="262" spans="1:27" ht="15.75" customHeight="1">
      <c r="A262" s="105"/>
      <c r="B262" s="1"/>
      <c r="C262" s="1"/>
      <c r="D262" s="1"/>
      <c r="E262" s="1"/>
      <c r="F262" s="1"/>
      <c r="G262" s="1"/>
      <c r="H262" s="1"/>
      <c r="I262" s="1"/>
      <c r="J262" s="1"/>
      <c r="K262" s="1"/>
      <c r="L262" s="89"/>
      <c r="M262" s="1"/>
      <c r="N262" s="1"/>
      <c r="O262" s="1"/>
      <c r="P262" s="1"/>
      <c r="Q262" s="1"/>
      <c r="R262" s="1"/>
      <c r="S262" s="1"/>
      <c r="T262" s="1"/>
      <c r="U262" s="1"/>
      <c r="V262" s="1"/>
      <c r="W262" s="1"/>
      <c r="X262" s="1"/>
      <c r="Y262" s="1"/>
      <c r="Z262" s="1"/>
      <c r="AA262" s="1"/>
    </row>
    <row r="263" spans="1:27" ht="15.75" customHeight="1">
      <c r="A263" s="105"/>
      <c r="B263" s="1"/>
      <c r="C263" s="1"/>
      <c r="D263" s="1"/>
      <c r="E263" s="1"/>
      <c r="F263" s="1"/>
      <c r="G263" s="1"/>
      <c r="H263" s="1"/>
      <c r="I263" s="1"/>
      <c r="J263" s="1"/>
      <c r="K263" s="1"/>
      <c r="L263" s="89"/>
      <c r="M263" s="1"/>
      <c r="N263" s="1"/>
      <c r="O263" s="1"/>
      <c r="P263" s="1"/>
      <c r="Q263" s="1"/>
      <c r="R263" s="1"/>
      <c r="S263" s="1"/>
      <c r="T263" s="1"/>
      <c r="U263" s="1"/>
      <c r="V263" s="1"/>
      <c r="W263" s="1"/>
      <c r="X263" s="1"/>
      <c r="Y263" s="1"/>
      <c r="Z263" s="1"/>
      <c r="AA263" s="1"/>
    </row>
    <row r="264" spans="1:27" ht="15.75" customHeight="1">
      <c r="A264" s="105"/>
      <c r="B264" s="1"/>
      <c r="C264" s="1"/>
      <c r="D264" s="1"/>
      <c r="E264" s="1"/>
      <c r="F264" s="1"/>
      <c r="G264" s="1"/>
      <c r="H264" s="1"/>
      <c r="I264" s="1"/>
      <c r="J264" s="1"/>
      <c r="K264" s="1"/>
      <c r="L264" s="89"/>
      <c r="M264" s="1"/>
      <c r="N264" s="1"/>
      <c r="O264" s="1"/>
      <c r="P264" s="1"/>
      <c r="Q264" s="1"/>
      <c r="R264" s="1"/>
      <c r="S264" s="1"/>
      <c r="T264" s="1"/>
      <c r="U264" s="1"/>
      <c r="V264" s="1"/>
      <c r="W264" s="1"/>
      <c r="X264" s="1"/>
      <c r="Y264" s="1"/>
      <c r="Z264" s="1"/>
      <c r="AA264" s="1"/>
    </row>
    <row r="265" spans="1:27" ht="15.75" customHeight="1">
      <c r="A265" s="105"/>
      <c r="B265" s="1"/>
      <c r="C265" s="1"/>
      <c r="D265" s="1"/>
      <c r="E265" s="1"/>
      <c r="F265" s="1"/>
      <c r="G265" s="1"/>
      <c r="H265" s="1"/>
      <c r="I265" s="1"/>
      <c r="J265" s="1"/>
      <c r="K265" s="1"/>
      <c r="L265" s="89"/>
      <c r="M265" s="1"/>
      <c r="N265" s="1"/>
      <c r="O265" s="1"/>
      <c r="P265" s="1"/>
      <c r="Q265" s="1"/>
      <c r="R265" s="1"/>
      <c r="S265" s="1"/>
      <c r="T265" s="1"/>
      <c r="U265" s="1"/>
      <c r="V265" s="1"/>
      <c r="W265" s="1"/>
      <c r="X265" s="1"/>
      <c r="Y265" s="1"/>
      <c r="Z265" s="1"/>
      <c r="AA265" s="1"/>
    </row>
    <row r="266" spans="1:27" ht="15.75" customHeight="1">
      <c r="A266" s="105"/>
      <c r="B266" s="1"/>
      <c r="C266" s="1"/>
      <c r="D266" s="1"/>
      <c r="E266" s="1"/>
      <c r="F266" s="1"/>
      <c r="G266" s="1"/>
      <c r="H266" s="1"/>
      <c r="I266" s="1"/>
      <c r="J266" s="1"/>
      <c r="K266" s="1"/>
      <c r="L266" s="89"/>
      <c r="M266" s="1"/>
      <c r="N266" s="1"/>
      <c r="O266" s="1"/>
      <c r="P266" s="1"/>
      <c r="Q266" s="1"/>
      <c r="R266" s="1"/>
      <c r="S266" s="1"/>
      <c r="T266" s="1"/>
      <c r="U266" s="1"/>
      <c r="V266" s="1"/>
      <c r="W266" s="1"/>
      <c r="X266" s="1"/>
      <c r="Y266" s="1"/>
      <c r="Z266" s="1"/>
      <c r="AA266" s="1"/>
    </row>
    <row r="267" spans="1:27" ht="15.75" customHeight="1">
      <c r="A267" s="105"/>
      <c r="B267" s="1"/>
      <c r="C267" s="1"/>
      <c r="D267" s="1"/>
      <c r="E267" s="1"/>
      <c r="F267" s="1"/>
      <c r="G267" s="1"/>
      <c r="H267" s="1"/>
      <c r="I267" s="1"/>
      <c r="J267" s="1"/>
      <c r="K267" s="1"/>
      <c r="L267" s="89"/>
      <c r="M267" s="1"/>
      <c r="N267" s="1"/>
      <c r="O267" s="1"/>
      <c r="P267" s="1"/>
      <c r="Q267" s="1"/>
      <c r="R267" s="1"/>
      <c r="S267" s="1"/>
      <c r="T267" s="1"/>
      <c r="U267" s="1"/>
      <c r="V267" s="1"/>
      <c r="W267" s="1"/>
      <c r="X267" s="1"/>
      <c r="Y267" s="1"/>
      <c r="Z267" s="1"/>
      <c r="AA267" s="1"/>
    </row>
    <row r="268" spans="1:27" ht="15.75" customHeight="1">
      <c r="A268" s="105"/>
      <c r="B268" s="1"/>
      <c r="C268" s="1"/>
      <c r="D268" s="1"/>
      <c r="E268" s="1"/>
      <c r="F268" s="1"/>
      <c r="G268" s="1"/>
      <c r="H268" s="1"/>
      <c r="I268" s="1"/>
      <c r="J268" s="1"/>
      <c r="K268" s="1"/>
      <c r="L268" s="89"/>
      <c r="M268" s="1"/>
      <c r="N268" s="1"/>
      <c r="O268" s="1"/>
      <c r="P268" s="1"/>
      <c r="Q268" s="1"/>
      <c r="R268" s="1"/>
      <c r="S268" s="1"/>
      <c r="T268" s="1"/>
      <c r="U268" s="1"/>
      <c r="V268" s="1"/>
      <c r="W268" s="1"/>
      <c r="X268" s="1"/>
      <c r="Y268" s="1"/>
      <c r="Z268" s="1"/>
      <c r="AA268" s="1"/>
    </row>
    <row r="269" spans="1:27" ht="15.75" customHeight="1">
      <c r="A269" s="105"/>
      <c r="B269" s="1"/>
      <c r="C269" s="1"/>
      <c r="D269" s="1"/>
      <c r="E269" s="1"/>
      <c r="F269" s="1"/>
      <c r="G269" s="1"/>
      <c r="H269" s="1"/>
      <c r="I269" s="1"/>
      <c r="J269" s="1"/>
      <c r="K269" s="1"/>
      <c r="L269" s="89"/>
      <c r="M269" s="1"/>
      <c r="N269" s="1"/>
      <c r="O269" s="1"/>
      <c r="P269" s="1"/>
      <c r="Q269" s="1"/>
      <c r="R269" s="1"/>
      <c r="S269" s="1"/>
      <c r="T269" s="1"/>
      <c r="U269" s="1"/>
      <c r="V269" s="1"/>
      <c r="W269" s="1"/>
      <c r="X269" s="1"/>
      <c r="Y269" s="1"/>
      <c r="Z269" s="1"/>
      <c r="AA269" s="1"/>
    </row>
    <row r="270" spans="1:27"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sheetData>
  <mergeCells count="7">
    <mergeCell ref="B32:J32"/>
    <mergeCell ref="M34:M36"/>
    <mergeCell ref="B1:J1"/>
    <mergeCell ref="M3:M7"/>
    <mergeCell ref="M8:M14"/>
    <mergeCell ref="B24:J24"/>
    <mergeCell ref="M26:M28"/>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N916"/>
  <sheetViews>
    <sheetView showGridLines="0" tabSelected="1" topLeftCell="B637" workbookViewId="0">
      <selection activeCell="AA600" sqref="AA600"/>
    </sheetView>
  </sheetViews>
  <sheetFormatPr baseColWidth="10" defaultColWidth="11.1640625" defaultRowHeight="15" customHeight="1"/>
  <cols>
    <col min="1" max="1" width="10.83203125" customWidth="1"/>
    <col min="2" max="2" width="56.33203125" customWidth="1"/>
    <col min="3" max="3" width="16.83203125" hidden="1" customWidth="1"/>
    <col min="4" max="4" width="6.6640625" hidden="1" customWidth="1"/>
    <col min="5" max="5" width="2.6640625" hidden="1" customWidth="1"/>
    <col min="6" max="6" width="3.33203125" hidden="1" customWidth="1"/>
    <col min="7" max="7" width="2.6640625" hidden="1" customWidth="1"/>
    <col min="8" max="8" width="11.5" customWidth="1"/>
    <col min="9" max="9" width="13.5" hidden="1" customWidth="1"/>
    <col min="10" max="10" width="2.6640625" hidden="1" customWidth="1"/>
    <col min="11" max="11" width="4.83203125" hidden="1" customWidth="1"/>
    <col min="12" max="12" width="2.6640625" hidden="1" customWidth="1"/>
    <col min="13" max="14" width="8.83203125" customWidth="1"/>
    <col min="15" max="15" width="10.5" customWidth="1"/>
    <col min="16" max="16" width="11.5" customWidth="1"/>
    <col min="17" max="17" width="10.1640625" style="533" customWidth="1"/>
    <col min="18" max="18" width="7.5" hidden="1" customWidth="1"/>
    <col min="19" max="19" width="9" customWidth="1"/>
    <col min="20" max="20" width="7" customWidth="1"/>
    <col min="21" max="21" width="8" customWidth="1"/>
    <col min="22" max="22" width="8.1640625" customWidth="1"/>
    <col min="23" max="23" width="7.83203125" customWidth="1"/>
    <col min="24" max="24" width="7.33203125" customWidth="1"/>
    <col min="25" max="25" width="7.83203125" customWidth="1"/>
    <col min="26" max="26" width="7.5" customWidth="1"/>
    <col min="27" max="28" width="7.83203125" customWidth="1"/>
    <col min="29" max="29" width="10.33203125" customWidth="1"/>
    <col min="30" max="30" width="7.5" hidden="1" customWidth="1"/>
    <col min="31" max="31" width="7.1640625" customWidth="1"/>
    <col min="32" max="32" width="9.6640625" customWidth="1"/>
    <col min="33" max="33" width="27.83203125" customWidth="1"/>
    <col min="34" max="34" width="14.33203125" customWidth="1"/>
    <col min="35" max="35" width="15.1640625" customWidth="1"/>
    <col min="36" max="36" width="18.5" customWidth="1"/>
    <col min="37" max="40" width="14.33203125" customWidth="1"/>
  </cols>
  <sheetData>
    <row r="1" spans="1:32" ht="23.25" customHeight="1">
      <c r="A1" s="10"/>
      <c r="B1" s="472" t="s">
        <v>71</v>
      </c>
      <c r="C1" s="455"/>
      <c r="D1" s="455"/>
      <c r="E1" s="455"/>
      <c r="F1" s="455"/>
      <c r="G1" s="455"/>
      <c r="H1" s="455"/>
      <c r="I1" s="455"/>
      <c r="J1" s="455"/>
      <c r="K1" s="455"/>
      <c r="L1" s="455"/>
      <c r="M1" s="455"/>
      <c r="N1" s="455"/>
      <c r="O1" s="455"/>
      <c r="P1" s="455"/>
      <c r="Q1" s="455"/>
      <c r="R1" s="455"/>
      <c r="S1" s="455"/>
      <c r="T1" s="455"/>
      <c r="U1" s="455"/>
      <c r="V1" s="455"/>
      <c r="W1" s="455"/>
      <c r="X1" s="455"/>
      <c r="Y1" s="455"/>
      <c r="Z1" s="455"/>
      <c r="AA1" s="455"/>
      <c r="AB1" s="455"/>
      <c r="AC1" s="2"/>
      <c r="AD1" s="2"/>
      <c r="AE1" s="3"/>
    </row>
    <row r="2" spans="1:32" ht="12" customHeight="1">
      <c r="A2" s="13"/>
      <c r="B2" s="7"/>
      <c r="C2" s="7"/>
      <c r="D2" s="7"/>
      <c r="E2" s="7"/>
      <c r="F2" s="7"/>
      <c r="G2" s="7"/>
      <c r="H2" s="1"/>
      <c r="I2" s="1"/>
      <c r="J2" s="1"/>
      <c r="K2" s="1"/>
      <c r="L2" s="1"/>
      <c r="M2" s="473" t="s">
        <v>72</v>
      </c>
      <c r="N2" s="455"/>
      <c r="O2" s="455"/>
      <c r="P2" s="455"/>
      <c r="Q2" s="455"/>
      <c r="R2" s="455"/>
      <c r="S2" s="455"/>
      <c r="T2" s="455"/>
      <c r="U2" s="1"/>
      <c r="V2" s="1"/>
      <c r="W2" s="7"/>
      <c r="X2" s="7"/>
      <c r="Y2" s="7"/>
      <c r="Z2" s="7"/>
      <c r="AA2" s="7"/>
      <c r="AB2" s="7"/>
      <c r="AC2" s="8"/>
      <c r="AD2" s="8"/>
      <c r="AE2" s="9"/>
    </row>
    <row r="3" spans="1:32" ht="12" customHeight="1">
      <c r="A3" s="13"/>
      <c r="B3" s="8"/>
      <c r="C3" s="8"/>
      <c r="D3" s="8"/>
      <c r="E3" s="8"/>
      <c r="F3" s="8"/>
      <c r="G3" s="8"/>
      <c r="H3" s="8"/>
      <c r="I3" s="8"/>
      <c r="J3" s="8"/>
      <c r="K3" s="8"/>
      <c r="L3" s="8"/>
      <c r="M3" s="8"/>
      <c r="N3" s="7"/>
      <c r="O3" s="7"/>
      <c r="P3" s="7"/>
      <c r="Q3" s="511"/>
      <c r="R3" s="7"/>
      <c r="S3" s="7"/>
      <c r="T3" s="7"/>
      <c r="U3" s="1"/>
      <c r="V3" s="1"/>
      <c r="W3" s="7"/>
      <c r="X3" s="7"/>
      <c r="Y3" s="7"/>
      <c r="Z3" s="7"/>
      <c r="AA3" s="7"/>
      <c r="AB3" s="7"/>
      <c r="AC3" s="8"/>
      <c r="AD3" s="8"/>
      <c r="AE3" s="9"/>
    </row>
    <row r="4" spans="1:32" ht="12" customHeight="1">
      <c r="A4" s="13"/>
      <c r="B4" s="13"/>
      <c r="C4" s="10"/>
      <c r="D4" s="10"/>
      <c r="E4" s="10"/>
      <c r="F4" s="10"/>
      <c r="G4" s="10"/>
      <c r="H4" s="10"/>
      <c r="I4" s="10"/>
      <c r="J4" s="10"/>
      <c r="K4" s="10"/>
      <c r="L4" s="10"/>
      <c r="M4" s="10"/>
      <c r="N4" s="13"/>
      <c r="O4" s="13"/>
      <c r="P4" s="106" t="s">
        <v>73</v>
      </c>
      <c r="Q4" s="512" t="s">
        <v>74</v>
      </c>
      <c r="R4" s="107"/>
      <c r="S4" s="107"/>
      <c r="T4" s="13"/>
      <c r="U4" s="10"/>
      <c r="V4" s="10"/>
      <c r="W4" s="10"/>
      <c r="X4" s="10"/>
      <c r="Y4" s="10"/>
      <c r="Z4" s="10"/>
      <c r="AA4" s="10"/>
      <c r="AB4" s="10"/>
      <c r="AC4" s="10"/>
      <c r="AD4" s="10"/>
      <c r="AE4" s="11"/>
    </row>
    <row r="5" spans="1:32" ht="12.75" customHeight="1">
      <c r="A5" s="13"/>
      <c r="B5" s="13"/>
      <c r="C5" s="10"/>
      <c r="D5" s="10"/>
      <c r="E5" s="10"/>
      <c r="F5" s="10"/>
      <c r="G5" s="10"/>
      <c r="H5" s="10"/>
      <c r="I5" s="10"/>
      <c r="J5" s="10"/>
      <c r="K5" s="10"/>
      <c r="L5" s="10"/>
      <c r="M5" s="10"/>
      <c r="N5" s="13"/>
      <c r="O5" s="13"/>
      <c r="P5" s="13"/>
      <c r="Q5" s="512" t="s">
        <v>75</v>
      </c>
      <c r="R5" s="107"/>
      <c r="S5" s="107"/>
      <c r="T5" s="13"/>
      <c r="U5" s="10"/>
      <c r="V5" s="10"/>
      <c r="W5" s="10"/>
      <c r="X5" s="12"/>
      <c r="Y5" s="13"/>
      <c r="Z5" s="13"/>
      <c r="AA5" s="10"/>
      <c r="AB5" s="10"/>
      <c r="AC5" s="10"/>
      <c r="AD5" s="10"/>
      <c r="AE5" s="11"/>
    </row>
    <row r="6" spans="1:32" ht="12.75" customHeight="1">
      <c r="A6" s="13"/>
      <c r="B6" s="13"/>
      <c r="C6" s="10"/>
      <c r="D6" s="10"/>
      <c r="E6" s="10"/>
      <c r="F6" s="10"/>
      <c r="G6" s="10"/>
      <c r="H6" s="10"/>
      <c r="I6" s="10"/>
      <c r="J6" s="10"/>
      <c r="K6" s="10"/>
      <c r="L6" s="10"/>
      <c r="M6" s="10"/>
      <c r="N6" s="13"/>
      <c r="O6" s="13"/>
      <c r="P6" s="13"/>
      <c r="Q6" s="512" t="s">
        <v>76</v>
      </c>
      <c r="R6" s="107"/>
      <c r="S6" s="107"/>
      <c r="T6" s="13"/>
      <c r="U6" s="10"/>
      <c r="V6" s="106" t="s">
        <v>77</v>
      </c>
      <c r="W6" s="108" t="s">
        <v>78</v>
      </c>
      <c r="X6" s="14"/>
      <c r="Y6" s="10"/>
      <c r="Z6" s="10"/>
      <c r="AA6" s="10"/>
      <c r="AB6" s="10"/>
      <c r="AC6" s="10"/>
      <c r="AD6" s="10"/>
      <c r="AE6" s="11"/>
    </row>
    <row r="7" spans="1:32" ht="12.75" customHeight="1">
      <c r="A7" s="13"/>
      <c r="B7" s="13"/>
      <c r="C7" s="10"/>
      <c r="D7" s="10"/>
      <c r="E7" s="10"/>
      <c r="F7" s="10"/>
      <c r="G7" s="10"/>
      <c r="H7" s="10"/>
      <c r="I7" s="10"/>
      <c r="J7" s="10"/>
      <c r="K7" s="10"/>
      <c r="L7" s="10"/>
      <c r="M7" s="10"/>
      <c r="N7" s="13"/>
      <c r="O7" s="13"/>
      <c r="P7" s="13"/>
      <c r="Q7" s="513" t="s">
        <v>19</v>
      </c>
      <c r="R7" s="107"/>
      <c r="S7" s="107"/>
      <c r="T7" s="13"/>
      <c r="U7" s="10"/>
      <c r="V7" s="474" t="s">
        <v>79</v>
      </c>
      <c r="W7" s="476" t="s">
        <v>80</v>
      </c>
      <c r="X7" s="15"/>
      <c r="Y7" s="15"/>
      <c r="Z7" s="15"/>
      <c r="AA7" s="15"/>
      <c r="AB7" s="15"/>
      <c r="AC7" s="15"/>
      <c r="AD7" s="15"/>
      <c r="AE7" s="11"/>
    </row>
    <row r="8" spans="1:32" ht="12.75" customHeight="1">
      <c r="A8" s="13"/>
      <c r="B8" s="13"/>
      <c r="C8" s="13"/>
      <c r="D8" s="13"/>
      <c r="E8" s="13"/>
      <c r="F8" s="13"/>
      <c r="G8" s="13"/>
      <c r="H8" s="13"/>
      <c r="I8" s="13"/>
      <c r="J8" s="13"/>
      <c r="K8" s="13"/>
      <c r="L8" s="13"/>
      <c r="M8" s="13"/>
      <c r="N8" s="13"/>
      <c r="O8" s="13"/>
      <c r="P8" s="13"/>
      <c r="Q8" s="512"/>
      <c r="R8" s="107"/>
      <c r="S8" s="107"/>
      <c r="T8" s="13"/>
      <c r="U8" s="10"/>
      <c r="V8" s="475"/>
      <c r="W8" s="477"/>
      <c r="X8" s="15"/>
      <c r="Y8" s="15"/>
      <c r="Z8" s="15"/>
      <c r="AA8" s="15"/>
      <c r="AB8" s="15"/>
      <c r="AC8" s="15"/>
      <c r="AD8" s="15"/>
      <c r="AE8" s="11"/>
    </row>
    <row r="9" spans="1:32" ht="12.75" customHeight="1">
      <c r="A9" s="106" t="s">
        <v>81</v>
      </c>
      <c r="B9" s="13"/>
      <c r="C9" s="13"/>
      <c r="D9" s="13"/>
      <c r="E9" s="13"/>
      <c r="F9" s="13"/>
      <c r="G9" s="13"/>
      <c r="H9" s="13"/>
      <c r="I9" s="13"/>
      <c r="J9" s="13"/>
      <c r="K9" s="13"/>
      <c r="L9" s="13"/>
      <c r="M9" s="13"/>
      <c r="N9" s="13"/>
      <c r="O9" s="13"/>
      <c r="P9" s="106" t="s">
        <v>82</v>
      </c>
      <c r="Q9" s="512" t="s">
        <v>83</v>
      </c>
      <c r="R9" s="107"/>
      <c r="S9" s="107"/>
      <c r="T9" s="478" t="s">
        <v>84</v>
      </c>
      <c r="U9" s="461"/>
      <c r="V9" s="479"/>
      <c r="W9" s="455"/>
      <c r="X9" s="15"/>
      <c r="Y9" s="15"/>
      <c r="Z9" s="15"/>
      <c r="AA9" s="10"/>
      <c r="AB9" s="10"/>
      <c r="AC9" s="10"/>
      <c r="AD9" s="10"/>
      <c r="AE9" s="11"/>
    </row>
    <row r="10" spans="1:32" ht="12.75" customHeight="1">
      <c r="A10" s="110" t="s">
        <v>85</v>
      </c>
      <c r="B10" s="13"/>
      <c r="C10" s="13"/>
      <c r="D10" s="13"/>
      <c r="E10" s="13"/>
      <c r="F10" s="13"/>
      <c r="G10" s="13"/>
      <c r="H10" s="13"/>
      <c r="I10" s="13"/>
      <c r="J10" s="13"/>
      <c r="K10" s="13"/>
      <c r="L10" s="13"/>
      <c r="M10" s="1"/>
      <c r="N10" s="1"/>
      <c r="O10" s="10"/>
      <c r="P10" s="13"/>
      <c r="Q10" s="512"/>
      <c r="R10" s="107"/>
      <c r="S10" s="107"/>
      <c r="T10" s="13"/>
      <c r="U10" s="10"/>
      <c r="V10" s="10"/>
      <c r="W10" s="10"/>
      <c r="X10" s="15"/>
      <c r="Y10" s="15"/>
      <c r="Z10" s="15"/>
      <c r="AA10" s="15"/>
      <c r="AB10" s="15"/>
      <c r="AC10" s="10"/>
      <c r="AD10" s="10"/>
      <c r="AE10" s="11"/>
    </row>
    <row r="11" spans="1:32" ht="12.75" customHeight="1">
      <c r="A11" s="110" t="s">
        <v>86</v>
      </c>
      <c r="B11" s="13"/>
      <c r="C11" s="13"/>
      <c r="D11" s="13"/>
      <c r="E11" s="13"/>
      <c r="F11" s="13"/>
      <c r="G11" s="13"/>
      <c r="H11" s="13"/>
      <c r="I11" s="13"/>
      <c r="J11" s="13"/>
      <c r="K11" s="13"/>
      <c r="L11" s="13"/>
      <c r="M11" s="1"/>
      <c r="N11" s="1"/>
      <c r="O11" s="10"/>
      <c r="P11" s="106" t="s">
        <v>87</v>
      </c>
      <c r="Q11" s="514" t="s">
        <v>88</v>
      </c>
      <c r="R11" s="111"/>
      <c r="S11" s="1"/>
      <c r="W11" s="10"/>
      <c r="X11" s="13"/>
      <c r="Y11" s="13"/>
      <c r="Z11" s="13"/>
      <c r="AA11" s="10"/>
      <c r="AB11" s="10"/>
      <c r="AC11" s="10"/>
      <c r="AD11" s="10"/>
      <c r="AE11" s="11"/>
    </row>
    <row r="12" spans="1:32" ht="12.75" customHeight="1">
      <c r="A12" s="110" t="s">
        <v>89</v>
      </c>
      <c r="B12" s="13"/>
      <c r="C12" s="13"/>
      <c r="D12" s="13"/>
      <c r="E12" s="13"/>
      <c r="F12" s="13"/>
      <c r="G12" s="13"/>
      <c r="H12" s="13"/>
      <c r="I12" s="13"/>
      <c r="J12" s="13"/>
      <c r="K12" s="13"/>
      <c r="L12" s="13"/>
      <c r="M12" s="1"/>
      <c r="N12" s="1"/>
      <c r="O12" s="10"/>
      <c r="P12" s="13"/>
      <c r="Q12" s="515"/>
      <c r="R12" s="13"/>
      <c r="S12" s="13"/>
      <c r="T12" s="13"/>
      <c r="U12" s="10"/>
      <c r="V12" s="10"/>
      <c r="W12" s="10"/>
      <c r="X12" s="112"/>
      <c r="Y12" s="13"/>
      <c r="Z12" s="13"/>
      <c r="AA12" s="10"/>
      <c r="AB12" s="10"/>
      <c r="AC12" s="10"/>
      <c r="AD12" s="10"/>
      <c r="AE12" s="11"/>
    </row>
    <row r="13" spans="1:32" ht="12.75" customHeight="1">
      <c r="A13" s="110" t="s">
        <v>90</v>
      </c>
      <c r="B13" s="13"/>
      <c r="C13" s="13"/>
      <c r="D13" s="13"/>
      <c r="E13" s="13"/>
      <c r="F13" s="13"/>
      <c r="G13" s="13"/>
      <c r="H13" s="13"/>
      <c r="I13" s="13"/>
      <c r="J13" s="13"/>
      <c r="K13" s="13"/>
      <c r="L13" s="13"/>
      <c r="M13" s="1"/>
      <c r="N13" s="1"/>
      <c r="O13" s="10"/>
      <c r="P13" s="106" t="s">
        <v>91</v>
      </c>
      <c r="Q13" s="480" t="s">
        <v>92</v>
      </c>
      <c r="R13" s="481"/>
      <c r="S13" s="481"/>
      <c r="T13" s="481"/>
      <c r="U13" s="481"/>
      <c r="V13" s="481"/>
      <c r="W13" s="482"/>
      <c r="X13" s="10" t="s">
        <v>93</v>
      </c>
      <c r="Y13" s="13"/>
      <c r="Z13" s="10"/>
      <c r="AA13" s="113"/>
      <c r="AB13" s="10"/>
      <c r="AC13" s="10"/>
      <c r="AD13" s="10"/>
      <c r="AE13" s="11"/>
    </row>
    <row r="14" spans="1:32" ht="12.75" customHeight="1">
      <c r="A14" s="110" t="s">
        <v>90</v>
      </c>
      <c r="B14" s="13"/>
      <c r="C14" s="13"/>
      <c r="D14" s="13"/>
      <c r="E14" s="13"/>
      <c r="F14" s="13"/>
      <c r="G14" s="13"/>
      <c r="H14" s="13"/>
      <c r="I14" s="13"/>
      <c r="J14" s="13"/>
      <c r="K14" s="13"/>
      <c r="L14" s="13"/>
      <c r="M14" s="1"/>
      <c r="N14" s="1"/>
      <c r="O14" s="10"/>
      <c r="P14" s="13"/>
      <c r="Q14" s="483"/>
      <c r="R14" s="455"/>
      <c r="S14" s="455"/>
      <c r="T14" s="455"/>
      <c r="U14" s="455"/>
      <c r="V14" s="455"/>
      <c r="W14" s="484"/>
      <c r="X14" s="10"/>
      <c r="Y14" s="10"/>
      <c r="Z14" s="10"/>
      <c r="AA14" s="10"/>
      <c r="AB14" s="10"/>
      <c r="AC14" s="10"/>
      <c r="AD14" s="10"/>
      <c r="AE14" s="11"/>
    </row>
    <row r="15" spans="1:32" ht="12.75" customHeight="1">
      <c r="A15" s="110" t="s">
        <v>94</v>
      </c>
      <c r="B15" s="13"/>
      <c r="C15" s="13"/>
      <c r="D15" s="13"/>
      <c r="E15" s="13"/>
      <c r="F15" s="13"/>
      <c r="G15" s="13"/>
      <c r="H15" s="13"/>
      <c r="I15" s="13"/>
      <c r="J15" s="13"/>
      <c r="K15" s="13"/>
      <c r="L15" s="13"/>
      <c r="M15" s="1"/>
      <c r="N15" s="1"/>
      <c r="O15" s="10"/>
      <c r="P15" s="13"/>
      <c r="Q15" s="483"/>
      <c r="R15" s="455"/>
      <c r="S15" s="455"/>
      <c r="T15" s="455"/>
      <c r="U15" s="455"/>
      <c r="V15" s="455"/>
      <c r="W15" s="484"/>
      <c r="X15" s="10" t="s">
        <v>95</v>
      </c>
      <c r="Y15" s="10"/>
      <c r="Z15" s="10"/>
      <c r="AA15" s="10"/>
      <c r="AB15" s="10"/>
      <c r="AC15" s="10"/>
      <c r="AD15" s="10"/>
      <c r="AE15" s="11"/>
      <c r="AF15" s="27"/>
    </row>
    <row r="16" spans="1:32" ht="12.75" customHeight="1">
      <c r="A16" s="110" t="s">
        <v>96</v>
      </c>
      <c r="B16" s="13"/>
      <c r="C16" s="13"/>
      <c r="D16" s="13"/>
      <c r="E16" s="13"/>
      <c r="F16" s="13"/>
      <c r="G16" s="13"/>
      <c r="H16" s="13"/>
      <c r="I16" s="13"/>
      <c r="J16" s="13"/>
      <c r="K16" s="13"/>
      <c r="L16" s="13"/>
      <c r="M16" s="1"/>
      <c r="N16" s="1"/>
      <c r="O16" s="10"/>
      <c r="P16" s="13"/>
      <c r="Q16" s="483"/>
      <c r="R16" s="455"/>
      <c r="S16" s="455"/>
      <c r="T16" s="455"/>
      <c r="U16" s="455"/>
      <c r="V16" s="455"/>
      <c r="W16" s="484"/>
      <c r="X16" s="10"/>
      <c r="Y16" s="13"/>
      <c r="Z16" s="13"/>
      <c r="AA16" s="10"/>
      <c r="AB16" s="10"/>
      <c r="AC16" s="10"/>
      <c r="AD16" s="10"/>
      <c r="AE16" s="11"/>
      <c r="AF16" s="27"/>
    </row>
    <row r="17" spans="1:40" ht="12.75" customHeight="1">
      <c r="A17" s="110" t="s">
        <v>97</v>
      </c>
      <c r="B17" s="114"/>
      <c r="C17" s="114"/>
      <c r="D17" s="114"/>
      <c r="E17" s="114"/>
      <c r="F17" s="114"/>
      <c r="G17" s="114"/>
      <c r="H17" s="114"/>
      <c r="I17" s="114"/>
      <c r="J17" s="114"/>
      <c r="K17" s="114"/>
      <c r="L17" s="114"/>
      <c r="M17" s="1"/>
      <c r="N17" s="1"/>
      <c r="O17" s="10"/>
      <c r="P17" s="13" t="s">
        <v>98</v>
      </c>
      <c r="Q17" s="483"/>
      <c r="R17" s="455"/>
      <c r="S17" s="455"/>
      <c r="T17" s="455"/>
      <c r="U17" s="455"/>
      <c r="V17" s="455"/>
      <c r="W17" s="484"/>
      <c r="X17" s="10" t="s">
        <v>99</v>
      </c>
      <c r="Y17" s="10"/>
      <c r="Z17" s="10"/>
      <c r="AA17" s="10"/>
      <c r="AB17" s="10"/>
      <c r="AC17" s="10"/>
      <c r="AD17" s="10"/>
      <c r="AE17" s="11"/>
      <c r="AF17" s="27"/>
    </row>
    <row r="18" spans="1:40" ht="12.75" customHeight="1">
      <c r="A18" s="110" t="s">
        <v>100</v>
      </c>
      <c r="B18" s="13"/>
      <c r="C18" s="13"/>
      <c r="D18" s="13"/>
      <c r="E18" s="13"/>
      <c r="F18" s="13"/>
      <c r="G18" s="13"/>
      <c r="H18" s="13"/>
      <c r="I18" s="13"/>
      <c r="J18" s="13"/>
      <c r="K18" s="13"/>
      <c r="L18" s="13"/>
      <c r="M18" s="1"/>
      <c r="N18" s="1"/>
      <c r="O18" s="10"/>
      <c r="P18" s="13"/>
      <c r="Q18" s="483"/>
      <c r="R18" s="455"/>
      <c r="S18" s="455"/>
      <c r="T18" s="455"/>
      <c r="U18" s="455"/>
      <c r="V18" s="455"/>
      <c r="W18" s="484"/>
      <c r="X18" s="10"/>
      <c r="Y18" s="10"/>
      <c r="Z18" s="10"/>
      <c r="AA18" s="10"/>
      <c r="AB18" s="10"/>
      <c r="AC18" s="10"/>
      <c r="AD18" s="10"/>
      <c r="AE18" s="11"/>
      <c r="AF18" s="27"/>
    </row>
    <row r="19" spans="1:40" ht="12.75" customHeight="1">
      <c r="A19" s="110" t="s">
        <v>101</v>
      </c>
      <c r="B19" s="115"/>
      <c r="C19" s="115"/>
      <c r="D19" s="115"/>
      <c r="E19" s="115"/>
      <c r="F19" s="115"/>
      <c r="G19" s="115"/>
      <c r="H19" s="115"/>
      <c r="I19" s="115"/>
      <c r="J19" s="115"/>
      <c r="K19" s="115"/>
      <c r="L19" s="115"/>
      <c r="M19" s="115"/>
      <c r="N19" s="10"/>
      <c r="O19" s="10"/>
      <c r="P19" s="13"/>
      <c r="Q19" s="483"/>
      <c r="R19" s="455"/>
      <c r="S19" s="455"/>
      <c r="T19" s="455"/>
      <c r="U19" s="455"/>
      <c r="V19" s="455"/>
      <c r="W19" s="484"/>
      <c r="X19" s="10" t="s">
        <v>102</v>
      </c>
      <c r="Y19" s="10"/>
      <c r="Z19" s="10"/>
      <c r="AA19" s="10"/>
      <c r="AB19" s="10"/>
      <c r="AC19" s="10"/>
      <c r="AD19" s="10"/>
      <c r="AE19" s="11"/>
      <c r="AF19" s="27"/>
      <c r="AK19" s="1"/>
      <c r="AL19" s="1"/>
      <c r="AM19" s="1"/>
      <c r="AN19" s="1"/>
    </row>
    <row r="20" spans="1:40" ht="12.75" customHeight="1">
      <c r="A20" s="110"/>
      <c r="B20" s="87"/>
      <c r="C20" s="87"/>
      <c r="D20" s="87"/>
      <c r="E20" s="87"/>
      <c r="F20" s="87"/>
      <c r="G20" s="87"/>
      <c r="H20" s="87"/>
      <c r="I20" s="87"/>
      <c r="J20" s="87"/>
      <c r="K20" s="87"/>
      <c r="L20" s="87"/>
      <c r="M20" s="87"/>
      <c r="N20" s="10"/>
      <c r="O20" s="10"/>
      <c r="P20" s="10"/>
      <c r="Q20" s="485"/>
      <c r="R20" s="486"/>
      <c r="S20" s="486"/>
      <c r="T20" s="486"/>
      <c r="U20" s="486"/>
      <c r="V20" s="486"/>
      <c r="W20" s="487"/>
      <c r="X20" s="10" t="s">
        <v>103</v>
      </c>
      <c r="Y20" s="10"/>
      <c r="Z20" s="10"/>
      <c r="AA20" s="10"/>
      <c r="AB20" s="10"/>
      <c r="AC20" s="10"/>
      <c r="AD20" s="10"/>
      <c r="AE20" s="11"/>
      <c r="AF20" s="27"/>
      <c r="AK20" s="1"/>
      <c r="AL20" s="1"/>
      <c r="AM20" s="1"/>
      <c r="AN20" s="1"/>
    </row>
    <row r="21" spans="1:40" ht="12.75" customHeight="1">
      <c r="A21" s="10"/>
      <c r="B21" s="10"/>
      <c r="C21" s="10"/>
      <c r="D21" s="10"/>
      <c r="E21" s="10"/>
      <c r="F21" s="10"/>
      <c r="G21" s="10"/>
      <c r="H21" s="10"/>
      <c r="I21" s="10"/>
      <c r="J21" s="10"/>
      <c r="K21" s="10"/>
      <c r="L21" s="10"/>
      <c r="M21" s="10"/>
      <c r="N21" s="10"/>
      <c r="O21" s="10"/>
      <c r="P21" s="10"/>
      <c r="Q21" s="516"/>
      <c r="R21" s="14"/>
      <c r="S21" s="14"/>
      <c r="T21" s="14"/>
      <c r="U21" s="14"/>
      <c r="V21" s="14"/>
      <c r="W21" s="14"/>
      <c r="X21" s="1"/>
      <c r="Y21" s="1"/>
      <c r="Z21" s="1"/>
      <c r="AA21" s="1"/>
      <c r="AB21" s="1"/>
      <c r="AC21" s="10"/>
      <c r="AD21" s="10"/>
      <c r="AE21" s="11"/>
      <c r="AF21" s="27"/>
      <c r="AK21" s="1"/>
      <c r="AL21" s="1"/>
      <c r="AM21" s="1"/>
      <c r="AN21" s="1"/>
    </row>
    <row r="22" spans="1:40" ht="12.75" customHeight="1">
      <c r="A22" s="10"/>
      <c r="B22" s="10"/>
      <c r="C22" s="10"/>
      <c r="D22" s="10"/>
      <c r="E22" s="10"/>
      <c r="F22" s="10"/>
      <c r="G22" s="10"/>
      <c r="H22" s="10"/>
      <c r="I22" s="10"/>
      <c r="J22" s="10"/>
      <c r="K22" s="10"/>
      <c r="L22" s="10"/>
      <c r="M22" s="10"/>
      <c r="N22" s="116" t="s">
        <v>104</v>
      </c>
      <c r="O22" s="467"/>
      <c r="P22" s="468"/>
      <c r="Q22" s="468"/>
      <c r="R22" s="468"/>
      <c r="S22" s="469"/>
      <c r="T22" s="10"/>
      <c r="U22" s="10"/>
      <c r="V22" s="10"/>
      <c r="W22" s="10"/>
      <c r="X22" s="10"/>
      <c r="Y22" s="10"/>
      <c r="Z22" s="10"/>
      <c r="AA22" s="10"/>
      <c r="AB22" s="10"/>
      <c r="AC22" s="10"/>
      <c r="AD22" s="10"/>
      <c r="AE22" s="11"/>
      <c r="AF22" s="27"/>
      <c r="AK22" s="1"/>
      <c r="AL22" s="1"/>
      <c r="AM22" s="1"/>
      <c r="AN22" s="1"/>
    </row>
    <row r="23" spans="1:40" ht="12.75" customHeight="1">
      <c r="A23" s="10"/>
      <c r="B23" s="10"/>
      <c r="C23" s="10"/>
      <c r="D23" s="10"/>
      <c r="E23" s="10"/>
      <c r="F23" s="10"/>
      <c r="G23" s="10"/>
      <c r="H23" s="10"/>
      <c r="I23" s="10"/>
      <c r="J23" s="10"/>
      <c r="K23" s="10"/>
      <c r="L23" s="10"/>
      <c r="M23" s="10"/>
      <c r="N23" s="116" t="s">
        <v>105</v>
      </c>
      <c r="O23" s="467"/>
      <c r="P23" s="468"/>
      <c r="Q23" s="468"/>
      <c r="R23" s="468"/>
      <c r="S23" s="469"/>
      <c r="T23" s="10"/>
      <c r="U23" s="10"/>
      <c r="V23" s="10"/>
      <c r="W23" s="10"/>
      <c r="X23" s="10"/>
      <c r="Y23" s="10"/>
      <c r="Z23" s="10"/>
      <c r="AA23" s="10"/>
      <c r="AB23" s="10"/>
      <c r="AC23" s="10"/>
      <c r="AD23" s="10"/>
      <c r="AE23" s="11"/>
      <c r="AF23" s="27"/>
      <c r="AK23" s="1"/>
      <c r="AL23" s="1"/>
      <c r="AM23" s="1"/>
      <c r="AN23" s="1"/>
    </row>
    <row r="24" spans="1:40" ht="12.75" customHeight="1">
      <c r="A24" s="10"/>
      <c r="B24" s="10"/>
      <c r="C24" s="10"/>
      <c r="D24" s="10"/>
      <c r="E24" s="10"/>
      <c r="F24" s="10"/>
      <c r="G24" s="10"/>
      <c r="H24" s="10"/>
      <c r="I24" s="10"/>
      <c r="J24" s="10"/>
      <c r="K24" s="10"/>
      <c r="L24" s="10"/>
      <c r="M24" s="10"/>
      <c r="N24" s="10"/>
      <c r="O24" s="10"/>
      <c r="P24" s="10"/>
      <c r="Q24" s="514"/>
      <c r="R24" s="10"/>
      <c r="S24" s="10"/>
      <c r="T24" s="10"/>
      <c r="U24" s="10"/>
      <c r="V24" s="10"/>
      <c r="W24" s="10"/>
      <c r="X24" s="10"/>
      <c r="Y24" s="10"/>
      <c r="Z24" s="10"/>
      <c r="AA24" s="10"/>
      <c r="AB24" s="10"/>
      <c r="AC24" s="10"/>
      <c r="AD24" s="10"/>
      <c r="AE24" s="11"/>
      <c r="AF24" s="27"/>
      <c r="AK24" s="1"/>
      <c r="AL24" s="1"/>
      <c r="AM24" s="1"/>
      <c r="AN24" s="1"/>
    </row>
    <row r="25" spans="1:40" ht="12.75" customHeight="1">
      <c r="A25" s="110"/>
      <c r="B25" s="87"/>
      <c r="C25" s="87"/>
      <c r="D25" s="87"/>
      <c r="E25" s="87"/>
      <c r="F25" s="87"/>
      <c r="G25" s="87"/>
      <c r="H25" s="87"/>
      <c r="I25" s="87"/>
      <c r="J25" s="87"/>
      <c r="K25" s="87"/>
      <c r="L25" s="87"/>
      <c r="M25" s="87"/>
      <c r="N25" s="10"/>
      <c r="O25" s="10"/>
      <c r="P25" s="10"/>
      <c r="Q25" s="514"/>
      <c r="R25" s="10"/>
      <c r="S25" s="10"/>
      <c r="T25" s="10"/>
      <c r="U25" s="10"/>
      <c r="V25" s="10"/>
      <c r="W25" s="10"/>
      <c r="X25" s="10"/>
      <c r="Y25" s="10"/>
      <c r="Z25" s="10"/>
      <c r="AA25" s="10"/>
      <c r="AB25" s="10"/>
      <c r="AC25" s="10"/>
      <c r="AD25" s="10"/>
      <c r="AE25" s="11"/>
      <c r="AF25" s="27"/>
      <c r="AK25" s="1"/>
      <c r="AL25" s="1"/>
      <c r="AM25" s="1"/>
      <c r="AN25" s="1"/>
    </row>
    <row r="26" spans="1:40" ht="12.75" customHeight="1">
      <c r="A26" s="110"/>
      <c r="B26" s="470"/>
      <c r="C26" s="455"/>
      <c r="D26" s="455"/>
      <c r="E26" s="455"/>
      <c r="F26" s="455"/>
      <c r="G26" s="455"/>
      <c r="H26" s="455"/>
      <c r="I26" s="455"/>
      <c r="J26" s="455"/>
      <c r="K26" s="455"/>
      <c r="L26" s="455"/>
      <c r="M26" s="455"/>
      <c r="N26" s="455"/>
      <c r="O26" s="455"/>
      <c r="P26" s="455"/>
      <c r="Q26" s="455"/>
      <c r="R26" s="455"/>
      <c r="S26" s="455"/>
      <c r="T26" s="455"/>
      <c r="U26" s="455"/>
      <c r="V26" s="455"/>
      <c r="W26" s="455"/>
      <c r="X26" s="455"/>
      <c r="Y26" s="455"/>
      <c r="Z26" s="455"/>
      <c r="AA26" s="455"/>
      <c r="AB26" s="455"/>
      <c r="AC26" s="455"/>
      <c r="AD26" s="10"/>
      <c r="AE26" s="11"/>
      <c r="AF26" s="27"/>
      <c r="AK26" s="1"/>
      <c r="AL26" s="1"/>
      <c r="AM26" s="1"/>
      <c r="AN26" s="1"/>
    </row>
    <row r="27" spans="1:40" ht="12.75" customHeight="1">
      <c r="A27" s="110"/>
      <c r="B27" s="455"/>
      <c r="C27" s="455"/>
      <c r="D27" s="455"/>
      <c r="E27" s="455"/>
      <c r="F27" s="455"/>
      <c r="G27" s="455"/>
      <c r="H27" s="455"/>
      <c r="I27" s="455"/>
      <c r="J27" s="455"/>
      <c r="K27" s="455"/>
      <c r="L27" s="455"/>
      <c r="M27" s="455"/>
      <c r="N27" s="455"/>
      <c r="O27" s="455"/>
      <c r="P27" s="455"/>
      <c r="Q27" s="455"/>
      <c r="R27" s="455"/>
      <c r="S27" s="455"/>
      <c r="T27" s="455"/>
      <c r="U27" s="455"/>
      <c r="V27" s="455"/>
      <c r="W27" s="455"/>
      <c r="X27" s="455"/>
      <c r="Y27" s="455"/>
      <c r="Z27" s="455"/>
      <c r="AA27" s="455"/>
      <c r="AB27" s="455"/>
      <c r="AC27" s="455"/>
      <c r="AD27" s="10"/>
      <c r="AE27" s="11"/>
      <c r="AF27" s="27"/>
      <c r="AK27" s="1"/>
      <c r="AL27" s="1"/>
      <c r="AM27" s="1"/>
      <c r="AN27" s="1"/>
    </row>
    <row r="28" spans="1:40" ht="12.75" customHeight="1">
      <c r="A28" s="110"/>
      <c r="B28" s="455"/>
      <c r="C28" s="455"/>
      <c r="D28" s="455"/>
      <c r="E28" s="455"/>
      <c r="F28" s="455"/>
      <c r="G28" s="455"/>
      <c r="H28" s="455"/>
      <c r="I28" s="455"/>
      <c r="J28" s="455"/>
      <c r="K28" s="455"/>
      <c r="L28" s="455"/>
      <c r="M28" s="455"/>
      <c r="N28" s="455"/>
      <c r="O28" s="455"/>
      <c r="P28" s="455"/>
      <c r="Q28" s="455"/>
      <c r="R28" s="455"/>
      <c r="S28" s="455"/>
      <c r="T28" s="455"/>
      <c r="U28" s="455"/>
      <c r="V28" s="455"/>
      <c r="W28" s="455"/>
      <c r="X28" s="455"/>
      <c r="Y28" s="455"/>
      <c r="Z28" s="455"/>
      <c r="AA28" s="455"/>
      <c r="AB28" s="455"/>
      <c r="AC28" s="455"/>
      <c r="AD28" s="10"/>
      <c r="AE28" s="11"/>
      <c r="AF28" s="27"/>
      <c r="AK28" s="1"/>
      <c r="AL28" s="1"/>
      <c r="AM28" s="1"/>
      <c r="AN28" s="1"/>
    </row>
    <row r="29" spans="1:40" ht="12.75" customHeight="1">
      <c r="A29" s="110"/>
      <c r="B29" s="455"/>
      <c r="C29" s="455"/>
      <c r="D29" s="455"/>
      <c r="E29" s="455"/>
      <c r="F29" s="455"/>
      <c r="G29" s="455"/>
      <c r="H29" s="455"/>
      <c r="I29" s="455"/>
      <c r="J29" s="455"/>
      <c r="K29" s="455"/>
      <c r="L29" s="455"/>
      <c r="M29" s="455"/>
      <c r="N29" s="455"/>
      <c r="O29" s="455"/>
      <c r="P29" s="455"/>
      <c r="Q29" s="455"/>
      <c r="R29" s="455"/>
      <c r="S29" s="455"/>
      <c r="T29" s="455"/>
      <c r="U29" s="455"/>
      <c r="V29" s="455"/>
      <c r="W29" s="455"/>
      <c r="X29" s="455"/>
      <c r="Y29" s="455"/>
      <c r="Z29" s="455"/>
      <c r="AA29" s="455"/>
      <c r="AB29" s="455"/>
      <c r="AC29" s="455"/>
      <c r="AD29" s="10"/>
      <c r="AE29" s="11"/>
      <c r="AF29" s="27"/>
      <c r="AK29" s="1"/>
      <c r="AL29" s="1"/>
      <c r="AM29" s="1"/>
      <c r="AN29" s="1"/>
    </row>
    <row r="30" spans="1:40" ht="12.75" customHeight="1">
      <c r="A30" s="110"/>
      <c r="B30" s="455"/>
      <c r="C30" s="455"/>
      <c r="D30" s="455"/>
      <c r="E30" s="455"/>
      <c r="F30" s="455"/>
      <c r="G30" s="455"/>
      <c r="H30" s="455"/>
      <c r="I30" s="455"/>
      <c r="J30" s="455"/>
      <c r="K30" s="455"/>
      <c r="L30" s="455"/>
      <c r="M30" s="455"/>
      <c r="N30" s="455"/>
      <c r="O30" s="455"/>
      <c r="P30" s="455"/>
      <c r="Q30" s="455"/>
      <c r="R30" s="455"/>
      <c r="S30" s="455"/>
      <c r="T30" s="455"/>
      <c r="U30" s="455"/>
      <c r="V30" s="455"/>
      <c r="W30" s="455"/>
      <c r="X30" s="455"/>
      <c r="Y30" s="455"/>
      <c r="Z30" s="455"/>
      <c r="AA30" s="455"/>
      <c r="AB30" s="455"/>
      <c r="AC30" s="455"/>
      <c r="AD30" s="10"/>
      <c r="AE30" s="11"/>
      <c r="AF30" s="27"/>
      <c r="AK30" s="1"/>
      <c r="AL30" s="1"/>
      <c r="AM30" s="1"/>
      <c r="AN30" s="1"/>
    </row>
    <row r="31" spans="1:40" ht="12.75" customHeight="1">
      <c r="A31" s="110"/>
      <c r="B31" s="455"/>
      <c r="C31" s="455"/>
      <c r="D31" s="455"/>
      <c r="E31" s="455"/>
      <c r="F31" s="455"/>
      <c r="G31" s="455"/>
      <c r="H31" s="455"/>
      <c r="I31" s="455"/>
      <c r="J31" s="455"/>
      <c r="K31" s="455"/>
      <c r="L31" s="455"/>
      <c r="M31" s="455"/>
      <c r="N31" s="455"/>
      <c r="O31" s="455"/>
      <c r="P31" s="455"/>
      <c r="Q31" s="455"/>
      <c r="R31" s="455"/>
      <c r="S31" s="455"/>
      <c r="T31" s="455"/>
      <c r="U31" s="455"/>
      <c r="V31" s="455"/>
      <c r="W31" s="455"/>
      <c r="X31" s="455"/>
      <c r="Y31" s="455"/>
      <c r="Z31" s="455"/>
      <c r="AA31" s="455"/>
      <c r="AB31" s="455"/>
      <c r="AC31" s="455"/>
      <c r="AD31" s="10"/>
      <c r="AE31" s="11"/>
      <c r="AF31" s="27"/>
      <c r="AK31" s="1"/>
      <c r="AL31" s="1"/>
      <c r="AM31" s="1"/>
      <c r="AN31" s="1"/>
    </row>
    <row r="32" spans="1:40" ht="12.75" customHeight="1">
      <c r="A32" s="110"/>
      <c r="B32" s="117" t="s">
        <v>106</v>
      </c>
      <c r="C32" s="1"/>
      <c r="D32" s="1"/>
      <c r="E32" s="1"/>
      <c r="F32" s="1"/>
      <c r="G32" s="1"/>
      <c r="H32" s="1"/>
      <c r="I32" s="1"/>
      <c r="J32" s="1"/>
      <c r="K32" s="1"/>
      <c r="L32" s="1"/>
      <c r="M32" s="1"/>
      <c r="N32" s="1"/>
      <c r="O32" s="1"/>
      <c r="P32" s="1"/>
      <c r="Q32" s="517"/>
      <c r="R32" s="1"/>
      <c r="S32" s="1"/>
      <c r="T32" s="1"/>
      <c r="U32" s="1"/>
      <c r="V32" s="1"/>
      <c r="W32" s="1"/>
      <c r="X32" s="1"/>
      <c r="Y32" s="1"/>
      <c r="Z32" s="1"/>
      <c r="AA32" s="1"/>
      <c r="AB32" s="1"/>
      <c r="AC32" s="1"/>
      <c r="AD32" s="10"/>
      <c r="AE32" s="11"/>
      <c r="AF32" s="27"/>
      <c r="AK32" s="1"/>
      <c r="AL32" s="1"/>
      <c r="AM32" s="1"/>
      <c r="AN32" s="1"/>
    </row>
    <row r="33" spans="1:40" ht="12.75" customHeight="1">
      <c r="A33" s="110"/>
      <c r="B33" s="118" t="s">
        <v>107</v>
      </c>
      <c r="C33" s="10"/>
      <c r="D33" s="10"/>
      <c r="E33" s="10"/>
      <c r="F33" s="10"/>
      <c r="G33" s="10"/>
      <c r="H33" s="10"/>
      <c r="I33" s="10"/>
      <c r="J33" s="10"/>
      <c r="K33" s="10"/>
      <c r="L33" s="10"/>
      <c r="M33" s="10"/>
      <c r="N33" s="10"/>
      <c r="O33" s="10"/>
      <c r="P33" s="10"/>
      <c r="Q33" s="514"/>
      <c r="R33" s="10"/>
      <c r="S33" s="10"/>
      <c r="T33" s="10"/>
      <c r="U33" s="10"/>
      <c r="V33" s="10"/>
      <c r="W33" s="10"/>
      <c r="X33" s="10"/>
      <c r="Y33" s="10"/>
      <c r="Z33" s="10"/>
      <c r="AA33" s="10"/>
      <c r="AB33" s="10"/>
      <c r="AC33" s="10"/>
      <c r="AD33" s="10"/>
      <c r="AE33" s="11"/>
      <c r="AF33" s="1"/>
      <c r="AK33" s="1"/>
      <c r="AL33" s="1"/>
      <c r="AM33" s="1"/>
      <c r="AN33" s="1"/>
    </row>
    <row r="34" spans="1:40" ht="12.75" customHeight="1">
      <c r="A34" s="13"/>
      <c r="B34" s="119" t="s">
        <v>108</v>
      </c>
      <c r="C34" s="13"/>
      <c r="D34" s="13"/>
      <c r="E34" s="13"/>
      <c r="F34" s="13"/>
      <c r="G34" s="13"/>
      <c r="H34" s="13"/>
      <c r="I34" s="13"/>
      <c r="J34" s="13"/>
      <c r="K34" s="13"/>
      <c r="L34" s="13"/>
      <c r="M34" s="13"/>
      <c r="N34" s="13"/>
      <c r="O34" s="13"/>
      <c r="P34" s="13"/>
      <c r="Q34" s="515"/>
      <c r="R34" s="13"/>
      <c r="S34" s="13"/>
      <c r="T34" s="120"/>
      <c r="U34" s="13"/>
      <c r="V34" s="120"/>
      <c r="W34" s="120" t="s">
        <v>109</v>
      </c>
      <c r="X34" s="120"/>
      <c r="Y34" s="13"/>
      <c r="Z34" s="13"/>
      <c r="AA34" s="13"/>
      <c r="AB34" s="13"/>
      <c r="AC34" s="13"/>
      <c r="AD34" s="471" t="s">
        <v>110</v>
      </c>
      <c r="AE34" s="455"/>
      <c r="AF34" s="1"/>
      <c r="AK34" s="1"/>
      <c r="AL34" s="1"/>
      <c r="AM34" s="1"/>
      <c r="AN34" s="1"/>
    </row>
    <row r="35" spans="1:40" ht="15.75" customHeight="1">
      <c r="A35" s="13"/>
      <c r="B35" s="122" t="s">
        <v>111</v>
      </c>
      <c r="C35" s="13"/>
      <c r="D35" s="13"/>
      <c r="E35" s="13"/>
      <c r="F35" s="13"/>
      <c r="G35" s="13"/>
      <c r="H35" s="13"/>
      <c r="I35" s="13"/>
      <c r="J35" s="13"/>
      <c r="K35" s="13"/>
      <c r="L35" s="13"/>
      <c r="M35" s="13"/>
      <c r="N35" s="13"/>
      <c r="O35" s="13"/>
      <c r="P35" s="13"/>
      <c r="Q35" s="515"/>
      <c r="R35" s="13"/>
      <c r="S35" s="13"/>
      <c r="T35" s="44" t="s">
        <v>112</v>
      </c>
      <c r="U35" s="45" t="s">
        <v>113</v>
      </c>
      <c r="V35" s="46" t="s">
        <v>114</v>
      </c>
      <c r="W35" s="47" t="s">
        <v>115</v>
      </c>
      <c r="X35" s="48" t="s">
        <v>116</v>
      </c>
      <c r="Y35" s="49" t="s">
        <v>117</v>
      </c>
      <c r="Z35" s="50" t="s">
        <v>118</v>
      </c>
      <c r="AA35" s="51" t="s">
        <v>119</v>
      </c>
      <c r="AB35" s="52" t="s">
        <v>120</v>
      </c>
      <c r="AC35" s="13"/>
      <c r="AD35" s="121"/>
      <c r="AE35" s="1"/>
      <c r="AF35" s="1"/>
      <c r="AK35" s="1"/>
      <c r="AL35" s="1"/>
      <c r="AM35" s="1"/>
      <c r="AN35" s="1"/>
    </row>
    <row r="36" spans="1:40" ht="15.75" customHeight="1">
      <c r="A36" s="51" t="s">
        <v>121</v>
      </c>
      <c r="B36" s="51" t="s">
        <v>122</v>
      </c>
      <c r="C36" s="123" t="s">
        <v>123</v>
      </c>
      <c r="D36" s="123" t="s">
        <v>124</v>
      </c>
      <c r="E36" s="123"/>
      <c r="F36" s="123"/>
      <c r="G36" s="123"/>
      <c r="H36" s="123" t="s">
        <v>125</v>
      </c>
      <c r="I36" s="123"/>
      <c r="J36" s="123"/>
      <c r="K36" s="123"/>
      <c r="L36" s="123"/>
      <c r="M36" s="123" t="s">
        <v>126</v>
      </c>
      <c r="N36" s="123" t="s">
        <v>127</v>
      </c>
      <c r="O36" s="124" t="s">
        <v>128</v>
      </c>
      <c r="P36" s="125" t="s">
        <v>129</v>
      </c>
      <c r="Q36" s="518" t="s">
        <v>130</v>
      </c>
      <c r="R36" s="125" t="s">
        <v>131</v>
      </c>
      <c r="S36" s="125" t="s">
        <v>132</v>
      </c>
      <c r="T36" s="126" t="s">
        <v>133</v>
      </c>
      <c r="U36" s="127" t="s">
        <v>134</v>
      </c>
      <c r="V36" s="128" t="s">
        <v>135</v>
      </c>
      <c r="W36" s="129" t="s">
        <v>136</v>
      </c>
      <c r="X36" s="130" t="s">
        <v>137</v>
      </c>
      <c r="Y36" s="131" t="s">
        <v>138</v>
      </c>
      <c r="Z36" s="132" t="s">
        <v>139</v>
      </c>
      <c r="AA36" s="133" t="s">
        <v>140</v>
      </c>
      <c r="AB36" s="134" t="s">
        <v>141</v>
      </c>
      <c r="AC36" s="135" t="s">
        <v>142</v>
      </c>
      <c r="AD36" s="135" t="s">
        <v>143</v>
      </c>
      <c r="AE36" s="136" t="s">
        <v>144</v>
      </c>
      <c r="AF36" s="137" t="s">
        <v>145</v>
      </c>
      <c r="AK36" s="1"/>
      <c r="AL36" s="1"/>
      <c r="AM36" s="1"/>
      <c r="AN36" s="1"/>
    </row>
    <row r="37" spans="1:40" ht="12.75" customHeight="1">
      <c r="A37" s="138" t="s">
        <v>146</v>
      </c>
      <c r="B37" s="139" t="s">
        <v>147</v>
      </c>
      <c r="C37" s="140" t="str">
        <f>B37</f>
        <v>Brushed Sandstone and Sandstone</v>
      </c>
      <c r="D37" s="141"/>
      <c r="E37" s="141"/>
      <c r="F37" s="141"/>
      <c r="G37" s="141"/>
      <c r="H37" s="141" t="s">
        <v>121</v>
      </c>
      <c r="I37" s="141"/>
      <c r="J37" s="141"/>
      <c r="K37" s="141"/>
      <c r="L37" s="141"/>
      <c r="M37" s="141"/>
      <c r="N37" s="141"/>
      <c r="O37" s="141"/>
      <c r="P37" s="142"/>
      <c r="Q37" s="519"/>
      <c r="R37" s="144"/>
      <c r="S37" s="142"/>
      <c r="T37" s="142"/>
      <c r="U37" s="142"/>
      <c r="V37" s="142"/>
      <c r="W37" s="142"/>
      <c r="X37" s="142"/>
      <c r="Y37" s="142"/>
      <c r="Z37" s="142"/>
      <c r="AA37" s="142"/>
      <c r="AB37" s="142"/>
      <c r="AC37" s="143"/>
      <c r="AD37" s="145"/>
      <c r="AE37" s="145"/>
      <c r="AF37" s="146"/>
      <c r="AK37" s="1"/>
      <c r="AL37" s="1"/>
      <c r="AM37" s="1"/>
      <c r="AN37" s="1"/>
    </row>
    <row r="38" spans="1:40" ht="12.75" customHeight="1">
      <c r="A38" s="87"/>
      <c r="B38" s="147" t="s">
        <v>148</v>
      </c>
      <c r="C38" s="148" t="s">
        <v>52</v>
      </c>
      <c r="D38" s="148" t="s">
        <v>60</v>
      </c>
      <c r="E38" s="149">
        <v>3</v>
      </c>
      <c r="F38" s="148" t="s">
        <v>38</v>
      </c>
      <c r="G38" s="148">
        <v>5</v>
      </c>
      <c r="H38" s="148" t="s">
        <v>121</v>
      </c>
      <c r="I38" s="148" t="s">
        <v>28</v>
      </c>
      <c r="J38" s="149">
        <v>3</v>
      </c>
      <c r="K38" s="148" t="s">
        <v>38</v>
      </c>
      <c r="L38" s="148">
        <v>5</v>
      </c>
      <c r="M38" s="148" t="s">
        <v>28</v>
      </c>
      <c r="N38" s="148" t="s">
        <v>47</v>
      </c>
      <c r="O38" s="149">
        <v>8</v>
      </c>
      <c r="P38" s="149" t="s">
        <v>149</v>
      </c>
      <c r="Q38" s="520">
        <f>R38*(1-Bolts!$E$1179)</f>
        <v>658.7</v>
      </c>
      <c r="R38" s="150">
        <v>658.7</v>
      </c>
      <c r="S38" s="151">
        <f t="shared" ref="S38:S44" si="0">SUM(T38:AB38)</f>
        <v>0</v>
      </c>
      <c r="T38" s="152"/>
      <c r="U38" s="153"/>
      <c r="V38" s="154"/>
      <c r="W38" s="155"/>
      <c r="X38" s="156"/>
      <c r="Y38" s="157"/>
      <c r="Z38" s="158"/>
      <c r="AA38" s="159"/>
      <c r="AB38" s="160"/>
      <c r="AC38" s="151">
        <f t="shared" ref="AC38:AC41" si="1">S38*O38</f>
        <v>0</v>
      </c>
      <c r="AD38" s="161">
        <f t="shared" ref="AD38:AD44" si="2">S38*R38</f>
        <v>0</v>
      </c>
      <c r="AE38" s="162">
        <v>35.549999999999997</v>
      </c>
      <c r="AF38" s="163">
        <f t="shared" ref="AF38:AF41" si="3">AE38*S38</f>
        <v>0</v>
      </c>
      <c r="AK38" s="1"/>
      <c r="AL38" s="1"/>
      <c r="AM38" s="1"/>
      <c r="AN38" s="1"/>
    </row>
    <row r="39" spans="1:40" ht="12.75" customHeight="1">
      <c r="A39" s="87"/>
      <c r="B39" s="164" t="s">
        <v>150</v>
      </c>
      <c r="C39" s="165" t="s">
        <v>52</v>
      </c>
      <c r="D39" s="165" t="s">
        <v>60</v>
      </c>
      <c r="E39" s="166">
        <v>1</v>
      </c>
      <c r="F39" s="165" t="s">
        <v>38</v>
      </c>
      <c r="G39" s="165">
        <v>2</v>
      </c>
      <c r="H39" s="165" t="s">
        <v>121</v>
      </c>
      <c r="I39" s="165" t="s">
        <v>28</v>
      </c>
      <c r="J39" s="166">
        <v>1</v>
      </c>
      <c r="K39" s="165" t="s">
        <v>38</v>
      </c>
      <c r="L39" s="165">
        <v>2</v>
      </c>
      <c r="M39" s="165" t="s">
        <v>28</v>
      </c>
      <c r="N39" s="165" t="s">
        <v>47</v>
      </c>
      <c r="O39" s="166">
        <v>3</v>
      </c>
      <c r="P39" s="166" t="s">
        <v>151</v>
      </c>
      <c r="Q39" s="521">
        <f>R39*(1-Bolts!$E$1179)</f>
        <v>415.1</v>
      </c>
      <c r="R39" s="150">
        <v>415.1</v>
      </c>
      <c r="S39" s="168">
        <f t="shared" si="0"/>
        <v>0</v>
      </c>
      <c r="T39" s="152"/>
      <c r="U39" s="169"/>
      <c r="V39" s="170"/>
      <c r="W39" s="171"/>
      <c r="X39" s="172"/>
      <c r="Y39" s="173"/>
      <c r="Z39" s="174"/>
      <c r="AA39" s="175"/>
      <c r="AB39" s="176"/>
      <c r="AC39" s="168">
        <f t="shared" si="1"/>
        <v>0</v>
      </c>
      <c r="AD39" s="177">
        <f t="shared" si="2"/>
        <v>0</v>
      </c>
      <c r="AE39" s="178">
        <v>19.8</v>
      </c>
      <c r="AF39" s="179">
        <f t="shared" si="3"/>
        <v>0</v>
      </c>
      <c r="AH39" s="180"/>
      <c r="AK39" s="1"/>
      <c r="AL39" s="1"/>
      <c r="AM39" s="1"/>
      <c r="AN39" s="1"/>
    </row>
    <row r="40" spans="1:40" ht="12.75" customHeight="1">
      <c r="A40" s="87"/>
      <c r="B40" s="164" t="s">
        <v>152</v>
      </c>
      <c r="C40" s="165" t="s">
        <v>52</v>
      </c>
      <c r="D40" s="165" t="s">
        <v>60</v>
      </c>
      <c r="E40" s="166">
        <v>1</v>
      </c>
      <c r="F40" s="165" t="s">
        <v>38</v>
      </c>
      <c r="G40" s="165">
        <v>3</v>
      </c>
      <c r="H40" s="165" t="s">
        <v>121</v>
      </c>
      <c r="I40" s="165" t="s">
        <v>28</v>
      </c>
      <c r="J40" s="166">
        <v>1</v>
      </c>
      <c r="K40" s="165" t="s">
        <v>38</v>
      </c>
      <c r="L40" s="165">
        <v>3</v>
      </c>
      <c r="M40" s="165" t="s">
        <v>28</v>
      </c>
      <c r="N40" s="165" t="s">
        <v>47</v>
      </c>
      <c r="O40" s="166">
        <v>4</v>
      </c>
      <c r="P40" s="166" t="s">
        <v>153</v>
      </c>
      <c r="Q40" s="521">
        <f>R40*(1-Bolts!$E$1179)</f>
        <v>492.1</v>
      </c>
      <c r="R40" s="150">
        <v>492.1</v>
      </c>
      <c r="S40" s="168">
        <f t="shared" si="0"/>
        <v>0</v>
      </c>
      <c r="T40" s="152"/>
      <c r="U40" s="169"/>
      <c r="V40" s="170"/>
      <c r="W40" s="171"/>
      <c r="X40" s="172"/>
      <c r="Y40" s="173"/>
      <c r="Z40" s="174"/>
      <c r="AA40" s="175"/>
      <c r="AB40" s="176"/>
      <c r="AC40" s="168">
        <f t="shared" si="1"/>
        <v>0</v>
      </c>
      <c r="AD40" s="177">
        <f t="shared" si="2"/>
        <v>0</v>
      </c>
      <c r="AE40" s="178">
        <v>24.35</v>
      </c>
      <c r="AF40" s="179">
        <f t="shared" si="3"/>
        <v>0</v>
      </c>
      <c r="AH40" s="180"/>
      <c r="AK40" s="1"/>
      <c r="AL40" s="1"/>
      <c r="AM40" s="1"/>
      <c r="AN40" s="1"/>
    </row>
    <row r="41" spans="1:40" ht="12.75" customHeight="1">
      <c r="A41" s="181"/>
      <c r="B41" s="182" t="s">
        <v>154</v>
      </c>
      <c r="C41" s="183" t="s">
        <v>52</v>
      </c>
      <c r="D41" s="183" t="s">
        <v>60</v>
      </c>
      <c r="E41" s="184">
        <v>2</v>
      </c>
      <c r="F41" s="183"/>
      <c r="G41" s="183"/>
      <c r="H41" s="183" t="s">
        <v>121</v>
      </c>
      <c r="I41" s="183" t="s">
        <v>28</v>
      </c>
      <c r="J41" s="184">
        <v>2</v>
      </c>
      <c r="K41" s="183"/>
      <c r="L41" s="183"/>
      <c r="M41" s="183" t="s">
        <v>28</v>
      </c>
      <c r="N41" s="183" t="s">
        <v>47</v>
      </c>
      <c r="O41" s="184">
        <v>2</v>
      </c>
      <c r="P41" s="184" t="s">
        <v>155</v>
      </c>
      <c r="Q41" s="521">
        <f>R41*(1-Bolts!$E$1179)</f>
        <v>225.7</v>
      </c>
      <c r="R41" s="150">
        <v>225.7</v>
      </c>
      <c r="S41" s="168">
        <f t="shared" si="0"/>
        <v>0</v>
      </c>
      <c r="T41" s="152"/>
      <c r="U41" s="169"/>
      <c r="V41" s="170"/>
      <c r="W41" s="171"/>
      <c r="X41" s="172"/>
      <c r="Y41" s="173"/>
      <c r="Z41" s="174"/>
      <c r="AA41" s="175"/>
      <c r="AB41" s="176"/>
      <c r="AC41" s="168">
        <f t="shared" si="1"/>
        <v>0</v>
      </c>
      <c r="AD41" s="177">
        <f t="shared" si="2"/>
        <v>0</v>
      </c>
      <c r="AE41" s="178">
        <v>10.4</v>
      </c>
      <c r="AF41" s="179">
        <f t="shared" si="3"/>
        <v>0</v>
      </c>
      <c r="AH41" s="180"/>
      <c r="AK41" s="1"/>
      <c r="AL41" s="1"/>
      <c r="AM41" s="1"/>
      <c r="AN41" s="1"/>
    </row>
    <row r="42" spans="1:40" ht="12.75" customHeight="1">
      <c r="A42" s="87"/>
      <c r="B42" s="185"/>
      <c r="C42" s="165"/>
      <c r="D42" s="165"/>
      <c r="E42" s="166"/>
      <c r="F42" s="165"/>
      <c r="G42" s="165"/>
      <c r="H42" s="165"/>
      <c r="I42" s="165"/>
      <c r="J42" s="166"/>
      <c r="K42" s="165"/>
      <c r="L42" s="165"/>
      <c r="M42" s="165"/>
      <c r="N42" s="165"/>
      <c r="O42" s="166"/>
      <c r="P42" s="166"/>
      <c r="Q42" s="522"/>
      <c r="R42" s="150"/>
      <c r="S42" s="186">
        <f t="shared" si="0"/>
        <v>0</v>
      </c>
      <c r="T42" s="152"/>
      <c r="U42" s="187"/>
      <c r="V42" s="188"/>
      <c r="W42" s="187"/>
      <c r="X42" s="187"/>
      <c r="Y42" s="187"/>
      <c r="Z42" s="187"/>
      <c r="AA42" s="187"/>
      <c r="AB42" s="188"/>
      <c r="AC42" s="186"/>
      <c r="AD42" s="189">
        <f t="shared" si="2"/>
        <v>0</v>
      </c>
      <c r="AE42" s="190"/>
      <c r="AF42" s="191"/>
      <c r="AH42" s="180"/>
      <c r="AK42" s="1"/>
      <c r="AL42" s="1"/>
      <c r="AM42" s="1"/>
      <c r="AN42" s="1"/>
    </row>
    <row r="43" spans="1:40" ht="12.75" customHeight="1">
      <c r="A43" s="87"/>
      <c r="B43" s="164" t="s">
        <v>156</v>
      </c>
      <c r="C43" s="165" t="s">
        <v>52</v>
      </c>
      <c r="D43" s="165" t="s">
        <v>61</v>
      </c>
      <c r="E43" s="166">
        <v>3</v>
      </c>
      <c r="F43" s="165" t="s">
        <v>38</v>
      </c>
      <c r="G43" s="165">
        <v>4</v>
      </c>
      <c r="H43" s="165" t="s">
        <v>121</v>
      </c>
      <c r="I43" s="165" t="s">
        <v>29</v>
      </c>
      <c r="J43" s="166">
        <v>3</v>
      </c>
      <c r="K43" s="165" t="s">
        <v>38</v>
      </c>
      <c r="L43" s="165">
        <v>4</v>
      </c>
      <c r="M43" s="165" t="s">
        <v>29</v>
      </c>
      <c r="N43" s="165" t="s">
        <v>47</v>
      </c>
      <c r="O43" s="166">
        <v>7</v>
      </c>
      <c r="P43" s="166" t="s">
        <v>157</v>
      </c>
      <c r="Q43" s="521">
        <f>R43*(1-Bolts!$E$1179)</f>
        <v>787.7</v>
      </c>
      <c r="R43" s="150">
        <v>787.7</v>
      </c>
      <c r="S43" s="168">
        <f t="shared" si="0"/>
        <v>0</v>
      </c>
      <c r="T43" s="152"/>
      <c r="U43" s="169"/>
      <c r="V43" s="170"/>
      <c r="W43" s="171"/>
      <c r="X43" s="172"/>
      <c r="Y43" s="173"/>
      <c r="Z43" s="174"/>
      <c r="AA43" s="175"/>
      <c r="AB43" s="176"/>
      <c r="AC43" s="168">
        <f t="shared" ref="AC43:AC44" si="4">S43*O43</f>
        <v>0</v>
      </c>
      <c r="AD43" s="177">
        <f t="shared" si="2"/>
        <v>0</v>
      </c>
      <c r="AE43" s="178">
        <v>38.35</v>
      </c>
      <c r="AF43" s="179">
        <f t="shared" ref="AF43:AF44" si="5">AE43*S43</f>
        <v>0</v>
      </c>
      <c r="AH43" s="180"/>
      <c r="AK43" s="1"/>
      <c r="AL43" s="1"/>
      <c r="AM43" s="1"/>
      <c r="AN43" s="1"/>
    </row>
    <row r="44" spans="1:40" ht="12.75" customHeight="1">
      <c r="A44" s="181"/>
      <c r="B44" s="164" t="s">
        <v>158</v>
      </c>
      <c r="C44" s="165" t="s">
        <v>52</v>
      </c>
      <c r="D44" s="165" t="s">
        <v>61</v>
      </c>
      <c r="E44" s="166">
        <v>4</v>
      </c>
      <c r="F44" s="165"/>
      <c r="G44" s="165"/>
      <c r="H44" s="165" t="s">
        <v>121</v>
      </c>
      <c r="I44" s="165" t="s">
        <v>29</v>
      </c>
      <c r="J44" s="166">
        <v>4</v>
      </c>
      <c r="K44" s="165"/>
      <c r="L44" s="165"/>
      <c r="M44" s="165" t="s">
        <v>29</v>
      </c>
      <c r="N44" s="165" t="s">
        <v>49</v>
      </c>
      <c r="O44" s="166">
        <v>4</v>
      </c>
      <c r="P44" s="166" t="s">
        <v>159</v>
      </c>
      <c r="Q44" s="521">
        <f>R44*(1-Bolts!$E$1179)</f>
        <v>252.5</v>
      </c>
      <c r="R44" s="150">
        <v>252.5</v>
      </c>
      <c r="S44" s="168">
        <f t="shared" si="0"/>
        <v>0</v>
      </c>
      <c r="T44" s="152"/>
      <c r="U44" s="169"/>
      <c r="V44" s="170"/>
      <c r="W44" s="171"/>
      <c r="X44" s="172"/>
      <c r="Y44" s="173"/>
      <c r="Z44" s="174"/>
      <c r="AA44" s="175"/>
      <c r="AB44" s="176"/>
      <c r="AC44" s="168">
        <f t="shared" si="4"/>
        <v>0</v>
      </c>
      <c r="AD44" s="177">
        <f t="shared" si="2"/>
        <v>0</v>
      </c>
      <c r="AE44" s="178">
        <v>11.35</v>
      </c>
      <c r="AF44" s="179">
        <f t="shared" si="5"/>
        <v>0</v>
      </c>
      <c r="AH44" s="180"/>
      <c r="AK44" s="1"/>
      <c r="AL44" s="1"/>
      <c r="AM44" s="1"/>
      <c r="AN44" s="1"/>
    </row>
    <row r="45" spans="1:40" ht="12.75" customHeight="1">
      <c r="A45" s="87"/>
      <c r="B45" s="185"/>
      <c r="C45" s="165"/>
      <c r="D45" s="165"/>
      <c r="E45" s="166"/>
      <c r="F45" s="165"/>
      <c r="G45" s="165"/>
      <c r="H45" s="165"/>
      <c r="I45" s="165"/>
      <c r="J45" s="166"/>
      <c r="K45" s="165"/>
      <c r="L45" s="165"/>
      <c r="M45" s="165"/>
      <c r="N45" s="165"/>
      <c r="O45" s="166"/>
      <c r="P45" s="166"/>
      <c r="Q45" s="522"/>
      <c r="R45" s="150"/>
      <c r="S45" s="186"/>
      <c r="T45" s="152"/>
      <c r="U45" s="187"/>
      <c r="V45" s="188"/>
      <c r="W45" s="187"/>
      <c r="X45" s="187"/>
      <c r="Y45" s="187"/>
      <c r="Z45" s="187"/>
      <c r="AA45" s="187"/>
      <c r="AB45" s="188"/>
      <c r="AC45" s="186"/>
      <c r="AD45" s="189"/>
      <c r="AE45" s="190"/>
      <c r="AF45" s="191"/>
      <c r="AH45" s="180"/>
      <c r="AK45" s="1"/>
      <c r="AL45" s="1"/>
      <c r="AM45" s="1"/>
      <c r="AN45" s="1"/>
    </row>
    <row r="46" spans="1:40" ht="12.75" customHeight="1">
      <c r="A46" s="181"/>
      <c r="B46" s="164" t="s">
        <v>160</v>
      </c>
      <c r="C46" s="165" t="s">
        <v>52</v>
      </c>
      <c r="D46" s="165" t="s">
        <v>62</v>
      </c>
      <c r="E46" s="166">
        <v>5</v>
      </c>
      <c r="F46" s="165"/>
      <c r="G46" s="165"/>
      <c r="H46" s="165" t="s">
        <v>121</v>
      </c>
      <c r="I46" s="165" t="s">
        <v>29</v>
      </c>
      <c r="J46" s="166">
        <v>5</v>
      </c>
      <c r="K46" s="165"/>
      <c r="L46" s="165"/>
      <c r="M46" s="165" t="s">
        <v>29</v>
      </c>
      <c r="N46" s="165" t="s">
        <v>47</v>
      </c>
      <c r="O46" s="166">
        <v>5</v>
      </c>
      <c r="P46" s="166" t="s">
        <v>161</v>
      </c>
      <c r="Q46" s="521">
        <f>R46*(1-Bolts!$E$1179)</f>
        <v>230.5</v>
      </c>
      <c r="R46" s="150">
        <v>230.5</v>
      </c>
      <c r="S46" s="168">
        <f t="shared" ref="S46:S48" si="6">SUM(T46:AB46)</f>
        <v>0</v>
      </c>
      <c r="T46" s="152"/>
      <c r="U46" s="169"/>
      <c r="V46" s="170"/>
      <c r="W46" s="171"/>
      <c r="X46" s="172"/>
      <c r="Y46" s="173"/>
      <c r="Z46" s="174"/>
      <c r="AA46" s="175"/>
      <c r="AB46" s="176"/>
      <c r="AC46" s="168">
        <f t="shared" ref="AC46:AC48" si="7">S46*O46</f>
        <v>0</v>
      </c>
      <c r="AD46" s="177">
        <f t="shared" ref="AD46:AD48" si="8">S46*R46</f>
        <v>0</v>
      </c>
      <c r="AE46" s="178">
        <v>10.1</v>
      </c>
      <c r="AF46" s="179">
        <f t="shared" ref="AF46:AF48" si="9">AE46*S46</f>
        <v>0</v>
      </c>
      <c r="AH46" s="180"/>
      <c r="AK46" s="1"/>
      <c r="AL46" s="1"/>
      <c r="AM46" s="1"/>
      <c r="AN46" s="1"/>
    </row>
    <row r="47" spans="1:40" ht="12.75" customHeight="1">
      <c r="A47" s="181"/>
      <c r="B47" s="164" t="s">
        <v>162</v>
      </c>
      <c r="C47" s="165" t="s">
        <v>52</v>
      </c>
      <c r="D47" s="165" t="s">
        <v>62</v>
      </c>
      <c r="E47" s="166">
        <v>5</v>
      </c>
      <c r="F47" s="165"/>
      <c r="G47" s="165"/>
      <c r="H47" s="165" t="s">
        <v>121</v>
      </c>
      <c r="I47" s="165" t="s">
        <v>29</v>
      </c>
      <c r="J47" s="166">
        <v>5</v>
      </c>
      <c r="K47" s="165"/>
      <c r="L47" s="165"/>
      <c r="M47" s="165" t="s">
        <v>29</v>
      </c>
      <c r="N47" s="165" t="s">
        <v>47</v>
      </c>
      <c r="O47" s="166">
        <v>5</v>
      </c>
      <c r="P47" s="166" t="s">
        <v>163</v>
      </c>
      <c r="Q47" s="521">
        <f>R47*(1-Bolts!$E$1179)</f>
        <v>203.3</v>
      </c>
      <c r="R47" s="150">
        <v>203.3</v>
      </c>
      <c r="S47" s="168">
        <f t="shared" si="6"/>
        <v>0</v>
      </c>
      <c r="T47" s="152"/>
      <c r="U47" s="169"/>
      <c r="V47" s="170"/>
      <c r="W47" s="171"/>
      <c r="X47" s="172"/>
      <c r="Y47" s="173"/>
      <c r="Z47" s="174"/>
      <c r="AA47" s="175"/>
      <c r="AB47" s="176"/>
      <c r="AC47" s="168">
        <f t="shared" si="7"/>
        <v>0</v>
      </c>
      <c r="AD47" s="177">
        <f t="shared" si="8"/>
        <v>0</v>
      </c>
      <c r="AE47" s="178">
        <v>8.5500000000000007</v>
      </c>
      <c r="AF47" s="179">
        <f t="shared" si="9"/>
        <v>0</v>
      </c>
      <c r="AH47" s="180"/>
      <c r="AK47" s="1"/>
      <c r="AL47" s="1"/>
      <c r="AM47" s="1"/>
      <c r="AN47" s="1"/>
    </row>
    <row r="48" spans="1:40" ht="12.75" customHeight="1">
      <c r="A48" s="181"/>
      <c r="B48" s="164" t="s">
        <v>164</v>
      </c>
      <c r="C48" s="165" t="s">
        <v>52</v>
      </c>
      <c r="D48" s="165" t="s">
        <v>62</v>
      </c>
      <c r="E48" s="166">
        <v>4</v>
      </c>
      <c r="F48" s="165"/>
      <c r="G48" s="165"/>
      <c r="H48" s="165" t="s">
        <v>121</v>
      </c>
      <c r="I48" s="165" t="s">
        <v>35</v>
      </c>
      <c r="J48" s="166">
        <v>4</v>
      </c>
      <c r="K48" s="165"/>
      <c r="L48" s="165"/>
      <c r="M48" s="165" t="s">
        <v>35</v>
      </c>
      <c r="N48" s="165" t="s">
        <v>48</v>
      </c>
      <c r="O48" s="166">
        <v>4</v>
      </c>
      <c r="P48" s="166" t="s">
        <v>165</v>
      </c>
      <c r="Q48" s="521">
        <f>R48*(1-Bolts!$E$1179)</f>
        <v>229.8</v>
      </c>
      <c r="R48" s="150">
        <v>229.8</v>
      </c>
      <c r="S48" s="168">
        <f t="shared" si="6"/>
        <v>0</v>
      </c>
      <c r="T48" s="152"/>
      <c r="U48" s="169"/>
      <c r="V48" s="170"/>
      <c r="W48" s="171"/>
      <c r="X48" s="172"/>
      <c r="Y48" s="173"/>
      <c r="Z48" s="174"/>
      <c r="AA48" s="175"/>
      <c r="AB48" s="176"/>
      <c r="AC48" s="168">
        <f t="shared" si="7"/>
        <v>0</v>
      </c>
      <c r="AD48" s="177">
        <f t="shared" si="8"/>
        <v>0</v>
      </c>
      <c r="AE48" s="178">
        <v>9.4499999999999993</v>
      </c>
      <c r="AF48" s="179">
        <f t="shared" si="9"/>
        <v>0</v>
      </c>
      <c r="AH48" s="180"/>
      <c r="AK48" s="1"/>
      <c r="AL48" s="1"/>
      <c r="AM48" s="1"/>
      <c r="AN48" s="1"/>
    </row>
    <row r="49" spans="1:40" ht="12.75" customHeight="1">
      <c r="A49" s="87"/>
      <c r="B49" s="185"/>
      <c r="C49" s="165"/>
      <c r="D49" s="165"/>
      <c r="E49" s="166"/>
      <c r="F49" s="165"/>
      <c r="G49" s="165"/>
      <c r="H49" s="165"/>
      <c r="I49" s="165"/>
      <c r="J49" s="166"/>
      <c r="K49" s="165"/>
      <c r="L49" s="165"/>
      <c r="M49" s="165"/>
      <c r="N49" s="165"/>
      <c r="O49" s="166"/>
      <c r="P49" s="166"/>
      <c r="Q49" s="522"/>
      <c r="R49" s="150"/>
      <c r="S49" s="186"/>
      <c r="T49" s="152"/>
      <c r="U49" s="187"/>
      <c r="V49" s="188"/>
      <c r="W49" s="187"/>
      <c r="X49" s="187"/>
      <c r="Y49" s="187"/>
      <c r="Z49" s="187"/>
      <c r="AA49" s="187"/>
      <c r="AB49" s="188"/>
      <c r="AC49" s="186"/>
      <c r="AD49" s="189"/>
      <c r="AE49" s="190"/>
      <c r="AF49" s="191"/>
      <c r="AH49" s="180"/>
      <c r="AK49" s="1"/>
      <c r="AL49" s="1"/>
      <c r="AM49" s="1"/>
      <c r="AN49" s="1"/>
    </row>
    <row r="50" spans="1:40" ht="12.75" customHeight="1">
      <c r="A50" s="181"/>
      <c r="B50" s="164" t="s">
        <v>166</v>
      </c>
      <c r="C50" s="165" t="s">
        <v>52</v>
      </c>
      <c r="D50" s="165" t="s">
        <v>48</v>
      </c>
      <c r="E50" s="166">
        <v>10</v>
      </c>
      <c r="F50" s="165" t="s">
        <v>38</v>
      </c>
      <c r="G50" s="165">
        <v>10</v>
      </c>
      <c r="H50" s="165" t="s">
        <v>121</v>
      </c>
      <c r="I50" s="165" t="s">
        <v>31</v>
      </c>
      <c r="J50" s="166">
        <v>10</v>
      </c>
      <c r="K50" s="165" t="s">
        <v>38</v>
      </c>
      <c r="L50" s="165">
        <v>10</v>
      </c>
      <c r="M50" s="165" t="s">
        <v>31</v>
      </c>
      <c r="N50" s="165" t="s">
        <v>47</v>
      </c>
      <c r="O50" s="166">
        <v>20</v>
      </c>
      <c r="P50" s="166" t="s">
        <v>167</v>
      </c>
      <c r="Q50" s="521">
        <f>R50*(1-Bolts!$E$1179)</f>
        <v>227</v>
      </c>
      <c r="R50" s="150">
        <v>227</v>
      </c>
      <c r="S50" s="168">
        <f t="shared" ref="S50:S55" si="10">SUM(T50:AB50)</f>
        <v>0</v>
      </c>
      <c r="T50" s="152"/>
      <c r="U50" s="169"/>
      <c r="V50" s="170"/>
      <c r="W50" s="171"/>
      <c r="X50" s="172"/>
      <c r="Y50" s="173"/>
      <c r="Z50" s="174"/>
      <c r="AA50" s="175"/>
      <c r="AB50" s="176"/>
      <c r="AC50" s="168">
        <f t="shared" ref="AC50:AC55" si="11">S50*O50</f>
        <v>0</v>
      </c>
      <c r="AD50" s="177">
        <f t="shared" ref="AD50:AD55" si="12">S50*R50</f>
        <v>0</v>
      </c>
      <c r="AE50" s="178">
        <v>7.3</v>
      </c>
      <c r="AF50" s="179">
        <f t="shared" ref="AF50:AF55" si="13">AE50*S50</f>
        <v>0</v>
      </c>
      <c r="AH50" s="180"/>
      <c r="AK50" s="1"/>
      <c r="AL50" s="1"/>
      <c r="AM50" s="1"/>
      <c r="AN50" s="1"/>
    </row>
    <row r="51" spans="1:40" ht="12.75" customHeight="1">
      <c r="A51" s="181"/>
      <c r="B51" s="164" t="s">
        <v>168</v>
      </c>
      <c r="C51" s="165" t="s">
        <v>52</v>
      </c>
      <c r="D51" s="165" t="s">
        <v>48</v>
      </c>
      <c r="E51" s="166">
        <v>10</v>
      </c>
      <c r="F51" s="165"/>
      <c r="G51" s="165"/>
      <c r="H51" s="165" t="s">
        <v>121</v>
      </c>
      <c r="I51" s="165" t="s">
        <v>31</v>
      </c>
      <c r="J51" s="166">
        <v>10</v>
      </c>
      <c r="K51" s="165"/>
      <c r="L51" s="165"/>
      <c r="M51" s="165" t="s">
        <v>31</v>
      </c>
      <c r="N51" s="165" t="s">
        <v>47</v>
      </c>
      <c r="O51" s="166">
        <v>10</v>
      </c>
      <c r="P51" s="166" t="s">
        <v>169</v>
      </c>
      <c r="Q51" s="521">
        <f>R51*(1-Bolts!$E$1179)</f>
        <v>145.30000000000001</v>
      </c>
      <c r="R51" s="150">
        <v>145.30000000000001</v>
      </c>
      <c r="S51" s="168">
        <f t="shared" si="10"/>
        <v>0</v>
      </c>
      <c r="T51" s="152"/>
      <c r="U51" s="169"/>
      <c r="V51" s="170"/>
      <c r="W51" s="171"/>
      <c r="X51" s="172"/>
      <c r="Y51" s="173"/>
      <c r="Z51" s="174"/>
      <c r="AA51" s="175"/>
      <c r="AB51" s="176"/>
      <c r="AC51" s="168">
        <f t="shared" si="11"/>
        <v>0</v>
      </c>
      <c r="AD51" s="177">
        <f t="shared" si="12"/>
        <v>0</v>
      </c>
      <c r="AE51" s="178">
        <v>5.4</v>
      </c>
      <c r="AF51" s="179">
        <f t="shared" si="13"/>
        <v>0</v>
      </c>
      <c r="AH51" s="180"/>
      <c r="AK51" s="1"/>
      <c r="AL51" s="1"/>
      <c r="AM51" s="1"/>
      <c r="AN51" s="1"/>
    </row>
    <row r="52" spans="1:40" ht="12.75" customHeight="1">
      <c r="A52" s="181"/>
      <c r="B52" s="164" t="s">
        <v>170</v>
      </c>
      <c r="C52" s="165" t="s">
        <v>52</v>
      </c>
      <c r="D52" s="165" t="s">
        <v>38</v>
      </c>
      <c r="E52" s="166">
        <v>10</v>
      </c>
      <c r="F52" s="165"/>
      <c r="G52" s="165"/>
      <c r="H52" s="165" t="s">
        <v>121</v>
      </c>
      <c r="I52" s="165" t="s">
        <v>38</v>
      </c>
      <c r="J52" s="166">
        <v>10</v>
      </c>
      <c r="K52" s="165"/>
      <c r="L52" s="165"/>
      <c r="M52" s="165" t="s">
        <v>38</v>
      </c>
      <c r="N52" s="165" t="s">
        <v>49</v>
      </c>
      <c r="O52" s="166">
        <v>10</v>
      </c>
      <c r="P52" s="166" t="s">
        <v>171</v>
      </c>
      <c r="Q52" s="521">
        <f>R52*(1-Bolts!$E$1179)</f>
        <v>81.7</v>
      </c>
      <c r="R52" s="150">
        <v>81.7</v>
      </c>
      <c r="S52" s="168">
        <f t="shared" si="10"/>
        <v>0</v>
      </c>
      <c r="T52" s="152"/>
      <c r="U52" s="169"/>
      <c r="V52" s="170"/>
      <c r="W52" s="171"/>
      <c r="X52" s="172"/>
      <c r="Y52" s="173"/>
      <c r="Z52" s="174"/>
      <c r="AA52" s="175"/>
      <c r="AB52" s="176"/>
      <c r="AC52" s="168">
        <f t="shared" si="11"/>
        <v>0</v>
      </c>
      <c r="AD52" s="177">
        <f t="shared" si="12"/>
        <v>0</v>
      </c>
      <c r="AE52" s="178">
        <v>1.9</v>
      </c>
      <c r="AF52" s="179">
        <f t="shared" si="13"/>
        <v>0</v>
      </c>
      <c r="AH52" s="180"/>
      <c r="AK52" s="1"/>
      <c r="AL52" s="1"/>
      <c r="AM52" s="1"/>
      <c r="AN52" s="1"/>
    </row>
    <row r="53" spans="1:40" ht="12.75" customHeight="1">
      <c r="A53" s="181"/>
      <c r="B53" s="164" t="s">
        <v>172</v>
      </c>
      <c r="C53" s="165" t="s">
        <v>52</v>
      </c>
      <c r="D53" s="165" t="s">
        <v>48</v>
      </c>
      <c r="E53" s="166">
        <v>10</v>
      </c>
      <c r="F53" s="165" t="s">
        <v>38</v>
      </c>
      <c r="G53" s="165">
        <v>10</v>
      </c>
      <c r="H53" s="165" t="s">
        <v>121</v>
      </c>
      <c r="I53" s="165" t="s">
        <v>31</v>
      </c>
      <c r="J53" s="166">
        <v>10</v>
      </c>
      <c r="K53" s="165" t="s">
        <v>38</v>
      </c>
      <c r="L53" s="165">
        <v>10</v>
      </c>
      <c r="M53" s="165" t="s">
        <v>31</v>
      </c>
      <c r="N53" s="165" t="s">
        <v>47</v>
      </c>
      <c r="O53" s="166">
        <v>20</v>
      </c>
      <c r="P53" s="166" t="s">
        <v>173</v>
      </c>
      <c r="Q53" s="521">
        <f>R53*(1-Bolts!$E$1179)</f>
        <v>196.4</v>
      </c>
      <c r="R53" s="150">
        <v>196.4</v>
      </c>
      <c r="S53" s="168">
        <f t="shared" si="10"/>
        <v>0</v>
      </c>
      <c r="T53" s="152"/>
      <c r="U53" s="169"/>
      <c r="V53" s="170"/>
      <c r="W53" s="171"/>
      <c r="X53" s="172"/>
      <c r="Y53" s="173"/>
      <c r="Z53" s="174"/>
      <c r="AA53" s="175"/>
      <c r="AB53" s="176"/>
      <c r="AC53" s="168">
        <f t="shared" si="11"/>
        <v>0</v>
      </c>
      <c r="AD53" s="177">
        <f t="shared" si="12"/>
        <v>0</v>
      </c>
      <c r="AE53" s="178">
        <v>5.55</v>
      </c>
      <c r="AF53" s="179">
        <f t="shared" si="13"/>
        <v>0</v>
      </c>
      <c r="AH53" s="180"/>
      <c r="AK53" s="1"/>
      <c r="AL53" s="1"/>
      <c r="AM53" s="1"/>
      <c r="AN53" s="1"/>
    </row>
    <row r="54" spans="1:40" ht="12.75" customHeight="1">
      <c r="A54" s="181"/>
      <c r="B54" s="164" t="s">
        <v>174</v>
      </c>
      <c r="C54" s="165" t="s">
        <v>52</v>
      </c>
      <c r="D54" s="165" t="s">
        <v>48</v>
      </c>
      <c r="E54" s="166">
        <v>10</v>
      </c>
      <c r="F54" s="165"/>
      <c r="G54" s="165"/>
      <c r="H54" s="165" t="s">
        <v>121</v>
      </c>
      <c r="I54" s="165" t="s">
        <v>31</v>
      </c>
      <c r="J54" s="166">
        <v>10</v>
      </c>
      <c r="K54" s="165"/>
      <c r="L54" s="165"/>
      <c r="M54" s="165" t="s">
        <v>31</v>
      </c>
      <c r="N54" s="165" t="s">
        <v>47</v>
      </c>
      <c r="O54" s="166">
        <v>10</v>
      </c>
      <c r="P54" s="166" t="s">
        <v>175</v>
      </c>
      <c r="Q54" s="521">
        <f>R54*(1-Bolts!$E$1179)</f>
        <v>121.6</v>
      </c>
      <c r="R54" s="150">
        <v>121.6</v>
      </c>
      <c r="S54" s="168">
        <f t="shared" si="10"/>
        <v>0</v>
      </c>
      <c r="T54" s="152"/>
      <c r="U54" s="169"/>
      <c r="V54" s="170"/>
      <c r="W54" s="171"/>
      <c r="X54" s="172"/>
      <c r="Y54" s="173"/>
      <c r="Z54" s="174"/>
      <c r="AA54" s="175"/>
      <c r="AB54" s="176"/>
      <c r="AC54" s="168">
        <f t="shared" si="11"/>
        <v>0</v>
      </c>
      <c r="AD54" s="177">
        <f t="shared" si="12"/>
        <v>0</v>
      </c>
      <c r="AE54" s="178">
        <v>4.05</v>
      </c>
      <c r="AF54" s="179">
        <f t="shared" si="13"/>
        <v>0</v>
      </c>
      <c r="AH54" s="180"/>
      <c r="AK54" s="1"/>
      <c r="AL54" s="1"/>
      <c r="AM54" s="1"/>
      <c r="AN54" s="1"/>
    </row>
    <row r="55" spans="1:40" ht="12.75" customHeight="1">
      <c r="A55" s="181"/>
      <c r="B55" s="164" t="s">
        <v>176</v>
      </c>
      <c r="C55" s="165" t="s">
        <v>52</v>
      </c>
      <c r="D55" s="165" t="s">
        <v>38</v>
      </c>
      <c r="E55" s="166">
        <v>10</v>
      </c>
      <c r="F55" s="165"/>
      <c r="G55" s="165"/>
      <c r="H55" s="165" t="s">
        <v>121</v>
      </c>
      <c r="I55" s="165" t="s">
        <v>38</v>
      </c>
      <c r="J55" s="166">
        <v>10</v>
      </c>
      <c r="K55" s="165"/>
      <c r="L55" s="165"/>
      <c r="M55" s="165" t="s">
        <v>38</v>
      </c>
      <c r="N55" s="165" t="s">
        <v>49</v>
      </c>
      <c r="O55" s="166">
        <v>10</v>
      </c>
      <c r="P55" s="166" t="s">
        <v>177</v>
      </c>
      <c r="Q55" s="521">
        <f>R55*(1-Bolts!$E$1179)</f>
        <v>74.8</v>
      </c>
      <c r="R55" s="150">
        <v>74.8</v>
      </c>
      <c r="S55" s="168">
        <f t="shared" si="10"/>
        <v>0</v>
      </c>
      <c r="T55" s="152"/>
      <c r="U55" s="169"/>
      <c r="V55" s="170"/>
      <c r="W55" s="171"/>
      <c r="X55" s="172"/>
      <c r="Y55" s="173"/>
      <c r="Z55" s="174"/>
      <c r="AA55" s="175"/>
      <c r="AB55" s="176"/>
      <c r="AC55" s="168">
        <f t="shared" si="11"/>
        <v>0</v>
      </c>
      <c r="AD55" s="177">
        <f t="shared" si="12"/>
        <v>0</v>
      </c>
      <c r="AE55" s="178">
        <v>1.5</v>
      </c>
      <c r="AF55" s="179">
        <f t="shared" si="13"/>
        <v>0</v>
      </c>
      <c r="AH55" s="180"/>
      <c r="AK55" s="1"/>
      <c r="AL55" s="1"/>
      <c r="AM55" s="1"/>
      <c r="AN55" s="1"/>
    </row>
    <row r="56" spans="1:40" ht="12.75" customHeight="1">
      <c r="A56" s="87"/>
      <c r="B56" s="185"/>
      <c r="C56" s="165"/>
      <c r="D56" s="165"/>
      <c r="E56" s="166"/>
      <c r="F56" s="165"/>
      <c r="G56" s="165"/>
      <c r="H56" s="165"/>
      <c r="I56" s="165"/>
      <c r="J56" s="166"/>
      <c r="K56" s="165"/>
      <c r="L56" s="165"/>
      <c r="M56" s="165"/>
      <c r="N56" s="165"/>
      <c r="O56" s="166"/>
      <c r="P56" s="166"/>
      <c r="Q56" s="522"/>
      <c r="R56" s="150"/>
      <c r="S56" s="186"/>
      <c r="T56" s="152"/>
      <c r="U56" s="187"/>
      <c r="V56" s="188"/>
      <c r="W56" s="187"/>
      <c r="X56" s="187"/>
      <c r="Y56" s="187"/>
      <c r="Z56" s="187"/>
      <c r="AA56" s="187"/>
      <c r="AB56" s="188"/>
      <c r="AC56" s="186"/>
      <c r="AD56" s="189"/>
      <c r="AE56" s="190"/>
      <c r="AF56" s="191"/>
      <c r="AH56" s="180"/>
      <c r="AK56" s="1"/>
      <c r="AL56" s="1"/>
      <c r="AM56" s="1"/>
      <c r="AN56" s="1"/>
    </row>
    <row r="57" spans="1:40" ht="12.75" customHeight="1">
      <c r="A57" s="87"/>
      <c r="B57" s="164" t="s">
        <v>178</v>
      </c>
      <c r="C57" s="165" t="s">
        <v>52</v>
      </c>
      <c r="D57" s="165" t="s">
        <v>48</v>
      </c>
      <c r="E57" s="166">
        <v>5</v>
      </c>
      <c r="F57" s="165" t="s">
        <v>38</v>
      </c>
      <c r="G57" s="165">
        <v>5</v>
      </c>
      <c r="H57" s="165" t="s">
        <v>121</v>
      </c>
      <c r="I57" s="165" t="s">
        <v>33</v>
      </c>
      <c r="J57" s="166">
        <v>5</v>
      </c>
      <c r="K57" s="165" t="s">
        <v>38</v>
      </c>
      <c r="L57" s="165">
        <v>5</v>
      </c>
      <c r="M57" s="165" t="s">
        <v>33</v>
      </c>
      <c r="N57" s="165" t="s">
        <v>48</v>
      </c>
      <c r="O57" s="166">
        <v>10</v>
      </c>
      <c r="P57" s="166" t="s">
        <v>179</v>
      </c>
      <c r="Q57" s="521">
        <f>R57*(1-Bolts!$E$1179)</f>
        <v>171.6</v>
      </c>
      <c r="R57" s="150">
        <v>171.6</v>
      </c>
      <c r="S57" s="168">
        <f t="shared" ref="S57:S61" si="14">SUM(T57:AB57)</f>
        <v>0</v>
      </c>
      <c r="T57" s="152"/>
      <c r="U57" s="169"/>
      <c r="V57" s="170"/>
      <c r="W57" s="171"/>
      <c r="X57" s="172"/>
      <c r="Y57" s="173"/>
      <c r="Z57" s="174"/>
      <c r="AA57" s="175"/>
      <c r="AB57" s="176"/>
      <c r="AC57" s="168">
        <f t="shared" ref="AC57:AC61" si="15">S57*O57</f>
        <v>0</v>
      </c>
      <c r="AD57" s="177">
        <f t="shared" ref="AD57:AD61" si="16">S57*R57</f>
        <v>0</v>
      </c>
      <c r="AE57" s="178">
        <v>6.95</v>
      </c>
      <c r="AF57" s="179">
        <f t="shared" ref="AF57:AF61" si="17">AE57*S57</f>
        <v>0</v>
      </c>
      <c r="AH57" s="180"/>
      <c r="AK57" s="1"/>
      <c r="AL57" s="1"/>
      <c r="AM57" s="1"/>
      <c r="AN57" s="1"/>
    </row>
    <row r="58" spans="1:40" ht="12.75" customHeight="1">
      <c r="A58" s="87"/>
      <c r="B58" s="164" t="s">
        <v>180</v>
      </c>
      <c r="C58" s="165" t="s">
        <v>52</v>
      </c>
      <c r="D58" s="165" t="s">
        <v>38</v>
      </c>
      <c r="E58" s="166">
        <v>8</v>
      </c>
      <c r="F58" s="165"/>
      <c r="G58" s="165"/>
      <c r="H58" s="165" t="s">
        <v>121</v>
      </c>
      <c r="I58" s="165" t="s">
        <v>38</v>
      </c>
      <c r="J58" s="166">
        <v>8</v>
      </c>
      <c r="K58" s="165"/>
      <c r="L58" s="165"/>
      <c r="M58" s="165" t="s">
        <v>38</v>
      </c>
      <c r="N58" s="165" t="s">
        <v>49</v>
      </c>
      <c r="O58" s="166">
        <v>8</v>
      </c>
      <c r="P58" s="166" t="s">
        <v>181</v>
      </c>
      <c r="Q58" s="521">
        <f>R58*(1-Bolts!$E$1179)</f>
        <v>326</v>
      </c>
      <c r="R58" s="150">
        <v>326</v>
      </c>
      <c r="S58" s="168">
        <f t="shared" si="14"/>
        <v>0</v>
      </c>
      <c r="T58" s="152"/>
      <c r="U58" s="169"/>
      <c r="V58" s="170"/>
      <c r="W58" s="171"/>
      <c r="X58" s="172"/>
      <c r="Y58" s="173"/>
      <c r="Z58" s="174"/>
      <c r="AA58" s="175"/>
      <c r="AB58" s="176"/>
      <c r="AC58" s="168">
        <f t="shared" si="15"/>
        <v>0</v>
      </c>
      <c r="AD58" s="177">
        <f t="shared" si="16"/>
        <v>0</v>
      </c>
      <c r="AE58" s="178">
        <v>13.7</v>
      </c>
      <c r="AF58" s="179">
        <f t="shared" si="17"/>
        <v>0</v>
      </c>
      <c r="AH58" s="180"/>
      <c r="AK58" s="1"/>
      <c r="AL58" s="1"/>
      <c r="AM58" s="1"/>
      <c r="AN58" s="1"/>
    </row>
    <row r="59" spans="1:40" ht="12.75" customHeight="1">
      <c r="A59" s="181"/>
      <c r="B59" s="164" t="s">
        <v>182</v>
      </c>
      <c r="C59" s="165" t="s">
        <v>52</v>
      </c>
      <c r="D59" s="165" t="s">
        <v>38</v>
      </c>
      <c r="E59" s="166">
        <v>4</v>
      </c>
      <c r="F59" s="165"/>
      <c r="G59" s="165"/>
      <c r="H59" s="165" t="s">
        <v>121</v>
      </c>
      <c r="I59" s="165" t="s">
        <v>38</v>
      </c>
      <c r="J59" s="166">
        <v>4</v>
      </c>
      <c r="K59" s="165"/>
      <c r="L59" s="165"/>
      <c r="M59" s="165" t="s">
        <v>38</v>
      </c>
      <c r="N59" s="165" t="s">
        <v>49</v>
      </c>
      <c r="O59" s="166">
        <v>4</v>
      </c>
      <c r="P59" s="166" t="s">
        <v>183</v>
      </c>
      <c r="Q59" s="521">
        <f>R59*(1-Bolts!$E$1179)</f>
        <v>140.19999999999999</v>
      </c>
      <c r="R59" s="150">
        <v>140.19999999999999</v>
      </c>
      <c r="S59" s="168">
        <f t="shared" si="14"/>
        <v>0</v>
      </c>
      <c r="T59" s="152"/>
      <c r="U59" s="169"/>
      <c r="V59" s="170"/>
      <c r="W59" s="171"/>
      <c r="X59" s="172"/>
      <c r="Y59" s="173"/>
      <c r="Z59" s="174"/>
      <c r="AA59" s="175"/>
      <c r="AB59" s="176"/>
      <c r="AC59" s="168">
        <f t="shared" si="15"/>
        <v>0</v>
      </c>
      <c r="AD59" s="177">
        <f t="shared" si="16"/>
        <v>0</v>
      </c>
      <c r="AE59" s="178">
        <v>3.74</v>
      </c>
      <c r="AF59" s="179">
        <f t="shared" si="17"/>
        <v>0</v>
      </c>
      <c r="AH59" s="180"/>
      <c r="AK59" s="1"/>
      <c r="AL59" s="1"/>
      <c r="AM59" s="1"/>
      <c r="AN59" s="1"/>
    </row>
    <row r="60" spans="1:40" ht="12.75" customHeight="1">
      <c r="A60" s="181"/>
      <c r="B60" s="164" t="s">
        <v>184</v>
      </c>
      <c r="C60" s="165" t="s">
        <v>52</v>
      </c>
      <c r="D60" s="165" t="s">
        <v>38</v>
      </c>
      <c r="E60" s="166">
        <v>5</v>
      </c>
      <c r="F60" s="165"/>
      <c r="G60" s="165"/>
      <c r="H60" s="165" t="s">
        <v>121</v>
      </c>
      <c r="I60" s="165" t="s">
        <v>38</v>
      </c>
      <c r="J60" s="166">
        <v>5</v>
      </c>
      <c r="K60" s="165"/>
      <c r="L60" s="165"/>
      <c r="M60" s="165" t="s">
        <v>38</v>
      </c>
      <c r="N60" s="165" t="s">
        <v>49</v>
      </c>
      <c r="O60" s="166">
        <v>5</v>
      </c>
      <c r="P60" s="166" t="s">
        <v>185</v>
      </c>
      <c r="Q60" s="521">
        <f>R60*(1-Bolts!$E$1179)</f>
        <v>147.6</v>
      </c>
      <c r="R60" s="150">
        <v>147.6</v>
      </c>
      <c r="S60" s="168">
        <f t="shared" si="14"/>
        <v>0</v>
      </c>
      <c r="T60" s="152"/>
      <c r="U60" s="169"/>
      <c r="V60" s="170"/>
      <c r="W60" s="171"/>
      <c r="X60" s="172"/>
      <c r="Y60" s="173"/>
      <c r="Z60" s="174"/>
      <c r="AA60" s="175"/>
      <c r="AB60" s="176"/>
      <c r="AC60" s="168">
        <f t="shared" si="15"/>
        <v>0</v>
      </c>
      <c r="AD60" s="177">
        <f t="shared" si="16"/>
        <v>0</v>
      </c>
      <c r="AE60" s="178">
        <v>4.6500000000000004</v>
      </c>
      <c r="AF60" s="179">
        <f t="shared" si="17"/>
        <v>0</v>
      </c>
      <c r="AH60" s="180"/>
      <c r="AK60" s="1"/>
      <c r="AL60" s="1"/>
      <c r="AM60" s="1"/>
      <c r="AN60" s="1"/>
    </row>
    <row r="61" spans="1:40" ht="12.75" customHeight="1">
      <c r="A61" s="181"/>
      <c r="B61" s="164" t="s">
        <v>186</v>
      </c>
      <c r="C61" s="165" t="s">
        <v>52</v>
      </c>
      <c r="D61" s="165" t="s">
        <v>38</v>
      </c>
      <c r="E61" s="166">
        <v>5</v>
      </c>
      <c r="F61" s="165"/>
      <c r="G61" s="165"/>
      <c r="H61" s="165" t="s">
        <v>121</v>
      </c>
      <c r="I61" s="165" t="s">
        <v>38</v>
      </c>
      <c r="J61" s="166">
        <v>5</v>
      </c>
      <c r="K61" s="165"/>
      <c r="L61" s="165"/>
      <c r="M61" s="165" t="s">
        <v>38</v>
      </c>
      <c r="N61" s="165" t="s">
        <v>49</v>
      </c>
      <c r="O61" s="166">
        <v>5</v>
      </c>
      <c r="P61" s="166" t="s">
        <v>187</v>
      </c>
      <c r="Q61" s="521">
        <f>R61*(1-Bolts!$E$1179)</f>
        <v>130.30000000000001</v>
      </c>
      <c r="R61" s="150">
        <v>130.30000000000001</v>
      </c>
      <c r="S61" s="168">
        <f t="shared" si="14"/>
        <v>0</v>
      </c>
      <c r="T61" s="152"/>
      <c r="U61" s="169"/>
      <c r="V61" s="170"/>
      <c r="W61" s="171"/>
      <c r="X61" s="172"/>
      <c r="Y61" s="173"/>
      <c r="Z61" s="174"/>
      <c r="AA61" s="175"/>
      <c r="AB61" s="176"/>
      <c r="AC61" s="168">
        <f t="shared" si="15"/>
        <v>0</v>
      </c>
      <c r="AD61" s="177">
        <f t="shared" si="16"/>
        <v>0</v>
      </c>
      <c r="AE61" s="178">
        <v>4</v>
      </c>
      <c r="AF61" s="179">
        <f t="shared" si="17"/>
        <v>0</v>
      </c>
      <c r="AH61" s="180"/>
      <c r="AK61" s="1"/>
      <c r="AL61" s="1"/>
      <c r="AM61" s="1"/>
      <c r="AN61" s="1"/>
    </row>
    <row r="62" spans="1:40" ht="12.75" customHeight="1">
      <c r="A62" s="87"/>
      <c r="B62" s="185"/>
      <c r="C62" s="165"/>
      <c r="D62" s="165"/>
      <c r="E62" s="166"/>
      <c r="F62" s="165"/>
      <c r="G62" s="165"/>
      <c r="H62" s="165"/>
      <c r="I62" s="165"/>
      <c r="J62" s="166"/>
      <c r="K62" s="165"/>
      <c r="L62" s="165"/>
      <c r="M62" s="165"/>
      <c r="N62" s="165"/>
      <c r="O62" s="166"/>
      <c r="P62" s="166"/>
      <c r="Q62" s="522"/>
      <c r="R62" s="150"/>
      <c r="S62" s="186"/>
      <c r="T62" s="152"/>
      <c r="U62" s="187"/>
      <c r="V62" s="188"/>
      <c r="W62" s="187"/>
      <c r="X62" s="187"/>
      <c r="Y62" s="187"/>
      <c r="Z62" s="187"/>
      <c r="AA62" s="187"/>
      <c r="AB62" s="188"/>
      <c r="AC62" s="186"/>
      <c r="AD62" s="189"/>
      <c r="AE62" s="190"/>
      <c r="AF62" s="191"/>
      <c r="AH62" s="180"/>
      <c r="AK62" s="1"/>
      <c r="AL62" s="1"/>
      <c r="AM62" s="1"/>
      <c r="AN62" s="1"/>
    </row>
    <row r="63" spans="1:40" ht="12.75" customHeight="1">
      <c r="A63" s="87"/>
      <c r="B63" s="192" t="s">
        <v>188</v>
      </c>
      <c r="C63" s="193" t="s">
        <v>52</v>
      </c>
      <c r="D63" s="193" t="s">
        <v>60</v>
      </c>
      <c r="E63" s="194">
        <v>3</v>
      </c>
      <c r="F63" s="193"/>
      <c r="G63" s="193"/>
      <c r="H63" s="193" t="s">
        <v>121</v>
      </c>
      <c r="I63" s="193" t="s">
        <v>28</v>
      </c>
      <c r="J63" s="194">
        <v>3</v>
      </c>
      <c r="K63" s="193"/>
      <c r="L63" s="193"/>
      <c r="M63" s="193" t="s">
        <v>28</v>
      </c>
      <c r="N63" s="193" t="s">
        <v>47</v>
      </c>
      <c r="O63" s="194">
        <v>3</v>
      </c>
      <c r="P63" s="194" t="s">
        <v>189</v>
      </c>
      <c r="Q63" s="521">
        <f>R63*(1-Bolts!$E$1179)</f>
        <v>569.70000000000005</v>
      </c>
      <c r="R63" s="150">
        <v>569.70000000000005</v>
      </c>
      <c r="S63" s="168">
        <f t="shared" ref="S63:S76" si="18">SUM(T63:AB63)</f>
        <v>0</v>
      </c>
      <c r="T63" s="152"/>
      <c r="U63" s="169"/>
      <c r="V63" s="170"/>
      <c r="W63" s="171"/>
      <c r="X63" s="172"/>
      <c r="Y63" s="173"/>
      <c r="Z63" s="174"/>
      <c r="AA63" s="175"/>
      <c r="AB63" s="176"/>
      <c r="AC63" s="168">
        <f t="shared" ref="AC63:AC76" si="19">S63*O63</f>
        <v>0</v>
      </c>
      <c r="AD63" s="177">
        <f t="shared" ref="AD63:AD76" si="20">S63*R63</f>
        <v>0</v>
      </c>
      <c r="AE63" s="178">
        <v>29.86</v>
      </c>
      <c r="AF63" s="179">
        <f>AE63*S63</f>
        <v>0</v>
      </c>
      <c r="AH63" s="180"/>
      <c r="AK63" s="1"/>
      <c r="AL63" s="1"/>
      <c r="AM63" s="1"/>
      <c r="AN63" s="1"/>
    </row>
    <row r="64" spans="1:40" ht="12.75" customHeight="1">
      <c r="A64" s="87"/>
      <c r="B64" s="195" t="s">
        <v>190</v>
      </c>
      <c r="C64" s="196" t="s">
        <v>52</v>
      </c>
      <c r="D64" s="196" t="s">
        <v>60</v>
      </c>
      <c r="E64" s="197">
        <v>1</v>
      </c>
      <c r="F64" s="196"/>
      <c r="G64" s="196"/>
      <c r="H64" s="196" t="s">
        <v>121</v>
      </c>
      <c r="I64" s="196" t="s">
        <v>28</v>
      </c>
      <c r="J64" s="197">
        <v>1</v>
      </c>
      <c r="K64" s="196"/>
      <c r="L64" s="196"/>
      <c r="M64" s="196" t="s">
        <v>28</v>
      </c>
      <c r="N64" s="196" t="s">
        <v>47</v>
      </c>
      <c r="O64" s="197">
        <v>1</v>
      </c>
      <c r="P64" s="197" t="s">
        <v>191</v>
      </c>
      <c r="Q64" s="523">
        <f>R64*(1-Bolts!$E$1179)</f>
        <v>161.4</v>
      </c>
      <c r="R64" s="150">
        <v>161.4</v>
      </c>
      <c r="S64" s="198">
        <f t="shared" si="18"/>
        <v>0</v>
      </c>
      <c r="T64" s="152"/>
      <c r="U64" s="199"/>
      <c r="V64" s="200"/>
      <c r="W64" s="199"/>
      <c r="X64" s="199"/>
      <c r="Y64" s="199"/>
      <c r="Z64" s="199"/>
      <c r="AA64" s="199"/>
      <c r="AB64" s="199"/>
      <c r="AC64" s="198">
        <f t="shared" si="19"/>
        <v>0</v>
      </c>
      <c r="AD64" s="177">
        <f t="shared" si="20"/>
        <v>0</v>
      </c>
      <c r="AE64" s="201">
        <v>8.7000000000000011</v>
      </c>
      <c r="AF64" s="202">
        <v>0</v>
      </c>
      <c r="AH64" s="180"/>
      <c r="AK64" s="1"/>
      <c r="AL64" s="1"/>
      <c r="AM64" s="1"/>
      <c r="AN64" s="1"/>
    </row>
    <row r="65" spans="1:40" ht="12.75" customHeight="1">
      <c r="A65" s="87"/>
      <c r="B65" s="195" t="s">
        <v>192</v>
      </c>
      <c r="C65" s="196" t="s">
        <v>52</v>
      </c>
      <c r="D65" s="196" t="s">
        <v>60</v>
      </c>
      <c r="E65" s="197">
        <v>1</v>
      </c>
      <c r="F65" s="196"/>
      <c r="G65" s="196"/>
      <c r="H65" s="196" t="s">
        <v>121</v>
      </c>
      <c r="I65" s="196" t="s">
        <v>28</v>
      </c>
      <c r="J65" s="197">
        <v>1</v>
      </c>
      <c r="K65" s="196"/>
      <c r="L65" s="196"/>
      <c r="M65" s="196" t="s">
        <v>28</v>
      </c>
      <c r="N65" s="196" t="s">
        <v>48</v>
      </c>
      <c r="O65" s="197">
        <v>1</v>
      </c>
      <c r="P65" s="197" t="s">
        <v>193</v>
      </c>
      <c r="Q65" s="523">
        <f>R65*(1-Bolts!$E$1179)</f>
        <v>182.8</v>
      </c>
      <c r="R65" s="150">
        <v>182.8</v>
      </c>
      <c r="S65" s="198">
        <f t="shared" si="18"/>
        <v>0</v>
      </c>
      <c r="T65" s="152"/>
      <c r="U65" s="199"/>
      <c r="V65" s="200"/>
      <c r="W65" s="199"/>
      <c r="X65" s="199"/>
      <c r="Y65" s="199"/>
      <c r="Z65" s="199"/>
      <c r="AA65" s="199"/>
      <c r="AB65" s="199"/>
      <c r="AC65" s="198">
        <f t="shared" si="19"/>
        <v>0</v>
      </c>
      <c r="AD65" s="177">
        <f t="shared" si="20"/>
        <v>0</v>
      </c>
      <c r="AE65" s="201">
        <v>7.46</v>
      </c>
      <c r="AF65" s="202">
        <v>0</v>
      </c>
      <c r="AH65" s="180"/>
      <c r="AK65" s="1"/>
      <c r="AL65" s="1"/>
      <c r="AM65" s="1"/>
      <c r="AN65" s="1"/>
    </row>
    <row r="66" spans="1:40" ht="12.75" customHeight="1">
      <c r="A66" s="87"/>
      <c r="B66" s="195" t="s">
        <v>194</v>
      </c>
      <c r="C66" s="196" t="s">
        <v>52</v>
      </c>
      <c r="D66" s="196" t="s">
        <v>60</v>
      </c>
      <c r="E66" s="197">
        <v>1</v>
      </c>
      <c r="F66" s="196"/>
      <c r="G66" s="196"/>
      <c r="H66" s="196" t="s">
        <v>121</v>
      </c>
      <c r="I66" s="196" t="s">
        <v>28</v>
      </c>
      <c r="J66" s="197">
        <v>1</v>
      </c>
      <c r="K66" s="196"/>
      <c r="L66" s="196"/>
      <c r="M66" s="196" t="s">
        <v>28</v>
      </c>
      <c r="N66" s="196" t="s">
        <v>47</v>
      </c>
      <c r="O66" s="197">
        <v>1</v>
      </c>
      <c r="P66" s="197" t="s">
        <v>195</v>
      </c>
      <c r="Q66" s="523">
        <f>R66*(1-Bolts!$E$1179)</f>
        <v>274.8</v>
      </c>
      <c r="R66" s="150">
        <v>274.8</v>
      </c>
      <c r="S66" s="198">
        <f t="shared" si="18"/>
        <v>0</v>
      </c>
      <c r="T66" s="152"/>
      <c r="U66" s="199"/>
      <c r="V66" s="200"/>
      <c r="W66" s="199"/>
      <c r="X66" s="199"/>
      <c r="Y66" s="199"/>
      <c r="Z66" s="199"/>
      <c r="AA66" s="199"/>
      <c r="AB66" s="199"/>
      <c r="AC66" s="198">
        <f t="shared" si="19"/>
        <v>0</v>
      </c>
      <c r="AD66" s="177">
        <f t="shared" si="20"/>
        <v>0</v>
      </c>
      <c r="AE66" s="201">
        <v>13.7</v>
      </c>
      <c r="AF66" s="202">
        <v>0</v>
      </c>
      <c r="AH66" s="180"/>
      <c r="AK66" s="1"/>
      <c r="AL66" s="1"/>
      <c r="AM66" s="1"/>
      <c r="AN66" s="1"/>
    </row>
    <row r="67" spans="1:40" ht="12.75" customHeight="1">
      <c r="A67" s="181"/>
      <c r="B67" s="192" t="s">
        <v>196</v>
      </c>
      <c r="C67" s="193" t="s">
        <v>52</v>
      </c>
      <c r="D67" s="193" t="s">
        <v>60</v>
      </c>
      <c r="E67" s="194">
        <v>2</v>
      </c>
      <c r="F67" s="193"/>
      <c r="G67" s="193"/>
      <c r="H67" s="193" t="s">
        <v>121</v>
      </c>
      <c r="I67" s="193" t="s">
        <v>28</v>
      </c>
      <c r="J67" s="194">
        <v>2</v>
      </c>
      <c r="K67" s="193"/>
      <c r="L67" s="193"/>
      <c r="M67" s="193" t="s">
        <v>28</v>
      </c>
      <c r="N67" s="193" t="s">
        <v>48</v>
      </c>
      <c r="O67" s="194">
        <v>2</v>
      </c>
      <c r="P67" s="194" t="s">
        <v>197</v>
      </c>
      <c r="Q67" s="521">
        <f>R67*(1-Bolts!$E$1179)</f>
        <v>764.1</v>
      </c>
      <c r="R67" s="150">
        <v>764.1</v>
      </c>
      <c r="S67" s="168">
        <f t="shared" si="18"/>
        <v>0</v>
      </c>
      <c r="T67" s="152"/>
      <c r="U67" s="169"/>
      <c r="V67" s="170"/>
      <c r="W67" s="171"/>
      <c r="X67" s="172"/>
      <c r="Y67" s="173"/>
      <c r="Z67" s="174"/>
      <c r="AA67" s="175"/>
      <c r="AB67" s="176"/>
      <c r="AC67" s="168">
        <f t="shared" si="19"/>
        <v>0</v>
      </c>
      <c r="AD67" s="177">
        <f t="shared" si="20"/>
        <v>0</v>
      </c>
      <c r="AE67" s="178">
        <v>39.479999999999997</v>
      </c>
      <c r="AF67" s="179">
        <f t="shared" ref="AF67:AF76" si="21">AE67*S67</f>
        <v>0</v>
      </c>
      <c r="AH67" s="180"/>
      <c r="AK67" s="1"/>
      <c r="AL67" s="1"/>
      <c r="AM67" s="1"/>
      <c r="AN67" s="1"/>
    </row>
    <row r="68" spans="1:40" ht="12.75" customHeight="1">
      <c r="A68" s="181"/>
      <c r="B68" s="195" t="s">
        <v>198</v>
      </c>
      <c r="C68" s="196" t="s">
        <v>52</v>
      </c>
      <c r="D68" s="196" t="s">
        <v>60</v>
      </c>
      <c r="E68" s="197">
        <v>1</v>
      </c>
      <c r="F68" s="196"/>
      <c r="G68" s="196"/>
      <c r="H68" s="196" t="s">
        <v>121</v>
      </c>
      <c r="I68" s="196" t="s">
        <v>28</v>
      </c>
      <c r="J68" s="197">
        <v>1</v>
      </c>
      <c r="K68" s="196"/>
      <c r="L68" s="196"/>
      <c r="M68" s="196" t="s">
        <v>28</v>
      </c>
      <c r="N68" s="196" t="s">
        <v>48</v>
      </c>
      <c r="O68" s="197">
        <v>1</v>
      </c>
      <c r="P68" s="197" t="s">
        <v>199</v>
      </c>
      <c r="Q68" s="523">
        <f>R68*(1-Bolts!$E$1179)</f>
        <v>372.6</v>
      </c>
      <c r="R68" s="150">
        <v>372.6</v>
      </c>
      <c r="S68" s="198">
        <f t="shared" si="18"/>
        <v>0</v>
      </c>
      <c r="T68" s="152"/>
      <c r="U68" s="199"/>
      <c r="V68" s="200"/>
      <c r="W68" s="199"/>
      <c r="X68" s="199"/>
      <c r="Y68" s="199"/>
      <c r="Z68" s="199"/>
      <c r="AA68" s="199"/>
      <c r="AB68" s="199"/>
      <c r="AC68" s="198">
        <f t="shared" si="19"/>
        <v>0</v>
      </c>
      <c r="AD68" s="177">
        <f t="shared" si="20"/>
        <v>0</v>
      </c>
      <c r="AE68" s="201">
        <v>18.48</v>
      </c>
      <c r="AF68" s="202">
        <f t="shared" si="21"/>
        <v>0</v>
      </c>
      <c r="AH68" s="180"/>
      <c r="AK68" s="1"/>
      <c r="AL68" s="1"/>
      <c r="AM68" s="1"/>
      <c r="AN68" s="1"/>
    </row>
    <row r="69" spans="1:40" ht="12.75" customHeight="1">
      <c r="A69" s="181"/>
      <c r="B69" s="195" t="s">
        <v>200</v>
      </c>
      <c r="C69" s="196" t="s">
        <v>52</v>
      </c>
      <c r="D69" s="196" t="s">
        <v>60</v>
      </c>
      <c r="E69" s="197">
        <v>1</v>
      </c>
      <c r="F69" s="196"/>
      <c r="G69" s="196"/>
      <c r="H69" s="196" t="s">
        <v>121</v>
      </c>
      <c r="I69" s="196" t="s">
        <v>28</v>
      </c>
      <c r="J69" s="197">
        <v>1</v>
      </c>
      <c r="K69" s="196"/>
      <c r="L69" s="196"/>
      <c r="M69" s="196" t="s">
        <v>28</v>
      </c>
      <c r="N69" s="196" t="s">
        <v>48</v>
      </c>
      <c r="O69" s="197">
        <v>1</v>
      </c>
      <c r="P69" s="197" t="s">
        <v>201</v>
      </c>
      <c r="Q69" s="523">
        <f>R69*(1-Bolts!$E$1179)</f>
        <v>416</v>
      </c>
      <c r="R69" s="150">
        <v>416</v>
      </c>
      <c r="S69" s="198">
        <f t="shared" si="18"/>
        <v>0</v>
      </c>
      <c r="T69" s="152"/>
      <c r="U69" s="199"/>
      <c r="V69" s="200"/>
      <c r="W69" s="199"/>
      <c r="X69" s="199"/>
      <c r="Y69" s="199"/>
      <c r="Z69" s="199"/>
      <c r="AA69" s="199"/>
      <c r="AB69" s="199"/>
      <c r="AC69" s="198">
        <f t="shared" si="19"/>
        <v>0</v>
      </c>
      <c r="AD69" s="177">
        <f t="shared" si="20"/>
        <v>0</v>
      </c>
      <c r="AE69" s="201">
        <v>21</v>
      </c>
      <c r="AF69" s="202">
        <f t="shared" si="21"/>
        <v>0</v>
      </c>
      <c r="AH69" s="180"/>
      <c r="AK69" s="1"/>
      <c r="AL69" s="1"/>
      <c r="AM69" s="1"/>
      <c r="AN69" s="1"/>
    </row>
    <row r="70" spans="1:40" ht="12.75" customHeight="1">
      <c r="A70" s="181"/>
      <c r="B70" s="192" t="s">
        <v>202</v>
      </c>
      <c r="C70" s="193" t="s">
        <v>52</v>
      </c>
      <c r="D70" s="193" t="s">
        <v>60</v>
      </c>
      <c r="E70" s="194">
        <v>2</v>
      </c>
      <c r="F70" s="193"/>
      <c r="G70" s="193"/>
      <c r="H70" s="193" t="s">
        <v>121</v>
      </c>
      <c r="I70" s="193" t="s">
        <v>28</v>
      </c>
      <c r="J70" s="194">
        <v>2</v>
      </c>
      <c r="K70" s="193"/>
      <c r="L70" s="193"/>
      <c r="M70" s="193" t="s">
        <v>28</v>
      </c>
      <c r="N70" s="193" t="s">
        <v>47</v>
      </c>
      <c r="O70" s="194">
        <v>2</v>
      </c>
      <c r="P70" s="194" t="s">
        <v>203</v>
      </c>
      <c r="Q70" s="521">
        <f>R70*(1-Bolts!$E$1179)</f>
        <v>300.60000000000002</v>
      </c>
      <c r="R70" s="150">
        <v>300.60000000000002</v>
      </c>
      <c r="S70" s="168">
        <f t="shared" si="18"/>
        <v>0</v>
      </c>
      <c r="T70" s="152"/>
      <c r="U70" s="169"/>
      <c r="V70" s="170"/>
      <c r="W70" s="171"/>
      <c r="X70" s="172"/>
      <c r="Y70" s="173"/>
      <c r="Z70" s="174"/>
      <c r="AA70" s="175"/>
      <c r="AB70" s="176"/>
      <c r="AC70" s="168">
        <f t="shared" si="19"/>
        <v>0</v>
      </c>
      <c r="AD70" s="177">
        <f t="shared" si="20"/>
        <v>0</v>
      </c>
      <c r="AE70" s="178">
        <v>14.38</v>
      </c>
      <c r="AF70" s="179">
        <f t="shared" si="21"/>
        <v>0</v>
      </c>
      <c r="AH70" s="180"/>
      <c r="AK70" s="1"/>
      <c r="AL70" s="1"/>
      <c r="AM70" s="1"/>
      <c r="AN70" s="1"/>
    </row>
    <row r="71" spans="1:40" ht="12.75" customHeight="1">
      <c r="A71" s="181"/>
      <c r="B71" s="195" t="s">
        <v>204</v>
      </c>
      <c r="C71" s="196" t="s">
        <v>52</v>
      </c>
      <c r="D71" s="196" t="s">
        <v>60</v>
      </c>
      <c r="E71" s="197">
        <v>1</v>
      </c>
      <c r="F71" s="196"/>
      <c r="G71" s="196"/>
      <c r="H71" s="196" t="s">
        <v>121</v>
      </c>
      <c r="I71" s="196" t="s">
        <v>28</v>
      </c>
      <c r="J71" s="197">
        <v>1</v>
      </c>
      <c r="K71" s="196"/>
      <c r="L71" s="196"/>
      <c r="M71" s="196" t="s">
        <v>28</v>
      </c>
      <c r="N71" s="196" t="s">
        <v>47</v>
      </c>
      <c r="O71" s="197">
        <v>1</v>
      </c>
      <c r="P71" s="197" t="s">
        <v>205</v>
      </c>
      <c r="Q71" s="523">
        <f>R71*(1-Bolts!$E$1179)</f>
        <v>171.8</v>
      </c>
      <c r="R71" s="150">
        <v>171.8</v>
      </c>
      <c r="S71" s="198">
        <f t="shared" si="18"/>
        <v>0</v>
      </c>
      <c r="T71" s="152"/>
      <c r="U71" s="199"/>
      <c r="V71" s="200"/>
      <c r="W71" s="199"/>
      <c r="X71" s="199"/>
      <c r="Y71" s="199"/>
      <c r="Z71" s="199"/>
      <c r="AA71" s="199"/>
      <c r="AB71" s="199"/>
      <c r="AC71" s="198">
        <f t="shared" si="19"/>
        <v>0</v>
      </c>
      <c r="AD71" s="177">
        <f t="shared" si="20"/>
        <v>0</v>
      </c>
      <c r="AE71" s="201">
        <v>7.72</v>
      </c>
      <c r="AF71" s="202">
        <f t="shared" si="21"/>
        <v>0</v>
      </c>
      <c r="AH71" s="180"/>
      <c r="AK71" s="1"/>
      <c r="AL71" s="1"/>
      <c r="AM71" s="1"/>
      <c r="AN71" s="1"/>
    </row>
    <row r="72" spans="1:40" ht="12.75" customHeight="1">
      <c r="A72" s="181"/>
      <c r="B72" s="195" t="s">
        <v>206</v>
      </c>
      <c r="C72" s="196" t="s">
        <v>52</v>
      </c>
      <c r="D72" s="196" t="s">
        <v>60</v>
      </c>
      <c r="E72" s="197">
        <v>1</v>
      </c>
      <c r="F72" s="196"/>
      <c r="G72" s="196"/>
      <c r="H72" s="196" t="s">
        <v>121</v>
      </c>
      <c r="I72" s="196" t="s">
        <v>28</v>
      </c>
      <c r="J72" s="197">
        <v>1</v>
      </c>
      <c r="K72" s="196"/>
      <c r="L72" s="196"/>
      <c r="M72" s="196" t="s">
        <v>28</v>
      </c>
      <c r="N72" s="196" t="s">
        <v>47</v>
      </c>
      <c r="O72" s="197">
        <v>1</v>
      </c>
      <c r="P72" s="197" t="s">
        <v>207</v>
      </c>
      <c r="Q72" s="523">
        <f>R72*(1-Bolts!$E$1179)</f>
        <v>153.6</v>
      </c>
      <c r="R72" s="150">
        <v>153.6</v>
      </c>
      <c r="S72" s="198">
        <f t="shared" si="18"/>
        <v>0</v>
      </c>
      <c r="T72" s="152"/>
      <c r="U72" s="199"/>
      <c r="V72" s="200"/>
      <c r="W72" s="199"/>
      <c r="X72" s="199"/>
      <c r="Y72" s="199"/>
      <c r="Z72" s="199"/>
      <c r="AA72" s="199"/>
      <c r="AB72" s="199"/>
      <c r="AC72" s="198">
        <f t="shared" si="19"/>
        <v>0</v>
      </c>
      <c r="AD72" s="177">
        <f t="shared" si="20"/>
        <v>0</v>
      </c>
      <c r="AE72" s="201">
        <v>6.66</v>
      </c>
      <c r="AF72" s="202">
        <f t="shared" si="21"/>
        <v>0</v>
      </c>
      <c r="AH72" s="180"/>
      <c r="AK72" s="1"/>
      <c r="AL72" s="1"/>
      <c r="AM72" s="1"/>
      <c r="AN72" s="1"/>
    </row>
    <row r="73" spans="1:40" ht="12.75" customHeight="1">
      <c r="A73" s="87"/>
      <c r="B73" s="192" t="s">
        <v>208</v>
      </c>
      <c r="C73" s="193" t="s">
        <v>52</v>
      </c>
      <c r="D73" s="193" t="s">
        <v>60</v>
      </c>
      <c r="E73" s="194">
        <v>3</v>
      </c>
      <c r="F73" s="193"/>
      <c r="G73" s="193"/>
      <c r="H73" s="193" t="s">
        <v>121</v>
      </c>
      <c r="I73" s="193" t="s">
        <v>28</v>
      </c>
      <c r="J73" s="194">
        <v>3</v>
      </c>
      <c r="K73" s="193"/>
      <c r="L73" s="193"/>
      <c r="M73" s="193" t="s">
        <v>28</v>
      </c>
      <c r="N73" s="193" t="s">
        <v>48</v>
      </c>
      <c r="O73" s="194">
        <v>3</v>
      </c>
      <c r="P73" s="194" t="s">
        <v>209</v>
      </c>
      <c r="Q73" s="521">
        <f>R73*(1-Bolts!$E$1179)</f>
        <v>319.89999999999998</v>
      </c>
      <c r="R73" s="150">
        <v>319.89999999999998</v>
      </c>
      <c r="S73" s="168">
        <f t="shared" si="18"/>
        <v>0</v>
      </c>
      <c r="T73" s="152"/>
      <c r="U73" s="169"/>
      <c r="V73" s="170"/>
      <c r="W73" s="171"/>
      <c r="X73" s="172"/>
      <c r="Y73" s="173"/>
      <c r="Z73" s="174"/>
      <c r="AA73" s="175"/>
      <c r="AB73" s="176"/>
      <c r="AC73" s="168">
        <f t="shared" si="19"/>
        <v>0</v>
      </c>
      <c r="AD73" s="177">
        <f t="shared" si="20"/>
        <v>0</v>
      </c>
      <c r="AE73" s="178">
        <v>16.75</v>
      </c>
      <c r="AF73" s="179">
        <f t="shared" si="21"/>
        <v>0</v>
      </c>
      <c r="AH73" s="180"/>
      <c r="AK73" s="1"/>
      <c r="AL73" s="1"/>
      <c r="AM73" s="1"/>
      <c r="AN73" s="1"/>
    </row>
    <row r="74" spans="1:40" ht="12.75" customHeight="1">
      <c r="A74" s="181"/>
      <c r="B74" s="192" t="s">
        <v>210</v>
      </c>
      <c r="C74" s="193" t="s">
        <v>52</v>
      </c>
      <c r="D74" s="193" t="s">
        <v>60</v>
      </c>
      <c r="E74" s="194">
        <v>3</v>
      </c>
      <c r="F74" s="193"/>
      <c r="G74" s="193"/>
      <c r="H74" s="193" t="s">
        <v>121</v>
      </c>
      <c r="I74" s="193" t="s">
        <v>28</v>
      </c>
      <c r="J74" s="194">
        <v>3</v>
      </c>
      <c r="K74" s="193"/>
      <c r="L74" s="193"/>
      <c r="M74" s="193" t="s">
        <v>28</v>
      </c>
      <c r="N74" s="193" t="s">
        <v>47</v>
      </c>
      <c r="O74" s="194">
        <v>3</v>
      </c>
      <c r="P74" s="194" t="s">
        <v>211</v>
      </c>
      <c r="Q74" s="521">
        <f>R74*(1-Bolts!$E$1179)</f>
        <v>465.8</v>
      </c>
      <c r="R74" s="150">
        <v>465.8</v>
      </c>
      <c r="S74" s="168">
        <f t="shared" si="18"/>
        <v>0</v>
      </c>
      <c r="T74" s="152"/>
      <c r="U74" s="169"/>
      <c r="V74" s="170"/>
      <c r="W74" s="171"/>
      <c r="X74" s="172"/>
      <c r="Y74" s="173"/>
      <c r="Z74" s="174"/>
      <c r="AA74" s="175"/>
      <c r="AB74" s="176"/>
      <c r="AC74" s="168">
        <f t="shared" si="19"/>
        <v>0</v>
      </c>
      <c r="AD74" s="177">
        <f t="shared" si="20"/>
        <v>0</v>
      </c>
      <c r="AE74" s="178">
        <v>24.1</v>
      </c>
      <c r="AF74" s="179">
        <f t="shared" si="21"/>
        <v>0</v>
      </c>
      <c r="AH74" s="180"/>
      <c r="AK74" s="1"/>
      <c r="AL74" s="1"/>
      <c r="AM74" s="1"/>
      <c r="AN74" s="1"/>
    </row>
    <row r="75" spans="1:40" ht="12.75" customHeight="1">
      <c r="A75" s="181"/>
      <c r="B75" s="192" t="s">
        <v>212</v>
      </c>
      <c r="C75" s="193" t="s">
        <v>52</v>
      </c>
      <c r="D75" s="193" t="s">
        <v>60</v>
      </c>
      <c r="E75" s="194">
        <v>1</v>
      </c>
      <c r="F75" s="193"/>
      <c r="G75" s="193"/>
      <c r="H75" s="193" t="s">
        <v>121</v>
      </c>
      <c r="I75" s="193" t="s">
        <v>28</v>
      </c>
      <c r="J75" s="194">
        <v>1</v>
      </c>
      <c r="K75" s="193"/>
      <c r="L75" s="193"/>
      <c r="M75" s="193" t="s">
        <v>28</v>
      </c>
      <c r="N75" s="193" t="s">
        <v>49</v>
      </c>
      <c r="O75" s="194">
        <v>1</v>
      </c>
      <c r="P75" s="194" t="s">
        <v>213</v>
      </c>
      <c r="Q75" s="521">
        <f>R75*(1-Bolts!$E$1179)</f>
        <v>248.5</v>
      </c>
      <c r="R75" s="150">
        <v>248.5</v>
      </c>
      <c r="S75" s="168">
        <f t="shared" si="18"/>
        <v>0</v>
      </c>
      <c r="T75" s="152"/>
      <c r="U75" s="169"/>
      <c r="V75" s="170"/>
      <c r="W75" s="171"/>
      <c r="X75" s="172"/>
      <c r="Y75" s="173"/>
      <c r="Z75" s="174"/>
      <c r="AA75" s="175"/>
      <c r="AB75" s="176"/>
      <c r="AC75" s="168">
        <f t="shared" si="19"/>
        <v>0</v>
      </c>
      <c r="AD75" s="177">
        <f t="shared" si="20"/>
        <v>0</v>
      </c>
      <c r="AE75" s="178">
        <v>12.4</v>
      </c>
      <c r="AF75" s="179">
        <f t="shared" si="21"/>
        <v>0</v>
      </c>
      <c r="AH75" s="180"/>
      <c r="AK75" s="1"/>
      <c r="AL75" s="1"/>
      <c r="AM75" s="1"/>
      <c r="AN75" s="1"/>
    </row>
    <row r="76" spans="1:40" ht="12.75" customHeight="1">
      <c r="A76" s="181"/>
      <c r="B76" s="192" t="s">
        <v>214</v>
      </c>
      <c r="C76" s="193" t="s">
        <v>52</v>
      </c>
      <c r="D76" s="193" t="s">
        <v>60</v>
      </c>
      <c r="E76" s="194">
        <v>3</v>
      </c>
      <c r="F76" s="193"/>
      <c r="G76" s="193"/>
      <c r="H76" s="193" t="s">
        <v>121</v>
      </c>
      <c r="I76" s="193" t="s">
        <v>28</v>
      </c>
      <c r="J76" s="194">
        <v>3</v>
      </c>
      <c r="K76" s="193"/>
      <c r="L76" s="193"/>
      <c r="M76" s="193" t="s">
        <v>28</v>
      </c>
      <c r="N76" s="193" t="s">
        <v>48</v>
      </c>
      <c r="O76" s="194">
        <v>3</v>
      </c>
      <c r="P76" s="194" t="s">
        <v>215</v>
      </c>
      <c r="Q76" s="521">
        <f>R76*(1-Bolts!$E$1179)</f>
        <v>391.3</v>
      </c>
      <c r="R76" s="150">
        <v>391.3</v>
      </c>
      <c r="S76" s="168">
        <f t="shared" si="18"/>
        <v>0</v>
      </c>
      <c r="T76" s="152"/>
      <c r="U76" s="169"/>
      <c r="V76" s="170"/>
      <c r="W76" s="171"/>
      <c r="X76" s="172"/>
      <c r="Y76" s="173"/>
      <c r="Z76" s="174"/>
      <c r="AA76" s="175"/>
      <c r="AB76" s="176"/>
      <c r="AC76" s="168">
        <f t="shared" si="19"/>
        <v>0</v>
      </c>
      <c r="AD76" s="177">
        <f t="shared" si="20"/>
        <v>0</v>
      </c>
      <c r="AE76" s="178">
        <v>19.399999999999999</v>
      </c>
      <c r="AF76" s="179">
        <f t="shared" si="21"/>
        <v>0</v>
      </c>
      <c r="AH76" s="180"/>
      <c r="AK76" s="1"/>
      <c r="AL76" s="1"/>
      <c r="AM76" s="1"/>
      <c r="AN76" s="1"/>
    </row>
    <row r="77" spans="1:40" ht="12.75" customHeight="1">
      <c r="A77" s="87"/>
      <c r="B77" s="185"/>
      <c r="C77" s="165"/>
      <c r="D77" s="165"/>
      <c r="E77" s="166"/>
      <c r="F77" s="165"/>
      <c r="G77" s="165"/>
      <c r="H77" s="165"/>
      <c r="I77" s="165"/>
      <c r="J77" s="166"/>
      <c r="K77" s="165"/>
      <c r="L77" s="165"/>
      <c r="M77" s="165"/>
      <c r="N77" s="165"/>
      <c r="O77" s="166"/>
      <c r="P77" s="166"/>
      <c r="Q77" s="522"/>
      <c r="R77" s="150"/>
      <c r="S77" s="186"/>
      <c r="T77" s="152"/>
      <c r="U77" s="187"/>
      <c r="V77" s="188"/>
      <c r="W77" s="187"/>
      <c r="X77" s="187"/>
      <c r="Y77" s="187"/>
      <c r="Z77" s="187"/>
      <c r="AA77" s="187"/>
      <c r="AB77" s="188"/>
      <c r="AC77" s="186"/>
      <c r="AD77" s="189"/>
      <c r="AE77" s="190"/>
      <c r="AF77" s="191"/>
      <c r="AH77" s="180"/>
      <c r="AK77" s="1"/>
      <c r="AL77" s="1"/>
      <c r="AM77" s="1"/>
      <c r="AN77" s="1"/>
    </row>
    <row r="78" spans="1:40" ht="12.75" customHeight="1">
      <c r="A78" s="87"/>
      <c r="B78" s="192" t="s">
        <v>216</v>
      </c>
      <c r="C78" s="193" t="s">
        <v>52</v>
      </c>
      <c r="D78" s="193" t="s">
        <v>61</v>
      </c>
      <c r="E78" s="194">
        <v>4</v>
      </c>
      <c r="F78" s="193"/>
      <c r="G78" s="193"/>
      <c r="H78" s="193" t="s">
        <v>121</v>
      </c>
      <c r="I78" s="193" t="s">
        <v>37</v>
      </c>
      <c r="J78" s="194">
        <v>4</v>
      </c>
      <c r="K78" s="193"/>
      <c r="L78" s="193"/>
      <c r="M78" s="193" t="s">
        <v>37</v>
      </c>
      <c r="N78" s="193" t="s">
        <v>49</v>
      </c>
      <c r="O78" s="194">
        <v>4</v>
      </c>
      <c r="P78" s="194" t="s">
        <v>217</v>
      </c>
      <c r="Q78" s="521">
        <f>R78*(1-Bolts!$E$1179)</f>
        <v>326.39999999999998</v>
      </c>
      <c r="R78" s="150">
        <v>326.39999999999998</v>
      </c>
      <c r="S78" s="168">
        <f t="shared" ref="S78:S85" si="22">SUM(T78:AB78)</f>
        <v>0</v>
      </c>
      <c r="T78" s="152"/>
      <c r="U78" s="169"/>
      <c r="V78" s="170"/>
      <c r="W78" s="171"/>
      <c r="X78" s="172"/>
      <c r="Y78" s="173"/>
      <c r="Z78" s="174"/>
      <c r="AA78" s="175"/>
      <c r="AB78" s="176"/>
      <c r="AC78" s="168">
        <f t="shared" ref="AC78:AC85" si="23">S78*O78</f>
        <v>0</v>
      </c>
      <c r="AD78" s="177">
        <f t="shared" ref="AD78:AD85" si="24">S78*R78</f>
        <v>0</v>
      </c>
      <c r="AE78" s="178">
        <v>19.96</v>
      </c>
      <c r="AF78" s="179">
        <f t="shared" ref="AF78:AF85" si="25">AE78*S78</f>
        <v>0</v>
      </c>
      <c r="AH78" s="180"/>
      <c r="AK78" s="1"/>
      <c r="AL78" s="1"/>
      <c r="AM78" s="1"/>
      <c r="AN78" s="1"/>
    </row>
    <row r="79" spans="1:40" ht="12.75" customHeight="1">
      <c r="A79" s="87"/>
      <c r="B79" s="192" t="s">
        <v>218</v>
      </c>
      <c r="C79" s="193" t="s">
        <v>52</v>
      </c>
      <c r="D79" s="193" t="s">
        <v>61</v>
      </c>
      <c r="E79" s="194">
        <v>4</v>
      </c>
      <c r="F79" s="193"/>
      <c r="G79" s="193"/>
      <c r="H79" s="193" t="s">
        <v>121</v>
      </c>
      <c r="I79" s="193" t="s">
        <v>37</v>
      </c>
      <c r="J79" s="194">
        <v>4</v>
      </c>
      <c r="K79" s="193"/>
      <c r="L79" s="193"/>
      <c r="M79" s="193" t="s">
        <v>37</v>
      </c>
      <c r="N79" s="193" t="s">
        <v>47</v>
      </c>
      <c r="O79" s="194">
        <v>4</v>
      </c>
      <c r="P79" s="194" t="s">
        <v>219</v>
      </c>
      <c r="Q79" s="521">
        <f>R79*(1-Bolts!$E$1179)</f>
        <v>228.8</v>
      </c>
      <c r="R79" s="150">
        <v>228.8</v>
      </c>
      <c r="S79" s="168">
        <f t="shared" si="22"/>
        <v>0</v>
      </c>
      <c r="T79" s="152"/>
      <c r="U79" s="169"/>
      <c r="V79" s="170"/>
      <c r="W79" s="171"/>
      <c r="X79" s="172"/>
      <c r="Y79" s="173"/>
      <c r="Z79" s="174"/>
      <c r="AA79" s="175"/>
      <c r="AB79" s="176"/>
      <c r="AC79" s="168">
        <f t="shared" si="23"/>
        <v>0</v>
      </c>
      <c r="AD79" s="177">
        <f t="shared" si="24"/>
        <v>0</v>
      </c>
      <c r="AE79" s="178">
        <v>15.19</v>
      </c>
      <c r="AF79" s="179">
        <f t="shared" si="25"/>
        <v>0</v>
      </c>
      <c r="AH79" s="180"/>
      <c r="AK79" s="1"/>
      <c r="AL79" s="1"/>
      <c r="AM79" s="1"/>
      <c r="AN79" s="1"/>
    </row>
    <row r="80" spans="1:40" ht="12.75" customHeight="1">
      <c r="A80" s="87"/>
      <c r="B80" s="192" t="s">
        <v>220</v>
      </c>
      <c r="C80" s="193" t="s">
        <v>52</v>
      </c>
      <c r="D80" s="193" t="s">
        <v>61</v>
      </c>
      <c r="E80" s="194">
        <v>4</v>
      </c>
      <c r="F80" s="193"/>
      <c r="G80" s="193"/>
      <c r="H80" s="193" t="s">
        <v>121</v>
      </c>
      <c r="I80" s="193" t="s">
        <v>37</v>
      </c>
      <c r="J80" s="194">
        <v>4</v>
      </c>
      <c r="K80" s="193"/>
      <c r="L80" s="193"/>
      <c r="M80" s="193" t="s">
        <v>37</v>
      </c>
      <c r="N80" s="193" t="s">
        <v>49</v>
      </c>
      <c r="O80" s="194">
        <v>4</v>
      </c>
      <c r="P80" s="194" t="s">
        <v>221</v>
      </c>
      <c r="Q80" s="521">
        <f>R80*(1-Bolts!$E$1179)</f>
        <v>361.5</v>
      </c>
      <c r="R80" s="150">
        <v>361.5</v>
      </c>
      <c r="S80" s="168">
        <f t="shared" si="22"/>
        <v>0</v>
      </c>
      <c r="T80" s="152"/>
      <c r="U80" s="169"/>
      <c r="V80" s="170"/>
      <c r="W80" s="171"/>
      <c r="X80" s="172"/>
      <c r="Y80" s="173"/>
      <c r="Z80" s="174"/>
      <c r="AA80" s="175"/>
      <c r="AB80" s="176"/>
      <c r="AC80" s="168">
        <f t="shared" si="23"/>
        <v>0</v>
      </c>
      <c r="AD80" s="177">
        <f t="shared" si="24"/>
        <v>0</v>
      </c>
      <c r="AE80" s="178">
        <v>17.78</v>
      </c>
      <c r="AF80" s="179">
        <f t="shared" si="25"/>
        <v>0</v>
      </c>
      <c r="AH80" s="180"/>
      <c r="AK80" s="1"/>
      <c r="AL80" s="1"/>
      <c r="AM80" s="1"/>
      <c r="AN80" s="1"/>
    </row>
    <row r="81" spans="1:40" ht="12.75" customHeight="1">
      <c r="A81" s="87"/>
      <c r="B81" s="192" t="s">
        <v>222</v>
      </c>
      <c r="C81" s="193" t="s">
        <v>52</v>
      </c>
      <c r="D81" s="193" t="s">
        <v>61</v>
      </c>
      <c r="E81" s="194">
        <v>4</v>
      </c>
      <c r="F81" s="193"/>
      <c r="G81" s="193"/>
      <c r="H81" s="193" t="s">
        <v>121</v>
      </c>
      <c r="I81" s="193" t="s">
        <v>29</v>
      </c>
      <c r="J81" s="194">
        <v>4</v>
      </c>
      <c r="K81" s="193"/>
      <c r="L81" s="193"/>
      <c r="M81" s="193" t="s">
        <v>29</v>
      </c>
      <c r="N81" s="193" t="s">
        <v>47</v>
      </c>
      <c r="O81" s="194">
        <v>4</v>
      </c>
      <c r="P81" s="194" t="s">
        <v>223</v>
      </c>
      <c r="Q81" s="521">
        <f>R81*(1-Bolts!$E$1179)</f>
        <v>450.9</v>
      </c>
      <c r="R81" s="150">
        <v>450.9</v>
      </c>
      <c r="S81" s="168">
        <f t="shared" si="22"/>
        <v>0</v>
      </c>
      <c r="T81" s="152"/>
      <c r="U81" s="169"/>
      <c r="V81" s="170"/>
      <c r="W81" s="171"/>
      <c r="X81" s="172"/>
      <c r="Y81" s="173"/>
      <c r="Z81" s="174"/>
      <c r="AA81" s="175"/>
      <c r="AB81" s="176"/>
      <c r="AC81" s="168">
        <f t="shared" si="23"/>
        <v>0</v>
      </c>
      <c r="AD81" s="177">
        <f t="shared" si="24"/>
        <v>0</v>
      </c>
      <c r="AE81" s="178">
        <v>23.13</v>
      </c>
      <c r="AF81" s="179">
        <f t="shared" si="25"/>
        <v>0</v>
      </c>
      <c r="AH81" s="180"/>
      <c r="AK81" s="1"/>
      <c r="AL81" s="1"/>
      <c r="AM81" s="1"/>
      <c r="AN81" s="1"/>
    </row>
    <row r="82" spans="1:40" ht="12.75" customHeight="1">
      <c r="A82" s="181"/>
      <c r="B82" s="192" t="s">
        <v>224</v>
      </c>
      <c r="C82" s="193" t="s">
        <v>52</v>
      </c>
      <c r="D82" s="193" t="s">
        <v>61</v>
      </c>
      <c r="E82" s="194">
        <v>3</v>
      </c>
      <c r="F82" s="193"/>
      <c r="G82" s="193"/>
      <c r="H82" s="193" t="s">
        <v>121</v>
      </c>
      <c r="I82" s="193" t="s">
        <v>35</v>
      </c>
      <c r="J82" s="194">
        <v>3</v>
      </c>
      <c r="K82" s="193"/>
      <c r="L82" s="193"/>
      <c r="M82" s="193" t="s">
        <v>35</v>
      </c>
      <c r="N82" s="193" t="s">
        <v>48</v>
      </c>
      <c r="O82" s="194">
        <v>3</v>
      </c>
      <c r="P82" s="194" t="s">
        <v>225</v>
      </c>
      <c r="Q82" s="521">
        <f>R82*(1-Bolts!$E$1179)</f>
        <v>218</v>
      </c>
      <c r="R82" s="150">
        <v>218</v>
      </c>
      <c r="S82" s="168">
        <f t="shared" si="22"/>
        <v>0</v>
      </c>
      <c r="T82" s="152"/>
      <c r="U82" s="169"/>
      <c r="V82" s="170"/>
      <c r="W82" s="171"/>
      <c r="X82" s="172"/>
      <c r="Y82" s="173"/>
      <c r="Z82" s="174"/>
      <c r="AA82" s="175"/>
      <c r="AB82" s="176"/>
      <c r="AC82" s="168">
        <f t="shared" si="23"/>
        <v>0</v>
      </c>
      <c r="AD82" s="177">
        <f t="shared" si="24"/>
        <v>0</v>
      </c>
      <c r="AE82" s="178">
        <v>9.5500000000000007</v>
      </c>
      <c r="AF82" s="179">
        <f t="shared" si="25"/>
        <v>0</v>
      </c>
      <c r="AH82" s="180"/>
      <c r="AK82" s="1"/>
      <c r="AL82" s="1"/>
      <c r="AM82" s="1"/>
      <c r="AN82" s="1"/>
    </row>
    <row r="83" spans="1:40" ht="12.75" customHeight="1">
      <c r="A83" s="181"/>
      <c r="B83" s="192" t="s">
        <v>226</v>
      </c>
      <c r="C83" s="193" t="s">
        <v>52</v>
      </c>
      <c r="D83" s="193" t="s">
        <v>61</v>
      </c>
      <c r="E83" s="194">
        <v>3</v>
      </c>
      <c r="F83" s="193"/>
      <c r="G83" s="193"/>
      <c r="H83" s="193" t="s">
        <v>121</v>
      </c>
      <c r="I83" s="193" t="s">
        <v>35</v>
      </c>
      <c r="J83" s="194">
        <v>3</v>
      </c>
      <c r="K83" s="193"/>
      <c r="L83" s="193"/>
      <c r="M83" s="193" t="s">
        <v>35</v>
      </c>
      <c r="N83" s="193" t="s">
        <v>48</v>
      </c>
      <c r="O83" s="194">
        <v>3</v>
      </c>
      <c r="P83" s="194" t="s">
        <v>227</v>
      </c>
      <c r="Q83" s="521">
        <f>R83*(1-Bolts!$E$1179)</f>
        <v>249.6</v>
      </c>
      <c r="R83" s="150">
        <v>249.6</v>
      </c>
      <c r="S83" s="168">
        <f t="shared" si="22"/>
        <v>0</v>
      </c>
      <c r="T83" s="152"/>
      <c r="U83" s="169"/>
      <c r="V83" s="170"/>
      <c r="W83" s="171"/>
      <c r="X83" s="172"/>
      <c r="Y83" s="173"/>
      <c r="Z83" s="174"/>
      <c r="AA83" s="175"/>
      <c r="AB83" s="176"/>
      <c r="AC83" s="168">
        <f t="shared" si="23"/>
        <v>0</v>
      </c>
      <c r="AD83" s="177">
        <f t="shared" si="24"/>
        <v>0</v>
      </c>
      <c r="AE83" s="178">
        <v>11.35</v>
      </c>
      <c r="AF83" s="179">
        <f t="shared" si="25"/>
        <v>0</v>
      </c>
      <c r="AH83" s="180"/>
      <c r="AK83" s="1"/>
      <c r="AL83" s="1"/>
      <c r="AM83" s="1"/>
      <c r="AN83" s="1"/>
    </row>
    <row r="84" spans="1:40" ht="12.75" customHeight="1">
      <c r="A84" s="181"/>
      <c r="B84" s="192" t="s">
        <v>228</v>
      </c>
      <c r="C84" s="193" t="s">
        <v>52</v>
      </c>
      <c r="D84" s="193" t="s">
        <v>61</v>
      </c>
      <c r="E84" s="194">
        <v>4</v>
      </c>
      <c r="F84" s="193"/>
      <c r="G84" s="193"/>
      <c r="H84" s="193" t="s">
        <v>121</v>
      </c>
      <c r="I84" s="193" t="s">
        <v>29</v>
      </c>
      <c r="J84" s="194">
        <v>4</v>
      </c>
      <c r="K84" s="193"/>
      <c r="L84" s="193"/>
      <c r="M84" s="193" t="s">
        <v>29</v>
      </c>
      <c r="N84" s="193" t="s">
        <v>47</v>
      </c>
      <c r="O84" s="194">
        <v>4</v>
      </c>
      <c r="P84" s="194" t="s">
        <v>229</v>
      </c>
      <c r="Q84" s="521">
        <f>R84*(1-Bolts!$E$1179)</f>
        <v>321.39999999999998</v>
      </c>
      <c r="R84" s="150">
        <v>321.39999999999998</v>
      </c>
      <c r="S84" s="168">
        <f t="shared" si="22"/>
        <v>0</v>
      </c>
      <c r="T84" s="152"/>
      <c r="U84" s="169"/>
      <c r="V84" s="170"/>
      <c r="W84" s="171"/>
      <c r="X84" s="172"/>
      <c r="Y84" s="173"/>
      <c r="Z84" s="174"/>
      <c r="AA84" s="175"/>
      <c r="AB84" s="176"/>
      <c r="AC84" s="168">
        <f t="shared" si="23"/>
        <v>0</v>
      </c>
      <c r="AD84" s="177">
        <f t="shared" si="24"/>
        <v>0</v>
      </c>
      <c r="AE84" s="178">
        <v>14.95</v>
      </c>
      <c r="AF84" s="179">
        <f t="shared" si="25"/>
        <v>0</v>
      </c>
      <c r="AH84" s="180"/>
      <c r="AK84" s="1"/>
      <c r="AL84" s="1"/>
      <c r="AM84" s="1"/>
      <c r="AN84" s="1"/>
    </row>
    <row r="85" spans="1:40" ht="12.75" customHeight="1">
      <c r="A85" s="181"/>
      <c r="B85" s="192" t="s">
        <v>230</v>
      </c>
      <c r="C85" s="193" t="s">
        <v>52</v>
      </c>
      <c r="D85" s="193" t="s">
        <v>61</v>
      </c>
      <c r="E85" s="194">
        <v>3</v>
      </c>
      <c r="F85" s="193"/>
      <c r="G85" s="193"/>
      <c r="H85" s="193" t="s">
        <v>121</v>
      </c>
      <c r="I85" s="193" t="s">
        <v>35</v>
      </c>
      <c r="J85" s="194">
        <v>3</v>
      </c>
      <c r="K85" s="193"/>
      <c r="L85" s="193"/>
      <c r="M85" s="193" t="s">
        <v>35</v>
      </c>
      <c r="N85" s="193" t="s">
        <v>48</v>
      </c>
      <c r="O85" s="194">
        <v>3</v>
      </c>
      <c r="P85" s="194" t="s">
        <v>231</v>
      </c>
      <c r="Q85" s="521">
        <f>R85*(1-Bolts!$E$1179)</f>
        <v>226.3</v>
      </c>
      <c r="R85" s="150">
        <v>226.3</v>
      </c>
      <c r="S85" s="168">
        <f t="shared" si="22"/>
        <v>0</v>
      </c>
      <c r="T85" s="152"/>
      <c r="U85" s="169"/>
      <c r="V85" s="170"/>
      <c r="W85" s="171"/>
      <c r="X85" s="172"/>
      <c r="Y85" s="173"/>
      <c r="Z85" s="174"/>
      <c r="AA85" s="175"/>
      <c r="AB85" s="176"/>
      <c r="AC85" s="168">
        <f t="shared" si="23"/>
        <v>0</v>
      </c>
      <c r="AD85" s="177">
        <f t="shared" si="24"/>
        <v>0</v>
      </c>
      <c r="AE85" s="178">
        <v>9.6999999999999993</v>
      </c>
      <c r="AF85" s="179">
        <f t="shared" si="25"/>
        <v>0</v>
      </c>
      <c r="AH85" s="180"/>
      <c r="AK85" s="1"/>
      <c r="AL85" s="1"/>
      <c r="AM85" s="1"/>
      <c r="AN85" s="1"/>
    </row>
    <row r="86" spans="1:40" ht="12.75" customHeight="1">
      <c r="A86" s="87"/>
      <c r="B86" s="185"/>
      <c r="C86" s="165"/>
      <c r="D86" s="165"/>
      <c r="E86" s="166"/>
      <c r="F86" s="165"/>
      <c r="G86" s="165"/>
      <c r="H86" s="165"/>
      <c r="I86" s="165"/>
      <c r="J86" s="166"/>
      <c r="K86" s="165"/>
      <c r="L86" s="165"/>
      <c r="M86" s="165"/>
      <c r="N86" s="165"/>
      <c r="O86" s="166"/>
      <c r="P86" s="166"/>
      <c r="Q86" s="522"/>
      <c r="R86" s="150"/>
      <c r="S86" s="186"/>
      <c r="T86" s="152"/>
      <c r="U86" s="187"/>
      <c r="V86" s="188"/>
      <c r="W86" s="187"/>
      <c r="X86" s="187"/>
      <c r="Y86" s="187"/>
      <c r="Z86" s="187"/>
      <c r="AA86" s="187"/>
      <c r="AB86" s="188"/>
      <c r="AC86" s="186"/>
      <c r="AD86" s="189"/>
      <c r="AE86" s="190"/>
      <c r="AF86" s="191"/>
      <c r="AH86" s="180"/>
      <c r="AK86" s="1"/>
      <c r="AL86" s="1"/>
      <c r="AM86" s="1"/>
      <c r="AN86" s="1"/>
    </row>
    <row r="87" spans="1:40" ht="12.75" customHeight="1">
      <c r="A87" s="87"/>
      <c r="B87" s="192" t="s">
        <v>232</v>
      </c>
      <c r="C87" s="193" t="s">
        <v>52</v>
      </c>
      <c r="D87" s="193" t="s">
        <v>62</v>
      </c>
      <c r="E87" s="194">
        <v>5</v>
      </c>
      <c r="F87" s="193"/>
      <c r="G87" s="193"/>
      <c r="H87" s="193" t="s">
        <v>121</v>
      </c>
      <c r="I87" s="193" t="s">
        <v>37</v>
      </c>
      <c r="J87" s="194">
        <v>5</v>
      </c>
      <c r="K87" s="193"/>
      <c r="L87" s="193"/>
      <c r="M87" s="193" t="s">
        <v>37</v>
      </c>
      <c r="N87" s="193" t="s">
        <v>48</v>
      </c>
      <c r="O87" s="194">
        <v>5</v>
      </c>
      <c r="P87" s="194" t="s">
        <v>233</v>
      </c>
      <c r="Q87" s="521">
        <f>R87*(1-Bolts!$E$1179)</f>
        <v>223.7</v>
      </c>
      <c r="R87" s="150">
        <v>223.7</v>
      </c>
      <c r="S87" s="168">
        <f t="shared" ref="S87:S98" si="26">SUM(T87:AB87)</f>
        <v>0</v>
      </c>
      <c r="T87" s="152"/>
      <c r="U87" s="169"/>
      <c r="V87" s="170"/>
      <c r="W87" s="171"/>
      <c r="X87" s="172"/>
      <c r="Y87" s="173"/>
      <c r="Z87" s="174"/>
      <c r="AA87" s="175"/>
      <c r="AB87" s="176"/>
      <c r="AC87" s="168">
        <f t="shared" ref="AC87:AC98" si="27">S87*O87</f>
        <v>0</v>
      </c>
      <c r="AD87" s="177">
        <f t="shared" ref="AD87:AD98" si="28">S87*R87</f>
        <v>0</v>
      </c>
      <c r="AE87" s="178">
        <v>9.93</v>
      </c>
      <c r="AF87" s="179">
        <f t="shared" ref="AF87:AF98" si="29">AE87*S87</f>
        <v>0</v>
      </c>
      <c r="AH87" s="180"/>
      <c r="AK87" s="1"/>
      <c r="AL87" s="1"/>
      <c r="AM87" s="1"/>
      <c r="AN87" s="1"/>
    </row>
    <row r="88" spans="1:40" ht="12.75" customHeight="1">
      <c r="A88" s="87"/>
      <c r="B88" s="192" t="s">
        <v>234</v>
      </c>
      <c r="C88" s="193" t="s">
        <v>52</v>
      </c>
      <c r="D88" s="193" t="s">
        <v>62</v>
      </c>
      <c r="E88" s="194">
        <v>5</v>
      </c>
      <c r="F88" s="193"/>
      <c r="G88" s="193"/>
      <c r="H88" s="193" t="s">
        <v>121</v>
      </c>
      <c r="I88" s="193" t="s">
        <v>35</v>
      </c>
      <c r="J88" s="194">
        <v>5</v>
      </c>
      <c r="K88" s="193"/>
      <c r="L88" s="193"/>
      <c r="M88" s="193" t="s">
        <v>35</v>
      </c>
      <c r="N88" s="193" t="s">
        <v>49</v>
      </c>
      <c r="O88" s="194">
        <v>5</v>
      </c>
      <c r="P88" s="194" t="s">
        <v>235</v>
      </c>
      <c r="Q88" s="521">
        <f>R88*(1-Bolts!$E$1179)</f>
        <v>380.3</v>
      </c>
      <c r="R88" s="150">
        <v>380.3</v>
      </c>
      <c r="S88" s="168">
        <f t="shared" si="26"/>
        <v>0</v>
      </c>
      <c r="T88" s="152"/>
      <c r="U88" s="169"/>
      <c r="V88" s="170"/>
      <c r="W88" s="171"/>
      <c r="X88" s="172"/>
      <c r="Y88" s="173"/>
      <c r="Z88" s="174"/>
      <c r="AA88" s="175"/>
      <c r="AB88" s="176"/>
      <c r="AC88" s="168">
        <f t="shared" si="27"/>
        <v>0</v>
      </c>
      <c r="AD88" s="177">
        <f t="shared" si="28"/>
        <v>0</v>
      </c>
      <c r="AE88" s="178">
        <v>18.04</v>
      </c>
      <c r="AF88" s="179">
        <f t="shared" si="29"/>
        <v>0</v>
      </c>
      <c r="AH88" s="180"/>
      <c r="AK88" s="1"/>
      <c r="AL88" s="1"/>
      <c r="AM88" s="1"/>
      <c r="AN88" s="1"/>
    </row>
    <row r="89" spans="1:40" ht="12.75" customHeight="1">
      <c r="A89" s="87"/>
      <c r="B89" s="192" t="s">
        <v>236</v>
      </c>
      <c r="C89" s="193" t="s">
        <v>52</v>
      </c>
      <c r="D89" s="193" t="s">
        <v>62</v>
      </c>
      <c r="E89" s="194">
        <v>5</v>
      </c>
      <c r="F89" s="193"/>
      <c r="G89" s="193"/>
      <c r="H89" s="193" t="s">
        <v>121</v>
      </c>
      <c r="I89" s="193" t="s">
        <v>35</v>
      </c>
      <c r="J89" s="194">
        <v>5</v>
      </c>
      <c r="K89" s="193"/>
      <c r="L89" s="193"/>
      <c r="M89" s="193" t="s">
        <v>35</v>
      </c>
      <c r="N89" s="193" t="s">
        <v>49</v>
      </c>
      <c r="O89" s="194">
        <v>5</v>
      </c>
      <c r="P89" s="194" t="s">
        <v>237</v>
      </c>
      <c r="Q89" s="521">
        <f>R89*(1-Bolts!$E$1179)</f>
        <v>384</v>
      </c>
      <c r="R89" s="150">
        <v>384</v>
      </c>
      <c r="S89" s="168">
        <f t="shared" si="26"/>
        <v>0</v>
      </c>
      <c r="T89" s="152"/>
      <c r="U89" s="169"/>
      <c r="V89" s="170"/>
      <c r="W89" s="171"/>
      <c r="X89" s="172"/>
      <c r="Y89" s="173"/>
      <c r="Z89" s="174"/>
      <c r="AA89" s="175"/>
      <c r="AB89" s="176"/>
      <c r="AC89" s="168">
        <f t="shared" si="27"/>
        <v>0</v>
      </c>
      <c r="AD89" s="177">
        <f t="shared" si="28"/>
        <v>0</v>
      </c>
      <c r="AE89" s="178">
        <v>19.239999999999998</v>
      </c>
      <c r="AF89" s="179">
        <f t="shared" si="29"/>
        <v>0</v>
      </c>
      <c r="AH89" s="180"/>
      <c r="AK89" s="1"/>
      <c r="AL89" s="1"/>
      <c r="AM89" s="1"/>
      <c r="AN89" s="1"/>
    </row>
    <row r="90" spans="1:40" ht="12.75" customHeight="1">
      <c r="A90" s="87"/>
      <c r="B90" s="192" t="s">
        <v>238</v>
      </c>
      <c r="C90" s="193" t="s">
        <v>52</v>
      </c>
      <c r="D90" s="193" t="s">
        <v>62</v>
      </c>
      <c r="E90" s="194">
        <v>5</v>
      </c>
      <c r="F90" s="193"/>
      <c r="G90" s="193"/>
      <c r="H90" s="193" t="s">
        <v>121</v>
      </c>
      <c r="I90" s="193" t="s">
        <v>29</v>
      </c>
      <c r="J90" s="194">
        <v>5</v>
      </c>
      <c r="K90" s="193"/>
      <c r="L90" s="193"/>
      <c r="M90" s="193" t="s">
        <v>29</v>
      </c>
      <c r="N90" s="193" t="s">
        <v>47</v>
      </c>
      <c r="O90" s="194">
        <v>5</v>
      </c>
      <c r="P90" s="194" t="s">
        <v>239</v>
      </c>
      <c r="Q90" s="521">
        <f>R90*(1-Bolts!$E$1179)</f>
        <v>258.60000000000002</v>
      </c>
      <c r="R90" s="150">
        <v>258.60000000000002</v>
      </c>
      <c r="S90" s="168">
        <f t="shared" si="26"/>
        <v>0</v>
      </c>
      <c r="T90" s="152"/>
      <c r="U90" s="169"/>
      <c r="V90" s="170"/>
      <c r="W90" s="171"/>
      <c r="X90" s="172"/>
      <c r="Y90" s="173"/>
      <c r="Z90" s="174"/>
      <c r="AA90" s="175"/>
      <c r="AB90" s="176"/>
      <c r="AC90" s="168">
        <f t="shared" si="27"/>
        <v>0</v>
      </c>
      <c r="AD90" s="177">
        <f t="shared" si="28"/>
        <v>0</v>
      </c>
      <c r="AE90" s="178">
        <v>12.31</v>
      </c>
      <c r="AF90" s="179">
        <f t="shared" si="29"/>
        <v>0</v>
      </c>
      <c r="AH90" s="180"/>
      <c r="AK90" s="1"/>
      <c r="AL90" s="1"/>
      <c r="AM90" s="1"/>
      <c r="AN90" s="1"/>
    </row>
    <row r="91" spans="1:40" ht="12.75" customHeight="1">
      <c r="A91" s="87"/>
      <c r="B91" s="192" t="s">
        <v>240</v>
      </c>
      <c r="C91" s="193" t="s">
        <v>52</v>
      </c>
      <c r="D91" s="193" t="s">
        <v>62</v>
      </c>
      <c r="E91" s="194">
        <v>5</v>
      </c>
      <c r="F91" s="193"/>
      <c r="G91" s="193"/>
      <c r="H91" s="193" t="s">
        <v>121</v>
      </c>
      <c r="I91" s="193" t="s">
        <v>29</v>
      </c>
      <c r="J91" s="194">
        <v>5</v>
      </c>
      <c r="K91" s="193"/>
      <c r="L91" s="193"/>
      <c r="M91" s="193" t="s">
        <v>29</v>
      </c>
      <c r="N91" s="193" t="s">
        <v>47</v>
      </c>
      <c r="O91" s="194">
        <v>5</v>
      </c>
      <c r="P91" s="194" t="s">
        <v>241</v>
      </c>
      <c r="Q91" s="521">
        <f>R91*(1-Bolts!$E$1179)</f>
        <v>230.2</v>
      </c>
      <c r="R91" s="150">
        <v>230.2</v>
      </c>
      <c r="S91" s="168">
        <f t="shared" si="26"/>
        <v>0</v>
      </c>
      <c r="T91" s="152"/>
      <c r="U91" s="169"/>
      <c r="V91" s="170"/>
      <c r="W91" s="171"/>
      <c r="X91" s="172"/>
      <c r="Y91" s="173"/>
      <c r="Z91" s="174"/>
      <c r="AA91" s="175"/>
      <c r="AB91" s="176"/>
      <c r="AC91" s="168">
        <f t="shared" si="27"/>
        <v>0</v>
      </c>
      <c r="AD91" s="177">
        <f t="shared" si="28"/>
        <v>0</v>
      </c>
      <c r="AE91" s="178">
        <v>11.2</v>
      </c>
      <c r="AF91" s="179">
        <f t="shared" si="29"/>
        <v>0</v>
      </c>
      <c r="AH91" s="180"/>
      <c r="AK91" s="1"/>
      <c r="AL91" s="1"/>
      <c r="AM91" s="1"/>
      <c r="AN91" s="1"/>
    </row>
    <row r="92" spans="1:40" ht="12.75" customHeight="1">
      <c r="A92" s="87"/>
      <c r="B92" s="192" t="s">
        <v>242</v>
      </c>
      <c r="C92" s="193" t="s">
        <v>52</v>
      </c>
      <c r="D92" s="193" t="s">
        <v>62</v>
      </c>
      <c r="E92" s="194">
        <v>4</v>
      </c>
      <c r="F92" s="193"/>
      <c r="G92" s="193"/>
      <c r="H92" s="193" t="s">
        <v>121</v>
      </c>
      <c r="I92" s="193" t="s">
        <v>35</v>
      </c>
      <c r="J92" s="194">
        <v>4</v>
      </c>
      <c r="K92" s="193"/>
      <c r="L92" s="193"/>
      <c r="M92" s="193" t="s">
        <v>35</v>
      </c>
      <c r="N92" s="193" t="s">
        <v>48</v>
      </c>
      <c r="O92" s="194">
        <v>4</v>
      </c>
      <c r="P92" s="194" t="s">
        <v>243</v>
      </c>
      <c r="Q92" s="521">
        <f>R92*(1-Bolts!$E$1179)</f>
        <v>209.1</v>
      </c>
      <c r="R92" s="150">
        <v>209.1</v>
      </c>
      <c r="S92" s="168">
        <f t="shared" si="26"/>
        <v>0</v>
      </c>
      <c r="T92" s="152"/>
      <c r="U92" s="169"/>
      <c r="V92" s="170"/>
      <c r="W92" s="171"/>
      <c r="X92" s="172"/>
      <c r="Y92" s="173"/>
      <c r="Z92" s="174"/>
      <c r="AA92" s="175"/>
      <c r="AB92" s="176"/>
      <c r="AC92" s="168">
        <f t="shared" si="27"/>
        <v>0</v>
      </c>
      <c r="AD92" s="177">
        <f t="shared" si="28"/>
        <v>0</v>
      </c>
      <c r="AE92" s="178">
        <v>9.41</v>
      </c>
      <c r="AF92" s="179">
        <f t="shared" si="29"/>
        <v>0</v>
      </c>
      <c r="AH92" s="180"/>
      <c r="AK92" s="1"/>
      <c r="AL92" s="1"/>
      <c r="AM92" s="1"/>
      <c r="AN92" s="1"/>
    </row>
    <row r="93" spans="1:40" ht="12.75" customHeight="1">
      <c r="A93" s="87"/>
      <c r="B93" s="192" t="s">
        <v>244</v>
      </c>
      <c r="C93" s="193" t="s">
        <v>52</v>
      </c>
      <c r="D93" s="193" t="s">
        <v>62</v>
      </c>
      <c r="E93" s="194">
        <v>5</v>
      </c>
      <c r="F93" s="193"/>
      <c r="G93" s="193"/>
      <c r="H93" s="193" t="s">
        <v>121</v>
      </c>
      <c r="I93" s="193" t="s">
        <v>35</v>
      </c>
      <c r="J93" s="194">
        <v>5</v>
      </c>
      <c r="K93" s="193"/>
      <c r="L93" s="193"/>
      <c r="M93" s="193" t="s">
        <v>35</v>
      </c>
      <c r="N93" s="193" t="s">
        <v>48</v>
      </c>
      <c r="O93" s="194">
        <v>5</v>
      </c>
      <c r="P93" s="194" t="s">
        <v>245</v>
      </c>
      <c r="Q93" s="521">
        <f>R93*(1-Bolts!$E$1179)</f>
        <v>211.5</v>
      </c>
      <c r="R93" s="150">
        <v>211.5</v>
      </c>
      <c r="S93" s="168">
        <f t="shared" si="26"/>
        <v>0</v>
      </c>
      <c r="T93" s="152"/>
      <c r="U93" s="169"/>
      <c r="V93" s="170"/>
      <c r="W93" s="171"/>
      <c r="X93" s="172"/>
      <c r="Y93" s="173"/>
      <c r="Z93" s="174"/>
      <c r="AA93" s="175"/>
      <c r="AB93" s="176"/>
      <c r="AC93" s="168">
        <f t="shared" si="27"/>
        <v>0</v>
      </c>
      <c r="AD93" s="177">
        <f t="shared" si="28"/>
        <v>0</v>
      </c>
      <c r="AE93" s="178">
        <v>9.1999999999999993</v>
      </c>
      <c r="AF93" s="179">
        <f t="shared" si="29"/>
        <v>0</v>
      </c>
      <c r="AH93" s="180"/>
      <c r="AK93" s="1"/>
      <c r="AL93" s="1"/>
      <c r="AM93" s="1"/>
      <c r="AN93" s="1"/>
    </row>
    <row r="94" spans="1:40" ht="12.75" customHeight="1">
      <c r="A94" s="181"/>
      <c r="B94" s="192" t="s">
        <v>246</v>
      </c>
      <c r="C94" s="193" t="s">
        <v>52</v>
      </c>
      <c r="D94" s="193" t="s">
        <v>38</v>
      </c>
      <c r="E94" s="194">
        <v>3</v>
      </c>
      <c r="F94" s="193"/>
      <c r="G94" s="193"/>
      <c r="H94" s="193" t="s">
        <v>121</v>
      </c>
      <c r="I94" s="193" t="s">
        <v>38</v>
      </c>
      <c r="J94" s="194">
        <v>3</v>
      </c>
      <c r="K94" s="193"/>
      <c r="L94" s="193"/>
      <c r="M94" s="193" t="s">
        <v>38</v>
      </c>
      <c r="N94" s="193" t="s">
        <v>48</v>
      </c>
      <c r="O94" s="194">
        <v>3</v>
      </c>
      <c r="P94" s="194" t="s">
        <v>247</v>
      </c>
      <c r="Q94" s="521">
        <f>R94*(1-Bolts!$E$1179)</f>
        <v>189.2</v>
      </c>
      <c r="R94" s="150">
        <v>189.2</v>
      </c>
      <c r="S94" s="168">
        <f t="shared" si="26"/>
        <v>0</v>
      </c>
      <c r="T94" s="152"/>
      <c r="U94" s="169"/>
      <c r="V94" s="170"/>
      <c r="W94" s="171"/>
      <c r="X94" s="172"/>
      <c r="Y94" s="173"/>
      <c r="Z94" s="174"/>
      <c r="AA94" s="175"/>
      <c r="AB94" s="176"/>
      <c r="AC94" s="168">
        <f t="shared" si="27"/>
        <v>0</v>
      </c>
      <c r="AD94" s="177">
        <f t="shared" si="28"/>
        <v>0</v>
      </c>
      <c r="AE94" s="178">
        <v>7.95</v>
      </c>
      <c r="AF94" s="179">
        <f t="shared" si="29"/>
        <v>0</v>
      </c>
      <c r="AH94" s="180"/>
      <c r="AK94" s="1"/>
      <c r="AL94" s="1"/>
      <c r="AM94" s="1"/>
      <c r="AN94" s="1"/>
    </row>
    <row r="95" spans="1:40" ht="12.75" customHeight="1">
      <c r="A95" s="181"/>
      <c r="B95" s="192" t="s">
        <v>248</v>
      </c>
      <c r="C95" s="193" t="s">
        <v>52</v>
      </c>
      <c r="D95" s="193" t="s">
        <v>38</v>
      </c>
      <c r="E95" s="194">
        <v>4</v>
      </c>
      <c r="F95" s="193"/>
      <c r="G95" s="193"/>
      <c r="H95" s="193" t="s">
        <v>121</v>
      </c>
      <c r="I95" s="193" t="s">
        <v>38</v>
      </c>
      <c r="J95" s="194">
        <v>4</v>
      </c>
      <c r="K95" s="193"/>
      <c r="L95" s="193"/>
      <c r="M95" s="193" t="s">
        <v>38</v>
      </c>
      <c r="N95" s="193" t="s">
        <v>49</v>
      </c>
      <c r="O95" s="194">
        <v>4</v>
      </c>
      <c r="P95" s="194" t="s">
        <v>249</v>
      </c>
      <c r="Q95" s="521">
        <f>R95*(1-Bolts!$E$1179)</f>
        <v>226.3</v>
      </c>
      <c r="R95" s="150">
        <v>226.3</v>
      </c>
      <c r="S95" s="168">
        <f t="shared" si="26"/>
        <v>0</v>
      </c>
      <c r="T95" s="152"/>
      <c r="U95" s="169"/>
      <c r="V95" s="170"/>
      <c r="W95" s="171"/>
      <c r="X95" s="172"/>
      <c r="Y95" s="173"/>
      <c r="Z95" s="174"/>
      <c r="AA95" s="175"/>
      <c r="AB95" s="176"/>
      <c r="AC95" s="168">
        <f t="shared" si="27"/>
        <v>0</v>
      </c>
      <c r="AD95" s="177">
        <f t="shared" si="28"/>
        <v>0</v>
      </c>
      <c r="AE95" s="178">
        <v>8.6999999999999993</v>
      </c>
      <c r="AF95" s="179">
        <f t="shared" si="29"/>
        <v>0</v>
      </c>
      <c r="AH95" s="180"/>
      <c r="AK95" s="1"/>
      <c r="AL95" s="1"/>
      <c r="AM95" s="1"/>
      <c r="AN95" s="1"/>
    </row>
    <row r="96" spans="1:40" ht="12.75" customHeight="1">
      <c r="A96" s="181"/>
      <c r="B96" s="192" t="s">
        <v>250</v>
      </c>
      <c r="C96" s="193" t="s">
        <v>52</v>
      </c>
      <c r="D96" s="193" t="s">
        <v>62</v>
      </c>
      <c r="E96" s="194">
        <v>5</v>
      </c>
      <c r="F96" s="193"/>
      <c r="G96" s="193"/>
      <c r="H96" s="193" t="s">
        <v>121</v>
      </c>
      <c r="I96" s="193" t="s">
        <v>35</v>
      </c>
      <c r="J96" s="194">
        <v>5</v>
      </c>
      <c r="K96" s="193"/>
      <c r="L96" s="193"/>
      <c r="M96" s="193" t="s">
        <v>35</v>
      </c>
      <c r="N96" s="193" t="s">
        <v>48</v>
      </c>
      <c r="O96" s="194">
        <v>5</v>
      </c>
      <c r="P96" s="194" t="s">
        <v>251</v>
      </c>
      <c r="Q96" s="521">
        <f>R96*(1-Bolts!$E$1179)</f>
        <v>210.4</v>
      </c>
      <c r="R96" s="150">
        <v>210.4</v>
      </c>
      <c r="S96" s="168">
        <f t="shared" si="26"/>
        <v>0</v>
      </c>
      <c r="T96" s="152"/>
      <c r="U96" s="169"/>
      <c r="V96" s="170"/>
      <c r="W96" s="171"/>
      <c r="X96" s="172"/>
      <c r="Y96" s="173"/>
      <c r="Z96" s="174"/>
      <c r="AA96" s="175"/>
      <c r="AB96" s="176"/>
      <c r="AC96" s="168">
        <f t="shared" si="27"/>
        <v>0</v>
      </c>
      <c r="AD96" s="177">
        <f t="shared" si="28"/>
        <v>0</v>
      </c>
      <c r="AE96" s="178">
        <v>8.9</v>
      </c>
      <c r="AF96" s="179">
        <f t="shared" si="29"/>
        <v>0</v>
      </c>
      <c r="AH96" s="180"/>
      <c r="AK96" s="1"/>
      <c r="AL96" s="1"/>
      <c r="AM96" s="1"/>
      <c r="AN96" s="1"/>
    </row>
    <row r="97" spans="1:40" ht="12.75" customHeight="1">
      <c r="A97" s="181"/>
      <c r="B97" s="192" t="s">
        <v>252</v>
      </c>
      <c r="C97" s="193" t="s">
        <v>52</v>
      </c>
      <c r="D97" s="193" t="s">
        <v>62</v>
      </c>
      <c r="E97" s="194">
        <v>5</v>
      </c>
      <c r="F97" s="193"/>
      <c r="G97" s="193"/>
      <c r="H97" s="193" t="s">
        <v>121</v>
      </c>
      <c r="I97" s="193" t="s">
        <v>35</v>
      </c>
      <c r="J97" s="194">
        <v>5</v>
      </c>
      <c r="K97" s="193"/>
      <c r="L97" s="193"/>
      <c r="M97" s="193" t="s">
        <v>35</v>
      </c>
      <c r="N97" s="193" t="s">
        <v>48</v>
      </c>
      <c r="O97" s="194">
        <v>5</v>
      </c>
      <c r="P97" s="194" t="s">
        <v>253</v>
      </c>
      <c r="Q97" s="521">
        <f>R97*(1-Bolts!$E$1179)</f>
        <v>203.2</v>
      </c>
      <c r="R97" s="150">
        <v>203.2</v>
      </c>
      <c r="S97" s="168">
        <f t="shared" si="26"/>
        <v>0</v>
      </c>
      <c r="T97" s="152"/>
      <c r="U97" s="169"/>
      <c r="V97" s="170"/>
      <c r="W97" s="171"/>
      <c r="X97" s="172"/>
      <c r="Y97" s="173"/>
      <c r="Z97" s="174"/>
      <c r="AA97" s="175"/>
      <c r="AB97" s="176"/>
      <c r="AC97" s="168">
        <f t="shared" si="27"/>
        <v>0</v>
      </c>
      <c r="AD97" s="177">
        <f t="shared" si="28"/>
        <v>0</v>
      </c>
      <c r="AE97" s="178">
        <v>8.5</v>
      </c>
      <c r="AF97" s="179">
        <f t="shared" si="29"/>
        <v>0</v>
      </c>
      <c r="AH97" s="180"/>
      <c r="AK97" s="1"/>
      <c r="AL97" s="1"/>
      <c r="AM97" s="1"/>
      <c r="AN97" s="1"/>
    </row>
    <row r="98" spans="1:40" ht="12.75" customHeight="1">
      <c r="A98" s="181"/>
      <c r="B98" s="192" t="s">
        <v>254</v>
      </c>
      <c r="C98" s="193" t="s">
        <v>52</v>
      </c>
      <c r="D98" s="193" t="s">
        <v>62</v>
      </c>
      <c r="E98" s="194">
        <v>5</v>
      </c>
      <c r="F98" s="193"/>
      <c r="G98" s="193"/>
      <c r="H98" s="193" t="s">
        <v>121</v>
      </c>
      <c r="I98" s="193" t="s">
        <v>35</v>
      </c>
      <c r="J98" s="194">
        <v>5</v>
      </c>
      <c r="K98" s="193"/>
      <c r="L98" s="193"/>
      <c r="M98" s="193" t="s">
        <v>35</v>
      </c>
      <c r="N98" s="193" t="s">
        <v>48</v>
      </c>
      <c r="O98" s="194">
        <v>5</v>
      </c>
      <c r="P98" s="194" t="s">
        <v>255</v>
      </c>
      <c r="Q98" s="521">
        <f>R98*(1-Bolts!$E$1179)</f>
        <v>226.3</v>
      </c>
      <c r="R98" s="150">
        <v>226.3</v>
      </c>
      <c r="S98" s="168">
        <f t="shared" si="26"/>
        <v>0</v>
      </c>
      <c r="T98" s="152"/>
      <c r="U98" s="169"/>
      <c r="V98" s="170"/>
      <c r="W98" s="171"/>
      <c r="X98" s="172"/>
      <c r="Y98" s="173"/>
      <c r="Z98" s="174"/>
      <c r="AA98" s="175"/>
      <c r="AB98" s="176"/>
      <c r="AC98" s="168">
        <f t="shared" si="27"/>
        <v>0</v>
      </c>
      <c r="AD98" s="177">
        <f t="shared" si="28"/>
        <v>0</v>
      </c>
      <c r="AE98" s="178">
        <v>7.9</v>
      </c>
      <c r="AF98" s="179">
        <f t="shared" si="29"/>
        <v>0</v>
      </c>
      <c r="AH98" s="180"/>
      <c r="AK98" s="1"/>
      <c r="AL98" s="1"/>
      <c r="AM98" s="1"/>
      <c r="AN98" s="1"/>
    </row>
    <row r="99" spans="1:40" ht="12.75" customHeight="1">
      <c r="A99" s="87"/>
      <c r="B99" s="185"/>
      <c r="C99" s="165"/>
      <c r="D99" s="165"/>
      <c r="E99" s="166"/>
      <c r="F99" s="165"/>
      <c r="G99" s="165"/>
      <c r="H99" s="165"/>
      <c r="I99" s="165"/>
      <c r="J99" s="166"/>
      <c r="K99" s="165"/>
      <c r="L99" s="165"/>
      <c r="M99" s="165"/>
      <c r="N99" s="165"/>
      <c r="O99" s="166"/>
      <c r="P99" s="166"/>
      <c r="Q99" s="522"/>
      <c r="R99" s="150"/>
      <c r="S99" s="186"/>
      <c r="T99" s="152"/>
      <c r="U99" s="187"/>
      <c r="V99" s="188"/>
      <c r="W99" s="187"/>
      <c r="X99" s="187"/>
      <c r="Y99" s="187"/>
      <c r="Z99" s="187"/>
      <c r="AA99" s="187"/>
      <c r="AB99" s="188"/>
      <c r="AC99" s="186"/>
      <c r="AD99" s="189"/>
      <c r="AE99" s="190"/>
      <c r="AF99" s="191"/>
      <c r="AH99" s="180"/>
      <c r="AK99" s="1"/>
      <c r="AL99" s="1"/>
      <c r="AM99" s="1"/>
      <c r="AN99" s="1"/>
    </row>
    <row r="100" spans="1:40" ht="12.75" customHeight="1">
      <c r="A100" s="87"/>
      <c r="B100" s="192" t="s">
        <v>256</v>
      </c>
      <c r="C100" s="193" t="s">
        <v>52</v>
      </c>
      <c r="D100" s="193" t="s">
        <v>63</v>
      </c>
      <c r="E100" s="194">
        <v>5</v>
      </c>
      <c r="F100" s="193"/>
      <c r="G100" s="193"/>
      <c r="H100" s="193" t="s">
        <v>121</v>
      </c>
      <c r="I100" s="193" t="s">
        <v>37</v>
      </c>
      <c r="J100" s="194">
        <v>5</v>
      </c>
      <c r="K100" s="193"/>
      <c r="L100" s="193"/>
      <c r="M100" s="193" t="s">
        <v>37</v>
      </c>
      <c r="N100" s="193" t="s">
        <v>49</v>
      </c>
      <c r="O100" s="194">
        <v>5</v>
      </c>
      <c r="P100" s="194" t="s">
        <v>257</v>
      </c>
      <c r="Q100" s="521">
        <f>R100*(1-Bolts!$E$1179)</f>
        <v>81.099999999999994</v>
      </c>
      <c r="R100" s="150">
        <v>81.099999999999994</v>
      </c>
      <c r="S100" s="168">
        <f t="shared" ref="S100:S113" si="30">SUM(T100:AB100)</f>
        <v>0</v>
      </c>
      <c r="T100" s="152"/>
      <c r="U100" s="169"/>
      <c r="V100" s="170"/>
      <c r="W100" s="171"/>
      <c r="X100" s="172"/>
      <c r="Y100" s="173"/>
      <c r="Z100" s="174"/>
      <c r="AA100" s="175"/>
      <c r="AB100" s="176"/>
      <c r="AC100" s="168">
        <f t="shared" ref="AC100:AC113" si="31">S100*O100</f>
        <v>0</v>
      </c>
      <c r="AD100" s="177">
        <f t="shared" ref="AD100:AD113" si="32">S100*R100</f>
        <v>0</v>
      </c>
      <c r="AE100" s="178">
        <v>2.8</v>
      </c>
      <c r="AF100" s="179">
        <f t="shared" ref="AF100:AF113" si="33">AE100*S100</f>
        <v>0</v>
      </c>
      <c r="AH100" s="180"/>
      <c r="AK100" s="1"/>
      <c r="AL100" s="1"/>
      <c r="AM100" s="1"/>
      <c r="AN100" s="1"/>
    </row>
    <row r="101" spans="1:40" ht="12.75" customHeight="1">
      <c r="A101" s="87"/>
      <c r="B101" s="192" t="s">
        <v>258</v>
      </c>
      <c r="C101" s="193" t="s">
        <v>52</v>
      </c>
      <c r="D101" s="193" t="s">
        <v>63</v>
      </c>
      <c r="E101" s="194">
        <v>5</v>
      </c>
      <c r="F101" s="193"/>
      <c r="G101" s="193"/>
      <c r="H101" s="193" t="s">
        <v>121</v>
      </c>
      <c r="I101" s="193" t="s">
        <v>30</v>
      </c>
      <c r="J101" s="194">
        <v>5</v>
      </c>
      <c r="K101" s="193"/>
      <c r="L101" s="193"/>
      <c r="M101" s="193" t="s">
        <v>30</v>
      </c>
      <c r="N101" s="193" t="s">
        <v>48</v>
      </c>
      <c r="O101" s="194">
        <v>5</v>
      </c>
      <c r="P101" s="194" t="s">
        <v>259</v>
      </c>
      <c r="Q101" s="521">
        <f>R101*(1-Bolts!$E$1179)</f>
        <v>105.1</v>
      </c>
      <c r="R101" s="150">
        <v>105.1</v>
      </c>
      <c r="S101" s="168">
        <f t="shared" si="30"/>
        <v>0</v>
      </c>
      <c r="T101" s="152"/>
      <c r="U101" s="169"/>
      <c r="V101" s="170"/>
      <c r="W101" s="171"/>
      <c r="X101" s="172"/>
      <c r="Y101" s="173"/>
      <c r="Z101" s="174"/>
      <c r="AA101" s="175"/>
      <c r="AB101" s="176"/>
      <c r="AC101" s="168">
        <f t="shared" si="31"/>
        <v>0</v>
      </c>
      <c r="AD101" s="177">
        <f t="shared" si="32"/>
        <v>0</v>
      </c>
      <c r="AE101" s="178">
        <v>4.3</v>
      </c>
      <c r="AF101" s="179">
        <f t="shared" si="33"/>
        <v>0</v>
      </c>
      <c r="AH101" s="180"/>
      <c r="AK101" s="1"/>
      <c r="AL101" s="1"/>
      <c r="AM101" s="1"/>
      <c r="AN101" s="1"/>
    </row>
    <row r="102" spans="1:40" ht="12.75" customHeight="1">
      <c r="A102" s="87"/>
      <c r="B102" s="192" t="s">
        <v>260</v>
      </c>
      <c r="C102" s="193" t="s">
        <v>52</v>
      </c>
      <c r="D102" s="193" t="s">
        <v>63</v>
      </c>
      <c r="E102" s="194">
        <v>5</v>
      </c>
      <c r="F102" s="193"/>
      <c r="G102" s="193"/>
      <c r="H102" s="193" t="s">
        <v>121</v>
      </c>
      <c r="I102" s="193" t="s">
        <v>37</v>
      </c>
      <c r="J102" s="194">
        <v>5</v>
      </c>
      <c r="K102" s="193"/>
      <c r="L102" s="193"/>
      <c r="M102" s="193" t="s">
        <v>37</v>
      </c>
      <c r="N102" s="193" t="s">
        <v>49</v>
      </c>
      <c r="O102" s="194">
        <v>5</v>
      </c>
      <c r="P102" s="194" t="s">
        <v>261</v>
      </c>
      <c r="Q102" s="521">
        <f>R102*(1-Bolts!$E$1179)</f>
        <v>154.80000000000001</v>
      </c>
      <c r="R102" s="150">
        <v>154.80000000000001</v>
      </c>
      <c r="S102" s="168">
        <f t="shared" si="30"/>
        <v>0</v>
      </c>
      <c r="T102" s="152"/>
      <c r="U102" s="169"/>
      <c r="V102" s="170"/>
      <c r="W102" s="171"/>
      <c r="X102" s="172"/>
      <c r="Y102" s="173"/>
      <c r="Z102" s="174"/>
      <c r="AA102" s="175"/>
      <c r="AB102" s="176"/>
      <c r="AC102" s="168">
        <f t="shared" si="31"/>
        <v>0</v>
      </c>
      <c r="AD102" s="177">
        <f t="shared" si="32"/>
        <v>0</v>
      </c>
      <c r="AE102" s="178">
        <v>6.82</v>
      </c>
      <c r="AF102" s="179">
        <f t="shared" si="33"/>
        <v>0</v>
      </c>
      <c r="AH102" s="180"/>
      <c r="AK102" s="1"/>
      <c r="AL102" s="1"/>
      <c r="AM102" s="1"/>
      <c r="AN102" s="1"/>
    </row>
    <row r="103" spans="1:40" ht="12.75" hidden="1" customHeight="1">
      <c r="A103" s="87" t="s">
        <v>262</v>
      </c>
      <c r="B103" s="203" t="s">
        <v>263</v>
      </c>
      <c r="C103" s="193" t="s">
        <v>52</v>
      </c>
      <c r="D103" s="193" t="s">
        <v>63</v>
      </c>
      <c r="E103" s="194">
        <v>10</v>
      </c>
      <c r="F103" s="193"/>
      <c r="G103" s="193"/>
      <c r="H103" s="193" t="s">
        <v>121</v>
      </c>
      <c r="I103" s="193" t="s">
        <v>37</v>
      </c>
      <c r="J103" s="194">
        <v>10</v>
      </c>
      <c r="K103" s="193"/>
      <c r="L103" s="193"/>
      <c r="M103" s="193" t="s">
        <v>37</v>
      </c>
      <c r="N103" s="193" t="s">
        <v>49</v>
      </c>
      <c r="O103" s="194">
        <v>10</v>
      </c>
      <c r="P103" s="194" t="s">
        <v>264</v>
      </c>
      <c r="Q103" s="521">
        <f>R103*(1-Bolts!$E$1179)</f>
        <v>197.1</v>
      </c>
      <c r="R103" s="150">
        <v>197.1</v>
      </c>
      <c r="S103" s="168">
        <f t="shared" si="30"/>
        <v>0</v>
      </c>
      <c r="T103" s="152"/>
      <c r="U103" s="169"/>
      <c r="V103" s="170"/>
      <c r="W103" s="171"/>
      <c r="X103" s="172"/>
      <c r="Y103" s="173"/>
      <c r="Z103" s="174"/>
      <c r="AA103" s="175"/>
      <c r="AB103" s="176"/>
      <c r="AC103" s="168">
        <f t="shared" si="31"/>
        <v>0</v>
      </c>
      <c r="AD103" s="177">
        <f t="shared" si="32"/>
        <v>0</v>
      </c>
      <c r="AE103" s="178">
        <v>8.5299999999999994</v>
      </c>
      <c r="AF103" s="179">
        <f t="shared" si="33"/>
        <v>0</v>
      </c>
      <c r="AH103" s="180"/>
      <c r="AK103" s="1"/>
      <c r="AL103" s="1"/>
      <c r="AM103" s="1"/>
      <c r="AN103" s="1"/>
    </row>
    <row r="104" spans="1:40" ht="12.75" customHeight="1">
      <c r="A104" s="87"/>
      <c r="B104" s="192" t="s">
        <v>265</v>
      </c>
      <c r="C104" s="193" t="s">
        <v>52</v>
      </c>
      <c r="D104" s="193" t="s">
        <v>63</v>
      </c>
      <c r="E104" s="194">
        <v>5</v>
      </c>
      <c r="F104" s="193"/>
      <c r="G104" s="193"/>
      <c r="H104" s="193" t="s">
        <v>121</v>
      </c>
      <c r="I104" s="193" t="s">
        <v>33</v>
      </c>
      <c r="J104" s="194">
        <v>5</v>
      </c>
      <c r="K104" s="193"/>
      <c r="L104" s="193"/>
      <c r="M104" s="193" t="s">
        <v>33</v>
      </c>
      <c r="N104" s="193" t="s">
        <v>48</v>
      </c>
      <c r="O104" s="194">
        <v>5</v>
      </c>
      <c r="P104" s="194" t="s">
        <v>266</v>
      </c>
      <c r="Q104" s="521">
        <f>R104*(1-Bolts!$E$1179)</f>
        <v>177.5</v>
      </c>
      <c r="R104" s="150">
        <v>177.5</v>
      </c>
      <c r="S104" s="168">
        <f t="shared" si="30"/>
        <v>0</v>
      </c>
      <c r="T104" s="152"/>
      <c r="U104" s="169"/>
      <c r="V104" s="170"/>
      <c r="W104" s="171"/>
      <c r="X104" s="172"/>
      <c r="Y104" s="173"/>
      <c r="Z104" s="174"/>
      <c r="AA104" s="175"/>
      <c r="AB104" s="176"/>
      <c r="AC104" s="168">
        <f t="shared" si="31"/>
        <v>0</v>
      </c>
      <c r="AD104" s="177">
        <f t="shared" si="32"/>
        <v>0</v>
      </c>
      <c r="AE104" s="178">
        <v>8.14</v>
      </c>
      <c r="AF104" s="179">
        <f t="shared" si="33"/>
        <v>0</v>
      </c>
      <c r="AH104" s="180"/>
      <c r="AK104" s="1"/>
      <c r="AL104" s="1"/>
      <c r="AM104" s="1"/>
      <c r="AN104" s="1"/>
    </row>
    <row r="105" spans="1:40" ht="12.75" customHeight="1">
      <c r="A105" s="87"/>
      <c r="B105" s="192" t="s">
        <v>267</v>
      </c>
      <c r="C105" s="193" t="s">
        <v>52</v>
      </c>
      <c r="D105" s="193" t="s">
        <v>63</v>
      </c>
      <c r="E105" s="194">
        <v>5</v>
      </c>
      <c r="F105" s="193"/>
      <c r="G105" s="193"/>
      <c r="H105" s="193" t="s">
        <v>121</v>
      </c>
      <c r="I105" s="193" t="s">
        <v>35</v>
      </c>
      <c r="J105" s="194">
        <v>5</v>
      </c>
      <c r="K105" s="193"/>
      <c r="L105" s="193"/>
      <c r="M105" s="193" t="s">
        <v>35</v>
      </c>
      <c r="N105" s="193" t="s">
        <v>48</v>
      </c>
      <c r="O105" s="194">
        <v>5</v>
      </c>
      <c r="P105" s="194" t="s">
        <v>268</v>
      </c>
      <c r="Q105" s="521">
        <f>R105*(1-Bolts!$E$1179)</f>
        <v>152.4</v>
      </c>
      <c r="R105" s="150">
        <v>152.4</v>
      </c>
      <c r="S105" s="168">
        <f t="shared" si="30"/>
        <v>0</v>
      </c>
      <c r="T105" s="152"/>
      <c r="U105" s="169"/>
      <c r="V105" s="170"/>
      <c r="W105" s="171"/>
      <c r="X105" s="172"/>
      <c r="Y105" s="173"/>
      <c r="Z105" s="174"/>
      <c r="AA105" s="175"/>
      <c r="AB105" s="176"/>
      <c r="AC105" s="168">
        <f t="shared" si="31"/>
        <v>0</v>
      </c>
      <c r="AD105" s="177">
        <f t="shared" si="32"/>
        <v>0</v>
      </c>
      <c r="AE105" s="178">
        <v>6.68</v>
      </c>
      <c r="AF105" s="179">
        <f t="shared" si="33"/>
        <v>0</v>
      </c>
      <c r="AH105" s="180"/>
      <c r="AK105" s="1"/>
      <c r="AL105" s="1"/>
      <c r="AM105" s="1"/>
      <c r="AN105" s="1"/>
    </row>
    <row r="106" spans="1:40" ht="12.75" customHeight="1">
      <c r="A106" s="87"/>
      <c r="B106" s="192" t="s">
        <v>269</v>
      </c>
      <c r="C106" s="193" t="s">
        <v>52</v>
      </c>
      <c r="D106" s="193" t="s">
        <v>63</v>
      </c>
      <c r="E106" s="194">
        <v>5</v>
      </c>
      <c r="F106" s="193"/>
      <c r="G106" s="193"/>
      <c r="H106" s="193" t="s">
        <v>121</v>
      </c>
      <c r="I106" s="193" t="s">
        <v>31</v>
      </c>
      <c r="J106" s="194">
        <v>5</v>
      </c>
      <c r="K106" s="193"/>
      <c r="L106" s="193"/>
      <c r="M106" s="193" t="s">
        <v>31</v>
      </c>
      <c r="N106" s="193" t="s">
        <v>48</v>
      </c>
      <c r="O106" s="194">
        <v>5</v>
      </c>
      <c r="P106" s="194" t="s">
        <v>270</v>
      </c>
      <c r="Q106" s="521">
        <f>R106*(1-Bolts!$E$1179)</f>
        <v>158.1</v>
      </c>
      <c r="R106" s="150">
        <v>158.1</v>
      </c>
      <c r="S106" s="168">
        <f t="shared" si="30"/>
        <v>0</v>
      </c>
      <c r="T106" s="152"/>
      <c r="U106" s="169"/>
      <c r="V106" s="170"/>
      <c r="W106" s="171"/>
      <c r="X106" s="172"/>
      <c r="Y106" s="173"/>
      <c r="Z106" s="174"/>
      <c r="AA106" s="175"/>
      <c r="AB106" s="176"/>
      <c r="AC106" s="168">
        <f t="shared" si="31"/>
        <v>0</v>
      </c>
      <c r="AD106" s="177">
        <f t="shared" si="32"/>
        <v>0</v>
      </c>
      <c r="AE106" s="178">
        <v>7.01</v>
      </c>
      <c r="AF106" s="179">
        <f t="shared" si="33"/>
        <v>0</v>
      </c>
      <c r="AH106" s="180"/>
      <c r="AK106" s="1"/>
      <c r="AL106" s="1"/>
      <c r="AM106" s="1"/>
      <c r="AN106" s="1"/>
    </row>
    <row r="107" spans="1:40" ht="12.75" customHeight="1">
      <c r="A107" s="87"/>
      <c r="B107" s="192" t="s">
        <v>271</v>
      </c>
      <c r="C107" s="193" t="s">
        <v>52</v>
      </c>
      <c r="D107" s="193" t="s">
        <v>63</v>
      </c>
      <c r="E107" s="194">
        <v>5</v>
      </c>
      <c r="F107" s="193"/>
      <c r="G107" s="193"/>
      <c r="H107" s="193" t="s">
        <v>121</v>
      </c>
      <c r="I107" s="193" t="s">
        <v>35</v>
      </c>
      <c r="J107" s="194">
        <v>5</v>
      </c>
      <c r="K107" s="193"/>
      <c r="L107" s="193"/>
      <c r="M107" s="193" t="s">
        <v>35</v>
      </c>
      <c r="N107" s="193" t="s">
        <v>48</v>
      </c>
      <c r="O107" s="194">
        <v>5</v>
      </c>
      <c r="P107" s="194" t="s">
        <v>272</v>
      </c>
      <c r="Q107" s="521">
        <f>R107*(1-Bolts!$E$1179)</f>
        <v>189.2</v>
      </c>
      <c r="R107" s="150">
        <v>189.2</v>
      </c>
      <c r="S107" s="168">
        <f t="shared" si="30"/>
        <v>0</v>
      </c>
      <c r="T107" s="152"/>
      <c r="U107" s="169"/>
      <c r="V107" s="170"/>
      <c r="W107" s="171"/>
      <c r="X107" s="172"/>
      <c r="Y107" s="173"/>
      <c r="Z107" s="174"/>
      <c r="AA107" s="175"/>
      <c r="AB107" s="176"/>
      <c r="AC107" s="168">
        <f t="shared" si="31"/>
        <v>0</v>
      </c>
      <c r="AD107" s="177">
        <f t="shared" si="32"/>
        <v>0</v>
      </c>
      <c r="AE107" s="178">
        <v>8.82</v>
      </c>
      <c r="AF107" s="179">
        <f t="shared" si="33"/>
        <v>0</v>
      </c>
      <c r="AH107" s="180"/>
      <c r="AK107" s="1"/>
      <c r="AL107" s="1"/>
      <c r="AM107" s="1"/>
      <c r="AN107" s="1"/>
    </row>
    <row r="108" spans="1:40" ht="12.75" customHeight="1">
      <c r="A108" s="87"/>
      <c r="B108" s="192" t="s">
        <v>273</v>
      </c>
      <c r="C108" s="193" t="s">
        <v>52</v>
      </c>
      <c r="D108" s="193" t="s">
        <v>63</v>
      </c>
      <c r="E108" s="194">
        <v>5</v>
      </c>
      <c r="F108" s="193"/>
      <c r="G108" s="193"/>
      <c r="H108" s="193" t="s">
        <v>121</v>
      </c>
      <c r="I108" s="193" t="s">
        <v>29</v>
      </c>
      <c r="J108" s="194">
        <v>5</v>
      </c>
      <c r="K108" s="193"/>
      <c r="L108" s="193"/>
      <c r="M108" s="193" t="s">
        <v>29</v>
      </c>
      <c r="N108" s="193" t="s">
        <v>47</v>
      </c>
      <c r="O108" s="194">
        <v>5</v>
      </c>
      <c r="P108" s="194" t="s">
        <v>274</v>
      </c>
      <c r="Q108" s="521">
        <f>R108*(1-Bolts!$E$1179)</f>
        <v>139</v>
      </c>
      <c r="R108" s="150">
        <v>139</v>
      </c>
      <c r="S108" s="168">
        <f t="shared" si="30"/>
        <v>0</v>
      </c>
      <c r="T108" s="152"/>
      <c r="U108" s="169"/>
      <c r="V108" s="170"/>
      <c r="W108" s="171"/>
      <c r="X108" s="172"/>
      <c r="Y108" s="173"/>
      <c r="Z108" s="174"/>
      <c r="AA108" s="175"/>
      <c r="AB108" s="176"/>
      <c r="AC108" s="168">
        <f t="shared" si="31"/>
        <v>0</v>
      </c>
      <c r="AD108" s="177">
        <f t="shared" si="32"/>
        <v>0</v>
      </c>
      <c r="AE108" s="178">
        <v>5.9</v>
      </c>
      <c r="AF108" s="179">
        <f t="shared" si="33"/>
        <v>0</v>
      </c>
      <c r="AH108" s="180"/>
      <c r="AK108" s="1"/>
      <c r="AL108" s="1"/>
      <c r="AM108" s="1"/>
      <c r="AN108" s="1"/>
    </row>
    <row r="109" spans="1:40" ht="12.75" customHeight="1">
      <c r="A109" s="87"/>
      <c r="B109" s="192" t="s">
        <v>275</v>
      </c>
      <c r="C109" s="193" t="s">
        <v>52</v>
      </c>
      <c r="D109" s="193" t="s">
        <v>63</v>
      </c>
      <c r="E109" s="194">
        <v>4</v>
      </c>
      <c r="F109" s="193"/>
      <c r="G109" s="193"/>
      <c r="H109" s="193" t="s">
        <v>121</v>
      </c>
      <c r="I109" s="193" t="s">
        <v>29</v>
      </c>
      <c r="J109" s="194">
        <v>4</v>
      </c>
      <c r="K109" s="193"/>
      <c r="L109" s="193"/>
      <c r="M109" s="193" t="s">
        <v>29</v>
      </c>
      <c r="N109" s="193" t="s">
        <v>47</v>
      </c>
      <c r="O109" s="194">
        <v>4</v>
      </c>
      <c r="P109" s="194" t="s">
        <v>276</v>
      </c>
      <c r="Q109" s="521">
        <f>R109*(1-Bolts!$E$1179)</f>
        <v>121</v>
      </c>
      <c r="R109" s="150">
        <v>121</v>
      </c>
      <c r="S109" s="168">
        <f t="shared" si="30"/>
        <v>0</v>
      </c>
      <c r="T109" s="152"/>
      <c r="U109" s="169"/>
      <c r="V109" s="170"/>
      <c r="W109" s="171"/>
      <c r="X109" s="172"/>
      <c r="Y109" s="173"/>
      <c r="Z109" s="174"/>
      <c r="AA109" s="175"/>
      <c r="AB109" s="176"/>
      <c r="AC109" s="168">
        <f t="shared" si="31"/>
        <v>0</v>
      </c>
      <c r="AD109" s="177">
        <f t="shared" si="32"/>
        <v>0</v>
      </c>
      <c r="AE109" s="178">
        <v>5</v>
      </c>
      <c r="AF109" s="179">
        <f t="shared" si="33"/>
        <v>0</v>
      </c>
      <c r="AH109" s="180"/>
      <c r="AK109" s="1"/>
      <c r="AL109" s="1"/>
      <c r="AM109" s="1"/>
      <c r="AN109" s="1"/>
    </row>
    <row r="110" spans="1:40" ht="12.75" customHeight="1">
      <c r="A110" s="87"/>
      <c r="B110" s="192" t="s">
        <v>277</v>
      </c>
      <c r="C110" s="193" t="s">
        <v>52</v>
      </c>
      <c r="D110" s="193" t="s">
        <v>63</v>
      </c>
      <c r="E110" s="194">
        <v>4</v>
      </c>
      <c r="F110" s="193"/>
      <c r="G110" s="193"/>
      <c r="H110" s="193" t="s">
        <v>121</v>
      </c>
      <c r="I110" s="193" t="s">
        <v>29</v>
      </c>
      <c r="J110" s="194">
        <v>4</v>
      </c>
      <c r="K110" s="193"/>
      <c r="L110" s="193"/>
      <c r="M110" s="193" t="s">
        <v>29</v>
      </c>
      <c r="N110" s="193" t="s">
        <v>47</v>
      </c>
      <c r="O110" s="194">
        <v>4</v>
      </c>
      <c r="P110" s="194" t="s">
        <v>278</v>
      </c>
      <c r="Q110" s="521">
        <f>R110*(1-Bolts!$E$1179)</f>
        <v>175.5</v>
      </c>
      <c r="R110" s="150">
        <v>175.5</v>
      </c>
      <c r="S110" s="168">
        <f t="shared" si="30"/>
        <v>0</v>
      </c>
      <c r="T110" s="152"/>
      <c r="U110" s="169"/>
      <c r="V110" s="170"/>
      <c r="W110" s="171"/>
      <c r="X110" s="172"/>
      <c r="Y110" s="173"/>
      <c r="Z110" s="174"/>
      <c r="AA110" s="175"/>
      <c r="AB110" s="176"/>
      <c r="AC110" s="168">
        <f t="shared" si="31"/>
        <v>0</v>
      </c>
      <c r="AD110" s="177">
        <f t="shared" si="32"/>
        <v>0</v>
      </c>
      <c r="AE110" s="178">
        <v>8.17</v>
      </c>
      <c r="AF110" s="179">
        <f t="shared" si="33"/>
        <v>0</v>
      </c>
      <c r="AH110" s="180"/>
      <c r="AK110" s="1"/>
      <c r="AL110" s="1"/>
      <c r="AM110" s="1"/>
      <c r="AN110" s="1"/>
    </row>
    <row r="111" spans="1:40" ht="12.75" customHeight="1">
      <c r="A111" s="87"/>
      <c r="B111" s="192" t="s">
        <v>279</v>
      </c>
      <c r="C111" s="193" t="s">
        <v>52</v>
      </c>
      <c r="D111" s="193" t="s">
        <v>63</v>
      </c>
      <c r="E111" s="194">
        <v>5</v>
      </c>
      <c r="F111" s="193"/>
      <c r="G111" s="193"/>
      <c r="H111" s="193" t="s">
        <v>121</v>
      </c>
      <c r="I111" s="193" t="s">
        <v>29</v>
      </c>
      <c r="J111" s="194">
        <v>5</v>
      </c>
      <c r="K111" s="193"/>
      <c r="L111" s="193"/>
      <c r="M111" s="193" t="s">
        <v>29</v>
      </c>
      <c r="N111" s="193" t="s">
        <v>47</v>
      </c>
      <c r="O111" s="194">
        <v>5</v>
      </c>
      <c r="P111" s="194" t="s">
        <v>280</v>
      </c>
      <c r="Q111" s="521">
        <f>R111*(1-Bolts!$E$1179)</f>
        <v>140.69999999999999</v>
      </c>
      <c r="R111" s="150">
        <v>140.69999999999999</v>
      </c>
      <c r="S111" s="168">
        <f t="shared" si="30"/>
        <v>0</v>
      </c>
      <c r="T111" s="152"/>
      <c r="U111" s="169"/>
      <c r="V111" s="170"/>
      <c r="W111" s="171"/>
      <c r="X111" s="172"/>
      <c r="Y111" s="173"/>
      <c r="Z111" s="174"/>
      <c r="AA111" s="175"/>
      <c r="AB111" s="176"/>
      <c r="AC111" s="168">
        <f t="shared" si="31"/>
        <v>0</v>
      </c>
      <c r="AD111" s="177">
        <f t="shared" si="32"/>
        <v>0</v>
      </c>
      <c r="AE111" s="178">
        <v>6</v>
      </c>
      <c r="AF111" s="179">
        <f t="shared" si="33"/>
        <v>0</v>
      </c>
      <c r="AH111" s="180"/>
      <c r="AK111" s="1"/>
      <c r="AL111" s="1"/>
      <c r="AM111" s="1"/>
      <c r="AN111" s="1"/>
    </row>
    <row r="112" spans="1:40" ht="12.75" customHeight="1">
      <c r="A112" s="87"/>
      <c r="B112" s="192" t="s">
        <v>281</v>
      </c>
      <c r="C112" s="193" t="s">
        <v>52</v>
      </c>
      <c r="D112" s="193" t="s">
        <v>63</v>
      </c>
      <c r="E112" s="194">
        <v>10</v>
      </c>
      <c r="F112" s="193"/>
      <c r="G112" s="193"/>
      <c r="H112" s="193" t="s">
        <v>121</v>
      </c>
      <c r="I112" s="193" t="s">
        <v>35</v>
      </c>
      <c r="J112" s="194">
        <v>10</v>
      </c>
      <c r="K112" s="193"/>
      <c r="L112" s="193"/>
      <c r="M112" s="193" t="s">
        <v>35</v>
      </c>
      <c r="N112" s="193" t="s">
        <v>49</v>
      </c>
      <c r="O112" s="194">
        <v>10</v>
      </c>
      <c r="P112" s="194" t="s">
        <v>282</v>
      </c>
      <c r="Q112" s="521">
        <f>R112*(1-Bolts!$E$1179)</f>
        <v>255.9</v>
      </c>
      <c r="R112" s="150">
        <v>255.9</v>
      </c>
      <c r="S112" s="168">
        <f t="shared" si="30"/>
        <v>0</v>
      </c>
      <c r="T112" s="152"/>
      <c r="U112" s="169"/>
      <c r="V112" s="170"/>
      <c r="W112" s="171"/>
      <c r="X112" s="172"/>
      <c r="Y112" s="173"/>
      <c r="Z112" s="174"/>
      <c r="AA112" s="175"/>
      <c r="AB112" s="176"/>
      <c r="AC112" s="168">
        <f t="shared" si="31"/>
        <v>0</v>
      </c>
      <c r="AD112" s="177">
        <f t="shared" si="32"/>
        <v>0</v>
      </c>
      <c r="AE112" s="178">
        <v>11.68</v>
      </c>
      <c r="AF112" s="179">
        <f t="shared" si="33"/>
        <v>0</v>
      </c>
      <c r="AH112" s="180"/>
      <c r="AK112" s="1"/>
      <c r="AL112" s="1"/>
      <c r="AM112" s="1"/>
      <c r="AN112" s="1"/>
    </row>
    <row r="113" spans="1:40" ht="12.75" customHeight="1">
      <c r="A113" s="181"/>
      <c r="B113" s="192" t="s">
        <v>283</v>
      </c>
      <c r="C113" s="193" t="s">
        <v>52</v>
      </c>
      <c r="D113" s="193" t="s">
        <v>63</v>
      </c>
      <c r="E113" s="194">
        <v>5</v>
      </c>
      <c r="F113" s="193"/>
      <c r="G113" s="193"/>
      <c r="H113" s="193" t="s">
        <v>121</v>
      </c>
      <c r="I113" s="193" t="s">
        <v>36</v>
      </c>
      <c r="J113" s="194">
        <v>5</v>
      </c>
      <c r="K113" s="193"/>
      <c r="L113" s="193"/>
      <c r="M113" s="193" t="s">
        <v>36</v>
      </c>
      <c r="N113" s="193" t="s">
        <v>48</v>
      </c>
      <c r="O113" s="194">
        <v>5</v>
      </c>
      <c r="P113" s="194" t="s">
        <v>284</v>
      </c>
      <c r="Q113" s="521">
        <f>R113*(1-Bolts!$E$1179)</f>
        <v>192.8</v>
      </c>
      <c r="R113" s="150">
        <v>192.8</v>
      </c>
      <c r="S113" s="168">
        <f t="shared" si="30"/>
        <v>0</v>
      </c>
      <c r="T113" s="152"/>
      <c r="U113" s="169"/>
      <c r="V113" s="170"/>
      <c r="W113" s="171"/>
      <c r="X113" s="172"/>
      <c r="Y113" s="173"/>
      <c r="Z113" s="174"/>
      <c r="AA113" s="175"/>
      <c r="AB113" s="176"/>
      <c r="AC113" s="168">
        <f t="shared" si="31"/>
        <v>0</v>
      </c>
      <c r="AD113" s="177">
        <f t="shared" si="32"/>
        <v>0</v>
      </c>
      <c r="AE113" s="178">
        <v>8.4</v>
      </c>
      <c r="AF113" s="179">
        <f t="shared" si="33"/>
        <v>0</v>
      </c>
      <c r="AH113" s="180"/>
      <c r="AK113" s="1"/>
      <c r="AL113" s="1"/>
      <c r="AM113" s="1"/>
      <c r="AN113" s="1"/>
    </row>
    <row r="114" spans="1:40" ht="12.75" customHeight="1">
      <c r="A114" s="87"/>
      <c r="B114" s="185"/>
      <c r="C114" s="165"/>
      <c r="D114" s="165"/>
      <c r="E114" s="166"/>
      <c r="F114" s="165"/>
      <c r="G114" s="165"/>
      <c r="H114" s="165"/>
      <c r="I114" s="165"/>
      <c r="J114" s="166"/>
      <c r="K114" s="165"/>
      <c r="L114" s="165"/>
      <c r="M114" s="165"/>
      <c r="N114" s="165"/>
      <c r="O114" s="166"/>
      <c r="P114" s="166"/>
      <c r="Q114" s="522"/>
      <c r="R114" s="150"/>
      <c r="S114" s="186"/>
      <c r="T114" s="152"/>
      <c r="U114" s="187"/>
      <c r="V114" s="188"/>
      <c r="W114" s="187"/>
      <c r="X114" s="187"/>
      <c r="Y114" s="187"/>
      <c r="Z114" s="187"/>
      <c r="AA114" s="187"/>
      <c r="AB114" s="188"/>
      <c r="AC114" s="186"/>
      <c r="AD114" s="189"/>
      <c r="AE114" s="190"/>
      <c r="AF114" s="191"/>
      <c r="AH114" s="180"/>
      <c r="AK114" s="1"/>
      <c r="AL114" s="1"/>
      <c r="AM114" s="1"/>
      <c r="AN114" s="1"/>
    </row>
    <row r="115" spans="1:40" ht="12.75" customHeight="1">
      <c r="A115" s="87"/>
      <c r="B115" s="192" t="s">
        <v>285</v>
      </c>
      <c r="C115" s="193" t="s">
        <v>52</v>
      </c>
      <c r="D115" s="193" t="s">
        <v>48</v>
      </c>
      <c r="E115" s="194">
        <v>12</v>
      </c>
      <c r="F115" s="193"/>
      <c r="G115" s="193"/>
      <c r="H115" s="193" t="s">
        <v>121</v>
      </c>
      <c r="I115" s="193" t="s">
        <v>30</v>
      </c>
      <c r="J115" s="194">
        <v>12</v>
      </c>
      <c r="K115" s="193"/>
      <c r="L115" s="193"/>
      <c r="M115" s="193" t="s">
        <v>30</v>
      </c>
      <c r="N115" s="193" t="s">
        <v>47</v>
      </c>
      <c r="O115" s="194">
        <v>12</v>
      </c>
      <c r="P115" s="194" t="s">
        <v>286</v>
      </c>
      <c r="Q115" s="521">
        <f>R115*(1-Bolts!$E$1179)</f>
        <v>110.2</v>
      </c>
      <c r="R115" s="150">
        <v>110.2</v>
      </c>
      <c r="S115" s="168">
        <f>SUM(T115:AB115)</f>
        <v>0</v>
      </c>
      <c r="T115" s="152"/>
      <c r="U115" s="169"/>
      <c r="V115" s="170"/>
      <c r="W115" s="171"/>
      <c r="X115" s="172"/>
      <c r="Y115" s="173"/>
      <c r="Z115" s="174"/>
      <c r="AA115" s="175"/>
      <c r="AB115" s="176"/>
      <c r="AC115" s="168">
        <f>S115*O115</f>
        <v>0</v>
      </c>
      <c r="AD115" s="177">
        <f>S115*R115</f>
        <v>0</v>
      </c>
      <c r="AE115" s="178">
        <v>3.7</v>
      </c>
      <c r="AF115" s="179">
        <f>AE115*S115</f>
        <v>0</v>
      </c>
      <c r="AH115" s="180"/>
      <c r="AK115" s="1"/>
      <c r="AL115" s="1"/>
      <c r="AM115" s="1"/>
      <c r="AN115" s="1"/>
    </row>
    <row r="116" spans="1:40" ht="12.75" hidden="1" customHeight="1">
      <c r="A116" s="87" t="s">
        <v>262</v>
      </c>
      <c r="B116" s="192"/>
      <c r="C116" s="193" t="s">
        <v>52</v>
      </c>
      <c r="D116" s="193" t="s">
        <v>48</v>
      </c>
      <c r="E116" s="194"/>
      <c r="F116" s="193"/>
      <c r="G116" s="193"/>
      <c r="H116" s="193" t="s">
        <v>121</v>
      </c>
      <c r="I116" s="193" t="s">
        <v>30</v>
      </c>
      <c r="J116" s="194"/>
      <c r="K116" s="193"/>
      <c r="L116" s="193"/>
      <c r="M116" s="193" t="s">
        <v>30</v>
      </c>
      <c r="N116" s="193" t="s">
        <v>47</v>
      </c>
      <c r="O116" s="194"/>
      <c r="P116" s="194" t="s">
        <v>287</v>
      </c>
      <c r="Q116" s="521"/>
      <c r="R116" s="150"/>
      <c r="S116" s="168"/>
      <c r="T116" s="152"/>
      <c r="U116" s="169"/>
      <c r="V116" s="170"/>
      <c r="W116" s="171"/>
      <c r="X116" s="172"/>
      <c r="Y116" s="173"/>
      <c r="Z116" s="174"/>
      <c r="AA116" s="175"/>
      <c r="AB116" s="176"/>
      <c r="AC116" s="168"/>
      <c r="AD116" s="177"/>
      <c r="AE116" s="178"/>
      <c r="AF116" s="179"/>
      <c r="AH116" s="180"/>
      <c r="AK116" s="1"/>
      <c r="AL116" s="1"/>
      <c r="AM116" s="1"/>
      <c r="AN116" s="1"/>
    </row>
    <row r="117" spans="1:40" ht="12.75" customHeight="1">
      <c r="A117" s="87"/>
      <c r="B117" s="192" t="s">
        <v>288</v>
      </c>
      <c r="C117" s="193" t="s">
        <v>52</v>
      </c>
      <c r="D117" s="193" t="s">
        <v>48</v>
      </c>
      <c r="E117" s="194">
        <v>10</v>
      </c>
      <c r="F117" s="193"/>
      <c r="G117" s="193"/>
      <c r="H117" s="193" t="s">
        <v>121</v>
      </c>
      <c r="I117" s="193" t="s">
        <v>31</v>
      </c>
      <c r="J117" s="194">
        <v>10</v>
      </c>
      <c r="K117" s="193"/>
      <c r="L117" s="193"/>
      <c r="M117" s="193" t="s">
        <v>31</v>
      </c>
      <c r="N117" s="193" t="s">
        <v>48</v>
      </c>
      <c r="O117" s="194">
        <v>10</v>
      </c>
      <c r="P117" s="194" t="s">
        <v>289</v>
      </c>
      <c r="Q117" s="521">
        <f>R117*(1-Bolts!$E$1179)</f>
        <v>89.3</v>
      </c>
      <c r="R117" s="150">
        <v>89.3</v>
      </c>
      <c r="S117" s="168">
        <f t="shared" ref="S117:S137" si="34">SUM(T117:AB117)</f>
        <v>0</v>
      </c>
      <c r="T117" s="152"/>
      <c r="U117" s="169"/>
      <c r="V117" s="170"/>
      <c r="W117" s="171"/>
      <c r="X117" s="172"/>
      <c r="Y117" s="173"/>
      <c r="Z117" s="174"/>
      <c r="AA117" s="175"/>
      <c r="AB117" s="176"/>
      <c r="AC117" s="168">
        <f t="shared" ref="AC117:AC137" si="35">S117*O117</f>
        <v>0</v>
      </c>
      <c r="AD117" s="177">
        <f t="shared" ref="AD117:AD137" si="36">S117*R117</f>
        <v>0</v>
      </c>
      <c r="AE117" s="178">
        <v>2.5499999999999998</v>
      </c>
      <c r="AF117" s="179">
        <f t="shared" ref="AF117:AF137" si="37">AE117*S117</f>
        <v>0</v>
      </c>
      <c r="AH117" s="180"/>
      <c r="AK117" s="1"/>
      <c r="AL117" s="1"/>
      <c r="AM117" s="1"/>
      <c r="AN117" s="1"/>
    </row>
    <row r="118" spans="1:40" ht="12.75" customHeight="1">
      <c r="A118" s="87"/>
      <c r="B118" s="192" t="s">
        <v>290</v>
      </c>
      <c r="C118" s="193" t="s">
        <v>52</v>
      </c>
      <c r="D118" s="193" t="s">
        <v>48</v>
      </c>
      <c r="E118" s="194">
        <v>10</v>
      </c>
      <c r="F118" s="193"/>
      <c r="G118" s="193"/>
      <c r="H118" s="193" t="s">
        <v>121</v>
      </c>
      <c r="I118" s="193" t="s">
        <v>31</v>
      </c>
      <c r="J118" s="194">
        <v>10</v>
      </c>
      <c r="K118" s="193"/>
      <c r="L118" s="193"/>
      <c r="M118" s="193" t="s">
        <v>31</v>
      </c>
      <c r="N118" s="193" t="s">
        <v>48</v>
      </c>
      <c r="O118" s="194">
        <v>10</v>
      </c>
      <c r="P118" s="194" t="s">
        <v>291</v>
      </c>
      <c r="Q118" s="521">
        <f>R118*(1-Bolts!$E$1179)</f>
        <v>152.80000000000001</v>
      </c>
      <c r="R118" s="150">
        <v>152.80000000000001</v>
      </c>
      <c r="S118" s="168">
        <f t="shared" si="34"/>
        <v>0</v>
      </c>
      <c r="T118" s="152"/>
      <c r="U118" s="169"/>
      <c r="V118" s="170"/>
      <c r="W118" s="171"/>
      <c r="X118" s="172"/>
      <c r="Y118" s="173"/>
      <c r="Z118" s="174"/>
      <c r="AA118" s="175"/>
      <c r="AB118" s="176"/>
      <c r="AC118" s="168">
        <f t="shared" si="35"/>
        <v>0</v>
      </c>
      <c r="AD118" s="177">
        <f t="shared" si="36"/>
        <v>0</v>
      </c>
      <c r="AE118" s="178">
        <v>5.96</v>
      </c>
      <c r="AF118" s="179">
        <f t="shared" si="37"/>
        <v>0</v>
      </c>
      <c r="AH118" s="180"/>
      <c r="AK118" s="1"/>
      <c r="AL118" s="1"/>
      <c r="AM118" s="1"/>
      <c r="AN118" s="1"/>
    </row>
    <row r="119" spans="1:40" ht="12.75" customHeight="1">
      <c r="A119" s="87"/>
      <c r="B119" s="192" t="s">
        <v>292</v>
      </c>
      <c r="C119" s="193" t="s">
        <v>52</v>
      </c>
      <c r="D119" s="193" t="s">
        <v>48</v>
      </c>
      <c r="E119" s="194">
        <v>10</v>
      </c>
      <c r="F119" s="193"/>
      <c r="G119" s="193"/>
      <c r="H119" s="193" t="s">
        <v>121</v>
      </c>
      <c r="I119" s="193" t="s">
        <v>37</v>
      </c>
      <c r="J119" s="194">
        <v>10</v>
      </c>
      <c r="K119" s="193"/>
      <c r="L119" s="193"/>
      <c r="M119" s="193" t="s">
        <v>37</v>
      </c>
      <c r="N119" s="193" t="s">
        <v>49</v>
      </c>
      <c r="O119" s="194">
        <v>10</v>
      </c>
      <c r="P119" s="194" t="s">
        <v>293</v>
      </c>
      <c r="Q119" s="521">
        <f>R119*(1-Bolts!$E$1179)</f>
        <v>226.3</v>
      </c>
      <c r="R119" s="150">
        <v>226.3</v>
      </c>
      <c r="S119" s="168">
        <f t="shared" si="34"/>
        <v>0</v>
      </c>
      <c r="T119" s="152"/>
      <c r="U119" s="169"/>
      <c r="V119" s="170"/>
      <c r="W119" s="171"/>
      <c r="X119" s="172"/>
      <c r="Y119" s="173"/>
      <c r="Z119" s="174"/>
      <c r="AA119" s="175"/>
      <c r="AB119" s="176"/>
      <c r="AC119" s="168">
        <f t="shared" si="35"/>
        <v>0</v>
      </c>
      <c r="AD119" s="177">
        <f t="shared" si="36"/>
        <v>0</v>
      </c>
      <c r="AE119" s="178">
        <v>10.23</v>
      </c>
      <c r="AF119" s="179">
        <f t="shared" si="37"/>
        <v>0</v>
      </c>
      <c r="AH119" s="180"/>
      <c r="AK119" s="1"/>
      <c r="AL119" s="1"/>
      <c r="AM119" s="1"/>
      <c r="AN119" s="1"/>
    </row>
    <row r="120" spans="1:40" ht="12.75" customHeight="1">
      <c r="A120" s="87"/>
      <c r="B120" s="192" t="s">
        <v>294</v>
      </c>
      <c r="C120" s="193" t="s">
        <v>52</v>
      </c>
      <c r="D120" s="193" t="s">
        <v>48</v>
      </c>
      <c r="E120" s="194">
        <v>10</v>
      </c>
      <c r="F120" s="193"/>
      <c r="G120" s="193"/>
      <c r="H120" s="193" t="s">
        <v>121</v>
      </c>
      <c r="I120" s="193" t="s">
        <v>30</v>
      </c>
      <c r="J120" s="194">
        <v>10</v>
      </c>
      <c r="K120" s="193"/>
      <c r="L120" s="193"/>
      <c r="M120" s="193" t="s">
        <v>30</v>
      </c>
      <c r="N120" s="193" t="s">
        <v>48</v>
      </c>
      <c r="O120" s="194">
        <v>10</v>
      </c>
      <c r="P120" s="194" t="s">
        <v>295</v>
      </c>
      <c r="Q120" s="521">
        <f>R120*(1-Bolts!$E$1179)</f>
        <v>172.8</v>
      </c>
      <c r="R120" s="150">
        <v>172.8</v>
      </c>
      <c r="S120" s="168">
        <f t="shared" si="34"/>
        <v>0</v>
      </c>
      <c r="T120" s="152"/>
      <c r="U120" s="169"/>
      <c r="V120" s="170"/>
      <c r="W120" s="171"/>
      <c r="X120" s="172"/>
      <c r="Y120" s="173"/>
      <c r="Z120" s="174"/>
      <c r="AA120" s="175"/>
      <c r="AB120" s="176"/>
      <c r="AC120" s="168">
        <f t="shared" si="35"/>
        <v>0</v>
      </c>
      <c r="AD120" s="177">
        <f t="shared" si="36"/>
        <v>0</v>
      </c>
      <c r="AE120" s="178">
        <v>7.12</v>
      </c>
      <c r="AF120" s="179">
        <f t="shared" si="37"/>
        <v>0</v>
      </c>
      <c r="AH120" s="180"/>
      <c r="AK120" s="1"/>
      <c r="AL120" s="1"/>
      <c r="AM120" s="1"/>
      <c r="AN120" s="1"/>
    </row>
    <row r="121" spans="1:40" ht="12.75" customHeight="1">
      <c r="A121" s="87"/>
      <c r="B121" s="192" t="s">
        <v>296</v>
      </c>
      <c r="C121" s="193" t="s">
        <v>52</v>
      </c>
      <c r="D121" s="193" t="s">
        <v>48</v>
      </c>
      <c r="E121" s="194">
        <v>10</v>
      </c>
      <c r="F121" s="193"/>
      <c r="G121" s="193"/>
      <c r="H121" s="193" t="s">
        <v>121</v>
      </c>
      <c r="I121" s="193" t="s">
        <v>31</v>
      </c>
      <c r="J121" s="194">
        <v>10</v>
      </c>
      <c r="K121" s="193"/>
      <c r="L121" s="193"/>
      <c r="M121" s="193" t="s">
        <v>31</v>
      </c>
      <c r="N121" s="193" t="s">
        <v>48</v>
      </c>
      <c r="O121" s="194">
        <v>10</v>
      </c>
      <c r="P121" s="194" t="s">
        <v>297</v>
      </c>
      <c r="Q121" s="521">
        <f>R121*(1-Bolts!$E$1179)</f>
        <v>165.1</v>
      </c>
      <c r="R121" s="150">
        <v>165.1</v>
      </c>
      <c r="S121" s="168">
        <f t="shared" si="34"/>
        <v>0</v>
      </c>
      <c r="T121" s="152"/>
      <c r="U121" s="169"/>
      <c r="V121" s="170"/>
      <c r="W121" s="171"/>
      <c r="X121" s="172"/>
      <c r="Y121" s="173"/>
      <c r="Z121" s="174"/>
      <c r="AA121" s="175"/>
      <c r="AB121" s="176"/>
      <c r="AC121" s="168">
        <f t="shared" si="35"/>
        <v>0</v>
      </c>
      <c r="AD121" s="177">
        <f t="shared" si="36"/>
        <v>0</v>
      </c>
      <c r="AE121" s="178">
        <v>6.67</v>
      </c>
      <c r="AF121" s="179">
        <f t="shared" si="37"/>
        <v>0</v>
      </c>
      <c r="AH121" s="180"/>
      <c r="AK121" s="1"/>
      <c r="AL121" s="1"/>
      <c r="AM121" s="1"/>
      <c r="AN121" s="1"/>
    </row>
    <row r="122" spans="1:40" ht="12.75" customHeight="1">
      <c r="A122" s="87"/>
      <c r="B122" s="192" t="s">
        <v>298</v>
      </c>
      <c r="C122" s="193" t="s">
        <v>52</v>
      </c>
      <c r="D122" s="193" t="s">
        <v>48</v>
      </c>
      <c r="E122" s="194">
        <v>10</v>
      </c>
      <c r="F122" s="193"/>
      <c r="G122" s="193"/>
      <c r="H122" s="193" t="s">
        <v>121</v>
      </c>
      <c r="I122" s="193" t="s">
        <v>31</v>
      </c>
      <c r="J122" s="194">
        <v>10</v>
      </c>
      <c r="K122" s="193"/>
      <c r="L122" s="193"/>
      <c r="M122" s="193" t="s">
        <v>31</v>
      </c>
      <c r="N122" s="193" t="s">
        <v>48</v>
      </c>
      <c r="O122" s="194">
        <v>10</v>
      </c>
      <c r="P122" s="194" t="s">
        <v>299</v>
      </c>
      <c r="Q122" s="521">
        <f>R122*(1-Bolts!$E$1179)</f>
        <v>109.1</v>
      </c>
      <c r="R122" s="150">
        <v>109.1</v>
      </c>
      <c r="S122" s="168">
        <f t="shared" si="34"/>
        <v>0</v>
      </c>
      <c r="T122" s="152"/>
      <c r="U122" s="169"/>
      <c r="V122" s="170"/>
      <c r="W122" s="171"/>
      <c r="X122" s="172"/>
      <c r="Y122" s="173"/>
      <c r="Z122" s="174"/>
      <c r="AA122" s="175"/>
      <c r="AB122" s="176"/>
      <c r="AC122" s="168">
        <f t="shared" si="35"/>
        <v>0</v>
      </c>
      <c r="AD122" s="177">
        <f t="shared" si="36"/>
        <v>0</v>
      </c>
      <c r="AE122" s="178">
        <v>3.42</v>
      </c>
      <c r="AF122" s="179">
        <f t="shared" si="37"/>
        <v>0</v>
      </c>
      <c r="AH122" s="180"/>
      <c r="AK122" s="1"/>
      <c r="AL122" s="1"/>
      <c r="AM122" s="1"/>
      <c r="AN122" s="1"/>
    </row>
    <row r="123" spans="1:40" ht="12.75" customHeight="1">
      <c r="A123" s="87"/>
      <c r="B123" s="192" t="s">
        <v>300</v>
      </c>
      <c r="C123" s="193" t="s">
        <v>52</v>
      </c>
      <c r="D123" s="193" t="s">
        <v>48</v>
      </c>
      <c r="E123" s="194">
        <v>10</v>
      </c>
      <c r="F123" s="193"/>
      <c r="G123" s="193"/>
      <c r="H123" s="193" t="s">
        <v>121</v>
      </c>
      <c r="I123" s="193" t="s">
        <v>31</v>
      </c>
      <c r="J123" s="194">
        <v>10</v>
      </c>
      <c r="K123" s="193"/>
      <c r="L123" s="193"/>
      <c r="M123" s="193" t="s">
        <v>31</v>
      </c>
      <c r="N123" s="193" t="s">
        <v>48</v>
      </c>
      <c r="O123" s="194">
        <v>10</v>
      </c>
      <c r="P123" s="194" t="s">
        <v>301</v>
      </c>
      <c r="Q123" s="521">
        <f>R123*(1-Bolts!$E$1179)</f>
        <v>142.80000000000001</v>
      </c>
      <c r="R123" s="150">
        <v>142.80000000000001</v>
      </c>
      <c r="S123" s="168">
        <f t="shared" si="34"/>
        <v>0</v>
      </c>
      <c r="T123" s="152"/>
      <c r="U123" s="169"/>
      <c r="V123" s="170"/>
      <c r="W123" s="171"/>
      <c r="X123" s="172"/>
      <c r="Y123" s="173"/>
      <c r="Z123" s="174"/>
      <c r="AA123" s="175"/>
      <c r="AB123" s="176"/>
      <c r="AC123" s="168">
        <f t="shared" si="35"/>
        <v>0</v>
      </c>
      <c r="AD123" s="177">
        <f t="shared" si="36"/>
        <v>0</v>
      </c>
      <c r="AE123" s="178">
        <v>5.38</v>
      </c>
      <c r="AF123" s="179">
        <f t="shared" si="37"/>
        <v>0</v>
      </c>
      <c r="AH123" s="180"/>
      <c r="AK123" s="1"/>
      <c r="AL123" s="1"/>
      <c r="AM123" s="1"/>
      <c r="AN123" s="1"/>
    </row>
    <row r="124" spans="1:40" ht="12.75" customHeight="1">
      <c r="A124" s="87"/>
      <c r="B124" s="192" t="s">
        <v>302</v>
      </c>
      <c r="C124" s="193" t="s">
        <v>52</v>
      </c>
      <c r="D124" s="193" t="s">
        <v>48</v>
      </c>
      <c r="E124" s="194">
        <v>10</v>
      </c>
      <c r="F124" s="193"/>
      <c r="G124" s="193"/>
      <c r="H124" s="193" t="s">
        <v>121</v>
      </c>
      <c r="I124" s="193" t="s">
        <v>31</v>
      </c>
      <c r="J124" s="194">
        <v>10</v>
      </c>
      <c r="K124" s="193"/>
      <c r="L124" s="193"/>
      <c r="M124" s="193" t="s">
        <v>31</v>
      </c>
      <c r="N124" s="193" t="s">
        <v>48</v>
      </c>
      <c r="O124" s="194">
        <v>10</v>
      </c>
      <c r="P124" s="194" t="s">
        <v>303</v>
      </c>
      <c r="Q124" s="521">
        <f>R124*(1-Bolts!$E$1179)</f>
        <v>116.5</v>
      </c>
      <c r="R124" s="150">
        <v>116.5</v>
      </c>
      <c r="S124" s="168">
        <f t="shared" si="34"/>
        <v>0</v>
      </c>
      <c r="T124" s="152"/>
      <c r="U124" s="169"/>
      <c r="V124" s="170"/>
      <c r="W124" s="171"/>
      <c r="X124" s="172"/>
      <c r="Y124" s="173"/>
      <c r="Z124" s="174"/>
      <c r="AA124" s="175"/>
      <c r="AB124" s="176"/>
      <c r="AC124" s="168">
        <f t="shared" si="35"/>
        <v>0</v>
      </c>
      <c r="AD124" s="177">
        <f t="shared" si="36"/>
        <v>0</v>
      </c>
      <c r="AE124" s="178">
        <v>3.85</v>
      </c>
      <c r="AF124" s="179">
        <f t="shared" si="37"/>
        <v>0</v>
      </c>
      <c r="AH124" s="180"/>
      <c r="AK124" s="1"/>
      <c r="AL124" s="1"/>
      <c r="AM124" s="1"/>
      <c r="AN124" s="1"/>
    </row>
    <row r="125" spans="1:40" ht="12.75" customHeight="1">
      <c r="A125" s="87"/>
      <c r="B125" s="192" t="s">
        <v>304</v>
      </c>
      <c r="C125" s="193" t="s">
        <v>52</v>
      </c>
      <c r="D125" s="193" t="s">
        <v>48</v>
      </c>
      <c r="E125" s="194">
        <v>10</v>
      </c>
      <c r="F125" s="193"/>
      <c r="G125" s="193"/>
      <c r="H125" s="193" t="s">
        <v>121</v>
      </c>
      <c r="I125" s="193" t="s">
        <v>31</v>
      </c>
      <c r="J125" s="194">
        <v>10</v>
      </c>
      <c r="K125" s="193"/>
      <c r="L125" s="193"/>
      <c r="M125" s="193" t="s">
        <v>31</v>
      </c>
      <c r="N125" s="193" t="s">
        <v>48</v>
      </c>
      <c r="O125" s="194">
        <v>10</v>
      </c>
      <c r="P125" s="194" t="s">
        <v>305</v>
      </c>
      <c r="Q125" s="521">
        <f>R125*(1-Bolts!$E$1179)</f>
        <v>161.4</v>
      </c>
      <c r="R125" s="150">
        <v>161.4</v>
      </c>
      <c r="S125" s="168">
        <f t="shared" si="34"/>
        <v>0</v>
      </c>
      <c r="T125" s="152"/>
      <c r="U125" s="169"/>
      <c r="V125" s="170"/>
      <c r="W125" s="171"/>
      <c r="X125" s="172"/>
      <c r="Y125" s="173"/>
      <c r="Z125" s="174"/>
      <c r="AA125" s="175"/>
      <c r="AB125" s="176"/>
      <c r="AC125" s="168">
        <f t="shared" si="35"/>
        <v>0</v>
      </c>
      <c r="AD125" s="177">
        <f t="shared" si="36"/>
        <v>0</v>
      </c>
      <c r="AE125" s="178">
        <v>6.45</v>
      </c>
      <c r="AF125" s="179">
        <f t="shared" si="37"/>
        <v>0</v>
      </c>
      <c r="AH125" s="180"/>
      <c r="AK125" s="1"/>
      <c r="AL125" s="1"/>
      <c r="AM125" s="1"/>
      <c r="AN125" s="1"/>
    </row>
    <row r="126" spans="1:40" ht="12.75" customHeight="1">
      <c r="A126" s="87"/>
      <c r="B126" s="192" t="s">
        <v>306</v>
      </c>
      <c r="C126" s="193" t="s">
        <v>52</v>
      </c>
      <c r="D126" s="193" t="s">
        <v>48</v>
      </c>
      <c r="E126" s="194">
        <v>10</v>
      </c>
      <c r="F126" s="193"/>
      <c r="G126" s="193"/>
      <c r="H126" s="193" t="s">
        <v>121</v>
      </c>
      <c r="I126" s="193" t="s">
        <v>33</v>
      </c>
      <c r="J126" s="194">
        <v>10</v>
      </c>
      <c r="K126" s="193"/>
      <c r="L126" s="193"/>
      <c r="M126" s="193" t="s">
        <v>33</v>
      </c>
      <c r="N126" s="193" t="s">
        <v>48</v>
      </c>
      <c r="O126" s="194">
        <v>10</v>
      </c>
      <c r="P126" s="194" t="s">
        <v>307</v>
      </c>
      <c r="Q126" s="521">
        <f>R126*(1-Bolts!$E$1179)</f>
        <v>209.6</v>
      </c>
      <c r="R126" s="150">
        <v>209.6</v>
      </c>
      <c r="S126" s="168">
        <f t="shared" si="34"/>
        <v>0</v>
      </c>
      <c r="T126" s="152"/>
      <c r="U126" s="169"/>
      <c r="V126" s="170"/>
      <c r="W126" s="171"/>
      <c r="X126" s="172"/>
      <c r="Y126" s="173"/>
      <c r="Z126" s="174"/>
      <c r="AA126" s="175"/>
      <c r="AB126" s="176"/>
      <c r="AC126" s="168">
        <f t="shared" si="35"/>
        <v>0</v>
      </c>
      <c r="AD126" s="177">
        <f t="shared" si="36"/>
        <v>0</v>
      </c>
      <c r="AE126" s="178">
        <v>9.26</v>
      </c>
      <c r="AF126" s="179">
        <f t="shared" si="37"/>
        <v>0</v>
      </c>
      <c r="AH126" s="180"/>
      <c r="AK126" s="1"/>
      <c r="AL126" s="1"/>
      <c r="AM126" s="1"/>
      <c r="AN126" s="1"/>
    </row>
    <row r="127" spans="1:40" ht="12.75" customHeight="1">
      <c r="A127" s="87"/>
      <c r="B127" s="192" t="s">
        <v>308</v>
      </c>
      <c r="C127" s="193" t="s">
        <v>52</v>
      </c>
      <c r="D127" s="193" t="s">
        <v>48</v>
      </c>
      <c r="E127" s="194">
        <v>10</v>
      </c>
      <c r="F127" s="193"/>
      <c r="G127" s="193"/>
      <c r="H127" s="193" t="s">
        <v>121</v>
      </c>
      <c r="I127" s="193" t="s">
        <v>31</v>
      </c>
      <c r="J127" s="194">
        <v>10</v>
      </c>
      <c r="K127" s="193"/>
      <c r="L127" s="193"/>
      <c r="M127" s="193" t="s">
        <v>31</v>
      </c>
      <c r="N127" s="193" t="s">
        <v>48</v>
      </c>
      <c r="O127" s="194">
        <v>10</v>
      </c>
      <c r="P127" s="194" t="s">
        <v>309</v>
      </c>
      <c r="Q127" s="521">
        <f>R127*(1-Bolts!$E$1179)</f>
        <v>137</v>
      </c>
      <c r="R127" s="150">
        <v>137</v>
      </c>
      <c r="S127" s="168">
        <f t="shared" si="34"/>
        <v>0</v>
      </c>
      <c r="T127" s="152"/>
      <c r="U127" s="169"/>
      <c r="V127" s="170"/>
      <c r="W127" s="171"/>
      <c r="X127" s="172"/>
      <c r="Y127" s="173"/>
      <c r="Z127" s="174"/>
      <c r="AA127" s="175"/>
      <c r="AB127" s="176"/>
      <c r="AC127" s="168">
        <f t="shared" si="35"/>
        <v>0</v>
      </c>
      <c r="AD127" s="177">
        <f t="shared" si="36"/>
        <v>0</v>
      </c>
      <c r="AE127" s="178">
        <v>5.04</v>
      </c>
      <c r="AF127" s="179">
        <f t="shared" si="37"/>
        <v>0</v>
      </c>
      <c r="AH127" s="180"/>
      <c r="AK127" s="1"/>
      <c r="AL127" s="1"/>
      <c r="AM127" s="1"/>
      <c r="AN127" s="1"/>
    </row>
    <row r="128" spans="1:40" ht="12.75" customHeight="1">
      <c r="A128" s="87"/>
      <c r="B128" s="192" t="s">
        <v>310</v>
      </c>
      <c r="C128" s="193" t="s">
        <v>52</v>
      </c>
      <c r="D128" s="193" t="s">
        <v>48</v>
      </c>
      <c r="E128" s="194">
        <v>10</v>
      </c>
      <c r="F128" s="193"/>
      <c r="G128" s="193"/>
      <c r="H128" s="193" t="s">
        <v>121</v>
      </c>
      <c r="I128" s="193" t="s">
        <v>30</v>
      </c>
      <c r="J128" s="194">
        <v>10</v>
      </c>
      <c r="K128" s="193"/>
      <c r="L128" s="193"/>
      <c r="M128" s="193" t="s">
        <v>30</v>
      </c>
      <c r="N128" s="193" t="s">
        <v>47</v>
      </c>
      <c r="O128" s="194">
        <v>10</v>
      </c>
      <c r="P128" s="194" t="s">
        <v>311</v>
      </c>
      <c r="Q128" s="521">
        <f>R128*(1-Bolts!$E$1179)</f>
        <v>172.1</v>
      </c>
      <c r="R128" s="150">
        <v>172.1</v>
      </c>
      <c r="S128" s="168">
        <f t="shared" si="34"/>
        <v>0</v>
      </c>
      <c r="T128" s="152"/>
      <c r="U128" s="169"/>
      <c r="V128" s="170"/>
      <c r="W128" s="171"/>
      <c r="X128" s="172"/>
      <c r="Y128" s="173"/>
      <c r="Z128" s="174"/>
      <c r="AA128" s="175"/>
      <c r="AB128" s="176"/>
      <c r="AC128" s="168">
        <f t="shared" si="35"/>
        <v>0</v>
      </c>
      <c r="AD128" s="177">
        <f t="shared" si="36"/>
        <v>0</v>
      </c>
      <c r="AE128" s="178">
        <v>7.08</v>
      </c>
      <c r="AF128" s="179">
        <f t="shared" si="37"/>
        <v>0</v>
      </c>
      <c r="AH128" s="180"/>
      <c r="AK128" s="1"/>
      <c r="AL128" s="1"/>
      <c r="AM128" s="1"/>
      <c r="AN128" s="1"/>
    </row>
    <row r="129" spans="1:40" ht="12.75" customHeight="1">
      <c r="A129" s="87"/>
      <c r="B129" s="192" t="s">
        <v>312</v>
      </c>
      <c r="C129" s="193" t="s">
        <v>52</v>
      </c>
      <c r="D129" s="193" t="s">
        <v>48</v>
      </c>
      <c r="E129" s="194">
        <v>10</v>
      </c>
      <c r="F129" s="193"/>
      <c r="G129" s="193"/>
      <c r="H129" s="193" t="s">
        <v>121</v>
      </c>
      <c r="I129" s="193" t="s">
        <v>37</v>
      </c>
      <c r="J129" s="194">
        <v>10</v>
      </c>
      <c r="K129" s="193"/>
      <c r="L129" s="193"/>
      <c r="M129" s="193" t="s">
        <v>37</v>
      </c>
      <c r="N129" s="193" t="s">
        <v>49</v>
      </c>
      <c r="O129" s="194">
        <v>10</v>
      </c>
      <c r="P129" s="194" t="s">
        <v>313</v>
      </c>
      <c r="Q129" s="521">
        <f>R129*(1-Bolts!$E$1179)</f>
        <v>150.9</v>
      </c>
      <c r="R129" s="150">
        <v>150.9</v>
      </c>
      <c r="S129" s="168">
        <f t="shared" si="34"/>
        <v>0</v>
      </c>
      <c r="T129" s="152"/>
      <c r="U129" s="169"/>
      <c r="V129" s="170"/>
      <c r="W129" s="171"/>
      <c r="X129" s="172"/>
      <c r="Y129" s="173"/>
      <c r="Z129" s="174"/>
      <c r="AA129" s="175"/>
      <c r="AB129" s="176"/>
      <c r="AC129" s="168">
        <f t="shared" si="35"/>
        <v>0</v>
      </c>
      <c r="AD129" s="177">
        <f t="shared" si="36"/>
        <v>0</v>
      </c>
      <c r="AE129" s="178">
        <v>5.85</v>
      </c>
      <c r="AF129" s="179">
        <f t="shared" si="37"/>
        <v>0</v>
      </c>
      <c r="AH129" s="180"/>
      <c r="AK129" s="1"/>
      <c r="AL129" s="1"/>
      <c r="AM129" s="1"/>
      <c r="AN129" s="1"/>
    </row>
    <row r="130" spans="1:40" ht="12.75" customHeight="1">
      <c r="A130" s="87"/>
      <c r="B130" s="192" t="s">
        <v>314</v>
      </c>
      <c r="C130" s="193" t="s">
        <v>52</v>
      </c>
      <c r="D130" s="193" t="s">
        <v>48</v>
      </c>
      <c r="E130" s="194">
        <v>10</v>
      </c>
      <c r="F130" s="193"/>
      <c r="G130" s="193"/>
      <c r="H130" s="193" t="s">
        <v>121</v>
      </c>
      <c r="I130" s="193" t="s">
        <v>34</v>
      </c>
      <c r="J130" s="194">
        <v>10</v>
      </c>
      <c r="K130" s="193"/>
      <c r="L130" s="193"/>
      <c r="M130" s="193" t="s">
        <v>34</v>
      </c>
      <c r="N130" s="193" t="s">
        <v>49</v>
      </c>
      <c r="O130" s="194">
        <v>10</v>
      </c>
      <c r="P130" s="194" t="s">
        <v>315</v>
      </c>
      <c r="Q130" s="521">
        <f>R130*(1-Bolts!$E$1179)</f>
        <v>174.3</v>
      </c>
      <c r="R130" s="150">
        <v>174.3</v>
      </c>
      <c r="S130" s="168">
        <f t="shared" si="34"/>
        <v>0</v>
      </c>
      <c r="T130" s="152"/>
      <c r="U130" s="169"/>
      <c r="V130" s="170"/>
      <c r="W130" s="171"/>
      <c r="X130" s="172"/>
      <c r="Y130" s="173"/>
      <c r="Z130" s="174"/>
      <c r="AA130" s="175"/>
      <c r="AB130" s="176"/>
      <c r="AC130" s="168">
        <f t="shared" si="35"/>
        <v>0</v>
      </c>
      <c r="AD130" s="177">
        <f t="shared" si="36"/>
        <v>0</v>
      </c>
      <c r="AE130" s="178">
        <v>7.05</v>
      </c>
      <c r="AF130" s="179">
        <f t="shared" si="37"/>
        <v>0</v>
      </c>
      <c r="AH130" s="180"/>
      <c r="AK130" s="1"/>
      <c r="AL130" s="1"/>
      <c r="AM130" s="1"/>
      <c r="AN130" s="1"/>
    </row>
    <row r="131" spans="1:40" ht="12.75" customHeight="1">
      <c r="A131" s="181"/>
      <c r="B131" s="192" t="s">
        <v>316</v>
      </c>
      <c r="C131" s="193" t="s">
        <v>52</v>
      </c>
      <c r="D131" s="193" t="s">
        <v>48</v>
      </c>
      <c r="E131" s="194">
        <v>10</v>
      </c>
      <c r="F131" s="193"/>
      <c r="G131" s="193"/>
      <c r="H131" s="193" t="s">
        <v>121</v>
      </c>
      <c r="I131" s="193" t="s">
        <v>35</v>
      </c>
      <c r="J131" s="194">
        <v>10</v>
      </c>
      <c r="K131" s="193"/>
      <c r="L131" s="193"/>
      <c r="M131" s="193" t="s">
        <v>35</v>
      </c>
      <c r="N131" s="193" t="s">
        <v>48</v>
      </c>
      <c r="O131" s="194">
        <v>10</v>
      </c>
      <c r="P131" s="194" t="s">
        <v>317</v>
      </c>
      <c r="Q131" s="521">
        <f>R131*(1-Bolts!$E$1179)</f>
        <v>190.2</v>
      </c>
      <c r="R131" s="150">
        <v>190.2</v>
      </c>
      <c r="S131" s="168">
        <f t="shared" si="34"/>
        <v>0</v>
      </c>
      <c r="T131" s="152"/>
      <c r="U131" s="169"/>
      <c r="V131" s="170"/>
      <c r="W131" s="171"/>
      <c r="X131" s="172"/>
      <c r="Y131" s="173"/>
      <c r="Z131" s="174"/>
      <c r="AA131" s="175"/>
      <c r="AB131" s="176"/>
      <c r="AC131" s="168">
        <f t="shared" si="35"/>
        <v>0</v>
      </c>
      <c r="AD131" s="177">
        <f t="shared" si="36"/>
        <v>0</v>
      </c>
      <c r="AE131" s="178">
        <v>7.95</v>
      </c>
      <c r="AF131" s="179">
        <f t="shared" si="37"/>
        <v>0</v>
      </c>
      <c r="AH131" s="180"/>
      <c r="AK131" s="1"/>
      <c r="AL131" s="1"/>
      <c r="AM131" s="1"/>
      <c r="AN131" s="1"/>
    </row>
    <row r="132" spans="1:40" ht="12.75" customHeight="1">
      <c r="A132" s="181"/>
      <c r="B132" s="192" t="s">
        <v>318</v>
      </c>
      <c r="C132" s="193" t="s">
        <v>52</v>
      </c>
      <c r="D132" s="193" t="s">
        <v>48</v>
      </c>
      <c r="E132" s="194">
        <v>10</v>
      </c>
      <c r="F132" s="193"/>
      <c r="G132" s="193"/>
      <c r="H132" s="193" t="s">
        <v>121</v>
      </c>
      <c r="I132" s="193" t="s">
        <v>35</v>
      </c>
      <c r="J132" s="194">
        <v>10</v>
      </c>
      <c r="K132" s="193"/>
      <c r="L132" s="193"/>
      <c r="M132" s="193" t="s">
        <v>35</v>
      </c>
      <c r="N132" s="193" t="s">
        <v>48</v>
      </c>
      <c r="O132" s="194">
        <v>10</v>
      </c>
      <c r="P132" s="194" t="s">
        <v>319</v>
      </c>
      <c r="Q132" s="521">
        <f>R132*(1-Bolts!$E$1179)</f>
        <v>231.6</v>
      </c>
      <c r="R132" s="150">
        <v>231.6</v>
      </c>
      <c r="S132" s="168">
        <f t="shared" si="34"/>
        <v>0</v>
      </c>
      <c r="T132" s="152"/>
      <c r="U132" s="169"/>
      <c r="V132" s="170"/>
      <c r="W132" s="171"/>
      <c r="X132" s="172"/>
      <c r="Y132" s="173"/>
      <c r="Z132" s="174"/>
      <c r="AA132" s="175"/>
      <c r="AB132" s="176"/>
      <c r="AC132" s="168">
        <f t="shared" si="35"/>
        <v>0</v>
      </c>
      <c r="AD132" s="177">
        <f t="shared" si="36"/>
        <v>0</v>
      </c>
      <c r="AE132" s="178">
        <v>10.3</v>
      </c>
      <c r="AF132" s="179">
        <f t="shared" si="37"/>
        <v>0</v>
      </c>
      <c r="AH132" s="180"/>
      <c r="AK132" s="1"/>
      <c r="AL132" s="1"/>
      <c r="AM132" s="1"/>
      <c r="AN132" s="1"/>
    </row>
    <row r="133" spans="1:40" ht="12.75" customHeight="1">
      <c r="A133" s="181"/>
      <c r="B133" s="182" t="s">
        <v>320</v>
      </c>
      <c r="C133" s="183" t="s">
        <v>52</v>
      </c>
      <c r="D133" s="183" t="s">
        <v>48</v>
      </c>
      <c r="E133" s="184">
        <v>5</v>
      </c>
      <c r="F133" s="183"/>
      <c r="G133" s="183"/>
      <c r="H133" s="183" t="s">
        <v>121</v>
      </c>
      <c r="I133" s="183" t="s">
        <v>30</v>
      </c>
      <c r="J133" s="184">
        <v>5</v>
      </c>
      <c r="K133" s="183"/>
      <c r="L133" s="183"/>
      <c r="M133" s="183" t="s">
        <v>30</v>
      </c>
      <c r="N133" s="183" t="s">
        <v>47</v>
      </c>
      <c r="O133" s="184">
        <v>5</v>
      </c>
      <c r="P133" s="184" t="s">
        <v>321</v>
      </c>
      <c r="Q133" s="521">
        <f>R133*(1-Bolts!$E$1179)</f>
        <v>105.4</v>
      </c>
      <c r="R133" s="150">
        <v>105.4</v>
      </c>
      <c r="S133" s="168">
        <f t="shared" si="34"/>
        <v>0</v>
      </c>
      <c r="T133" s="152"/>
      <c r="U133" s="169"/>
      <c r="V133" s="170"/>
      <c r="W133" s="171"/>
      <c r="X133" s="172"/>
      <c r="Y133" s="173"/>
      <c r="Z133" s="174"/>
      <c r="AA133" s="175"/>
      <c r="AB133" s="176"/>
      <c r="AC133" s="168">
        <f t="shared" si="35"/>
        <v>0</v>
      </c>
      <c r="AD133" s="177">
        <f t="shared" si="36"/>
        <v>0</v>
      </c>
      <c r="AE133" s="178">
        <v>3.75</v>
      </c>
      <c r="AF133" s="179">
        <f t="shared" si="37"/>
        <v>0</v>
      </c>
      <c r="AH133" s="180"/>
      <c r="AK133" s="1"/>
      <c r="AL133" s="1"/>
      <c r="AM133" s="1"/>
      <c r="AN133" s="1"/>
    </row>
    <row r="134" spans="1:40" ht="12.75" customHeight="1">
      <c r="A134" s="181"/>
      <c r="B134" s="182" t="s">
        <v>322</v>
      </c>
      <c r="C134" s="183" t="s">
        <v>52</v>
      </c>
      <c r="D134" s="183" t="s">
        <v>48</v>
      </c>
      <c r="E134" s="184">
        <v>10</v>
      </c>
      <c r="F134" s="183"/>
      <c r="G134" s="183"/>
      <c r="H134" s="183" t="s">
        <v>121</v>
      </c>
      <c r="I134" s="183" t="s">
        <v>33</v>
      </c>
      <c r="J134" s="184">
        <v>10</v>
      </c>
      <c r="K134" s="183"/>
      <c r="L134" s="183"/>
      <c r="M134" s="183" t="s">
        <v>33</v>
      </c>
      <c r="N134" s="183" t="s">
        <v>49</v>
      </c>
      <c r="O134" s="184">
        <v>10</v>
      </c>
      <c r="P134" s="184" t="s">
        <v>323</v>
      </c>
      <c r="Q134" s="521">
        <f>R134*(1-Bolts!$E$1179)</f>
        <v>162.69999999999999</v>
      </c>
      <c r="R134" s="150">
        <v>162.69999999999999</v>
      </c>
      <c r="S134" s="168">
        <f t="shared" si="34"/>
        <v>0</v>
      </c>
      <c r="T134" s="152"/>
      <c r="U134" s="169"/>
      <c r="V134" s="170"/>
      <c r="W134" s="171"/>
      <c r="X134" s="172"/>
      <c r="Y134" s="173"/>
      <c r="Z134" s="174"/>
      <c r="AA134" s="175"/>
      <c r="AB134" s="176"/>
      <c r="AC134" s="168">
        <f t="shared" si="35"/>
        <v>0</v>
      </c>
      <c r="AD134" s="177">
        <f t="shared" si="36"/>
        <v>0</v>
      </c>
      <c r="AE134" s="178">
        <v>6.15</v>
      </c>
      <c r="AF134" s="179">
        <f t="shared" si="37"/>
        <v>0</v>
      </c>
      <c r="AH134" s="180"/>
      <c r="AK134" s="1"/>
      <c r="AL134" s="1"/>
      <c r="AM134" s="1"/>
      <c r="AN134" s="1"/>
    </row>
    <row r="135" spans="1:40" ht="12.75" customHeight="1">
      <c r="A135" s="181"/>
      <c r="B135" s="182" t="s">
        <v>324</v>
      </c>
      <c r="C135" s="183" t="s">
        <v>52</v>
      </c>
      <c r="D135" s="183" t="s">
        <v>48</v>
      </c>
      <c r="E135" s="184">
        <v>10</v>
      </c>
      <c r="F135" s="183"/>
      <c r="G135" s="183"/>
      <c r="H135" s="183" t="s">
        <v>121</v>
      </c>
      <c r="I135" s="183" t="s">
        <v>30</v>
      </c>
      <c r="J135" s="184">
        <v>10</v>
      </c>
      <c r="K135" s="183"/>
      <c r="L135" s="183"/>
      <c r="M135" s="183" t="s">
        <v>30</v>
      </c>
      <c r="N135" s="183" t="s">
        <v>47</v>
      </c>
      <c r="O135" s="184">
        <v>10</v>
      </c>
      <c r="P135" s="184" t="s">
        <v>325</v>
      </c>
      <c r="Q135" s="521">
        <f>R135*(1-Bolts!$E$1179)</f>
        <v>167.6</v>
      </c>
      <c r="R135" s="150">
        <v>167.6</v>
      </c>
      <c r="S135" s="168">
        <f t="shared" si="34"/>
        <v>0</v>
      </c>
      <c r="T135" s="152"/>
      <c r="U135" s="169"/>
      <c r="V135" s="170"/>
      <c r="W135" s="171"/>
      <c r="X135" s="172"/>
      <c r="Y135" s="173"/>
      <c r="Z135" s="174"/>
      <c r="AA135" s="175"/>
      <c r="AB135" s="176"/>
      <c r="AC135" s="168">
        <f t="shared" si="35"/>
        <v>0</v>
      </c>
      <c r="AD135" s="177">
        <f t="shared" si="36"/>
        <v>0</v>
      </c>
      <c r="AE135" s="178">
        <v>6.4</v>
      </c>
      <c r="AF135" s="179">
        <f t="shared" si="37"/>
        <v>0</v>
      </c>
      <c r="AH135" s="180"/>
      <c r="AK135" s="1"/>
      <c r="AL135" s="1"/>
      <c r="AM135" s="1"/>
      <c r="AN135" s="1"/>
    </row>
    <row r="136" spans="1:40" ht="12.75" customHeight="1">
      <c r="A136" s="181"/>
      <c r="B136" s="182" t="s">
        <v>326</v>
      </c>
      <c r="C136" s="183" t="s">
        <v>52</v>
      </c>
      <c r="D136" s="183" t="s">
        <v>48</v>
      </c>
      <c r="E136" s="184">
        <v>10</v>
      </c>
      <c r="F136" s="183"/>
      <c r="G136" s="183"/>
      <c r="H136" s="183" t="s">
        <v>121</v>
      </c>
      <c r="I136" s="183" t="s">
        <v>30</v>
      </c>
      <c r="J136" s="184">
        <v>10</v>
      </c>
      <c r="K136" s="183"/>
      <c r="L136" s="183"/>
      <c r="M136" s="183" t="s">
        <v>30</v>
      </c>
      <c r="N136" s="183" t="s">
        <v>47</v>
      </c>
      <c r="O136" s="184">
        <v>10</v>
      </c>
      <c r="P136" s="184" t="s">
        <v>327</v>
      </c>
      <c r="Q136" s="521">
        <f>R136*(1-Bolts!$E$1179)</f>
        <v>166.7</v>
      </c>
      <c r="R136" s="150">
        <v>166.7</v>
      </c>
      <c r="S136" s="168">
        <f t="shared" si="34"/>
        <v>0</v>
      </c>
      <c r="T136" s="152"/>
      <c r="U136" s="169"/>
      <c r="V136" s="170"/>
      <c r="W136" s="171"/>
      <c r="X136" s="172"/>
      <c r="Y136" s="173"/>
      <c r="Z136" s="174"/>
      <c r="AA136" s="175"/>
      <c r="AB136" s="176"/>
      <c r="AC136" s="168">
        <f t="shared" si="35"/>
        <v>0</v>
      </c>
      <c r="AD136" s="177">
        <f t="shared" si="36"/>
        <v>0</v>
      </c>
      <c r="AE136" s="178">
        <v>6.35</v>
      </c>
      <c r="AF136" s="179">
        <f t="shared" si="37"/>
        <v>0</v>
      </c>
      <c r="AH136" s="180"/>
      <c r="AK136" s="1"/>
      <c r="AL136" s="1"/>
      <c r="AM136" s="1"/>
      <c r="AN136" s="1"/>
    </row>
    <row r="137" spans="1:40" ht="12.75" customHeight="1">
      <c r="A137" s="181"/>
      <c r="B137" s="182" t="s">
        <v>328</v>
      </c>
      <c r="C137" s="183" t="s">
        <v>52</v>
      </c>
      <c r="D137" s="183" t="s">
        <v>48</v>
      </c>
      <c r="E137" s="184">
        <v>5</v>
      </c>
      <c r="F137" s="183"/>
      <c r="G137" s="183"/>
      <c r="H137" s="183" t="s">
        <v>121</v>
      </c>
      <c r="I137" s="183" t="s">
        <v>29</v>
      </c>
      <c r="J137" s="184">
        <v>5</v>
      </c>
      <c r="K137" s="183"/>
      <c r="L137" s="183"/>
      <c r="M137" s="183" t="s">
        <v>29</v>
      </c>
      <c r="N137" s="183" t="s">
        <v>47</v>
      </c>
      <c r="O137" s="184">
        <v>5</v>
      </c>
      <c r="P137" s="184" t="s">
        <v>329</v>
      </c>
      <c r="Q137" s="521">
        <f>R137*(1-Bolts!$E$1179)</f>
        <v>112.4</v>
      </c>
      <c r="R137" s="150">
        <v>112.4</v>
      </c>
      <c r="S137" s="168">
        <f t="shared" si="34"/>
        <v>0</v>
      </c>
      <c r="T137" s="152"/>
      <c r="U137" s="169"/>
      <c r="V137" s="170"/>
      <c r="W137" s="171"/>
      <c r="X137" s="172"/>
      <c r="Y137" s="173"/>
      <c r="Z137" s="174"/>
      <c r="AA137" s="175"/>
      <c r="AB137" s="176"/>
      <c r="AC137" s="168">
        <f t="shared" si="35"/>
        <v>0</v>
      </c>
      <c r="AD137" s="177">
        <f t="shared" si="36"/>
        <v>0</v>
      </c>
      <c r="AE137" s="178">
        <v>4.0999999999999996</v>
      </c>
      <c r="AF137" s="179">
        <f t="shared" si="37"/>
        <v>0</v>
      </c>
      <c r="AH137" s="180"/>
      <c r="AK137" s="1"/>
      <c r="AL137" s="1"/>
      <c r="AM137" s="1"/>
      <c r="AN137" s="1"/>
    </row>
    <row r="138" spans="1:40" ht="12.75" customHeight="1">
      <c r="A138" s="87"/>
      <c r="B138" s="185"/>
      <c r="C138" s="165"/>
      <c r="D138" s="165"/>
      <c r="E138" s="166"/>
      <c r="F138" s="165"/>
      <c r="G138" s="165"/>
      <c r="H138" s="165"/>
      <c r="I138" s="165"/>
      <c r="J138" s="166"/>
      <c r="K138" s="165"/>
      <c r="L138" s="165"/>
      <c r="M138" s="165"/>
      <c r="N138" s="165"/>
      <c r="O138" s="166"/>
      <c r="P138" s="166"/>
      <c r="Q138" s="522"/>
      <c r="R138" s="150"/>
      <c r="S138" s="186"/>
      <c r="T138" s="152"/>
      <c r="U138" s="187"/>
      <c r="V138" s="188"/>
      <c r="W138" s="187"/>
      <c r="X138" s="187"/>
      <c r="Y138" s="187"/>
      <c r="Z138" s="187"/>
      <c r="AA138" s="187"/>
      <c r="AB138" s="188"/>
      <c r="AC138" s="186"/>
      <c r="AD138" s="189"/>
      <c r="AE138" s="190"/>
      <c r="AF138" s="191"/>
      <c r="AH138" s="180"/>
      <c r="AK138" s="1"/>
      <c r="AL138" s="1"/>
      <c r="AM138" s="1"/>
      <c r="AN138" s="1"/>
    </row>
    <row r="139" spans="1:40" ht="12.75" customHeight="1">
      <c r="A139" s="87"/>
      <c r="B139" s="192" t="s">
        <v>330</v>
      </c>
      <c r="C139" s="193" t="s">
        <v>52</v>
      </c>
      <c r="D139" s="193" t="s">
        <v>64</v>
      </c>
      <c r="E139" s="194">
        <v>10</v>
      </c>
      <c r="F139" s="193"/>
      <c r="G139" s="193"/>
      <c r="H139" s="193" t="s">
        <v>121</v>
      </c>
      <c r="I139" s="193" t="s">
        <v>37</v>
      </c>
      <c r="J139" s="194">
        <v>10</v>
      </c>
      <c r="K139" s="193"/>
      <c r="L139" s="193"/>
      <c r="M139" s="193" t="s">
        <v>37</v>
      </c>
      <c r="N139" s="193" t="s">
        <v>49</v>
      </c>
      <c r="O139" s="194">
        <v>10</v>
      </c>
      <c r="P139" s="194" t="s">
        <v>331</v>
      </c>
      <c r="Q139" s="521">
        <f>R139*(1-Bolts!$E$1179)</f>
        <v>135.4</v>
      </c>
      <c r="R139" s="150">
        <v>135.4</v>
      </c>
      <c r="S139" s="168">
        <f t="shared" ref="S139:S151" si="38">SUM(T139:AB139)</f>
        <v>0</v>
      </c>
      <c r="T139" s="152"/>
      <c r="U139" s="169"/>
      <c r="V139" s="170"/>
      <c r="W139" s="171"/>
      <c r="X139" s="172"/>
      <c r="Y139" s="173"/>
      <c r="Z139" s="174"/>
      <c r="AA139" s="175"/>
      <c r="AB139" s="176"/>
      <c r="AC139" s="168">
        <f t="shared" ref="AC139:AC151" si="39">S139*O139</f>
        <v>0</v>
      </c>
      <c r="AD139" s="177">
        <f t="shared" ref="AD139:AD151" si="40">S139*R139</f>
        <v>0</v>
      </c>
      <c r="AE139" s="178">
        <v>4.95</v>
      </c>
      <c r="AF139" s="179">
        <f t="shared" ref="AF139:AF151" si="41">AE139*S139</f>
        <v>0</v>
      </c>
      <c r="AH139" s="180"/>
      <c r="AK139" s="1"/>
      <c r="AL139" s="1"/>
      <c r="AM139" s="1"/>
      <c r="AN139" s="1"/>
    </row>
    <row r="140" spans="1:40" ht="12.75" customHeight="1">
      <c r="A140" s="87"/>
      <c r="B140" s="192" t="s">
        <v>332</v>
      </c>
      <c r="C140" s="193" t="s">
        <v>52</v>
      </c>
      <c r="D140" s="193" t="s">
        <v>64</v>
      </c>
      <c r="E140" s="194">
        <v>10</v>
      </c>
      <c r="F140" s="193"/>
      <c r="G140" s="193"/>
      <c r="H140" s="193" t="s">
        <v>121</v>
      </c>
      <c r="I140" s="193" t="s">
        <v>39</v>
      </c>
      <c r="J140" s="194">
        <v>10</v>
      </c>
      <c r="K140" s="193"/>
      <c r="L140" s="193"/>
      <c r="M140" s="193" t="s">
        <v>39</v>
      </c>
      <c r="N140" s="193" t="s">
        <v>47</v>
      </c>
      <c r="O140" s="194">
        <v>10</v>
      </c>
      <c r="P140" s="194" t="s">
        <v>333</v>
      </c>
      <c r="Q140" s="521">
        <f>R140*(1-Bolts!$E$1179)</f>
        <v>104.2</v>
      </c>
      <c r="R140" s="150">
        <v>104.2</v>
      </c>
      <c r="S140" s="168">
        <f t="shared" si="38"/>
        <v>0</v>
      </c>
      <c r="T140" s="152"/>
      <c r="U140" s="169"/>
      <c r="V140" s="170"/>
      <c r="W140" s="171"/>
      <c r="X140" s="172"/>
      <c r="Y140" s="173"/>
      <c r="Z140" s="174"/>
      <c r="AA140" s="175"/>
      <c r="AB140" s="176"/>
      <c r="AC140" s="168">
        <f t="shared" si="39"/>
        <v>0</v>
      </c>
      <c r="AD140" s="177">
        <f t="shared" si="40"/>
        <v>0</v>
      </c>
      <c r="AE140" s="178">
        <v>3.13</v>
      </c>
      <c r="AF140" s="179">
        <f t="shared" si="41"/>
        <v>0</v>
      </c>
      <c r="AH140" s="180"/>
      <c r="AK140" s="1"/>
      <c r="AL140" s="1"/>
      <c r="AM140" s="1"/>
      <c r="AN140" s="1"/>
    </row>
    <row r="141" spans="1:40" ht="12.75" customHeight="1">
      <c r="A141" s="87"/>
      <c r="B141" s="192" t="s">
        <v>334</v>
      </c>
      <c r="C141" s="193" t="s">
        <v>52</v>
      </c>
      <c r="D141" s="193" t="s">
        <v>64</v>
      </c>
      <c r="E141" s="194">
        <v>10</v>
      </c>
      <c r="F141" s="193"/>
      <c r="G141" s="193"/>
      <c r="H141" s="193" t="s">
        <v>121</v>
      </c>
      <c r="I141" s="193" t="s">
        <v>39</v>
      </c>
      <c r="J141" s="194">
        <v>10</v>
      </c>
      <c r="K141" s="193"/>
      <c r="L141" s="193"/>
      <c r="M141" s="193" t="s">
        <v>39</v>
      </c>
      <c r="N141" s="193" t="s">
        <v>47</v>
      </c>
      <c r="O141" s="194">
        <v>10</v>
      </c>
      <c r="P141" s="194" t="s">
        <v>335</v>
      </c>
      <c r="Q141" s="521">
        <f>R141*(1-Bolts!$E$1179)</f>
        <v>102.1</v>
      </c>
      <c r="R141" s="150">
        <v>102.1</v>
      </c>
      <c r="S141" s="168">
        <f t="shared" si="38"/>
        <v>0</v>
      </c>
      <c r="T141" s="152"/>
      <c r="U141" s="169"/>
      <c r="V141" s="170"/>
      <c r="W141" s="171"/>
      <c r="X141" s="172"/>
      <c r="Y141" s="173"/>
      <c r="Z141" s="174"/>
      <c r="AA141" s="175"/>
      <c r="AB141" s="176"/>
      <c r="AC141" s="168">
        <f t="shared" si="39"/>
        <v>0</v>
      </c>
      <c r="AD141" s="177">
        <f t="shared" si="40"/>
        <v>0</v>
      </c>
      <c r="AE141" s="178">
        <v>3.01</v>
      </c>
      <c r="AF141" s="179">
        <f t="shared" si="41"/>
        <v>0</v>
      </c>
      <c r="AH141" s="180"/>
      <c r="AK141" s="1"/>
      <c r="AL141" s="1"/>
      <c r="AM141" s="1"/>
      <c r="AN141" s="1"/>
    </row>
    <row r="142" spans="1:40" ht="12.75" customHeight="1">
      <c r="A142" s="87"/>
      <c r="B142" s="192" t="s">
        <v>336</v>
      </c>
      <c r="C142" s="193" t="s">
        <v>52</v>
      </c>
      <c r="D142" s="193" t="s">
        <v>64</v>
      </c>
      <c r="E142" s="194">
        <v>20</v>
      </c>
      <c r="F142" s="193"/>
      <c r="G142" s="193"/>
      <c r="H142" s="193" t="s">
        <v>121</v>
      </c>
      <c r="I142" s="193" t="s">
        <v>32</v>
      </c>
      <c r="J142" s="194">
        <v>20</v>
      </c>
      <c r="K142" s="193"/>
      <c r="L142" s="193"/>
      <c r="M142" s="193" t="s">
        <v>32</v>
      </c>
      <c r="N142" s="193" t="s">
        <v>49</v>
      </c>
      <c r="O142" s="194">
        <v>20</v>
      </c>
      <c r="P142" s="194" t="s">
        <v>337</v>
      </c>
      <c r="Q142" s="521">
        <f>R142*(1-Bolts!$E$1179)</f>
        <v>192.6</v>
      </c>
      <c r="R142" s="150">
        <v>192.6</v>
      </c>
      <c r="S142" s="168">
        <f t="shared" si="38"/>
        <v>0</v>
      </c>
      <c r="T142" s="152"/>
      <c r="U142" s="169"/>
      <c r="V142" s="170"/>
      <c r="W142" s="171"/>
      <c r="X142" s="172"/>
      <c r="Y142" s="173"/>
      <c r="Z142" s="174"/>
      <c r="AA142" s="175"/>
      <c r="AB142" s="176"/>
      <c r="AC142" s="168">
        <f t="shared" si="39"/>
        <v>0</v>
      </c>
      <c r="AD142" s="177">
        <f t="shared" si="40"/>
        <v>0</v>
      </c>
      <c r="AE142" s="178">
        <v>6.78</v>
      </c>
      <c r="AF142" s="179">
        <f t="shared" si="41"/>
        <v>0</v>
      </c>
      <c r="AH142" s="180"/>
      <c r="AK142" s="1"/>
      <c r="AL142" s="1"/>
      <c r="AM142" s="1"/>
      <c r="AN142" s="1"/>
    </row>
    <row r="143" spans="1:40" ht="12.75" customHeight="1">
      <c r="A143" s="87"/>
      <c r="B143" s="204" t="s">
        <v>338</v>
      </c>
      <c r="C143" s="193" t="s">
        <v>52</v>
      </c>
      <c r="D143" s="193" t="s">
        <v>64</v>
      </c>
      <c r="E143" s="194">
        <v>10</v>
      </c>
      <c r="F143" s="193"/>
      <c r="G143" s="193"/>
      <c r="H143" s="193" t="s">
        <v>121</v>
      </c>
      <c r="I143" s="193" t="s">
        <v>33</v>
      </c>
      <c r="J143" s="194">
        <v>10</v>
      </c>
      <c r="K143" s="193"/>
      <c r="L143" s="193"/>
      <c r="M143" s="193" t="s">
        <v>33</v>
      </c>
      <c r="N143" s="193" t="s">
        <v>49</v>
      </c>
      <c r="O143" s="194">
        <v>10</v>
      </c>
      <c r="P143" s="194" t="s">
        <v>339</v>
      </c>
      <c r="Q143" s="521">
        <f>R143*(1-Bolts!$E$1179)</f>
        <v>142.1</v>
      </c>
      <c r="R143" s="150">
        <v>142.1</v>
      </c>
      <c r="S143" s="168">
        <f t="shared" si="38"/>
        <v>0</v>
      </c>
      <c r="T143" s="152"/>
      <c r="U143" s="169"/>
      <c r="V143" s="170"/>
      <c r="W143" s="171"/>
      <c r="X143" s="172"/>
      <c r="Y143" s="173"/>
      <c r="Z143" s="174"/>
      <c r="AA143" s="175"/>
      <c r="AB143" s="176"/>
      <c r="AC143" s="168">
        <f t="shared" si="39"/>
        <v>0</v>
      </c>
      <c r="AD143" s="177">
        <f t="shared" si="40"/>
        <v>0</v>
      </c>
      <c r="AE143" s="178">
        <v>5.34</v>
      </c>
      <c r="AF143" s="179">
        <f t="shared" si="41"/>
        <v>0</v>
      </c>
      <c r="AH143" s="180"/>
      <c r="AK143" s="1"/>
      <c r="AL143" s="1"/>
      <c r="AM143" s="1"/>
      <c r="AN143" s="1"/>
    </row>
    <row r="144" spans="1:40" ht="12.75" customHeight="1">
      <c r="A144" s="87"/>
      <c r="B144" s="192" t="s">
        <v>340</v>
      </c>
      <c r="C144" s="193" t="s">
        <v>52</v>
      </c>
      <c r="D144" s="193" t="s">
        <v>64</v>
      </c>
      <c r="E144" s="194">
        <v>10</v>
      </c>
      <c r="F144" s="193"/>
      <c r="G144" s="193"/>
      <c r="H144" s="193" t="s">
        <v>121</v>
      </c>
      <c r="I144" s="193" t="s">
        <v>35</v>
      </c>
      <c r="J144" s="194">
        <v>10</v>
      </c>
      <c r="K144" s="193"/>
      <c r="L144" s="193"/>
      <c r="M144" s="193" t="s">
        <v>35</v>
      </c>
      <c r="N144" s="193" t="s">
        <v>49</v>
      </c>
      <c r="O144" s="194">
        <v>10</v>
      </c>
      <c r="P144" s="194" t="s">
        <v>341</v>
      </c>
      <c r="Q144" s="521">
        <f>R144*(1-Bolts!$E$1179)</f>
        <v>151.5</v>
      </c>
      <c r="R144" s="150">
        <v>151.5</v>
      </c>
      <c r="S144" s="168">
        <f t="shared" si="38"/>
        <v>0</v>
      </c>
      <c r="T144" s="152"/>
      <c r="U144" s="169"/>
      <c r="V144" s="170"/>
      <c r="W144" s="171"/>
      <c r="X144" s="172"/>
      <c r="Y144" s="173"/>
      <c r="Z144" s="174"/>
      <c r="AA144" s="175"/>
      <c r="AB144" s="176"/>
      <c r="AC144" s="168">
        <f t="shared" si="39"/>
        <v>0</v>
      </c>
      <c r="AD144" s="177">
        <f t="shared" si="40"/>
        <v>0</v>
      </c>
      <c r="AE144" s="178">
        <v>5.88</v>
      </c>
      <c r="AF144" s="179">
        <f t="shared" si="41"/>
        <v>0</v>
      </c>
      <c r="AH144" s="180"/>
      <c r="AK144" s="1"/>
      <c r="AL144" s="1"/>
      <c r="AM144" s="1"/>
      <c r="AN144" s="1"/>
    </row>
    <row r="145" spans="1:40" ht="12.75" customHeight="1">
      <c r="A145" s="181"/>
      <c r="B145" s="192" t="s">
        <v>342</v>
      </c>
      <c r="C145" s="193" t="s">
        <v>52</v>
      </c>
      <c r="D145" s="193" t="s">
        <v>64</v>
      </c>
      <c r="E145" s="194">
        <v>10</v>
      </c>
      <c r="F145" s="193"/>
      <c r="G145" s="193"/>
      <c r="H145" s="193" t="s">
        <v>121</v>
      </c>
      <c r="I145" s="193" t="s">
        <v>33</v>
      </c>
      <c r="J145" s="194">
        <v>10</v>
      </c>
      <c r="K145" s="193"/>
      <c r="L145" s="193"/>
      <c r="M145" s="193" t="s">
        <v>33</v>
      </c>
      <c r="N145" s="193" t="s">
        <v>49</v>
      </c>
      <c r="O145" s="194">
        <v>10</v>
      </c>
      <c r="P145" s="194" t="s">
        <v>343</v>
      </c>
      <c r="Q145" s="521">
        <f>R145*(1-Bolts!$E$1179)</f>
        <v>170.9</v>
      </c>
      <c r="R145" s="150">
        <v>170.9</v>
      </c>
      <c r="S145" s="168">
        <f t="shared" si="38"/>
        <v>0</v>
      </c>
      <c r="T145" s="152"/>
      <c r="U145" s="169"/>
      <c r="V145" s="170"/>
      <c r="W145" s="171"/>
      <c r="X145" s="172"/>
      <c r="Y145" s="173"/>
      <c r="Z145" s="174"/>
      <c r="AA145" s="175"/>
      <c r="AB145" s="176"/>
      <c r="AC145" s="168">
        <f t="shared" si="39"/>
        <v>0</v>
      </c>
      <c r="AD145" s="177">
        <f t="shared" si="40"/>
        <v>0</v>
      </c>
      <c r="AE145" s="178">
        <v>6.85</v>
      </c>
      <c r="AF145" s="179">
        <f t="shared" si="41"/>
        <v>0</v>
      </c>
      <c r="AH145" s="180"/>
      <c r="AK145" s="1"/>
      <c r="AL145" s="1"/>
      <c r="AM145" s="1"/>
      <c r="AN145" s="1"/>
    </row>
    <row r="146" spans="1:40" ht="12.75" customHeight="1">
      <c r="A146" s="181"/>
      <c r="B146" s="192" t="s">
        <v>344</v>
      </c>
      <c r="C146" s="193" t="s">
        <v>52</v>
      </c>
      <c r="D146" s="193" t="s">
        <v>64</v>
      </c>
      <c r="E146" s="194">
        <v>10</v>
      </c>
      <c r="F146" s="193"/>
      <c r="G146" s="193"/>
      <c r="H146" s="193" t="s">
        <v>121</v>
      </c>
      <c r="I146" s="193" t="s">
        <v>33</v>
      </c>
      <c r="J146" s="194">
        <v>10</v>
      </c>
      <c r="K146" s="193"/>
      <c r="L146" s="193"/>
      <c r="M146" s="193" t="s">
        <v>33</v>
      </c>
      <c r="N146" s="193" t="s">
        <v>49</v>
      </c>
      <c r="O146" s="194">
        <v>10</v>
      </c>
      <c r="P146" s="194" t="s">
        <v>345</v>
      </c>
      <c r="Q146" s="521">
        <f>R146*(1-Bolts!$E$1179)</f>
        <v>116.1</v>
      </c>
      <c r="R146" s="150">
        <v>116.1</v>
      </c>
      <c r="S146" s="168">
        <f t="shared" si="38"/>
        <v>0</v>
      </c>
      <c r="T146" s="152"/>
      <c r="U146" s="169"/>
      <c r="V146" s="170"/>
      <c r="W146" s="171"/>
      <c r="X146" s="172"/>
      <c r="Y146" s="173"/>
      <c r="Z146" s="174"/>
      <c r="AA146" s="175"/>
      <c r="AB146" s="176"/>
      <c r="AC146" s="168">
        <f t="shared" si="39"/>
        <v>0</v>
      </c>
      <c r="AD146" s="177">
        <f t="shared" si="40"/>
        <v>0</v>
      </c>
      <c r="AE146" s="178">
        <v>3.74</v>
      </c>
      <c r="AF146" s="179">
        <f t="shared" si="41"/>
        <v>0</v>
      </c>
      <c r="AH146" s="180"/>
      <c r="AK146" s="1"/>
      <c r="AL146" s="1"/>
      <c r="AM146" s="1"/>
      <c r="AN146" s="1"/>
    </row>
    <row r="147" spans="1:40" ht="12.75" customHeight="1">
      <c r="A147" s="181"/>
      <c r="B147" s="182" t="s">
        <v>346</v>
      </c>
      <c r="C147" s="183" t="s">
        <v>52</v>
      </c>
      <c r="D147" s="183" t="s">
        <v>64</v>
      </c>
      <c r="E147" s="184">
        <v>10</v>
      </c>
      <c r="F147" s="183"/>
      <c r="G147" s="183"/>
      <c r="H147" s="183" t="s">
        <v>121</v>
      </c>
      <c r="I147" s="183" t="s">
        <v>31</v>
      </c>
      <c r="J147" s="184">
        <v>10</v>
      </c>
      <c r="K147" s="183"/>
      <c r="L147" s="183"/>
      <c r="M147" s="183" t="s">
        <v>31</v>
      </c>
      <c r="N147" s="183" t="s">
        <v>47</v>
      </c>
      <c r="O147" s="184">
        <v>10</v>
      </c>
      <c r="P147" s="184" t="s">
        <v>347</v>
      </c>
      <c r="Q147" s="521">
        <f>R147*(1-Bolts!$E$1179)</f>
        <v>139.6</v>
      </c>
      <c r="R147" s="150">
        <v>139.6</v>
      </c>
      <c r="S147" s="168">
        <f t="shared" si="38"/>
        <v>0</v>
      </c>
      <c r="T147" s="152"/>
      <c r="U147" s="169"/>
      <c r="V147" s="170"/>
      <c r="W147" s="171"/>
      <c r="X147" s="172"/>
      <c r="Y147" s="173"/>
      <c r="Z147" s="174"/>
      <c r="AA147" s="175"/>
      <c r="AB147" s="176"/>
      <c r="AC147" s="168">
        <f t="shared" si="39"/>
        <v>0</v>
      </c>
      <c r="AD147" s="177">
        <f t="shared" si="40"/>
        <v>0</v>
      </c>
      <c r="AE147" s="178">
        <v>4.8499999999999996</v>
      </c>
      <c r="AF147" s="179">
        <f t="shared" si="41"/>
        <v>0</v>
      </c>
      <c r="AH147" s="180"/>
      <c r="AK147" s="1"/>
      <c r="AL147" s="1"/>
      <c r="AM147" s="1"/>
      <c r="AN147" s="1"/>
    </row>
    <row r="148" spans="1:40" ht="12.75" customHeight="1">
      <c r="A148" s="181"/>
      <c r="B148" s="182" t="s">
        <v>348</v>
      </c>
      <c r="C148" s="183" t="s">
        <v>52</v>
      </c>
      <c r="D148" s="183" t="s">
        <v>64</v>
      </c>
      <c r="E148" s="184">
        <v>10</v>
      </c>
      <c r="F148" s="183"/>
      <c r="G148" s="183"/>
      <c r="H148" s="183" t="s">
        <v>121</v>
      </c>
      <c r="I148" s="183" t="s">
        <v>39</v>
      </c>
      <c r="J148" s="184">
        <v>10</v>
      </c>
      <c r="K148" s="183"/>
      <c r="L148" s="183"/>
      <c r="M148" s="183" t="s">
        <v>39</v>
      </c>
      <c r="N148" s="183" t="s">
        <v>48</v>
      </c>
      <c r="O148" s="184">
        <v>10</v>
      </c>
      <c r="P148" s="184" t="s">
        <v>349</v>
      </c>
      <c r="Q148" s="521">
        <f>R148*(1-Bolts!$E$1179)</f>
        <v>104</v>
      </c>
      <c r="R148" s="150">
        <v>104</v>
      </c>
      <c r="S148" s="168">
        <f t="shared" si="38"/>
        <v>0</v>
      </c>
      <c r="T148" s="152"/>
      <c r="U148" s="169"/>
      <c r="V148" s="170"/>
      <c r="W148" s="171"/>
      <c r="X148" s="172"/>
      <c r="Y148" s="173"/>
      <c r="Z148" s="174"/>
      <c r="AA148" s="175"/>
      <c r="AB148" s="176"/>
      <c r="AC148" s="168">
        <f t="shared" si="39"/>
        <v>0</v>
      </c>
      <c r="AD148" s="177">
        <f t="shared" si="40"/>
        <v>0</v>
      </c>
      <c r="AE148" s="178">
        <v>2.95</v>
      </c>
      <c r="AF148" s="179">
        <f t="shared" si="41"/>
        <v>0</v>
      </c>
      <c r="AH148" s="180"/>
      <c r="AK148" s="1"/>
      <c r="AL148" s="1"/>
      <c r="AM148" s="1"/>
      <c r="AN148" s="1"/>
    </row>
    <row r="149" spans="1:40" ht="12.75" customHeight="1">
      <c r="A149" s="181"/>
      <c r="B149" s="182" t="s">
        <v>350</v>
      </c>
      <c r="C149" s="183" t="s">
        <v>52</v>
      </c>
      <c r="D149" s="183" t="s">
        <v>64</v>
      </c>
      <c r="E149" s="184">
        <v>10</v>
      </c>
      <c r="F149" s="183"/>
      <c r="G149" s="183"/>
      <c r="H149" s="183" t="s">
        <v>121</v>
      </c>
      <c r="I149" s="183" t="s">
        <v>39</v>
      </c>
      <c r="J149" s="184">
        <v>10</v>
      </c>
      <c r="K149" s="183"/>
      <c r="L149" s="183"/>
      <c r="M149" s="183" t="s">
        <v>39</v>
      </c>
      <c r="N149" s="183" t="s">
        <v>48</v>
      </c>
      <c r="O149" s="184">
        <v>10</v>
      </c>
      <c r="P149" s="184" t="s">
        <v>351</v>
      </c>
      <c r="Q149" s="521">
        <f>R149*(1-Bolts!$E$1179)</f>
        <v>110.1</v>
      </c>
      <c r="R149" s="150">
        <v>110.1</v>
      </c>
      <c r="S149" s="168">
        <f t="shared" si="38"/>
        <v>0</v>
      </c>
      <c r="T149" s="152"/>
      <c r="U149" s="169"/>
      <c r="V149" s="170"/>
      <c r="W149" s="171"/>
      <c r="X149" s="172"/>
      <c r="Y149" s="173"/>
      <c r="Z149" s="174"/>
      <c r="AA149" s="175"/>
      <c r="AB149" s="176"/>
      <c r="AC149" s="168">
        <f t="shared" si="39"/>
        <v>0</v>
      </c>
      <c r="AD149" s="177">
        <f t="shared" si="40"/>
        <v>0</v>
      </c>
      <c r="AE149" s="178">
        <v>3.3</v>
      </c>
      <c r="AF149" s="179">
        <f t="shared" si="41"/>
        <v>0</v>
      </c>
      <c r="AH149" s="180"/>
      <c r="AK149" s="1"/>
      <c r="AL149" s="1"/>
      <c r="AM149" s="1"/>
      <c r="AN149" s="1"/>
    </row>
    <row r="150" spans="1:40" ht="12.75" customHeight="1">
      <c r="A150" s="181"/>
      <c r="B150" s="182" t="s">
        <v>352</v>
      </c>
      <c r="C150" s="183" t="s">
        <v>52</v>
      </c>
      <c r="D150" s="183" t="s">
        <v>64</v>
      </c>
      <c r="E150" s="184">
        <v>10</v>
      </c>
      <c r="F150" s="183"/>
      <c r="G150" s="183"/>
      <c r="H150" s="183" t="s">
        <v>121</v>
      </c>
      <c r="I150" s="183" t="s">
        <v>39</v>
      </c>
      <c r="J150" s="184">
        <v>10</v>
      </c>
      <c r="K150" s="183"/>
      <c r="L150" s="183"/>
      <c r="M150" s="183" t="s">
        <v>39</v>
      </c>
      <c r="N150" s="183" t="s">
        <v>48</v>
      </c>
      <c r="O150" s="184">
        <v>10</v>
      </c>
      <c r="P150" s="184" t="s">
        <v>353</v>
      </c>
      <c r="Q150" s="521">
        <f>R150*(1-Bolts!$E$1179)</f>
        <v>97.7</v>
      </c>
      <c r="R150" s="150">
        <v>97.7</v>
      </c>
      <c r="S150" s="168">
        <f t="shared" si="38"/>
        <v>0</v>
      </c>
      <c r="T150" s="152"/>
      <c r="U150" s="169"/>
      <c r="V150" s="170"/>
      <c r="W150" s="171"/>
      <c r="X150" s="172"/>
      <c r="Y150" s="173"/>
      <c r="Z150" s="174"/>
      <c r="AA150" s="175"/>
      <c r="AB150" s="176"/>
      <c r="AC150" s="168">
        <f t="shared" si="39"/>
        <v>0</v>
      </c>
      <c r="AD150" s="177">
        <f t="shared" si="40"/>
        <v>0</v>
      </c>
      <c r="AE150" s="178">
        <v>2.6</v>
      </c>
      <c r="AF150" s="179">
        <f t="shared" si="41"/>
        <v>0</v>
      </c>
      <c r="AH150" s="180"/>
      <c r="AK150" s="1"/>
      <c r="AL150" s="1"/>
      <c r="AM150" s="1"/>
      <c r="AN150" s="1"/>
    </row>
    <row r="151" spans="1:40" ht="12.75" customHeight="1">
      <c r="A151" s="181"/>
      <c r="B151" s="182" t="s">
        <v>354</v>
      </c>
      <c r="C151" s="183" t="s">
        <v>52</v>
      </c>
      <c r="D151" s="183" t="s">
        <v>64</v>
      </c>
      <c r="E151" s="184">
        <v>10</v>
      </c>
      <c r="F151" s="183"/>
      <c r="G151" s="183"/>
      <c r="H151" s="183" t="s">
        <v>121</v>
      </c>
      <c r="I151" s="183" t="s">
        <v>31</v>
      </c>
      <c r="J151" s="184">
        <v>10</v>
      </c>
      <c r="K151" s="183"/>
      <c r="L151" s="183"/>
      <c r="M151" s="183" t="s">
        <v>31</v>
      </c>
      <c r="N151" s="183" t="s">
        <v>47</v>
      </c>
      <c r="O151" s="184">
        <v>10</v>
      </c>
      <c r="P151" s="184" t="s">
        <v>355</v>
      </c>
      <c r="Q151" s="521">
        <f>R151*(1-Bolts!$E$1179)</f>
        <v>98.6</v>
      </c>
      <c r="R151" s="150">
        <v>98.6</v>
      </c>
      <c r="S151" s="168">
        <f t="shared" si="38"/>
        <v>0</v>
      </c>
      <c r="T151" s="152"/>
      <c r="U151" s="169"/>
      <c r="V151" s="170"/>
      <c r="W151" s="171"/>
      <c r="X151" s="172"/>
      <c r="Y151" s="173"/>
      <c r="Z151" s="174"/>
      <c r="AA151" s="175"/>
      <c r="AB151" s="176"/>
      <c r="AC151" s="168">
        <f t="shared" si="39"/>
        <v>0</v>
      </c>
      <c r="AD151" s="177">
        <f t="shared" si="40"/>
        <v>0</v>
      </c>
      <c r="AE151" s="178">
        <v>2.65</v>
      </c>
      <c r="AF151" s="179">
        <f t="shared" si="41"/>
        <v>0</v>
      </c>
      <c r="AH151" s="180"/>
      <c r="AK151" s="1"/>
      <c r="AL151" s="1"/>
      <c r="AM151" s="1"/>
      <c r="AN151" s="1"/>
    </row>
    <row r="152" spans="1:40" ht="12.75" customHeight="1">
      <c r="A152" s="87"/>
      <c r="B152" s="185"/>
      <c r="C152" s="165"/>
      <c r="D152" s="165"/>
      <c r="E152" s="166"/>
      <c r="F152" s="165"/>
      <c r="G152" s="165"/>
      <c r="H152" s="165"/>
      <c r="I152" s="165"/>
      <c r="J152" s="166"/>
      <c r="K152" s="165"/>
      <c r="L152" s="165"/>
      <c r="M152" s="165"/>
      <c r="N152" s="165"/>
      <c r="O152" s="166"/>
      <c r="P152" s="166"/>
      <c r="Q152" s="522"/>
      <c r="R152" s="150"/>
      <c r="S152" s="186"/>
      <c r="T152" s="152"/>
      <c r="U152" s="187"/>
      <c r="V152" s="188"/>
      <c r="W152" s="187"/>
      <c r="X152" s="187"/>
      <c r="Y152" s="187"/>
      <c r="Z152" s="187"/>
      <c r="AA152" s="187"/>
      <c r="AB152" s="188"/>
      <c r="AC152" s="186"/>
      <c r="AD152" s="189"/>
      <c r="AE152" s="190"/>
      <c r="AF152" s="191"/>
      <c r="AH152" s="180"/>
      <c r="AK152" s="1"/>
      <c r="AL152" s="1"/>
      <c r="AM152" s="1"/>
      <c r="AN152" s="1"/>
    </row>
    <row r="153" spans="1:40" ht="12.75" customHeight="1">
      <c r="A153" s="87"/>
      <c r="B153" s="192" t="s">
        <v>356</v>
      </c>
      <c r="C153" s="193" t="s">
        <v>52</v>
      </c>
      <c r="D153" s="193" t="s">
        <v>65</v>
      </c>
      <c r="E153" s="194">
        <v>20</v>
      </c>
      <c r="F153" s="193"/>
      <c r="G153" s="193"/>
      <c r="H153" s="193" t="s">
        <v>121</v>
      </c>
      <c r="I153" s="193" t="s">
        <v>39</v>
      </c>
      <c r="J153" s="194">
        <v>20</v>
      </c>
      <c r="K153" s="193"/>
      <c r="L153" s="193"/>
      <c r="M153" s="193" t="s">
        <v>39</v>
      </c>
      <c r="N153" s="193" t="s">
        <v>48</v>
      </c>
      <c r="O153" s="194">
        <v>20</v>
      </c>
      <c r="P153" s="194" t="s">
        <v>357</v>
      </c>
      <c r="Q153" s="521">
        <f>R153*(1-Bolts!$E$1179)</f>
        <v>140.30000000000001</v>
      </c>
      <c r="R153" s="150">
        <v>140.30000000000001</v>
      </c>
      <c r="S153" s="168">
        <f t="shared" ref="S153:S156" si="42">SUM(T153:AB153)</f>
        <v>0</v>
      </c>
      <c r="T153" s="152"/>
      <c r="U153" s="169"/>
      <c r="V153" s="170"/>
      <c r="W153" s="171"/>
      <c r="X153" s="172"/>
      <c r="Y153" s="173"/>
      <c r="Z153" s="174"/>
      <c r="AA153" s="175"/>
      <c r="AB153" s="176"/>
      <c r="AC153" s="168">
        <f t="shared" ref="AC153:AC156" si="43">S153*O153</f>
        <v>0</v>
      </c>
      <c r="AD153" s="177">
        <f t="shared" ref="AD153:AD156" si="44">S153*R153</f>
        <v>0</v>
      </c>
      <c r="AE153" s="178">
        <v>3.74</v>
      </c>
      <c r="AF153" s="179">
        <f t="shared" ref="AF153:AF156" si="45">AE153*S153</f>
        <v>0</v>
      </c>
      <c r="AH153" s="180"/>
      <c r="AK153" s="1"/>
      <c r="AL153" s="1"/>
      <c r="AM153" s="1"/>
      <c r="AN153" s="1"/>
    </row>
    <row r="154" spans="1:40" ht="12.75" customHeight="1">
      <c r="A154" s="87"/>
      <c r="B154" s="192" t="s">
        <v>358</v>
      </c>
      <c r="C154" s="193" t="s">
        <v>52</v>
      </c>
      <c r="D154" s="193" t="s">
        <v>65</v>
      </c>
      <c r="E154" s="194">
        <v>20</v>
      </c>
      <c r="F154" s="193"/>
      <c r="G154" s="193"/>
      <c r="H154" s="193" t="s">
        <v>121</v>
      </c>
      <c r="I154" s="193" t="s">
        <v>39</v>
      </c>
      <c r="J154" s="194">
        <v>20</v>
      </c>
      <c r="K154" s="193"/>
      <c r="L154" s="193"/>
      <c r="M154" s="193" t="s">
        <v>39</v>
      </c>
      <c r="N154" s="193" t="s">
        <v>49</v>
      </c>
      <c r="O154" s="194">
        <v>20</v>
      </c>
      <c r="P154" s="194" t="s">
        <v>359</v>
      </c>
      <c r="Q154" s="521">
        <f>R154*(1-Bolts!$E$1179)</f>
        <v>198.6</v>
      </c>
      <c r="R154" s="150">
        <v>198.6</v>
      </c>
      <c r="S154" s="168">
        <f t="shared" si="42"/>
        <v>0</v>
      </c>
      <c r="T154" s="152"/>
      <c r="U154" s="169"/>
      <c r="V154" s="170"/>
      <c r="W154" s="171"/>
      <c r="X154" s="172"/>
      <c r="Y154" s="173"/>
      <c r="Z154" s="174"/>
      <c r="AA154" s="175"/>
      <c r="AB154" s="176"/>
      <c r="AC154" s="168">
        <f t="shared" si="43"/>
        <v>0</v>
      </c>
      <c r="AD154" s="177">
        <f t="shared" si="44"/>
        <v>0</v>
      </c>
      <c r="AE154" s="178">
        <v>7.13</v>
      </c>
      <c r="AF154" s="179">
        <f t="shared" si="45"/>
        <v>0</v>
      </c>
      <c r="AH154" s="180"/>
      <c r="AK154" s="1"/>
      <c r="AL154" s="1"/>
      <c r="AM154" s="1"/>
      <c r="AN154" s="1"/>
    </row>
    <row r="155" spans="1:40" ht="12.75" customHeight="1">
      <c r="A155" s="87"/>
      <c r="B155" s="192" t="s">
        <v>360</v>
      </c>
      <c r="C155" s="193" t="s">
        <v>52</v>
      </c>
      <c r="D155" s="193" t="s">
        <v>65</v>
      </c>
      <c r="E155" s="194">
        <v>20</v>
      </c>
      <c r="F155" s="193"/>
      <c r="G155" s="193"/>
      <c r="H155" s="193" t="s">
        <v>121</v>
      </c>
      <c r="I155" s="193" t="s">
        <v>39</v>
      </c>
      <c r="J155" s="194">
        <v>20</v>
      </c>
      <c r="K155" s="193"/>
      <c r="L155" s="193"/>
      <c r="M155" s="193" t="s">
        <v>39</v>
      </c>
      <c r="N155" s="193" t="s">
        <v>49</v>
      </c>
      <c r="O155" s="194">
        <v>20</v>
      </c>
      <c r="P155" s="194" t="s">
        <v>361</v>
      </c>
      <c r="Q155" s="521">
        <f>R155*(1-Bolts!$E$1179)</f>
        <v>184.3</v>
      </c>
      <c r="R155" s="150">
        <v>184.3</v>
      </c>
      <c r="S155" s="168">
        <f t="shared" si="42"/>
        <v>0</v>
      </c>
      <c r="T155" s="152"/>
      <c r="U155" s="169"/>
      <c r="V155" s="170"/>
      <c r="W155" s="171"/>
      <c r="X155" s="172"/>
      <c r="Y155" s="173"/>
      <c r="Z155" s="174"/>
      <c r="AA155" s="175"/>
      <c r="AB155" s="176"/>
      <c r="AC155" s="168">
        <f t="shared" si="43"/>
        <v>0</v>
      </c>
      <c r="AD155" s="177">
        <f t="shared" si="44"/>
        <v>0</v>
      </c>
      <c r="AE155" s="178">
        <v>6.16</v>
      </c>
      <c r="AF155" s="179">
        <f t="shared" si="45"/>
        <v>0</v>
      </c>
      <c r="AH155" s="180"/>
      <c r="AK155" s="1"/>
      <c r="AL155" s="1"/>
      <c r="AM155" s="1"/>
      <c r="AN155" s="1"/>
    </row>
    <row r="156" spans="1:40" ht="12.75" customHeight="1">
      <c r="A156" s="87"/>
      <c r="B156" s="192" t="s">
        <v>362</v>
      </c>
      <c r="C156" s="193" t="s">
        <v>52</v>
      </c>
      <c r="D156" s="193" t="s">
        <v>65</v>
      </c>
      <c r="E156" s="194">
        <v>20</v>
      </c>
      <c r="F156" s="193"/>
      <c r="G156" s="193"/>
      <c r="H156" s="193" t="s">
        <v>121</v>
      </c>
      <c r="I156" s="193" t="s">
        <v>39</v>
      </c>
      <c r="J156" s="194">
        <v>20</v>
      </c>
      <c r="K156" s="193"/>
      <c r="L156" s="193"/>
      <c r="M156" s="193" t="s">
        <v>39</v>
      </c>
      <c r="N156" s="193" t="s">
        <v>49</v>
      </c>
      <c r="O156" s="194">
        <v>20</v>
      </c>
      <c r="P156" s="194" t="s">
        <v>363</v>
      </c>
      <c r="Q156" s="521">
        <f>R156*(1-Bolts!$E$1179)</f>
        <v>180.9</v>
      </c>
      <c r="R156" s="150">
        <v>180.9</v>
      </c>
      <c r="S156" s="168">
        <f t="shared" si="42"/>
        <v>0</v>
      </c>
      <c r="T156" s="152"/>
      <c r="U156" s="169"/>
      <c r="V156" s="170"/>
      <c r="W156" s="171"/>
      <c r="X156" s="172"/>
      <c r="Y156" s="173"/>
      <c r="Z156" s="174"/>
      <c r="AA156" s="175"/>
      <c r="AB156" s="176"/>
      <c r="AC156" s="168">
        <f t="shared" si="43"/>
        <v>0</v>
      </c>
      <c r="AD156" s="177">
        <f t="shared" si="44"/>
        <v>0</v>
      </c>
      <c r="AE156" s="178">
        <v>6.07</v>
      </c>
      <c r="AF156" s="179">
        <f t="shared" si="45"/>
        <v>0</v>
      </c>
      <c r="AH156" s="180"/>
      <c r="AK156" s="1"/>
      <c r="AL156" s="1"/>
      <c r="AM156" s="1"/>
      <c r="AN156" s="1"/>
    </row>
    <row r="157" spans="1:40" ht="12.75" customHeight="1">
      <c r="A157" s="87"/>
      <c r="B157" s="185"/>
      <c r="C157" s="165"/>
      <c r="D157" s="165"/>
      <c r="E157" s="166"/>
      <c r="F157" s="165"/>
      <c r="G157" s="165"/>
      <c r="H157" s="165"/>
      <c r="I157" s="165"/>
      <c r="J157" s="166"/>
      <c r="K157" s="165"/>
      <c r="L157" s="165"/>
      <c r="M157" s="165"/>
      <c r="N157" s="165"/>
      <c r="O157" s="166"/>
      <c r="P157" s="166"/>
      <c r="Q157" s="522"/>
      <c r="R157" s="150"/>
      <c r="S157" s="186"/>
      <c r="T157" s="152"/>
      <c r="U157" s="187"/>
      <c r="V157" s="188"/>
      <c r="W157" s="187"/>
      <c r="X157" s="187"/>
      <c r="Y157" s="187"/>
      <c r="Z157" s="187"/>
      <c r="AA157" s="187"/>
      <c r="AB157" s="188"/>
      <c r="AC157" s="186"/>
      <c r="AD157" s="189"/>
      <c r="AE157" s="190"/>
      <c r="AF157" s="191"/>
      <c r="AH157" s="180"/>
      <c r="AK157" s="1"/>
      <c r="AL157" s="1"/>
      <c r="AM157" s="1"/>
      <c r="AN157" s="1"/>
    </row>
    <row r="158" spans="1:40" ht="12.75" customHeight="1">
      <c r="A158" s="87"/>
      <c r="B158" s="192" t="s">
        <v>364</v>
      </c>
      <c r="C158" s="193" t="s">
        <v>52</v>
      </c>
      <c r="D158" s="193" t="s">
        <v>38</v>
      </c>
      <c r="E158" s="194">
        <v>4</v>
      </c>
      <c r="F158" s="193"/>
      <c r="G158" s="193"/>
      <c r="H158" s="193" t="s">
        <v>121</v>
      </c>
      <c r="I158" s="193" t="s">
        <v>38</v>
      </c>
      <c r="J158" s="194">
        <v>4</v>
      </c>
      <c r="K158" s="193"/>
      <c r="L158" s="193"/>
      <c r="M158" s="193" t="s">
        <v>38</v>
      </c>
      <c r="N158" s="193" t="s">
        <v>49</v>
      </c>
      <c r="O158" s="194">
        <v>4</v>
      </c>
      <c r="P158" s="194" t="s">
        <v>365</v>
      </c>
      <c r="Q158" s="521">
        <f>R158*(1-Bolts!$E$1179)</f>
        <v>83.2</v>
      </c>
      <c r="R158" s="150">
        <v>83.2</v>
      </c>
      <c r="S158" s="168">
        <f t="shared" ref="S158:S164" si="46">SUM(T158:AB158)</f>
        <v>0</v>
      </c>
      <c r="T158" s="152"/>
      <c r="U158" s="169"/>
      <c r="V158" s="170"/>
      <c r="W158" s="171"/>
      <c r="X158" s="172"/>
      <c r="Y158" s="173"/>
      <c r="Z158" s="174"/>
      <c r="AA158" s="175"/>
      <c r="AB158" s="176"/>
      <c r="AC158" s="168">
        <f t="shared" ref="AC158:AC164" si="47">S158*O158</f>
        <v>0</v>
      </c>
      <c r="AD158" s="177">
        <f t="shared" ref="AD158:AD164" si="48">S158*R158</f>
        <v>0</v>
      </c>
      <c r="AE158" s="178">
        <v>2.85</v>
      </c>
      <c r="AF158" s="179">
        <f t="shared" ref="AF158:AF164" si="49">AE158*S158</f>
        <v>0</v>
      </c>
      <c r="AH158" s="180"/>
      <c r="AK158" s="1"/>
      <c r="AL158" s="1"/>
      <c r="AM158" s="1"/>
      <c r="AN158" s="1"/>
    </row>
    <row r="159" spans="1:40" ht="12.75" customHeight="1">
      <c r="A159" s="87"/>
      <c r="B159" s="192" t="s">
        <v>366</v>
      </c>
      <c r="C159" s="193" t="s">
        <v>52</v>
      </c>
      <c r="D159" s="193" t="s">
        <v>38</v>
      </c>
      <c r="E159" s="194">
        <v>10</v>
      </c>
      <c r="F159" s="193"/>
      <c r="G159" s="193"/>
      <c r="H159" s="193" t="s">
        <v>121</v>
      </c>
      <c r="I159" s="193" t="s">
        <v>38</v>
      </c>
      <c r="J159" s="194">
        <v>10</v>
      </c>
      <c r="K159" s="193"/>
      <c r="L159" s="193"/>
      <c r="M159" s="193" t="s">
        <v>38</v>
      </c>
      <c r="N159" s="193" t="s">
        <v>49</v>
      </c>
      <c r="O159" s="194">
        <v>10</v>
      </c>
      <c r="P159" s="194" t="s">
        <v>367</v>
      </c>
      <c r="Q159" s="521">
        <f>R159*(1-Bolts!$E$1179)</f>
        <v>86.1</v>
      </c>
      <c r="R159" s="150">
        <v>86.1</v>
      </c>
      <c r="S159" s="168">
        <f t="shared" si="46"/>
        <v>0</v>
      </c>
      <c r="T159" s="152"/>
      <c r="U159" s="169"/>
      <c r="V159" s="170"/>
      <c r="W159" s="171"/>
      <c r="X159" s="172"/>
      <c r="Y159" s="173"/>
      <c r="Z159" s="174"/>
      <c r="AA159" s="175"/>
      <c r="AB159" s="176"/>
      <c r="AC159" s="168">
        <f t="shared" si="47"/>
        <v>0</v>
      </c>
      <c r="AD159" s="177">
        <f t="shared" si="48"/>
        <v>0</v>
      </c>
      <c r="AE159" s="178">
        <v>2.15</v>
      </c>
      <c r="AF159" s="179">
        <f t="shared" si="49"/>
        <v>0</v>
      </c>
      <c r="AH159" s="180"/>
      <c r="AK159" s="1"/>
      <c r="AL159" s="1"/>
      <c r="AM159" s="1"/>
      <c r="AN159" s="1"/>
    </row>
    <row r="160" spans="1:40" ht="12.75" customHeight="1">
      <c r="A160" s="87"/>
      <c r="B160" s="192" t="s">
        <v>368</v>
      </c>
      <c r="C160" s="193" t="s">
        <v>52</v>
      </c>
      <c r="D160" s="193" t="s">
        <v>38</v>
      </c>
      <c r="E160" s="194">
        <v>5</v>
      </c>
      <c r="F160" s="193"/>
      <c r="G160" s="193"/>
      <c r="H160" s="193" t="s">
        <v>121</v>
      </c>
      <c r="I160" s="193" t="s">
        <v>38</v>
      </c>
      <c r="J160" s="194">
        <v>5</v>
      </c>
      <c r="K160" s="193"/>
      <c r="L160" s="193"/>
      <c r="M160" s="193" t="s">
        <v>38</v>
      </c>
      <c r="N160" s="193" t="s">
        <v>49</v>
      </c>
      <c r="O160" s="194">
        <v>5</v>
      </c>
      <c r="P160" s="194" t="s">
        <v>369</v>
      </c>
      <c r="Q160" s="521">
        <f>R160*(1-Bolts!$E$1179)</f>
        <v>88.7</v>
      </c>
      <c r="R160" s="150">
        <v>88.7</v>
      </c>
      <c r="S160" s="168">
        <f t="shared" si="46"/>
        <v>0</v>
      </c>
      <c r="T160" s="152"/>
      <c r="U160" s="169"/>
      <c r="V160" s="170"/>
      <c r="W160" s="171"/>
      <c r="X160" s="172"/>
      <c r="Y160" s="173"/>
      <c r="Z160" s="174"/>
      <c r="AA160" s="175"/>
      <c r="AB160" s="176"/>
      <c r="AC160" s="168">
        <f t="shared" si="47"/>
        <v>0</v>
      </c>
      <c r="AD160" s="177">
        <f t="shared" si="48"/>
        <v>0</v>
      </c>
      <c r="AE160" s="178">
        <v>2.97</v>
      </c>
      <c r="AF160" s="179">
        <f t="shared" si="49"/>
        <v>0</v>
      </c>
      <c r="AH160" s="180"/>
      <c r="AK160" s="1"/>
      <c r="AL160" s="1"/>
      <c r="AM160" s="1"/>
      <c r="AN160" s="1"/>
    </row>
    <row r="161" spans="1:40" ht="12.75" customHeight="1">
      <c r="A161" s="87"/>
      <c r="B161" s="192" t="s">
        <v>370</v>
      </c>
      <c r="C161" s="193" t="s">
        <v>52</v>
      </c>
      <c r="D161" s="193" t="s">
        <v>38</v>
      </c>
      <c r="E161" s="194">
        <v>13</v>
      </c>
      <c r="F161" s="193"/>
      <c r="G161" s="193"/>
      <c r="H161" s="193" t="s">
        <v>121</v>
      </c>
      <c r="I161" s="193" t="s">
        <v>38</v>
      </c>
      <c r="J161" s="194">
        <v>13</v>
      </c>
      <c r="K161" s="193"/>
      <c r="L161" s="193"/>
      <c r="M161" s="193" t="s">
        <v>38</v>
      </c>
      <c r="N161" s="193" t="s">
        <v>49</v>
      </c>
      <c r="O161" s="194">
        <v>13</v>
      </c>
      <c r="P161" s="194" t="s">
        <v>371</v>
      </c>
      <c r="Q161" s="521">
        <f>R161*(1-Bolts!$E$1179)</f>
        <v>139.1</v>
      </c>
      <c r="R161" s="150">
        <v>139.1</v>
      </c>
      <c r="S161" s="168">
        <f t="shared" si="46"/>
        <v>0</v>
      </c>
      <c r="T161" s="152"/>
      <c r="U161" s="169"/>
      <c r="V161" s="170"/>
      <c r="W161" s="171"/>
      <c r="X161" s="172"/>
      <c r="Y161" s="173"/>
      <c r="Z161" s="174"/>
      <c r="AA161" s="175"/>
      <c r="AB161" s="176"/>
      <c r="AC161" s="168">
        <f t="shared" si="47"/>
        <v>0</v>
      </c>
      <c r="AD161" s="177">
        <f t="shared" si="48"/>
        <v>0</v>
      </c>
      <c r="AE161" s="178">
        <v>4.75</v>
      </c>
      <c r="AF161" s="179">
        <f t="shared" si="49"/>
        <v>0</v>
      </c>
      <c r="AH161" s="180"/>
      <c r="AK161" s="1"/>
      <c r="AL161" s="1"/>
      <c r="AM161" s="1"/>
      <c r="AN161" s="1"/>
    </row>
    <row r="162" spans="1:40" ht="12.75" customHeight="1">
      <c r="A162" s="181"/>
      <c r="B162" s="192" t="s">
        <v>372</v>
      </c>
      <c r="C162" s="193" t="s">
        <v>52</v>
      </c>
      <c r="D162" s="193" t="s">
        <v>38</v>
      </c>
      <c r="E162" s="194">
        <v>10</v>
      </c>
      <c r="F162" s="193"/>
      <c r="G162" s="193"/>
      <c r="H162" s="193" t="s">
        <v>121</v>
      </c>
      <c r="I162" s="193" t="s">
        <v>38</v>
      </c>
      <c r="J162" s="194">
        <v>10</v>
      </c>
      <c r="K162" s="193"/>
      <c r="L162" s="193"/>
      <c r="M162" s="193" t="s">
        <v>38</v>
      </c>
      <c r="N162" s="193" t="s">
        <v>49</v>
      </c>
      <c r="O162" s="194">
        <v>10</v>
      </c>
      <c r="P162" s="194" t="s">
        <v>373</v>
      </c>
      <c r="Q162" s="521">
        <f>R162*(1-Bolts!$E$1179)</f>
        <v>153.1</v>
      </c>
      <c r="R162" s="150">
        <v>153.1</v>
      </c>
      <c r="S162" s="168">
        <f t="shared" si="46"/>
        <v>0</v>
      </c>
      <c r="T162" s="152"/>
      <c r="U162" s="169"/>
      <c r="V162" s="170"/>
      <c r="W162" s="171"/>
      <c r="X162" s="172"/>
      <c r="Y162" s="173"/>
      <c r="Z162" s="174"/>
      <c r="AA162" s="175"/>
      <c r="AB162" s="176"/>
      <c r="AC162" s="168">
        <f t="shared" si="47"/>
        <v>0</v>
      </c>
      <c r="AD162" s="177">
        <f t="shared" si="48"/>
        <v>0</v>
      </c>
      <c r="AE162" s="178">
        <v>5.95</v>
      </c>
      <c r="AF162" s="179">
        <f t="shared" si="49"/>
        <v>0</v>
      </c>
      <c r="AH162" s="180"/>
      <c r="AK162" s="1"/>
      <c r="AL162" s="1"/>
      <c r="AM162" s="1"/>
      <c r="AN162" s="1"/>
    </row>
    <row r="163" spans="1:40" ht="12.75" customHeight="1">
      <c r="A163" s="87"/>
      <c r="B163" s="192" t="s">
        <v>374</v>
      </c>
      <c r="C163" s="193" t="s">
        <v>52</v>
      </c>
      <c r="D163" s="193" t="s">
        <v>38</v>
      </c>
      <c r="E163" s="194">
        <v>3</v>
      </c>
      <c r="F163" s="193"/>
      <c r="G163" s="193"/>
      <c r="H163" s="193" t="s">
        <v>121</v>
      </c>
      <c r="I163" s="193" t="s">
        <v>38</v>
      </c>
      <c r="J163" s="194">
        <v>3</v>
      </c>
      <c r="K163" s="193"/>
      <c r="L163" s="193"/>
      <c r="M163" s="193" t="s">
        <v>38</v>
      </c>
      <c r="N163" s="193" t="s">
        <v>49</v>
      </c>
      <c r="O163" s="194">
        <v>3</v>
      </c>
      <c r="P163" s="194" t="s">
        <v>375</v>
      </c>
      <c r="Q163" s="521">
        <f>R163*(1-Bolts!$E$1179)</f>
        <v>51.3</v>
      </c>
      <c r="R163" s="150">
        <v>51.3</v>
      </c>
      <c r="S163" s="168">
        <f t="shared" si="46"/>
        <v>0</v>
      </c>
      <c r="T163" s="152"/>
      <c r="U163" s="169"/>
      <c r="V163" s="170"/>
      <c r="W163" s="171"/>
      <c r="X163" s="172"/>
      <c r="Y163" s="173"/>
      <c r="Z163" s="174"/>
      <c r="AA163" s="175"/>
      <c r="AB163" s="176"/>
      <c r="AC163" s="168">
        <f t="shared" si="47"/>
        <v>0</v>
      </c>
      <c r="AD163" s="177">
        <f t="shared" si="48"/>
        <v>0</v>
      </c>
      <c r="AE163" s="178">
        <v>1.1399999999999999</v>
      </c>
      <c r="AF163" s="179">
        <f t="shared" si="49"/>
        <v>0</v>
      </c>
      <c r="AH163" s="180"/>
      <c r="AK163" s="1"/>
      <c r="AL163" s="1"/>
      <c r="AM163" s="1"/>
      <c r="AN163" s="1"/>
    </row>
    <row r="164" spans="1:40" ht="12.75" customHeight="1">
      <c r="A164" s="87"/>
      <c r="B164" s="192" t="s">
        <v>376</v>
      </c>
      <c r="C164" s="193" t="s">
        <v>52</v>
      </c>
      <c r="D164" s="193" t="s">
        <v>38</v>
      </c>
      <c r="E164" s="194">
        <v>5</v>
      </c>
      <c r="F164" s="193"/>
      <c r="G164" s="193"/>
      <c r="H164" s="193" t="s">
        <v>121</v>
      </c>
      <c r="I164" s="193" t="s">
        <v>38</v>
      </c>
      <c r="J164" s="194">
        <v>5</v>
      </c>
      <c r="K164" s="193"/>
      <c r="L164" s="193"/>
      <c r="M164" s="193" t="s">
        <v>38</v>
      </c>
      <c r="N164" s="193" t="s">
        <v>49</v>
      </c>
      <c r="O164" s="194">
        <v>5</v>
      </c>
      <c r="P164" s="194" t="s">
        <v>377</v>
      </c>
      <c r="Q164" s="521">
        <f>R164*(1-Bolts!$E$1179)</f>
        <v>117.9</v>
      </c>
      <c r="R164" s="150">
        <v>117.9</v>
      </c>
      <c r="S164" s="168">
        <f t="shared" si="46"/>
        <v>0</v>
      </c>
      <c r="T164" s="152"/>
      <c r="U164" s="169"/>
      <c r="V164" s="170"/>
      <c r="W164" s="171"/>
      <c r="X164" s="172"/>
      <c r="Y164" s="173"/>
      <c r="Z164" s="174"/>
      <c r="AA164" s="175"/>
      <c r="AB164" s="176"/>
      <c r="AC164" s="168">
        <f t="shared" si="47"/>
        <v>0</v>
      </c>
      <c r="AD164" s="177">
        <f t="shared" si="48"/>
        <v>0</v>
      </c>
      <c r="AE164" s="178">
        <v>4.68</v>
      </c>
      <c r="AF164" s="179">
        <f t="shared" si="49"/>
        <v>0</v>
      </c>
      <c r="AH164" s="180"/>
      <c r="AK164" s="1"/>
      <c r="AL164" s="1"/>
      <c r="AM164" s="1"/>
      <c r="AN164" s="1"/>
    </row>
    <row r="165" spans="1:40" ht="12.75" customHeight="1">
      <c r="A165" s="138" t="s">
        <v>378</v>
      </c>
      <c r="B165" s="205" t="s">
        <v>379</v>
      </c>
      <c r="C165" s="206" t="str">
        <f>B165</f>
        <v>Keith Dickey - Moses Plated Sandstone</v>
      </c>
      <c r="D165" s="207"/>
      <c r="E165" s="207"/>
      <c r="F165" s="207"/>
      <c r="G165" s="207"/>
      <c r="H165" s="207" t="s">
        <v>121</v>
      </c>
      <c r="I165" s="207"/>
      <c r="J165" s="207"/>
      <c r="K165" s="207"/>
      <c r="L165" s="207"/>
      <c r="M165" s="207"/>
      <c r="N165" s="207"/>
      <c r="O165" s="207"/>
      <c r="P165" s="207"/>
      <c r="Q165" s="524"/>
      <c r="R165" s="150"/>
      <c r="S165" s="207"/>
      <c r="T165" s="207"/>
      <c r="U165" s="207"/>
      <c r="V165" s="207"/>
      <c r="W165" s="207"/>
      <c r="X165" s="207"/>
      <c r="Y165" s="207"/>
      <c r="Z165" s="207"/>
      <c r="AA165" s="207"/>
      <c r="AB165" s="207"/>
      <c r="AC165" s="207"/>
      <c r="AD165" s="207"/>
      <c r="AE165" s="207"/>
      <c r="AF165" s="208"/>
      <c r="AH165" s="180"/>
      <c r="AK165" s="1"/>
      <c r="AL165" s="1"/>
      <c r="AM165" s="1"/>
      <c r="AN165" s="1"/>
    </row>
    <row r="166" spans="1:40" ht="12.75" customHeight="1">
      <c r="A166" s="87"/>
      <c r="B166" s="192" t="s">
        <v>380</v>
      </c>
      <c r="C166" s="193" t="s">
        <v>52</v>
      </c>
      <c r="D166" s="193" t="s">
        <v>63</v>
      </c>
      <c r="E166" s="194">
        <v>4</v>
      </c>
      <c r="F166" s="193"/>
      <c r="G166" s="193"/>
      <c r="H166" s="193" t="s">
        <v>121</v>
      </c>
      <c r="I166" s="193" t="s">
        <v>35</v>
      </c>
      <c r="J166" s="194">
        <v>4</v>
      </c>
      <c r="K166" s="193"/>
      <c r="L166" s="193"/>
      <c r="M166" s="193" t="s">
        <v>35</v>
      </c>
      <c r="N166" s="193" t="s">
        <v>49</v>
      </c>
      <c r="O166" s="194">
        <v>4</v>
      </c>
      <c r="P166" s="194" t="s">
        <v>381</v>
      </c>
      <c r="Q166" s="521">
        <f>R166*(1-Bolts!$E$1179)</f>
        <v>133.69999999999999</v>
      </c>
      <c r="R166" s="150">
        <v>133.69999999999999</v>
      </c>
      <c r="S166" s="168">
        <f t="shared" ref="S166:S171" si="50">SUM(T166:AB166)</f>
        <v>0</v>
      </c>
      <c r="T166" s="152"/>
      <c r="U166" s="169"/>
      <c r="V166" s="170"/>
      <c r="W166" s="171"/>
      <c r="X166" s="172"/>
      <c r="Y166" s="173"/>
      <c r="Z166" s="174"/>
      <c r="AA166" s="175"/>
      <c r="AB166" s="176"/>
      <c r="AC166" s="168">
        <f t="shared" ref="AC166:AC171" si="51">S166*O166</f>
        <v>0</v>
      </c>
      <c r="AD166" s="177">
        <f t="shared" ref="AD166:AD171" si="52">S166*R166</f>
        <v>0</v>
      </c>
      <c r="AE166" s="178">
        <v>5.74</v>
      </c>
      <c r="AF166" s="179">
        <f t="shared" ref="AF166:AF171" si="53">AE166*S166</f>
        <v>0</v>
      </c>
      <c r="AH166" s="209"/>
      <c r="AK166" s="1"/>
      <c r="AL166" s="1"/>
      <c r="AM166" s="1"/>
      <c r="AN166" s="1"/>
    </row>
    <row r="167" spans="1:40" ht="12.75" customHeight="1">
      <c r="A167" s="87"/>
      <c r="B167" s="192" t="s">
        <v>382</v>
      </c>
      <c r="C167" s="193" t="s">
        <v>52</v>
      </c>
      <c r="D167" s="193" t="s">
        <v>63</v>
      </c>
      <c r="E167" s="194">
        <v>5</v>
      </c>
      <c r="F167" s="193"/>
      <c r="G167" s="193"/>
      <c r="H167" s="193" t="s">
        <v>121</v>
      </c>
      <c r="I167" s="193" t="s">
        <v>29</v>
      </c>
      <c r="J167" s="194">
        <v>5</v>
      </c>
      <c r="K167" s="193"/>
      <c r="L167" s="193"/>
      <c r="M167" s="193" t="s">
        <v>29</v>
      </c>
      <c r="N167" s="193" t="s">
        <v>47</v>
      </c>
      <c r="O167" s="194">
        <v>5</v>
      </c>
      <c r="P167" s="194" t="s">
        <v>383</v>
      </c>
      <c r="Q167" s="521">
        <f>R167*(1-Bolts!$E$1179)</f>
        <v>157.9</v>
      </c>
      <c r="R167" s="150">
        <v>157.9</v>
      </c>
      <c r="S167" s="168">
        <f t="shared" si="50"/>
        <v>0</v>
      </c>
      <c r="T167" s="152"/>
      <c r="U167" s="169"/>
      <c r="V167" s="170"/>
      <c r="W167" s="171"/>
      <c r="X167" s="172"/>
      <c r="Y167" s="173"/>
      <c r="Z167" s="174"/>
      <c r="AA167" s="175"/>
      <c r="AB167" s="176"/>
      <c r="AC167" s="168">
        <f t="shared" si="51"/>
        <v>0</v>
      </c>
      <c r="AD167" s="177">
        <f t="shared" si="52"/>
        <v>0</v>
      </c>
      <c r="AE167" s="178">
        <v>7</v>
      </c>
      <c r="AF167" s="179">
        <f t="shared" si="53"/>
        <v>0</v>
      </c>
      <c r="AH167" s="180"/>
      <c r="AK167" s="1"/>
      <c r="AL167" s="1"/>
      <c r="AM167" s="1"/>
      <c r="AN167" s="1"/>
    </row>
    <row r="168" spans="1:40" ht="12.75" customHeight="1">
      <c r="A168" s="87"/>
      <c r="B168" s="192" t="s">
        <v>384</v>
      </c>
      <c r="C168" s="193" t="s">
        <v>52</v>
      </c>
      <c r="D168" s="193" t="s">
        <v>63</v>
      </c>
      <c r="E168" s="194">
        <v>5</v>
      </c>
      <c r="F168" s="193"/>
      <c r="G168" s="193"/>
      <c r="H168" s="193" t="s">
        <v>121</v>
      </c>
      <c r="I168" s="193" t="s">
        <v>29</v>
      </c>
      <c r="J168" s="194">
        <v>5</v>
      </c>
      <c r="K168" s="193"/>
      <c r="L168" s="193"/>
      <c r="M168" s="193" t="s">
        <v>29</v>
      </c>
      <c r="N168" s="193" t="s">
        <v>47</v>
      </c>
      <c r="O168" s="194">
        <v>5</v>
      </c>
      <c r="P168" s="194" t="s">
        <v>385</v>
      </c>
      <c r="Q168" s="521">
        <f>R168*(1-Bolts!$E$1179)</f>
        <v>173.2</v>
      </c>
      <c r="R168" s="150">
        <v>173.2</v>
      </c>
      <c r="S168" s="168">
        <f t="shared" si="50"/>
        <v>0</v>
      </c>
      <c r="T168" s="152"/>
      <c r="U168" s="169"/>
      <c r="V168" s="170"/>
      <c r="W168" s="171"/>
      <c r="X168" s="172"/>
      <c r="Y168" s="173"/>
      <c r="Z168" s="174"/>
      <c r="AA168" s="175"/>
      <c r="AB168" s="176"/>
      <c r="AC168" s="168">
        <f t="shared" si="51"/>
        <v>0</v>
      </c>
      <c r="AD168" s="177">
        <f t="shared" si="52"/>
        <v>0</v>
      </c>
      <c r="AE168" s="178">
        <v>7.89</v>
      </c>
      <c r="AF168" s="179">
        <f t="shared" si="53"/>
        <v>0</v>
      </c>
      <c r="AH168" s="180"/>
      <c r="AK168" s="1"/>
      <c r="AL168" s="1"/>
      <c r="AM168" s="1"/>
      <c r="AN168" s="1"/>
    </row>
    <row r="169" spans="1:40" ht="12.75" customHeight="1">
      <c r="A169" s="87"/>
      <c r="B169" s="192" t="s">
        <v>386</v>
      </c>
      <c r="C169" s="193" t="s">
        <v>52</v>
      </c>
      <c r="D169" s="193" t="s">
        <v>48</v>
      </c>
      <c r="E169" s="194">
        <v>10</v>
      </c>
      <c r="F169" s="193"/>
      <c r="G169" s="193"/>
      <c r="H169" s="193" t="s">
        <v>121</v>
      </c>
      <c r="I169" s="193" t="s">
        <v>31</v>
      </c>
      <c r="J169" s="194">
        <v>10</v>
      </c>
      <c r="K169" s="193"/>
      <c r="L169" s="193"/>
      <c r="M169" s="193" t="s">
        <v>31</v>
      </c>
      <c r="N169" s="193" t="s">
        <v>48</v>
      </c>
      <c r="O169" s="194">
        <v>10</v>
      </c>
      <c r="P169" s="194" t="s">
        <v>387</v>
      </c>
      <c r="Q169" s="521">
        <f>R169*(1-Bolts!$E$1179)</f>
        <v>137.9</v>
      </c>
      <c r="R169" s="150">
        <v>137.9</v>
      </c>
      <c r="S169" s="168">
        <f t="shared" si="50"/>
        <v>0</v>
      </c>
      <c r="T169" s="152"/>
      <c r="U169" s="169"/>
      <c r="V169" s="170"/>
      <c r="W169" s="171"/>
      <c r="X169" s="172"/>
      <c r="Y169" s="173"/>
      <c r="Z169" s="174"/>
      <c r="AA169" s="175"/>
      <c r="AB169" s="176"/>
      <c r="AC169" s="168">
        <f t="shared" si="51"/>
        <v>0</v>
      </c>
      <c r="AD169" s="177">
        <f t="shared" si="52"/>
        <v>0</v>
      </c>
      <c r="AE169" s="178">
        <v>5.09</v>
      </c>
      <c r="AF169" s="179">
        <f t="shared" si="53"/>
        <v>0</v>
      </c>
      <c r="AH169" s="180"/>
      <c r="AK169" s="1"/>
      <c r="AL169" s="1"/>
      <c r="AM169" s="1"/>
      <c r="AN169" s="1"/>
    </row>
    <row r="170" spans="1:40" ht="12.75" customHeight="1">
      <c r="A170" s="87"/>
      <c r="B170" s="192" t="s">
        <v>388</v>
      </c>
      <c r="C170" s="193" t="s">
        <v>52</v>
      </c>
      <c r="D170" s="193" t="s">
        <v>48</v>
      </c>
      <c r="E170" s="194">
        <v>10</v>
      </c>
      <c r="F170" s="193"/>
      <c r="G170" s="193"/>
      <c r="H170" s="193" t="s">
        <v>121</v>
      </c>
      <c r="I170" s="193" t="s">
        <v>30</v>
      </c>
      <c r="J170" s="194">
        <v>10</v>
      </c>
      <c r="K170" s="193"/>
      <c r="L170" s="193"/>
      <c r="M170" s="193" t="s">
        <v>30</v>
      </c>
      <c r="N170" s="193" t="s">
        <v>47</v>
      </c>
      <c r="O170" s="194">
        <v>10</v>
      </c>
      <c r="P170" s="194" t="s">
        <v>389</v>
      </c>
      <c r="Q170" s="521">
        <f>R170*(1-Bolts!$E$1179)</f>
        <v>211.4</v>
      </c>
      <c r="R170" s="150">
        <v>211.4</v>
      </c>
      <c r="S170" s="168">
        <f t="shared" si="50"/>
        <v>0</v>
      </c>
      <c r="T170" s="152"/>
      <c r="U170" s="169"/>
      <c r="V170" s="170"/>
      <c r="W170" s="171"/>
      <c r="X170" s="172"/>
      <c r="Y170" s="173"/>
      <c r="Z170" s="174"/>
      <c r="AA170" s="175"/>
      <c r="AB170" s="176"/>
      <c r="AC170" s="168">
        <f t="shared" si="51"/>
        <v>0</v>
      </c>
      <c r="AD170" s="177">
        <f t="shared" si="52"/>
        <v>0</v>
      </c>
      <c r="AE170" s="178">
        <v>9.36</v>
      </c>
      <c r="AF170" s="179">
        <f t="shared" si="53"/>
        <v>0</v>
      </c>
      <c r="AH170" s="180"/>
      <c r="AK170" s="1"/>
      <c r="AL170" s="1"/>
      <c r="AM170" s="1"/>
      <c r="AN170" s="1"/>
    </row>
    <row r="171" spans="1:40" ht="12.75" customHeight="1">
      <c r="A171" s="87"/>
      <c r="B171" s="192" t="s">
        <v>390</v>
      </c>
      <c r="C171" s="193" t="s">
        <v>52</v>
      </c>
      <c r="D171" s="193" t="s">
        <v>64</v>
      </c>
      <c r="E171" s="194">
        <v>10</v>
      </c>
      <c r="F171" s="193"/>
      <c r="G171" s="193"/>
      <c r="H171" s="193" t="s">
        <v>121</v>
      </c>
      <c r="I171" s="193" t="s">
        <v>32</v>
      </c>
      <c r="J171" s="194">
        <v>10</v>
      </c>
      <c r="K171" s="193"/>
      <c r="L171" s="193"/>
      <c r="M171" s="193" t="s">
        <v>32</v>
      </c>
      <c r="N171" s="193" t="s">
        <v>48</v>
      </c>
      <c r="O171" s="194">
        <v>10</v>
      </c>
      <c r="P171" s="194" t="s">
        <v>391</v>
      </c>
      <c r="Q171" s="521">
        <f>R171*(1-Bolts!$E$1179)</f>
        <v>93.5</v>
      </c>
      <c r="R171" s="150">
        <v>93.5</v>
      </c>
      <c r="S171" s="168">
        <f t="shared" si="50"/>
        <v>0</v>
      </c>
      <c r="T171" s="152"/>
      <c r="U171" s="169"/>
      <c r="V171" s="170"/>
      <c r="W171" s="171"/>
      <c r="X171" s="172"/>
      <c r="Y171" s="173"/>
      <c r="Z171" s="174"/>
      <c r="AA171" s="175"/>
      <c r="AB171" s="176"/>
      <c r="AC171" s="168">
        <f t="shared" si="51"/>
        <v>0</v>
      </c>
      <c r="AD171" s="177">
        <f t="shared" si="52"/>
        <v>0</v>
      </c>
      <c r="AE171" s="178">
        <v>2.5099999999999998</v>
      </c>
      <c r="AF171" s="179">
        <f t="shared" si="53"/>
        <v>0</v>
      </c>
      <c r="AH171" s="180"/>
      <c r="AK171" s="1"/>
      <c r="AL171" s="1"/>
      <c r="AM171" s="1"/>
      <c r="AN171" s="1"/>
    </row>
    <row r="172" spans="1:40" ht="12.75" customHeight="1">
      <c r="A172" s="138" t="s">
        <v>392</v>
      </c>
      <c r="B172" s="205" t="s">
        <v>393</v>
      </c>
      <c r="C172" s="206" t="str">
        <f>B172</f>
        <v>Traprock</v>
      </c>
      <c r="D172" s="207"/>
      <c r="E172" s="207"/>
      <c r="F172" s="207"/>
      <c r="G172" s="207"/>
      <c r="H172" s="207" t="s">
        <v>121</v>
      </c>
      <c r="I172" s="207"/>
      <c r="J172" s="207"/>
      <c r="K172" s="207"/>
      <c r="L172" s="207"/>
      <c r="M172" s="207"/>
      <c r="N172" s="207"/>
      <c r="O172" s="207"/>
      <c r="P172" s="207"/>
      <c r="Q172" s="524"/>
      <c r="R172" s="150"/>
      <c r="S172" s="207"/>
      <c r="T172" s="207"/>
      <c r="U172" s="207"/>
      <c r="V172" s="207"/>
      <c r="W172" s="207"/>
      <c r="X172" s="207"/>
      <c r="Y172" s="207"/>
      <c r="Z172" s="207"/>
      <c r="AA172" s="207"/>
      <c r="AB172" s="207"/>
      <c r="AC172" s="207"/>
      <c r="AD172" s="207"/>
      <c r="AE172" s="207"/>
      <c r="AF172" s="208"/>
      <c r="AH172" s="180"/>
      <c r="AK172" s="1"/>
      <c r="AL172" s="1"/>
      <c r="AM172" s="1"/>
      <c r="AN172" s="1"/>
    </row>
    <row r="173" spans="1:40" ht="12.75" customHeight="1">
      <c r="A173" s="87"/>
      <c r="B173" s="192" t="s">
        <v>394</v>
      </c>
      <c r="C173" s="193" t="s">
        <v>54</v>
      </c>
      <c r="D173" s="193" t="s">
        <v>62</v>
      </c>
      <c r="E173" s="194">
        <v>5</v>
      </c>
      <c r="F173" s="193"/>
      <c r="G173" s="193"/>
      <c r="H173" s="193" t="s">
        <v>121</v>
      </c>
      <c r="I173" s="193" t="s">
        <v>35</v>
      </c>
      <c r="J173" s="194">
        <v>5</v>
      </c>
      <c r="K173" s="193"/>
      <c r="L173" s="193"/>
      <c r="M173" s="193" t="s">
        <v>35</v>
      </c>
      <c r="N173" s="193" t="s">
        <v>48</v>
      </c>
      <c r="O173" s="194">
        <v>5</v>
      </c>
      <c r="P173" s="194" t="s">
        <v>395</v>
      </c>
      <c r="Q173" s="521">
        <f>R173*(1-Bolts!$E$1179)</f>
        <v>290.8</v>
      </c>
      <c r="R173" s="150">
        <v>290.8</v>
      </c>
      <c r="S173" s="168">
        <f>SUM(T173:AB173)</f>
        <v>0</v>
      </c>
      <c r="T173" s="211"/>
      <c r="U173" s="169"/>
      <c r="V173" s="170"/>
      <c r="W173" s="171"/>
      <c r="X173" s="172"/>
      <c r="Y173" s="173"/>
      <c r="Z173" s="174"/>
      <c r="AA173" s="175"/>
      <c r="AB173" s="176"/>
      <c r="AC173" s="168">
        <f>S173*O173</f>
        <v>0</v>
      </c>
      <c r="AD173" s="177">
        <f>S173*R173</f>
        <v>0</v>
      </c>
      <c r="AE173" s="178">
        <v>13.83</v>
      </c>
      <c r="AF173" s="179">
        <f>AE173*S173</f>
        <v>0</v>
      </c>
      <c r="AH173" s="212"/>
      <c r="AK173" s="1"/>
      <c r="AL173" s="1"/>
      <c r="AM173" s="1"/>
      <c r="AN173" s="1"/>
    </row>
    <row r="174" spans="1:40" ht="12.75" customHeight="1">
      <c r="A174" s="87"/>
      <c r="B174" s="185"/>
      <c r="C174" s="165"/>
      <c r="D174" s="165"/>
      <c r="E174" s="166"/>
      <c r="F174" s="165"/>
      <c r="G174" s="165"/>
      <c r="H174" s="165"/>
      <c r="I174" s="165"/>
      <c r="J174" s="166"/>
      <c r="K174" s="165"/>
      <c r="L174" s="165"/>
      <c r="M174" s="165"/>
      <c r="N174" s="165"/>
      <c r="O174" s="166"/>
      <c r="P174" s="166"/>
      <c r="Q174" s="522"/>
      <c r="R174" s="150"/>
      <c r="S174" s="186"/>
      <c r="T174" s="187"/>
      <c r="U174" s="187"/>
      <c r="V174" s="188"/>
      <c r="W174" s="187"/>
      <c r="X174" s="187"/>
      <c r="Y174" s="187"/>
      <c r="Z174" s="187"/>
      <c r="AA174" s="187"/>
      <c r="AB174" s="188"/>
      <c r="AC174" s="186"/>
      <c r="AD174" s="189"/>
      <c r="AE174" s="190"/>
      <c r="AF174" s="191"/>
      <c r="AH174" s="180"/>
      <c r="AK174" s="1"/>
      <c r="AL174" s="1"/>
      <c r="AM174" s="1"/>
      <c r="AN174" s="1"/>
    </row>
    <row r="175" spans="1:40" ht="12.75" customHeight="1">
      <c r="A175" s="87"/>
      <c r="B175" s="192" t="s">
        <v>396</v>
      </c>
      <c r="C175" s="193" t="s">
        <v>54</v>
      </c>
      <c r="D175" s="193" t="s">
        <v>63</v>
      </c>
      <c r="E175" s="194">
        <v>10</v>
      </c>
      <c r="F175" s="193"/>
      <c r="G175" s="193"/>
      <c r="H175" s="193" t="s">
        <v>121</v>
      </c>
      <c r="I175" s="193" t="s">
        <v>37</v>
      </c>
      <c r="J175" s="194">
        <v>10</v>
      </c>
      <c r="K175" s="193"/>
      <c r="L175" s="193"/>
      <c r="M175" s="193" t="s">
        <v>37</v>
      </c>
      <c r="N175" s="193" t="s">
        <v>49</v>
      </c>
      <c r="O175" s="194">
        <v>10</v>
      </c>
      <c r="P175" s="194" t="s">
        <v>397</v>
      </c>
      <c r="Q175" s="521">
        <f>R175*(1-Bolts!$E$1179)</f>
        <v>257</v>
      </c>
      <c r="R175" s="150">
        <v>257</v>
      </c>
      <c r="S175" s="168">
        <f t="shared" ref="S175:S183" si="54">SUM(T175:AB175)</f>
        <v>0</v>
      </c>
      <c r="T175" s="211"/>
      <c r="U175" s="169"/>
      <c r="V175" s="170"/>
      <c r="W175" s="171"/>
      <c r="X175" s="172"/>
      <c r="Y175" s="173"/>
      <c r="Z175" s="174"/>
      <c r="AA175" s="175"/>
      <c r="AB175" s="176"/>
      <c r="AC175" s="168">
        <f t="shared" ref="AC175:AC183" si="55">S175*O175</f>
        <v>0</v>
      </c>
      <c r="AD175" s="177">
        <f t="shared" ref="AD175:AD183" si="56">S175*R175</f>
        <v>0</v>
      </c>
      <c r="AE175" s="178">
        <v>12.01</v>
      </c>
      <c r="AF175" s="179">
        <f t="shared" ref="AF175:AF183" si="57">AE175*S175</f>
        <v>0</v>
      </c>
      <c r="AH175" s="180"/>
      <c r="AK175" s="1"/>
      <c r="AL175" s="1"/>
      <c r="AM175" s="1"/>
      <c r="AN175" s="1"/>
    </row>
    <row r="176" spans="1:40" ht="12.75" customHeight="1">
      <c r="A176" s="87"/>
      <c r="B176" s="192" t="s">
        <v>398</v>
      </c>
      <c r="C176" s="193" t="s">
        <v>54</v>
      </c>
      <c r="D176" s="193" t="s">
        <v>63</v>
      </c>
      <c r="E176" s="194">
        <v>5</v>
      </c>
      <c r="F176" s="193"/>
      <c r="G176" s="193"/>
      <c r="H176" s="193" t="s">
        <v>121</v>
      </c>
      <c r="I176" s="193" t="s">
        <v>31</v>
      </c>
      <c r="J176" s="194">
        <v>5</v>
      </c>
      <c r="K176" s="193"/>
      <c r="L176" s="193"/>
      <c r="M176" s="193" t="s">
        <v>31</v>
      </c>
      <c r="N176" s="193" t="s">
        <v>48</v>
      </c>
      <c r="O176" s="194">
        <v>5</v>
      </c>
      <c r="P176" s="194" t="s">
        <v>399</v>
      </c>
      <c r="Q176" s="521">
        <f>R176*(1-Bolts!$E$1179)</f>
        <v>176</v>
      </c>
      <c r="R176" s="150">
        <v>176</v>
      </c>
      <c r="S176" s="168">
        <f t="shared" si="54"/>
        <v>0</v>
      </c>
      <c r="T176" s="211"/>
      <c r="U176" s="169"/>
      <c r="V176" s="170"/>
      <c r="W176" s="171"/>
      <c r="X176" s="172"/>
      <c r="Y176" s="173"/>
      <c r="Z176" s="174"/>
      <c r="AA176" s="175"/>
      <c r="AB176" s="176"/>
      <c r="AC176" s="168">
        <f t="shared" si="55"/>
        <v>0</v>
      </c>
      <c r="AD176" s="177">
        <f t="shared" si="56"/>
        <v>0</v>
      </c>
      <c r="AE176" s="178">
        <v>8.0500000000000007</v>
      </c>
      <c r="AF176" s="179">
        <f t="shared" si="57"/>
        <v>0</v>
      </c>
      <c r="AH176" s="180"/>
      <c r="AK176" s="1"/>
      <c r="AL176" s="1"/>
      <c r="AM176" s="1"/>
      <c r="AN176" s="1"/>
    </row>
    <row r="177" spans="1:40" ht="12.75" customHeight="1">
      <c r="A177" s="87"/>
      <c r="B177" s="192" t="s">
        <v>400</v>
      </c>
      <c r="C177" s="193" t="s">
        <v>54</v>
      </c>
      <c r="D177" s="193" t="s">
        <v>63</v>
      </c>
      <c r="E177" s="194">
        <v>5</v>
      </c>
      <c r="F177" s="193"/>
      <c r="G177" s="193"/>
      <c r="H177" s="193" t="s">
        <v>121</v>
      </c>
      <c r="I177" s="193" t="s">
        <v>35</v>
      </c>
      <c r="J177" s="194">
        <v>5</v>
      </c>
      <c r="K177" s="193"/>
      <c r="L177" s="193"/>
      <c r="M177" s="193" t="s">
        <v>35</v>
      </c>
      <c r="N177" s="193" t="s">
        <v>48</v>
      </c>
      <c r="O177" s="194">
        <v>5</v>
      </c>
      <c r="P177" s="194" t="s">
        <v>401</v>
      </c>
      <c r="Q177" s="521">
        <f>R177*(1-Bolts!$E$1179)</f>
        <v>159.1</v>
      </c>
      <c r="R177" s="150">
        <v>159.1</v>
      </c>
      <c r="S177" s="168">
        <f t="shared" si="54"/>
        <v>0</v>
      </c>
      <c r="T177" s="211"/>
      <c r="U177" s="169"/>
      <c r="V177" s="170"/>
      <c r="W177" s="171"/>
      <c r="X177" s="172"/>
      <c r="Y177" s="173"/>
      <c r="Z177" s="174"/>
      <c r="AA177" s="175"/>
      <c r="AB177" s="176"/>
      <c r="AC177" s="168">
        <f t="shared" si="55"/>
        <v>0</v>
      </c>
      <c r="AD177" s="177">
        <f t="shared" si="56"/>
        <v>0</v>
      </c>
      <c r="AE177" s="178">
        <v>7.07</v>
      </c>
      <c r="AF177" s="179">
        <f t="shared" si="57"/>
        <v>0</v>
      </c>
      <c r="AH177" s="180"/>
      <c r="AK177" s="1"/>
      <c r="AL177" s="1"/>
      <c r="AM177" s="1"/>
      <c r="AN177" s="1"/>
    </row>
    <row r="178" spans="1:40" ht="12.75" customHeight="1">
      <c r="A178" s="87"/>
      <c r="B178" s="192" t="s">
        <v>402</v>
      </c>
      <c r="C178" s="193" t="s">
        <v>54</v>
      </c>
      <c r="D178" s="193" t="s">
        <v>63</v>
      </c>
      <c r="E178" s="194">
        <v>10</v>
      </c>
      <c r="F178" s="193"/>
      <c r="G178" s="193"/>
      <c r="H178" s="193" t="s">
        <v>121</v>
      </c>
      <c r="I178" s="193" t="s">
        <v>30</v>
      </c>
      <c r="J178" s="194">
        <v>10</v>
      </c>
      <c r="K178" s="193"/>
      <c r="L178" s="193"/>
      <c r="M178" s="193" t="s">
        <v>30</v>
      </c>
      <c r="N178" s="193" t="s">
        <v>48</v>
      </c>
      <c r="O178" s="194">
        <v>10</v>
      </c>
      <c r="P178" s="194" t="s">
        <v>403</v>
      </c>
      <c r="Q178" s="521">
        <f>R178*(1-Bolts!$E$1179)</f>
        <v>208.4</v>
      </c>
      <c r="R178" s="150">
        <v>208.4</v>
      </c>
      <c r="S178" s="168">
        <f t="shared" si="54"/>
        <v>0</v>
      </c>
      <c r="T178" s="211"/>
      <c r="U178" s="169"/>
      <c r="V178" s="170"/>
      <c r="W178" s="171"/>
      <c r="X178" s="172"/>
      <c r="Y178" s="173"/>
      <c r="Z178" s="174"/>
      <c r="AA178" s="175"/>
      <c r="AB178" s="176"/>
      <c r="AC178" s="168">
        <f t="shared" si="55"/>
        <v>0</v>
      </c>
      <c r="AD178" s="177">
        <f t="shared" si="56"/>
        <v>0</v>
      </c>
      <c r="AE178" s="178">
        <v>9.19</v>
      </c>
      <c r="AF178" s="179">
        <f t="shared" si="57"/>
        <v>0</v>
      </c>
      <c r="AH178" s="180"/>
      <c r="AK178" s="1"/>
      <c r="AL178" s="1"/>
      <c r="AM178" s="1"/>
      <c r="AN178" s="1"/>
    </row>
    <row r="179" spans="1:40" ht="12.75" customHeight="1">
      <c r="A179" s="87"/>
      <c r="B179" s="192" t="s">
        <v>404</v>
      </c>
      <c r="C179" s="193" t="s">
        <v>54</v>
      </c>
      <c r="D179" s="193" t="s">
        <v>63</v>
      </c>
      <c r="E179" s="194">
        <v>5</v>
      </c>
      <c r="F179" s="193"/>
      <c r="G179" s="193"/>
      <c r="H179" s="193" t="s">
        <v>121</v>
      </c>
      <c r="I179" s="193" t="s">
        <v>29</v>
      </c>
      <c r="J179" s="194">
        <v>5</v>
      </c>
      <c r="K179" s="193"/>
      <c r="L179" s="193"/>
      <c r="M179" s="193" t="s">
        <v>29</v>
      </c>
      <c r="N179" s="193" t="s">
        <v>47</v>
      </c>
      <c r="O179" s="194">
        <v>5</v>
      </c>
      <c r="P179" s="194" t="s">
        <v>405</v>
      </c>
      <c r="Q179" s="521">
        <f>R179*(1-Bolts!$E$1179)</f>
        <v>139.5</v>
      </c>
      <c r="R179" s="150">
        <v>139.5</v>
      </c>
      <c r="S179" s="168">
        <f t="shared" si="54"/>
        <v>0</v>
      </c>
      <c r="T179" s="211"/>
      <c r="U179" s="169"/>
      <c r="V179" s="170"/>
      <c r="W179" s="171"/>
      <c r="X179" s="172"/>
      <c r="Y179" s="173"/>
      <c r="Z179" s="174"/>
      <c r="AA179" s="175"/>
      <c r="AB179" s="176"/>
      <c r="AC179" s="168">
        <f t="shared" si="55"/>
        <v>0</v>
      </c>
      <c r="AD179" s="177">
        <f t="shared" si="56"/>
        <v>0</v>
      </c>
      <c r="AE179" s="178">
        <v>5.93</v>
      </c>
      <c r="AF179" s="179">
        <f t="shared" si="57"/>
        <v>0</v>
      </c>
      <c r="AH179" s="180"/>
      <c r="AK179" s="1"/>
      <c r="AL179" s="1"/>
      <c r="AM179" s="1"/>
      <c r="AN179" s="1"/>
    </row>
    <row r="180" spans="1:40" ht="12.75" customHeight="1">
      <c r="A180" s="87"/>
      <c r="B180" s="192" t="s">
        <v>406</v>
      </c>
      <c r="C180" s="193" t="s">
        <v>54</v>
      </c>
      <c r="D180" s="193" t="s">
        <v>63</v>
      </c>
      <c r="E180" s="194">
        <v>5</v>
      </c>
      <c r="F180" s="193"/>
      <c r="G180" s="193"/>
      <c r="H180" s="193" t="s">
        <v>121</v>
      </c>
      <c r="I180" s="193" t="s">
        <v>29</v>
      </c>
      <c r="J180" s="194">
        <v>5</v>
      </c>
      <c r="K180" s="193"/>
      <c r="L180" s="193"/>
      <c r="M180" s="193" t="s">
        <v>29</v>
      </c>
      <c r="N180" s="193" t="s">
        <v>47</v>
      </c>
      <c r="O180" s="194">
        <v>5</v>
      </c>
      <c r="P180" s="194" t="s">
        <v>407</v>
      </c>
      <c r="Q180" s="521">
        <f>R180*(1-Bolts!$E$1179)</f>
        <v>129.9</v>
      </c>
      <c r="R180" s="150">
        <v>129.9</v>
      </c>
      <c r="S180" s="168">
        <f t="shared" si="54"/>
        <v>0</v>
      </c>
      <c r="T180" s="211"/>
      <c r="U180" s="169"/>
      <c r="V180" s="170"/>
      <c r="W180" s="171"/>
      <c r="X180" s="172"/>
      <c r="Y180" s="173"/>
      <c r="Z180" s="174"/>
      <c r="AA180" s="175"/>
      <c r="AB180" s="176"/>
      <c r="AC180" s="168">
        <f t="shared" si="55"/>
        <v>0</v>
      </c>
      <c r="AD180" s="177">
        <f t="shared" si="56"/>
        <v>0</v>
      </c>
      <c r="AE180" s="178">
        <v>5.37</v>
      </c>
      <c r="AF180" s="179">
        <f t="shared" si="57"/>
        <v>0</v>
      </c>
      <c r="AH180" s="180"/>
      <c r="AK180" s="1"/>
      <c r="AL180" s="1"/>
      <c r="AM180" s="1"/>
      <c r="AN180" s="1"/>
    </row>
    <row r="181" spans="1:40" ht="12.75" customHeight="1">
      <c r="A181" s="87"/>
      <c r="B181" s="192" t="s">
        <v>408</v>
      </c>
      <c r="C181" s="193" t="s">
        <v>54</v>
      </c>
      <c r="D181" s="193" t="s">
        <v>63</v>
      </c>
      <c r="E181" s="194">
        <v>5</v>
      </c>
      <c r="F181" s="193"/>
      <c r="G181" s="193"/>
      <c r="H181" s="193" t="s">
        <v>121</v>
      </c>
      <c r="I181" s="193" t="s">
        <v>29</v>
      </c>
      <c r="J181" s="194">
        <v>5</v>
      </c>
      <c r="K181" s="193"/>
      <c r="L181" s="193"/>
      <c r="M181" s="193" t="s">
        <v>29</v>
      </c>
      <c r="N181" s="193" t="s">
        <v>47</v>
      </c>
      <c r="O181" s="194">
        <v>5</v>
      </c>
      <c r="P181" s="194" t="s">
        <v>409</v>
      </c>
      <c r="Q181" s="521">
        <f>R181*(1-Bolts!$E$1179)</f>
        <v>139.30000000000001</v>
      </c>
      <c r="R181" s="150">
        <v>139.30000000000001</v>
      </c>
      <c r="S181" s="168">
        <f t="shared" si="54"/>
        <v>0</v>
      </c>
      <c r="T181" s="211"/>
      <c r="U181" s="169"/>
      <c r="V181" s="170"/>
      <c r="W181" s="171"/>
      <c r="X181" s="172"/>
      <c r="Y181" s="173"/>
      <c r="Z181" s="174"/>
      <c r="AA181" s="175"/>
      <c r="AB181" s="176"/>
      <c r="AC181" s="168">
        <f t="shared" si="55"/>
        <v>0</v>
      </c>
      <c r="AD181" s="177">
        <f t="shared" si="56"/>
        <v>0</v>
      </c>
      <c r="AE181" s="178">
        <v>5.92</v>
      </c>
      <c r="AF181" s="179">
        <f t="shared" si="57"/>
        <v>0</v>
      </c>
      <c r="AH181" s="180"/>
      <c r="AK181" s="1"/>
      <c r="AL181" s="1"/>
      <c r="AM181" s="1"/>
      <c r="AN181" s="1"/>
    </row>
    <row r="182" spans="1:40" ht="12.75" customHeight="1">
      <c r="A182" s="87"/>
      <c r="B182" s="192" t="s">
        <v>410</v>
      </c>
      <c r="C182" s="193" t="s">
        <v>54</v>
      </c>
      <c r="D182" s="193" t="s">
        <v>63</v>
      </c>
      <c r="E182" s="194">
        <v>5</v>
      </c>
      <c r="F182" s="193"/>
      <c r="G182" s="193"/>
      <c r="H182" s="193" t="s">
        <v>121</v>
      </c>
      <c r="I182" s="193" t="s">
        <v>33</v>
      </c>
      <c r="J182" s="194">
        <v>5</v>
      </c>
      <c r="K182" s="193"/>
      <c r="L182" s="193"/>
      <c r="M182" s="193" t="s">
        <v>33</v>
      </c>
      <c r="N182" s="193" t="s">
        <v>49</v>
      </c>
      <c r="O182" s="194">
        <v>5</v>
      </c>
      <c r="P182" s="194" t="s">
        <v>411</v>
      </c>
      <c r="Q182" s="521">
        <f>R182*(1-Bolts!$E$1179)</f>
        <v>162.69999999999999</v>
      </c>
      <c r="R182" s="150">
        <v>162.69999999999999</v>
      </c>
      <c r="S182" s="168">
        <f t="shared" si="54"/>
        <v>0</v>
      </c>
      <c r="T182" s="211"/>
      <c r="U182" s="169"/>
      <c r="V182" s="170"/>
      <c r="W182" s="171"/>
      <c r="X182" s="172"/>
      <c r="Y182" s="173"/>
      <c r="Z182" s="174"/>
      <c r="AA182" s="175"/>
      <c r="AB182" s="176"/>
      <c r="AC182" s="168">
        <f t="shared" si="55"/>
        <v>0</v>
      </c>
      <c r="AD182" s="177">
        <f t="shared" si="56"/>
        <v>0</v>
      </c>
      <c r="AE182" s="178">
        <v>7.28</v>
      </c>
      <c r="AF182" s="179">
        <f t="shared" si="57"/>
        <v>0</v>
      </c>
      <c r="AH182" s="180"/>
      <c r="AK182" s="1"/>
      <c r="AL182" s="1"/>
      <c r="AM182" s="1"/>
      <c r="AN182" s="1"/>
    </row>
    <row r="183" spans="1:40" ht="12.75" customHeight="1">
      <c r="A183" s="87"/>
      <c r="B183" s="192" t="s">
        <v>412</v>
      </c>
      <c r="C183" s="193" t="s">
        <v>54</v>
      </c>
      <c r="D183" s="193" t="s">
        <v>63</v>
      </c>
      <c r="E183" s="194">
        <v>5</v>
      </c>
      <c r="F183" s="193"/>
      <c r="G183" s="193"/>
      <c r="H183" s="193" t="s">
        <v>121</v>
      </c>
      <c r="I183" s="193" t="s">
        <v>33</v>
      </c>
      <c r="J183" s="194">
        <v>5</v>
      </c>
      <c r="K183" s="193"/>
      <c r="L183" s="193"/>
      <c r="M183" s="193" t="s">
        <v>33</v>
      </c>
      <c r="N183" s="193" t="s">
        <v>49</v>
      </c>
      <c r="O183" s="194">
        <v>5</v>
      </c>
      <c r="P183" s="194" t="s">
        <v>413</v>
      </c>
      <c r="Q183" s="521">
        <f>R183*(1-Bolts!$E$1179)</f>
        <v>126.1</v>
      </c>
      <c r="R183" s="150">
        <v>126.1</v>
      </c>
      <c r="S183" s="168">
        <f t="shared" si="54"/>
        <v>0</v>
      </c>
      <c r="T183" s="211"/>
      <c r="U183" s="169"/>
      <c r="V183" s="170"/>
      <c r="W183" s="171"/>
      <c r="X183" s="172"/>
      <c r="Y183" s="173"/>
      <c r="Z183" s="174"/>
      <c r="AA183" s="175"/>
      <c r="AB183" s="176"/>
      <c r="AC183" s="168">
        <f t="shared" si="55"/>
        <v>0</v>
      </c>
      <c r="AD183" s="177">
        <f t="shared" si="56"/>
        <v>0</v>
      </c>
      <c r="AE183" s="178">
        <v>5.15</v>
      </c>
      <c r="AF183" s="179">
        <f t="shared" si="57"/>
        <v>0</v>
      </c>
      <c r="AH183" s="180"/>
      <c r="AK183" s="1"/>
      <c r="AL183" s="1"/>
      <c r="AM183" s="1"/>
      <c r="AN183" s="1"/>
    </row>
    <row r="184" spans="1:40" ht="12.75" customHeight="1">
      <c r="A184" s="87"/>
      <c r="B184" s="185"/>
      <c r="C184" s="165"/>
      <c r="D184" s="165"/>
      <c r="E184" s="166"/>
      <c r="F184" s="165"/>
      <c r="G184" s="165"/>
      <c r="H184" s="165"/>
      <c r="I184" s="165"/>
      <c r="J184" s="166"/>
      <c r="K184" s="165"/>
      <c r="L184" s="165"/>
      <c r="M184" s="165"/>
      <c r="N184" s="165"/>
      <c r="O184" s="166"/>
      <c r="P184" s="166"/>
      <c r="Q184" s="522"/>
      <c r="R184" s="150"/>
      <c r="S184" s="186"/>
      <c r="T184" s="187"/>
      <c r="U184" s="187"/>
      <c r="V184" s="188"/>
      <c r="W184" s="187"/>
      <c r="X184" s="187"/>
      <c r="Y184" s="187"/>
      <c r="Z184" s="187"/>
      <c r="AA184" s="187"/>
      <c r="AB184" s="188"/>
      <c r="AC184" s="186"/>
      <c r="AD184" s="189"/>
      <c r="AE184" s="190"/>
      <c r="AF184" s="191"/>
      <c r="AH184" s="180"/>
      <c r="AK184" s="1"/>
      <c r="AL184" s="1"/>
      <c r="AM184" s="1"/>
      <c r="AN184" s="1"/>
    </row>
    <row r="185" spans="1:40" ht="12.75" customHeight="1">
      <c r="A185" s="87"/>
      <c r="B185" s="192" t="s">
        <v>414</v>
      </c>
      <c r="C185" s="193" t="s">
        <v>54</v>
      </c>
      <c r="D185" s="193" t="s">
        <v>48</v>
      </c>
      <c r="E185" s="194">
        <v>10</v>
      </c>
      <c r="F185" s="193"/>
      <c r="G185" s="193"/>
      <c r="H185" s="193" t="s">
        <v>121</v>
      </c>
      <c r="I185" s="193" t="s">
        <v>32</v>
      </c>
      <c r="J185" s="194">
        <v>10</v>
      </c>
      <c r="K185" s="193"/>
      <c r="L185" s="193"/>
      <c r="M185" s="193" t="s">
        <v>32</v>
      </c>
      <c r="N185" s="193" t="s">
        <v>49</v>
      </c>
      <c r="O185" s="194">
        <v>10</v>
      </c>
      <c r="P185" s="194" t="s">
        <v>415</v>
      </c>
      <c r="Q185" s="521">
        <f>R185*(1-Bolts!$E$1179)</f>
        <v>215.7</v>
      </c>
      <c r="R185" s="150">
        <v>215.7</v>
      </c>
      <c r="S185" s="168">
        <f t="shared" ref="S185:S191" si="58">SUM(T185:AB185)</f>
        <v>0</v>
      </c>
      <c r="T185" s="211"/>
      <c r="U185" s="169"/>
      <c r="V185" s="170"/>
      <c r="W185" s="171"/>
      <c r="X185" s="172"/>
      <c r="Y185" s="173"/>
      <c r="Z185" s="174"/>
      <c r="AA185" s="175"/>
      <c r="AB185" s="176"/>
      <c r="AC185" s="168">
        <f t="shared" ref="AC185:AC191" si="59">S185*O185</f>
        <v>0</v>
      </c>
      <c r="AD185" s="177">
        <f t="shared" ref="AD185:AD191" si="60">S185*R185</f>
        <v>0</v>
      </c>
      <c r="AE185" s="178">
        <v>9.61</v>
      </c>
      <c r="AF185" s="179">
        <f t="shared" ref="AF185:AF191" si="61">AE185*S185</f>
        <v>0</v>
      </c>
      <c r="AH185" s="180"/>
      <c r="AK185" s="1"/>
      <c r="AL185" s="1"/>
      <c r="AM185" s="1"/>
      <c r="AN185" s="1"/>
    </row>
    <row r="186" spans="1:40" ht="12.75" customHeight="1">
      <c r="A186" s="87"/>
      <c r="B186" s="192" t="s">
        <v>416</v>
      </c>
      <c r="C186" s="193" t="s">
        <v>54</v>
      </c>
      <c r="D186" s="193" t="s">
        <v>48</v>
      </c>
      <c r="E186" s="194">
        <v>10</v>
      </c>
      <c r="F186" s="193"/>
      <c r="G186" s="193"/>
      <c r="H186" s="193" t="s">
        <v>121</v>
      </c>
      <c r="I186" s="193" t="s">
        <v>32</v>
      </c>
      <c r="J186" s="194">
        <v>10</v>
      </c>
      <c r="K186" s="193"/>
      <c r="L186" s="193"/>
      <c r="M186" s="193" t="s">
        <v>32</v>
      </c>
      <c r="N186" s="193" t="s">
        <v>48</v>
      </c>
      <c r="O186" s="194">
        <v>10</v>
      </c>
      <c r="P186" s="194" t="s">
        <v>417</v>
      </c>
      <c r="Q186" s="521">
        <f>R186*(1-Bolts!$E$1179)</f>
        <v>161.80000000000001</v>
      </c>
      <c r="R186" s="150">
        <v>161.80000000000001</v>
      </c>
      <c r="S186" s="168">
        <f t="shared" si="58"/>
        <v>0</v>
      </c>
      <c r="T186" s="211"/>
      <c r="U186" s="169"/>
      <c r="V186" s="170"/>
      <c r="W186" s="171"/>
      <c r="X186" s="172"/>
      <c r="Y186" s="173"/>
      <c r="Z186" s="174"/>
      <c r="AA186" s="175"/>
      <c r="AB186" s="176"/>
      <c r="AC186" s="168">
        <f t="shared" si="59"/>
        <v>0</v>
      </c>
      <c r="AD186" s="177">
        <f t="shared" si="60"/>
        <v>0</v>
      </c>
      <c r="AE186" s="178">
        <v>6.48</v>
      </c>
      <c r="AF186" s="179">
        <f t="shared" si="61"/>
        <v>0</v>
      </c>
      <c r="AH186" s="180"/>
      <c r="AK186" s="1"/>
      <c r="AL186" s="1"/>
      <c r="AM186" s="1"/>
      <c r="AN186" s="1"/>
    </row>
    <row r="187" spans="1:40" ht="12.75" customHeight="1">
      <c r="A187" s="87"/>
      <c r="B187" s="192" t="s">
        <v>418</v>
      </c>
      <c r="C187" s="193" t="s">
        <v>54</v>
      </c>
      <c r="D187" s="193" t="s">
        <v>48</v>
      </c>
      <c r="E187" s="194">
        <v>10</v>
      </c>
      <c r="F187" s="193"/>
      <c r="G187" s="193"/>
      <c r="H187" s="193" t="s">
        <v>121</v>
      </c>
      <c r="I187" s="193" t="s">
        <v>35</v>
      </c>
      <c r="J187" s="194">
        <v>10</v>
      </c>
      <c r="K187" s="193"/>
      <c r="L187" s="193"/>
      <c r="M187" s="193" t="s">
        <v>35</v>
      </c>
      <c r="N187" s="193" t="s">
        <v>48</v>
      </c>
      <c r="O187" s="194">
        <v>10</v>
      </c>
      <c r="P187" s="194" t="s">
        <v>419</v>
      </c>
      <c r="Q187" s="521">
        <f>R187*(1-Bolts!$E$1179)</f>
        <v>176</v>
      </c>
      <c r="R187" s="150">
        <v>176</v>
      </c>
      <c r="S187" s="168">
        <f t="shared" si="58"/>
        <v>0</v>
      </c>
      <c r="T187" s="211"/>
      <c r="U187" s="169"/>
      <c r="V187" s="170"/>
      <c r="W187" s="171"/>
      <c r="X187" s="172"/>
      <c r="Y187" s="173"/>
      <c r="Z187" s="174"/>
      <c r="AA187" s="175"/>
      <c r="AB187" s="176"/>
      <c r="AC187" s="168">
        <f t="shared" si="59"/>
        <v>0</v>
      </c>
      <c r="AD187" s="177">
        <f t="shared" si="60"/>
        <v>0</v>
      </c>
      <c r="AE187" s="178">
        <v>7.31</v>
      </c>
      <c r="AF187" s="179">
        <f t="shared" si="61"/>
        <v>0</v>
      </c>
      <c r="AH187" s="180"/>
      <c r="AK187" s="1"/>
      <c r="AL187" s="1"/>
      <c r="AM187" s="1"/>
      <c r="AN187" s="1"/>
    </row>
    <row r="188" spans="1:40" ht="12.75" customHeight="1">
      <c r="A188" s="87"/>
      <c r="B188" s="192" t="s">
        <v>420</v>
      </c>
      <c r="C188" s="193" t="s">
        <v>54</v>
      </c>
      <c r="D188" s="193" t="s">
        <v>48</v>
      </c>
      <c r="E188" s="194">
        <v>10</v>
      </c>
      <c r="F188" s="193"/>
      <c r="G188" s="193"/>
      <c r="H188" s="193" t="s">
        <v>121</v>
      </c>
      <c r="I188" s="193" t="s">
        <v>35</v>
      </c>
      <c r="J188" s="194">
        <v>10</v>
      </c>
      <c r="K188" s="193"/>
      <c r="L188" s="193"/>
      <c r="M188" s="193" t="s">
        <v>35</v>
      </c>
      <c r="N188" s="193" t="s">
        <v>49</v>
      </c>
      <c r="O188" s="194">
        <v>10</v>
      </c>
      <c r="P188" s="194" t="s">
        <v>421</v>
      </c>
      <c r="Q188" s="521">
        <f>R188*(1-Bolts!$E$1179)</f>
        <v>123.4</v>
      </c>
      <c r="R188" s="150">
        <v>123.4</v>
      </c>
      <c r="S188" s="168">
        <f t="shared" si="58"/>
        <v>0</v>
      </c>
      <c r="T188" s="211"/>
      <c r="U188" s="169"/>
      <c r="V188" s="170"/>
      <c r="W188" s="171"/>
      <c r="X188" s="172"/>
      <c r="Y188" s="173"/>
      <c r="Z188" s="174"/>
      <c r="AA188" s="175"/>
      <c r="AB188" s="176"/>
      <c r="AC188" s="168">
        <f t="shared" si="59"/>
        <v>0</v>
      </c>
      <c r="AD188" s="177">
        <f t="shared" si="60"/>
        <v>0</v>
      </c>
      <c r="AE188" s="178">
        <v>4.25</v>
      </c>
      <c r="AF188" s="179">
        <f t="shared" si="61"/>
        <v>0</v>
      </c>
      <c r="AH188" s="180"/>
      <c r="AK188" s="1"/>
      <c r="AL188" s="1"/>
      <c r="AM188" s="1"/>
      <c r="AN188" s="1"/>
    </row>
    <row r="189" spans="1:40" ht="12.75" customHeight="1">
      <c r="A189" s="87"/>
      <c r="B189" s="192" t="s">
        <v>422</v>
      </c>
      <c r="C189" s="193" t="s">
        <v>54</v>
      </c>
      <c r="D189" s="193" t="s">
        <v>48</v>
      </c>
      <c r="E189" s="194">
        <v>10</v>
      </c>
      <c r="F189" s="193"/>
      <c r="G189" s="193"/>
      <c r="H189" s="193" t="s">
        <v>121</v>
      </c>
      <c r="I189" s="193" t="s">
        <v>35</v>
      </c>
      <c r="J189" s="194">
        <v>10</v>
      </c>
      <c r="K189" s="193"/>
      <c r="L189" s="193"/>
      <c r="M189" s="193" t="s">
        <v>35</v>
      </c>
      <c r="N189" s="193" t="s">
        <v>48</v>
      </c>
      <c r="O189" s="194">
        <v>10</v>
      </c>
      <c r="P189" s="194" t="s">
        <v>423</v>
      </c>
      <c r="Q189" s="521">
        <f>R189*(1-Bolts!$E$1179)</f>
        <v>181.6</v>
      </c>
      <c r="R189" s="150">
        <v>181.6</v>
      </c>
      <c r="S189" s="168">
        <f t="shared" si="58"/>
        <v>0</v>
      </c>
      <c r="T189" s="211"/>
      <c r="U189" s="169"/>
      <c r="V189" s="170"/>
      <c r="W189" s="171"/>
      <c r="X189" s="172"/>
      <c r="Y189" s="173"/>
      <c r="Z189" s="174"/>
      <c r="AA189" s="175"/>
      <c r="AB189" s="176"/>
      <c r="AC189" s="168">
        <f t="shared" si="59"/>
        <v>0</v>
      </c>
      <c r="AD189" s="177">
        <f t="shared" si="60"/>
        <v>0</v>
      </c>
      <c r="AE189" s="178">
        <v>7.63</v>
      </c>
      <c r="AF189" s="179">
        <f t="shared" si="61"/>
        <v>0</v>
      </c>
      <c r="AH189" s="180"/>
      <c r="AK189" s="1"/>
      <c r="AL189" s="1"/>
      <c r="AM189" s="1"/>
      <c r="AN189" s="1"/>
    </row>
    <row r="190" spans="1:40" ht="12.75" customHeight="1">
      <c r="A190" s="87"/>
      <c r="B190" s="192" t="s">
        <v>424</v>
      </c>
      <c r="C190" s="193" t="s">
        <v>54</v>
      </c>
      <c r="D190" s="193" t="s">
        <v>48</v>
      </c>
      <c r="E190" s="194">
        <v>10</v>
      </c>
      <c r="F190" s="193"/>
      <c r="G190" s="193"/>
      <c r="H190" s="193" t="s">
        <v>121</v>
      </c>
      <c r="I190" s="193" t="s">
        <v>35</v>
      </c>
      <c r="J190" s="194">
        <v>10</v>
      </c>
      <c r="K190" s="193"/>
      <c r="L190" s="193"/>
      <c r="M190" s="193" t="s">
        <v>35</v>
      </c>
      <c r="N190" s="193" t="s">
        <v>49</v>
      </c>
      <c r="O190" s="194">
        <v>10</v>
      </c>
      <c r="P190" s="194" t="s">
        <v>425</v>
      </c>
      <c r="Q190" s="521">
        <f>R190*(1-Bolts!$E$1179)</f>
        <v>158.5</v>
      </c>
      <c r="R190" s="150">
        <v>158.5</v>
      </c>
      <c r="S190" s="168">
        <f t="shared" si="58"/>
        <v>0</v>
      </c>
      <c r="T190" s="211"/>
      <c r="U190" s="169"/>
      <c r="V190" s="170"/>
      <c r="W190" s="171"/>
      <c r="X190" s="172"/>
      <c r="Y190" s="173"/>
      <c r="Z190" s="174"/>
      <c r="AA190" s="175"/>
      <c r="AB190" s="176"/>
      <c r="AC190" s="168">
        <f t="shared" si="59"/>
        <v>0</v>
      </c>
      <c r="AD190" s="177">
        <f t="shared" si="60"/>
        <v>0</v>
      </c>
      <c r="AE190" s="178">
        <v>6.29</v>
      </c>
      <c r="AF190" s="179">
        <f t="shared" si="61"/>
        <v>0</v>
      </c>
      <c r="AH190" s="180"/>
      <c r="AK190" s="1"/>
      <c r="AL190" s="1"/>
      <c r="AM190" s="1"/>
      <c r="AN190" s="1"/>
    </row>
    <row r="191" spans="1:40" ht="12.75" customHeight="1">
      <c r="A191" s="87"/>
      <c r="B191" s="192" t="s">
        <v>426</v>
      </c>
      <c r="C191" s="193" t="s">
        <v>54</v>
      </c>
      <c r="D191" s="193" t="s">
        <v>48</v>
      </c>
      <c r="E191" s="194">
        <v>10</v>
      </c>
      <c r="F191" s="193"/>
      <c r="G191" s="193"/>
      <c r="H191" s="193" t="s">
        <v>121</v>
      </c>
      <c r="I191" s="193" t="s">
        <v>30</v>
      </c>
      <c r="J191" s="194">
        <v>10</v>
      </c>
      <c r="K191" s="193"/>
      <c r="L191" s="193"/>
      <c r="M191" s="193" t="s">
        <v>30</v>
      </c>
      <c r="N191" s="193" t="s">
        <v>47</v>
      </c>
      <c r="O191" s="194">
        <v>10</v>
      </c>
      <c r="P191" s="194" t="s">
        <v>427</v>
      </c>
      <c r="Q191" s="521">
        <f>R191*(1-Bolts!$E$1179)</f>
        <v>196.9</v>
      </c>
      <c r="R191" s="150">
        <v>196.9</v>
      </c>
      <c r="S191" s="168">
        <f t="shared" si="58"/>
        <v>0</v>
      </c>
      <c r="T191" s="211"/>
      <c r="U191" s="169"/>
      <c r="V191" s="170"/>
      <c r="W191" s="171"/>
      <c r="X191" s="172"/>
      <c r="Y191" s="173"/>
      <c r="Z191" s="174"/>
      <c r="AA191" s="175"/>
      <c r="AB191" s="176"/>
      <c r="AC191" s="168">
        <f t="shared" si="59"/>
        <v>0</v>
      </c>
      <c r="AD191" s="177">
        <f t="shared" si="60"/>
        <v>0</v>
      </c>
      <c r="AE191" s="178">
        <v>8.52</v>
      </c>
      <c r="AF191" s="179">
        <f t="shared" si="61"/>
        <v>0</v>
      </c>
      <c r="AH191" s="180"/>
      <c r="AK191" s="1"/>
      <c r="AL191" s="1"/>
      <c r="AM191" s="1"/>
      <c r="AN191" s="1"/>
    </row>
    <row r="192" spans="1:40" ht="12.75" customHeight="1">
      <c r="A192" s="87"/>
      <c r="B192" s="185"/>
      <c r="C192" s="165"/>
      <c r="D192" s="165"/>
      <c r="E192" s="166"/>
      <c r="F192" s="165"/>
      <c r="G192" s="165"/>
      <c r="H192" s="165"/>
      <c r="I192" s="165"/>
      <c r="J192" s="166"/>
      <c r="K192" s="165"/>
      <c r="L192" s="165"/>
      <c r="M192" s="165"/>
      <c r="N192" s="165"/>
      <c r="O192" s="166"/>
      <c r="P192" s="166"/>
      <c r="Q192" s="522"/>
      <c r="R192" s="150"/>
      <c r="S192" s="186"/>
      <c r="T192" s="187"/>
      <c r="U192" s="187"/>
      <c r="V192" s="188"/>
      <c r="W192" s="187"/>
      <c r="X192" s="187"/>
      <c r="Y192" s="187"/>
      <c r="Z192" s="187"/>
      <c r="AA192" s="187"/>
      <c r="AB192" s="188"/>
      <c r="AC192" s="186"/>
      <c r="AD192" s="189"/>
      <c r="AE192" s="190"/>
      <c r="AF192" s="191"/>
      <c r="AH192" s="180"/>
      <c r="AK192" s="1"/>
      <c r="AL192" s="1"/>
      <c r="AM192" s="1"/>
      <c r="AN192" s="1"/>
    </row>
    <row r="193" spans="1:40" ht="12.75" customHeight="1">
      <c r="A193" s="87"/>
      <c r="B193" s="192" t="s">
        <v>428</v>
      </c>
      <c r="C193" s="193" t="s">
        <v>54</v>
      </c>
      <c r="D193" s="193" t="s">
        <v>64</v>
      </c>
      <c r="E193" s="194">
        <v>20</v>
      </c>
      <c r="F193" s="193"/>
      <c r="G193" s="193"/>
      <c r="H193" s="193" t="s">
        <v>121</v>
      </c>
      <c r="I193" s="193" t="s">
        <v>39</v>
      </c>
      <c r="J193" s="194">
        <v>20</v>
      </c>
      <c r="K193" s="193"/>
      <c r="L193" s="193"/>
      <c r="M193" s="193" t="s">
        <v>39</v>
      </c>
      <c r="N193" s="193" t="s">
        <v>48</v>
      </c>
      <c r="O193" s="194">
        <v>20</v>
      </c>
      <c r="P193" s="194" t="s">
        <v>429</v>
      </c>
      <c r="Q193" s="521">
        <f>R193*(1-Bolts!$E$1179)</f>
        <v>183.3</v>
      </c>
      <c r="R193" s="150">
        <v>183.3</v>
      </c>
      <c r="S193" s="168">
        <f t="shared" ref="S193:S196" si="62">SUM(T193:AB193)</f>
        <v>0</v>
      </c>
      <c r="T193" s="211"/>
      <c r="U193" s="169"/>
      <c r="V193" s="170"/>
      <c r="W193" s="171"/>
      <c r="X193" s="172"/>
      <c r="Y193" s="173"/>
      <c r="Z193" s="174"/>
      <c r="AA193" s="175"/>
      <c r="AB193" s="176"/>
      <c r="AC193" s="168">
        <f t="shared" ref="AC193:AC196" si="63">S193*O193</f>
        <v>0</v>
      </c>
      <c r="AD193" s="177">
        <f t="shared" ref="AD193:AD196" si="64">S193*R193</f>
        <v>0</v>
      </c>
      <c r="AE193" s="178">
        <v>6.24</v>
      </c>
      <c r="AF193" s="179">
        <f t="shared" ref="AF193:AF196" si="65">AE193*S193</f>
        <v>0</v>
      </c>
      <c r="AH193" s="180"/>
      <c r="AK193" s="1"/>
      <c r="AL193" s="1"/>
      <c r="AM193" s="1"/>
      <c r="AN193" s="1"/>
    </row>
    <row r="194" spans="1:40" ht="12.75" customHeight="1">
      <c r="A194" s="87"/>
      <c r="B194" s="192" t="s">
        <v>430</v>
      </c>
      <c r="C194" s="193" t="s">
        <v>54</v>
      </c>
      <c r="D194" s="193" t="s">
        <v>64</v>
      </c>
      <c r="E194" s="194">
        <v>20</v>
      </c>
      <c r="F194" s="193"/>
      <c r="G194" s="193"/>
      <c r="H194" s="193" t="s">
        <v>121</v>
      </c>
      <c r="I194" s="193" t="s">
        <v>39</v>
      </c>
      <c r="J194" s="194">
        <v>20</v>
      </c>
      <c r="K194" s="193"/>
      <c r="L194" s="193"/>
      <c r="M194" s="193" t="s">
        <v>39</v>
      </c>
      <c r="N194" s="193" t="s">
        <v>49</v>
      </c>
      <c r="O194" s="194">
        <v>20</v>
      </c>
      <c r="P194" s="194" t="s">
        <v>431</v>
      </c>
      <c r="Q194" s="521">
        <f>R194*(1-Bolts!$E$1179)</f>
        <v>206</v>
      </c>
      <c r="R194" s="150">
        <v>206</v>
      </c>
      <c r="S194" s="168">
        <f t="shared" si="62"/>
        <v>0</v>
      </c>
      <c r="T194" s="211"/>
      <c r="U194" s="169"/>
      <c r="V194" s="170"/>
      <c r="W194" s="171"/>
      <c r="X194" s="172"/>
      <c r="Y194" s="173"/>
      <c r="Z194" s="174"/>
      <c r="AA194" s="175"/>
      <c r="AB194" s="176"/>
      <c r="AC194" s="168">
        <f t="shared" si="63"/>
        <v>0</v>
      </c>
      <c r="AD194" s="177">
        <f t="shared" si="64"/>
        <v>0</v>
      </c>
      <c r="AE194" s="178">
        <v>7.56</v>
      </c>
      <c r="AF194" s="179">
        <f t="shared" si="65"/>
        <v>0</v>
      </c>
      <c r="AH194" s="180"/>
      <c r="AK194" s="1"/>
      <c r="AL194" s="1"/>
      <c r="AM194" s="1"/>
      <c r="AN194" s="1"/>
    </row>
    <row r="195" spans="1:40" ht="12.75" customHeight="1">
      <c r="A195" s="87"/>
      <c r="B195" s="192" t="s">
        <v>432</v>
      </c>
      <c r="C195" s="193" t="s">
        <v>54</v>
      </c>
      <c r="D195" s="193" t="s">
        <v>64</v>
      </c>
      <c r="E195" s="194">
        <v>21</v>
      </c>
      <c r="F195" s="193"/>
      <c r="G195" s="193"/>
      <c r="H195" s="193" t="s">
        <v>121</v>
      </c>
      <c r="I195" s="193" t="s">
        <v>39</v>
      </c>
      <c r="J195" s="194">
        <v>21</v>
      </c>
      <c r="K195" s="193"/>
      <c r="L195" s="193"/>
      <c r="M195" s="193" t="s">
        <v>39</v>
      </c>
      <c r="N195" s="193" t="s">
        <v>48</v>
      </c>
      <c r="O195" s="194">
        <v>21</v>
      </c>
      <c r="P195" s="194" t="s">
        <v>433</v>
      </c>
      <c r="Q195" s="521">
        <f>R195*(1-Bolts!$E$1179)</f>
        <v>159.9</v>
      </c>
      <c r="R195" s="150">
        <v>159.9</v>
      </c>
      <c r="S195" s="168">
        <f t="shared" si="62"/>
        <v>0</v>
      </c>
      <c r="T195" s="211"/>
      <c r="U195" s="169"/>
      <c r="V195" s="170"/>
      <c r="W195" s="171"/>
      <c r="X195" s="172"/>
      <c r="Y195" s="173"/>
      <c r="Z195" s="174"/>
      <c r="AA195" s="175"/>
      <c r="AB195" s="176"/>
      <c r="AC195" s="168">
        <f t="shared" si="63"/>
        <v>0</v>
      </c>
      <c r="AD195" s="177">
        <f t="shared" si="64"/>
        <v>0</v>
      </c>
      <c r="AE195" s="178">
        <v>4.7300000000000004</v>
      </c>
      <c r="AF195" s="179">
        <f t="shared" si="65"/>
        <v>0</v>
      </c>
      <c r="AH195" s="180"/>
      <c r="AK195" s="1"/>
      <c r="AL195" s="1"/>
      <c r="AM195" s="1"/>
      <c r="AN195" s="1"/>
    </row>
    <row r="196" spans="1:40" ht="12.75" customHeight="1">
      <c r="A196" s="87"/>
      <c r="B196" s="192" t="s">
        <v>434</v>
      </c>
      <c r="C196" s="193" t="s">
        <v>54</v>
      </c>
      <c r="D196" s="193" t="s">
        <v>64</v>
      </c>
      <c r="E196" s="194">
        <v>12</v>
      </c>
      <c r="F196" s="193"/>
      <c r="G196" s="193"/>
      <c r="H196" s="193" t="s">
        <v>121</v>
      </c>
      <c r="I196" s="193" t="s">
        <v>39</v>
      </c>
      <c r="J196" s="194">
        <v>12</v>
      </c>
      <c r="K196" s="193"/>
      <c r="L196" s="193"/>
      <c r="M196" s="193" t="s">
        <v>39</v>
      </c>
      <c r="N196" s="193" t="s">
        <v>47</v>
      </c>
      <c r="O196" s="194">
        <v>12</v>
      </c>
      <c r="P196" s="194" t="s">
        <v>435</v>
      </c>
      <c r="Q196" s="521">
        <f>R196*(1-Bolts!$E$1179)</f>
        <v>125.6</v>
      </c>
      <c r="R196" s="150">
        <v>125.6</v>
      </c>
      <c r="S196" s="168">
        <f t="shared" si="62"/>
        <v>0</v>
      </c>
      <c r="T196" s="211"/>
      <c r="U196" s="169"/>
      <c r="V196" s="170"/>
      <c r="W196" s="171"/>
      <c r="X196" s="172"/>
      <c r="Y196" s="173"/>
      <c r="Z196" s="174"/>
      <c r="AA196" s="175"/>
      <c r="AB196" s="176"/>
      <c r="AC196" s="168">
        <f t="shared" si="63"/>
        <v>0</v>
      </c>
      <c r="AD196" s="177">
        <f t="shared" si="64"/>
        <v>0</v>
      </c>
      <c r="AE196" s="178">
        <v>4.08</v>
      </c>
      <c r="AF196" s="179">
        <f t="shared" si="65"/>
        <v>0</v>
      </c>
      <c r="AH196" s="180"/>
      <c r="AK196" s="1"/>
      <c r="AL196" s="1"/>
      <c r="AM196" s="1"/>
      <c r="AN196" s="1"/>
    </row>
    <row r="197" spans="1:40" ht="12.75" customHeight="1">
      <c r="A197" s="87"/>
      <c r="B197" s="185"/>
      <c r="C197" s="165"/>
      <c r="D197" s="165"/>
      <c r="E197" s="166"/>
      <c r="F197" s="165"/>
      <c r="G197" s="165"/>
      <c r="H197" s="165"/>
      <c r="I197" s="165"/>
      <c r="J197" s="166"/>
      <c r="K197" s="165"/>
      <c r="L197" s="165"/>
      <c r="M197" s="165"/>
      <c r="N197" s="165"/>
      <c r="O197" s="166"/>
      <c r="P197" s="166"/>
      <c r="Q197" s="522"/>
      <c r="R197" s="150"/>
      <c r="S197" s="186"/>
      <c r="T197" s="187"/>
      <c r="U197" s="187"/>
      <c r="V197" s="188"/>
      <c r="W197" s="187"/>
      <c r="X197" s="187"/>
      <c r="Y197" s="187"/>
      <c r="Z197" s="187"/>
      <c r="AA197" s="187"/>
      <c r="AB197" s="188"/>
      <c r="AC197" s="186"/>
      <c r="AD197" s="189"/>
      <c r="AE197" s="190"/>
      <c r="AF197" s="191"/>
      <c r="AH197" s="180"/>
      <c r="AK197" s="1"/>
      <c r="AL197" s="1"/>
      <c r="AM197" s="1"/>
      <c r="AN197" s="1"/>
    </row>
    <row r="198" spans="1:40" ht="12.75" customHeight="1">
      <c r="A198" s="87"/>
      <c r="B198" s="192" t="s">
        <v>436</v>
      </c>
      <c r="C198" s="193" t="s">
        <v>54</v>
      </c>
      <c r="D198" s="193" t="s">
        <v>38</v>
      </c>
      <c r="E198" s="194">
        <v>10</v>
      </c>
      <c r="F198" s="193"/>
      <c r="G198" s="193"/>
      <c r="H198" s="193" t="s">
        <v>121</v>
      </c>
      <c r="I198" s="193" t="s">
        <v>38</v>
      </c>
      <c r="J198" s="194">
        <v>10</v>
      </c>
      <c r="K198" s="193"/>
      <c r="L198" s="193"/>
      <c r="M198" s="193" t="s">
        <v>38</v>
      </c>
      <c r="N198" s="193" t="s">
        <v>49</v>
      </c>
      <c r="O198" s="194">
        <v>10</v>
      </c>
      <c r="P198" s="194" t="s">
        <v>437</v>
      </c>
      <c r="Q198" s="521">
        <f>R198*(1-Bolts!$E$1179)</f>
        <v>126.3</v>
      </c>
      <c r="R198" s="150">
        <v>126.3</v>
      </c>
      <c r="S198" s="168">
        <f t="shared" ref="S198:S200" si="66">SUM(T198:AB198)</f>
        <v>0</v>
      </c>
      <c r="T198" s="211"/>
      <c r="U198" s="169"/>
      <c r="V198" s="170"/>
      <c r="W198" s="171"/>
      <c r="X198" s="172"/>
      <c r="Y198" s="173"/>
      <c r="Z198" s="174"/>
      <c r="AA198" s="175"/>
      <c r="AB198" s="176"/>
      <c r="AC198" s="168">
        <f t="shared" ref="AC198:AC200" si="67">S198*O198</f>
        <v>0</v>
      </c>
      <c r="AD198" s="177">
        <f t="shared" ref="AD198:AD200" si="68">S198*R198</f>
        <v>0</v>
      </c>
      <c r="AE198" s="178">
        <v>4.53</v>
      </c>
      <c r="AF198" s="179">
        <f t="shared" ref="AF198:AF200" si="69">AE198*S198</f>
        <v>0</v>
      </c>
      <c r="AH198" s="180"/>
      <c r="AK198" s="1"/>
      <c r="AL198" s="1"/>
      <c r="AM198" s="1"/>
      <c r="AN198" s="1"/>
    </row>
    <row r="199" spans="1:40" ht="12.75" customHeight="1">
      <c r="A199" s="87"/>
      <c r="B199" s="192" t="s">
        <v>438</v>
      </c>
      <c r="C199" s="193" t="s">
        <v>54</v>
      </c>
      <c r="D199" s="193" t="s">
        <v>38</v>
      </c>
      <c r="E199" s="194">
        <v>5</v>
      </c>
      <c r="F199" s="193"/>
      <c r="G199" s="193"/>
      <c r="H199" s="193" t="s">
        <v>121</v>
      </c>
      <c r="I199" s="193" t="s">
        <v>38</v>
      </c>
      <c r="J199" s="194">
        <v>5</v>
      </c>
      <c r="K199" s="193"/>
      <c r="L199" s="193"/>
      <c r="M199" s="193" t="s">
        <v>38</v>
      </c>
      <c r="N199" s="193" t="s">
        <v>49</v>
      </c>
      <c r="O199" s="194">
        <v>5</v>
      </c>
      <c r="P199" s="194" t="s">
        <v>439</v>
      </c>
      <c r="Q199" s="521">
        <f>R199*(1-Bolts!$E$1179)</f>
        <v>124.9</v>
      </c>
      <c r="R199" s="150">
        <v>124.9</v>
      </c>
      <c r="S199" s="168">
        <f t="shared" si="66"/>
        <v>0</v>
      </c>
      <c r="T199" s="211"/>
      <c r="U199" s="169"/>
      <c r="V199" s="170"/>
      <c r="W199" s="171"/>
      <c r="X199" s="172"/>
      <c r="Y199" s="173"/>
      <c r="Z199" s="174"/>
      <c r="AA199" s="175"/>
      <c r="AB199" s="176"/>
      <c r="AC199" s="168">
        <f t="shared" si="67"/>
        <v>0</v>
      </c>
      <c r="AD199" s="177">
        <f t="shared" si="68"/>
        <v>0</v>
      </c>
      <c r="AE199" s="178">
        <v>5.14</v>
      </c>
      <c r="AF199" s="179">
        <f t="shared" si="69"/>
        <v>0</v>
      </c>
      <c r="AH199" s="180"/>
      <c r="AK199" s="1"/>
      <c r="AL199" s="1"/>
      <c r="AM199" s="1"/>
      <c r="AN199" s="1"/>
    </row>
    <row r="200" spans="1:40" ht="12.75" customHeight="1">
      <c r="A200" s="87"/>
      <c r="B200" s="192" t="s">
        <v>440</v>
      </c>
      <c r="C200" s="193" t="s">
        <v>54</v>
      </c>
      <c r="D200" s="193" t="s">
        <v>38</v>
      </c>
      <c r="E200" s="194">
        <v>5</v>
      </c>
      <c r="F200" s="193"/>
      <c r="G200" s="193"/>
      <c r="H200" s="193" t="s">
        <v>121</v>
      </c>
      <c r="I200" s="193" t="s">
        <v>38</v>
      </c>
      <c r="J200" s="194">
        <v>5</v>
      </c>
      <c r="K200" s="193"/>
      <c r="L200" s="193"/>
      <c r="M200" s="193" t="s">
        <v>38</v>
      </c>
      <c r="N200" s="193" t="s">
        <v>49</v>
      </c>
      <c r="O200" s="194">
        <v>5</v>
      </c>
      <c r="P200" s="194" t="s">
        <v>441</v>
      </c>
      <c r="Q200" s="521">
        <f>R200*(1-Bolts!$E$1179)</f>
        <v>105.4</v>
      </c>
      <c r="R200" s="150">
        <v>105.4</v>
      </c>
      <c r="S200" s="168">
        <f t="shared" si="66"/>
        <v>0</v>
      </c>
      <c r="T200" s="211"/>
      <c r="U200" s="169"/>
      <c r="V200" s="170"/>
      <c r="W200" s="171"/>
      <c r="X200" s="172"/>
      <c r="Y200" s="173"/>
      <c r="Z200" s="174"/>
      <c r="AA200" s="175"/>
      <c r="AB200" s="176"/>
      <c r="AC200" s="168">
        <f t="shared" si="67"/>
        <v>0</v>
      </c>
      <c r="AD200" s="177">
        <f t="shared" si="68"/>
        <v>0</v>
      </c>
      <c r="AE200" s="178">
        <v>4</v>
      </c>
      <c r="AF200" s="179">
        <f t="shared" si="69"/>
        <v>0</v>
      </c>
      <c r="AH200" s="180"/>
      <c r="AK200" s="1"/>
      <c r="AL200" s="1"/>
      <c r="AM200" s="1"/>
      <c r="AN200" s="1"/>
    </row>
    <row r="201" spans="1:40" ht="12.75" customHeight="1">
      <c r="A201" s="213" t="s">
        <v>378</v>
      </c>
      <c r="B201" s="205" t="s">
        <v>442</v>
      </c>
      <c r="C201" s="206" t="str">
        <f>B201</f>
        <v>Granite</v>
      </c>
      <c r="D201" s="207"/>
      <c r="E201" s="207"/>
      <c r="F201" s="207"/>
      <c r="G201" s="207"/>
      <c r="H201" s="207" t="s">
        <v>121</v>
      </c>
      <c r="I201" s="207"/>
      <c r="J201" s="207"/>
      <c r="K201" s="207"/>
      <c r="L201" s="207"/>
      <c r="M201" s="207"/>
      <c r="N201" s="207"/>
      <c r="O201" s="207"/>
      <c r="P201" s="207"/>
      <c r="Q201" s="524"/>
      <c r="R201" s="150"/>
      <c r="S201" s="207"/>
      <c r="T201" s="207"/>
      <c r="U201" s="207"/>
      <c r="V201" s="207"/>
      <c r="W201" s="207"/>
      <c r="X201" s="207"/>
      <c r="Y201" s="207"/>
      <c r="Z201" s="207"/>
      <c r="AA201" s="207"/>
      <c r="AB201" s="207"/>
      <c r="AC201" s="207"/>
      <c r="AD201" s="207"/>
      <c r="AE201" s="207"/>
      <c r="AF201" s="208"/>
      <c r="AH201" s="180"/>
      <c r="AK201" s="1"/>
      <c r="AL201" s="1"/>
      <c r="AM201" s="1"/>
      <c r="AN201" s="1"/>
    </row>
    <row r="202" spans="1:40" ht="12.75" customHeight="1">
      <c r="A202" s="87"/>
      <c r="B202" s="192" t="s">
        <v>443</v>
      </c>
      <c r="C202" s="193" t="s">
        <v>53</v>
      </c>
      <c r="D202" s="193" t="s">
        <v>60</v>
      </c>
      <c r="E202" s="194">
        <v>2</v>
      </c>
      <c r="F202" s="193"/>
      <c r="G202" s="193"/>
      <c r="H202" s="193" t="s">
        <v>121</v>
      </c>
      <c r="I202" s="193" t="s">
        <v>28</v>
      </c>
      <c r="J202" s="194">
        <v>2</v>
      </c>
      <c r="K202" s="193"/>
      <c r="L202" s="193"/>
      <c r="M202" s="193" t="s">
        <v>28</v>
      </c>
      <c r="N202" s="193" t="s">
        <v>47</v>
      </c>
      <c r="O202" s="194">
        <v>2</v>
      </c>
      <c r="P202" s="194" t="s">
        <v>444</v>
      </c>
      <c r="Q202" s="521">
        <f>R202*(1-Bolts!$E$1179)</f>
        <v>432.7</v>
      </c>
      <c r="R202" s="150">
        <v>432.7</v>
      </c>
      <c r="S202" s="168">
        <f t="shared" ref="S202:S218" si="70">SUM(T202:AB202)</f>
        <v>0</v>
      </c>
      <c r="T202" s="211"/>
      <c r="U202" s="169"/>
      <c r="V202" s="170"/>
      <c r="W202" s="171"/>
      <c r="X202" s="172"/>
      <c r="Y202" s="173"/>
      <c r="Z202" s="174"/>
      <c r="AA202" s="175"/>
      <c r="AB202" s="176"/>
      <c r="AC202" s="168">
        <f t="shared" ref="AC202:AC218" si="71">S202*O202</f>
        <v>0</v>
      </c>
      <c r="AD202" s="177">
        <f t="shared" ref="AD202:AD218" si="72">S202*R202</f>
        <v>0</v>
      </c>
      <c r="AE202" s="178">
        <v>22.9</v>
      </c>
      <c r="AF202" s="179">
        <f t="shared" ref="AF202:AF218" si="73">AE202*S202</f>
        <v>0</v>
      </c>
      <c r="AH202" s="209"/>
      <c r="AK202" s="1"/>
      <c r="AL202" s="1"/>
      <c r="AM202" s="1"/>
      <c r="AN202" s="1"/>
    </row>
    <row r="203" spans="1:40" ht="12.75" customHeight="1">
      <c r="A203" s="181" t="s">
        <v>445</v>
      </c>
      <c r="B203" s="214" t="s">
        <v>446</v>
      </c>
      <c r="C203" s="196" t="s">
        <v>53</v>
      </c>
      <c r="D203" s="196" t="s">
        <v>60</v>
      </c>
      <c r="E203" s="197">
        <v>1</v>
      </c>
      <c r="F203" s="196"/>
      <c r="G203" s="196"/>
      <c r="H203" s="196" t="s">
        <v>121</v>
      </c>
      <c r="I203" s="196" t="s">
        <v>28</v>
      </c>
      <c r="J203" s="197">
        <v>1</v>
      </c>
      <c r="K203" s="196"/>
      <c r="L203" s="196"/>
      <c r="M203" s="196" t="s">
        <v>28</v>
      </c>
      <c r="N203" s="196" t="s">
        <v>47</v>
      </c>
      <c r="O203" s="197">
        <v>1</v>
      </c>
      <c r="P203" s="197" t="s">
        <v>447</v>
      </c>
      <c r="Q203" s="523">
        <f>R203*(1-Bolts!$E$1179)</f>
        <v>271.8</v>
      </c>
      <c r="R203" s="150">
        <v>271.8</v>
      </c>
      <c r="S203" s="198">
        <f t="shared" si="70"/>
        <v>0</v>
      </c>
      <c r="T203" s="199"/>
      <c r="U203" s="199"/>
      <c r="V203" s="200"/>
      <c r="W203" s="199"/>
      <c r="X203" s="199"/>
      <c r="Y203" s="199"/>
      <c r="Z203" s="199"/>
      <c r="AA203" s="199"/>
      <c r="AB203" s="199"/>
      <c r="AC203" s="198">
        <f t="shared" si="71"/>
        <v>0</v>
      </c>
      <c r="AD203" s="177">
        <f t="shared" si="72"/>
        <v>0</v>
      </c>
      <c r="AE203" s="201">
        <v>13.9</v>
      </c>
      <c r="AF203" s="202">
        <f t="shared" si="73"/>
        <v>0</v>
      </c>
      <c r="AH203" s="180"/>
      <c r="AK203" s="1"/>
      <c r="AL203" s="1"/>
      <c r="AM203" s="1"/>
      <c r="AN203" s="1"/>
    </row>
    <row r="204" spans="1:40" ht="12.75" customHeight="1">
      <c r="A204" s="181" t="s">
        <v>445</v>
      </c>
      <c r="B204" s="214" t="s">
        <v>448</v>
      </c>
      <c r="C204" s="196" t="s">
        <v>53</v>
      </c>
      <c r="D204" s="196" t="s">
        <v>60</v>
      </c>
      <c r="E204" s="197">
        <v>1</v>
      </c>
      <c r="F204" s="196"/>
      <c r="G204" s="196"/>
      <c r="H204" s="196" t="s">
        <v>121</v>
      </c>
      <c r="I204" s="196" t="s">
        <v>28</v>
      </c>
      <c r="J204" s="197">
        <v>1</v>
      </c>
      <c r="K204" s="196"/>
      <c r="L204" s="196"/>
      <c r="M204" s="196" t="s">
        <v>28</v>
      </c>
      <c r="N204" s="196" t="s">
        <v>47</v>
      </c>
      <c r="O204" s="197">
        <v>1</v>
      </c>
      <c r="P204" s="197" t="s">
        <v>449</v>
      </c>
      <c r="Q204" s="523">
        <f>R204*(1-Bolts!$E$1179)</f>
        <v>185.6</v>
      </c>
      <c r="R204" s="150">
        <v>185.6</v>
      </c>
      <c r="S204" s="198">
        <f t="shared" si="70"/>
        <v>0</v>
      </c>
      <c r="T204" s="199"/>
      <c r="U204" s="199"/>
      <c r="V204" s="200"/>
      <c r="W204" s="199"/>
      <c r="X204" s="199"/>
      <c r="Y204" s="199"/>
      <c r="Z204" s="199"/>
      <c r="AA204" s="199"/>
      <c r="AB204" s="199"/>
      <c r="AC204" s="198">
        <f t="shared" si="71"/>
        <v>0</v>
      </c>
      <c r="AD204" s="177">
        <f t="shared" si="72"/>
        <v>0</v>
      </c>
      <c r="AE204" s="201">
        <v>9</v>
      </c>
      <c r="AF204" s="202">
        <f t="shared" si="73"/>
        <v>0</v>
      </c>
      <c r="AH204" s="180"/>
      <c r="AK204" s="1"/>
      <c r="AL204" s="1"/>
      <c r="AM204" s="1"/>
      <c r="AN204" s="1"/>
    </row>
    <row r="205" spans="1:40" ht="12.75" customHeight="1">
      <c r="A205" s="181"/>
      <c r="B205" s="192" t="s">
        <v>450</v>
      </c>
      <c r="C205" s="193" t="s">
        <v>53</v>
      </c>
      <c r="D205" s="193" t="s">
        <v>60</v>
      </c>
      <c r="E205" s="194">
        <v>2</v>
      </c>
      <c r="F205" s="193"/>
      <c r="G205" s="193"/>
      <c r="H205" s="193" t="s">
        <v>121</v>
      </c>
      <c r="I205" s="193" t="s">
        <v>28</v>
      </c>
      <c r="J205" s="194">
        <v>2</v>
      </c>
      <c r="K205" s="193"/>
      <c r="L205" s="193"/>
      <c r="M205" s="193" t="s">
        <v>28</v>
      </c>
      <c r="N205" s="193" t="s">
        <v>47</v>
      </c>
      <c r="O205" s="194">
        <v>2</v>
      </c>
      <c r="P205" s="194" t="s">
        <v>451</v>
      </c>
      <c r="Q205" s="521">
        <f>R205*(1-Bolts!$E$1179)</f>
        <v>302.10000000000002</v>
      </c>
      <c r="R205" s="150">
        <v>302.10000000000002</v>
      </c>
      <c r="S205" s="168">
        <f t="shared" si="70"/>
        <v>0</v>
      </c>
      <c r="T205" s="211"/>
      <c r="U205" s="169"/>
      <c r="V205" s="170"/>
      <c r="W205" s="171"/>
      <c r="X205" s="172"/>
      <c r="Y205" s="173"/>
      <c r="Z205" s="174"/>
      <c r="AA205" s="175"/>
      <c r="AB205" s="176"/>
      <c r="AC205" s="168">
        <f t="shared" si="71"/>
        <v>0</v>
      </c>
      <c r="AD205" s="177">
        <f t="shared" si="72"/>
        <v>0</v>
      </c>
      <c r="AE205" s="178">
        <v>14.15</v>
      </c>
      <c r="AF205" s="179">
        <f t="shared" si="73"/>
        <v>0</v>
      </c>
      <c r="AH205" s="180"/>
      <c r="AK205" s="1"/>
      <c r="AL205" s="1"/>
      <c r="AM205" s="1"/>
      <c r="AN205" s="1"/>
    </row>
    <row r="206" spans="1:40" ht="12.75" customHeight="1">
      <c r="A206" s="181" t="s">
        <v>445</v>
      </c>
      <c r="B206" s="214" t="s">
        <v>452</v>
      </c>
      <c r="C206" s="196" t="s">
        <v>53</v>
      </c>
      <c r="D206" s="196" t="s">
        <v>60</v>
      </c>
      <c r="E206" s="197">
        <v>1</v>
      </c>
      <c r="F206" s="196"/>
      <c r="G206" s="196"/>
      <c r="H206" s="196" t="s">
        <v>121</v>
      </c>
      <c r="I206" s="196" t="s">
        <v>28</v>
      </c>
      <c r="J206" s="197">
        <v>1</v>
      </c>
      <c r="K206" s="196"/>
      <c r="L206" s="196"/>
      <c r="M206" s="196" t="s">
        <v>28</v>
      </c>
      <c r="N206" s="196" t="s">
        <v>47</v>
      </c>
      <c r="O206" s="197">
        <v>1</v>
      </c>
      <c r="P206" s="197" t="s">
        <v>453</v>
      </c>
      <c r="Q206" s="523">
        <f>R206*(1-Bolts!$E$1179)</f>
        <v>184</v>
      </c>
      <c r="R206" s="150">
        <v>184</v>
      </c>
      <c r="S206" s="198">
        <f t="shared" si="70"/>
        <v>0</v>
      </c>
      <c r="T206" s="199"/>
      <c r="U206" s="199"/>
      <c r="V206" s="200"/>
      <c r="W206" s="199"/>
      <c r="X206" s="199"/>
      <c r="Y206" s="199"/>
      <c r="Z206" s="199"/>
      <c r="AA206" s="199"/>
      <c r="AB206" s="199"/>
      <c r="AC206" s="198">
        <f t="shared" si="71"/>
        <v>0</v>
      </c>
      <c r="AD206" s="177">
        <f t="shared" si="72"/>
        <v>0</v>
      </c>
      <c r="AE206" s="201">
        <v>8.25</v>
      </c>
      <c r="AF206" s="202">
        <f t="shared" si="73"/>
        <v>0</v>
      </c>
      <c r="AH206" s="180"/>
      <c r="AK206" s="1"/>
      <c r="AL206" s="1"/>
      <c r="AM206" s="1"/>
      <c r="AN206" s="1"/>
    </row>
    <row r="207" spans="1:40" ht="12.75" customHeight="1">
      <c r="A207" s="181" t="s">
        <v>445</v>
      </c>
      <c r="B207" s="214" t="s">
        <v>454</v>
      </c>
      <c r="C207" s="196" t="s">
        <v>53</v>
      </c>
      <c r="D207" s="196" t="s">
        <v>60</v>
      </c>
      <c r="E207" s="197">
        <v>1</v>
      </c>
      <c r="F207" s="196"/>
      <c r="G207" s="196"/>
      <c r="H207" s="196" t="s">
        <v>121</v>
      </c>
      <c r="I207" s="196" t="s">
        <v>28</v>
      </c>
      <c r="J207" s="197">
        <v>1</v>
      </c>
      <c r="K207" s="196"/>
      <c r="L207" s="196"/>
      <c r="M207" s="196" t="s">
        <v>28</v>
      </c>
      <c r="N207" s="196" t="s">
        <v>47</v>
      </c>
      <c r="O207" s="197">
        <v>1</v>
      </c>
      <c r="P207" s="197" t="s">
        <v>455</v>
      </c>
      <c r="Q207" s="523">
        <f>R207*(1-Bolts!$E$1179)</f>
        <v>142.69999999999999</v>
      </c>
      <c r="R207" s="150">
        <v>142.69999999999999</v>
      </c>
      <c r="S207" s="198">
        <f t="shared" si="70"/>
        <v>0</v>
      </c>
      <c r="T207" s="199"/>
      <c r="U207" s="199"/>
      <c r="V207" s="200"/>
      <c r="W207" s="199"/>
      <c r="X207" s="199"/>
      <c r="Y207" s="199"/>
      <c r="Z207" s="199"/>
      <c r="AA207" s="199"/>
      <c r="AB207" s="199"/>
      <c r="AC207" s="198">
        <f t="shared" si="71"/>
        <v>0</v>
      </c>
      <c r="AD207" s="177">
        <f t="shared" si="72"/>
        <v>0</v>
      </c>
      <c r="AE207" s="201">
        <v>5.9</v>
      </c>
      <c r="AF207" s="202">
        <f t="shared" si="73"/>
        <v>0</v>
      </c>
      <c r="AH207" s="180"/>
      <c r="AK207" s="1"/>
      <c r="AL207" s="1"/>
      <c r="AM207" s="1"/>
      <c r="AN207" s="1"/>
    </row>
    <row r="208" spans="1:40" ht="12.75" customHeight="1">
      <c r="A208" s="181"/>
      <c r="B208" s="192" t="s">
        <v>456</v>
      </c>
      <c r="C208" s="193" t="s">
        <v>53</v>
      </c>
      <c r="D208" s="193" t="s">
        <v>60</v>
      </c>
      <c r="E208" s="194">
        <v>3</v>
      </c>
      <c r="F208" s="193"/>
      <c r="G208" s="193"/>
      <c r="H208" s="193" t="s">
        <v>121</v>
      </c>
      <c r="I208" s="193" t="s">
        <v>28</v>
      </c>
      <c r="J208" s="194">
        <v>3</v>
      </c>
      <c r="K208" s="193"/>
      <c r="L208" s="193"/>
      <c r="M208" s="193" t="s">
        <v>28</v>
      </c>
      <c r="N208" s="193" t="s">
        <v>48</v>
      </c>
      <c r="O208" s="194">
        <v>3</v>
      </c>
      <c r="P208" s="194" t="s">
        <v>457</v>
      </c>
      <c r="Q208" s="521">
        <f>R208*(1-Bolts!$E$1179)</f>
        <v>447.6</v>
      </c>
      <c r="R208" s="150">
        <v>447.6</v>
      </c>
      <c r="S208" s="168">
        <f t="shared" si="70"/>
        <v>0</v>
      </c>
      <c r="T208" s="211"/>
      <c r="U208" s="169"/>
      <c r="V208" s="170"/>
      <c r="W208" s="171"/>
      <c r="X208" s="172"/>
      <c r="Y208" s="173"/>
      <c r="Z208" s="174"/>
      <c r="AA208" s="175"/>
      <c r="AB208" s="176"/>
      <c r="AC208" s="168">
        <f t="shared" si="71"/>
        <v>0</v>
      </c>
      <c r="AD208" s="177">
        <f t="shared" si="72"/>
        <v>0</v>
      </c>
      <c r="AE208" s="178">
        <v>14.1</v>
      </c>
      <c r="AF208" s="179">
        <f t="shared" si="73"/>
        <v>0</v>
      </c>
      <c r="AH208" s="180"/>
      <c r="AK208" s="1"/>
      <c r="AL208" s="1"/>
      <c r="AM208" s="1"/>
      <c r="AN208" s="1"/>
    </row>
    <row r="209" spans="1:40" ht="12.75" customHeight="1">
      <c r="A209" s="181"/>
      <c r="B209" s="215" t="s">
        <v>458</v>
      </c>
      <c r="C209" s="196" t="s">
        <v>53</v>
      </c>
      <c r="D209" s="196" t="s">
        <v>60</v>
      </c>
      <c r="E209" s="197">
        <v>1</v>
      </c>
      <c r="F209" s="196"/>
      <c r="G209" s="196"/>
      <c r="H209" s="196" t="s">
        <v>121</v>
      </c>
      <c r="I209" s="196" t="s">
        <v>28</v>
      </c>
      <c r="J209" s="197">
        <v>1</v>
      </c>
      <c r="K209" s="196"/>
      <c r="L209" s="196"/>
      <c r="M209" s="196" t="s">
        <v>28</v>
      </c>
      <c r="N209" s="196" t="s">
        <v>48</v>
      </c>
      <c r="O209" s="197">
        <v>1</v>
      </c>
      <c r="P209" s="197" t="s">
        <v>459</v>
      </c>
      <c r="Q209" s="523">
        <f>R209*(1-Bolts!$E$1179)</f>
        <v>197.5</v>
      </c>
      <c r="R209" s="150">
        <v>197.5</v>
      </c>
      <c r="S209" s="198">
        <f t="shared" si="70"/>
        <v>0</v>
      </c>
      <c r="T209" s="199"/>
      <c r="U209" s="199"/>
      <c r="V209" s="200"/>
      <c r="W209" s="199"/>
      <c r="X209" s="199"/>
      <c r="Y209" s="199"/>
      <c r="Z209" s="199"/>
      <c r="AA209" s="199"/>
      <c r="AB209" s="199"/>
      <c r="AC209" s="198">
        <f t="shared" si="71"/>
        <v>0</v>
      </c>
      <c r="AD209" s="177">
        <f t="shared" si="72"/>
        <v>0</v>
      </c>
      <c r="AE209" s="201">
        <v>8.35</v>
      </c>
      <c r="AF209" s="202">
        <f t="shared" si="73"/>
        <v>0</v>
      </c>
      <c r="AH209" s="180"/>
      <c r="AK209" s="1"/>
      <c r="AL209" s="1"/>
      <c r="AM209" s="1"/>
      <c r="AN209" s="1"/>
    </row>
    <row r="210" spans="1:40" ht="12.75" customHeight="1">
      <c r="A210" s="181"/>
      <c r="B210" s="215" t="s">
        <v>460</v>
      </c>
      <c r="C210" s="196" t="s">
        <v>53</v>
      </c>
      <c r="D210" s="196" t="s">
        <v>60</v>
      </c>
      <c r="E210" s="197">
        <v>1</v>
      </c>
      <c r="F210" s="196"/>
      <c r="G210" s="196"/>
      <c r="H210" s="196" t="s">
        <v>121</v>
      </c>
      <c r="I210" s="196" t="s">
        <v>28</v>
      </c>
      <c r="J210" s="197">
        <v>1</v>
      </c>
      <c r="K210" s="196"/>
      <c r="L210" s="196"/>
      <c r="M210" s="196" t="s">
        <v>28</v>
      </c>
      <c r="N210" s="196" t="s">
        <v>48</v>
      </c>
      <c r="O210" s="197">
        <v>1</v>
      </c>
      <c r="P210" s="197" t="s">
        <v>461</v>
      </c>
      <c r="Q210" s="523">
        <f>R210*(1-Bolts!$E$1179)</f>
        <v>151.69999999999999</v>
      </c>
      <c r="R210" s="150">
        <v>151.69999999999999</v>
      </c>
      <c r="S210" s="198">
        <f t="shared" si="70"/>
        <v>0</v>
      </c>
      <c r="T210" s="199"/>
      <c r="U210" s="199"/>
      <c r="V210" s="200"/>
      <c r="W210" s="199"/>
      <c r="X210" s="199"/>
      <c r="Y210" s="199"/>
      <c r="Z210" s="199"/>
      <c r="AA210" s="199"/>
      <c r="AB210" s="199"/>
      <c r="AC210" s="198">
        <f t="shared" si="71"/>
        <v>0</v>
      </c>
      <c r="AD210" s="177">
        <f t="shared" si="72"/>
        <v>0</v>
      </c>
      <c r="AE210" s="201">
        <v>5.75</v>
      </c>
      <c r="AF210" s="202">
        <f t="shared" si="73"/>
        <v>0</v>
      </c>
      <c r="AH210" s="180"/>
      <c r="AK210" s="1"/>
      <c r="AL210" s="1"/>
      <c r="AM210" s="1"/>
      <c r="AN210" s="1"/>
    </row>
    <row r="211" spans="1:40" ht="12.75" customHeight="1">
      <c r="A211" s="181" t="s">
        <v>445</v>
      </c>
      <c r="B211" s="214" t="s">
        <v>462</v>
      </c>
      <c r="C211" s="196" t="s">
        <v>53</v>
      </c>
      <c r="D211" s="196" t="s">
        <v>60</v>
      </c>
      <c r="E211" s="197">
        <v>1</v>
      </c>
      <c r="F211" s="196"/>
      <c r="G211" s="196"/>
      <c r="H211" s="196" t="s">
        <v>121</v>
      </c>
      <c r="I211" s="196" t="s">
        <v>28</v>
      </c>
      <c r="J211" s="197">
        <v>1</v>
      </c>
      <c r="K211" s="196"/>
      <c r="L211" s="196"/>
      <c r="M211" s="196" t="s">
        <v>28</v>
      </c>
      <c r="N211" s="196" t="s">
        <v>48</v>
      </c>
      <c r="O211" s="197">
        <v>1</v>
      </c>
      <c r="P211" s="197" t="s">
        <v>463</v>
      </c>
      <c r="Q211" s="523">
        <f>R211*(1-Bolts!$E$1179)</f>
        <v>147.4</v>
      </c>
      <c r="R211" s="150">
        <v>147.4</v>
      </c>
      <c r="S211" s="198">
        <f t="shared" si="70"/>
        <v>0</v>
      </c>
      <c r="T211" s="199"/>
      <c r="U211" s="199"/>
      <c r="V211" s="200"/>
      <c r="W211" s="199"/>
      <c r="X211" s="199"/>
      <c r="Y211" s="199"/>
      <c r="Z211" s="199"/>
      <c r="AA211" s="199"/>
      <c r="AB211" s="199"/>
      <c r="AC211" s="198">
        <f t="shared" si="71"/>
        <v>0</v>
      </c>
      <c r="AD211" s="177">
        <f t="shared" si="72"/>
        <v>0</v>
      </c>
      <c r="AE211" s="201">
        <v>5.75</v>
      </c>
      <c r="AF211" s="202">
        <f t="shared" si="73"/>
        <v>0</v>
      </c>
      <c r="AH211" s="180"/>
      <c r="AK211" s="1"/>
      <c r="AL211" s="1"/>
      <c r="AM211" s="1"/>
      <c r="AN211" s="1"/>
    </row>
    <row r="212" spans="1:40" ht="12.75" customHeight="1">
      <c r="A212" s="181"/>
      <c r="B212" s="192" t="s">
        <v>464</v>
      </c>
      <c r="C212" s="193" t="s">
        <v>53</v>
      </c>
      <c r="D212" s="193" t="s">
        <v>60</v>
      </c>
      <c r="E212" s="194">
        <v>2</v>
      </c>
      <c r="F212" s="193"/>
      <c r="G212" s="193"/>
      <c r="H212" s="193" t="s">
        <v>121</v>
      </c>
      <c r="I212" s="193" t="s">
        <v>28</v>
      </c>
      <c r="J212" s="194">
        <v>2</v>
      </c>
      <c r="K212" s="193"/>
      <c r="L212" s="193"/>
      <c r="M212" s="193" t="s">
        <v>28</v>
      </c>
      <c r="N212" s="193" t="s">
        <v>48</v>
      </c>
      <c r="O212" s="194">
        <v>2</v>
      </c>
      <c r="P212" s="194" t="s">
        <v>465</v>
      </c>
      <c r="Q212" s="521">
        <f>R212*(1-Bolts!$E$1179)</f>
        <v>280</v>
      </c>
      <c r="R212" s="150">
        <v>280</v>
      </c>
      <c r="S212" s="168">
        <f t="shared" si="70"/>
        <v>0</v>
      </c>
      <c r="T212" s="211"/>
      <c r="U212" s="169"/>
      <c r="V212" s="170"/>
      <c r="W212" s="171"/>
      <c r="X212" s="172"/>
      <c r="Y212" s="173"/>
      <c r="Z212" s="174"/>
      <c r="AA212" s="175"/>
      <c r="AB212" s="176"/>
      <c r="AC212" s="168">
        <f t="shared" si="71"/>
        <v>0</v>
      </c>
      <c r="AD212" s="177">
        <f t="shared" si="72"/>
        <v>0</v>
      </c>
      <c r="AE212" s="178">
        <v>13.55</v>
      </c>
      <c r="AF212" s="179">
        <f t="shared" si="73"/>
        <v>0</v>
      </c>
      <c r="AH212" s="180"/>
      <c r="AK212" s="1"/>
      <c r="AL212" s="1"/>
      <c r="AM212" s="1"/>
      <c r="AN212" s="1"/>
    </row>
    <row r="213" spans="1:40" ht="12.75" customHeight="1">
      <c r="A213" s="181" t="s">
        <v>445</v>
      </c>
      <c r="B213" s="214" t="s">
        <v>466</v>
      </c>
      <c r="C213" s="196" t="s">
        <v>53</v>
      </c>
      <c r="D213" s="196" t="s">
        <v>60</v>
      </c>
      <c r="E213" s="197">
        <v>1</v>
      </c>
      <c r="F213" s="196"/>
      <c r="G213" s="196"/>
      <c r="H213" s="196" t="s">
        <v>121</v>
      </c>
      <c r="I213" s="196" t="s">
        <v>28</v>
      </c>
      <c r="J213" s="197">
        <v>1</v>
      </c>
      <c r="K213" s="196"/>
      <c r="L213" s="196"/>
      <c r="M213" s="196" t="s">
        <v>28</v>
      </c>
      <c r="N213" s="196" t="s">
        <v>48</v>
      </c>
      <c r="O213" s="197">
        <v>1</v>
      </c>
      <c r="P213" s="197" t="s">
        <v>467</v>
      </c>
      <c r="Q213" s="523">
        <f>R213*(1-Bolts!$E$1179)</f>
        <v>158.9</v>
      </c>
      <c r="R213" s="150">
        <v>158.9</v>
      </c>
      <c r="S213" s="198">
        <f t="shared" si="70"/>
        <v>0</v>
      </c>
      <c r="T213" s="199"/>
      <c r="U213" s="199"/>
      <c r="V213" s="200"/>
      <c r="W213" s="199"/>
      <c r="X213" s="199"/>
      <c r="Y213" s="199"/>
      <c r="Z213" s="199"/>
      <c r="AA213" s="199"/>
      <c r="AB213" s="199"/>
      <c r="AC213" s="198">
        <f t="shared" si="71"/>
        <v>0</v>
      </c>
      <c r="AD213" s="177">
        <f t="shared" si="72"/>
        <v>0</v>
      </c>
      <c r="AE213" s="201">
        <v>7.15</v>
      </c>
      <c r="AF213" s="202">
        <f t="shared" si="73"/>
        <v>0</v>
      </c>
      <c r="AH213" s="180"/>
      <c r="AK213" s="1"/>
      <c r="AL213" s="1"/>
      <c r="AM213" s="1"/>
      <c r="AN213" s="1"/>
    </row>
    <row r="214" spans="1:40" ht="12.75" customHeight="1">
      <c r="A214" s="181" t="s">
        <v>445</v>
      </c>
      <c r="B214" s="214" t="s">
        <v>468</v>
      </c>
      <c r="C214" s="196" t="s">
        <v>53</v>
      </c>
      <c r="D214" s="196" t="s">
        <v>60</v>
      </c>
      <c r="E214" s="197">
        <v>1</v>
      </c>
      <c r="F214" s="196"/>
      <c r="G214" s="196"/>
      <c r="H214" s="196" t="s">
        <v>121</v>
      </c>
      <c r="I214" s="196" t="s">
        <v>28</v>
      </c>
      <c r="J214" s="197">
        <v>1</v>
      </c>
      <c r="K214" s="196"/>
      <c r="L214" s="196"/>
      <c r="M214" s="196" t="s">
        <v>28</v>
      </c>
      <c r="N214" s="196" t="s">
        <v>48</v>
      </c>
      <c r="O214" s="197">
        <v>1</v>
      </c>
      <c r="P214" s="197" t="s">
        <v>469</v>
      </c>
      <c r="Q214" s="523">
        <f>R214*(1-Bolts!$E$1179)</f>
        <v>145.69999999999999</v>
      </c>
      <c r="R214" s="150">
        <v>145.69999999999999</v>
      </c>
      <c r="S214" s="198">
        <f t="shared" si="70"/>
        <v>0</v>
      </c>
      <c r="T214" s="199"/>
      <c r="U214" s="199"/>
      <c r="V214" s="200"/>
      <c r="W214" s="199"/>
      <c r="X214" s="199"/>
      <c r="Y214" s="199"/>
      <c r="Z214" s="199"/>
      <c r="AA214" s="199"/>
      <c r="AB214" s="199"/>
      <c r="AC214" s="198">
        <f t="shared" si="71"/>
        <v>0</v>
      </c>
      <c r="AD214" s="177">
        <f t="shared" si="72"/>
        <v>0</v>
      </c>
      <c r="AE214" s="201">
        <v>6.4</v>
      </c>
      <c r="AF214" s="202">
        <f t="shared" si="73"/>
        <v>0</v>
      </c>
      <c r="AH214" s="180"/>
      <c r="AK214" s="1"/>
      <c r="AL214" s="1"/>
      <c r="AM214" s="1"/>
      <c r="AN214" s="1"/>
    </row>
    <row r="215" spans="1:40" ht="12.75" customHeight="1">
      <c r="A215" s="181"/>
      <c r="B215" s="192" t="s">
        <v>470</v>
      </c>
      <c r="C215" s="193" t="s">
        <v>53</v>
      </c>
      <c r="D215" s="193" t="s">
        <v>60</v>
      </c>
      <c r="E215" s="194">
        <v>3</v>
      </c>
      <c r="F215" s="193"/>
      <c r="G215" s="193"/>
      <c r="H215" s="193" t="s">
        <v>121</v>
      </c>
      <c r="I215" s="193" t="s">
        <v>28</v>
      </c>
      <c r="J215" s="194">
        <v>3</v>
      </c>
      <c r="K215" s="193"/>
      <c r="L215" s="193"/>
      <c r="M215" s="193" t="s">
        <v>28</v>
      </c>
      <c r="N215" s="193" t="s">
        <v>47</v>
      </c>
      <c r="O215" s="194">
        <v>3</v>
      </c>
      <c r="P215" s="194" t="s">
        <v>471</v>
      </c>
      <c r="Q215" s="521">
        <f>R215*(1-Bolts!$E$1179)</f>
        <v>475.9</v>
      </c>
      <c r="R215" s="150">
        <v>475.9</v>
      </c>
      <c r="S215" s="168">
        <f t="shared" si="70"/>
        <v>0</v>
      </c>
      <c r="T215" s="211"/>
      <c r="U215" s="169"/>
      <c r="V215" s="170"/>
      <c r="W215" s="171"/>
      <c r="X215" s="172"/>
      <c r="Y215" s="173"/>
      <c r="Z215" s="174"/>
      <c r="AA215" s="175"/>
      <c r="AB215" s="176"/>
      <c r="AC215" s="168">
        <f t="shared" si="71"/>
        <v>0</v>
      </c>
      <c r="AD215" s="177">
        <f t="shared" si="72"/>
        <v>0</v>
      </c>
      <c r="AE215" s="178">
        <v>24.2</v>
      </c>
      <c r="AF215" s="179">
        <f t="shared" si="73"/>
        <v>0</v>
      </c>
      <c r="AH215" s="180"/>
      <c r="AK215" s="1"/>
      <c r="AL215" s="1"/>
      <c r="AM215" s="1"/>
      <c r="AN215" s="1"/>
    </row>
    <row r="216" spans="1:40" ht="12.75" customHeight="1">
      <c r="A216" s="181" t="s">
        <v>445</v>
      </c>
      <c r="B216" s="214" t="s">
        <v>472</v>
      </c>
      <c r="C216" s="196" t="s">
        <v>53</v>
      </c>
      <c r="D216" s="196" t="s">
        <v>60</v>
      </c>
      <c r="E216" s="197">
        <v>1</v>
      </c>
      <c r="F216" s="196"/>
      <c r="G216" s="196"/>
      <c r="H216" s="196" t="s">
        <v>121</v>
      </c>
      <c r="I216" s="196" t="s">
        <v>28</v>
      </c>
      <c r="J216" s="197">
        <v>1</v>
      </c>
      <c r="K216" s="196"/>
      <c r="L216" s="196"/>
      <c r="M216" s="196" t="s">
        <v>28</v>
      </c>
      <c r="N216" s="196" t="s">
        <v>47</v>
      </c>
      <c r="O216" s="197">
        <v>1</v>
      </c>
      <c r="P216" s="197" t="s">
        <v>473</v>
      </c>
      <c r="Q216" s="523">
        <f>R216*(1-Bolts!$E$1179)</f>
        <v>205.5</v>
      </c>
      <c r="R216" s="150">
        <v>205.5</v>
      </c>
      <c r="S216" s="198">
        <f t="shared" si="70"/>
        <v>0</v>
      </c>
      <c r="T216" s="199"/>
      <c r="U216" s="199"/>
      <c r="V216" s="200"/>
      <c r="W216" s="199"/>
      <c r="X216" s="199"/>
      <c r="Y216" s="199"/>
      <c r="Z216" s="199"/>
      <c r="AA216" s="199"/>
      <c r="AB216" s="199"/>
      <c r="AC216" s="198">
        <f t="shared" si="71"/>
        <v>0</v>
      </c>
      <c r="AD216" s="177">
        <f t="shared" si="72"/>
        <v>0</v>
      </c>
      <c r="AE216" s="201">
        <v>9.8000000000000007</v>
      </c>
      <c r="AF216" s="202">
        <f t="shared" si="73"/>
        <v>0</v>
      </c>
      <c r="AH216" s="180"/>
      <c r="AK216" s="1"/>
      <c r="AL216" s="1"/>
      <c r="AM216" s="1"/>
      <c r="AN216" s="1"/>
    </row>
    <row r="217" spans="1:40" ht="12.75" customHeight="1">
      <c r="A217" s="181" t="s">
        <v>445</v>
      </c>
      <c r="B217" s="214" t="s">
        <v>474</v>
      </c>
      <c r="C217" s="196" t="s">
        <v>53</v>
      </c>
      <c r="D217" s="196" t="s">
        <v>60</v>
      </c>
      <c r="E217" s="197">
        <v>1</v>
      </c>
      <c r="F217" s="196"/>
      <c r="G217" s="196"/>
      <c r="H217" s="196" t="s">
        <v>121</v>
      </c>
      <c r="I217" s="196" t="s">
        <v>28</v>
      </c>
      <c r="J217" s="197">
        <v>1</v>
      </c>
      <c r="K217" s="196"/>
      <c r="L217" s="196"/>
      <c r="M217" s="196" t="s">
        <v>28</v>
      </c>
      <c r="N217" s="196" t="s">
        <v>47</v>
      </c>
      <c r="O217" s="197">
        <v>1</v>
      </c>
      <c r="P217" s="197" t="s">
        <v>475</v>
      </c>
      <c r="Q217" s="523">
        <f>R217*(1-Bolts!$E$1179)</f>
        <v>174.7</v>
      </c>
      <c r="R217" s="150">
        <v>174.7</v>
      </c>
      <c r="S217" s="198">
        <f t="shared" si="70"/>
        <v>0</v>
      </c>
      <c r="T217" s="199"/>
      <c r="U217" s="199"/>
      <c r="V217" s="200"/>
      <c r="W217" s="199"/>
      <c r="X217" s="199"/>
      <c r="Y217" s="199"/>
      <c r="Z217" s="199"/>
      <c r="AA217" s="199"/>
      <c r="AB217" s="199"/>
      <c r="AC217" s="198">
        <f t="shared" si="71"/>
        <v>0</v>
      </c>
      <c r="AD217" s="177">
        <f t="shared" si="72"/>
        <v>0</v>
      </c>
      <c r="AE217" s="201">
        <v>8.0500000000000007</v>
      </c>
      <c r="AF217" s="202">
        <f t="shared" si="73"/>
        <v>0</v>
      </c>
      <c r="AH217" s="180"/>
      <c r="AK217" s="1"/>
      <c r="AL217" s="1"/>
      <c r="AM217" s="1"/>
      <c r="AN217" s="1"/>
    </row>
    <row r="218" spans="1:40" ht="12.75" customHeight="1">
      <c r="A218" s="181" t="s">
        <v>445</v>
      </c>
      <c r="B218" s="214" t="s">
        <v>476</v>
      </c>
      <c r="C218" s="196" t="s">
        <v>53</v>
      </c>
      <c r="D218" s="196" t="s">
        <v>60</v>
      </c>
      <c r="E218" s="197">
        <v>1</v>
      </c>
      <c r="F218" s="196"/>
      <c r="G218" s="196"/>
      <c r="H218" s="196" t="s">
        <v>121</v>
      </c>
      <c r="I218" s="196" t="s">
        <v>28</v>
      </c>
      <c r="J218" s="197">
        <v>1</v>
      </c>
      <c r="K218" s="196"/>
      <c r="L218" s="196"/>
      <c r="M218" s="196" t="s">
        <v>28</v>
      </c>
      <c r="N218" s="196" t="s">
        <v>47</v>
      </c>
      <c r="O218" s="197">
        <v>1</v>
      </c>
      <c r="P218" s="197" t="s">
        <v>477</v>
      </c>
      <c r="Q218" s="523">
        <f>R218*(1-Bolts!$E$1179)</f>
        <v>144.80000000000001</v>
      </c>
      <c r="R218" s="150">
        <v>144.80000000000001</v>
      </c>
      <c r="S218" s="198">
        <f t="shared" si="70"/>
        <v>0</v>
      </c>
      <c r="T218" s="199"/>
      <c r="U218" s="199"/>
      <c r="V218" s="200"/>
      <c r="W218" s="199"/>
      <c r="X218" s="199"/>
      <c r="Y218" s="199"/>
      <c r="Z218" s="199"/>
      <c r="AA218" s="199"/>
      <c r="AB218" s="199"/>
      <c r="AC218" s="198">
        <f t="shared" si="71"/>
        <v>0</v>
      </c>
      <c r="AD218" s="177">
        <f t="shared" si="72"/>
        <v>0</v>
      </c>
      <c r="AE218" s="201">
        <v>6.35</v>
      </c>
      <c r="AF218" s="202">
        <f t="shared" si="73"/>
        <v>0</v>
      </c>
      <c r="AH218" s="180"/>
      <c r="AK218" s="1"/>
      <c r="AL218" s="1"/>
      <c r="AM218" s="1"/>
      <c r="AN218" s="1"/>
    </row>
    <row r="219" spans="1:40" ht="12.75" customHeight="1">
      <c r="A219" s="87"/>
      <c r="B219" s="185"/>
      <c r="C219" s="165"/>
      <c r="D219" s="165"/>
      <c r="E219" s="166"/>
      <c r="F219" s="165"/>
      <c r="G219" s="165"/>
      <c r="H219" s="165"/>
      <c r="I219" s="165"/>
      <c r="J219" s="166"/>
      <c r="K219" s="165"/>
      <c r="L219" s="165"/>
      <c r="M219" s="165"/>
      <c r="N219" s="165"/>
      <c r="O219" s="166"/>
      <c r="P219" s="166"/>
      <c r="Q219" s="522"/>
      <c r="R219" s="150"/>
      <c r="S219" s="186"/>
      <c r="T219" s="187"/>
      <c r="U219" s="187"/>
      <c r="V219" s="188"/>
      <c r="W219" s="187"/>
      <c r="X219" s="187"/>
      <c r="Y219" s="187"/>
      <c r="Z219" s="187"/>
      <c r="AA219" s="187"/>
      <c r="AB219" s="188"/>
      <c r="AC219" s="186"/>
      <c r="AD219" s="189"/>
      <c r="AE219" s="190"/>
      <c r="AF219" s="191"/>
      <c r="AH219" s="180"/>
      <c r="AK219" s="1"/>
      <c r="AL219" s="1"/>
      <c r="AM219" s="1"/>
      <c r="AN219" s="1"/>
    </row>
    <row r="220" spans="1:40" ht="12.75" customHeight="1">
      <c r="A220" s="87"/>
      <c r="B220" s="192" t="s">
        <v>478</v>
      </c>
      <c r="C220" s="193" t="s">
        <v>53</v>
      </c>
      <c r="D220" s="193" t="s">
        <v>61</v>
      </c>
      <c r="E220" s="194">
        <v>4</v>
      </c>
      <c r="F220" s="193"/>
      <c r="G220" s="193"/>
      <c r="H220" s="193" t="s">
        <v>121</v>
      </c>
      <c r="I220" s="193" t="s">
        <v>31</v>
      </c>
      <c r="J220" s="194">
        <v>4</v>
      </c>
      <c r="K220" s="193"/>
      <c r="L220" s="193"/>
      <c r="M220" s="193" t="s">
        <v>31</v>
      </c>
      <c r="N220" s="193" t="s">
        <v>47</v>
      </c>
      <c r="O220" s="194">
        <v>4</v>
      </c>
      <c r="P220" s="194" t="s">
        <v>479</v>
      </c>
      <c r="Q220" s="521">
        <f>R220*(1-Bolts!$E$1179)</f>
        <v>344.7</v>
      </c>
      <c r="R220" s="150">
        <v>344.7</v>
      </c>
      <c r="S220" s="168">
        <f t="shared" ref="S220:S226" si="74">SUM(T220:AB220)</f>
        <v>0</v>
      </c>
      <c r="T220" s="211"/>
      <c r="U220" s="169"/>
      <c r="V220" s="170"/>
      <c r="W220" s="171"/>
      <c r="X220" s="172"/>
      <c r="Y220" s="173"/>
      <c r="Z220" s="174"/>
      <c r="AA220" s="175"/>
      <c r="AB220" s="176"/>
      <c r="AC220" s="168">
        <f t="shared" ref="AC220:AC226" si="75">S220*O220</f>
        <v>0</v>
      </c>
      <c r="AD220" s="177">
        <f t="shared" ref="AD220:AD226" si="76">S220*R220</f>
        <v>0</v>
      </c>
      <c r="AE220" s="178">
        <v>15.65</v>
      </c>
      <c r="AF220" s="179">
        <f t="shared" ref="AF220:AF226" si="77">AE220*S220</f>
        <v>0</v>
      </c>
      <c r="AH220" s="180"/>
      <c r="AK220" s="1"/>
      <c r="AL220" s="1"/>
      <c r="AM220" s="1"/>
      <c r="AN220" s="1"/>
    </row>
    <row r="221" spans="1:40" ht="12.75" customHeight="1">
      <c r="A221" s="87"/>
      <c r="B221" s="192" t="s">
        <v>480</v>
      </c>
      <c r="C221" s="193" t="s">
        <v>53</v>
      </c>
      <c r="D221" s="193" t="s">
        <v>61</v>
      </c>
      <c r="E221" s="194">
        <v>11</v>
      </c>
      <c r="F221" s="193"/>
      <c r="G221" s="193"/>
      <c r="H221" s="193" t="s">
        <v>121</v>
      </c>
      <c r="I221" s="193" t="s">
        <v>31</v>
      </c>
      <c r="J221" s="194">
        <v>4</v>
      </c>
      <c r="K221" s="193" t="s">
        <v>38</v>
      </c>
      <c r="L221" s="193">
        <v>7</v>
      </c>
      <c r="M221" s="193" t="s">
        <v>31</v>
      </c>
      <c r="N221" s="193" t="s">
        <v>48</v>
      </c>
      <c r="O221" s="194">
        <v>11</v>
      </c>
      <c r="P221" s="194" t="s">
        <v>481</v>
      </c>
      <c r="Q221" s="521">
        <f>R221*(1-Bolts!$E$1179)</f>
        <v>706.8</v>
      </c>
      <c r="R221" s="150">
        <v>706.8</v>
      </c>
      <c r="S221" s="168">
        <f t="shared" si="74"/>
        <v>0</v>
      </c>
      <c r="T221" s="211"/>
      <c r="U221" s="169"/>
      <c r="V221" s="170"/>
      <c r="W221" s="171"/>
      <c r="X221" s="172"/>
      <c r="Y221" s="173"/>
      <c r="Z221" s="174"/>
      <c r="AA221" s="175"/>
      <c r="AB221" s="176"/>
      <c r="AC221" s="168">
        <f t="shared" si="75"/>
        <v>0</v>
      </c>
      <c r="AD221" s="177">
        <f t="shared" si="76"/>
        <v>0</v>
      </c>
      <c r="AE221" s="178">
        <v>34.25</v>
      </c>
      <c r="AF221" s="179">
        <f t="shared" si="77"/>
        <v>0</v>
      </c>
      <c r="AH221" s="180"/>
      <c r="AK221" s="1"/>
      <c r="AL221" s="1"/>
      <c r="AM221" s="1"/>
      <c r="AN221" s="1"/>
    </row>
    <row r="222" spans="1:40" ht="12.75" customHeight="1">
      <c r="A222" s="181"/>
      <c r="B222" s="192" t="s">
        <v>482</v>
      </c>
      <c r="C222" s="193" t="s">
        <v>53</v>
      </c>
      <c r="D222" s="193" t="s">
        <v>61</v>
      </c>
      <c r="E222" s="194">
        <v>2</v>
      </c>
      <c r="F222" s="193"/>
      <c r="G222" s="193"/>
      <c r="H222" s="193" t="s">
        <v>121</v>
      </c>
      <c r="I222" s="193" t="s">
        <v>37</v>
      </c>
      <c r="J222" s="194">
        <v>2</v>
      </c>
      <c r="K222" s="193"/>
      <c r="L222" s="193"/>
      <c r="M222" s="193" t="s">
        <v>37</v>
      </c>
      <c r="N222" s="193" t="s">
        <v>49</v>
      </c>
      <c r="O222" s="194">
        <v>2</v>
      </c>
      <c r="P222" s="194" t="s">
        <v>483</v>
      </c>
      <c r="Q222" s="521">
        <f>R222*(1-Bolts!$E$1179)</f>
        <v>168.5</v>
      </c>
      <c r="R222" s="150">
        <v>168.5</v>
      </c>
      <c r="S222" s="168">
        <f t="shared" si="74"/>
        <v>0</v>
      </c>
      <c r="T222" s="211"/>
      <c r="U222" s="169"/>
      <c r="V222" s="170"/>
      <c r="W222" s="171"/>
      <c r="X222" s="172"/>
      <c r="Y222" s="173"/>
      <c r="Z222" s="174"/>
      <c r="AA222" s="175"/>
      <c r="AB222" s="176"/>
      <c r="AC222" s="168">
        <f t="shared" si="75"/>
        <v>0</v>
      </c>
      <c r="AD222" s="177">
        <f t="shared" si="76"/>
        <v>0</v>
      </c>
      <c r="AE222" s="178">
        <v>7.55</v>
      </c>
      <c r="AF222" s="179">
        <f t="shared" si="77"/>
        <v>0</v>
      </c>
      <c r="AH222" s="180"/>
      <c r="AK222" s="1"/>
      <c r="AL222" s="1"/>
      <c r="AM222" s="1"/>
      <c r="AN222" s="1"/>
    </row>
    <row r="223" spans="1:40" ht="12.75" customHeight="1">
      <c r="A223" s="181"/>
      <c r="B223" s="192" t="s">
        <v>484</v>
      </c>
      <c r="C223" s="193" t="s">
        <v>53</v>
      </c>
      <c r="D223" s="193" t="s">
        <v>61</v>
      </c>
      <c r="E223" s="194">
        <v>2</v>
      </c>
      <c r="F223" s="193"/>
      <c r="G223" s="193"/>
      <c r="H223" s="193" t="s">
        <v>121</v>
      </c>
      <c r="I223" s="193" t="s">
        <v>35</v>
      </c>
      <c r="J223" s="194">
        <v>2</v>
      </c>
      <c r="K223" s="193"/>
      <c r="L223" s="193"/>
      <c r="M223" s="193" t="s">
        <v>35</v>
      </c>
      <c r="N223" s="193" t="s">
        <v>48</v>
      </c>
      <c r="O223" s="194">
        <v>2</v>
      </c>
      <c r="P223" s="194" t="s">
        <v>485</v>
      </c>
      <c r="Q223" s="521">
        <f>R223*(1-Bolts!$E$1179)</f>
        <v>193.7</v>
      </c>
      <c r="R223" s="150">
        <v>193.7</v>
      </c>
      <c r="S223" s="168">
        <f t="shared" si="74"/>
        <v>0</v>
      </c>
      <c r="T223" s="211"/>
      <c r="U223" s="169"/>
      <c r="V223" s="170"/>
      <c r="W223" s="171"/>
      <c r="X223" s="172"/>
      <c r="Y223" s="173"/>
      <c r="Z223" s="174"/>
      <c r="AA223" s="175"/>
      <c r="AB223" s="176"/>
      <c r="AC223" s="168">
        <f t="shared" si="75"/>
        <v>0</v>
      </c>
      <c r="AD223" s="177">
        <f t="shared" si="76"/>
        <v>0</v>
      </c>
      <c r="AE223" s="178">
        <v>8.65</v>
      </c>
      <c r="AF223" s="179">
        <f t="shared" si="77"/>
        <v>0</v>
      </c>
      <c r="AH223" s="180"/>
      <c r="AK223" s="1"/>
      <c r="AL223" s="1"/>
      <c r="AM223" s="1"/>
      <c r="AN223" s="1"/>
    </row>
    <row r="224" spans="1:40" ht="12.75" customHeight="1">
      <c r="A224" s="181"/>
      <c r="B224" s="192" t="s">
        <v>486</v>
      </c>
      <c r="C224" s="193" t="s">
        <v>53</v>
      </c>
      <c r="D224" s="193" t="s">
        <v>61</v>
      </c>
      <c r="E224" s="194">
        <v>4</v>
      </c>
      <c r="F224" s="193"/>
      <c r="G224" s="193"/>
      <c r="H224" s="193" t="s">
        <v>121</v>
      </c>
      <c r="I224" s="193" t="s">
        <v>31</v>
      </c>
      <c r="J224" s="194">
        <v>4</v>
      </c>
      <c r="K224" s="193"/>
      <c r="L224" s="193"/>
      <c r="M224" s="193" t="s">
        <v>31</v>
      </c>
      <c r="N224" s="193" t="s">
        <v>47</v>
      </c>
      <c r="O224" s="194">
        <v>4</v>
      </c>
      <c r="P224" s="194" t="s">
        <v>487</v>
      </c>
      <c r="Q224" s="521">
        <f>R224*(1-Bolts!$E$1179)</f>
        <v>237.2</v>
      </c>
      <c r="R224" s="150">
        <v>237.2</v>
      </c>
      <c r="S224" s="168">
        <f t="shared" si="74"/>
        <v>0</v>
      </c>
      <c r="T224" s="211"/>
      <c r="U224" s="169"/>
      <c r="V224" s="170"/>
      <c r="W224" s="171"/>
      <c r="X224" s="172"/>
      <c r="Y224" s="173"/>
      <c r="Z224" s="174"/>
      <c r="AA224" s="175"/>
      <c r="AB224" s="176"/>
      <c r="AC224" s="168">
        <f t="shared" si="75"/>
        <v>0</v>
      </c>
      <c r="AD224" s="177">
        <f t="shared" si="76"/>
        <v>0</v>
      </c>
      <c r="AE224" s="178">
        <v>10.8</v>
      </c>
      <c r="AF224" s="179">
        <f t="shared" si="77"/>
        <v>0</v>
      </c>
      <c r="AH224" s="180"/>
      <c r="AK224" s="1"/>
      <c r="AL224" s="1"/>
      <c r="AM224" s="1"/>
      <c r="AN224" s="1"/>
    </row>
    <row r="225" spans="1:40" ht="12.75" customHeight="1">
      <c r="A225" s="181"/>
      <c r="B225" s="192" t="s">
        <v>488</v>
      </c>
      <c r="C225" s="193" t="s">
        <v>53</v>
      </c>
      <c r="D225" s="193" t="s">
        <v>61</v>
      </c>
      <c r="E225" s="194">
        <v>4</v>
      </c>
      <c r="F225" s="193"/>
      <c r="G225" s="193"/>
      <c r="H225" s="193" t="s">
        <v>121</v>
      </c>
      <c r="I225" s="193" t="s">
        <v>33</v>
      </c>
      <c r="J225" s="194">
        <v>4</v>
      </c>
      <c r="K225" s="193"/>
      <c r="L225" s="193"/>
      <c r="M225" s="193" t="s">
        <v>33</v>
      </c>
      <c r="N225" s="193" t="s">
        <v>48</v>
      </c>
      <c r="O225" s="194">
        <v>4</v>
      </c>
      <c r="P225" s="194" t="s">
        <v>489</v>
      </c>
      <c r="Q225" s="521">
        <f>R225*(1-Bolts!$E$1179)</f>
        <v>257.2</v>
      </c>
      <c r="R225" s="150">
        <v>257.2</v>
      </c>
      <c r="S225" s="168">
        <f t="shared" si="74"/>
        <v>0</v>
      </c>
      <c r="T225" s="211"/>
      <c r="U225" s="169"/>
      <c r="V225" s="170"/>
      <c r="W225" s="171"/>
      <c r="X225" s="172"/>
      <c r="Y225" s="173"/>
      <c r="Z225" s="174"/>
      <c r="AA225" s="175"/>
      <c r="AB225" s="176"/>
      <c r="AC225" s="168">
        <f t="shared" si="75"/>
        <v>0</v>
      </c>
      <c r="AD225" s="177">
        <f t="shared" si="76"/>
        <v>0</v>
      </c>
      <c r="AE225" s="178">
        <v>11.95</v>
      </c>
      <c r="AF225" s="179">
        <f t="shared" si="77"/>
        <v>0</v>
      </c>
      <c r="AH225" s="180"/>
      <c r="AK225" s="1"/>
      <c r="AL225" s="1"/>
      <c r="AM225" s="1"/>
      <c r="AN225" s="1"/>
    </row>
    <row r="226" spans="1:40" ht="12.75" customHeight="1">
      <c r="A226" s="181"/>
      <c r="B226" s="192" t="s">
        <v>490</v>
      </c>
      <c r="C226" s="193" t="s">
        <v>53</v>
      </c>
      <c r="D226" s="193" t="s">
        <v>61</v>
      </c>
      <c r="E226" s="194">
        <v>2</v>
      </c>
      <c r="F226" s="193"/>
      <c r="G226" s="193"/>
      <c r="H226" s="193" t="s">
        <v>121</v>
      </c>
      <c r="I226" s="193" t="s">
        <v>29</v>
      </c>
      <c r="J226" s="194">
        <v>2</v>
      </c>
      <c r="K226" s="193"/>
      <c r="L226" s="193"/>
      <c r="M226" s="193" t="s">
        <v>29</v>
      </c>
      <c r="N226" s="193" t="s">
        <v>47</v>
      </c>
      <c r="O226" s="194">
        <v>2</v>
      </c>
      <c r="P226" s="194" t="s">
        <v>491</v>
      </c>
      <c r="Q226" s="521">
        <f>R226*(1-Bolts!$E$1179)</f>
        <v>294.89999999999998</v>
      </c>
      <c r="R226" s="150">
        <v>294.89999999999998</v>
      </c>
      <c r="S226" s="168">
        <f t="shared" si="74"/>
        <v>0</v>
      </c>
      <c r="T226" s="211"/>
      <c r="U226" s="169"/>
      <c r="V226" s="170"/>
      <c r="W226" s="171"/>
      <c r="X226" s="172"/>
      <c r="Y226" s="173"/>
      <c r="Z226" s="174"/>
      <c r="AA226" s="175"/>
      <c r="AB226" s="176"/>
      <c r="AC226" s="168">
        <f t="shared" si="75"/>
        <v>0</v>
      </c>
      <c r="AD226" s="177">
        <f t="shared" si="76"/>
        <v>0</v>
      </c>
      <c r="AE226" s="178">
        <v>13.45</v>
      </c>
      <c r="AF226" s="179">
        <f t="shared" si="77"/>
        <v>0</v>
      </c>
      <c r="AH226" s="180"/>
      <c r="AK226" s="1"/>
      <c r="AL226" s="1"/>
      <c r="AM226" s="1"/>
      <c r="AN226" s="1"/>
    </row>
    <row r="227" spans="1:40" ht="12.75" customHeight="1">
      <c r="A227" s="87"/>
      <c r="B227" s="185"/>
      <c r="C227" s="165"/>
      <c r="D227" s="165"/>
      <c r="E227" s="166"/>
      <c r="F227" s="165"/>
      <c r="G227" s="165"/>
      <c r="H227" s="165"/>
      <c r="I227" s="165"/>
      <c r="J227" s="166"/>
      <c r="K227" s="165"/>
      <c r="L227" s="165"/>
      <c r="M227" s="165"/>
      <c r="N227" s="165"/>
      <c r="O227" s="166"/>
      <c r="P227" s="166"/>
      <c r="Q227" s="522"/>
      <c r="R227" s="150"/>
      <c r="S227" s="186"/>
      <c r="T227" s="187"/>
      <c r="U227" s="187"/>
      <c r="V227" s="188"/>
      <c r="W227" s="187"/>
      <c r="X227" s="187"/>
      <c r="Y227" s="187"/>
      <c r="Z227" s="187"/>
      <c r="AA227" s="187"/>
      <c r="AB227" s="188"/>
      <c r="AC227" s="186"/>
      <c r="AD227" s="189"/>
      <c r="AE227" s="190"/>
      <c r="AF227" s="191"/>
      <c r="AH227" s="180"/>
      <c r="AK227" s="1"/>
      <c r="AL227" s="1"/>
      <c r="AM227" s="1"/>
      <c r="AN227" s="1"/>
    </row>
    <row r="228" spans="1:40" ht="12.75" customHeight="1">
      <c r="A228" s="181"/>
      <c r="B228" s="192" t="s">
        <v>492</v>
      </c>
      <c r="C228" s="193" t="s">
        <v>53</v>
      </c>
      <c r="D228" s="193" t="s">
        <v>62</v>
      </c>
      <c r="E228" s="194">
        <v>6</v>
      </c>
      <c r="F228" s="193"/>
      <c r="G228" s="193"/>
      <c r="H228" s="193" t="s">
        <v>121</v>
      </c>
      <c r="I228" s="193" t="s">
        <v>31</v>
      </c>
      <c r="J228" s="194">
        <v>6</v>
      </c>
      <c r="K228" s="193"/>
      <c r="L228" s="193"/>
      <c r="M228" s="193" t="s">
        <v>31</v>
      </c>
      <c r="N228" s="193" t="s">
        <v>47</v>
      </c>
      <c r="O228" s="194">
        <v>6</v>
      </c>
      <c r="P228" s="194" t="s">
        <v>493</v>
      </c>
      <c r="Q228" s="521">
        <f>R228*(1-Bolts!$E$1179)</f>
        <v>397.4</v>
      </c>
      <c r="R228" s="150">
        <v>397.4</v>
      </c>
      <c r="S228" s="168">
        <f t="shared" ref="S228:S233" si="78">SUM(T228:AB228)</f>
        <v>0</v>
      </c>
      <c r="T228" s="211"/>
      <c r="U228" s="169"/>
      <c r="V228" s="170"/>
      <c r="W228" s="171"/>
      <c r="X228" s="172"/>
      <c r="Y228" s="173"/>
      <c r="Z228" s="174"/>
      <c r="AA228" s="175"/>
      <c r="AB228" s="176"/>
      <c r="AC228" s="168">
        <f t="shared" ref="AC228:AC233" si="79">S228*O228</f>
        <v>0</v>
      </c>
      <c r="AD228" s="177">
        <f t="shared" ref="AD228:AD233" si="80">S228*R228</f>
        <v>0</v>
      </c>
      <c r="AE228" s="178">
        <v>19.100000000000001</v>
      </c>
      <c r="AF228" s="179">
        <f t="shared" ref="AF228:AF233" si="81">AE228*S228</f>
        <v>0</v>
      </c>
      <c r="AH228" s="180"/>
      <c r="AK228" s="1"/>
      <c r="AL228" s="1"/>
      <c r="AM228" s="1"/>
      <c r="AN228" s="1"/>
    </row>
    <row r="229" spans="1:40" ht="12.75" customHeight="1">
      <c r="A229" s="181"/>
      <c r="B229" s="192" t="s">
        <v>494</v>
      </c>
      <c r="C229" s="193" t="s">
        <v>53</v>
      </c>
      <c r="D229" s="193" t="s">
        <v>62</v>
      </c>
      <c r="E229" s="194">
        <v>6</v>
      </c>
      <c r="F229" s="193"/>
      <c r="G229" s="193"/>
      <c r="H229" s="193" t="s">
        <v>121</v>
      </c>
      <c r="I229" s="193" t="s">
        <v>37</v>
      </c>
      <c r="J229" s="194">
        <v>6</v>
      </c>
      <c r="K229" s="193"/>
      <c r="L229" s="193"/>
      <c r="M229" s="193" t="s">
        <v>37</v>
      </c>
      <c r="N229" s="193" t="s">
        <v>49</v>
      </c>
      <c r="O229" s="194">
        <v>6</v>
      </c>
      <c r="P229" s="194" t="s">
        <v>495</v>
      </c>
      <c r="Q229" s="521">
        <f>R229*(1-Bolts!$E$1179)</f>
        <v>314.8</v>
      </c>
      <c r="R229" s="150">
        <v>314.8</v>
      </c>
      <c r="S229" s="168">
        <f t="shared" si="78"/>
        <v>0</v>
      </c>
      <c r="T229" s="211"/>
      <c r="U229" s="169"/>
      <c r="V229" s="170"/>
      <c r="W229" s="171"/>
      <c r="X229" s="172"/>
      <c r="Y229" s="173"/>
      <c r="Z229" s="174"/>
      <c r="AA229" s="175"/>
      <c r="AB229" s="176"/>
      <c r="AC229" s="168">
        <f t="shared" si="79"/>
        <v>0</v>
      </c>
      <c r="AD229" s="177">
        <f t="shared" si="80"/>
        <v>0</v>
      </c>
      <c r="AE229" s="178">
        <v>14.25</v>
      </c>
      <c r="AF229" s="179">
        <f t="shared" si="81"/>
        <v>0</v>
      </c>
      <c r="AH229" s="180"/>
      <c r="AK229" s="1"/>
      <c r="AL229" s="1"/>
      <c r="AM229" s="1"/>
      <c r="AN229" s="1"/>
    </row>
    <row r="230" spans="1:40" ht="12.75" customHeight="1">
      <c r="A230" s="181"/>
      <c r="B230" s="192" t="s">
        <v>496</v>
      </c>
      <c r="C230" s="193" t="s">
        <v>53</v>
      </c>
      <c r="D230" s="193" t="s">
        <v>62</v>
      </c>
      <c r="E230" s="194">
        <v>4</v>
      </c>
      <c r="F230" s="193"/>
      <c r="G230" s="193"/>
      <c r="H230" s="193" t="s">
        <v>121</v>
      </c>
      <c r="I230" s="193" t="s">
        <v>31</v>
      </c>
      <c r="J230" s="194">
        <v>4</v>
      </c>
      <c r="K230" s="193"/>
      <c r="L230" s="193"/>
      <c r="M230" s="193" t="s">
        <v>31</v>
      </c>
      <c r="N230" s="193" t="s">
        <v>47</v>
      </c>
      <c r="O230" s="194">
        <v>4</v>
      </c>
      <c r="P230" s="194" t="s">
        <v>497</v>
      </c>
      <c r="Q230" s="521">
        <f>R230*(1-Bolts!$E$1179)</f>
        <v>230.3</v>
      </c>
      <c r="R230" s="150">
        <v>230.3</v>
      </c>
      <c r="S230" s="168">
        <f t="shared" si="78"/>
        <v>0</v>
      </c>
      <c r="T230" s="211"/>
      <c r="U230" s="169"/>
      <c r="V230" s="170"/>
      <c r="W230" s="171"/>
      <c r="X230" s="172"/>
      <c r="Y230" s="173"/>
      <c r="Z230" s="174"/>
      <c r="AA230" s="175"/>
      <c r="AB230" s="176"/>
      <c r="AC230" s="168">
        <f t="shared" si="79"/>
        <v>0</v>
      </c>
      <c r="AD230" s="177">
        <f t="shared" si="80"/>
        <v>0</v>
      </c>
      <c r="AE230" s="178">
        <v>9.7799999999999994</v>
      </c>
      <c r="AF230" s="179">
        <f t="shared" si="81"/>
        <v>0</v>
      </c>
      <c r="AH230" s="180"/>
      <c r="AK230" s="1"/>
      <c r="AL230" s="1"/>
      <c r="AM230" s="1"/>
      <c r="AN230" s="1"/>
    </row>
    <row r="231" spans="1:40" ht="12.75" customHeight="1">
      <c r="A231" s="181"/>
      <c r="B231" s="192" t="s">
        <v>498</v>
      </c>
      <c r="C231" s="193" t="s">
        <v>53</v>
      </c>
      <c r="D231" s="193" t="s">
        <v>62</v>
      </c>
      <c r="E231" s="194">
        <v>5</v>
      </c>
      <c r="F231" s="193"/>
      <c r="G231" s="193"/>
      <c r="H231" s="193" t="s">
        <v>121</v>
      </c>
      <c r="I231" s="193" t="s">
        <v>31</v>
      </c>
      <c r="J231" s="194">
        <v>5</v>
      </c>
      <c r="K231" s="193"/>
      <c r="L231" s="193"/>
      <c r="M231" s="193" t="s">
        <v>31</v>
      </c>
      <c r="N231" s="193" t="s">
        <v>47</v>
      </c>
      <c r="O231" s="194">
        <v>5</v>
      </c>
      <c r="P231" s="194" t="s">
        <v>499</v>
      </c>
      <c r="Q231" s="521">
        <f>R231*(1-Bolts!$E$1179)</f>
        <v>243.7</v>
      </c>
      <c r="R231" s="150">
        <v>243.7</v>
      </c>
      <c r="S231" s="168">
        <f t="shared" si="78"/>
        <v>0</v>
      </c>
      <c r="T231" s="211"/>
      <c r="U231" s="169"/>
      <c r="V231" s="170"/>
      <c r="W231" s="171"/>
      <c r="X231" s="172"/>
      <c r="Y231" s="173"/>
      <c r="Z231" s="174"/>
      <c r="AA231" s="175"/>
      <c r="AB231" s="176"/>
      <c r="AC231" s="168">
        <f t="shared" si="79"/>
        <v>0</v>
      </c>
      <c r="AD231" s="177">
        <f t="shared" si="80"/>
        <v>0</v>
      </c>
      <c r="AE231" s="178">
        <v>10.85</v>
      </c>
      <c r="AF231" s="179">
        <f t="shared" si="81"/>
        <v>0</v>
      </c>
      <c r="AH231" s="180"/>
      <c r="AK231" s="1"/>
      <c r="AL231" s="1"/>
      <c r="AM231" s="1"/>
      <c r="AN231" s="1"/>
    </row>
    <row r="232" spans="1:40" ht="12.75" customHeight="1">
      <c r="A232" s="181"/>
      <c r="B232" s="192" t="s">
        <v>500</v>
      </c>
      <c r="C232" s="193" t="s">
        <v>53</v>
      </c>
      <c r="D232" s="193" t="s">
        <v>62</v>
      </c>
      <c r="E232" s="194">
        <v>3</v>
      </c>
      <c r="F232" s="193"/>
      <c r="G232" s="193"/>
      <c r="H232" s="193" t="s">
        <v>121</v>
      </c>
      <c r="I232" s="193" t="s">
        <v>37</v>
      </c>
      <c r="J232" s="194">
        <v>3</v>
      </c>
      <c r="K232" s="193"/>
      <c r="L232" s="193"/>
      <c r="M232" s="193" t="s">
        <v>37</v>
      </c>
      <c r="N232" s="193" t="s">
        <v>49</v>
      </c>
      <c r="O232" s="194">
        <v>3</v>
      </c>
      <c r="P232" s="194" t="s">
        <v>501</v>
      </c>
      <c r="Q232" s="521">
        <f>R232*(1-Bolts!$E$1179)</f>
        <v>134.19999999999999</v>
      </c>
      <c r="R232" s="150">
        <v>134.19999999999999</v>
      </c>
      <c r="S232" s="168">
        <f t="shared" si="78"/>
        <v>0</v>
      </c>
      <c r="T232" s="211"/>
      <c r="U232" s="169"/>
      <c r="V232" s="170"/>
      <c r="W232" s="171"/>
      <c r="X232" s="172"/>
      <c r="Y232" s="173"/>
      <c r="Z232" s="174"/>
      <c r="AA232" s="175"/>
      <c r="AB232" s="176"/>
      <c r="AC232" s="168">
        <f t="shared" si="79"/>
        <v>0</v>
      </c>
      <c r="AD232" s="177">
        <f t="shared" si="80"/>
        <v>0</v>
      </c>
      <c r="AE232" s="178">
        <v>5.3</v>
      </c>
      <c r="AF232" s="179">
        <f t="shared" si="81"/>
        <v>0</v>
      </c>
      <c r="AH232" s="180"/>
      <c r="AK232" s="1"/>
      <c r="AL232" s="1"/>
      <c r="AM232" s="1"/>
      <c r="AN232" s="1"/>
    </row>
    <row r="233" spans="1:40" ht="12.75" customHeight="1">
      <c r="A233" s="181"/>
      <c r="B233" s="192" t="s">
        <v>502</v>
      </c>
      <c r="C233" s="193" t="s">
        <v>53</v>
      </c>
      <c r="D233" s="193" t="s">
        <v>62</v>
      </c>
      <c r="E233" s="194">
        <v>4</v>
      </c>
      <c r="F233" s="193"/>
      <c r="G233" s="193"/>
      <c r="H233" s="193" t="s">
        <v>121</v>
      </c>
      <c r="I233" s="193" t="s">
        <v>31</v>
      </c>
      <c r="J233" s="194">
        <v>4</v>
      </c>
      <c r="K233" s="193"/>
      <c r="L233" s="193"/>
      <c r="M233" s="193" t="s">
        <v>31</v>
      </c>
      <c r="N233" s="193" t="s">
        <v>47</v>
      </c>
      <c r="O233" s="194">
        <v>4</v>
      </c>
      <c r="P233" s="194" t="s">
        <v>503</v>
      </c>
      <c r="Q233" s="521">
        <f>R233*(1-Bolts!$E$1179)</f>
        <v>197.3</v>
      </c>
      <c r="R233" s="150">
        <v>197.3</v>
      </c>
      <c r="S233" s="168">
        <f t="shared" si="78"/>
        <v>0</v>
      </c>
      <c r="T233" s="211"/>
      <c r="U233" s="169"/>
      <c r="V233" s="170"/>
      <c r="W233" s="171"/>
      <c r="X233" s="172"/>
      <c r="Y233" s="173"/>
      <c r="Z233" s="174"/>
      <c r="AA233" s="175"/>
      <c r="AB233" s="176"/>
      <c r="AC233" s="168">
        <f t="shared" si="79"/>
        <v>0</v>
      </c>
      <c r="AD233" s="177">
        <f t="shared" si="80"/>
        <v>0</v>
      </c>
      <c r="AE233" s="178">
        <v>7.9</v>
      </c>
      <c r="AF233" s="179">
        <f t="shared" si="81"/>
        <v>0</v>
      </c>
      <c r="AH233" s="180"/>
      <c r="AK233" s="1"/>
      <c r="AL233" s="1"/>
      <c r="AM233" s="1"/>
      <c r="AN233" s="1"/>
    </row>
    <row r="234" spans="1:40" ht="12.75" customHeight="1">
      <c r="A234" s="87"/>
      <c r="B234" s="185"/>
      <c r="C234" s="165"/>
      <c r="D234" s="165"/>
      <c r="E234" s="166"/>
      <c r="F234" s="165"/>
      <c r="G234" s="165"/>
      <c r="H234" s="165"/>
      <c r="I234" s="165"/>
      <c r="J234" s="166"/>
      <c r="K234" s="165"/>
      <c r="L234" s="165"/>
      <c r="M234" s="165"/>
      <c r="N234" s="165"/>
      <c r="O234" s="166"/>
      <c r="P234" s="166"/>
      <c r="Q234" s="522"/>
      <c r="R234" s="150"/>
      <c r="S234" s="186"/>
      <c r="T234" s="187"/>
      <c r="U234" s="187"/>
      <c r="V234" s="188"/>
      <c r="W234" s="187"/>
      <c r="X234" s="187"/>
      <c r="Y234" s="187"/>
      <c r="Z234" s="187"/>
      <c r="AA234" s="187"/>
      <c r="AB234" s="188"/>
      <c r="AC234" s="186"/>
      <c r="AD234" s="189"/>
      <c r="AE234" s="190"/>
      <c r="AF234" s="191"/>
      <c r="AH234" s="180"/>
      <c r="AK234" s="1"/>
      <c r="AL234" s="1"/>
      <c r="AM234" s="1"/>
      <c r="AN234" s="1"/>
    </row>
    <row r="235" spans="1:40" ht="12.75" customHeight="1">
      <c r="A235" s="181"/>
      <c r="B235" s="192" t="s">
        <v>504</v>
      </c>
      <c r="C235" s="193" t="s">
        <v>53</v>
      </c>
      <c r="D235" s="193" t="s">
        <v>63</v>
      </c>
      <c r="E235" s="194">
        <v>5</v>
      </c>
      <c r="F235" s="193"/>
      <c r="G235" s="193"/>
      <c r="H235" s="193" t="s">
        <v>121</v>
      </c>
      <c r="I235" s="193" t="s">
        <v>37</v>
      </c>
      <c r="J235" s="194">
        <v>5</v>
      </c>
      <c r="K235" s="193"/>
      <c r="L235" s="193"/>
      <c r="M235" s="193" t="s">
        <v>37</v>
      </c>
      <c r="N235" s="193" t="s">
        <v>49</v>
      </c>
      <c r="O235" s="194">
        <v>5</v>
      </c>
      <c r="P235" s="194" t="s">
        <v>505</v>
      </c>
      <c r="Q235" s="521">
        <f>R235*(1-Bolts!$E$1179)</f>
        <v>156.5</v>
      </c>
      <c r="R235" s="150">
        <v>156.5</v>
      </c>
      <c r="S235" s="168">
        <f t="shared" ref="S235:S238" si="82">SUM(T235:AB235)</f>
        <v>0</v>
      </c>
      <c r="T235" s="211"/>
      <c r="U235" s="169"/>
      <c r="V235" s="170"/>
      <c r="W235" s="171"/>
      <c r="X235" s="172"/>
      <c r="Y235" s="173"/>
      <c r="Z235" s="174"/>
      <c r="AA235" s="175"/>
      <c r="AB235" s="176"/>
      <c r="AC235" s="168">
        <f t="shared" ref="AC235:AC238" si="83">S235*O235</f>
        <v>0</v>
      </c>
      <c r="AD235" s="177">
        <f t="shared" ref="AD235:AD238" si="84">S235*R235</f>
        <v>0</v>
      </c>
      <c r="AE235" s="178">
        <v>5.95</v>
      </c>
      <c r="AF235" s="179">
        <f t="shared" ref="AF235:AF238" si="85">AE235*S235</f>
        <v>0</v>
      </c>
      <c r="AH235" s="180"/>
      <c r="AK235" s="1"/>
      <c r="AL235" s="1"/>
      <c r="AM235" s="1"/>
      <c r="AN235" s="1"/>
    </row>
    <row r="236" spans="1:40" ht="12.75" customHeight="1">
      <c r="A236" s="181"/>
      <c r="B236" s="192" t="s">
        <v>506</v>
      </c>
      <c r="C236" s="193" t="s">
        <v>53</v>
      </c>
      <c r="D236" s="193" t="s">
        <v>63</v>
      </c>
      <c r="E236" s="194">
        <v>5</v>
      </c>
      <c r="F236" s="193"/>
      <c r="G236" s="193"/>
      <c r="H236" s="193" t="s">
        <v>121</v>
      </c>
      <c r="I236" s="193" t="s">
        <v>33</v>
      </c>
      <c r="J236" s="194">
        <v>5</v>
      </c>
      <c r="K236" s="193"/>
      <c r="L236" s="193"/>
      <c r="M236" s="193" t="s">
        <v>33</v>
      </c>
      <c r="N236" s="193" t="s">
        <v>49</v>
      </c>
      <c r="O236" s="194">
        <v>5</v>
      </c>
      <c r="P236" s="194" t="s">
        <v>507</v>
      </c>
      <c r="Q236" s="521">
        <f>R236*(1-Bolts!$E$1179)</f>
        <v>168</v>
      </c>
      <c r="R236" s="150">
        <v>168</v>
      </c>
      <c r="S236" s="168">
        <f t="shared" si="82"/>
        <v>0</v>
      </c>
      <c r="T236" s="211"/>
      <c r="U236" s="169"/>
      <c r="V236" s="170"/>
      <c r="W236" s="171"/>
      <c r="X236" s="172"/>
      <c r="Y236" s="173"/>
      <c r="Z236" s="174"/>
      <c r="AA236" s="175"/>
      <c r="AB236" s="176"/>
      <c r="AC236" s="168">
        <f t="shared" si="83"/>
        <v>0</v>
      </c>
      <c r="AD236" s="177">
        <f t="shared" si="84"/>
        <v>0</v>
      </c>
      <c r="AE236" s="178">
        <v>6.6</v>
      </c>
      <c r="AF236" s="179">
        <f t="shared" si="85"/>
        <v>0</v>
      </c>
      <c r="AH236" s="180"/>
      <c r="AK236" s="1"/>
      <c r="AL236" s="1"/>
      <c r="AM236" s="1"/>
      <c r="AN236" s="1"/>
    </row>
    <row r="237" spans="1:40" ht="12.75" customHeight="1">
      <c r="A237" s="181"/>
      <c r="B237" s="192" t="s">
        <v>508</v>
      </c>
      <c r="C237" s="193" t="s">
        <v>53</v>
      </c>
      <c r="D237" s="193" t="s">
        <v>63</v>
      </c>
      <c r="E237" s="194">
        <v>5</v>
      </c>
      <c r="F237" s="193"/>
      <c r="G237" s="193"/>
      <c r="H237" s="193" t="s">
        <v>121</v>
      </c>
      <c r="I237" s="193" t="s">
        <v>31</v>
      </c>
      <c r="J237" s="194">
        <v>5</v>
      </c>
      <c r="K237" s="193"/>
      <c r="L237" s="193"/>
      <c r="M237" s="193" t="s">
        <v>31</v>
      </c>
      <c r="N237" s="193" t="s">
        <v>47</v>
      </c>
      <c r="O237" s="194">
        <v>5</v>
      </c>
      <c r="P237" s="194" t="s">
        <v>509</v>
      </c>
      <c r="Q237" s="521">
        <f>R237*(1-Bolts!$E$1179)</f>
        <v>182.8</v>
      </c>
      <c r="R237" s="150">
        <v>182.8</v>
      </c>
      <c r="S237" s="168">
        <f t="shared" si="82"/>
        <v>0</v>
      </c>
      <c r="T237" s="211"/>
      <c r="U237" s="169"/>
      <c r="V237" s="170"/>
      <c r="W237" s="171"/>
      <c r="X237" s="172"/>
      <c r="Y237" s="173"/>
      <c r="Z237" s="174"/>
      <c r="AA237" s="175"/>
      <c r="AB237" s="176"/>
      <c r="AC237" s="168">
        <f t="shared" si="83"/>
        <v>0</v>
      </c>
      <c r="AD237" s="177">
        <f t="shared" si="84"/>
        <v>0</v>
      </c>
      <c r="AE237" s="178">
        <v>6.6</v>
      </c>
      <c r="AF237" s="179">
        <f t="shared" si="85"/>
        <v>0</v>
      </c>
      <c r="AH237" s="180"/>
      <c r="AK237" s="1"/>
      <c r="AL237" s="1"/>
      <c r="AM237" s="1"/>
      <c r="AN237" s="1"/>
    </row>
    <row r="238" spans="1:40" ht="12.75" customHeight="1">
      <c r="A238" s="181"/>
      <c r="B238" s="192" t="s">
        <v>510</v>
      </c>
      <c r="C238" s="193" t="s">
        <v>53</v>
      </c>
      <c r="D238" s="193" t="s">
        <v>63</v>
      </c>
      <c r="E238" s="194">
        <v>5</v>
      </c>
      <c r="F238" s="193"/>
      <c r="G238" s="193"/>
      <c r="H238" s="193" t="s">
        <v>121</v>
      </c>
      <c r="I238" s="193" t="s">
        <v>38</v>
      </c>
      <c r="J238" s="194">
        <v>5</v>
      </c>
      <c r="K238" s="193"/>
      <c r="L238" s="193"/>
      <c r="M238" s="193" t="s">
        <v>38</v>
      </c>
      <c r="N238" s="193" t="s">
        <v>49</v>
      </c>
      <c r="O238" s="194">
        <v>5</v>
      </c>
      <c r="P238" s="194" t="s">
        <v>511</v>
      </c>
      <c r="Q238" s="521">
        <f>R238*(1-Bolts!$E$1179)</f>
        <v>119.5</v>
      </c>
      <c r="R238" s="150">
        <v>119.5</v>
      </c>
      <c r="S238" s="168">
        <f t="shared" si="82"/>
        <v>0</v>
      </c>
      <c r="T238" s="211"/>
      <c r="U238" s="169"/>
      <c r="V238" s="170"/>
      <c r="W238" s="171"/>
      <c r="X238" s="172"/>
      <c r="Y238" s="173"/>
      <c r="Z238" s="174"/>
      <c r="AA238" s="175"/>
      <c r="AB238" s="176"/>
      <c r="AC238" s="168">
        <f t="shared" si="83"/>
        <v>0</v>
      </c>
      <c r="AD238" s="177">
        <f t="shared" si="84"/>
        <v>0</v>
      </c>
      <c r="AE238" s="178">
        <v>3.85</v>
      </c>
      <c r="AF238" s="179">
        <f t="shared" si="85"/>
        <v>0</v>
      </c>
      <c r="AH238" s="180"/>
      <c r="AK238" s="1"/>
      <c r="AL238" s="1"/>
      <c r="AM238" s="1"/>
      <c r="AN238" s="1"/>
    </row>
    <row r="239" spans="1:40" ht="12.75" customHeight="1">
      <c r="A239" s="87"/>
      <c r="B239" s="185"/>
      <c r="C239" s="165"/>
      <c r="D239" s="165"/>
      <c r="E239" s="166"/>
      <c r="F239" s="165"/>
      <c r="G239" s="165"/>
      <c r="H239" s="165"/>
      <c r="I239" s="165"/>
      <c r="J239" s="166"/>
      <c r="K239" s="165"/>
      <c r="L239" s="165"/>
      <c r="M239" s="165"/>
      <c r="N239" s="165"/>
      <c r="O239" s="166"/>
      <c r="P239" s="166"/>
      <c r="Q239" s="522"/>
      <c r="R239" s="150"/>
      <c r="S239" s="186"/>
      <c r="T239" s="187"/>
      <c r="U239" s="187"/>
      <c r="V239" s="188"/>
      <c r="W239" s="187"/>
      <c r="X239" s="187"/>
      <c r="Y239" s="187"/>
      <c r="Z239" s="187"/>
      <c r="AA239" s="187"/>
      <c r="AB239" s="188"/>
      <c r="AC239" s="186"/>
      <c r="AD239" s="189"/>
      <c r="AE239" s="190"/>
      <c r="AF239" s="191"/>
      <c r="AH239" s="180"/>
      <c r="AK239" s="1"/>
      <c r="AL239" s="1"/>
      <c r="AM239" s="1"/>
      <c r="AN239" s="1"/>
    </row>
    <row r="240" spans="1:40" ht="12.75" customHeight="1">
      <c r="A240" s="87"/>
      <c r="B240" s="192" t="s">
        <v>512</v>
      </c>
      <c r="C240" s="193" t="s">
        <v>53</v>
      </c>
      <c r="D240" s="193" t="s">
        <v>48</v>
      </c>
      <c r="E240" s="194">
        <v>10</v>
      </c>
      <c r="F240" s="193" t="s">
        <v>38</v>
      </c>
      <c r="G240" s="193">
        <v>20</v>
      </c>
      <c r="H240" s="193" t="s">
        <v>121</v>
      </c>
      <c r="I240" s="193" t="s">
        <v>33</v>
      </c>
      <c r="J240" s="194">
        <v>10</v>
      </c>
      <c r="K240" s="193" t="s">
        <v>38</v>
      </c>
      <c r="L240" s="193">
        <v>20</v>
      </c>
      <c r="M240" s="193" t="s">
        <v>33</v>
      </c>
      <c r="N240" s="193" t="s">
        <v>49</v>
      </c>
      <c r="O240" s="194">
        <v>30</v>
      </c>
      <c r="P240" s="194" t="s">
        <v>513</v>
      </c>
      <c r="Q240" s="521">
        <f>R240*(1-Bolts!$E$1179)</f>
        <v>420.8</v>
      </c>
      <c r="R240" s="150">
        <v>420.8</v>
      </c>
      <c r="S240" s="168">
        <f t="shared" ref="S240:S242" si="86">SUM(T240:AB240)</f>
        <v>0</v>
      </c>
      <c r="T240" s="211"/>
      <c r="U240" s="169"/>
      <c r="V240" s="170"/>
      <c r="W240" s="171"/>
      <c r="X240" s="172"/>
      <c r="Y240" s="173"/>
      <c r="Z240" s="174"/>
      <c r="AA240" s="175"/>
      <c r="AB240" s="176"/>
      <c r="AC240" s="168">
        <f t="shared" ref="AC240:AC242" si="87">S240*O240</f>
        <v>0</v>
      </c>
      <c r="AD240" s="177">
        <f t="shared" ref="AD240:AD242" si="88">S240*R240</f>
        <v>0</v>
      </c>
      <c r="AE240" s="178">
        <v>18.350000000000001</v>
      </c>
      <c r="AF240" s="179">
        <f t="shared" ref="AF240:AF242" si="89">AE240*S240</f>
        <v>0</v>
      </c>
      <c r="AH240" s="180"/>
      <c r="AK240" s="1"/>
      <c r="AL240" s="1"/>
      <c r="AM240" s="1"/>
      <c r="AN240" s="1"/>
    </row>
    <row r="241" spans="1:40" ht="12.75" customHeight="1">
      <c r="A241" s="87"/>
      <c r="B241" s="192" t="s">
        <v>514</v>
      </c>
      <c r="C241" s="193" t="s">
        <v>53</v>
      </c>
      <c r="D241" s="193" t="s">
        <v>48</v>
      </c>
      <c r="E241" s="194">
        <v>10</v>
      </c>
      <c r="F241" s="193" t="s">
        <v>38</v>
      </c>
      <c r="G241" s="193">
        <v>11</v>
      </c>
      <c r="H241" s="193" t="s">
        <v>121</v>
      </c>
      <c r="I241" s="193" t="s">
        <v>33</v>
      </c>
      <c r="J241" s="194">
        <v>10</v>
      </c>
      <c r="K241" s="193" t="s">
        <v>38</v>
      </c>
      <c r="L241" s="193">
        <v>11</v>
      </c>
      <c r="M241" s="193" t="s">
        <v>33</v>
      </c>
      <c r="N241" s="193" t="s">
        <v>49</v>
      </c>
      <c r="O241" s="194">
        <v>21</v>
      </c>
      <c r="P241" s="194" t="s">
        <v>515</v>
      </c>
      <c r="Q241" s="521">
        <f>R241*(1-Bolts!$E$1179)</f>
        <v>299.10000000000002</v>
      </c>
      <c r="R241" s="150">
        <v>299.10000000000002</v>
      </c>
      <c r="S241" s="168">
        <f t="shared" si="86"/>
        <v>0</v>
      </c>
      <c r="T241" s="211"/>
      <c r="U241" s="169"/>
      <c r="V241" s="170"/>
      <c r="W241" s="171"/>
      <c r="X241" s="172"/>
      <c r="Y241" s="173"/>
      <c r="Z241" s="174"/>
      <c r="AA241" s="175"/>
      <c r="AB241" s="176"/>
      <c r="AC241" s="168">
        <f t="shared" si="87"/>
        <v>0</v>
      </c>
      <c r="AD241" s="177">
        <f t="shared" si="88"/>
        <v>0</v>
      </c>
      <c r="AE241" s="178">
        <v>12.65</v>
      </c>
      <c r="AF241" s="179">
        <f t="shared" si="89"/>
        <v>0</v>
      </c>
      <c r="AH241" s="180"/>
      <c r="AK241" s="1"/>
      <c r="AL241" s="1"/>
      <c r="AM241" s="1"/>
      <c r="AN241" s="1"/>
    </row>
    <row r="242" spans="1:40" ht="12.75" customHeight="1">
      <c r="A242" s="181"/>
      <c r="B242" s="192" t="s">
        <v>516</v>
      </c>
      <c r="C242" s="193" t="s">
        <v>53</v>
      </c>
      <c r="D242" s="193" t="s">
        <v>38</v>
      </c>
      <c r="E242" s="194">
        <v>10</v>
      </c>
      <c r="F242" s="193"/>
      <c r="G242" s="193"/>
      <c r="H242" s="193" t="s">
        <v>121</v>
      </c>
      <c r="I242" s="193" t="s">
        <v>38</v>
      </c>
      <c r="J242" s="194">
        <v>10</v>
      </c>
      <c r="K242" s="193"/>
      <c r="L242" s="193"/>
      <c r="M242" s="193" t="s">
        <v>38</v>
      </c>
      <c r="N242" s="193" t="s">
        <v>48</v>
      </c>
      <c r="O242" s="194">
        <v>10</v>
      </c>
      <c r="P242" s="194" t="s">
        <v>517</v>
      </c>
      <c r="Q242" s="521">
        <f>R242*(1-Bolts!$E$1179)</f>
        <v>201.6</v>
      </c>
      <c r="R242" s="150">
        <v>201.6</v>
      </c>
      <c r="S242" s="168">
        <f t="shared" si="86"/>
        <v>0</v>
      </c>
      <c r="T242" s="211"/>
      <c r="U242" s="169"/>
      <c r="V242" s="170"/>
      <c r="W242" s="171"/>
      <c r="X242" s="172"/>
      <c r="Y242" s="173"/>
      <c r="Z242" s="174"/>
      <c r="AA242" s="175"/>
      <c r="AB242" s="176"/>
      <c r="AC242" s="168">
        <f t="shared" si="87"/>
        <v>0</v>
      </c>
      <c r="AD242" s="177">
        <f t="shared" si="88"/>
        <v>0</v>
      </c>
      <c r="AE242" s="178">
        <v>8.6999999999999993</v>
      </c>
      <c r="AF242" s="179">
        <f t="shared" si="89"/>
        <v>0</v>
      </c>
      <c r="AH242" s="180"/>
      <c r="AK242" s="1"/>
      <c r="AL242" s="1"/>
      <c r="AM242" s="1"/>
      <c r="AN242" s="1"/>
    </row>
    <row r="243" spans="1:40" ht="12.75" customHeight="1">
      <c r="A243" s="87"/>
      <c r="B243" s="185"/>
      <c r="C243" s="165"/>
      <c r="D243" s="165"/>
      <c r="E243" s="166"/>
      <c r="F243" s="165"/>
      <c r="G243" s="165"/>
      <c r="H243" s="165"/>
      <c r="I243" s="165"/>
      <c r="J243" s="166"/>
      <c r="K243" s="165"/>
      <c r="L243" s="165"/>
      <c r="M243" s="165"/>
      <c r="N243" s="165"/>
      <c r="O243" s="166"/>
      <c r="P243" s="166"/>
      <c r="Q243" s="522"/>
      <c r="R243" s="150"/>
      <c r="S243" s="186"/>
      <c r="T243" s="187"/>
      <c r="U243" s="187"/>
      <c r="V243" s="188"/>
      <c r="W243" s="187"/>
      <c r="X243" s="187"/>
      <c r="Y243" s="187"/>
      <c r="Z243" s="187"/>
      <c r="AA243" s="187"/>
      <c r="AB243" s="188"/>
      <c r="AC243" s="186"/>
      <c r="AD243" s="189"/>
      <c r="AE243" s="190"/>
      <c r="AF243" s="191"/>
      <c r="AH243" s="180"/>
      <c r="AK243" s="1"/>
      <c r="AL243" s="1"/>
      <c r="AM243" s="1"/>
      <c r="AN243" s="1"/>
    </row>
    <row r="244" spans="1:40" ht="12.75" customHeight="1">
      <c r="A244" s="181"/>
      <c r="B244" s="192" t="s">
        <v>518</v>
      </c>
      <c r="C244" s="193" t="s">
        <v>53</v>
      </c>
      <c r="D244" s="193" t="s">
        <v>64</v>
      </c>
      <c r="E244" s="194">
        <v>10</v>
      </c>
      <c r="F244" s="193"/>
      <c r="G244" s="193"/>
      <c r="H244" s="193" t="s">
        <v>121</v>
      </c>
      <c r="I244" s="193" t="s">
        <v>31</v>
      </c>
      <c r="J244" s="194">
        <v>10</v>
      </c>
      <c r="K244" s="193"/>
      <c r="L244" s="193"/>
      <c r="M244" s="193" t="s">
        <v>31</v>
      </c>
      <c r="N244" s="193" t="s">
        <v>48</v>
      </c>
      <c r="O244" s="194">
        <v>10</v>
      </c>
      <c r="P244" s="194" t="s">
        <v>519</v>
      </c>
      <c r="Q244" s="521">
        <f>R244*(1-Bolts!$E$1179)</f>
        <v>171.7</v>
      </c>
      <c r="R244" s="150">
        <v>171.7</v>
      </c>
      <c r="S244" s="168">
        <f>SUM(T244:AB244)</f>
        <v>0</v>
      </c>
      <c r="T244" s="211"/>
      <c r="U244" s="169"/>
      <c r="V244" s="170"/>
      <c r="W244" s="171"/>
      <c r="X244" s="172"/>
      <c r="Y244" s="173"/>
      <c r="Z244" s="174"/>
      <c r="AA244" s="175"/>
      <c r="AB244" s="176"/>
      <c r="AC244" s="168">
        <f>S244*O244</f>
        <v>0</v>
      </c>
      <c r="AD244" s="177">
        <f>S244*R244</f>
        <v>0</v>
      </c>
      <c r="AE244" s="178">
        <v>6.9</v>
      </c>
      <c r="AF244" s="179">
        <f>AE244*S244</f>
        <v>0</v>
      </c>
      <c r="AH244" s="180"/>
      <c r="AK244" s="1"/>
      <c r="AL244" s="1"/>
      <c r="AM244" s="1"/>
      <c r="AN244" s="1"/>
    </row>
    <row r="245" spans="1:40" ht="12.75" customHeight="1">
      <c r="A245" s="87"/>
      <c r="B245" s="185"/>
      <c r="C245" s="165"/>
      <c r="D245" s="165"/>
      <c r="E245" s="166"/>
      <c r="F245" s="165"/>
      <c r="G245" s="165"/>
      <c r="H245" s="165"/>
      <c r="I245" s="165"/>
      <c r="J245" s="166"/>
      <c r="K245" s="165"/>
      <c r="L245" s="165"/>
      <c r="M245" s="165"/>
      <c r="N245" s="165"/>
      <c r="O245" s="166"/>
      <c r="P245" s="166"/>
      <c r="Q245" s="522"/>
      <c r="R245" s="150"/>
      <c r="S245" s="186"/>
      <c r="T245" s="187"/>
      <c r="U245" s="187"/>
      <c r="V245" s="188"/>
      <c r="W245" s="187"/>
      <c r="X245" s="187"/>
      <c r="Y245" s="187"/>
      <c r="Z245" s="187"/>
      <c r="AA245" s="187"/>
      <c r="AB245" s="188"/>
      <c r="AC245" s="186"/>
      <c r="AD245" s="189"/>
      <c r="AE245" s="190"/>
      <c r="AF245" s="191"/>
      <c r="AH245" s="180"/>
      <c r="AK245" s="1"/>
      <c r="AL245" s="1"/>
      <c r="AM245" s="1"/>
      <c r="AN245" s="1"/>
    </row>
    <row r="246" spans="1:40" ht="12.75" customHeight="1">
      <c r="A246" s="87"/>
      <c r="B246" s="192" t="s">
        <v>520</v>
      </c>
      <c r="C246" s="193" t="s">
        <v>53</v>
      </c>
      <c r="D246" s="193" t="s">
        <v>60</v>
      </c>
      <c r="E246" s="194">
        <v>3</v>
      </c>
      <c r="F246" s="193"/>
      <c r="G246" s="193"/>
      <c r="H246" s="193" t="s">
        <v>121</v>
      </c>
      <c r="I246" s="193" t="s">
        <v>28</v>
      </c>
      <c r="J246" s="194">
        <v>3</v>
      </c>
      <c r="K246" s="193"/>
      <c r="L246" s="193"/>
      <c r="M246" s="193" t="s">
        <v>28</v>
      </c>
      <c r="N246" s="193" t="s">
        <v>49</v>
      </c>
      <c r="O246" s="194">
        <v>3</v>
      </c>
      <c r="P246" s="194" t="s">
        <v>521</v>
      </c>
      <c r="Q246" s="521">
        <f>R246*(1-Bolts!$E$1179)</f>
        <v>522.20000000000005</v>
      </c>
      <c r="R246" s="150">
        <v>522.20000000000005</v>
      </c>
      <c r="S246" s="168">
        <f t="shared" ref="S246:S255" si="90">SUM(T246:AB246)</f>
        <v>0</v>
      </c>
      <c r="T246" s="211"/>
      <c r="U246" s="169"/>
      <c r="V246" s="170"/>
      <c r="W246" s="171"/>
      <c r="X246" s="172"/>
      <c r="Y246" s="173"/>
      <c r="Z246" s="174"/>
      <c r="AA246" s="175"/>
      <c r="AB246" s="176"/>
      <c r="AC246" s="168">
        <f t="shared" ref="AC246:AC255" si="91">S246*O246</f>
        <v>0</v>
      </c>
      <c r="AD246" s="177">
        <f t="shared" ref="AD246:AD255" si="92">S246*R246</f>
        <v>0</v>
      </c>
      <c r="AE246" s="178">
        <v>27.1</v>
      </c>
      <c r="AF246" s="179">
        <f t="shared" ref="AF246:AF255" si="93">AE246*S246</f>
        <v>0</v>
      </c>
      <c r="AH246" s="180"/>
      <c r="AK246" s="1"/>
      <c r="AL246" s="1"/>
      <c r="AM246" s="1"/>
      <c r="AN246" s="1"/>
    </row>
    <row r="247" spans="1:40" ht="12.75" customHeight="1">
      <c r="A247" s="87"/>
      <c r="B247" s="195" t="s">
        <v>522</v>
      </c>
      <c r="C247" s="196" t="s">
        <v>53</v>
      </c>
      <c r="D247" s="196" t="s">
        <v>60</v>
      </c>
      <c r="E247" s="197">
        <v>1</v>
      </c>
      <c r="F247" s="196"/>
      <c r="G247" s="196"/>
      <c r="H247" s="196" t="s">
        <v>121</v>
      </c>
      <c r="I247" s="196" t="s">
        <v>28</v>
      </c>
      <c r="J247" s="197">
        <v>1</v>
      </c>
      <c r="K247" s="196"/>
      <c r="L247" s="196"/>
      <c r="M247" s="196" t="s">
        <v>28</v>
      </c>
      <c r="N247" s="196" t="s">
        <v>49</v>
      </c>
      <c r="O247" s="197">
        <v>1</v>
      </c>
      <c r="P247" s="197" t="s">
        <v>523</v>
      </c>
      <c r="Q247" s="523">
        <f>R247*(1-Bolts!$E$1179)</f>
        <v>144.19999999999999</v>
      </c>
      <c r="R247" s="150">
        <v>144.19999999999999</v>
      </c>
      <c r="S247" s="198">
        <f t="shared" si="90"/>
        <v>0</v>
      </c>
      <c r="T247" s="199"/>
      <c r="U247" s="199"/>
      <c r="V247" s="200"/>
      <c r="W247" s="199"/>
      <c r="X247" s="199"/>
      <c r="Y247" s="199"/>
      <c r="Z247" s="199"/>
      <c r="AA247" s="199"/>
      <c r="AB247" s="199"/>
      <c r="AC247" s="198">
        <f t="shared" si="91"/>
        <v>0</v>
      </c>
      <c r="AD247" s="177">
        <f t="shared" si="92"/>
        <v>0</v>
      </c>
      <c r="AE247" s="201">
        <v>6.46</v>
      </c>
      <c r="AF247" s="202">
        <f t="shared" si="93"/>
        <v>0</v>
      </c>
      <c r="AH247" s="180"/>
      <c r="AK247" s="1"/>
      <c r="AL247" s="1"/>
      <c r="AM247" s="1"/>
      <c r="AN247" s="1"/>
    </row>
    <row r="248" spans="1:40" ht="12.75" customHeight="1">
      <c r="A248" s="87"/>
      <c r="B248" s="195" t="s">
        <v>524</v>
      </c>
      <c r="C248" s="196" t="s">
        <v>53</v>
      </c>
      <c r="D248" s="196" t="s">
        <v>60</v>
      </c>
      <c r="E248" s="197">
        <v>1</v>
      </c>
      <c r="F248" s="196"/>
      <c r="G248" s="196"/>
      <c r="H248" s="196" t="s">
        <v>121</v>
      </c>
      <c r="I248" s="196" t="s">
        <v>28</v>
      </c>
      <c r="J248" s="197">
        <v>1</v>
      </c>
      <c r="K248" s="196"/>
      <c r="L248" s="196"/>
      <c r="M248" s="196" t="s">
        <v>28</v>
      </c>
      <c r="N248" s="196" t="s">
        <v>49</v>
      </c>
      <c r="O248" s="197">
        <v>1</v>
      </c>
      <c r="P248" s="197" t="s">
        <v>525</v>
      </c>
      <c r="Q248" s="523">
        <f>R248*(1-Bolts!$E$1179)</f>
        <v>215.5</v>
      </c>
      <c r="R248" s="150">
        <v>215.5</v>
      </c>
      <c r="S248" s="198">
        <f t="shared" si="90"/>
        <v>0</v>
      </c>
      <c r="T248" s="199"/>
      <c r="U248" s="199"/>
      <c r="V248" s="200"/>
      <c r="W248" s="199"/>
      <c r="X248" s="199"/>
      <c r="Y248" s="199"/>
      <c r="Z248" s="199"/>
      <c r="AA248" s="199"/>
      <c r="AB248" s="199"/>
      <c r="AC248" s="198">
        <f t="shared" si="91"/>
        <v>0</v>
      </c>
      <c r="AD248" s="177">
        <f t="shared" si="92"/>
        <v>0</v>
      </c>
      <c r="AE248" s="201">
        <v>8.67</v>
      </c>
      <c r="AF248" s="202">
        <f t="shared" si="93"/>
        <v>0</v>
      </c>
      <c r="AH248" s="180"/>
      <c r="AK248" s="1"/>
      <c r="AL248" s="1"/>
      <c r="AM248" s="1"/>
      <c r="AN248" s="1"/>
    </row>
    <row r="249" spans="1:40" ht="12.75" customHeight="1">
      <c r="A249" s="87"/>
      <c r="B249" s="195" t="s">
        <v>526</v>
      </c>
      <c r="C249" s="196" t="s">
        <v>53</v>
      </c>
      <c r="D249" s="196" t="s">
        <v>60</v>
      </c>
      <c r="E249" s="197">
        <v>1</v>
      </c>
      <c r="F249" s="196"/>
      <c r="G249" s="196"/>
      <c r="H249" s="196" t="s">
        <v>121</v>
      </c>
      <c r="I249" s="196" t="s">
        <v>28</v>
      </c>
      <c r="J249" s="197">
        <v>1</v>
      </c>
      <c r="K249" s="196"/>
      <c r="L249" s="196"/>
      <c r="M249" s="196" t="s">
        <v>28</v>
      </c>
      <c r="N249" s="196" t="s">
        <v>49</v>
      </c>
      <c r="O249" s="197">
        <v>1</v>
      </c>
      <c r="P249" s="197" t="s">
        <v>527</v>
      </c>
      <c r="Q249" s="523">
        <f>R249*(1-Bolts!$E$1179)</f>
        <v>243.4</v>
      </c>
      <c r="R249" s="150">
        <v>243.4</v>
      </c>
      <c r="S249" s="198">
        <f t="shared" si="90"/>
        <v>0</v>
      </c>
      <c r="T249" s="199"/>
      <c r="U249" s="199"/>
      <c r="V249" s="200"/>
      <c r="W249" s="199"/>
      <c r="X249" s="199"/>
      <c r="Y249" s="199"/>
      <c r="Z249" s="199"/>
      <c r="AA249" s="199"/>
      <c r="AB249" s="199"/>
      <c r="AC249" s="198">
        <f t="shared" si="91"/>
        <v>0</v>
      </c>
      <c r="AD249" s="177">
        <f t="shared" si="92"/>
        <v>0</v>
      </c>
      <c r="AE249" s="201">
        <v>11.88</v>
      </c>
      <c r="AF249" s="202">
        <f t="shared" si="93"/>
        <v>0</v>
      </c>
      <c r="AH249" s="180"/>
      <c r="AK249" s="1"/>
      <c r="AL249" s="1"/>
      <c r="AM249" s="1"/>
      <c r="AN249" s="1"/>
    </row>
    <row r="250" spans="1:40" ht="12.75" customHeight="1">
      <c r="A250" s="181"/>
      <c r="B250" s="192" t="s">
        <v>528</v>
      </c>
      <c r="C250" s="193" t="s">
        <v>53</v>
      </c>
      <c r="D250" s="193" t="s">
        <v>60</v>
      </c>
      <c r="E250" s="194">
        <v>2</v>
      </c>
      <c r="F250" s="193"/>
      <c r="G250" s="193"/>
      <c r="H250" s="193" t="s">
        <v>121</v>
      </c>
      <c r="I250" s="193" t="s">
        <v>28</v>
      </c>
      <c r="J250" s="194">
        <v>2</v>
      </c>
      <c r="K250" s="193"/>
      <c r="L250" s="193"/>
      <c r="M250" s="193" t="s">
        <v>28</v>
      </c>
      <c r="N250" s="193" t="s">
        <v>48</v>
      </c>
      <c r="O250" s="194">
        <v>2</v>
      </c>
      <c r="P250" s="194" t="s">
        <v>529</v>
      </c>
      <c r="Q250" s="521">
        <f>R250*(1-Bolts!$E$1179)</f>
        <v>598.1</v>
      </c>
      <c r="R250" s="150">
        <v>598.1</v>
      </c>
      <c r="S250" s="168">
        <f t="shared" si="90"/>
        <v>0</v>
      </c>
      <c r="T250" s="211"/>
      <c r="U250" s="169"/>
      <c r="V250" s="170"/>
      <c r="W250" s="171"/>
      <c r="X250" s="172"/>
      <c r="Y250" s="173"/>
      <c r="Z250" s="174"/>
      <c r="AA250" s="175"/>
      <c r="AB250" s="176"/>
      <c r="AC250" s="168">
        <f t="shared" si="91"/>
        <v>0</v>
      </c>
      <c r="AD250" s="177">
        <f t="shared" si="92"/>
        <v>0</v>
      </c>
      <c r="AE250" s="178">
        <v>29.84</v>
      </c>
      <c r="AF250" s="179">
        <f t="shared" si="93"/>
        <v>0</v>
      </c>
      <c r="AH250" s="180"/>
      <c r="AK250" s="1"/>
      <c r="AL250" s="1"/>
      <c r="AM250" s="1"/>
      <c r="AN250" s="1"/>
    </row>
    <row r="251" spans="1:40" ht="12.75" customHeight="1">
      <c r="A251" s="87"/>
      <c r="B251" s="195" t="s">
        <v>530</v>
      </c>
      <c r="C251" s="196" t="s">
        <v>53</v>
      </c>
      <c r="D251" s="196" t="s">
        <v>60</v>
      </c>
      <c r="E251" s="197">
        <v>1</v>
      </c>
      <c r="F251" s="196"/>
      <c r="G251" s="196"/>
      <c r="H251" s="196" t="s">
        <v>121</v>
      </c>
      <c r="I251" s="196" t="s">
        <v>28</v>
      </c>
      <c r="J251" s="197">
        <v>1</v>
      </c>
      <c r="K251" s="196"/>
      <c r="L251" s="196"/>
      <c r="M251" s="196" t="s">
        <v>28</v>
      </c>
      <c r="N251" s="196" t="s">
        <v>47</v>
      </c>
      <c r="O251" s="197">
        <v>1</v>
      </c>
      <c r="P251" s="197" t="s">
        <v>531</v>
      </c>
      <c r="Q251" s="523">
        <f>R251*(1-Bolts!$E$1179)</f>
        <v>249.7</v>
      </c>
      <c r="R251" s="150">
        <v>249.7</v>
      </c>
      <c r="S251" s="198">
        <f t="shared" si="90"/>
        <v>0</v>
      </c>
      <c r="T251" s="199"/>
      <c r="U251" s="199"/>
      <c r="V251" s="200"/>
      <c r="W251" s="199"/>
      <c r="X251" s="199"/>
      <c r="Y251" s="199"/>
      <c r="Z251" s="199"/>
      <c r="AA251" s="199"/>
      <c r="AB251" s="199"/>
      <c r="AC251" s="198">
        <f t="shared" si="91"/>
        <v>0</v>
      </c>
      <c r="AD251" s="177">
        <f t="shared" si="92"/>
        <v>0</v>
      </c>
      <c r="AE251" s="201">
        <v>11.34</v>
      </c>
      <c r="AF251" s="202">
        <f t="shared" si="93"/>
        <v>0</v>
      </c>
      <c r="AH251" s="180"/>
      <c r="AK251" s="1"/>
      <c r="AL251" s="1"/>
      <c r="AM251" s="1"/>
      <c r="AN251" s="1"/>
    </row>
    <row r="252" spans="1:40" ht="12.75" customHeight="1">
      <c r="A252" s="87"/>
      <c r="B252" s="195" t="s">
        <v>532</v>
      </c>
      <c r="C252" s="196" t="s">
        <v>53</v>
      </c>
      <c r="D252" s="196" t="s">
        <v>60</v>
      </c>
      <c r="E252" s="197">
        <v>1</v>
      </c>
      <c r="F252" s="196"/>
      <c r="G252" s="196"/>
      <c r="H252" s="196" t="s">
        <v>121</v>
      </c>
      <c r="I252" s="196" t="s">
        <v>28</v>
      </c>
      <c r="J252" s="197">
        <v>1</v>
      </c>
      <c r="K252" s="196"/>
      <c r="L252" s="196"/>
      <c r="M252" s="196" t="s">
        <v>28</v>
      </c>
      <c r="N252" s="196" t="s">
        <v>49</v>
      </c>
      <c r="O252" s="197">
        <v>1</v>
      </c>
      <c r="P252" s="197" t="s">
        <v>533</v>
      </c>
      <c r="Q252" s="523">
        <f>R252*(1-Bolts!$E$1179)</f>
        <v>373</v>
      </c>
      <c r="R252" s="150">
        <v>373</v>
      </c>
      <c r="S252" s="198">
        <f t="shared" si="90"/>
        <v>0</v>
      </c>
      <c r="T252" s="199"/>
      <c r="U252" s="199"/>
      <c r="V252" s="200"/>
      <c r="W252" s="199"/>
      <c r="X252" s="199"/>
      <c r="Y252" s="199"/>
      <c r="Z252" s="199"/>
      <c r="AA252" s="199"/>
      <c r="AB252" s="199"/>
      <c r="AC252" s="198">
        <f t="shared" si="91"/>
        <v>0</v>
      </c>
      <c r="AD252" s="177">
        <f t="shared" si="92"/>
        <v>0</v>
      </c>
      <c r="AE252" s="201">
        <v>18.5</v>
      </c>
      <c r="AF252" s="202">
        <f t="shared" si="93"/>
        <v>0</v>
      </c>
      <c r="AH252" s="180"/>
      <c r="AK252" s="1"/>
      <c r="AL252" s="1"/>
      <c r="AM252" s="1"/>
      <c r="AN252" s="1"/>
    </row>
    <row r="253" spans="1:40" ht="12.75" customHeight="1">
      <c r="A253" s="181"/>
      <c r="B253" s="192" t="s">
        <v>534</v>
      </c>
      <c r="C253" s="193" t="s">
        <v>53</v>
      </c>
      <c r="D253" s="193" t="s">
        <v>60</v>
      </c>
      <c r="E253" s="194">
        <v>2</v>
      </c>
      <c r="F253" s="193"/>
      <c r="G253" s="193"/>
      <c r="H253" s="193" t="s">
        <v>121</v>
      </c>
      <c r="I253" s="193" t="s">
        <v>28</v>
      </c>
      <c r="J253" s="194">
        <v>2</v>
      </c>
      <c r="K253" s="193"/>
      <c r="L253" s="193"/>
      <c r="M253" s="193" t="s">
        <v>28</v>
      </c>
      <c r="N253" s="193" t="s">
        <v>48</v>
      </c>
      <c r="O253" s="194">
        <v>2</v>
      </c>
      <c r="P253" s="194" t="s">
        <v>535</v>
      </c>
      <c r="Q253" s="521">
        <f>R253*(1-Bolts!$E$1179)</f>
        <v>307.2</v>
      </c>
      <c r="R253" s="150">
        <v>307.2</v>
      </c>
      <c r="S253" s="168">
        <f t="shared" si="90"/>
        <v>0</v>
      </c>
      <c r="T253" s="211"/>
      <c r="U253" s="169"/>
      <c r="V253" s="170"/>
      <c r="W253" s="171"/>
      <c r="X253" s="172"/>
      <c r="Y253" s="173"/>
      <c r="Z253" s="174"/>
      <c r="AA253" s="175"/>
      <c r="AB253" s="176"/>
      <c r="AC253" s="168">
        <f t="shared" si="91"/>
        <v>0</v>
      </c>
      <c r="AD253" s="177">
        <f t="shared" si="92"/>
        <v>0</v>
      </c>
      <c r="AE253" s="178">
        <v>15.1</v>
      </c>
      <c r="AF253" s="179">
        <f t="shared" si="93"/>
        <v>0</v>
      </c>
      <c r="AH253" s="180"/>
      <c r="AK253" s="1"/>
      <c r="AL253" s="1"/>
      <c r="AM253" s="1"/>
      <c r="AN253" s="1"/>
    </row>
    <row r="254" spans="1:40" ht="12.75" customHeight="1">
      <c r="A254" s="181"/>
      <c r="B254" s="195" t="s">
        <v>536</v>
      </c>
      <c r="C254" s="196" t="s">
        <v>53</v>
      </c>
      <c r="D254" s="196" t="s">
        <v>60</v>
      </c>
      <c r="E254" s="197">
        <v>1</v>
      </c>
      <c r="F254" s="196"/>
      <c r="G254" s="196"/>
      <c r="H254" s="196" t="s">
        <v>121</v>
      </c>
      <c r="I254" s="196" t="s">
        <v>28</v>
      </c>
      <c r="J254" s="197">
        <v>1</v>
      </c>
      <c r="K254" s="196"/>
      <c r="L254" s="196"/>
      <c r="M254" s="196" t="s">
        <v>28</v>
      </c>
      <c r="N254" s="196" t="s">
        <v>48</v>
      </c>
      <c r="O254" s="197">
        <v>1</v>
      </c>
      <c r="P254" s="197" t="s">
        <v>537</v>
      </c>
      <c r="Q254" s="523">
        <f>R254*(1-Bolts!$E$1179)</f>
        <v>162.5</v>
      </c>
      <c r="R254" s="150">
        <v>162.5</v>
      </c>
      <c r="S254" s="198">
        <f t="shared" si="90"/>
        <v>0</v>
      </c>
      <c r="T254" s="199"/>
      <c r="U254" s="199"/>
      <c r="V254" s="200"/>
      <c r="W254" s="199"/>
      <c r="X254" s="199"/>
      <c r="Y254" s="199"/>
      <c r="Z254" s="199"/>
      <c r="AA254" s="199"/>
      <c r="AB254" s="199"/>
      <c r="AC254" s="198">
        <f t="shared" si="91"/>
        <v>0</v>
      </c>
      <c r="AD254" s="177">
        <f t="shared" si="92"/>
        <v>0</v>
      </c>
      <c r="AE254" s="201">
        <v>7.36</v>
      </c>
      <c r="AF254" s="202">
        <f t="shared" si="93"/>
        <v>0</v>
      </c>
      <c r="AH254" s="180"/>
      <c r="AK254" s="1"/>
      <c r="AL254" s="1"/>
      <c r="AM254" s="1"/>
      <c r="AN254" s="1"/>
    </row>
    <row r="255" spans="1:40" ht="12.75" customHeight="1">
      <c r="A255" s="181"/>
      <c r="B255" s="195" t="s">
        <v>538</v>
      </c>
      <c r="C255" s="196" t="s">
        <v>53</v>
      </c>
      <c r="D255" s="196" t="s">
        <v>60</v>
      </c>
      <c r="E255" s="197">
        <v>1</v>
      </c>
      <c r="F255" s="196"/>
      <c r="G255" s="196"/>
      <c r="H255" s="196" t="s">
        <v>121</v>
      </c>
      <c r="I255" s="196" t="s">
        <v>28</v>
      </c>
      <c r="J255" s="197">
        <v>1</v>
      </c>
      <c r="K255" s="196"/>
      <c r="L255" s="196"/>
      <c r="M255" s="196" t="s">
        <v>28</v>
      </c>
      <c r="N255" s="196" t="s">
        <v>48</v>
      </c>
      <c r="O255" s="197">
        <v>1</v>
      </c>
      <c r="P255" s="197" t="s">
        <v>539</v>
      </c>
      <c r="Q255" s="523">
        <f>R255*(1-Bolts!$E$1179)</f>
        <v>169.2</v>
      </c>
      <c r="R255" s="150">
        <v>169.2</v>
      </c>
      <c r="S255" s="198">
        <f t="shared" si="90"/>
        <v>0</v>
      </c>
      <c r="T255" s="199"/>
      <c r="U255" s="199"/>
      <c r="V255" s="200"/>
      <c r="W255" s="199"/>
      <c r="X255" s="199"/>
      <c r="Y255" s="199"/>
      <c r="Z255" s="199"/>
      <c r="AA255" s="199"/>
      <c r="AB255" s="199"/>
      <c r="AC255" s="198">
        <f t="shared" si="91"/>
        <v>0</v>
      </c>
      <c r="AD255" s="177">
        <f t="shared" si="92"/>
        <v>0</v>
      </c>
      <c r="AE255" s="201">
        <v>7.74</v>
      </c>
      <c r="AF255" s="202">
        <f t="shared" si="93"/>
        <v>0</v>
      </c>
      <c r="AH255" s="180"/>
      <c r="AK255" s="1"/>
      <c r="AL255" s="1"/>
      <c r="AM255" s="1"/>
      <c r="AN255" s="1"/>
    </row>
    <row r="256" spans="1:40" ht="12.75" customHeight="1">
      <c r="A256" s="87"/>
      <c r="B256" s="185"/>
      <c r="C256" s="165"/>
      <c r="D256" s="165"/>
      <c r="E256" s="166"/>
      <c r="F256" s="165"/>
      <c r="G256" s="165"/>
      <c r="H256" s="165"/>
      <c r="I256" s="165"/>
      <c r="J256" s="166"/>
      <c r="K256" s="165"/>
      <c r="L256" s="165"/>
      <c r="M256" s="165"/>
      <c r="N256" s="165"/>
      <c r="O256" s="166"/>
      <c r="P256" s="166"/>
      <c r="Q256" s="522"/>
      <c r="R256" s="150"/>
      <c r="S256" s="186"/>
      <c r="T256" s="187"/>
      <c r="U256" s="187"/>
      <c r="V256" s="188"/>
      <c r="W256" s="187"/>
      <c r="X256" s="187"/>
      <c r="Y256" s="187"/>
      <c r="Z256" s="187"/>
      <c r="AA256" s="187"/>
      <c r="AB256" s="188"/>
      <c r="AC256" s="186"/>
      <c r="AD256" s="189"/>
      <c r="AE256" s="190"/>
      <c r="AF256" s="191"/>
      <c r="AH256" s="180"/>
      <c r="AK256" s="1"/>
      <c r="AL256" s="1"/>
      <c r="AM256" s="1"/>
      <c r="AN256" s="1"/>
    </row>
    <row r="257" spans="1:40" ht="12.75" customHeight="1">
      <c r="A257" s="87"/>
      <c r="B257" s="192" t="s">
        <v>540</v>
      </c>
      <c r="C257" s="193" t="s">
        <v>53</v>
      </c>
      <c r="D257" s="193" t="s">
        <v>61</v>
      </c>
      <c r="E257" s="194">
        <v>4</v>
      </c>
      <c r="F257" s="193"/>
      <c r="G257" s="193"/>
      <c r="H257" s="193" t="s">
        <v>121</v>
      </c>
      <c r="I257" s="193" t="s">
        <v>29</v>
      </c>
      <c r="J257" s="194">
        <v>4</v>
      </c>
      <c r="K257" s="193"/>
      <c r="L257" s="193"/>
      <c r="M257" s="193" t="s">
        <v>29</v>
      </c>
      <c r="N257" s="193" t="s">
        <v>48</v>
      </c>
      <c r="O257" s="194">
        <v>4</v>
      </c>
      <c r="P257" s="194" t="s">
        <v>541</v>
      </c>
      <c r="Q257" s="521">
        <f>R257*(1-Bolts!$E$1179)</f>
        <v>219.6</v>
      </c>
      <c r="R257" s="150">
        <v>219.6</v>
      </c>
      <c r="S257" s="168">
        <f t="shared" ref="S257:S259" si="94">SUM(T257:AB257)</f>
        <v>0</v>
      </c>
      <c r="T257" s="211"/>
      <c r="U257" s="169"/>
      <c r="V257" s="170"/>
      <c r="W257" s="171"/>
      <c r="X257" s="172"/>
      <c r="Y257" s="173"/>
      <c r="Z257" s="174"/>
      <c r="AA257" s="175"/>
      <c r="AB257" s="176"/>
      <c r="AC257" s="168">
        <f t="shared" ref="AC257:AC259" si="95">S257*O257</f>
        <v>0</v>
      </c>
      <c r="AD257" s="177">
        <f t="shared" ref="AD257:AD259" si="96">S257*R257</f>
        <v>0</v>
      </c>
      <c r="AE257" s="178">
        <v>10.02</v>
      </c>
      <c r="AF257" s="179">
        <f t="shared" ref="AF257:AF259" si="97">AE257*S257</f>
        <v>0</v>
      </c>
      <c r="AH257" s="180"/>
      <c r="AK257" s="1"/>
      <c r="AL257" s="1"/>
      <c r="AM257" s="1"/>
      <c r="AN257" s="1"/>
    </row>
    <row r="258" spans="1:40" ht="12.75" customHeight="1">
      <c r="A258" s="87"/>
      <c r="B258" s="192" t="s">
        <v>542</v>
      </c>
      <c r="C258" s="193" t="s">
        <v>53</v>
      </c>
      <c r="D258" s="193" t="s">
        <v>61</v>
      </c>
      <c r="E258" s="194">
        <v>4</v>
      </c>
      <c r="F258" s="193"/>
      <c r="G258" s="193"/>
      <c r="H258" s="193" t="s">
        <v>121</v>
      </c>
      <c r="I258" s="193" t="s">
        <v>37</v>
      </c>
      <c r="J258" s="194">
        <v>4</v>
      </c>
      <c r="K258" s="193"/>
      <c r="L258" s="193"/>
      <c r="M258" s="193" t="s">
        <v>37</v>
      </c>
      <c r="N258" s="193" t="s">
        <v>49</v>
      </c>
      <c r="O258" s="194">
        <v>4</v>
      </c>
      <c r="P258" s="194" t="s">
        <v>543</v>
      </c>
      <c r="Q258" s="521">
        <f>R258*(1-Bolts!$E$1179)</f>
        <v>278.7</v>
      </c>
      <c r="R258" s="150">
        <v>278.7</v>
      </c>
      <c r="S258" s="168">
        <f t="shared" si="94"/>
        <v>0</v>
      </c>
      <c r="T258" s="211"/>
      <c r="U258" s="169"/>
      <c r="V258" s="170"/>
      <c r="W258" s="171"/>
      <c r="X258" s="172"/>
      <c r="Y258" s="173"/>
      <c r="Z258" s="174"/>
      <c r="AA258" s="175"/>
      <c r="AB258" s="176"/>
      <c r="AC258" s="168">
        <f t="shared" si="95"/>
        <v>0</v>
      </c>
      <c r="AD258" s="177">
        <f t="shared" si="96"/>
        <v>0</v>
      </c>
      <c r="AE258" s="178">
        <v>13.29</v>
      </c>
      <c r="AF258" s="179">
        <f t="shared" si="97"/>
        <v>0</v>
      </c>
      <c r="AH258" s="180"/>
      <c r="AK258" s="1"/>
      <c r="AL258" s="1"/>
      <c r="AM258" s="1"/>
      <c r="AN258" s="1"/>
    </row>
    <row r="259" spans="1:40" ht="12.75" customHeight="1">
      <c r="A259" s="181"/>
      <c r="B259" s="192" t="s">
        <v>544</v>
      </c>
      <c r="C259" s="193" t="s">
        <v>53</v>
      </c>
      <c r="D259" s="193" t="s">
        <v>61</v>
      </c>
      <c r="E259" s="194">
        <v>2</v>
      </c>
      <c r="F259" s="193"/>
      <c r="G259" s="193"/>
      <c r="H259" s="193" t="s">
        <v>121</v>
      </c>
      <c r="I259" s="193" t="s">
        <v>37</v>
      </c>
      <c r="J259" s="194">
        <v>2</v>
      </c>
      <c r="K259" s="193"/>
      <c r="L259" s="193"/>
      <c r="M259" s="193" t="s">
        <v>37</v>
      </c>
      <c r="N259" s="193" t="s">
        <v>49</v>
      </c>
      <c r="O259" s="194">
        <v>2</v>
      </c>
      <c r="P259" s="194" t="s">
        <v>545</v>
      </c>
      <c r="Q259" s="521">
        <f>R259*(1-Bolts!$E$1179)</f>
        <v>224.5</v>
      </c>
      <c r="R259" s="150">
        <v>224.5</v>
      </c>
      <c r="S259" s="168">
        <f t="shared" si="94"/>
        <v>0</v>
      </c>
      <c r="T259" s="211"/>
      <c r="U259" s="169"/>
      <c r="V259" s="170"/>
      <c r="W259" s="171"/>
      <c r="X259" s="172"/>
      <c r="Y259" s="173"/>
      <c r="Z259" s="174"/>
      <c r="AA259" s="175"/>
      <c r="AB259" s="176"/>
      <c r="AC259" s="168">
        <f t="shared" si="95"/>
        <v>0</v>
      </c>
      <c r="AD259" s="177">
        <f t="shared" si="96"/>
        <v>0</v>
      </c>
      <c r="AE259" s="178">
        <v>10.4</v>
      </c>
      <c r="AF259" s="179">
        <f t="shared" si="97"/>
        <v>0</v>
      </c>
      <c r="AH259" s="180"/>
      <c r="AK259" s="1"/>
      <c r="AL259" s="1"/>
      <c r="AM259" s="1"/>
      <c r="AN259" s="1"/>
    </row>
    <row r="260" spans="1:40" ht="12.75" customHeight="1">
      <c r="A260" s="87"/>
      <c r="B260" s="185"/>
      <c r="C260" s="165"/>
      <c r="D260" s="165"/>
      <c r="E260" s="166"/>
      <c r="F260" s="165"/>
      <c r="G260" s="165"/>
      <c r="H260" s="165"/>
      <c r="I260" s="165"/>
      <c r="J260" s="166"/>
      <c r="K260" s="165"/>
      <c r="L260" s="165"/>
      <c r="M260" s="165"/>
      <c r="N260" s="165"/>
      <c r="O260" s="166"/>
      <c r="P260" s="166"/>
      <c r="Q260" s="522"/>
      <c r="R260" s="150"/>
      <c r="S260" s="186"/>
      <c r="T260" s="187"/>
      <c r="U260" s="187"/>
      <c r="V260" s="188"/>
      <c r="W260" s="187"/>
      <c r="X260" s="187"/>
      <c r="Y260" s="187"/>
      <c r="Z260" s="187"/>
      <c r="AA260" s="187"/>
      <c r="AB260" s="188"/>
      <c r="AC260" s="186"/>
      <c r="AD260" s="189"/>
      <c r="AE260" s="190"/>
      <c r="AF260" s="191"/>
      <c r="AH260" s="180"/>
      <c r="AK260" s="1"/>
      <c r="AL260" s="1"/>
      <c r="AM260" s="1"/>
      <c r="AN260" s="1"/>
    </row>
    <row r="261" spans="1:40" ht="12.75" customHeight="1">
      <c r="A261" s="87"/>
      <c r="B261" s="192" t="s">
        <v>546</v>
      </c>
      <c r="C261" s="193" t="s">
        <v>53</v>
      </c>
      <c r="D261" s="193" t="s">
        <v>62</v>
      </c>
      <c r="E261" s="194">
        <v>5</v>
      </c>
      <c r="F261" s="193"/>
      <c r="G261" s="193"/>
      <c r="H261" s="193" t="s">
        <v>121</v>
      </c>
      <c r="I261" s="193" t="s">
        <v>36</v>
      </c>
      <c r="J261" s="194">
        <v>5</v>
      </c>
      <c r="K261" s="193"/>
      <c r="L261" s="193"/>
      <c r="M261" s="193" t="s">
        <v>36</v>
      </c>
      <c r="N261" s="193" t="s">
        <v>48</v>
      </c>
      <c r="O261" s="194">
        <v>5</v>
      </c>
      <c r="P261" s="194" t="s">
        <v>547</v>
      </c>
      <c r="Q261" s="521">
        <f>R261*(1-Bolts!$E$1179)</f>
        <v>329.1</v>
      </c>
      <c r="R261" s="150">
        <v>329.1</v>
      </c>
      <c r="S261" s="168">
        <f t="shared" ref="S261:S267" si="98">SUM(T261:AB261)</f>
        <v>0</v>
      </c>
      <c r="T261" s="211"/>
      <c r="U261" s="169"/>
      <c r="V261" s="170"/>
      <c r="W261" s="171"/>
      <c r="X261" s="172"/>
      <c r="Y261" s="173"/>
      <c r="Z261" s="174"/>
      <c r="AA261" s="175"/>
      <c r="AB261" s="176"/>
      <c r="AC261" s="168">
        <f t="shared" ref="AC261:AC267" si="99">S261*O261</f>
        <v>0</v>
      </c>
      <c r="AD261" s="177">
        <f t="shared" ref="AD261:AD267" si="100">S261*R261</f>
        <v>0</v>
      </c>
      <c r="AE261" s="178">
        <v>15.7</v>
      </c>
      <c r="AF261" s="179">
        <f t="shared" ref="AF261:AF267" si="101">AE261*S261</f>
        <v>0</v>
      </c>
      <c r="AH261" s="180"/>
      <c r="AK261" s="1"/>
      <c r="AL261" s="1"/>
      <c r="AM261" s="1"/>
      <c r="AN261" s="1"/>
    </row>
    <row r="262" spans="1:40" ht="12.75" customHeight="1">
      <c r="A262" s="87"/>
      <c r="B262" s="192" t="s">
        <v>548</v>
      </c>
      <c r="C262" s="193" t="s">
        <v>53</v>
      </c>
      <c r="D262" s="193" t="s">
        <v>62</v>
      </c>
      <c r="E262" s="194">
        <v>5</v>
      </c>
      <c r="F262" s="193"/>
      <c r="G262" s="193"/>
      <c r="H262" s="193" t="s">
        <v>121</v>
      </c>
      <c r="I262" s="193" t="s">
        <v>36</v>
      </c>
      <c r="J262" s="194">
        <v>5</v>
      </c>
      <c r="K262" s="193"/>
      <c r="L262" s="193"/>
      <c r="M262" s="193" t="s">
        <v>36</v>
      </c>
      <c r="N262" s="193" t="s">
        <v>48</v>
      </c>
      <c r="O262" s="194">
        <v>5</v>
      </c>
      <c r="P262" s="194" t="s">
        <v>549</v>
      </c>
      <c r="Q262" s="521">
        <f>R262*(1-Bolts!$E$1179)</f>
        <v>338.2</v>
      </c>
      <c r="R262" s="150">
        <v>338.2</v>
      </c>
      <c r="S262" s="168">
        <f t="shared" si="98"/>
        <v>0</v>
      </c>
      <c r="T262" s="211"/>
      <c r="U262" s="169"/>
      <c r="V262" s="170"/>
      <c r="W262" s="171"/>
      <c r="X262" s="172"/>
      <c r="Y262" s="173"/>
      <c r="Z262" s="174"/>
      <c r="AA262" s="175"/>
      <c r="AB262" s="176"/>
      <c r="AC262" s="168">
        <f t="shared" si="99"/>
        <v>0</v>
      </c>
      <c r="AD262" s="177">
        <f t="shared" si="100"/>
        <v>0</v>
      </c>
      <c r="AE262" s="178">
        <v>16.21</v>
      </c>
      <c r="AF262" s="179">
        <f t="shared" si="101"/>
        <v>0</v>
      </c>
      <c r="AH262" s="180"/>
      <c r="AK262" s="1"/>
      <c r="AL262" s="1"/>
      <c r="AM262" s="1"/>
      <c r="AN262" s="1"/>
    </row>
    <row r="263" spans="1:40" ht="12.75" customHeight="1">
      <c r="A263" s="87"/>
      <c r="B263" s="192" t="s">
        <v>550</v>
      </c>
      <c r="C263" s="193" t="s">
        <v>53</v>
      </c>
      <c r="D263" s="193" t="s">
        <v>62</v>
      </c>
      <c r="E263" s="194">
        <v>5</v>
      </c>
      <c r="F263" s="193"/>
      <c r="G263" s="193"/>
      <c r="H263" s="193" t="s">
        <v>121</v>
      </c>
      <c r="I263" s="193" t="s">
        <v>36</v>
      </c>
      <c r="J263" s="194">
        <v>5</v>
      </c>
      <c r="K263" s="193"/>
      <c r="L263" s="193"/>
      <c r="M263" s="193" t="s">
        <v>36</v>
      </c>
      <c r="N263" s="193" t="s">
        <v>48</v>
      </c>
      <c r="O263" s="194">
        <v>5</v>
      </c>
      <c r="P263" s="194" t="s">
        <v>551</v>
      </c>
      <c r="Q263" s="521">
        <f>R263*(1-Bolts!$E$1179)</f>
        <v>315.89999999999998</v>
      </c>
      <c r="R263" s="150">
        <v>315.89999999999998</v>
      </c>
      <c r="S263" s="168">
        <f t="shared" si="98"/>
        <v>0</v>
      </c>
      <c r="T263" s="211"/>
      <c r="U263" s="169"/>
      <c r="V263" s="170"/>
      <c r="W263" s="171"/>
      <c r="X263" s="172"/>
      <c r="Y263" s="173"/>
      <c r="Z263" s="174"/>
      <c r="AA263" s="175"/>
      <c r="AB263" s="176"/>
      <c r="AC263" s="168">
        <f t="shared" si="99"/>
        <v>0</v>
      </c>
      <c r="AD263" s="177">
        <f t="shared" si="100"/>
        <v>0</v>
      </c>
      <c r="AE263" s="178">
        <v>14.95</v>
      </c>
      <c r="AF263" s="179">
        <f t="shared" si="101"/>
        <v>0</v>
      </c>
      <c r="AH263" s="180"/>
      <c r="AK263" s="1"/>
      <c r="AL263" s="1"/>
      <c r="AM263" s="1"/>
      <c r="AN263" s="1"/>
    </row>
    <row r="264" spans="1:40" ht="12.75" customHeight="1">
      <c r="A264" s="87"/>
      <c r="B264" s="192" t="s">
        <v>552</v>
      </c>
      <c r="C264" s="193" t="s">
        <v>53</v>
      </c>
      <c r="D264" s="193" t="s">
        <v>62</v>
      </c>
      <c r="E264" s="194">
        <v>5</v>
      </c>
      <c r="F264" s="193"/>
      <c r="G264" s="193"/>
      <c r="H264" s="193" t="s">
        <v>121</v>
      </c>
      <c r="I264" s="193" t="s">
        <v>37</v>
      </c>
      <c r="J264" s="194">
        <v>5</v>
      </c>
      <c r="K264" s="193"/>
      <c r="L264" s="193"/>
      <c r="M264" s="193" t="s">
        <v>37</v>
      </c>
      <c r="N264" s="193" t="s">
        <v>47</v>
      </c>
      <c r="O264" s="194">
        <v>5</v>
      </c>
      <c r="P264" s="194" t="s">
        <v>553</v>
      </c>
      <c r="Q264" s="521">
        <f>R264*(1-Bolts!$E$1179)</f>
        <v>194.9</v>
      </c>
      <c r="R264" s="150">
        <v>194.9</v>
      </c>
      <c r="S264" s="168">
        <f t="shared" si="98"/>
        <v>0</v>
      </c>
      <c r="T264" s="211"/>
      <c r="U264" s="169"/>
      <c r="V264" s="170"/>
      <c r="W264" s="171"/>
      <c r="X264" s="172"/>
      <c r="Y264" s="173"/>
      <c r="Z264" s="174"/>
      <c r="AA264" s="175"/>
      <c r="AB264" s="176"/>
      <c r="AC264" s="168">
        <f t="shared" si="99"/>
        <v>0</v>
      </c>
      <c r="AD264" s="177">
        <f t="shared" si="100"/>
        <v>0</v>
      </c>
      <c r="AE264" s="178">
        <v>8.51</v>
      </c>
      <c r="AF264" s="179">
        <f t="shared" si="101"/>
        <v>0</v>
      </c>
      <c r="AH264" s="180"/>
      <c r="AK264" s="1"/>
      <c r="AL264" s="1"/>
      <c r="AM264" s="1"/>
      <c r="AN264" s="1"/>
    </row>
    <row r="265" spans="1:40" ht="12.75" customHeight="1">
      <c r="A265" s="87"/>
      <c r="B265" s="192" t="s">
        <v>554</v>
      </c>
      <c r="C265" s="193" t="s">
        <v>53</v>
      </c>
      <c r="D265" s="193" t="s">
        <v>62</v>
      </c>
      <c r="E265" s="194">
        <v>5</v>
      </c>
      <c r="F265" s="193"/>
      <c r="G265" s="193"/>
      <c r="H265" s="193" t="s">
        <v>121</v>
      </c>
      <c r="I265" s="193" t="s">
        <v>32</v>
      </c>
      <c r="J265" s="194">
        <v>5</v>
      </c>
      <c r="K265" s="193"/>
      <c r="L265" s="193"/>
      <c r="M265" s="193" t="s">
        <v>32</v>
      </c>
      <c r="N265" s="193" t="s">
        <v>48</v>
      </c>
      <c r="O265" s="194">
        <v>5</v>
      </c>
      <c r="P265" s="194" t="s">
        <v>555</v>
      </c>
      <c r="Q265" s="521">
        <f>R265*(1-Bolts!$E$1179)</f>
        <v>239.9</v>
      </c>
      <c r="R265" s="150">
        <v>239.9</v>
      </c>
      <c r="S265" s="168">
        <f t="shared" si="98"/>
        <v>0</v>
      </c>
      <c r="T265" s="211"/>
      <c r="U265" s="169"/>
      <c r="V265" s="170"/>
      <c r="W265" s="171"/>
      <c r="X265" s="172"/>
      <c r="Y265" s="173"/>
      <c r="Z265" s="174"/>
      <c r="AA265" s="175"/>
      <c r="AB265" s="176"/>
      <c r="AC265" s="168">
        <f t="shared" si="99"/>
        <v>0</v>
      </c>
      <c r="AD265" s="177">
        <f t="shared" si="100"/>
        <v>0</v>
      </c>
      <c r="AE265" s="178">
        <v>10.87</v>
      </c>
      <c r="AF265" s="179">
        <f t="shared" si="101"/>
        <v>0</v>
      </c>
      <c r="AH265" s="180"/>
      <c r="AK265" s="1"/>
      <c r="AL265" s="1"/>
      <c r="AM265" s="1"/>
      <c r="AN265" s="1"/>
    </row>
    <row r="266" spans="1:40" ht="12.75" customHeight="1">
      <c r="A266" s="87"/>
      <c r="B266" s="192" t="s">
        <v>556</v>
      </c>
      <c r="C266" s="193" t="s">
        <v>53</v>
      </c>
      <c r="D266" s="193" t="s">
        <v>62</v>
      </c>
      <c r="E266" s="194">
        <v>5</v>
      </c>
      <c r="F266" s="193"/>
      <c r="G266" s="193"/>
      <c r="H266" s="193" t="s">
        <v>121</v>
      </c>
      <c r="I266" s="193" t="s">
        <v>29</v>
      </c>
      <c r="J266" s="194">
        <v>5</v>
      </c>
      <c r="K266" s="193"/>
      <c r="L266" s="193"/>
      <c r="M266" s="193" t="s">
        <v>29</v>
      </c>
      <c r="N266" s="193" t="s">
        <v>47</v>
      </c>
      <c r="O266" s="194">
        <v>5</v>
      </c>
      <c r="P266" s="194" t="s">
        <v>557</v>
      </c>
      <c r="Q266" s="521">
        <f>R266*(1-Bolts!$E$1179)</f>
        <v>203.5</v>
      </c>
      <c r="R266" s="150">
        <v>203.5</v>
      </c>
      <c r="S266" s="168">
        <f t="shared" si="98"/>
        <v>0</v>
      </c>
      <c r="T266" s="211"/>
      <c r="U266" s="169"/>
      <c r="V266" s="170"/>
      <c r="W266" s="171"/>
      <c r="X266" s="172"/>
      <c r="Y266" s="173"/>
      <c r="Z266" s="174"/>
      <c r="AA266" s="175"/>
      <c r="AB266" s="176"/>
      <c r="AC266" s="168">
        <f t="shared" si="99"/>
        <v>0</v>
      </c>
      <c r="AD266" s="177">
        <f t="shared" si="100"/>
        <v>0</v>
      </c>
      <c r="AE266" s="178">
        <v>8.76</v>
      </c>
      <c r="AF266" s="179">
        <f t="shared" si="101"/>
        <v>0</v>
      </c>
      <c r="AH266" s="180"/>
      <c r="AK266" s="1"/>
      <c r="AL266" s="1"/>
      <c r="AM266" s="1"/>
      <c r="AN266" s="1"/>
    </row>
    <row r="267" spans="1:40" ht="12.75" customHeight="1">
      <c r="A267" s="181"/>
      <c r="B267" s="192" t="s">
        <v>558</v>
      </c>
      <c r="C267" s="193" t="s">
        <v>53</v>
      </c>
      <c r="D267" s="193" t="s">
        <v>62</v>
      </c>
      <c r="E267" s="194">
        <v>5</v>
      </c>
      <c r="F267" s="193"/>
      <c r="G267" s="193"/>
      <c r="H267" s="193" t="s">
        <v>121</v>
      </c>
      <c r="I267" s="193" t="s">
        <v>37</v>
      </c>
      <c r="J267" s="194">
        <v>5</v>
      </c>
      <c r="K267" s="193"/>
      <c r="L267" s="193"/>
      <c r="M267" s="193" t="s">
        <v>37</v>
      </c>
      <c r="N267" s="193" t="s">
        <v>49</v>
      </c>
      <c r="O267" s="194">
        <v>5</v>
      </c>
      <c r="P267" s="194" t="s">
        <v>559</v>
      </c>
      <c r="Q267" s="521">
        <f>R267*(1-Bolts!$E$1179)</f>
        <v>293.7</v>
      </c>
      <c r="R267" s="150">
        <v>293.7</v>
      </c>
      <c r="S267" s="168">
        <f t="shared" si="98"/>
        <v>0</v>
      </c>
      <c r="T267" s="211"/>
      <c r="U267" s="169"/>
      <c r="V267" s="170"/>
      <c r="W267" s="171"/>
      <c r="X267" s="172"/>
      <c r="Y267" s="173"/>
      <c r="Z267" s="174"/>
      <c r="AA267" s="175"/>
      <c r="AB267" s="176"/>
      <c r="AC267" s="168">
        <f t="shared" si="99"/>
        <v>0</v>
      </c>
      <c r="AD267" s="177">
        <f t="shared" si="100"/>
        <v>0</v>
      </c>
      <c r="AE267" s="178">
        <v>13.4</v>
      </c>
      <c r="AF267" s="179">
        <f t="shared" si="101"/>
        <v>0</v>
      </c>
      <c r="AH267" s="180"/>
      <c r="AK267" s="1"/>
      <c r="AL267" s="1"/>
      <c r="AM267" s="1"/>
      <c r="AN267" s="1"/>
    </row>
    <row r="268" spans="1:40" ht="12.75" customHeight="1">
      <c r="A268" s="87"/>
      <c r="B268" s="185"/>
      <c r="C268" s="165"/>
      <c r="D268" s="165"/>
      <c r="E268" s="166"/>
      <c r="F268" s="165"/>
      <c r="G268" s="165"/>
      <c r="H268" s="165"/>
      <c r="I268" s="165"/>
      <c r="J268" s="166"/>
      <c r="K268" s="165"/>
      <c r="L268" s="165"/>
      <c r="M268" s="165"/>
      <c r="N268" s="165"/>
      <c r="O268" s="166"/>
      <c r="P268" s="166"/>
      <c r="Q268" s="522"/>
      <c r="R268" s="150"/>
      <c r="S268" s="186"/>
      <c r="T268" s="187"/>
      <c r="U268" s="187"/>
      <c r="V268" s="188"/>
      <c r="W268" s="187"/>
      <c r="X268" s="187"/>
      <c r="Y268" s="187"/>
      <c r="Z268" s="187"/>
      <c r="AA268" s="187"/>
      <c r="AB268" s="188"/>
      <c r="AC268" s="186"/>
      <c r="AD268" s="189"/>
      <c r="AE268" s="190"/>
      <c r="AF268" s="191"/>
      <c r="AH268" s="180"/>
      <c r="AK268" s="1"/>
      <c r="AL268" s="1"/>
      <c r="AM268" s="1"/>
      <c r="AN268" s="1"/>
    </row>
    <row r="269" spans="1:40" ht="12.75" customHeight="1">
      <c r="A269" s="181" t="s">
        <v>560</v>
      </c>
      <c r="B269" s="192" t="s">
        <v>561</v>
      </c>
      <c r="C269" s="193" t="s">
        <v>53</v>
      </c>
      <c r="D269" s="193" t="s">
        <v>63</v>
      </c>
      <c r="E269" s="194">
        <v>10</v>
      </c>
      <c r="F269" s="193"/>
      <c r="G269" s="193"/>
      <c r="H269" s="193" t="s">
        <v>121</v>
      </c>
      <c r="I269" s="193" t="s">
        <v>29</v>
      </c>
      <c r="J269" s="194">
        <v>10</v>
      </c>
      <c r="K269" s="193"/>
      <c r="L269" s="193"/>
      <c r="M269" s="193" t="s">
        <v>29</v>
      </c>
      <c r="N269" s="193" t="s">
        <v>47</v>
      </c>
      <c r="O269" s="194">
        <v>10</v>
      </c>
      <c r="P269" s="194" t="s">
        <v>562</v>
      </c>
      <c r="Q269" s="521">
        <f>R269*(1-Bolts!$E$1179)</f>
        <v>247.4</v>
      </c>
      <c r="R269" s="150">
        <v>247.4</v>
      </c>
      <c r="S269" s="168">
        <f t="shared" ref="S269:S276" si="102">SUM(T269:AB269)</f>
        <v>0</v>
      </c>
      <c r="T269" s="211"/>
      <c r="U269" s="169"/>
      <c r="V269" s="170"/>
      <c r="W269" s="171"/>
      <c r="X269" s="172"/>
      <c r="Y269" s="173"/>
      <c r="Z269" s="174"/>
      <c r="AA269" s="175"/>
      <c r="AB269" s="176"/>
      <c r="AC269" s="168">
        <f t="shared" ref="AC269:AC276" si="103">S269*O269</f>
        <v>0</v>
      </c>
      <c r="AD269" s="177">
        <f t="shared" ref="AD269:AD276" si="104">S269*R269</f>
        <v>0</v>
      </c>
      <c r="AE269" s="178">
        <v>11.45</v>
      </c>
      <c r="AF269" s="179">
        <f t="shared" ref="AF269:AF276" si="105">AE269*S269</f>
        <v>0</v>
      </c>
      <c r="AH269" s="180"/>
      <c r="AK269" s="1"/>
      <c r="AL269" s="1"/>
      <c r="AM269" s="1"/>
      <c r="AN269" s="1"/>
    </row>
    <row r="270" spans="1:40" ht="12.75" customHeight="1">
      <c r="A270" s="181" t="s">
        <v>560</v>
      </c>
      <c r="B270" s="192" t="s">
        <v>563</v>
      </c>
      <c r="C270" s="193" t="s">
        <v>53</v>
      </c>
      <c r="D270" s="193" t="s">
        <v>63</v>
      </c>
      <c r="E270" s="194">
        <v>6</v>
      </c>
      <c r="F270" s="193"/>
      <c r="G270" s="193"/>
      <c r="H270" s="193" t="s">
        <v>121</v>
      </c>
      <c r="I270" s="193" t="s">
        <v>29</v>
      </c>
      <c r="J270" s="194">
        <v>6</v>
      </c>
      <c r="K270" s="193"/>
      <c r="L270" s="193"/>
      <c r="M270" s="193" t="s">
        <v>29</v>
      </c>
      <c r="N270" s="193" t="s">
        <v>47</v>
      </c>
      <c r="O270" s="194">
        <v>6</v>
      </c>
      <c r="P270" s="194" t="s">
        <v>564</v>
      </c>
      <c r="Q270" s="521">
        <f>R270*(1-Bolts!$E$1179)</f>
        <v>235.9</v>
      </c>
      <c r="R270" s="150">
        <v>235.9</v>
      </c>
      <c r="S270" s="168">
        <f t="shared" si="102"/>
        <v>0</v>
      </c>
      <c r="T270" s="211"/>
      <c r="U270" s="169"/>
      <c r="V270" s="170"/>
      <c r="W270" s="171"/>
      <c r="X270" s="172"/>
      <c r="Y270" s="173"/>
      <c r="Z270" s="174"/>
      <c r="AA270" s="175"/>
      <c r="AB270" s="176"/>
      <c r="AC270" s="168">
        <f t="shared" si="103"/>
        <v>0</v>
      </c>
      <c r="AD270" s="177">
        <f t="shared" si="104"/>
        <v>0</v>
      </c>
      <c r="AE270" s="178">
        <v>11.38</v>
      </c>
      <c r="AF270" s="179">
        <f t="shared" si="105"/>
        <v>0</v>
      </c>
      <c r="AH270" s="180"/>
      <c r="AK270" s="1"/>
      <c r="AL270" s="1"/>
      <c r="AM270" s="1"/>
      <c r="AN270" s="1"/>
    </row>
    <row r="271" spans="1:40" ht="12.75" customHeight="1">
      <c r="A271" s="87"/>
      <c r="B271" s="192" t="s">
        <v>565</v>
      </c>
      <c r="C271" s="193" t="s">
        <v>53</v>
      </c>
      <c r="D271" s="193" t="s">
        <v>63</v>
      </c>
      <c r="E271" s="194">
        <v>5</v>
      </c>
      <c r="F271" s="193"/>
      <c r="G271" s="193"/>
      <c r="H271" s="193" t="s">
        <v>121</v>
      </c>
      <c r="I271" s="193" t="s">
        <v>37</v>
      </c>
      <c r="J271" s="194">
        <v>5</v>
      </c>
      <c r="K271" s="193"/>
      <c r="L271" s="193"/>
      <c r="M271" s="193" t="s">
        <v>37</v>
      </c>
      <c r="N271" s="193" t="s">
        <v>48</v>
      </c>
      <c r="O271" s="194">
        <v>5</v>
      </c>
      <c r="P271" s="194" t="s">
        <v>566</v>
      </c>
      <c r="Q271" s="521">
        <f>R271*(1-Bolts!$E$1179)</f>
        <v>161.30000000000001</v>
      </c>
      <c r="R271" s="150">
        <v>161.30000000000001</v>
      </c>
      <c r="S271" s="168">
        <f t="shared" si="102"/>
        <v>0</v>
      </c>
      <c r="T271" s="211"/>
      <c r="U271" s="169"/>
      <c r="V271" s="170"/>
      <c r="W271" s="171"/>
      <c r="X271" s="172"/>
      <c r="Y271" s="173"/>
      <c r="Z271" s="174"/>
      <c r="AA271" s="175"/>
      <c r="AB271" s="176"/>
      <c r="AC271" s="168">
        <f t="shared" si="103"/>
        <v>0</v>
      </c>
      <c r="AD271" s="177">
        <f t="shared" si="104"/>
        <v>0</v>
      </c>
      <c r="AE271" s="178">
        <v>6.32</v>
      </c>
      <c r="AF271" s="179">
        <f t="shared" si="105"/>
        <v>0</v>
      </c>
      <c r="AH271" s="180"/>
      <c r="AK271" s="1"/>
      <c r="AL271" s="1"/>
      <c r="AM271" s="1"/>
      <c r="AN271" s="1"/>
    </row>
    <row r="272" spans="1:40" ht="12.75" customHeight="1">
      <c r="A272" s="87"/>
      <c r="B272" s="192" t="s">
        <v>567</v>
      </c>
      <c r="C272" s="193" t="s">
        <v>53</v>
      </c>
      <c r="D272" s="193" t="s">
        <v>63</v>
      </c>
      <c r="E272" s="194">
        <v>5</v>
      </c>
      <c r="F272" s="193"/>
      <c r="G272" s="193"/>
      <c r="H272" s="193" t="s">
        <v>121</v>
      </c>
      <c r="I272" s="193" t="s">
        <v>37</v>
      </c>
      <c r="J272" s="194">
        <v>5</v>
      </c>
      <c r="K272" s="193"/>
      <c r="L272" s="193"/>
      <c r="M272" s="193" t="s">
        <v>37</v>
      </c>
      <c r="N272" s="193" t="s">
        <v>49</v>
      </c>
      <c r="O272" s="194">
        <v>5</v>
      </c>
      <c r="P272" s="194" t="s">
        <v>568</v>
      </c>
      <c r="Q272" s="521">
        <f>R272*(1-Bolts!$E$1179)</f>
        <v>119.7</v>
      </c>
      <c r="R272" s="150">
        <v>119.7</v>
      </c>
      <c r="S272" s="168">
        <f t="shared" si="102"/>
        <v>0</v>
      </c>
      <c r="T272" s="211"/>
      <c r="U272" s="169"/>
      <c r="V272" s="170"/>
      <c r="W272" s="171"/>
      <c r="X272" s="172"/>
      <c r="Y272" s="173"/>
      <c r="Z272" s="174"/>
      <c r="AA272" s="175"/>
      <c r="AB272" s="176"/>
      <c r="AC272" s="168">
        <f t="shared" si="103"/>
        <v>0</v>
      </c>
      <c r="AD272" s="177">
        <f t="shared" si="104"/>
        <v>0</v>
      </c>
      <c r="AE272" s="178">
        <v>4.78</v>
      </c>
      <c r="AF272" s="179">
        <f t="shared" si="105"/>
        <v>0</v>
      </c>
      <c r="AH272" s="180"/>
      <c r="AK272" s="1"/>
      <c r="AL272" s="1"/>
      <c r="AM272" s="1"/>
      <c r="AN272" s="1"/>
    </row>
    <row r="273" spans="1:40" ht="12.75" customHeight="1">
      <c r="A273" s="87"/>
      <c r="B273" s="192" t="s">
        <v>569</v>
      </c>
      <c r="C273" s="193" t="s">
        <v>53</v>
      </c>
      <c r="D273" s="193" t="s">
        <v>63</v>
      </c>
      <c r="E273" s="194">
        <v>5</v>
      </c>
      <c r="F273" s="193"/>
      <c r="G273" s="193"/>
      <c r="H273" s="193" t="s">
        <v>121</v>
      </c>
      <c r="I273" s="193" t="s">
        <v>35</v>
      </c>
      <c r="J273" s="194">
        <v>5</v>
      </c>
      <c r="K273" s="193"/>
      <c r="L273" s="193"/>
      <c r="M273" s="193" t="s">
        <v>35</v>
      </c>
      <c r="N273" s="193" t="s">
        <v>49</v>
      </c>
      <c r="O273" s="194">
        <v>5</v>
      </c>
      <c r="P273" s="194" t="s">
        <v>570</v>
      </c>
      <c r="Q273" s="521">
        <f>R273*(1-Bolts!$E$1179)</f>
        <v>153.19999999999999</v>
      </c>
      <c r="R273" s="150">
        <v>153.19999999999999</v>
      </c>
      <c r="S273" s="168">
        <f t="shared" si="102"/>
        <v>0</v>
      </c>
      <c r="T273" s="211"/>
      <c r="U273" s="169"/>
      <c r="V273" s="170"/>
      <c r="W273" s="171"/>
      <c r="X273" s="172"/>
      <c r="Y273" s="173"/>
      <c r="Z273" s="174"/>
      <c r="AA273" s="175"/>
      <c r="AB273" s="176"/>
      <c r="AC273" s="168">
        <f t="shared" si="103"/>
        <v>0</v>
      </c>
      <c r="AD273" s="177">
        <f t="shared" si="104"/>
        <v>0</v>
      </c>
      <c r="AE273" s="178">
        <v>6.73</v>
      </c>
      <c r="AF273" s="179">
        <f t="shared" si="105"/>
        <v>0</v>
      </c>
      <c r="AH273" s="180"/>
      <c r="AK273" s="1"/>
      <c r="AL273" s="1"/>
      <c r="AM273" s="1"/>
      <c r="AN273" s="1"/>
    </row>
    <row r="274" spans="1:40" ht="12.75" customHeight="1">
      <c r="A274" s="87"/>
      <c r="B274" s="192" t="s">
        <v>571</v>
      </c>
      <c r="C274" s="193" t="s">
        <v>53</v>
      </c>
      <c r="D274" s="193" t="s">
        <v>63</v>
      </c>
      <c r="E274" s="194">
        <v>5</v>
      </c>
      <c r="F274" s="193"/>
      <c r="G274" s="193"/>
      <c r="H274" s="193" t="s">
        <v>121</v>
      </c>
      <c r="I274" s="193" t="s">
        <v>37</v>
      </c>
      <c r="J274" s="194">
        <v>5</v>
      </c>
      <c r="K274" s="193"/>
      <c r="L274" s="193"/>
      <c r="M274" s="193" t="s">
        <v>37</v>
      </c>
      <c r="N274" s="193" t="s">
        <v>49</v>
      </c>
      <c r="O274" s="194">
        <v>5</v>
      </c>
      <c r="P274" s="194" t="s">
        <v>572</v>
      </c>
      <c r="Q274" s="521">
        <f>R274*(1-Bolts!$E$1179)</f>
        <v>147.19999999999999</v>
      </c>
      <c r="R274" s="150">
        <v>147.19999999999999</v>
      </c>
      <c r="S274" s="168">
        <f t="shared" si="102"/>
        <v>0</v>
      </c>
      <c r="T274" s="211"/>
      <c r="U274" s="169"/>
      <c r="V274" s="170"/>
      <c r="W274" s="171"/>
      <c r="X274" s="172"/>
      <c r="Y274" s="173"/>
      <c r="Z274" s="174"/>
      <c r="AA274" s="175"/>
      <c r="AB274" s="176"/>
      <c r="AC274" s="168">
        <f t="shared" si="103"/>
        <v>0</v>
      </c>
      <c r="AD274" s="177">
        <f t="shared" si="104"/>
        <v>0</v>
      </c>
      <c r="AE274" s="178">
        <v>6.38</v>
      </c>
      <c r="AF274" s="179">
        <f t="shared" si="105"/>
        <v>0</v>
      </c>
      <c r="AH274" s="180"/>
      <c r="AK274" s="1"/>
      <c r="AL274" s="1"/>
      <c r="AM274" s="1"/>
      <c r="AN274" s="1"/>
    </row>
    <row r="275" spans="1:40" ht="12.75" customHeight="1">
      <c r="A275" s="87"/>
      <c r="B275" s="192" t="s">
        <v>573</v>
      </c>
      <c r="C275" s="193" t="s">
        <v>53</v>
      </c>
      <c r="D275" s="193" t="s">
        <v>63</v>
      </c>
      <c r="E275" s="194">
        <v>5</v>
      </c>
      <c r="F275" s="193"/>
      <c r="G275" s="193"/>
      <c r="H275" s="193" t="s">
        <v>121</v>
      </c>
      <c r="I275" s="193" t="s">
        <v>35</v>
      </c>
      <c r="J275" s="194">
        <v>5</v>
      </c>
      <c r="K275" s="193"/>
      <c r="L275" s="193"/>
      <c r="M275" s="193" t="s">
        <v>35</v>
      </c>
      <c r="N275" s="193" t="s">
        <v>49</v>
      </c>
      <c r="O275" s="194">
        <v>5</v>
      </c>
      <c r="P275" s="194" t="s">
        <v>574</v>
      </c>
      <c r="Q275" s="521">
        <f>R275*(1-Bolts!$E$1179)</f>
        <v>116.8</v>
      </c>
      <c r="R275" s="150">
        <v>116.8</v>
      </c>
      <c r="S275" s="168">
        <f t="shared" si="102"/>
        <v>0</v>
      </c>
      <c r="T275" s="211"/>
      <c r="U275" s="169"/>
      <c r="V275" s="170"/>
      <c r="W275" s="171"/>
      <c r="X275" s="172"/>
      <c r="Y275" s="173"/>
      <c r="Z275" s="174"/>
      <c r="AA275" s="175"/>
      <c r="AB275" s="176"/>
      <c r="AC275" s="168">
        <f t="shared" si="103"/>
        <v>0</v>
      </c>
      <c r="AD275" s="177">
        <f t="shared" si="104"/>
        <v>0</v>
      </c>
      <c r="AE275" s="178">
        <v>3.72</v>
      </c>
      <c r="AF275" s="179">
        <f t="shared" si="105"/>
        <v>0</v>
      </c>
      <c r="AH275" s="180"/>
      <c r="AK275" s="1"/>
      <c r="AL275" s="1"/>
      <c r="AM275" s="1"/>
      <c r="AN275" s="1"/>
    </row>
    <row r="276" spans="1:40" ht="12.75" customHeight="1">
      <c r="A276" s="87"/>
      <c r="B276" s="192" t="s">
        <v>575</v>
      </c>
      <c r="C276" s="193" t="s">
        <v>53</v>
      </c>
      <c r="D276" s="193" t="s">
        <v>63</v>
      </c>
      <c r="E276" s="194">
        <v>10</v>
      </c>
      <c r="F276" s="193"/>
      <c r="G276" s="193"/>
      <c r="H276" s="193" t="s">
        <v>121</v>
      </c>
      <c r="I276" s="193" t="s">
        <v>35</v>
      </c>
      <c r="J276" s="194">
        <v>10</v>
      </c>
      <c r="K276" s="193"/>
      <c r="L276" s="193"/>
      <c r="M276" s="193" t="s">
        <v>35</v>
      </c>
      <c r="N276" s="193" t="s">
        <v>48</v>
      </c>
      <c r="O276" s="194">
        <v>10</v>
      </c>
      <c r="P276" s="194" t="s">
        <v>576</v>
      </c>
      <c r="Q276" s="521">
        <f>R276*(1-Bolts!$E$1179)</f>
        <v>261.2</v>
      </c>
      <c r="R276" s="150">
        <v>261.2</v>
      </c>
      <c r="S276" s="168">
        <f t="shared" si="102"/>
        <v>0</v>
      </c>
      <c r="T276" s="211"/>
      <c r="U276" s="169"/>
      <c r="V276" s="170"/>
      <c r="W276" s="171"/>
      <c r="X276" s="172"/>
      <c r="Y276" s="173"/>
      <c r="Z276" s="174"/>
      <c r="AA276" s="175"/>
      <c r="AB276" s="176"/>
      <c r="AC276" s="168">
        <f t="shared" si="103"/>
        <v>0</v>
      </c>
      <c r="AD276" s="177">
        <f t="shared" si="104"/>
        <v>0</v>
      </c>
      <c r="AE276" s="178">
        <v>10.83</v>
      </c>
      <c r="AF276" s="179">
        <f t="shared" si="105"/>
        <v>0</v>
      </c>
      <c r="AH276" s="180"/>
      <c r="AK276" s="1"/>
      <c r="AL276" s="1"/>
      <c r="AM276" s="1"/>
      <c r="AN276" s="1"/>
    </row>
    <row r="277" spans="1:40" ht="12.75" customHeight="1">
      <c r="A277" s="87"/>
      <c r="B277" s="185"/>
      <c r="C277" s="165"/>
      <c r="D277" s="165"/>
      <c r="E277" s="166"/>
      <c r="F277" s="165"/>
      <c r="G277" s="165"/>
      <c r="H277" s="165"/>
      <c r="I277" s="165"/>
      <c r="J277" s="166"/>
      <c r="K277" s="165"/>
      <c r="L277" s="165"/>
      <c r="M277" s="165"/>
      <c r="N277" s="165"/>
      <c r="O277" s="166"/>
      <c r="P277" s="166"/>
      <c r="Q277" s="522"/>
      <c r="R277" s="150"/>
      <c r="S277" s="186"/>
      <c r="T277" s="187"/>
      <c r="U277" s="187"/>
      <c r="V277" s="188"/>
      <c r="W277" s="187"/>
      <c r="X277" s="187"/>
      <c r="Y277" s="187"/>
      <c r="Z277" s="187"/>
      <c r="AA277" s="187"/>
      <c r="AB277" s="188"/>
      <c r="AC277" s="186"/>
      <c r="AD277" s="189"/>
      <c r="AE277" s="190"/>
      <c r="AF277" s="191"/>
      <c r="AH277" s="180"/>
      <c r="AK277" s="1"/>
      <c r="AL277" s="1"/>
      <c r="AM277" s="1"/>
      <c r="AN277" s="1"/>
    </row>
    <row r="278" spans="1:40" ht="12.75" customHeight="1">
      <c r="A278" s="87"/>
      <c r="B278" s="192" t="s">
        <v>577</v>
      </c>
      <c r="C278" s="193" t="s">
        <v>53</v>
      </c>
      <c r="D278" s="193" t="s">
        <v>48</v>
      </c>
      <c r="E278" s="194">
        <v>10</v>
      </c>
      <c r="F278" s="193"/>
      <c r="G278" s="193"/>
      <c r="H278" s="193" t="s">
        <v>121</v>
      </c>
      <c r="I278" s="193" t="s">
        <v>29</v>
      </c>
      <c r="J278" s="194">
        <v>10</v>
      </c>
      <c r="K278" s="193"/>
      <c r="L278" s="193"/>
      <c r="M278" s="193" t="s">
        <v>29</v>
      </c>
      <c r="N278" s="193" t="s">
        <v>47</v>
      </c>
      <c r="O278" s="194">
        <v>10</v>
      </c>
      <c r="P278" s="194" t="s">
        <v>578</v>
      </c>
      <c r="Q278" s="521">
        <f>R278*(1-Bolts!$E$1179)</f>
        <v>193.5</v>
      </c>
      <c r="R278" s="150">
        <v>193.5</v>
      </c>
      <c r="S278" s="168">
        <f t="shared" ref="S278:S286" si="106">SUM(T278:AB278)</f>
        <v>0</v>
      </c>
      <c r="T278" s="211"/>
      <c r="U278" s="169"/>
      <c r="V278" s="170"/>
      <c r="W278" s="171"/>
      <c r="X278" s="172"/>
      <c r="Y278" s="173"/>
      <c r="Z278" s="174"/>
      <c r="AA278" s="175"/>
      <c r="AB278" s="176"/>
      <c r="AC278" s="168">
        <f t="shared" ref="AC278:AC286" si="107">S278*O278</f>
        <v>0</v>
      </c>
      <c r="AD278" s="177">
        <f t="shared" ref="AD278:AD286" si="108">S278*R278</f>
        <v>0</v>
      </c>
      <c r="AE278" s="178">
        <v>8.32</v>
      </c>
      <c r="AF278" s="179">
        <f t="shared" ref="AF278:AF286" si="109">AE278*S278</f>
        <v>0</v>
      </c>
      <c r="AH278" s="180"/>
      <c r="AK278" s="1"/>
      <c r="AL278" s="1"/>
      <c r="AM278" s="1"/>
      <c r="AN278" s="1"/>
    </row>
    <row r="279" spans="1:40" ht="12.75" customHeight="1">
      <c r="A279" s="87"/>
      <c r="B279" s="192" t="s">
        <v>579</v>
      </c>
      <c r="C279" s="193" t="s">
        <v>53</v>
      </c>
      <c r="D279" s="193" t="s">
        <v>48</v>
      </c>
      <c r="E279" s="194">
        <v>14</v>
      </c>
      <c r="F279" s="193"/>
      <c r="G279" s="193"/>
      <c r="H279" s="193" t="s">
        <v>121</v>
      </c>
      <c r="I279" s="193" t="s">
        <v>36</v>
      </c>
      <c r="J279" s="194">
        <v>14</v>
      </c>
      <c r="K279" s="193"/>
      <c r="L279" s="193"/>
      <c r="M279" s="193" t="s">
        <v>36</v>
      </c>
      <c r="N279" s="193" t="s">
        <v>49</v>
      </c>
      <c r="O279" s="194">
        <v>14</v>
      </c>
      <c r="P279" s="194" t="s">
        <v>580</v>
      </c>
      <c r="Q279" s="521">
        <f>R279*(1-Bolts!$E$1179)</f>
        <v>408.3</v>
      </c>
      <c r="R279" s="150">
        <v>408.3</v>
      </c>
      <c r="S279" s="168">
        <f t="shared" si="106"/>
        <v>0</v>
      </c>
      <c r="T279" s="211"/>
      <c r="U279" s="169"/>
      <c r="V279" s="170"/>
      <c r="W279" s="171"/>
      <c r="X279" s="172"/>
      <c r="Y279" s="173"/>
      <c r="Z279" s="174"/>
      <c r="AA279" s="175"/>
      <c r="AB279" s="176"/>
      <c r="AC279" s="168">
        <f t="shared" si="107"/>
        <v>0</v>
      </c>
      <c r="AD279" s="177">
        <f t="shared" si="108"/>
        <v>0</v>
      </c>
      <c r="AE279" s="178">
        <v>19.760000000000002</v>
      </c>
      <c r="AF279" s="179">
        <f t="shared" si="109"/>
        <v>0</v>
      </c>
      <c r="AH279" s="180"/>
      <c r="AK279" s="1"/>
      <c r="AL279" s="1"/>
      <c r="AM279" s="1"/>
      <c r="AN279" s="1"/>
    </row>
    <row r="280" spans="1:40" ht="12.75" customHeight="1">
      <c r="A280" s="87"/>
      <c r="B280" s="192" t="s">
        <v>581</v>
      </c>
      <c r="C280" s="193" t="s">
        <v>53</v>
      </c>
      <c r="D280" s="193" t="s">
        <v>48</v>
      </c>
      <c r="E280" s="194">
        <v>10</v>
      </c>
      <c r="F280" s="193"/>
      <c r="G280" s="193"/>
      <c r="H280" s="193" t="s">
        <v>121</v>
      </c>
      <c r="I280" s="193" t="s">
        <v>36</v>
      </c>
      <c r="J280" s="194">
        <v>10</v>
      </c>
      <c r="K280" s="193"/>
      <c r="L280" s="193"/>
      <c r="M280" s="193" t="s">
        <v>36</v>
      </c>
      <c r="N280" s="193" t="s">
        <v>48</v>
      </c>
      <c r="O280" s="194">
        <v>10</v>
      </c>
      <c r="P280" s="194" t="s">
        <v>582</v>
      </c>
      <c r="Q280" s="521">
        <f>R280*(1-Bolts!$E$1179)</f>
        <v>259.39999999999998</v>
      </c>
      <c r="R280" s="150">
        <v>259.39999999999998</v>
      </c>
      <c r="S280" s="168">
        <f t="shared" si="106"/>
        <v>0</v>
      </c>
      <c r="T280" s="211"/>
      <c r="U280" s="169"/>
      <c r="V280" s="170"/>
      <c r="W280" s="171"/>
      <c r="X280" s="172"/>
      <c r="Y280" s="173"/>
      <c r="Z280" s="174"/>
      <c r="AA280" s="175"/>
      <c r="AB280" s="176"/>
      <c r="AC280" s="168">
        <f t="shared" si="107"/>
        <v>0</v>
      </c>
      <c r="AD280" s="177">
        <f t="shared" si="108"/>
        <v>0</v>
      </c>
      <c r="AE280" s="178">
        <v>12.19</v>
      </c>
      <c r="AF280" s="179">
        <f t="shared" si="109"/>
        <v>0</v>
      </c>
      <c r="AH280" s="180"/>
      <c r="AK280" s="1"/>
      <c r="AL280" s="1"/>
      <c r="AM280" s="1"/>
      <c r="AN280" s="1"/>
    </row>
    <row r="281" spans="1:40" ht="12.75" customHeight="1">
      <c r="A281" s="87"/>
      <c r="B281" s="192" t="s">
        <v>583</v>
      </c>
      <c r="C281" s="193" t="s">
        <v>53</v>
      </c>
      <c r="D281" s="193" t="s">
        <v>48</v>
      </c>
      <c r="E281" s="194">
        <v>10</v>
      </c>
      <c r="F281" s="193"/>
      <c r="G281" s="193"/>
      <c r="H281" s="193" t="s">
        <v>121</v>
      </c>
      <c r="I281" s="193" t="s">
        <v>36</v>
      </c>
      <c r="J281" s="194">
        <v>10</v>
      </c>
      <c r="K281" s="193"/>
      <c r="L281" s="193"/>
      <c r="M281" s="193" t="s">
        <v>36</v>
      </c>
      <c r="N281" s="193" t="s">
        <v>48</v>
      </c>
      <c r="O281" s="194">
        <v>10</v>
      </c>
      <c r="P281" s="194" t="s">
        <v>584</v>
      </c>
      <c r="Q281" s="521">
        <f>R281*(1-Bolts!$E$1179)</f>
        <v>258.8</v>
      </c>
      <c r="R281" s="150">
        <v>258.8</v>
      </c>
      <c r="S281" s="168">
        <f t="shared" si="106"/>
        <v>0</v>
      </c>
      <c r="T281" s="211"/>
      <c r="U281" s="169"/>
      <c r="V281" s="170"/>
      <c r="W281" s="171"/>
      <c r="X281" s="172"/>
      <c r="Y281" s="173"/>
      <c r="Z281" s="174"/>
      <c r="AA281" s="175"/>
      <c r="AB281" s="176"/>
      <c r="AC281" s="168">
        <f t="shared" si="107"/>
        <v>0</v>
      </c>
      <c r="AD281" s="177">
        <f t="shared" si="108"/>
        <v>0</v>
      </c>
      <c r="AE281" s="178">
        <v>11.85</v>
      </c>
      <c r="AF281" s="179">
        <f t="shared" si="109"/>
        <v>0</v>
      </c>
      <c r="AH281" s="180"/>
      <c r="AK281" s="1"/>
      <c r="AL281" s="1"/>
      <c r="AM281" s="1"/>
      <c r="AN281" s="1"/>
    </row>
    <row r="282" spans="1:40" ht="12.75" customHeight="1">
      <c r="A282" s="181"/>
      <c r="B282" s="192" t="s">
        <v>585</v>
      </c>
      <c r="C282" s="193" t="s">
        <v>53</v>
      </c>
      <c r="D282" s="193" t="s">
        <v>48</v>
      </c>
      <c r="E282" s="194">
        <v>10</v>
      </c>
      <c r="F282" s="193"/>
      <c r="G282" s="193"/>
      <c r="H282" s="193" t="s">
        <v>121</v>
      </c>
      <c r="I282" s="193" t="s">
        <v>33</v>
      </c>
      <c r="J282" s="194">
        <v>10</v>
      </c>
      <c r="K282" s="193"/>
      <c r="L282" s="193"/>
      <c r="M282" s="193" t="s">
        <v>33</v>
      </c>
      <c r="N282" s="193" t="s">
        <v>48</v>
      </c>
      <c r="O282" s="194">
        <v>10</v>
      </c>
      <c r="P282" s="194" t="s">
        <v>586</v>
      </c>
      <c r="Q282" s="521">
        <f>R282*(1-Bolts!$E$1179)</f>
        <v>131.19999999999999</v>
      </c>
      <c r="R282" s="150">
        <v>131.19999999999999</v>
      </c>
      <c r="S282" s="168">
        <f t="shared" si="106"/>
        <v>0</v>
      </c>
      <c r="T282" s="211"/>
      <c r="U282" s="169"/>
      <c r="V282" s="170"/>
      <c r="W282" s="171"/>
      <c r="X282" s="172"/>
      <c r="Y282" s="173"/>
      <c r="Z282" s="174"/>
      <c r="AA282" s="175"/>
      <c r="AB282" s="176"/>
      <c r="AC282" s="168">
        <f t="shared" si="107"/>
        <v>0</v>
      </c>
      <c r="AD282" s="177">
        <f t="shared" si="108"/>
        <v>0</v>
      </c>
      <c r="AE282" s="178">
        <v>10.4</v>
      </c>
      <c r="AF282" s="179">
        <f t="shared" si="109"/>
        <v>0</v>
      </c>
      <c r="AH282" s="180"/>
      <c r="AK282" s="1"/>
      <c r="AL282" s="1"/>
      <c r="AM282" s="1"/>
      <c r="AN282" s="1"/>
    </row>
    <row r="283" spans="1:40" ht="12.75" customHeight="1">
      <c r="A283" s="87"/>
      <c r="B283" s="192" t="s">
        <v>587</v>
      </c>
      <c r="C283" s="193" t="s">
        <v>53</v>
      </c>
      <c r="D283" s="193" t="s">
        <v>48</v>
      </c>
      <c r="E283" s="194">
        <v>10</v>
      </c>
      <c r="F283" s="193"/>
      <c r="G283" s="193"/>
      <c r="H283" s="193" t="s">
        <v>121</v>
      </c>
      <c r="I283" s="193" t="s">
        <v>30</v>
      </c>
      <c r="J283" s="194">
        <v>10</v>
      </c>
      <c r="K283" s="193"/>
      <c r="L283" s="193"/>
      <c r="M283" s="193" t="s">
        <v>30</v>
      </c>
      <c r="N283" s="193" t="s">
        <v>48</v>
      </c>
      <c r="O283" s="194">
        <v>10</v>
      </c>
      <c r="P283" s="194" t="s">
        <v>588</v>
      </c>
      <c r="Q283" s="521">
        <f>R283*(1-Bolts!$E$1179)</f>
        <v>127</v>
      </c>
      <c r="R283" s="150">
        <v>127</v>
      </c>
      <c r="S283" s="168">
        <f t="shared" si="106"/>
        <v>0</v>
      </c>
      <c r="T283" s="211"/>
      <c r="U283" s="169"/>
      <c r="V283" s="170"/>
      <c r="W283" s="171"/>
      <c r="X283" s="172"/>
      <c r="Y283" s="173"/>
      <c r="Z283" s="174"/>
      <c r="AA283" s="175"/>
      <c r="AB283" s="176"/>
      <c r="AC283" s="168">
        <f t="shared" si="107"/>
        <v>0</v>
      </c>
      <c r="AD283" s="177">
        <f t="shared" si="108"/>
        <v>0</v>
      </c>
      <c r="AE283" s="178">
        <v>4.46</v>
      </c>
      <c r="AF283" s="179">
        <f t="shared" si="109"/>
        <v>0</v>
      </c>
      <c r="AH283" s="180"/>
      <c r="AK283" s="1"/>
      <c r="AL283" s="1"/>
      <c r="AM283" s="1"/>
      <c r="AN283" s="1"/>
    </row>
    <row r="284" spans="1:40" ht="12.75" customHeight="1">
      <c r="A284" s="87"/>
      <c r="B284" s="192" t="s">
        <v>589</v>
      </c>
      <c r="C284" s="193" t="s">
        <v>53</v>
      </c>
      <c r="D284" s="193" t="s">
        <v>48</v>
      </c>
      <c r="E284" s="194">
        <v>10</v>
      </c>
      <c r="F284" s="193"/>
      <c r="G284" s="193"/>
      <c r="H284" s="193" t="s">
        <v>121</v>
      </c>
      <c r="I284" s="193" t="s">
        <v>37</v>
      </c>
      <c r="J284" s="194">
        <v>10</v>
      </c>
      <c r="K284" s="193"/>
      <c r="L284" s="193"/>
      <c r="M284" s="193" t="s">
        <v>37</v>
      </c>
      <c r="N284" s="193" t="s">
        <v>49</v>
      </c>
      <c r="O284" s="194">
        <v>10</v>
      </c>
      <c r="P284" s="194" t="s">
        <v>590</v>
      </c>
      <c r="Q284" s="521">
        <f>R284*(1-Bolts!$E$1179)</f>
        <v>114.1</v>
      </c>
      <c r="R284" s="150">
        <v>114.1</v>
      </c>
      <c r="S284" s="168">
        <f t="shared" si="106"/>
        <v>0</v>
      </c>
      <c r="T284" s="211"/>
      <c r="U284" s="169"/>
      <c r="V284" s="170"/>
      <c r="W284" s="171"/>
      <c r="X284" s="172"/>
      <c r="Y284" s="173"/>
      <c r="Z284" s="174"/>
      <c r="AA284" s="175"/>
      <c r="AB284" s="176"/>
      <c r="AC284" s="168">
        <f t="shared" si="107"/>
        <v>0</v>
      </c>
      <c r="AD284" s="177">
        <f t="shared" si="108"/>
        <v>0</v>
      </c>
      <c r="AE284" s="178">
        <v>3.71</v>
      </c>
      <c r="AF284" s="179">
        <f t="shared" si="109"/>
        <v>0</v>
      </c>
      <c r="AH284" s="180"/>
      <c r="AK284" s="1"/>
      <c r="AL284" s="1"/>
      <c r="AM284" s="1"/>
      <c r="AN284" s="1"/>
    </row>
    <row r="285" spans="1:40" ht="12.75" customHeight="1">
      <c r="A285" s="87"/>
      <c r="B285" s="192" t="s">
        <v>591</v>
      </c>
      <c r="C285" s="193" t="s">
        <v>53</v>
      </c>
      <c r="D285" s="193" t="s">
        <v>48</v>
      </c>
      <c r="E285" s="194">
        <v>10</v>
      </c>
      <c r="F285" s="193"/>
      <c r="G285" s="193"/>
      <c r="H285" s="193" t="s">
        <v>121</v>
      </c>
      <c r="I285" s="193" t="s">
        <v>32</v>
      </c>
      <c r="J285" s="194">
        <v>10</v>
      </c>
      <c r="K285" s="193"/>
      <c r="L285" s="193"/>
      <c r="M285" s="193" t="s">
        <v>32</v>
      </c>
      <c r="N285" s="193" t="s">
        <v>48</v>
      </c>
      <c r="O285" s="194">
        <v>10</v>
      </c>
      <c r="P285" s="194" t="s">
        <v>592</v>
      </c>
      <c r="Q285" s="521">
        <f>R285*(1-Bolts!$E$1179)</f>
        <v>160</v>
      </c>
      <c r="R285" s="150">
        <v>160</v>
      </c>
      <c r="S285" s="168">
        <f t="shared" si="106"/>
        <v>0</v>
      </c>
      <c r="T285" s="211"/>
      <c r="U285" s="169"/>
      <c r="V285" s="170"/>
      <c r="W285" s="171"/>
      <c r="X285" s="172"/>
      <c r="Y285" s="173"/>
      <c r="Z285" s="174"/>
      <c r="AA285" s="175"/>
      <c r="AB285" s="176"/>
      <c r="AC285" s="168">
        <f t="shared" si="107"/>
        <v>0</v>
      </c>
      <c r="AD285" s="177">
        <f t="shared" si="108"/>
        <v>0</v>
      </c>
      <c r="AE285" s="178">
        <v>6.38</v>
      </c>
      <c r="AF285" s="179">
        <f t="shared" si="109"/>
        <v>0</v>
      </c>
      <c r="AH285" s="180"/>
      <c r="AK285" s="1"/>
      <c r="AL285" s="1"/>
      <c r="AM285" s="1"/>
      <c r="AN285" s="1"/>
    </row>
    <row r="286" spans="1:40" ht="12.75" customHeight="1">
      <c r="A286" s="87"/>
      <c r="B286" s="192" t="s">
        <v>593</v>
      </c>
      <c r="C286" s="193" t="s">
        <v>53</v>
      </c>
      <c r="D286" s="193" t="s">
        <v>48</v>
      </c>
      <c r="E286" s="194">
        <v>10</v>
      </c>
      <c r="F286" s="193"/>
      <c r="G286" s="193"/>
      <c r="H286" s="193" t="s">
        <v>121</v>
      </c>
      <c r="I286" s="193" t="s">
        <v>31</v>
      </c>
      <c r="J286" s="194">
        <v>10</v>
      </c>
      <c r="K286" s="193"/>
      <c r="L286" s="193"/>
      <c r="M286" s="193" t="s">
        <v>31</v>
      </c>
      <c r="N286" s="193" t="s">
        <v>48</v>
      </c>
      <c r="O286" s="194">
        <v>10</v>
      </c>
      <c r="P286" s="194" t="s">
        <v>594</v>
      </c>
      <c r="Q286" s="521">
        <f>R286*(1-Bolts!$E$1179)</f>
        <v>169.2</v>
      </c>
      <c r="R286" s="150">
        <v>169.2</v>
      </c>
      <c r="S286" s="168">
        <f t="shared" si="106"/>
        <v>0</v>
      </c>
      <c r="T286" s="211"/>
      <c r="U286" s="169"/>
      <c r="V286" s="170"/>
      <c r="W286" s="171"/>
      <c r="X286" s="172"/>
      <c r="Y286" s="173"/>
      <c r="Z286" s="174"/>
      <c r="AA286" s="175"/>
      <c r="AB286" s="176"/>
      <c r="AC286" s="168">
        <f t="shared" si="107"/>
        <v>0</v>
      </c>
      <c r="AD286" s="177">
        <f t="shared" si="108"/>
        <v>0</v>
      </c>
      <c r="AE286" s="178">
        <v>6.91</v>
      </c>
      <c r="AF286" s="179">
        <f t="shared" si="109"/>
        <v>0</v>
      </c>
      <c r="AH286" s="180"/>
      <c r="AK286" s="1"/>
      <c r="AL286" s="1"/>
      <c r="AM286" s="1"/>
      <c r="AN286" s="1"/>
    </row>
    <row r="287" spans="1:40" ht="12.75" customHeight="1">
      <c r="A287" s="87"/>
      <c r="B287" s="185"/>
      <c r="C287" s="165"/>
      <c r="D287" s="165"/>
      <c r="E287" s="166"/>
      <c r="F287" s="165"/>
      <c r="G287" s="165"/>
      <c r="H287" s="165"/>
      <c r="I287" s="165"/>
      <c r="J287" s="166"/>
      <c r="K287" s="165"/>
      <c r="L287" s="165"/>
      <c r="M287" s="165"/>
      <c r="N287" s="165"/>
      <c r="O287" s="166"/>
      <c r="P287" s="166"/>
      <c r="Q287" s="522"/>
      <c r="R287" s="150"/>
      <c r="S287" s="186"/>
      <c r="T287" s="187"/>
      <c r="U287" s="187"/>
      <c r="V287" s="188"/>
      <c r="W287" s="187"/>
      <c r="X287" s="187"/>
      <c r="Y287" s="187"/>
      <c r="Z287" s="187"/>
      <c r="AA287" s="187"/>
      <c r="AB287" s="188"/>
      <c r="AC287" s="186"/>
      <c r="AD287" s="189"/>
      <c r="AE287" s="190"/>
      <c r="AF287" s="191"/>
      <c r="AH287" s="180"/>
      <c r="AK287" s="1"/>
      <c r="AL287" s="1"/>
      <c r="AM287" s="1"/>
      <c r="AN287" s="1"/>
    </row>
    <row r="288" spans="1:40" ht="12.75" customHeight="1">
      <c r="A288" s="87"/>
      <c r="B288" s="192" t="s">
        <v>595</v>
      </c>
      <c r="C288" s="193" t="s">
        <v>53</v>
      </c>
      <c r="D288" s="193" t="s">
        <v>64</v>
      </c>
      <c r="E288" s="194">
        <v>10</v>
      </c>
      <c r="F288" s="193"/>
      <c r="G288" s="193"/>
      <c r="H288" s="193" t="s">
        <v>121</v>
      </c>
      <c r="I288" s="193" t="s">
        <v>32</v>
      </c>
      <c r="J288" s="194">
        <v>10</v>
      </c>
      <c r="K288" s="193"/>
      <c r="L288" s="193"/>
      <c r="M288" s="193" t="s">
        <v>32</v>
      </c>
      <c r="N288" s="193" t="s">
        <v>49</v>
      </c>
      <c r="O288" s="194">
        <v>10</v>
      </c>
      <c r="P288" s="194" t="s">
        <v>596</v>
      </c>
      <c r="Q288" s="521">
        <f>R288*(1-Bolts!$E$1179)</f>
        <v>78.400000000000006</v>
      </c>
      <c r="R288" s="150">
        <v>78.400000000000006</v>
      </c>
      <c r="S288" s="168">
        <f t="shared" ref="S288:S298" si="110">SUM(T288:AB288)</f>
        <v>0</v>
      </c>
      <c r="T288" s="211"/>
      <c r="U288" s="169"/>
      <c r="V288" s="170"/>
      <c r="W288" s="171"/>
      <c r="X288" s="172"/>
      <c r="Y288" s="173"/>
      <c r="Z288" s="174"/>
      <c r="AA288" s="175"/>
      <c r="AB288" s="176"/>
      <c r="AC288" s="168">
        <f t="shared" ref="AC288:AC298" si="111">S288*O288</f>
        <v>0</v>
      </c>
      <c r="AD288" s="177">
        <f t="shared" ref="AD288:AD298" si="112">S288*R288</f>
        <v>0</v>
      </c>
      <c r="AE288" s="178">
        <v>1.64</v>
      </c>
      <c r="AF288" s="179">
        <f t="shared" ref="AF288:AF298" si="113">AE288*S288</f>
        <v>0</v>
      </c>
      <c r="AH288" s="180"/>
      <c r="AK288" s="1"/>
      <c r="AL288" s="1"/>
      <c r="AM288" s="1"/>
      <c r="AN288" s="1"/>
    </row>
    <row r="289" spans="1:40" ht="12.75" customHeight="1">
      <c r="A289" s="87"/>
      <c r="B289" s="192" t="s">
        <v>597</v>
      </c>
      <c r="C289" s="193" t="s">
        <v>53</v>
      </c>
      <c r="D289" s="193" t="s">
        <v>64</v>
      </c>
      <c r="E289" s="194">
        <v>10</v>
      </c>
      <c r="F289" s="193"/>
      <c r="G289" s="193"/>
      <c r="H289" s="193" t="s">
        <v>121</v>
      </c>
      <c r="I289" s="193" t="s">
        <v>37</v>
      </c>
      <c r="J289" s="194">
        <v>10</v>
      </c>
      <c r="K289" s="193"/>
      <c r="L289" s="193"/>
      <c r="M289" s="193" t="s">
        <v>37</v>
      </c>
      <c r="N289" s="193" t="s">
        <v>49</v>
      </c>
      <c r="O289" s="194">
        <v>10</v>
      </c>
      <c r="P289" s="194" t="s">
        <v>598</v>
      </c>
      <c r="Q289" s="521">
        <f>R289*(1-Bolts!$E$1179)</f>
        <v>144.9</v>
      </c>
      <c r="R289" s="150">
        <v>144.9</v>
      </c>
      <c r="S289" s="168">
        <f t="shared" si="110"/>
        <v>0</v>
      </c>
      <c r="T289" s="211"/>
      <c r="U289" s="169"/>
      <c r="V289" s="170"/>
      <c r="W289" s="171"/>
      <c r="X289" s="172"/>
      <c r="Y289" s="173"/>
      <c r="Z289" s="174"/>
      <c r="AA289" s="175"/>
      <c r="AB289" s="176"/>
      <c r="AC289" s="168">
        <f t="shared" si="111"/>
        <v>0</v>
      </c>
      <c r="AD289" s="177">
        <f t="shared" si="112"/>
        <v>0</v>
      </c>
      <c r="AE289" s="178">
        <v>5.5</v>
      </c>
      <c r="AF289" s="179">
        <f t="shared" si="113"/>
        <v>0</v>
      </c>
      <c r="AH289" s="180"/>
      <c r="AK289" s="1"/>
      <c r="AL289" s="1"/>
      <c r="AM289" s="1"/>
      <c r="AN289" s="1"/>
    </row>
    <row r="290" spans="1:40" ht="12.75" customHeight="1">
      <c r="A290" s="181"/>
      <c r="B290" s="192" t="s">
        <v>599</v>
      </c>
      <c r="C290" s="193" t="s">
        <v>53</v>
      </c>
      <c r="D290" s="193" t="s">
        <v>64</v>
      </c>
      <c r="E290" s="194">
        <v>10</v>
      </c>
      <c r="F290" s="193"/>
      <c r="G290" s="193"/>
      <c r="H290" s="193" t="s">
        <v>121</v>
      </c>
      <c r="I290" s="193" t="s">
        <v>33</v>
      </c>
      <c r="J290" s="194">
        <v>10</v>
      </c>
      <c r="K290" s="193"/>
      <c r="L290" s="193"/>
      <c r="M290" s="193" t="s">
        <v>33</v>
      </c>
      <c r="N290" s="193" t="s">
        <v>48</v>
      </c>
      <c r="O290" s="194">
        <v>10</v>
      </c>
      <c r="P290" s="194" t="s">
        <v>600</v>
      </c>
      <c r="Q290" s="521">
        <f>R290*(1-Bolts!$E$1179)</f>
        <v>122.8</v>
      </c>
      <c r="R290" s="150">
        <v>122.8</v>
      </c>
      <c r="S290" s="168">
        <f t="shared" si="110"/>
        <v>0</v>
      </c>
      <c r="T290" s="211"/>
      <c r="U290" s="169"/>
      <c r="V290" s="170"/>
      <c r="W290" s="171"/>
      <c r="X290" s="172"/>
      <c r="Y290" s="173"/>
      <c r="Z290" s="174"/>
      <c r="AA290" s="175"/>
      <c r="AB290" s="176"/>
      <c r="AC290" s="168">
        <f t="shared" si="111"/>
        <v>0</v>
      </c>
      <c r="AD290" s="177">
        <f t="shared" si="112"/>
        <v>0</v>
      </c>
      <c r="AE290" s="178">
        <v>3.9</v>
      </c>
      <c r="AF290" s="179">
        <f t="shared" si="113"/>
        <v>0</v>
      </c>
      <c r="AH290" s="180"/>
      <c r="AK290" s="1"/>
      <c r="AL290" s="1"/>
      <c r="AM290" s="1"/>
      <c r="AN290" s="1"/>
    </row>
    <row r="291" spans="1:40" ht="12.75" customHeight="1">
      <c r="A291" s="181"/>
      <c r="B291" s="192" t="s">
        <v>601</v>
      </c>
      <c r="C291" s="193" t="s">
        <v>53</v>
      </c>
      <c r="D291" s="193" t="s">
        <v>64</v>
      </c>
      <c r="E291" s="194">
        <v>10</v>
      </c>
      <c r="F291" s="193"/>
      <c r="G291" s="193"/>
      <c r="H291" s="193" t="s">
        <v>121</v>
      </c>
      <c r="I291" s="193" t="s">
        <v>39</v>
      </c>
      <c r="J291" s="194">
        <v>10</v>
      </c>
      <c r="K291" s="193"/>
      <c r="L291" s="193"/>
      <c r="M291" s="193" t="s">
        <v>39</v>
      </c>
      <c r="N291" s="193" t="s">
        <v>48</v>
      </c>
      <c r="O291" s="194">
        <v>10</v>
      </c>
      <c r="P291" s="194" t="s">
        <v>602</v>
      </c>
      <c r="Q291" s="521">
        <f>R291*(1-Bolts!$E$1179)</f>
        <v>126.9</v>
      </c>
      <c r="R291" s="150">
        <v>126.9</v>
      </c>
      <c r="S291" s="168">
        <f t="shared" si="110"/>
        <v>0</v>
      </c>
      <c r="T291" s="211"/>
      <c r="U291" s="169"/>
      <c r="V291" s="170"/>
      <c r="W291" s="171"/>
      <c r="X291" s="172"/>
      <c r="Y291" s="173"/>
      <c r="Z291" s="174"/>
      <c r="AA291" s="175"/>
      <c r="AB291" s="176"/>
      <c r="AC291" s="168">
        <f t="shared" si="111"/>
        <v>0</v>
      </c>
      <c r="AD291" s="177">
        <f t="shared" si="112"/>
        <v>0</v>
      </c>
      <c r="AE291" s="178">
        <v>4.0999999999999996</v>
      </c>
      <c r="AF291" s="179">
        <f t="shared" si="113"/>
        <v>0</v>
      </c>
      <c r="AH291" s="180"/>
      <c r="AK291" s="1"/>
      <c r="AL291" s="1"/>
      <c r="AM291" s="1"/>
      <c r="AN291" s="1"/>
    </row>
    <row r="292" spans="1:40" ht="12.75" customHeight="1">
      <c r="A292" s="181"/>
      <c r="B292" s="192" t="s">
        <v>603</v>
      </c>
      <c r="C292" s="193" t="s">
        <v>53</v>
      </c>
      <c r="D292" s="193" t="s">
        <v>64</v>
      </c>
      <c r="E292" s="194">
        <v>10</v>
      </c>
      <c r="F292" s="193"/>
      <c r="G292" s="193"/>
      <c r="H292" s="193" t="s">
        <v>121</v>
      </c>
      <c r="I292" s="193" t="s">
        <v>39</v>
      </c>
      <c r="J292" s="194">
        <v>10</v>
      </c>
      <c r="K292" s="193"/>
      <c r="L292" s="193"/>
      <c r="M292" s="193" t="s">
        <v>39</v>
      </c>
      <c r="N292" s="193" t="s">
        <v>48</v>
      </c>
      <c r="O292" s="194">
        <v>10</v>
      </c>
      <c r="P292" s="194" t="s">
        <v>604</v>
      </c>
      <c r="Q292" s="521">
        <f>R292*(1-Bolts!$E$1179)</f>
        <v>98.6</v>
      </c>
      <c r="R292" s="150">
        <v>98.6</v>
      </c>
      <c r="S292" s="168">
        <f t="shared" si="110"/>
        <v>0</v>
      </c>
      <c r="T292" s="211"/>
      <c r="U292" s="169"/>
      <c r="V292" s="170"/>
      <c r="W292" s="171"/>
      <c r="X292" s="172"/>
      <c r="Y292" s="173"/>
      <c r="Z292" s="174"/>
      <c r="AA292" s="175"/>
      <c r="AB292" s="176"/>
      <c r="AC292" s="168">
        <f t="shared" si="111"/>
        <v>0</v>
      </c>
      <c r="AD292" s="177">
        <f t="shared" si="112"/>
        <v>0</v>
      </c>
      <c r="AE292" s="178">
        <v>2.65</v>
      </c>
      <c r="AF292" s="179">
        <f t="shared" si="113"/>
        <v>0</v>
      </c>
      <c r="AH292" s="180"/>
      <c r="AK292" s="1"/>
      <c r="AL292" s="1"/>
      <c r="AM292" s="1"/>
      <c r="AN292" s="1"/>
    </row>
    <row r="293" spans="1:40" ht="12.75" customHeight="1">
      <c r="A293" s="181"/>
      <c r="B293" s="192" t="s">
        <v>605</v>
      </c>
      <c r="C293" s="193" t="s">
        <v>53</v>
      </c>
      <c r="D293" s="193" t="s">
        <v>64</v>
      </c>
      <c r="E293" s="194">
        <v>10</v>
      </c>
      <c r="F293" s="193"/>
      <c r="G293" s="193"/>
      <c r="H293" s="193" t="s">
        <v>121</v>
      </c>
      <c r="I293" s="193" t="s">
        <v>39</v>
      </c>
      <c r="J293" s="194">
        <v>10</v>
      </c>
      <c r="K293" s="193"/>
      <c r="L293" s="193"/>
      <c r="M293" s="193" t="s">
        <v>39</v>
      </c>
      <c r="N293" s="193" t="s">
        <v>48</v>
      </c>
      <c r="O293" s="194">
        <v>10</v>
      </c>
      <c r="P293" s="194" t="s">
        <v>606</v>
      </c>
      <c r="Q293" s="521">
        <f>R293*(1-Bolts!$E$1179)</f>
        <v>97.7</v>
      </c>
      <c r="R293" s="150">
        <v>97.7</v>
      </c>
      <c r="S293" s="168">
        <f t="shared" si="110"/>
        <v>0</v>
      </c>
      <c r="T293" s="211"/>
      <c r="U293" s="169"/>
      <c r="V293" s="170"/>
      <c r="W293" s="171"/>
      <c r="X293" s="172"/>
      <c r="Y293" s="173"/>
      <c r="Z293" s="174"/>
      <c r="AA293" s="175"/>
      <c r="AB293" s="176"/>
      <c r="AC293" s="168">
        <f t="shared" si="111"/>
        <v>0</v>
      </c>
      <c r="AD293" s="177">
        <f t="shared" si="112"/>
        <v>0</v>
      </c>
      <c r="AE293" s="178">
        <v>2.6</v>
      </c>
      <c r="AF293" s="179">
        <f t="shared" si="113"/>
        <v>0</v>
      </c>
      <c r="AH293" s="180"/>
      <c r="AK293" s="1"/>
      <c r="AL293" s="1"/>
      <c r="AM293" s="1"/>
      <c r="AN293" s="1"/>
    </row>
    <row r="294" spans="1:40" ht="12.75" customHeight="1">
      <c r="A294" s="181"/>
      <c r="B294" s="192" t="s">
        <v>607</v>
      </c>
      <c r="C294" s="193" t="s">
        <v>53</v>
      </c>
      <c r="D294" s="193" t="s">
        <v>64</v>
      </c>
      <c r="E294" s="194">
        <v>10</v>
      </c>
      <c r="F294" s="193"/>
      <c r="G294" s="193"/>
      <c r="H294" s="193" t="s">
        <v>121</v>
      </c>
      <c r="I294" s="193" t="s">
        <v>39</v>
      </c>
      <c r="J294" s="194">
        <v>10</v>
      </c>
      <c r="K294" s="193"/>
      <c r="L294" s="193"/>
      <c r="M294" s="193" t="s">
        <v>39</v>
      </c>
      <c r="N294" s="193" t="s">
        <v>48</v>
      </c>
      <c r="O294" s="194">
        <v>10</v>
      </c>
      <c r="P294" s="194" t="s">
        <v>608</v>
      </c>
      <c r="Q294" s="521">
        <f>R294*(1-Bolts!$E$1179)</f>
        <v>105.7</v>
      </c>
      <c r="R294" s="150">
        <v>105.7</v>
      </c>
      <c r="S294" s="168">
        <f t="shared" si="110"/>
        <v>0</v>
      </c>
      <c r="T294" s="211"/>
      <c r="U294" s="169"/>
      <c r="V294" s="170"/>
      <c r="W294" s="171"/>
      <c r="X294" s="172"/>
      <c r="Y294" s="173"/>
      <c r="Z294" s="174"/>
      <c r="AA294" s="175"/>
      <c r="AB294" s="176"/>
      <c r="AC294" s="168">
        <f t="shared" si="111"/>
        <v>0</v>
      </c>
      <c r="AD294" s="177">
        <f t="shared" si="112"/>
        <v>0</v>
      </c>
      <c r="AE294" s="178">
        <v>3.05</v>
      </c>
      <c r="AF294" s="179">
        <f t="shared" si="113"/>
        <v>0</v>
      </c>
      <c r="AH294" s="180"/>
      <c r="AK294" s="1"/>
      <c r="AL294" s="1"/>
      <c r="AM294" s="1"/>
      <c r="AN294" s="1"/>
    </row>
    <row r="295" spans="1:40" ht="12.75" customHeight="1">
      <c r="A295" s="181"/>
      <c r="B295" s="192" t="s">
        <v>609</v>
      </c>
      <c r="C295" s="193" t="s">
        <v>53</v>
      </c>
      <c r="D295" s="193" t="s">
        <v>64</v>
      </c>
      <c r="E295" s="194">
        <v>10</v>
      </c>
      <c r="F295" s="193"/>
      <c r="G295" s="193"/>
      <c r="H295" s="193" t="s">
        <v>121</v>
      </c>
      <c r="I295" s="193" t="s">
        <v>39</v>
      </c>
      <c r="J295" s="194">
        <v>10</v>
      </c>
      <c r="K295" s="193"/>
      <c r="L295" s="193"/>
      <c r="M295" s="193" t="s">
        <v>39</v>
      </c>
      <c r="N295" s="193" t="s">
        <v>48</v>
      </c>
      <c r="O295" s="194">
        <v>10</v>
      </c>
      <c r="P295" s="194" t="s">
        <v>610</v>
      </c>
      <c r="Q295" s="521">
        <f>R295*(1-Bolts!$E$1179)</f>
        <v>134.9</v>
      </c>
      <c r="R295" s="150">
        <v>134.9</v>
      </c>
      <c r="S295" s="168">
        <f t="shared" si="110"/>
        <v>0</v>
      </c>
      <c r="T295" s="211"/>
      <c r="U295" s="169"/>
      <c r="V295" s="170"/>
      <c r="W295" s="171"/>
      <c r="X295" s="172"/>
      <c r="Y295" s="173"/>
      <c r="Z295" s="174"/>
      <c r="AA295" s="175"/>
      <c r="AB295" s="176"/>
      <c r="AC295" s="168">
        <f t="shared" si="111"/>
        <v>0</v>
      </c>
      <c r="AD295" s="177">
        <f t="shared" si="112"/>
        <v>0</v>
      </c>
      <c r="AE295" s="178">
        <v>4.7</v>
      </c>
      <c r="AF295" s="179">
        <f t="shared" si="113"/>
        <v>0</v>
      </c>
      <c r="AH295" s="180"/>
      <c r="AK295" s="1"/>
      <c r="AL295" s="1"/>
      <c r="AM295" s="1"/>
      <c r="AN295" s="1"/>
    </row>
    <row r="296" spans="1:40" ht="12.75" customHeight="1">
      <c r="A296" s="181"/>
      <c r="B296" s="192" t="s">
        <v>611</v>
      </c>
      <c r="C296" s="193" t="s">
        <v>53</v>
      </c>
      <c r="D296" s="193" t="s">
        <v>64</v>
      </c>
      <c r="E296" s="194">
        <v>10</v>
      </c>
      <c r="F296" s="193"/>
      <c r="G296" s="193"/>
      <c r="H296" s="193" t="s">
        <v>121</v>
      </c>
      <c r="I296" s="193" t="s">
        <v>39</v>
      </c>
      <c r="J296" s="194">
        <v>10</v>
      </c>
      <c r="K296" s="193"/>
      <c r="L296" s="193"/>
      <c r="M296" s="193" t="s">
        <v>39</v>
      </c>
      <c r="N296" s="193" t="s">
        <v>48</v>
      </c>
      <c r="O296" s="194">
        <v>10</v>
      </c>
      <c r="P296" s="194" t="s">
        <v>612</v>
      </c>
      <c r="Q296" s="521">
        <f>R296*(1-Bolts!$E$1179)</f>
        <v>136.80000000000001</v>
      </c>
      <c r="R296" s="150">
        <v>136.80000000000001</v>
      </c>
      <c r="S296" s="168">
        <f t="shared" si="110"/>
        <v>0</v>
      </c>
      <c r="T296" s="211"/>
      <c r="U296" s="169"/>
      <c r="V296" s="170"/>
      <c r="W296" s="171"/>
      <c r="X296" s="172"/>
      <c r="Y296" s="173"/>
      <c r="Z296" s="174"/>
      <c r="AA296" s="175"/>
      <c r="AB296" s="176"/>
      <c r="AC296" s="168">
        <f t="shared" si="111"/>
        <v>0</v>
      </c>
      <c r="AD296" s="177">
        <f t="shared" si="112"/>
        <v>0</v>
      </c>
      <c r="AE296" s="178">
        <v>4.8</v>
      </c>
      <c r="AF296" s="179">
        <f t="shared" si="113"/>
        <v>0</v>
      </c>
      <c r="AH296" s="180"/>
      <c r="AK296" s="1"/>
      <c r="AL296" s="1"/>
      <c r="AM296" s="1"/>
      <c r="AN296" s="1"/>
    </row>
    <row r="297" spans="1:40" ht="12.75" customHeight="1">
      <c r="A297" s="181"/>
      <c r="B297" s="192" t="s">
        <v>613</v>
      </c>
      <c r="C297" s="193" t="s">
        <v>53</v>
      </c>
      <c r="D297" s="193" t="s">
        <v>64</v>
      </c>
      <c r="E297" s="194">
        <v>10</v>
      </c>
      <c r="F297" s="193"/>
      <c r="G297" s="193"/>
      <c r="H297" s="193" t="s">
        <v>121</v>
      </c>
      <c r="I297" s="193" t="s">
        <v>39</v>
      </c>
      <c r="J297" s="194">
        <v>10</v>
      </c>
      <c r="K297" s="193"/>
      <c r="L297" s="193"/>
      <c r="M297" s="193" t="s">
        <v>39</v>
      </c>
      <c r="N297" s="193" t="s">
        <v>48</v>
      </c>
      <c r="O297" s="194">
        <v>10</v>
      </c>
      <c r="P297" s="194" t="s">
        <v>614</v>
      </c>
      <c r="Q297" s="521">
        <f>R297*(1-Bolts!$E$1179)</f>
        <v>137.6</v>
      </c>
      <c r="R297" s="150">
        <v>137.6</v>
      </c>
      <c r="S297" s="168">
        <f t="shared" si="110"/>
        <v>0</v>
      </c>
      <c r="T297" s="211"/>
      <c r="U297" s="169"/>
      <c r="V297" s="170"/>
      <c r="W297" s="171"/>
      <c r="X297" s="172"/>
      <c r="Y297" s="173"/>
      <c r="Z297" s="174"/>
      <c r="AA297" s="175"/>
      <c r="AB297" s="176"/>
      <c r="AC297" s="168">
        <f t="shared" si="111"/>
        <v>0</v>
      </c>
      <c r="AD297" s="177">
        <f t="shared" si="112"/>
        <v>0</v>
      </c>
      <c r="AE297" s="178">
        <v>4.8499999999999996</v>
      </c>
      <c r="AF297" s="179">
        <f t="shared" si="113"/>
        <v>0</v>
      </c>
      <c r="AH297" s="180"/>
      <c r="AK297" s="1"/>
      <c r="AL297" s="1"/>
      <c r="AM297" s="1"/>
      <c r="AN297" s="1"/>
    </row>
    <row r="298" spans="1:40" ht="12.75" customHeight="1">
      <c r="A298" s="181"/>
      <c r="B298" s="192" t="s">
        <v>615</v>
      </c>
      <c r="C298" s="193" t="s">
        <v>53</v>
      </c>
      <c r="D298" s="193" t="s">
        <v>64</v>
      </c>
      <c r="E298" s="194">
        <v>10</v>
      </c>
      <c r="F298" s="193"/>
      <c r="G298" s="193"/>
      <c r="H298" s="193" t="s">
        <v>121</v>
      </c>
      <c r="I298" s="193" t="s">
        <v>32</v>
      </c>
      <c r="J298" s="194">
        <v>10</v>
      </c>
      <c r="K298" s="193"/>
      <c r="L298" s="193"/>
      <c r="M298" s="193" t="s">
        <v>32</v>
      </c>
      <c r="N298" s="193" t="s">
        <v>49</v>
      </c>
      <c r="O298" s="194">
        <v>10</v>
      </c>
      <c r="P298" s="194" t="s">
        <v>616</v>
      </c>
      <c r="Q298" s="521">
        <f>R298*(1-Bolts!$E$1179)</f>
        <v>136.80000000000001</v>
      </c>
      <c r="R298" s="150">
        <v>136.80000000000001</v>
      </c>
      <c r="S298" s="168">
        <f t="shared" si="110"/>
        <v>0</v>
      </c>
      <c r="T298" s="211"/>
      <c r="U298" s="169"/>
      <c r="V298" s="170"/>
      <c r="W298" s="171"/>
      <c r="X298" s="172"/>
      <c r="Y298" s="173"/>
      <c r="Z298" s="174"/>
      <c r="AA298" s="175"/>
      <c r="AB298" s="176"/>
      <c r="AC298" s="168">
        <f t="shared" si="111"/>
        <v>0</v>
      </c>
      <c r="AD298" s="177">
        <f t="shared" si="112"/>
        <v>0</v>
      </c>
      <c r="AE298" s="178">
        <v>4.8</v>
      </c>
      <c r="AF298" s="179">
        <f t="shared" si="113"/>
        <v>0</v>
      </c>
      <c r="AH298" s="180"/>
      <c r="AK298" s="1"/>
      <c r="AL298" s="1"/>
      <c r="AM298" s="1"/>
      <c r="AN298" s="1"/>
    </row>
    <row r="299" spans="1:40" ht="12.75" customHeight="1">
      <c r="A299" s="87"/>
      <c r="B299" s="185"/>
      <c r="C299" s="165"/>
      <c r="D299" s="165"/>
      <c r="E299" s="166"/>
      <c r="F299" s="165"/>
      <c r="G299" s="165"/>
      <c r="H299" s="165"/>
      <c r="I299" s="165"/>
      <c r="J299" s="166"/>
      <c r="K299" s="165"/>
      <c r="L299" s="165"/>
      <c r="M299" s="165"/>
      <c r="N299" s="165"/>
      <c r="O299" s="166"/>
      <c r="P299" s="166"/>
      <c r="Q299" s="522"/>
      <c r="R299" s="150"/>
      <c r="S299" s="186"/>
      <c r="T299" s="187"/>
      <c r="U299" s="187"/>
      <c r="V299" s="188"/>
      <c r="W299" s="187"/>
      <c r="X299" s="187"/>
      <c r="Y299" s="187"/>
      <c r="Z299" s="187"/>
      <c r="AA299" s="187"/>
      <c r="AB299" s="188"/>
      <c r="AC299" s="186"/>
      <c r="AD299" s="189"/>
      <c r="AE299" s="190"/>
      <c r="AF299" s="191"/>
      <c r="AH299" s="180"/>
      <c r="AK299" s="1"/>
      <c r="AL299" s="1"/>
      <c r="AM299" s="1"/>
      <c r="AN299" s="1"/>
    </row>
    <row r="300" spans="1:40" ht="12.75" customHeight="1">
      <c r="A300" s="87"/>
      <c r="B300" s="192" t="s">
        <v>617</v>
      </c>
      <c r="C300" s="193" t="s">
        <v>53</v>
      </c>
      <c r="D300" s="193" t="s">
        <v>65</v>
      </c>
      <c r="E300" s="194">
        <v>20</v>
      </c>
      <c r="F300" s="193"/>
      <c r="G300" s="193"/>
      <c r="H300" s="193" t="s">
        <v>121</v>
      </c>
      <c r="I300" s="193" t="s">
        <v>39</v>
      </c>
      <c r="J300" s="194">
        <v>20</v>
      </c>
      <c r="K300" s="193"/>
      <c r="L300" s="193"/>
      <c r="M300" s="193" t="s">
        <v>39</v>
      </c>
      <c r="N300" s="193" t="s">
        <v>47</v>
      </c>
      <c r="O300" s="194">
        <v>20</v>
      </c>
      <c r="P300" s="194" t="s">
        <v>618</v>
      </c>
      <c r="Q300" s="521">
        <f>R300*(1-Bolts!$E$1179)</f>
        <v>166.6</v>
      </c>
      <c r="R300" s="150">
        <v>166.6</v>
      </c>
      <c r="S300" s="168">
        <f t="shared" ref="S300:S304" si="114">SUM(T300:AB300)</f>
        <v>0</v>
      </c>
      <c r="T300" s="211"/>
      <c r="U300" s="169"/>
      <c r="V300" s="170"/>
      <c r="W300" s="171"/>
      <c r="X300" s="172"/>
      <c r="Y300" s="173"/>
      <c r="Z300" s="174"/>
      <c r="AA300" s="175"/>
      <c r="AB300" s="176"/>
      <c r="AC300" s="168">
        <f t="shared" ref="AC300:AC304" si="115">S300*O300</f>
        <v>0</v>
      </c>
      <c r="AD300" s="177">
        <f t="shared" ref="AD300:AD304" si="116">S300*R300</f>
        <v>0</v>
      </c>
      <c r="AE300" s="178">
        <v>5.27</v>
      </c>
      <c r="AF300" s="179">
        <f t="shared" ref="AF300:AF304" si="117">AE300*S300</f>
        <v>0</v>
      </c>
      <c r="AH300" s="180"/>
      <c r="AK300" s="1"/>
      <c r="AL300" s="1"/>
      <c r="AM300" s="1"/>
      <c r="AN300" s="1"/>
    </row>
    <row r="301" spans="1:40" ht="12.75" customHeight="1">
      <c r="A301" s="87"/>
      <c r="B301" s="192" t="s">
        <v>619</v>
      </c>
      <c r="C301" s="193" t="s">
        <v>53</v>
      </c>
      <c r="D301" s="193" t="s">
        <v>65</v>
      </c>
      <c r="E301" s="194">
        <v>20</v>
      </c>
      <c r="F301" s="193"/>
      <c r="G301" s="193"/>
      <c r="H301" s="193" t="s">
        <v>121</v>
      </c>
      <c r="I301" s="193" t="s">
        <v>39</v>
      </c>
      <c r="J301" s="194">
        <v>20</v>
      </c>
      <c r="K301" s="193"/>
      <c r="L301" s="193"/>
      <c r="M301" s="193" t="s">
        <v>39</v>
      </c>
      <c r="N301" s="193" t="s">
        <v>48</v>
      </c>
      <c r="O301" s="194">
        <v>20</v>
      </c>
      <c r="P301" s="194" t="s">
        <v>620</v>
      </c>
      <c r="Q301" s="521">
        <f>R301*(1-Bolts!$E$1179)</f>
        <v>175.9</v>
      </c>
      <c r="R301" s="150">
        <v>175.9</v>
      </c>
      <c r="S301" s="168">
        <f t="shared" si="114"/>
        <v>0</v>
      </c>
      <c r="T301" s="211"/>
      <c r="U301" s="169"/>
      <c r="V301" s="170"/>
      <c r="W301" s="171"/>
      <c r="X301" s="172"/>
      <c r="Y301" s="173"/>
      <c r="Z301" s="174"/>
      <c r="AA301" s="175"/>
      <c r="AB301" s="176"/>
      <c r="AC301" s="168">
        <f t="shared" si="115"/>
        <v>0</v>
      </c>
      <c r="AD301" s="177">
        <f t="shared" si="116"/>
        <v>0</v>
      </c>
      <c r="AE301" s="178">
        <v>5.81</v>
      </c>
      <c r="AF301" s="179">
        <f t="shared" si="117"/>
        <v>0</v>
      </c>
      <c r="AH301" s="180"/>
      <c r="AK301" s="1"/>
      <c r="AL301" s="1"/>
      <c r="AM301" s="1"/>
      <c r="AN301" s="1"/>
    </row>
    <row r="302" spans="1:40" ht="12.75" customHeight="1">
      <c r="A302" s="87"/>
      <c r="B302" s="192" t="s">
        <v>621</v>
      </c>
      <c r="C302" s="193" t="s">
        <v>53</v>
      </c>
      <c r="D302" s="193" t="s">
        <v>65</v>
      </c>
      <c r="E302" s="194">
        <v>20</v>
      </c>
      <c r="F302" s="193"/>
      <c r="G302" s="193"/>
      <c r="H302" s="193" t="s">
        <v>121</v>
      </c>
      <c r="I302" s="193" t="s">
        <v>39</v>
      </c>
      <c r="J302" s="194">
        <v>20</v>
      </c>
      <c r="K302" s="193"/>
      <c r="L302" s="193"/>
      <c r="M302" s="193" t="s">
        <v>39</v>
      </c>
      <c r="N302" s="193" t="s">
        <v>47</v>
      </c>
      <c r="O302" s="194">
        <v>20</v>
      </c>
      <c r="P302" s="194" t="s">
        <v>622</v>
      </c>
      <c r="Q302" s="521">
        <f>R302*(1-Bolts!$E$1179)</f>
        <v>179.1</v>
      </c>
      <c r="R302" s="150">
        <v>179.1</v>
      </c>
      <c r="S302" s="168">
        <f t="shared" si="114"/>
        <v>0</v>
      </c>
      <c r="T302" s="211"/>
      <c r="U302" s="169"/>
      <c r="V302" s="170"/>
      <c r="W302" s="171"/>
      <c r="X302" s="172"/>
      <c r="Y302" s="173"/>
      <c r="Z302" s="174"/>
      <c r="AA302" s="175"/>
      <c r="AB302" s="176"/>
      <c r="AC302" s="168">
        <f t="shared" si="115"/>
        <v>0</v>
      </c>
      <c r="AD302" s="177">
        <f t="shared" si="116"/>
        <v>0</v>
      </c>
      <c r="AE302" s="178">
        <v>6</v>
      </c>
      <c r="AF302" s="179">
        <f t="shared" si="117"/>
        <v>0</v>
      </c>
      <c r="AH302" s="180"/>
      <c r="AK302" s="1"/>
      <c r="AL302" s="1"/>
      <c r="AM302" s="1"/>
      <c r="AN302" s="1"/>
    </row>
    <row r="303" spans="1:40" ht="12.75" customHeight="1">
      <c r="A303" s="87"/>
      <c r="B303" s="192" t="s">
        <v>623</v>
      </c>
      <c r="C303" s="193" t="s">
        <v>53</v>
      </c>
      <c r="D303" s="193" t="s">
        <v>65</v>
      </c>
      <c r="E303" s="194">
        <v>20</v>
      </c>
      <c r="F303" s="193"/>
      <c r="G303" s="193"/>
      <c r="H303" s="193" t="s">
        <v>121</v>
      </c>
      <c r="I303" s="193" t="s">
        <v>39</v>
      </c>
      <c r="J303" s="194">
        <v>20</v>
      </c>
      <c r="K303" s="193"/>
      <c r="L303" s="193"/>
      <c r="M303" s="193" t="s">
        <v>39</v>
      </c>
      <c r="N303" s="193" t="s">
        <v>49</v>
      </c>
      <c r="O303" s="194">
        <v>20</v>
      </c>
      <c r="P303" s="194" t="s">
        <v>624</v>
      </c>
      <c r="Q303" s="521">
        <f>R303*(1-Bolts!$E$1179)</f>
        <v>188.9</v>
      </c>
      <c r="R303" s="150">
        <v>188.9</v>
      </c>
      <c r="S303" s="168">
        <f t="shared" si="114"/>
        <v>0</v>
      </c>
      <c r="T303" s="211"/>
      <c r="U303" s="169"/>
      <c r="V303" s="170"/>
      <c r="W303" s="171"/>
      <c r="X303" s="172"/>
      <c r="Y303" s="173"/>
      <c r="Z303" s="174"/>
      <c r="AA303" s="175"/>
      <c r="AB303" s="176"/>
      <c r="AC303" s="168">
        <f t="shared" si="115"/>
        <v>0</v>
      </c>
      <c r="AD303" s="177">
        <f t="shared" si="116"/>
        <v>0</v>
      </c>
      <c r="AE303" s="178">
        <v>6.42</v>
      </c>
      <c r="AF303" s="179">
        <f t="shared" si="117"/>
        <v>0</v>
      </c>
      <c r="AH303" s="180"/>
      <c r="AK303" s="1"/>
      <c r="AL303" s="1"/>
      <c r="AM303" s="1"/>
      <c r="AN303" s="1"/>
    </row>
    <row r="304" spans="1:40" ht="12.75" customHeight="1">
      <c r="A304" s="87"/>
      <c r="B304" s="192" t="s">
        <v>625</v>
      </c>
      <c r="C304" s="193" t="s">
        <v>53</v>
      </c>
      <c r="D304" s="193" t="s">
        <v>65</v>
      </c>
      <c r="E304" s="194">
        <v>20</v>
      </c>
      <c r="F304" s="193"/>
      <c r="G304" s="193"/>
      <c r="H304" s="193" t="s">
        <v>121</v>
      </c>
      <c r="I304" s="193" t="s">
        <v>39</v>
      </c>
      <c r="J304" s="194">
        <v>20</v>
      </c>
      <c r="K304" s="193"/>
      <c r="L304" s="193"/>
      <c r="M304" s="193" t="s">
        <v>39</v>
      </c>
      <c r="N304" s="193" t="s">
        <v>49</v>
      </c>
      <c r="O304" s="194">
        <v>20</v>
      </c>
      <c r="P304" s="194" t="s">
        <v>626</v>
      </c>
      <c r="Q304" s="521">
        <f>R304*(1-Bolts!$E$1179)</f>
        <v>126.8</v>
      </c>
      <c r="R304" s="150">
        <v>126.8</v>
      </c>
      <c r="S304" s="168">
        <f t="shared" si="114"/>
        <v>0</v>
      </c>
      <c r="T304" s="211"/>
      <c r="U304" s="169"/>
      <c r="V304" s="170"/>
      <c r="W304" s="171"/>
      <c r="X304" s="172"/>
      <c r="Y304" s="173"/>
      <c r="Z304" s="174"/>
      <c r="AA304" s="175"/>
      <c r="AB304" s="176"/>
      <c r="AC304" s="168">
        <f t="shared" si="115"/>
        <v>0</v>
      </c>
      <c r="AD304" s="177">
        <f t="shared" si="116"/>
        <v>0</v>
      </c>
      <c r="AE304" s="178">
        <v>2.96</v>
      </c>
      <c r="AF304" s="179">
        <f t="shared" si="117"/>
        <v>0</v>
      </c>
      <c r="AH304" s="180"/>
      <c r="AK304" s="1"/>
      <c r="AL304" s="1"/>
      <c r="AM304" s="1"/>
      <c r="AN304" s="1"/>
    </row>
    <row r="305" spans="1:40" ht="12.75" customHeight="1">
      <c r="A305" s="87"/>
      <c r="B305" s="185"/>
      <c r="C305" s="165"/>
      <c r="D305" s="165"/>
      <c r="E305" s="166"/>
      <c r="F305" s="165"/>
      <c r="G305" s="165"/>
      <c r="H305" s="165"/>
      <c r="I305" s="165"/>
      <c r="J305" s="166"/>
      <c r="K305" s="165"/>
      <c r="L305" s="165"/>
      <c r="M305" s="165"/>
      <c r="N305" s="165"/>
      <c r="O305" s="166"/>
      <c r="P305" s="166"/>
      <c r="Q305" s="522"/>
      <c r="R305" s="150"/>
      <c r="S305" s="186"/>
      <c r="T305" s="187"/>
      <c r="U305" s="187"/>
      <c r="V305" s="188"/>
      <c r="W305" s="187"/>
      <c r="X305" s="187"/>
      <c r="Y305" s="187"/>
      <c r="Z305" s="187"/>
      <c r="AA305" s="187"/>
      <c r="AB305" s="188"/>
      <c r="AC305" s="186"/>
      <c r="AD305" s="189"/>
      <c r="AE305" s="190"/>
      <c r="AF305" s="191"/>
      <c r="AH305" s="180"/>
      <c r="AK305" s="1"/>
      <c r="AL305" s="1"/>
      <c r="AM305" s="1"/>
      <c r="AN305" s="1"/>
    </row>
    <row r="306" spans="1:40" ht="12.75" customHeight="1">
      <c r="A306" s="87"/>
      <c r="B306" s="192" t="s">
        <v>627</v>
      </c>
      <c r="C306" s="193" t="s">
        <v>53</v>
      </c>
      <c r="D306" s="193" t="s">
        <v>38</v>
      </c>
      <c r="E306" s="194">
        <v>6</v>
      </c>
      <c r="F306" s="193"/>
      <c r="G306" s="193"/>
      <c r="H306" s="193" t="s">
        <v>121</v>
      </c>
      <c r="I306" s="193" t="s">
        <v>38</v>
      </c>
      <c r="J306" s="194">
        <v>6</v>
      </c>
      <c r="K306" s="193"/>
      <c r="L306" s="193"/>
      <c r="M306" s="193" t="s">
        <v>38</v>
      </c>
      <c r="N306" s="193" t="s">
        <v>49</v>
      </c>
      <c r="O306" s="194">
        <v>6</v>
      </c>
      <c r="P306" s="194" t="s">
        <v>628</v>
      </c>
      <c r="Q306" s="521">
        <f>R306*(1-Bolts!$E$1179)</f>
        <v>158.69999999999999</v>
      </c>
      <c r="R306" s="150">
        <v>158.69999999999999</v>
      </c>
      <c r="S306" s="168">
        <f t="shared" ref="S306:S309" si="118">SUM(T306:AB306)</f>
        <v>0</v>
      </c>
      <c r="T306" s="211"/>
      <c r="U306" s="169"/>
      <c r="V306" s="170"/>
      <c r="W306" s="171"/>
      <c r="X306" s="172"/>
      <c r="Y306" s="173"/>
      <c r="Z306" s="174"/>
      <c r="AA306" s="175"/>
      <c r="AB306" s="176"/>
      <c r="AC306" s="168">
        <f t="shared" ref="AC306:AC309" si="119">S306*O306</f>
        <v>0</v>
      </c>
      <c r="AD306" s="177">
        <f t="shared" ref="AD306:AD309" si="120">S306*R306</f>
        <v>0</v>
      </c>
      <c r="AE306" s="178">
        <v>6.81</v>
      </c>
      <c r="AF306" s="179">
        <f t="shared" ref="AF306:AF309" si="121">AE306*S306</f>
        <v>0</v>
      </c>
      <c r="AH306" s="180"/>
      <c r="AK306" s="1"/>
      <c r="AL306" s="1"/>
      <c r="AM306" s="1"/>
      <c r="AN306" s="1"/>
    </row>
    <row r="307" spans="1:40" ht="12.75" customHeight="1">
      <c r="A307" s="87"/>
      <c r="B307" s="192" t="s">
        <v>627</v>
      </c>
      <c r="C307" s="193" t="s">
        <v>53</v>
      </c>
      <c r="D307" s="193" t="s">
        <v>38</v>
      </c>
      <c r="E307" s="194">
        <v>4</v>
      </c>
      <c r="F307" s="193"/>
      <c r="G307" s="193"/>
      <c r="H307" s="193" t="s">
        <v>121</v>
      </c>
      <c r="I307" s="193" t="s">
        <v>38</v>
      </c>
      <c r="J307" s="194">
        <v>4</v>
      </c>
      <c r="K307" s="193"/>
      <c r="L307" s="193"/>
      <c r="M307" s="193" t="s">
        <v>38</v>
      </c>
      <c r="N307" s="193" t="s">
        <v>49</v>
      </c>
      <c r="O307" s="194">
        <v>4</v>
      </c>
      <c r="P307" s="194" t="s">
        <v>629</v>
      </c>
      <c r="Q307" s="521">
        <f>R307*(1-Bolts!$E$1179)</f>
        <v>109.7</v>
      </c>
      <c r="R307" s="150">
        <v>109.7</v>
      </c>
      <c r="S307" s="168">
        <f t="shared" si="118"/>
        <v>0</v>
      </c>
      <c r="T307" s="211"/>
      <c r="U307" s="169"/>
      <c r="V307" s="170"/>
      <c r="W307" s="171"/>
      <c r="X307" s="172"/>
      <c r="Y307" s="173"/>
      <c r="Z307" s="174"/>
      <c r="AA307" s="175"/>
      <c r="AB307" s="176"/>
      <c r="AC307" s="168">
        <f t="shared" si="119"/>
        <v>0</v>
      </c>
      <c r="AD307" s="177">
        <f t="shared" si="120"/>
        <v>0</v>
      </c>
      <c r="AE307" s="178">
        <v>4.3499999999999996</v>
      </c>
      <c r="AF307" s="179">
        <f t="shared" si="121"/>
        <v>0</v>
      </c>
      <c r="AH307" s="180"/>
      <c r="AK307" s="1"/>
      <c r="AL307" s="1"/>
      <c r="AM307" s="1"/>
      <c r="AN307" s="1"/>
    </row>
    <row r="308" spans="1:40" ht="12.75" customHeight="1">
      <c r="A308" s="87"/>
      <c r="B308" s="192" t="s">
        <v>630</v>
      </c>
      <c r="C308" s="193" t="s">
        <v>53</v>
      </c>
      <c r="D308" s="193" t="s">
        <v>38</v>
      </c>
      <c r="E308" s="194">
        <v>4</v>
      </c>
      <c r="F308" s="193"/>
      <c r="G308" s="193"/>
      <c r="H308" s="193" t="s">
        <v>121</v>
      </c>
      <c r="I308" s="193" t="s">
        <v>38</v>
      </c>
      <c r="J308" s="194">
        <v>4</v>
      </c>
      <c r="K308" s="193"/>
      <c r="L308" s="193"/>
      <c r="M308" s="193" t="s">
        <v>38</v>
      </c>
      <c r="N308" s="193" t="s">
        <v>49</v>
      </c>
      <c r="O308" s="194">
        <v>4</v>
      </c>
      <c r="P308" s="194" t="s">
        <v>631</v>
      </c>
      <c r="Q308" s="521">
        <f>R308*(1-Bolts!$E$1179)</f>
        <v>86.7</v>
      </c>
      <c r="R308" s="150">
        <v>86.7</v>
      </c>
      <c r="S308" s="168">
        <f t="shared" si="118"/>
        <v>0</v>
      </c>
      <c r="T308" s="211"/>
      <c r="U308" s="169"/>
      <c r="V308" s="170"/>
      <c r="W308" s="171"/>
      <c r="X308" s="172"/>
      <c r="Y308" s="173"/>
      <c r="Z308" s="174"/>
      <c r="AA308" s="175"/>
      <c r="AB308" s="176"/>
      <c r="AC308" s="168">
        <f t="shared" si="119"/>
        <v>0</v>
      </c>
      <c r="AD308" s="177">
        <f t="shared" si="120"/>
        <v>0</v>
      </c>
      <c r="AE308" s="178">
        <v>3.01</v>
      </c>
      <c r="AF308" s="179">
        <f t="shared" si="121"/>
        <v>0</v>
      </c>
      <c r="AH308" s="180"/>
      <c r="AK308" s="1"/>
      <c r="AL308" s="1"/>
      <c r="AM308" s="1"/>
      <c r="AN308" s="1"/>
    </row>
    <row r="309" spans="1:40" ht="12.75" customHeight="1">
      <c r="A309" s="87"/>
      <c r="B309" s="192" t="s">
        <v>632</v>
      </c>
      <c r="C309" s="193" t="s">
        <v>53</v>
      </c>
      <c r="D309" s="193" t="s">
        <v>38</v>
      </c>
      <c r="E309" s="194">
        <v>22</v>
      </c>
      <c r="F309" s="193"/>
      <c r="G309" s="193"/>
      <c r="H309" s="193" t="s">
        <v>121</v>
      </c>
      <c r="I309" s="193" t="s">
        <v>38</v>
      </c>
      <c r="J309" s="194">
        <v>22</v>
      </c>
      <c r="K309" s="193"/>
      <c r="L309" s="193"/>
      <c r="M309" s="193" t="s">
        <v>38</v>
      </c>
      <c r="N309" s="193" t="s">
        <v>49</v>
      </c>
      <c r="O309" s="194">
        <v>22</v>
      </c>
      <c r="P309" s="194" t="s">
        <v>633</v>
      </c>
      <c r="Q309" s="521">
        <f>R309*(1-Bolts!$E$1179)</f>
        <v>179</v>
      </c>
      <c r="R309" s="150">
        <v>179</v>
      </c>
      <c r="S309" s="168">
        <f t="shared" si="118"/>
        <v>0</v>
      </c>
      <c r="T309" s="211"/>
      <c r="U309" s="169"/>
      <c r="V309" s="170"/>
      <c r="W309" s="171"/>
      <c r="X309" s="172"/>
      <c r="Y309" s="173"/>
      <c r="Z309" s="174"/>
      <c r="AA309" s="175"/>
      <c r="AB309" s="176"/>
      <c r="AC309" s="168">
        <f t="shared" si="119"/>
        <v>0</v>
      </c>
      <c r="AD309" s="177">
        <f t="shared" si="120"/>
        <v>0</v>
      </c>
      <c r="AE309" s="178">
        <v>5.93</v>
      </c>
      <c r="AF309" s="179">
        <f t="shared" si="121"/>
        <v>0</v>
      </c>
      <c r="AH309" s="180"/>
      <c r="AK309" s="1"/>
      <c r="AL309" s="1"/>
      <c r="AM309" s="1"/>
      <c r="AN309" s="1"/>
    </row>
    <row r="310" spans="1:40" ht="12.75" customHeight="1">
      <c r="A310" s="138" t="s">
        <v>146</v>
      </c>
      <c r="B310" s="216" t="s">
        <v>634</v>
      </c>
      <c r="C310" s="142" t="str">
        <f>B310</f>
        <v>Dual Tex Competition Line</v>
      </c>
      <c r="D310" s="142"/>
      <c r="E310" s="142"/>
      <c r="F310" s="142"/>
      <c r="G310" s="142"/>
      <c r="H310" s="142" t="s">
        <v>121</v>
      </c>
      <c r="I310" s="142"/>
      <c r="J310" s="142"/>
      <c r="K310" s="142"/>
      <c r="L310" s="142"/>
      <c r="M310" s="142"/>
      <c r="N310" s="142"/>
      <c r="O310" s="142"/>
      <c r="P310" s="142"/>
      <c r="Q310" s="525"/>
      <c r="R310" s="150"/>
      <c r="S310" s="142"/>
      <c r="T310" s="142"/>
      <c r="U310" s="142"/>
      <c r="V310" s="142"/>
      <c r="W310" s="142"/>
      <c r="X310" s="142"/>
      <c r="Y310" s="142"/>
      <c r="Z310" s="142"/>
      <c r="AA310" s="142"/>
      <c r="AB310" s="142"/>
      <c r="AC310" s="142"/>
      <c r="AD310" s="142"/>
      <c r="AE310" s="142"/>
      <c r="AF310" s="217"/>
      <c r="AH310" s="180"/>
      <c r="AK310" s="1"/>
      <c r="AL310" s="1"/>
      <c r="AM310" s="1"/>
      <c r="AN310" s="1"/>
    </row>
    <row r="311" spans="1:40" ht="12.75" customHeight="1">
      <c r="A311" s="181"/>
      <c r="B311" s="192" t="s">
        <v>635</v>
      </c>
      <c r="C311" s="193" t="s">
        <v>56</v>
      </c>
      <c r="D311" s="193" t="s">
        <v>60</v>
      </c>
      <c r="E311" s="194">
        <v>3</v>
      </c>
      <c r="F311" s="193"/>
      <c r="G311" s="193"/>
      <c r="H311" s="193" t="s">
        <v>121</v>
      </c>
      <c r="I311" s="193" t="s">
        <v>28</v>
      </c>
      <c r="J311" s="194">
        <v>3</v>
      </c>
      <c r="K311" s="193"/>
      <c r="L311" s="193"/>
      <c r="M311" s="193" t="s">
        <v>28</v>
      </c>
      <c r="N311" s="193" t="s">
        <v>47</v>
      </c>
      <c r="O311" s="194">
        <v>3</v>
      </c>
      <c r="P311" s="194" t="s">
        <v>636</v>
      </c>
      <c r="Q311" s="521">
        <f>R311*(1-Bolts!$E$1179)</f>
        <v>462.8</v>
      </c>
      <c r="R311" s="150">
        <v>462.8</v>
      </c>
      <c r="S311" s="168">
        <f t="shared" ref="S311:S338" si="122">SUM(T311:AB311)</f>
        <v>0</v>
      </c>
      <c r="T311" s="211"/>
      <c r="U311" s="169"/>
      <c r="V311" s="170"/>
      <c r="W311" s="171"/>
      <c r="X311" s="172"/>
      <c r="Y311" s="173"/>
      <c r="Z311" s="174"/>
      <c r="AA311" s="175"/>
      <c r="AB311" s="176"/>
      <c r="AC311" s="168">
        <f t="shared" ref="AC311:AC338" si="123">S311*O311</f>
        <v>0</v>
      </c>
      <c r="AD311" s="177">
        <f t="shared" ref="AD311:AD338" si="124">S311*R311</f>
        <v>0</v>
      </c>
      <c r="AE311" s="178">
        <f>5.5+7.72+6.66</f>
        <v>19.88</v>
      </c>
      <c r="AF311" s="179">
        <f t="shared" ref="AF311:AF338" si="125">AE311*S311</f>
        <v>0</v>
      </c>
      <c r="AH311" s="209"/>
      <c r="AK311" s="1"/>
      <c r="AL311" s="1"/>
      <c r="AM311" s="1"/>
      <c r="AN311" s="1"/>
    </row>
    <row r="312" spans="1:40" ht="12.75" customHeight="1">
      <c r="A312" s="181" t="s">
        <v>637</v>
      </c>
      <c r="B312" s="214" t="s">
        <v>638</v>
      </c>
      <c r="C312" s="196" t="s">
        <v>56</v>
      </c>
      <c r="D312" s="196" t="s">
        <v>60</v>
      </c>
      <c r="E312" s="197">
        <v>1</v>
      </c>
      <c r="F312" s="196"/>
      <c r="G312" s="196"/>
      <c r="H312" s="196" t="s">
        <v>121</v>
      </c>
      <c r="I312" s="196" t="s">
        <v>28</v>
      </c>
      <c r="J312" s="197">
        <v>1</v>
      </c>
      <c r="K312" s="196"/>
      <c r="L312" s="196"/>
      <c r="M312" s="196" t="s">
        <v>28</v>
      </c>
      <c r="N312" s="196" t="s">
        <v>47</v>
      </c>
      <c r="O312" s="197">
        <v>1</v>
      </c>
      <c r="P312" s="197" t="s">
        <v>639</v>
      </c>
      <c r="Q312" s="523">
        <f>R312*(1-Bolts!$E$1179)</f>
        <v>158.5</v>
      </c>
      <c r="R312" s="150">
        <v>158.5</v>
      </c>
      <c r="S312" s="198">
        <f t="shared" si="122"/>
        <v>0</v>
      </c>
      <c r="T312" s="199"/>
      <c r="U312" s="199"/>
      <c r="V312" s="200"/>
      <c r="W312" s="199"/>
      <c r="X312" s="199"/>
      <c r="Y312" s="199"/>
      <c r="Z312" s="199"/>
      <c r="AA312" s="199"/>
      <c r="AB312" s="199"/>
      <c r="AC312" s="198">
        <f t="shared" si="123"/>
        <v>0</v>
      </c>
      <c r="AD312" s="177">
        <f t="shared" si="124"/>
        <v>0</v>
      </c>
      <c r="AE312" s="201">
        <v>5.5</v>
      </c>
      <c r="AF312" s="202">
        <f t="shared" si="125"/>
        <v>0</v>
      </c>
      <c r="AH312" s="180"/>
      <c r="AK312" s="1"/>
      <c r="AL312" s="1"/>
      <c r="AM312" s="1"/>
      <c r="AN312" s="1"/>
    </row>
    <row r="313" spans="1:40" ht="12.75" customHeight="1">
      <c r="A313" s="181" t="s">
        <v>637</v>
      </c>
      <c r="B313" s="214" t="s">
        <v>640</v>
      </c>
      <c r="C313" s="196" t="s">
        <v>56</v>
      </c>
      <c r="D313" s="196" t="s">
        <v>60</v>
      </c>
      <c r="E313" s="197">
        <v>1</v>
      </c>
      <c r="F313" s="196"/>
      <c r="G313" s="196"/>
      <c r="H313" s="196" t="s">
        <v>121</v>
      </c>
      <c r="I313" s="196" t="s">
        <v>28</v>
      </c>
      <c r="J313" s="197">
        <v>1</v>
      </c>
      <c r="K313" s="196"/>
      <c r="L313" s="196"/>
      <c r="M313" s="196" t="s">
        <v>28</v>
      </c>
      <c r="N313" s="196" t="s">
        <v>47</v>
      </c>
      <c r="O313" s="197">
        <v>1</v>
      </c>
      <c r="P313" s="197" t="s">
        <v>641</v>
      </c>
      <c r="Q313" s="523">
        <f>R313*(1-Bolts!$E$1179)</f>
        <v>187.4</v>
      </c>
      <c r="R313" s="150">
        <v>187.4</v>
      </c>
      <c r="S313" s="198">
        <f t="shared" si="122"/>
        <v>0</v>
      </c>
      <c r="T313" s="199"/>
      <c r="U313" s="199"/>
      <c r="V313" s="200"/>
      <c r="W313" s="199"/>
      <c r="X313" s="199"/>
      <c r="Y313" s="199"/>
      <c r="Z313" s="199"/>
      <c r="AA313" s="199"/>
      <c r="AB313" s="199"/>
      <c r="AC313" s="198">
        <f t="shared" si="123"/>
        <v>0</v>
      </c>
      <c r="AD313" s="177">
        <f t="shared" si="124"/>
        <v>0</v>
      </c>
      <c r="AE313" s="201">
        <v>7.72</v>
      </c>
      <c r="AF313" s="202">
        <f t="shared" si="125"/>
        <v>0</v>
      </c>
      <c r="AH313" s="180"/>
      <c r="AK313" s="1"/>
      <c r="AL313" s="1"/>
      <c r="AM313" s="1"/>
      <c r="AN313" s="1"/>
    </row>
    <row r="314" spans="1:40" ht="12.75" customHeight="1">
      <c r="A314" s="181" t="s">
        <v>637</v>
      </c>
      <c r="B314" s="214" t="s">
        <v>642</v>
      </c>
      <c r="C314" s="196" t="s">
        <v>56</v>
      </c>
      <c r="D314" s="196" t="s">
        <v>60</v>
      </c>
      <c r="E314" s="197">
        <v>1</v>
      </c>
      <c r="F314" s="196"/>
      <c r="G314" s="196"/>
      <c r="H314" s="196" t="s">
        <v>121</v>
      </c>
      <c r="I314" s="196" t="s">
        <v>28</v>
      </c>
      <c r="J314" s="197">
        <v>1</v>
      </c>
      <c r="K314" s="196"/>
      <c r="L314" s="196"/>
      <c r="M314" s="196" t="s">
        <v>28</v>
      </c>
      <c r="N314" s="196" t="s">
        <v>47</v>
      </c>
      <c r="O314" s="197">
        <v>1</v>
      </c>
      <c r="P314" s="197" t="s">
        <v>643</v>
      </c>
      <c r="Q314" s="523">
        <f>R314*(1-Bolts!$E$1179)</f>
        <v>169.2</v>
      </c>
      <c r="R314" s="150">
        <v>169.2</v>
      </c>
      <c r="S314" s="198">
        <f t="shared" si="122"/>
        <v>0</v>
      </c>
      <c r="T314" s="199"/>
      <c r="U314" s="199"/>
      <c r="V314" s="200"/>
      <c r="W314" s="199"/>
      <c r="X314" s="199"/>
      <c r="Y314" s="199"/>
      <c r="Z314" s="199"/>
      <c r="AA314" s="199"/>
      <c r="AB314" s="199"/>
      <c r="AC314" s="198">
        <f t="shared" si="123"/>
        <v>0</v>
      </c>
      <c r="AD314" s="177">
        <f t="shared" si="124"/>
        <v>0</v>
      </c>
      <c r="AE314" s="201">
        <v>6.66</v>
      </c>
      <c r="AF314" s="202">
        <f t="shared" si="125"/>
        <v>0</v>
      </c>
      <c r="AH314" s="180"/>
      <c r="AK314" s="1"/>
      <c r="AL314" s="1"/>
      <c r="AM314" s="1"/>
      <c r="AN314" s="1"/>
    </row>
    <row r="315" spans="1:40" ht="12.75" customHeight="1">
      <c r="A315" s="181"/>
      <c r="B315" s="192" t="s">
        <v>644</v>
      </c>
      <c r="C315" s="193" t="s">
        <v>56</v>
      </c>
      <c r="D315" s="193" t="s">
        <v>60</v>
      </c>
      <c r="E315" s="194">
        <v>2</v>
      </c>
      <c r="F315" s="193"/>
      <c r="G315" s="193"/>
      <c r="H315" s="193" t="s">
        <v>121</v>
      </c>
      <c r="I315" s="193" t="s">
        <v>28</v>
      </c>
      <c r="J315" s="194">
        <v>2</v>
      </c>
      <c r="K315" s="193"/>
      <c r="L315" s="193"/>
      <c r="M315" s="193" t="s">
        <v>60</v>
      </c>
      <c r="N315" s="193" t="s">
        <v>49</v>
      </c>
      <c r="O315" s="194">
        <v>2</v>
      </c>
      <c r="P315" s="194" t="s">
        <v>645</v>
      </c>
      <c r="Q315" s="521">
        <f>R315*(1-Bolts!$E$1179)</f>
        <v>338.6</v>
      </c>
      <c r="R315" s="150">
        <v>338.6</v>
      </c>
      <c r="S315" s="168">
        <f t="shared" si="122"/>
        <v>0</v>
      </c>
      <c r="T315" s="211"/>
      <c r="U315" s="169"/>
      <c r="V315" s="170"/>
      <c r="W315" s="171"/>
      <c r="X315" s="172"/>
      <c r="Y315" s="173"/>
      <c r="Z315" s="174"/>
      <c r="AA315" s="175"/>
      <c r="AB315" s="176"/>
      <c r="AC315" s="168">
        <f t="shared" si="123"/>
        <v>0</v>
      </c>
      <c r="AD315" s="177">
        <f t="shared" si="124"/>
        <v>0</v>
      </c>
      <c r="AE315" s="178">
        <v>15.9</v>
      </c>
      <c r="AF315" s="179">
        <f t="shared" si="125"/>
        <v>0</v>
      </c>
      <c r="AH315" s="180"/>
      <c r="AK315" s="1"/>
      <c r="AL315" s="1"/>
      <c r="AM315" s="1"/>
      <c r="AN315" s="1"/>
    </row>
    <row r="316" spans="1:40" ht="12.75" customHeight="1">
      <c r="A316" s="181"/>
      <c r="B316" s="192" t="s">
        <v>646</v>
      </c>
      <c r="C316" s="193" t="s">
        <v>56</v>
      </c>
      <c r="D316" s="193" t="s">
        <v>60</v>
      </c>
      <c r="E316" s="194">
        <v>3</v>
      </c>
      <c r="F316" s="193"/>
      <c r="G316" s="193"/>
      <c r="H316" s="193" t="s">
        <v>121</v>
      </c>
      <c r="I316" s="193" t="s">
        <v>28</v>
      </c>
      <c r="J316" s="194">
        <v>3</v>
      </c>
      <c r="K316" s="193"/>
      <c r="L316" s="193"/>
      <c r="M316" s="193" t="s">
        <v>28</v>
      </c>
      <c r="N316" s="193" t="s">
        <v>48</v>
      </c>
      <c r="O316" s="194">
        <v>3</v>
      </c>
      <c r="P316" s="194" t="s">
        <v>647</v>
      </c>
      <c r="Q316" s="521">
        <f>R316*(1-Bolts!$E$1179)</f>
        <v>495.7</v>
      </c>
      <c r="R316" s="150">
        <v>495.7</v>
      </c>
      <c r="S316" s="168">
        <f t="shared" si="122"/>
        <v>0</v>
      </c>
      <c r="T316" s="211"/>
      <c r="U316" s="169"/>
      <c r="V316" s="170"/>
      <c r="W316" s="171"/>
      <c r="X316" s="172"/>
      <c r="Y316" s="173"/>
      <c r="Z316" s="174"/>
      <c r="AA316" s="175"/>
      <c r="AB316" s="176"/>
      <c r="AC316" s="168">
        <f t="shared" si="123"/>
        <v>0</v>
      </c>
      <c r="AD316" s="177">
        <f t="shared" si="124"/>
        <v>0</v>
      </c>
      <c r="AE316" s="178">
        <v>23.97</v>
      </c>
      <c r="AF316" s="179">
        <f t="shared" si="125"/>
        <v>0</v>
      </c>
      <c r="AH316" s="180"/>
      <c r="AK316" s="1"/>
      <c r="AL316" s="1"/>
      <c r="AM316" s="1"/>
      <c r="AN316" s="1"/>
    </row>
    <row r="317" spans="1:40" ht="12.75" customHeight="1">
      <c r="A317" s="181" t="s">
        <v>637</v>
      </c>
      <c r="B317" s="214" t="s">
        <v>648</v>
      </c>
      <c r="C317" s="196" t="s">
        <v>56</v>
      </c>
      <c r="D317" s="196" t="s">
        <v>60</v>
      </c>
      <c r="E317" s="197">
        <v>1</v>
      </c>
      <c r="F317" s="196"/>
      <c r="G317" s="196"/>
      <c r="H317" s="196" t="s">
        <v>121</v>
      </c>
      <c r="I317" s="196" t="s">
        <v>28</v>
      </c>
      <c r="J317" s="197">
        <v>1</v>
      </c>
      <c r="K317" s="196"/>
      <c r="L317" s="196"/>
      <c r="M317" s="196" t="s">
        <v>28</v>
      </c>
      <c r="N317" s="196" t="s">
        <v>48</v>
      </c>
      <c r="O317" s="197">
        <v>1</v>
      </c>
      <c r="P317" s="197" t="s">
        <v>649</v>
      </c>
      <c r="Q317" s="523">
        <f>R317*(1-Bolts!$E$1179)</f>
        <v>167.2</v>
      </c>
      <c r="R317" s="150">
        <v>167.2</v>
      </c>
      <c r="S317" s="198">
        <f t="shared" si="122"/>
        <v>0</v>
      </c>
      <c r="T317" s="199"/>
      <c r="U317" s="199"/>
      <c r="V317" s="200"/>
      <c r="W317" s="199"/>
      <c r="X317" s="199"/>
      <c r="Y317" s="199"/>
      <c r="Z317" s="199"/>
      <c r="AA317" s="199"/>
      <c r="AB317" s="199"/>
      <c r="AC317" s="198">
        <f t="shared" si="123"/>
        <v>0</v>
      </c>
      <c r="AD317" s="177">
        <f t="shared" si="124"/>
        <v>0</v>
      </c>
      <c r="AE317" s="201">
        <v>6.55</v>
      </c>
      <c r="AF317" s="202">
        <f t="shared" si="125"/>
        <v>0</v>
      </c>
      <c r="AH317" s="180"/>
      <c r="AK317" s="1"/>
      <c r="AL317" s="1"/>
      <c r="AM317" s="1"/>
      <c r="AN317" s="1"/>
    </row>
    <row r="318" spans="1:40" ht="12.75" customHeight="1">
      <c r="A318" s="181" t="s">
        <v>637</v>
      </c>
      <c r="B318" s="214" t="s">
        <v>650</v>
      </c>
      <c r="C318" s="196" t="s">
        <v>56</v>
      </c>
      <c r="D318" s="196" t="s">
        <v>60</v>
      </c>
      <c r="E318" s="197">
        <v>1</v>
      </c>
      <c r="F318" s="196"/>
      <c r="G318" s="196"/>
      <c r="H318" s="196" t="s">
        <v>121</v>
      </c>
      <c r="I318" s="196" t="s">
        <v>28</v>
      </c>
      <c r="J318" s="197">
        <v>1</v>
      </c>
      <c r="K318" s="196"/>
      <c r="L318" s="196"/>
      <c r="M318" s="196" t="s">
        <v>28</v>
      </c>
      <c r="N318" s="196" t="s">
        <v>48</v>
      </c>
      <c r="O318" s="197">
        <v>1</v>
      </c>
      <c r="P318" s="197" t="s">
        <v>651</v>
      </c>
      <c r="Q318" s="523">
        <f>R318*(1-Bolts!$E$1179)</f>
        <v>192.4</v>
      </c>
      <c r="R318" s="150">
        <v>192.4</v>
      </c>
      <c r="S318" s="198">
        <f t="shared" si="122"/>
        <v>0</v>
      </c>
      <c r="T318" s="199"/>
      <c r="U318" s="199"/>
      <c r="V318" s="200"/>
      <c r="W318" s="199"/>
      <c r="X318" s="199"/>
      <c r="Y318" s="199"/>
      <c r="Z318" s="199"/>
      <c r="AA318" s="199"/>
      <c r="AB318" s="199"/>
      <c r="AC318" s="198">
        <f t="shared" si="123"/>
        <v>0</v>
      </c>
      <c r="AD318" s="177">
        <f t="shared" si="124"/>
        <v>0</v>
      </c>
      <c r="AE318" s="201">
        <v>8.01</v>
      </c>
      <c r="AF318" s="202">
        <f t="shared" si="125"/>
        <v>0</v>
      </c>
      <c r="AH318" s="180"/>
      <c r="AK318" s="1"/>
      <c r="AL318" s="1"/>
      <c r="AM318" s="1"/>
      <c r="AN318" s="1"/>
    </row>
    <row r="319" spans="1:40" ht="12.75" customHeight="1">
      <c r="A319" s="181" t="s">
        <v>637</v>
      </c>
      <c r="B319" s="214" t="s">
        <v>652</v>
      </c>
      <c r="C319" s="196" t="s">
        <v>56</v>
      </c>
      <c r="D319" s="196" t="s">
        <v>60</v>
      </c>
      <c r="E319" s="197">
        <v>1</v>
      </c>
      <c r="F319" s="196"/>
      <c r="G319" s="196"/>
      <c r="H319" s="196" t="s">
        <v>121</v>
      </c>
      <c r="I319" s="196" t="s">
        <v>28</v>
      </c>
      <c r="J319" s="197">
        <v>1</v>
      </c>
      <c r="K319" s="196"/>
      <c r="L319" s="196"/>
      <c r="M319" s="196" t="s">
        <v>28</v>
      </c>
      <c r="N319" s="196" t="s">
        <v>48</v>
      </c>
      <c r="O319" s="197">
        <v>1</v>
      </c>
      <c r="P319" s="197" t="s">
        <v>653</v>
      </c>
      <c r="Q319" s="523">
        <f>R319*(1-Bolts!$E$1179)</f>
        <v>216.5</v>
      </c>
      <c r="R319" s="150">
        <v>216.5</v>
      </c>
      <c r="S319" s="198">
        <f t="shared" si="122"/>
        <v>0</v>
      </c>
      <c r="T319" s="199"/>
      <c r="U319" s="199"/>
      <c r="V319" s="200"/>
      <c r="W319" s="199"/>
      <c r="X319" s="199"/>
      <c r="Y319" s="199"/>
      <c r="Z319" s="199"/>
      <c r="AA319" s="199"/>
      <c r="AB319" s="199"/>
      <c r="AC319" s="198">
        <f t="shared" si="123"/>
        <v>0</v>
      </c>
      <c r="AD319" s="177">
        <f t="shared" si="124"/>
        <v>0</v>
      </c>
      <c r="AE319" s="201">
        <v>9.41</v>
      </c>
      <c r="AF319" s="202">
        <f t="shared" si="125"/>
        <v>0</v>
      </c>
      <c r="AH319" s="180"/>
      <c r="AK319" s="1"/>
      <c r="AL319" s="1"/>
      <c r="AM319" s="1"/>
      <c r="AN319" s="1"/>
    </row>
    <row r="320" spans="1:40" ht="12.75" customHeight="1">
      <c r="A320" s="181"/>
      <c r="B320" s="192" t="s">
        <v>654</v>
      </c>
      <c r="C320" s="193" t="s">
        <v>56</v>
      </c>
      <c r="D320" s="193" t="s">
        <v>61</v>
      </c>
      <c r="E320" s="194">
        <v>5</v>
      </c>
      <c r="F320" s="193"/>
      <c r="G320" s="193"/>
      <c r="H320" s="193" t="s">
        <v>121</v>
      </c>
      <c r="I320" s="193" t="s">
        <v>37</v>
      </c>
      <c r="J320" s="194">
        <v>5</v>
      </c>
      <c r="K320" s="193"/>
      <c r="L320" s="193"/>
      <c r="M320" s="193" t="s">
        <v>37</v>
      </c>
      <c r="N320" s="193" t="s">
        <v>48</v>
      </c>
      <c r="O320" s="194">
        <v>5</v>
      </c>
      <c r="P320" s="194" t="s">
        <v>655</v>
      </c>
      <c r="Q320" s="521">
        <f>R320*(1-Bolts!$E$1179)</f>
        <v>430.9</v>
      </c>
      <c r="R320" s="150">
        <v>430.9</v>
      </c>
      <c r="S320" s="168">
        <f t="shared" si="122"/>
        <v>0</v>
      </c>
      <c r="T320" s="211"/>
      <c r="U320" s="169"/>
      <c r="V320" s="170"/>
      <c r="W320" s="171"/>
      <c r="X320" s="172"/>
      <c r="Y320" s="173"/>
      <c r="Z320" s="174"/>
      <c r="AA320" s="175"/>
      <c r="AB320" s="176"/>
      <c r="AC320" s="168">
        <f t="shared" si="123"/>
        <v>0</v>
      </c>
      <c r="AD320" s="177">
        <f t="shared" si="124"/>
        <v>0</v>
      </c>
      <c r="AE320" s="178">
        <v>19.8</v>
      </c>
      <c r="AF320" s="179">
        <f t="shared" si="125"/>
        <v>0</v>
      </c>
      <c r="AH320" s="180"/>
      <c r="AK320" s="1"/>
      <c r="AL320" s="1"/>
      <c r="AM320" s="1"/>
      <c r="AN320" s="1"/>
    </row>
    <row r="321" spans="1:40" ht="12.75" customHeight="1">
      <c r="A321" s="181"/>
      <c r="B321" s="192" t="s">
        <v>656</v>
      </c>
      <c r="C321" s="193" t="s">
        <v>56</v>
      </c>
      <c r="D321" s="193" t="s">
        <v>61</v>
      </c>
      <c r="E321" s="194">
        <v>4</v>
      </c>
      <c r="F321" s="193"/>
      <c r="G321" s="193"/>
      <c r="H321" s="193" t="s">
        <v>121</v>
      </c>
      <c r="I321" s="193" t="s">
        <v>37</v>
      </c>
      <c r="J321" s="194">
        <v>4</v>
      </c>
      <c r="K321" s="193"/>
      <c r="L321" s="193"/>
      <c r="M321" s="193" t="s">
        <v>37</v>
      </c>
      <c r="N321" s="193" t="s">
        <v>48</v>
      </c>
      <c r="O321" s="194">
        <v>4</v>
      </c>
      <c r="P321" s="194" t="s">
        <v>657</v>
      </c>
      <c r="Q321" s="521">
        <f>R321*(1-Bolts!$E$1179)</f>
        <v>280.7</v>
      </c>
      <c r="R321" s="150">
        <v>280.7</v>
      </c>
      <c r="S321" s="168">
        <f t="shared" si="122"/>
        <v>0</v>
      </c>
      <c r="T321" s="211"/>
      <c r="U321" s="169"/>
      <c r="V321" s="170"/>
      <c r="W321" s="171"/>
      <c r="X321" s="172"/>
      <c r="Y321" s="173"/>
      <c r="Z321" s="174"/>
      <c r="AA321" s="175"/>
      <c r="AB321" s="176"/>
      <c r="AC321" s="168">
        <f t="shared" si="123"/>
        <v>0</v>
      </c>
      <c r="AD321" s="177">
        <f t="shared" si="124"/>
        <v>0</v>
      </c>
      <c r="AE321" s="178">
        <v>12.32</v>
      </c>
      <c r="AF321" s="179">
        <f t="shared" si="125"/>
        <v>0</v>
      </c>
      <c r="AH321" s="180"/>
      <c r="AK321" s="1"/>
      <c r="AL321" s="1"/>
      <c r="AM321" s="1"/>
      <c r="AN321" s="1"/>
    </row>
    <row r="322" spans="1:40" ht="12.75" customHeight="1">
      <c r="A322" s="87"/>
      <c r="B322" s="192" t="s">
        <v>658</v>
      </c>
      <c r="C322" s="193" t="s">
        <v>56</v>
      </c>
      <c r="D322" s="193" t="s">
        <v>65</v>
      </c>
      <c r="E322" s="194">
        <v>20</v>
      </c>
      <c r="F322" s="193"/>
      <c r="G322" s="193"/>
      <c r="H322" s="193" t="s">
        <v>121</v>
      </c>
      <c r="I322" s="193" t="s">
        <v>39</v>
      </c>
      <c r="J322" s="194">
        <v>20</v>
      </c>
      <c r="K322" s="193"/>
      <c r="L322" s="193"/>
      <c r="M322" s="193" t="s">
        <v>39</v>
      </c>
      <c r="N322" s="193" t="s">
        <v>49</v>
      </c>
      <c r="O322" s="194">
        <v>20</v>
      </c>
      <c r="P322" s="194" t="s">
        <v>659</v>
      </c>
      <c r="Q322" s="521">
        <f>R322*(1-Bolts!$E$1179)</f>
        <v>205.5</v>
      </c>
      <c r="R322" s="150">
        <v>205.5</v>
      </c>
      <c r="S322" s="168">
        <f t="shared" si="122"/>
        <v>0</v>
      </c>
      <c r="T322" s="211"/>
      <c r="U322" s="169"/>
      <c r="V322" s="170"/>
      <c r="W322" s="171"/>
      <c r="X322" s="172"/>
      <c r="Y322" s="173"/>
      <c r="Z322" s="174"/>
      <c r="AA322" s="175"/>
      <c r="AB322" s="176"/>
      <c r="AC322" s="168">
        <f t="shared" si="123"/>
        <v>0</v>
      </c>
      <c r="AD322" s="177">
        <f t="shared" si="124"/>
        <v>0</v>
      </c>
      <c r="AE322" s="178">
        <v>7.13</v>
      </c>
      <c r="AF322" s="179">
        <f t="shared" si="125"/>
        <v>0</v>
      </c>
      <c r="AH322" s="180"/>
      <c r="AK322" s="1"/>
      <c r="AL322" s="1"/>
      <c r="AM322" s="1"/>
      <c r="AN322" s="1"/>
    </row>
    <row r="323" spans="1:40" ht="12.75" customHeight="1">
      <c r="A323" s="181"/>
      <c r="B323" s="182" t="s">
        <v>660</v>
      </c>
      <c r="C323" s="183" t="s">
        <v>56</v>
      </c>
      <c r="D323" s="183" t="s">
        <v>38</v>
      </c>
      <c r="E323" s="184">
        <v>8</v>
      </c>
      <c r="F323" s="183"/>
      <c r="G323" s="183"/>
      <c r="H323" s="183" t="s">
        <v>121</v>
      </c>
      <c r="I323" s="183" t="s">
        <v>38</v>
      </c>
      <c r="J323" s="184">
        <v>8</v>
      </c>
      <c r="K323" s="183"/>
      <c r="L323" s="183"/>
      <c r="M323" s="183" t="s">
        <v>38</v>
      </c>
      <c r="N323" s="183" t="s">
        <v>49</v>
      </c>
      <c r="O323" s="184">
        <v>8</v>
      </c>
      <c r="P323" s="184" t="s">
        <v>661</v>
      </c>
      <c r="Q323" s="521">
        <f>R323*(1-Bolts!$E$1179)</f>
        <v>155.6</v>
      </c>
      <c r="R323" s="150">
        <v>155.6</v>
      </c>
      <c r="S323" s="168">
        <f t="shared" si="122"/>
        <v>0</v>
      </c>
      <c r="T323" s="211"/>
      <c r="U323" s="169"/>
      <c r="V323" s="170"/>
      <c r="W323" s="171"/>
      <c r="X323" s="172"/>
      <c r="Y323" s="173"/>
      <c r="Z323" s="174"/>
      <c r="AA323" s="175"/>
      <c r="AB323" s="176"/>
      <c r="AC323" s="168">
        <f t="shared" si="123"/>
        <v>0</v>
      </c>
      <c r="AD323" s="177">
        <f t="shared" si="124"/>
        <v>0</v>
      </c>
      <c r="AE323" s="178">
        <v>2.2599999999999998</v>
      </c>
      <c r="AF323" s="179">
        <f t="shared" si="125"/>
        <v>0</v>
      </c>
      <c r="AH323" s="180"/>
      <c r="AK323" s="1"/>
      <c r="AL323" s="1"/>
      <c r="AM323" s="1"/>
      <c r="AN323" s="1"/>
    </row>
    <row r="324" spans="1:40" ht="12.75" customHeight="1">
      <c r="A324" s="181" t="s">
        <v>445</v>
      </c>
      <c r="B324" s="218" t="s">
        <v>662</v>
      </c>
      <c r="C324" s="183" t="s">
        <v>56</v>
      </c>
      <c r="D324" s="183" t="s">
        <v>61</v>
      </c>
      <c r="E324" s="184">
        <v>2</v>
      </c>
      <c r="F324" s="183" t="s">
        <v>38</v>
      </c>
      <c r="G324" s="183">
        <v>4</v>
      </c>
      <c r="H324" s="183" t="s">
        <v>121</v>
      </c>
      <c r="I324" s="183" t="s">
        <v>29</v>
      </c>
      <c r="J324" s="184">
        <v>2</v>
      </c>
      <c r="K324" s="183" t="s">
        <v>38</v>
      </c>
      <c r="L324" s="183">
        <v>4</v>
      </c>
      <c r="M324" s="183" t="s">
        <v>29</v>
      </c>
      <c r="N324" s="183" t="s">
        <v>47</v>
      </c>
      <c r="O324" s="184">
        <v>6</v>
      </c>
      <c r="P324" s="184" t="s">
        <v>663</v>
      </c>
      <c r="Q324" s="521">
        <f>R324*(1-Bolts!$E$1179)</f>
        <v>426.8</v>
      </c>
      <c r="R324" s="150">
        <v>426.8</v>
      </c>
      <c r="S324" s="168">
        <f t="shared" si="122"/>
        <v>0</v>
      </c>
      <c r="T324" s="211"/>
      <c r="U324" s="169"/>
      <c r="V324" s="170"/>
      <c r="W324" s="171"/>
      <c r="X324" s="172"/>
      <c r="Y324" s="173"/>
      <c r="Z324" s="174"/>
      <c r="AA324" s="175"/>
      <c r="AB324" s="176"/>
      <c r="AC324" s="168">
        <f t="shared" si="123"/>
        <v>0</v>
      </c>
      <c r="AD324" s="177">
        <f t="shared" si="124"/>
        <v>0</v>
      </c>
      <c r="AE324" s="178">
        <v>18.95</v>
      </c>
      <c r="AF324" s="179">
        <f t="shared" si="125"/>
        <v>0</v>
      </c>
      <c r="AH324" s="180"/>
      <c r="AK324" s="1"/>
      <c r="AL324" s="1"/>
      <c r="AM324" s="1"/>
      <c r="AN324" s="1"/>
    </row>
    <row r="325" spans="1:40" ht="12.75" customHeight="1">
      <c r="A325" s="181"/>
      <c r="B325" s="182" t="s">
        <v>664</v>
      </c>
      <c r="C325" s="183" t="s">
        <v>56</v>
      </c>
      <c r="D325" s="183" t="s">
        <v>61</v>
      </c>
      <c r="E325" s="184">
        <v>3</v>
      </c>
      <c r="F325" s="183"/>
      <c r="G325" s="183"/>
      <c r="H325" s="183" t="s">
        <v>121</v>
      </c>
      <c r="I325" s="183" t="s">
        <v>37</v>
      </c>
      <c r="J325" s="184">
        <v>3</v>
      </c>
      <c r="K325" s="183"/>
      <c r="L325" s="183"/>
      <c r="M325" s="183" t="s">
        <v>37</v>
      </c>
      <c r="N325" s="183" t="s">
        <v>49</v>
      </c>
      <c r="O325" s="184">
        <v>3</v>
      </c>
      <c r="P325" s="184" t="s">
        <v>665</v>
      </c>
      <c r="Q325" s="521">
        <f>R325*(1-Bolts!$E$1179)</f>
        <v>304.3</v>
      </c>
      <c r="R325" s="150">
        <v>304.3</v>
      </c>
      <c r="S325" s="168">
        <f t="shared" si="122"/>
        <v>0</v>
      </c>
      <c r="T325" s="211"/>
      <c r="U325" s="169"/>
      <c r="V325" s="170"/>
      <c r="W325" s="171"/>
      <c r="X325" s="172"/>
      <c r="Y325" s="173"/>
      <c r="Z325" s="174"/>
      <c r="AA325" s="175"/>
      <c r="AB325" s="176"/>
      <c r="AC325" s="168">
        <f t="shared" si="123"/>
        <v>0</v>
      </c>
      <c r="AD325" s="177">
        <f t="shared" si="124"/>
        <v>0</v>
      </c>
      <c r="AE325" s="178">
        <v>12.5</v>
      </c>
      <c r="AF325" s="179">
        <f t="shared" si="125"/>
        <v>0</v>
      </c>
      <c r="AH325" s="180"/>
      <c r="AK325" s="1"/>
      <c r="AL325" s="1"/>
      <c r="AM325" s="1"/>
      <c r="AN325" s="1"/>
    </row>
    <row r="326" spans="1:40" ht="12.75" customHeight="1">
      <c r="A326" s="181"/>
      <c r="B326" s="182" t="s">
        <v>666</v>
      </c>
      <c r="C326" s="183" t="s">
        <v>56</v>
      </c>
      <c r="D326" s="183" t="s">
        <v>62</v>
      </c>
      <c r="E326" s="184">
        <v>4</v>
      </c>
      <c r="F326" s="183"/>
      <c r="G326" s="183"/>
      <c r="H326" s="183" t="s">
        <v>121</v>
      </c>
      <c r="I326" s="183" t="s">
        <v>37</v>
      </c>
      <c r="J326" s="184">
        <v>4</v>
      </c>
      <c r="K326" s="183"/>
      <c r="L326" s="183"/>
      <c r="M326" s="183" t="s">
        <v>37</v>
      </c>
      <c r="N326" s="183" t="s">
        <v>48</v>
      </c>
      <c r="O326" s="184">
        <v>4</v>
      </c>
      <c r="P326" s="184" t="s">
        <v>667</v>
      </c>
      <c r="Q326" s="521">
        <f>R326*(1-Bolts!$E$1179)</f>
        <v>190</v>
      </c>
      <c r="R326" s="150">
        <v>190</v>
      </c>
      <c r="S326" s="168">
        <f t="shared" si="122"/>
        <v>0</v>
      </c>
      <c r="T326" s="211"/>
      <c r="U326" s="169"/>
      <c r="V326" s="170"/>
      <c r="W326" s="171"/>
      <c r="X326" s="172"/>
      <c r="Y326" s="173"/>
      <c r="Z326" s="174"/>
      <c r="AA326" s="175"/>
      <c r="AB326" s="176"/>
      <c r="AC326" s="168">
        <f t="shared" si="123"/>
        <v>0</v>
      </c>
      <c r="AD326" s="177">
        <f t="shared" si="124"/>
        <v>0</v>
      </c>
      <c r="AE326" s="178">
        <v>7.05</v>
      </c>
      <c r="AF326" s="179">
        <f t="shared" si="125"/>
        <v>0</v>
      </c>
      <c r="AH326" s="180"/>
      <c r="AK326" s="1"/>
      <c r="AL326" s="1"/>
      <c r="AM326" s="1"/>
      <c r="AN326" s="1"/>
    </row>
    <row r="327" spans="1:40" ht="12.75" customHeight="1">
      <c r="A327" s="181"/>
      <c r="B327" s="182" t="s">
        <v>668</v>
      </c>
      <c r="C327" s="183" t="s">
        <v>56</v>
      </c>
      <c r="D327" s="183" t="s">
        <v>62</v>
      </c>
      <c r="E327" s="184">
        <v>3</v>
      </c>
      <c r="F327" s="183"/>
      <c r="G327" s="183"/>
      <c r="H327" s="183" t="s">
        <v>121</v>
      </c>
      <c r="I327" s="183" t="s">
        <v>35</v>
      </c>
      <c r="J327" s="184">
        <v>3</v>
      </c>
      <c r="K327" s="183"/>
      <c r="L327" s="183"/>
      <c r="M327" s="183" t="s">
        <v>35</v>
      </c>
      <c r="N327" s="183" t="s">
        <v>48</v>
      </c>
      <c r="O327" s="184">
        <v>3</v>
      </c>
      <c r="P327" s="184" t="s">
        <v>669</v>
      </c>
      <c r="Q327" s="521">
        <f>R327*(1-Bolts!$E$1179)</f>
        <v>183.3</v>
      </c>
      <c r="R327" s="150">
        <v>183.3</v>
      </c>
      <c r="S327" s="168">
        <f t="shared" si="122"/>
        <v>0</v>
      </c>
      <c r="T327" s="211"/>
      <c r="U327" s="169"/>
      <c r="V327" s="170"/>
      <c r="W327" s="171"/>
      <c r="X327" s="172"/>
      <c r="Y327" s="173"/>
      <c r="Z327" s="174"/>
      <c r="AA327" s="175"/>
      <c r="AB327" s="176"/>
      <c r="AC327" s="168">
        <f t="shared" si="123"/>
        <v>0</v>
      </c>
      <c r="AD327" s="177">
        <f t="shared" si="124"/>
        <v>0</v>
      </c>
      <c r="AE327" s="178">
        <v>6.9</v>
      </c>
      <c r="AF327" s="179">
        <f t="shared" si="125"/>
        <v>0</v>
      </c>
      <c r="AH327" s="180"/>
      <c r="AK327" s="1"/>
      <c r="AL327" s="1"/>
      <c r="AM327" s="1"/>
      <c r="AN327" s="1"/>
    </row>
    <row r="328" spans="1:40" ht="12.75" customHeight="1">
      <c r="A328" s="181"/>
      <c r="B328" s="182" t="s">
        <v>670</v>
      </c>
      <c r="C328" s="183" t="s">
        <v>56</v>
      </c>
      <c r="D328" s="183" t="s">
        <v>63</v>
      </c>
      <c r="E328" s="184">
        <v>3</v>
      </c>
      <c r="F328" s="183"/>
      <c r="G328" s="183"/>
      <c r="H328" s="183" t="s">
        <v>121</v>
      </c>
      <c r="I328" s="183" t="s">
        <v>37</v>
      </c>
      <c r="J328" s="184">
        <v>3</v>
      </c>
      <c r="K328" s="183"/>
      <c r="L328" s="183"/>
      <c r="M328" s="183" t="s">
        <v>37</v>
      </c>
      <c r="N328" s="183" t="s">
        <v>49</v>
      </c>
      <c r="O328" s="184">
        <v>3</v>
      </c>
      <c r="P328" s="184" t="s">
        <v>671</v>
      </c>
      <c r="Q328" s="521">
        <f>R328*(1-Bolts!$E$1179)</f>
        <v>155</v>
      </c>
      <c r="R328" s="150">
        <v>155</v>
      </c>
      <c r="S328" s="168">
        <f t="shared" si="122"/>
        <v>0</v>
      </c>
      <c r="T328" s="211"/>
      <c r="U328" s="169"/>
      <c r="V328" s="170"/>
      <c r="W328" s="171"/>
      <c r="X328" s="172"/>
      <c r="Y328" s="173"/>
      <c r="Z328" s="174"/>
      <c r="AA328" s="175"/>
      <c r="AB328" s="176"/>
      <c r="AC328" s="168">
        <f t="shared" si="123"/>
        <v>0</v>
      </c>
      <c r="AD328" s="177">
        <f t="shared" si="124"/>
        <v>0</v>
      </c>
      <c r="AE328" s="178">
        <v>5.55</v>
      </c>
      <c r="AF328" s="179">
        <f t="shared" si="125"/>
        <v>0</v>
      </c>
      <c r="AH328" s="180"/>
      <c r="AK328" s="1"/>
      <c r="AL328" s="1"/>
      <c r="AM328" s="1"/>
      <c r="AN328" s="1"/>
    </row>
    <row r="329" spans="1:40" ht="12.75" customHeight="1">
      <c r="A329" s="87"/>
      <c r="B329" s="192" t="s">
        <v>672</v>
      </c>
      <c r="C329" s="193" t="s">
        <v>56</v>
      </c>
      <c r="D329" s="193" t="s">
        <v>65</v>
      </c>
      <c r="E329" s="194">
        <v>20</v>
      </c>
      <c r="F329" s="193"/>
      <c r="G329" s="193"/>
      <c r="H329" s="193" t="s">
        <v>121</v>
      </c>
      <c r="I329" s="193" t="s">
        <v>39</v>
      </c>
      <c r="J329" s="194">
        <v>20</v>
      </c>
      <c r="K329" s="193"/>
      <c r="L329" s="193"/>
      <c r="M329" s="193" t="s">
        <v>39</v>
      </c>
      <c r="N329" s="193" t="s">
        <v>47</v>
      </c>
      <c r="O329" s="194">
        <v>20</v>
      </c>
      <c r="P329" s="194" t="s">
        <v>673</v>
      </c>
      <c r="Q329" s="521">
        <f>R329*(1-Bolts!$E$1179)</f>
        <v>168.3</v>
      </c>
      <c r="R329" s="150">
        <v>168.3</v>
      </c>
      <c r="S329" s="168">
        <f t="shared" si="122"/>
        <v>0</v>
      </c>
      <c r="T329" s="211"/>
      <c r="U329" s="169"/>
      <c r="V329" s="170"/>
      <c r="W329" s="171"/>
      <c r="X329" s="172"/>
      <c r="Y329" s="173"/>
      <c r="Z329" s="174"/>
      <c r="AA329" s="175"/>
      <c r="AB329" s="176"/>
      <c r="AC329" s="168">
        <f t="shared" si="123"/>
        <v>0</v>
      </c>
      <c r="AD329" s="177">
        <f t="shared" si="124"/>
        <v>0</v>
      </c>
      <c r="AE329" s="178">
        <v>5.27</v>
      </c>
      <c r="AF329" s="179">
        <f t="shared" si="125"/>
        <v>0</v>
      </c>
      <c r="AH329" s="180"/>
      <c r="AK329" s="1"/>
      <c r="AL329" s="1"/>
      <c r="AM329" s="1"/>
      <c r="AN329" s="1"/>
    </row>
    <row r="330" spans="1:40" ht="12.75" customHeight="1">
      <c r="A330" s="181"/>
      <c r="B330" s="182" t="s">
        <v>674</v>
      </c>
      <c r="C330" s="183" t="s">
        <v>56</v>
      </c>
      <c r="D330" s="183" t="s">
        <v>63</v>
      </c>
      <c r="E330" s="184">
        <v>4</v>
      </c>
      <c r="F330" s="183"/>
      <c r="G330" s="183"/>
      <c r="H330" s="183" t="s">
        <v>121</v>
      </c>
      <c r="I330" s="183" t="s">
        <v>38</v>
      </c>
      <c r="J330" s="184">
        <v>4</v>
      </c>
      <c r="K330" s="183"/>
      <c r="L330" s="183"/>
      <c r="M330" s="183" t="s">
        <v>38</v>
      </c>
      <c r="N330" s="183" t="s">
        <v>49</v>
      </c>
      <c r="O330" s="184">
        <v>4</v>
      </c>
      <c r="P330" s="184" t="s">
        <v>675</v>
      </c>
      <c r="Q330" s="521">
        <f>R330*(1-Bolts!$E$1179)</f>
        <v>174.7</v>
      </c>
      <c r="R330" s="150">
        <v>174.7</v>
      </c>
      <c r="S330" s="168">
        <f t="shared" si="122"/>
        <v>0</v>
      </c>
      <c r="T330" s="211"/>
      <c r="U330" s="169"/>
      <c r="V330" s="170"/>
      <c r="W330" s="171"/>
      <c r="X330" s="172"/>
      <c r="Y330" s="173"/>
      <c r="Z330" s="174"/>
      <c r="AA330" s="175"/>
      <c r="AB330" s="176"/>
      <c r="AC330" s="168">
        <f t="shared" si="123"/>
        <v>0</v>
      </c>
      <c r="AD330" s="177">
        <f t="shared" si="124"/>
        <v>0</v>
      </c>
      <c r="AE330" s="178">
        <v>6.4</v>
      </c>
      <c r="AF330" s="179">
        <f t="shared" si="125"/>
        <v>0</v>
      </c>
      <c r="AH330" s="180"/>
      <c r="AK330" s="1"/>
      <c r="AL330" s="1"/>
      <c r="AM330" s="1"/>
      <c r="AN330" s="1"/>
    </row>
    <row r="331" spans="1:40" ht="12.75" customHeight="1">
      <c r="A331" s="181"/>
      <c r="B331" s="182" t="s">
        <v>676</v>
      </c>
      <c r="C331" s="183" t="s">
        <v>56</v>
      </c>
      <c r="D331" s="183" t="s">
        <v>63</v>
      </c>
      <c r="E331" s="184">
        <v>5</v>
      </c>
      <c r="F331" s="183"/>
      <c r="G331" s="183"/>
      <c r="H331" s="183" t="s">
        <v>121</v>
      </c>
      <c r="I331" s="183" t="s">
        <v>35</v>
      </c>
      <c r="J331" s="184">
        <v>5</v>
      </c>
      <c r="K331" s="183"/>
      <c r="L331" s="183"/>
      <c r="M331" s="183" t="s">
        <v>35</v>
      </c>
      <c r="N331" s="183" t="s">
        <v>49</v>
      </c>
      <c r="O331" s="184">
        <v>5</v>
      </c>
      <c r="P331" s="184" t="s">
        <v>677</v>
      </c>
      <c r="Q331" s="521">
        <f>R331*(1-Bolts!$E$1179)</f>
        <v>181.9</v>
      </c>
      <c r="R331" s="150">
        <v>181.9</v>
      </c>
      <c r="S331" s="168">
        <f t="shared" si="122"/>
        <v>0</v>
      </c>
      <c r="T331" s="211"/>
      <c r="U331" s="169"/>
      <c r="V331" s="170"/>
      <c r="W331" s="171"/>
      <c r="X331" s="172"/>
      <c r="Y331" s="173"/>
      <c r="Z331" s="174"/>
      <c r="AA331" s="175"/>
      <c r="AB331" s="176"/>
      <c r="AC331" s="168">
        <f t="shared" si="123"/>
        <v>0</v>
      </c>
      <c r="AD331" s="177">
        <f t="shared" si="124"/>
        <v>0</v>
      </c>
      <c r="AE331" s="178">
        <v>6.25</v>
      </c>
      <c r="AF331" s="179">
        <f t="shared" si="125"/>
        <v>0</v>
      </c>
      <c r="AH331" s="180"/>
      <c r="AK331" s="1"/>
      <c r="AL331" s="1"/>
      <c r="AM331" s="1"/>
      <c r="AN331" s="1"/>
    </row>
    <row r="332" spans="1:40" ht="12.75" customHeight="1">
      <c r="A332" s="181"/>
      <c r="B332" s="182" t="s">
        <v>678</v>
      </c>
      <c r="C332" s="183" t="s">
        <v>56</v>
      </c>
      <c r="D332" s="183" t="s">
        <v>38</v>
      </c>
      <c r="E332" s="184">
        <v>6</v>
      </c>
      <c r="F332" s="183"/>
      <c r="G332" s="183"/>
      <c r="H332" s="183" t="s">
        <v>121</v>
      </c>
      <c r="I332" s="183" t="s">
        <v>38</v>
      </c>
      <c r="J332" s="184">
        <v>6</v>
      </c>
      <c r="K332" s="183"/>
      <c r="L332" s="183"/>
      <c r="M332" s="183" t="s">
        <v>38</v>
      </c>
      <c r="N332" s="183" t="s">
        <v>49</v>
      </c>
      <c r="O332" s="184">
        <v>6</v>
      </c>
      <c r="P332" s="184" t="s">
        <v>679</v>
      </c>
      <c r="Q332" s="521">
        <f>R332*(1-Bolts!$E$1179)</f>
        <v>126</v>
      </c>
      <c r="R332" s="150">
        <v>126</v>
      </c>
      <c r="S332" s="168">
        <f t="shared" si="122"/>
        <v>0</v>
      </c>
      <c r="T332" s="211"/>
      <c r="U332" s="169"/>
      <c r="V332" s="170"/>
      <c r="W332" s="171"/>
      <c r="X332" s="172"/>
      <c r="Y332" s="173"/>
      <c r="Z332" s="174"/>
      <c r="AA332" s="175"/>
      <c r="AB332" s="176"/>
      <c r="AC332" s="168">
        <f t="shared" si="123"/>
        <v>0</v>
      </c>
      <c r="AD332" s="177">
        <f t="shared" si="124"/>
        <v>0</v>
      </c>
      <c r="AE332" s="178">
        <v>1.6</v>
      </c>
      <c r="AF332" s="179">
        <f t="shared" si="125"/>
        <v>0</v>
      </c>
      <c r="AH332" s="180"/>
      <c r="AK332" s="1"/>
      <c r="AL332" s="1"/>
      <c r="AM332" s="1"/>
      <c r="AN332" s="1"/>
    </row>
    <row r="333" spans="1:40" ht="12.75" customHeight="1">
      <c r="A333" s="181"/>
      <c r="B333" s="182" t="s">
        <v>680</v>
      </c>
      <c r="C333" s="183" t="s">
        <v>56</v>
      </c>
      <c r="D333" s="183" t="s">
        <v>38</v>
      </c>
      <c r="E333" s="184">
        <v>6</v>
      </c>
      <c r="F333" s="183"/>
      <c r="G333" s="183"/>
      <c r="H333" s="183" t="s">
        <v>121</v>
      </c>
      <c r="I333" s="183" t="s">
        <v>38</v>
      </c>
      <c r="J333" s="184">
        <v>6</v>
      </c>
      <c r="K333" s="183"/>
      <c r="L333" s="183"/>
      <c r="M333" s="183" t="s">
        <v>38</v>
      </c>
      <c r="N333" s="183" t="s">
        <v>49</v>
      </c>
      <c r="O333" s="184">
        <v>6</v>
      </c>
      <c r="P333" s="184" t="s">
        <v>681</v>
      </c>
      <c r="Q333" s="521">
        <f>R333*(1-Bolts!$E$1179)</f>
        <v>108.3</v>
      </c>
      <c r="R333" s="150">
        <v>108.3</v>
      </c>
      <c r="S333" s="168">
        <f t="shared" si="122"/>
        <v>0</v>
      </c>
      <c r="T333" s="211"/>
      <c r="U333" s="169"/>
      <c r="V333" s="170"/>
      <c r="W333" s="171"/>
      <c r="X333" s="172"/>
      <c r="Y333" s="173"/>
      <c r="Z333" s="174"/>
      <c r="AA333" s="175"/>
      <c r="AB333" s="176"/>
      <c r="AC333" s="168">
        <f t="shared" si="123"/>
        <v>0</v>
      </c>
      <c r="AD333" s="177">
        <f t="shared" si="124"/>
        <v>0</v>
      </c>
      <c r="AE333" s="178">
        <v>3.05</v>
      </c>
      <c r="AF333" s="179">
        <f t="shared" si="125"/>
        <v>0</v>
      </c>
      <c r="AH333" s="180"/>
      <c r="AK333" s="1"/>
      <c r="AL333" s="1"/>
      <c r="AM333" s="1"/>
      <c r="AN333" s="1"/>
    </row>
    <row r="334" spans="1:40" ht="12.75" customHeight="1">
      <c r="A334" s="181" t="s">
        <v>445</v>
      </c>
      <c r="B334" s="218" t="s">
        <v>682</v>
      </c>
      <c r="C334" s="183" t="s">
        <v>56</v>
      </c>
      <c r="D334" s="183" t="s">
        <v>64</v>
      </c>
      <c r="E334" s="184">
        <v>5</v>
      </c>
      <c r="F334" s="183"/>
      <c r="G334" s="183"/>
      <c r="H334" s="183" t="s">
        <v>121</v>
      </c>
      <c r="I334" s="183" t="s">
        <v>33</v>
      </c>
      <c r="J334" s="184">
        <v>5</v>
      </c>
      <c r="K334" s="183"/>
      <c r="L334" s="183"/>
      <c r="M334" s="183" t="s">
        <v>33</v>
      </c>
      <c r="N334" s="183" t="s">
        <v>49</v>
      </c>
      <c r="O334" s="184">
        <v>5</v>
      </c>
      <c r="P334" s="184" t="s">
        <v>683</v>
      </c>
      <c r="Q334" s="521">
        <f>R334*(1-Bolts!$E$1179)</f>
        <v>71.7</v>
      </c>
      <c r="R334" s="150">
        <v>71.7</v>
      </c>
      <c r="S334" s="168">
        <f t="shared" si="122"/>
        <v>0</v>
      </c>
      <c r="T334" s="211"/>
      <c r="U334" s="169"/>
      <c r="V334" s="170"/>
      <c r="W334" s="171"/>
      <c r="X334" s="172"/>
      <c r="Y334" s="173"/>
      <c r="Z334" s="174"/>
      <c r="AA334" s="175"/>
      <c r="AB334" s="176"/>
      <c r="AC334" s="168">
        <f t="shared" si="123"/>
        <v>0</v>
      </c>
      <c r="AD334" s="177">
        <f t="shared" si="124"/>
        <v>0</v>
      </c>
      <c r="AE334" s="178">
        <v>1.85</v>
      </c>
      <c r="AF334" s="179">
        <f t="shared" si="125"/>
        <v>0</v>
      </c>
      <c r="AH334" s="180"/>
      <c r="AK334" s="1"/>
      <c r="AL334" s="1"/>
      <c r="AM334" s="1"/>
      <c r="AN334" s="1"/>
    </row>
    <row r="335" spans="1:40" ht="12.75" customHeight="1">
      <c r="A335" s="181" t="s">
        <v>445</v>
      </c>
      <c r="B335" s="218" t="s">
        <v>684</v>
      </c>
      <c r="C335" s="183" t="s">
        <v>56</v>
      </c>
      <c r="D335" s="183" t="s">
        <v>38</v>
      </c>
      <c r="E335" s="184">
        <v>10</v>
      </c>
      <c r="F335" s="183"/>
      <c r="G335" s="183"/>
      <c r="H335" s="183" t="s">
        <v>121</v>
      </c>
      <c r="I335" s="183" t="s">
        <v>38</v>
      </c>
      <c r="J335" s="184">
        <v>10</v>
      </c>
      <c r="K335" s="183"/>
      <c r="L335" s="183"/>
      <c r="M335" s="183" t="s">
        <v>38</v>
      </c>
      <c r="N335" s="183" t="s">
        <v>49</v>
      </c>
      <c r="O335" s="184">
        <v>10</v>
      </c>
      <c r="P335" s="184" t="s">
        <v>685</v>
      </c>
      <c r="Q335" s="521">
        <f>R335*(1-Bolts!$E$1179)</f>
        <v>101</v>
      </c>
      <c r="R335" s="150">
        <v>101</v>
      </c>
      <c r="S335" s="168">
        <f t="shared" si="122"/>
        <v>0</v>
      </c>
      <c r="T335" s="211"/>
      <c r="U335" s="169"/>
      <c r="V335" s="170"/>
      <c r="W335" s="171"/>
      <c r="X335" s="172"/>
      <c r="Y335" s="173"/>
      <c r="Z335" s="174"/>
      <c r="AA335" s="175"/>
      <c r="AB335" s="176"/>
      <c r="AC335" s="168">
        <f t="shared" si="123"/>
        <v>0</v>
      </c>
      <c r="AD335" s="177">
        <f t="shared" si="124"/>
        <v>0</v>
      </c>
      <c r="AE335" s="178">
        <v>1.9</v>
      </c>
      <c r="AF335" s="179">
        <f t="shared" si="125"/>
        <v>0</v>
      </c>
      <c r="AH335" s="180"/>
      <c r="AK335" s="1"/>
      <c r="AL335" s="1"/>
      <c r="AM335" s="1"/>
      <c r="AN335" s="1"/>
    </row>
    <row r="336" spans="1:40" ht="12.75" customHeight="1">
      <c r="A336" s="181"/>
      <c r="B336" s="182" t="s">
        <v>686</v>
      </c>
      <c r="C336" s="183" t="s">
        <v>56</v>
      </c>
      <c r="D336" s="183" t="s">
        <v>60</v>
      </c>
      <c r="E336" s="184">
        <v>1</v>
      </c>
      <c r="F336" s="183"/>
      <c r="G336" s="183"/>
      <c r="H336" s="183" t="s">
        <v>121</v>
      </c>
      <c r="I336" s="183" t="s">
        <v>37</v>
      </c>
      <c r="J336" s="184">
        <v>1</v>
      </c>
      <c r="K336" s="183"/>
      <c r="L336" s="183"/>
      <c r="M336" s="183" t="s">
        <v>37</v>
      </c>
      <c r="N336" s="183" t="s">
        <v>49</v>
      </c>
      <c r="O336" s="184">
        <v>1</v>
      </c>
      <c r="P336" s="184" t="s">
        <v>687</v>
      </c>
      <c r="Q336" s="521">
        <f>R336*(1-Bolts!$E$1179)</f>
        <v>192.4</v>
      </c>
      <c r="R336" s="150">
        <v>192.4</v>
      </c>
      <c r="S336" s="168">
        <f t="shared" si="122"/>
        <v>0</v>
      </c>
      <c r="T336" s="211"/>
      <c r="U336" s="169"/>
      <c r="V336" s="170"/>
      <c r="W336" s="171"/>
      <c r="X336" s="172"/>
      <c r="Y336" s="173"/>
      <c r="Z336" s="174"/>
      <c r="AA336" s="175"/>
      <c r="AB336" s="176"/>
      <c r="AC336" s="168">
        <f t="shared" si="123"/>
        <v>0</v>
      </c>
      <c r="AD336" s="177">
        <f t="shared" si="124"/>
        <v>0</v>
      </c>
      <c r="AE336" s="178">
        <v>7.8</v>
      </c>
      <c r="AF336" s="179">
        <f t="shared" si="125"/>
        <v>0</v>
      </c>
      <c r="AH336" s="180"/>
      <c r="AK336" s="1"/>
      <c r="AL336" s="1"/>
      <c r="AM336" s="1"/>
      <c r="AN336" s="1"/>
    </row>
    <row r="337" spans="1:40" ht="12.75" customHeight="1">
      <c r="A337" s="181"/>
      <c r="B337" s="182" t="s">
        <v>688</v>
      </c>
      <c r="C337" s="183" t="s">
        <v>56</v>
      </c>
      <c r="D337" s="183" t="s">
        <v>61</v>
      </c>
      <c r="E337" s="184">
        <v>3</v>
      </c>
      <c r="F337" s="183"/>
      <c r="G337" s="183"/>
      <c r="H337" s="183" t="s">
        <v>121</v>
      </c>
      <c r="I337" s="183" t="s">
        <v>37</v>
      </c>
      <c r="J337" s="184">
        <v>3</v>
      </c>
      <c r="K337" s="183"/>
      <c r="L337" s="183"/>
      <c r="M337" s="183" t="s">
        <v>37</v>
      </c>
      <c r="N337" s="183" t="s">
        <v>49</v>
      </c>
      <c r="O337" s="184">
        <v>3</v>
      </c>
      <c r="P337" s="184" t="s">
        <v>689</v>
      </c>
      <c r="Q337" s="521">
        <f>R337*(1-Bolts!$E$1179)</f>
        <v>215.7</v>
      </c>
      <c r="R337" s="150">
        <v>215.7</v>
      </c>
      <c r="S337" s="168">
        <f t="shared" si="122"/>
        <v>0</v>
      </c>
      <c r="T337" s="211"/>
      <c r="U337" s="169"/>
      <c r="V337" s="170"/>
      <c r="W337" s="171"/>
      <c r="X337" s="172"/>
      <c r="Y337" s="173"/>
      <c r="Z337" s="174"/>
      <c r="AA337" s="175"/>
      <c r="AB337" s="176"/>
      <c r="AC337" s="168">
        <f t="shared" si="123"/>
        <v>0</v>
      </c>
      <c r="AD337" s="177">
        <f t="shared" si="124"/>
        <v>0</v>
      </c>
      <c r="AE337" s="178">
        <v>8.85</v>
      </c>
      <c r="AF337" s="179">
        <f t="shared" si="125"/>
        <v>0</v>
      </c>
      <c r="AH337" s="180"/>
      <c r="AK337" s="1"/>
      <c r="AL337" s="1"/>
      <c r="AM337" s="1"/>
      <c r="AN337" s="1"/>
    </row>
    <row r="338" spans="1:40" ht="12.75" customHeight="1">
      <c r="A338" s="181"/>
      <c r="B338" s="182" t="s">
        <v>690</v>
      </c>
      <c r="C338" s="183" t="s">
        <v>56</v>
      </c>
      <c r="D338" s="183" t="s">
        <v>61</v>
      </c>
      <c r="E338" s="184">
        <v>3</v>
      </c>
      <c r="F338" s="183"/>
      <c r="G338" s="183"/>
      <c r="H338" s="183" t="s">
        <v>121</v>
      </c>
      <c r="I338" s="183" t="s">
        <v>37</v>
      </c>
      <c r="J338" s="184">
        <v>3</v>
      </c>
      <c r="K338" s="183"/>
      <c r="L338" s="183"/>
      <c r="M338" s="183" t="s">
        <v>37</v>
      </c>
      <c r="N338" s="183" t="s">
        <v>49</v>
      </c>
      <c r="O338" s="184">
        <v>3</v>
      </c>
      <c r="P338" s="184" t="s">
        <v>691</v>
      </c>
      <c r="Q338" s="521">
        <f>R338*(1-Bolts!$E$1179)</f>
        <v>283.3</v>
      </c>
      <c r="R338" s="150">
        <v>283.3</v>
      </c>
      <c r="S338" s="168">
        <f t="shared" si="122"/>
        <v>0</v>
      </c>
      <c r="T338" s="211"/>
      <c r="U338" s="169"/>
      <c r="V338" s="170"/>
      <c r="W338" s="171"/>
      <c r="X338" s="172"/>
      <c r="Y338" s="173"/>
      <c r="Z338" s="174"/>
      <c r="AA338" s="175"/>
      <c r="AB338" s="176"/>
      <c r="AC338" s="168">
        <f t="shared" si="123"/>
        <v>0</v>
      </c>
      <c r="AD338" s="177">
        <f t="shared" si="124"/>
        <v>0</v>
      </c>
      <c r="AE338" s="178">
        <v>12.05</v>
      </c>
      <c r="AF338" s="179">
        <f t="shared" si="125"/>
        <v>0</v>
      </c>
      <c r="AH338" s="180"/>
      <c r="AK338" s="1"/>
      <c r="AL338" s="1"/>
      <c r="AM338" s="1"/>
      <c r="AN338" s="1"/>
    </row>
    <row r="339" spans="1:40" ht="12.75" customHeight="1">
      <c r="A339" s="219" t="s">
        <v>378</v>
      </c>
      <c r="B339" s="205" t="s">
        <v>692</v>
      </c>
      <c r="C339" s="206" t="str">
        <f>B339</f>
        <v>Keith Dickey - Stella and Stella/Granite Junction</v>
      </c>
      <c r="D339" s="207"/>
      <c r="E339" s="207"/>
      <c r="F339" s="207"/>
      <c r="G339" s="207"/>
      <c r="H339" s="207" t="s">
        <v>121</v>
      </c>
      <c r="I339" s="207"/>
      <c r="J339" s="207"/>
      <c r="K339" s="207"/>
      <c r="L339" s="207"/>
      <c r="M339" s="207"/>
      <c r="N339" s="207"/>
      <c r="O339" s="207"/>
      <c r="P339" s="207"/>
      <c r="Q339" s="524"/>
      <c r="R339" s="150"/>
      <c r="S339" s="207"/>
      <c r="T339" s="207"/>
      <c r="U339" s="207"/>
      <c r="V339" s="207"/>
      <c r="W339" s="207"/>
      <c r="X339" s="207"/>
      <c r="Y339" s="207"/>
      <c r="Z339" s="207"/>
      <c r="AA339" s="207"/>
      <c r="AB339" s="207"/>
      <c r="AC339" s="207"/>
      <c r="AD339" s="207"/>
      <c r="AE339" s="207"/>
      <c r="AF339" s="208"/>
      <c r="AH339" s="180"/>
      <c r="AK339" s="1"/>
      <c r="AL339" s="1"/>
      <c r="AM339" s="1"/>
      <c r="AN339" s="1"/>
    </row>
    <row r="340" spans="1:40" ht="12.75" customHeight="1">
      <c r="A340" s="87"/>
      <c r="B340" s="192" t="s">
        <v>693</v>
      </c>
      <c r="C340" s="193" t="s">
        <v>57</v>
      </c>
      <c r="D340" s="193" t="s">
        <v>60</v>
      </c>
      <c r="E340" s="194">
        <v>3</v>
      </c>
      <c r="F340" s="193"/>
      <c r="G340" s="193"/>
      <c r="H340" s="193" t="s">
        <v>121</v>
      </c>
      <c r="I340" s="193" t="s">
        <v>28</v>
      </c>
      <c r="J340" s="194">
        <v>3</v>
      </c>
      <c r="K340" s="193"/>
      <c r="L340" s="193"/>
      <c r="M340" s="193" t="s">
        <v>28</v>
      </c>
      <c r="N340" s="193" t="s">
        <v>49</v>
      </c>
      <c r="O340" s="194">
        <v>3</v>
      </c>
      <c r="P340" s="194" t="s">
        <v>694</v>
      </c>
      <c r="Q340" s="521">
        <f>R340*(1-Bolts!$E$1179)</f>
        <v>577.70000000000005</v>
      </c>
      <c r="R340" s="150">
        <v>577.70000000000005</v>
      </c>
      <c r="S340" s="168">
        <f t="shared" ref="S340:S343" si="126">SUM(T340:AB340)</f>
        <v>0</v>
      </c>
      <c r="T340" s="211"/>
      <c r="U340" s="169"/>
      <c r="V340" s="170"/>
      <c r="W340" s="171"/>
      <c r="X340" s="172"/>
      <c r="Y340" s="173"/>
      <c r="Z340" s="174"/>
      <c r="AA340" s="175"/>
      <c r="AB340" s="176"/>
      <c r="AC340" s="168">
        <f t="shared" ref="AC340:AC343" si="127">S340*O340</f>
        <v>0</v>
      </c>
      <c r="AD340" s="177">
        <f t="shared" ref="AD340:AD343" si="128">S340*R340</f>
        <v>0</v>
      </c>
      <c r="AE340" s="178">
        <v>29.64</v>
      </c>
      <c r="AF340" s="179">
        <f t="shared" ref="AF340:AF343" si="129">AE340*S340</f>
        <v>0</v>
      </c>
      <c r="AH340" s="209"/>
      <c r="AK340" s="1"/>
      <c r="AL340" s="1"/>
      <c r="AM340" s="1"/>
      <c r="AN340" s="1"/>
    </row>
    <row r="341" spans="1:40" ht="12.75" customHeight="1">
      <c r="A341" s="87"/>
      <c r="B341" s="195" t="s">
        <v>695</v>
      </c>
      <c r="C341" s="196" t="s">
        <v>57</v>
      </c>
      <c r="D341" s="196" t="s">
        <v>60</v>
      </c>
      <c r="E341" s="197">
        <v>1</v>
      </c>
      <c r="F341" s="196"/>
      <c r="G341" s="196"/>
      <c r="H341" s="196" t="s">
        <v>121</v>
      </c>
      <c r="I341" s="196" t="s">
        <v>28</v>
      </c>
      <c r="J341" s="197">
        <v>1</v>
      </c>
      <c r="K341" s="196"/>
      <c r="L341" s="196"/>
      <c r="M341" s="196" t="s">
        <v>28</v>
      </c>
      <c r="N341" s="196" t="s">
        <v>49</v>
      </c>
      <c r="O341" s="197">
        <v>1</v>
      </c>
      <c r="P341" s="197" t="s">
        <v>696</v>
      </c>
      <c r="Q341" s="523">
        <f>R341*(1-Bolts!$E$1179)</f>
        <v>201.5</v>
      </c>
      <c r="R341" s="150">
        <v>201.5</v>
      </c>
      <c r="S341" s="198">
        <f t="shared" si="126"/>
        <v>0</v>
      </c>
      <c r="T341" s="199"/>
      <c r="U341" s="199"/>
      <c r="V341" s="200"/>
      <c r="W341" s="199"/>
      <c r="X341" s="199"/>
      <c r="Y341" s="199"/>
      <c r="Z341" s="199"/>
      <c r="AA341" s="199"/>
      <c r="AB341" s="199"/>
      <c r="AC341" s="198">
        <f t="shared" si="127"/>
        <v>0</v>
      </c>
      <c r="AD341" s="177">
        <f t="shared" si="128"/>
        <v>0</v>
      </c>
      <c r="AE341" s="201">
        <v>9.4499999999999993</v>
      </c>
      <c r="AF341" s="202">
        <f t="shared" si="129"/>
        <v>0</v>
      </c>
      <c r="AH341" s="180"/>
      <c r="AK341" s="1"/>
      <c r="AL341" s="1"/>
      <c r="AM341" s="1"/>
      <c r="AN341" s="1"/>
    </row>
    <row r="342" spans="1:40" ht="12.75" customHeight="1">
      <c r="A342" s="87"/>
      <c r="B342" s="195" t="s">
        <v>697</v>
      </c>
      <c r="C342" s="196" t="s">
        <v>57</v>
      </c>
      <c r="D342" s="196" t="s">
        <v>60</v>
      </c>
      <c r="E342" s="197">
        <v>1</v>
      </c>
      <c r="F342" s="196"/>
      <c r="G342" s="196"/>
      <c r="H342" s="196" t="s">
        <v>121</v>
      </c>
      <c r="I342" s="196" t="s">
        <v>28</v>
      </c>
      <c r="J342" s="197">
        <v>1</v>
      </c>
      <c r="K342" s="196"/>
      <c r="L342" s="196"/>
      <c r="M342" s="196" t="s">
        <v>28</v>
      </c>
      <c r="N342" s="196" t="s">
        <v>49</v>
      </c>
      <c r="O342" s="197">
        <v>1</v>
      </c>
      <c r="P342" s="197" t="s">
        <v>698</v>
      </c>
      <c r="Q342" s="523">
        <f>R342*(1-Bolts!$E$1179)</f>
        <v>205.9</v>
      </c>
      <c r="R342" s="150">
        <v>205.9</v>
      </c>
      <c r="S342" s="198">
        <f t="shared" si="126"/>
        <v>0</v>
      </c>
      <c r="T342" s="199"/>
      <c r="U342" s="199"/>
      <c r="V342" s="200"/>
      <c r="W342" s="199"/>
      <c r="X342" s="199"/>
      <c r="Y342" s="199"/>
      <c r="Z342" s="199"/>
      <c r="AA342" s="199"/>
      <c r="AB342" s="199"/>
      <c r="AC342" s="198">
        <f t="shared" si="127"/>
        <v>0</v>
      </c>
      <c r="AD342" s="177">
        <f t="shared" si="128"/>
        <v>0</v>
      </c>
      <c r="AE342" s="201">
        <v>9.6999999999999993</v>
      </c>
      <c r="AF342" s="202">
        <f t="shared" si="129"/>
        <v>0</v>
      </c>
      <c r="AH342" s="180"/>
      <c r="AK342" s="1"/>
      <c r="AL342" s="1"/>
      <c r="AM342" s="1"/>
      <c r="AN342" s="1"/>
    </row>
    <row r="343" spans="1:40" ht="12.75" customHeight="1">
      <c r="A343" s="87"/>
      <c r="B343" s="195" t="s">
        <v>699</v>
      </c>
      <c r="C343" s="196" t="s">
        <v>57</v>
      </c>
      <c r="D343" s="196" t="s">
        <v>60</v>
      </c>
      <c r="E343" s="197">
        <v>1</v>
      </c>
      <c r="F343" s="196"/>
      <c r="G343" s="196"/>
      <c r="H343" s="196" t="s">
        <v>121</v>
      </c>
      <c r="I343" s="196" t="s">
        <v>28</v>
      </c>
      <c r="J343" s="197">
        <v>1</v>
      </c>
      <c r="K343" s="196"/>
      <c r="L343" s="196"/>
      <c r="M343" s="196" t="s">
        <v>28</v>
      </c>
      <c r="N343" s="196" t="s">
        <v>49</v>
      </c>
      <c r="O343" s="197">
        <v>1</v>
      </c>
      <c r="P343" s="197" t="s">
        <v>700</v>
      </c>
      <c r="Q343" s="523">
        <f>R343*(1-Bolts!$E$1179)</f>
        <v>219.4</v>
      </c>
      <c r="R343" s="150">
        <v>219.4</v>
      </c>
      <c r="S343" s="198">
        <f t="shared" si="126"/>
        <v>0</v>
      </c>
      <c r="T343" s="199"/>
      <c r="U343" s="199"/>
      <c r="V343" s="200"/>
      <c r="W343" s="199"/>
      <c r="X343" s="199"/>
      <c r="Y343" s="199"/>
      <c r="Z343" s="199"/>
      <c r="AA343" s="199"/>
      <c r="AB343" s="199"/>
      <c r="AC343" s="198">
        <f t="shared" si="127"/>
        <v>0</v>
      </c>
      <c r="AD343" s="177">
        <f t="shared" si="128"/>
        <v>0</v>
      </c>
      <c r="AE343" s="201">
        <v>10.49</v>
      </c>
      <c r="AF343" s="202">
        <f t="shared" si="129"/>
        <v>0</v>
      </c>
      <c r="AH343" s="180"/>
      <c r="AK343" s="1"/>
      <c r="AL343" s="1"/>
      <c r="AM343" s="1"/>
      <c r="AN343" s="1"/>
    </row>
    <row r="344" spans="1:40" ht="12.75" customHeight="1">
      <c r="A344" s="87"/>
      <c r="B344" s="185"/>
      <c r="C344" s="165"/>
      <c r="D344" s="165"/>
      <c r="E344" s="166"/>
      <c r="F344" s="165"/>
      <c r="G344" s="165"/>
      <c r="H344" s="165"/>
      <c r="I344" s="165"/>
      <c r="J344" s="166"/>
      <c r="K344" s="165"/>
      <c r="L344" s="165"/>
      <c r="M344" s="165"/>
      <c r="N344" s="165"/>
      <c r="O344" s="166"/>
      <c r="P344" s="166"/>
      <c r="Q344" s="522"/>
      <c r="R344" s="150"/>
      <c r="S344" s="186"/>
      <c r="T344" s="187"/>
      <c r="U344" s="187"/>
      <c r="V344" s="188"/>
      <c r="W344" s="187"/>
      <c r="X344" s="187"/>
      <c r="Y344" s="187"/>
      <c r="Z344" s="187"/>
      <c r="AA344" s="187"/>
      <c r="AB344" s="188"/>
      <c r="AC344" s="186"/>
      <c r="AD344" s="189"/>
      <c r="AE344" s="190"/>
      <c r="AF344" s="191"/>
      <c r="AH344" s="180"/>
      <c r="AK344" s="1"/>
      <c r="AL344" s="1"/>
      <c r="AM344" s="1"/>
      <c r="AN344" s="1"/>
    </row>
    <row r="345" spans="1:40" ht="12.75" customHeight="1">
      <c r="A345" s="87"/>
      <c r="B345" s="192" t="s">
        <v>701</v>
      </c>
      <c r="C345" s="193" t="s">
        <v>57</v>
      </c>
      <c r="D345" s="193" t="s">
        <v>62</v>
      </c>
      <c r="E345" s="194">
        <v>5</v>
      </c>
      <c r="F345" s="193"/>
      <c r="G345" s="193"/>
      <c r="H345" s="193" t="s">
        <v>121</v>
      </c>
      <c r="I345" s="193" t="s">
        <v>37</v>
      </c>
      <c r="J345" s="194">
        <v>5</v>
      </c>
      <c r="K345" s="193"/>
      <c r="L345" s="193"/>
      <c r="M345" s="193" t="s">
        <v>37</v>
      </c>
      <c r="N345" s="193" t="s">
        <v>47</v>
      </c>
      <c r="O345" s="194">
        <v>5</v>
      </c>
      <c r="P345" s="194" t="s">
        <v>702</v>
      </c>
      <c r="Q345" s="521">
        <f>R345*(1-Bolts!$E$1179)</f>
        <v>341.1</v>
      </c>
      <c r="R345" s="150">
        <v>341.1</v>
      </c>
      <c r="S345" s="168">
        <f t="shared" ref="S345:S346" si="130">SUM(T345:AB345)</f>
        <v>0</v>
      </c>
      <c r="T345" s="211"/>
      <c r="U345" s="169"/>
      <c r="V345" s="170"/>
      <c r="W345" s="171"/>
      <c r="X345" s="172"/>
      <c r="Y345" s="173"/>
      <c r="Z345" s="174"/>
      <c r="AA345" s="175"/>
      <c r="AB345" s="176"/>
      <c r="AC345" s="168">
        <f t="shared" ref="AC345:AC346" si="131">S345*O345</f>
        <v>0</v>
      </c>
      <c r="AD345" s="177">
        <f t="shared" ref="AD345:AD346" si="132">S345*R345</f>
        <v>0</v>
      </c>
      <c r="AE345" s="178">
        <v>16.75</v>
      </c>
      <c r="AF345" s="179">
        <f t="shared" ref="AF345:AF346" si="133">AE345*S345</f>
        <v>0</v>
      </c>
      <c r="AH345" s="180"/>
      <c r="AK345" s="1"/>
      <c r="AL345" s="1"/>
      <c r="AM345" s="1"/>
      <c r="AN345" s="1"/>
    </row>
    <row r="346" spans="1:40" ht="12.75" customHeight="1">
      <c r="A346" s="87"/>
      <c r="B346" s="192" t="s">
        <v>703</v>
      </c>
      <c r="C346" s="193" t="s">
        <v>53</v>
      </c>
      <c r="D346" s="193" t="s">
        <v>62</v>
      </c>
      <c r="E346" s="194">
        <v>5</v>
      </c>
      <c r="F346" s="193"/>
      <c r="G346" s="193"/>
      <c r="H346" s="193" t="s">
        <v>121</v>
      </c>
      <c r="I346" s="193" t="s">
        <v>37</v>
      </c>
      <c r="J346" s="194">
        <v>5</v>
      </c>
      <c r="K346" s="193"/>
      <c r="L346" s="193"/>
      <c r="M346" s="193" t="s">
        <v>37</v>
      </c>
      <c r="N346" s="193" t="s">
        <v>48</v>
      </c>
      <c r="O346" s="194">
        <v>5</v>
      </c>
      <c r="P346" s="194" t="s">
        <v>704</v>
      </c>
      <c r="Q346" s="521">
        <f>R346*(1-Bolts!$E$1179)</f>
        <v>407.7</v>
      </c>
      <c r="R346" s="150">
        <v>407.7</v>
      </c>
      <c r="S346" s="168">
        <f t="shared" si="130"/>
        <v>0</v>
      </c>
      <c r="T346" s="211"/>
      <c r="U346" s="169"/>
      <c r="V346" s="170"/>
      <c r="W346" s="171"/>
      <c r="X346" s="172"/>
      <c r="Y346" s="173"/>
      <c r="Z346" s="174"/>
      <c r="AA346" s="175"/>
      <c r="AB346" s="176"/>
      <c r="AC346" s="168">
        <f t="shared" si="131"/>
        <v>0</v>
      </c>
      <c r="AD346" s="177">
        <f t="shared" si="132"/>
        <v>0</v>
      </c>
      <c r="AE346" s="178">
        <v>20.62</v>
      </c>
      <c r="AF346" s="179">
        <f t="shared" si="133"/>
        <v>0</v>
      </c>
      <c r="AH346" s="180"/>
      <c r="AK346" s="1"/>
      <c r="AL346" s="1"/>
      <c r="AM346" s="1"/>
      <c r="AN346" s="1"/>
    </row>
    <row r="347" spans="1:40" ht="12.75" customHeight="1">
      <c r="A347" s="87"/>
      <c r="B347" s="185"/>
      <c r="C347" s="165"/>
      <c r="D347" s="165"/>
      <c r="E347" s="166"/>
      <c r="F347" s="165"/>
      <c r="G347" s="165"/>
      <c r="H347" s="165"/>
      <c r="I347" s="165"/>
      <c r="J347" s="166"/>
      <c r="K347" s="165"/>
      <c r="L347" s="165"/>
      <c r="M347" s="165"/>
      <c r="N347" s="165"/>
      <c r="O347" s="166"/>
      <c r="P347" s="166"/>
      <c r="Q347" s="522"/>
      <c r="R347" s="150"/>
      <c r="S347" s="186"/>
      <c r="T347" s="187"/>
      <c r="U347" s="187"/>
      <c r="V347" s="188"/>
      <c r="W347" s="187"/>
      <c r="X347" s="187"/>
      <c r="Y347" s="187"/>
      <c r="Z347" s="187"/>
      <c r="AA347" s="187"/>
      <c r="AB347" s="188"/>
      <c r="AC347" s="186"/>
      <c r="AD347" s="189"/>
      <c r="AE347" s="190"/>
      <c r="AF347" s="191"/>
      <c r="AH347" s="180"/>
      <c r="AK347" s="1"/>
      <c r="AL347" s="1"/>
      <c r="AM347" s="1"/>
      <c r="AN347" s="1"/>
    </row>
    <row r="348" spans="1:40" ht="12.75" customHeight="1">
      <c r="A348" s="87"/>
      <c r="B348" s="192" t="s">
        <v>705</v>
      </c>
      <c r="C348" s="193" t="s">
        <v>53</v>
      </c>
      <c r="D348" s="193" t="s">
        <v>63</v>
      </c>
      <c r="E348" s="194">
        <v>5</v>
      </c>
      <c r="F348" s="193"/>
      <c r="G348" s="193"/>
      <c r="H348" s="193" t="s">
        <v>121</v>
      </c>
      <c r="I348" s="193" t="s">
        <v>35</v>
      </c>
      <c r="J348" s="194">
        <v>5</v>
      </c>
      <c r="K348" s="193"/>
      <c r="L348" s="193"/>
      <c r="M348" s="193" t="s">
        <v>35</v>
      </c>
      <c r="N348" s="193" t="s">
        <v>47</v>
      </c>
      <c r="O348" s="194">
        <v>5</v>
      </c>
      <c r="P348" s="194" t="s">
        <v>706</v>
      </c>
      <c r="Q348" s="521">
        <f>R348*(1-Bolts!$E$1179)</f>
        <v>149</v>
      </c>
      <c r="R348" s="150">
        <v>149</v>
      </c>
      <c r="S348" s="168">
        <f>SUM(T348:AB348)</f>
        <v>0</v>
      </c>
      <c r="T348" s="211"/>
      <c r="U348" s="169"/>
      <c r="V348" s="170"/>
      <c r="W348" s="171"/>
      <c r="X348" s="172"/>
      <c r="Y348" s="173"/>
      <c r="Z348" s="174"/>
      <c r="AA348" s="175"/>
      <c r="AB348" s="176"/>
      <c r="AC348" s="168">
        <f>S348*O348</f>
        <v>0</v>
      </c>
      <c r="AD348" s="177">
        <f>S348*R348</f>
        <v>0</v>
      </c>
      <c r="AE348" s="178">
        <v>5.59</v>
      </c>
      <c r="AF348" s="179">
        <f>AE348*S348</f>
        <v>0</v>
      </c>
      <c r="AH348" s="180"/>
      <c r="AK348" s="1"/>
      <c r="AL348" s="1"/>
      <c r="AM348" s="1"/>
      <c r="AN348" s="1"/>
    </row>
    <row r="349" spans="1:40" ht="12.75" customHeight="1">
      <c r="A349" s="87"/>
      <c r="B349" s="185"/>
      <c r="C349" s="165"/>
      <c r="D349" s="165"/>
      <c r="E349" s="166"/>
      <c r="F349" s="165"/>
      <c r="G349" s="165"/>
      <c r="H349" s="165"/>
      <c r="I349" s="165"/>
      <c r="J349" s="166"/>
      <c r="K349" s="165"/>
      <c r="L349" s="165"/>
      <c r="M349" s="165"/>
      <c r="N349" s="165"/>
      <c r="O349" s="166"/>
      <c r="P349" s="166"/>
      <c r="Q349" s="522"/>
      <c r="R349" s="150"/>
      <c r="S349" s="186"/>
      <c r="T349" s="187"/>
      <c r="U349" s="187"/>
      <c r="V349" s="188"/>
      <c r="W349" s="187"/>
      <c r="X349" s="187"/>
      <c r="Y349" s="187"/>
      <c r="Z349" s="187"/>
      <c r="AA349" s="187"/>
      <c r="AB349" s="188"/>
      <c r="AC349" s="186"/>
      <c r="AD349" s="189"/>
      <c r="AE349" s="190"/>
      <c r="AF349" s="191"/>
      <c r="AH349" s="180"/>
      <c r="AK349" s="1"/>
      <c r="AL349" s="1"/>
      <c r="AM349" s="1"/>
      <c r="AN349" s="1"/>
    </row>
    <row r="350" spans="1:40" ht="12.75" customHeight="1">
      <c r="A350" s="87"/>
      <c r="B350" s="192" t="s">
        <v>707</v>
      </c>
      <c r="C350" s="193" t="s">
        <v>57</v>
      </c>
      <c r="D350" s="193" t="s">
        <v>48</v>
      </c>
      <c r="E350" s="194">
        <v>10</v>
      </c>
      <c r="F350" s="193"/>
      <c r="G350" s="193"/>
      <c r="H350" s="193" t="s">
        <v>121</v>
      </c>
      <c r="I350" s="193" t="s">
        <v>31</v>
      </c>
      <c r="J350" s="194">
        <v>10</v>
      </c>
      <c r="K350" s="193"/>
      <c r="L350" s="193"/>
      <c r="M350" s="193" t="s">
        <v>31</v>
      </c>
      <c r="N350" s="193" t="s">
        <v>48</v>
      </c>
      <c r="O350" s="194">
        <v>10</v>
      </c>
      <c r="P350" s="194" t="s">
        <v>708</v>
      </c>
      <c r="Q350" s="521">
        <f>R350*(1-Bolts!$E$1179)</f>
        <v>153.69999999999999</v>
      </c>
      <c r="R350" s="150">
        <v>153.69999999999999</v>
      </c>
      <c r="S350" s="168">
        <f t="shared" ref="S350:S353" si="134">SUM(T350:AB350)</f>
        <v>0</v>
      </c>
      <c r="T350" s="211"/>
      <c r="U350" s="169"/>
      <c r="V350" s="170"/>
      <c r="W350" s="171"/>
      <c r="X350" s="172"/>
      <c r="Y350" s="173"/>
      <c r="Z350" s="174"/>
      <c r="AA350" s="175"/>
      <c r="AB350" s="176"/>
      <c r="AC350" s="168">
        <f t="shared" ref="AC350:AC353" si="135">S350*O350</f>
        <v>0</v>
      </c>
      <c r="AD350" s="177">
        <f t="shared" ref="AD350:AD353" si="136">S350*R350</f>
        <v>0</v>
      </c>
      <c r="AE350" s="178">
        <v>6.01</v>
      </c>
      <c r="AF350" s="179">
        <f t="shared" ref="AF350:AF353" si="137">AE350*S350</f>
        <v>0</v>
      </c>
      <c r="AH350" s="180"/>
      <c r="AK350" s="1"/>
      <c r="AL350" s="1"/>
      <c r="AM350" s="1"/>
      <c r="AN350" s="1"/>
    </row>
    <row r="351" spans="1:40" ht="12.75" customHeight="1">
      <c r="A351" s="87"/>
      <c r="B351" s="192" t="s">
        <v>709</v>
      </c>
      <c r="C351" s="193" t="s">
        <v>57</v>
      </c>
      <c r="D351" s="193" t="s">
        <v>48</v>
      </c>
      <c r="E351" s="194">
        <v>10</v>
      </c>
      <c r="F351" s="193"/>
      <c r="G351" s="193"/>
      <c r="H351" s="193" t="s">
        <v>121</v>
      </c>
      <c r="I351" s="193" t="s">
        <v>35</v>
      </c>
      <c r="J351" s="194">
        <v>10</v>
      </c>
      <c r="K351" s="193"/>
      <c r="L351" s="193"/>
      <c r="M351" s="193" t="s">
        <v>35</v>
      </c>
      <c r="N351" s="193" t="s">
        <v>48</v>
      </c>
      <c r="O351" s="194">
        <v>10</v>
      </c>
      <c r="P351" s="194" t="s">
        <v>710</v>
      </c>
      <c r="Q351" s="521">
        <f>R351*(1-Bolts!$E$1179)</f>
        <v>152.30000000000001</v>
      </c>
      <c r="R351" s="150">
        <v>152.30000000000001</v>
      </c>
      <c r="S351" s="168">
        <f t="shared" si="134"/>
        <v>0</v>
      </c>
      <c r="T351" s="211"/>
      <c r="U351" s="169"/>
      <c r="V351" s="170"/>
      <c r="W351" s="171"/>
      <c r="X351" s="172"/>
      <c r="Y351" s="173"/>
      <c r="Z351" s="174"/>
      <c r="AA351" s="175"/>
      <c r="AB351" s="176"/>
      <c r="AC351" s="168">
        <f t="shared" si="135"/>
        <v>0</v>
      </c>
      <c r="AD351" s="177">
        <f t="shared" si="136"/>
        <v>0</v>
      </c>
      <c r="AE351" s="178">
        <v>5.93</v>
      </c>
      <c r="AF351" s="179">
        <f t="shared" si="137"/>
        <v>0</v>
      </c>
      <c r="AH351" s="180"/>
      <c r="AK351" s="1"/>
      <c r="AL351" s="1"/>
      <c r="AM351" s="1"/>
      <c r="AN351" s="1"/>
    </row>
    <row r="352" spans="1:40" ht="12.75" customHeight="1">
      <c r="A352" s="87"/>
      <c r="B352" s="192" t="s">
        <v>711</v>
      </c>
      <c r="C352" s="193" t="s">
        <v>53</v>
      </c>
      <c r="D352" s="193" t="s">
        <v>48</v>
      </c>
      <c r="E352" s="194">
        <v>10</v>
      </c>
      <c r="F352" s="193"/>
      <c r="G352" s="193"/>
      <c r="H352" s="193" t="s">
        <v>121</v>
      </c>
      <c r="I352" s="193" t="s">
        <v>35</v>
      </c>
      <c r="J352" s="194">
        <v>10</v>
      </c>
      <c r="K352" s="193"/>
      <c r="L352" s="193"/>
      <c r="M352" s="193" t="s">
        <v>35</v>
      </c>
      <c r="N352" s="193" t="s">
        <v>48</v>
      </c>
      <c r="O352" s="194">
        <v>10</v>
      </c>
      <c r="P352" s="194" t="s">
        <v>712</v>
      </c>
      <c r="Q352" s="521">
        <f>R352*(1-Bolts!$E$1179)</f>
        <v>226.9</v>
      </c>
      <c r="R352" s="150">
        <v>226.9</v>
      </c>
      <c r="S352" s="168">
        <f t="shared" si="134"/>
        <v>0</v>
      </c>
      <c r="T352" s="211"/>
      <c r="U352" s="169"/>
      <c r="V352" s="170"/>
      <c r="W352" s="171"/>
      <c r="X352" s="172"/>
      <c r="Y352" s="173"/>
      <c r="Z352" s="174"/>
      <c r="AA352" s="175"/>
      <c r="AB352" s="176"/>
      <c r="AC352" s="168">
        <f t="shared" si="135"/>
        <v>0</v>
      </c>
      <c r="AD352" s="177">
        <f t="shared" si="136"/>
        <v>0</v>
      </c>
      <c r="AE352" s="178">
        <v>10.26</v>
      </c>
      <c r="AF352" s="179">
        <f t="shared" si="137"/>
        <v>0</v>
      </c>
      <c r="AH352" s="180"/>
      <c r="AK352" s="1"/>
      <c r="AL352" s="1"/>
      <c r="AM352" s="1"/>
      <c r="AN352" s="1"/>
    </row>
    <row r="353" spans="1:40" ht="12.75" customHeight="1">
      <c r="A353" s="87"/>
      <c r="B353" s="192" t="s">
        <v>713</v>
      </c>
      <c r="C353" s="193" t="s">
        <v>57</v>
      </c>
      <c r="D353" s="193" t="s">
        <v>48</v>
      </c>
      <c r="E353" s="194">
        <v>10</v>
      </c>
      <c r="F353" s="193"/>
      <c r="G353" s="193"/>
      <c r="H353" s="193" t="s">
        <v>121</v>
      </c>
      <c r="I353" s="193" t="s">
        <v>35</v>
      </c>
      <c r="J353" s="194">
        <v>10</v>
      </c>
      <c r="K353" s="193"/>
      <c r="L353" s="193"/>
      <c r="M353" s="193" t="s">
        <v>35</v>
      </c>
      <c r="N353" s="193" t="s">
        <v>48</v>
      </c>
      <c r="O353" s="194">
        <v>10</v>
      </c>
      <c r="P353" s="194" t="s">
        <v>714</v>
      </c>
      <c r="Q353" s="521">
        <f>R353*(1-Bolts!$E$1179)</f>
        <v>211.6</v>
      </c>
      <c r="R353" s="150">
        <v>211.6</v>
      </c>
      <c r="S353" s="168">
        <f t="shared" si="134"/>
        <v>0</v>
      </c>
      <c r="T353" s="211"/>
      <c r="U353" s="169"/>
      <c r="V353" s="170"/>
      <c r="W353" s="171"/>
      <c r="X353" s="172"/>
      <c r="Y353" s="173"/>
      <c r="Z353" s="174"/>
      <c r="AA353" s="175"/>
      <c r="AB353" s="176"/>
      <c r="AC353" s="168">
        <f t="shared" si="135"/>
        <v>0</v>
      </c>
      <c r="AD353" s="177">
        <f t="shared" si="136"/>
        <v>0</v>
      </c>
      <c r="AE353" s="178">
        <v>9.3699999999999992</v>
      </c>
      <c r="AF353" s="179">
        <f t="shared" si="137"/>
        <v>0</v>
      </c>
      <c r="AH353" s="180"/>
      <c r="AK353" s="1"/>
      <c r="AL353" s="1"/>
      <c r="AM353" s="1"/>
      <c r="AN353" s="1"/>
    </row>
    <row r="354" spans="1:40" ht="12.75" customHeight="1">
      <c r="A354" s="87"/>
      <c r="B354" s="185"/>
      <c r="C354" s="165"/>
      <c r="D354" s="165"/>
      <c r="E354" s="166"/>
      <c r="F354" s="165"/>
      <c r="G354" s="165"/>
      <c r="H354" s="165"/>
      <c r="I354" s="165"/>
      <c r="J354" s="166"/>
      <c r="K354" s="165"/>
      <c r="L354" s="165"/>
      <c r="M354" s="165"/>
      <c r="N354" s="165"/>
      <c r="O354" s="166"/>
      <c r="P354" s="166"/>
      <c r="Q354" s="522"/>
      <c r="R354" s="150"/>
      <c r="S354" s="186"/>
      <c r="T354" s="187"/>
      <c r="U354" s="187"/>
      <c r="V354" s="188"/>
      <c r="W354" s="187"/>
      <c r="X354" s="187"/>
      <c r="Y354" s="187"/>
      <c r="Z354" s="187"/>
      <c r="AA354" s="187"/>
      <c r="AB354" s="188"/>
      <c r="AC354" s="186"/>
      <c r="AD354" s="189"/>
      <c r="AE354" s="190"/>
      <c r="AF354" s="191"/>
      <c r="AH354" s="180"/>
      <c r="AK354" s="1"/>
      <c r="AL354" s="1"/>
      <c r="AM354" s="1"/>
      <c r="AN354" s="1"/>
    </row>
    <row r="355" spans="1:40" ht="12.75" customHeight="1">
      <c r="A355" s="87"/>
      <c r="B355" s="192" t="s">
        <v>715</v>
      </c>
      <c r="C355" s="193" t="s">
        <v>57</v>
      </c>
      <c r="D355" s="193" t="s">
        <v>64</v>
      </c>
      <c r="E355" s="194">
        <v>10</v>
      </c>
      <c r="F355" s="193"/>
      <c r="G355" s="193"/>
      <c r="H355" s="193" t="s">
        <v>121</v>
      </c>
      <c r="I355" s="193" t="s">
        <v>35</v>
      </c>
      <c r="J355" s="194">
        <v>10</v>
      </c>
      <c r="K355" s="193"/>
      <c r="L355" s="193"/>
      <c r="M355" s="193" t="s">
        <v>35</v>
      </c>
      <c r="N355" s="193" t="s">
        <v>49</v>
      </c>
      <c r="O355" s="194">
        <v>10</v>
      </c>
      <c r="P355" s="194" t="s">
        <v>716</v>
      </c>
      <c r="Q355" s="521">
        <f>R355*(1-Bolts!$E$1179)</f>
        <v>80</v>
      </c>
      <c r="R355" s="150">
        <v>80</v>
      </c>
      <c r="S355" s="168">
        <f t="shared" ref="S355:S357" si="138">SUM(T355:AB355)</f>
        <v>0</v>
      </c>
      <c r="T355" s="211"/>
      <c r="U355" s="169"/>
      <c r="V355" s="170"/>
      <c r="W355" s="171"/>
      <c r="X355" s="172"/>
      <c r="Y355" s="173"/>
      <c r="Z355" s="174"/>
      <c r="AA355" s="175"/>
      <c r="AB355" s="176"/>
      <c r="AC355" s="168">
        <f t="shared" ref="AC355:AC357" si="139">S355*O355</f>
        <v>0</v>
      </c>
      <c r="AD355" s="177">
        <f t="shared" ref="AD355:AD357" si="140">S355*R355</f>
        <v>0</v>
      </c>
      <c r="AE355" s="178">
        <v>1.73</v>
      </c>
      <c r="AF355" s="179">
        <f t="shared" ref="AF355:AF357" si="141">AE355*S355</f>
        <v>0</v>
      </c>
      <c r="AH355" s="180"/>
      <c r="AK355" s="1"/>
      <c r="AL355" s="1"/>
      <c r="AM355" s="1"/>
      <c r="AN355" s="1"/>
    </row>
    <row r="356" spans="1:40" ht="12.75" customHeight="1">
      <c r="A356" s="87"/>
      <c r="B356" s="192" t="s">
        <v>717</v>
      </c>
      <c r="C356" s="193" t="s">
        <v>57</v>
      </c>
      <c r="D356" s="193" t="s">
        <v>64</v>
      </c>
      <c r="E356" s="194">
        <v>10</v>
      </c>
      <c r="F356" s="193"/>
      <c r="G356" s="193"/>
      <c r="H356" s="193" t="s">
        <v>121</v>
      </c>
      <c r="I356" s="193" t="s">
        <v>35</v>
      </c>
      <c r="J356" s="194">
        <v>10</v>
      </c>
      <c r="K356" s="193"/>
      <c r="L356" s="193"/>
      <c r="M356" s="193" t="s">
        <v>35</v>
      </c>
      <c r="N356" s="193" t="s">
        <v>49</v>
      </c>
      <c r="O356" s="194">
        <v>10</v>
      </c>
      <c r="P356" s="194" t="s">
        <v>718</v>
      </c>
      <c r="Q356" s="521">
        <f>R356*(1-Bolts!$E$1179)</f>
        <v>89.8</v>
      </c>
      <c r="R356" s="150">
        <v>89.8</v>
      </c>
      <c r="S356" s="168">
        <f t="shared" si="138"/>
        <v>0</v>
      </c>
      <c r="T356" s="211"/>
      <c r="U356" s="169"/>
      <c r="V356" s="170"/>
      <c r="W356" s="171"/>
      <c r="X356" s="172"/>
      <c r="Y356" s="173"/>
      <c r="Z356" s="174"/>
      <c r="AA356" s="175"/>
      <c r="AB356" s="176"/>
      <c r="AC356" s="168">
        <f t="shared" si="139"/>
        <v>0</v>
      </c>
      <c r="AD356" s="177">
        <f t="shared" si="140"/>
        <v>0</v>
      </c>
      <c r="AE356" s="178">
        <v>2.2999999999999998</v>
      </c>
      <c r="AF356" s="179">
        <f t="shared" si="141"/>
        <v>0</v>
      </c>
      <c r="AH356" s="180"/>
      <c r="AK356" s="1"/>
      <c r="AL356" s="1"/>
      <c r="AM356" s="1"/>
      <c r="AN356" s="1"/>
    </row>
    <row r="357" spans="1:40" ht="12.75" customHeight="1">
      <c r="A357" s="87"/>
      <c r="B357" s="192" t="s">
        <v>719</v>
      </c>
      <c r="C357" s="193" t="s">
        <v>57</v>
      </c>
      <c r="D357" s="193" t="s">
        <v>64</v>
      </c>
      <c r="E357" s="194">
        <v>10</v>
      </c>
      <c r="F357" s="193"/>
      <c r="G357" s="193"/>
      <c r="H357" s="193" t="s">
        <v>121</v>
      </c>
      <c r="I357" s="193" t="s">
        <v>39</v>
      </c>
      <c r="J357" s="194">
        <v>10</v>
      </c>
      <c r="K357" s="193"/>
      <c r="L357" s="193"/>
      <c r="M357" s="193" t="s">
        <v>39</v>
      </c>
      <c r="N357" s="193" t="s">
        <v>49</v>
      </c>
      <c r="O357" s="194">
        <v>10</v>
      </c>
      <c r="P357" s="194" t="s">
        <v>720</v>
      </c>
      <c r="Q357" s="521">
        <f>R357*(1-Bolts!$E$1179)</f>
        <v>140.1</v>
      </c>
      <c r="R357" s="150">
        <v>140.1</v>
      </c>
      <c r="S357" s="168">
        <f t="shared" si="138"/>
        <v>0</v>
      </c>
      <c r="T357" s="211"/>
      <c r="U357" s="169"/>
      <c r="V357" s="170"/>
      <c r="W357" s="171"/>
      <c r="X357" s="172"/>
      <c r="Y357" s="173"/>
      <c r="Z357" s="174"/>
      <c r="AA357" s="175"/>
      <c r="AB357" s="176"/>
      <c r="AC357" s="168">
        <f t="shared" si="139"/>
        <v>0</v>
      </c>
      <c r="AD357" s="177">
        <f t="shared" si="140"/>
        <v>0</v>
      </c>
      <c r="AE357" s="178">
        <v>5.22</v>
      </c>
      <c r="AF357" s="179">
        <f t="shared" si="141"/>
        <v>0</v>
      </c>
      <c r="AH357" s="180"/>
      <c r="AK357" s="1"/>
      <c r="AL357" s="1"/>
      <c r="AM357" s="1"/>
      <c r="AN357" s="1"/>
    </row>
    <row r="358" spans="1:40" ht="12.75" customHeight="1">
      <c r="A358" s="87"/>
      <c r="B358" s="185"/>
      <c r="C358" s="165"/>
      <c r="D358" s="165"/>
      <c r="E358" s="166"/>
      <c r="F358" s="165"/>
      <c r="G358" s="165"/>
      <c r="H358" s="165"/>
      <c r="I358" s="165"/>
      <c r="J358" s="166"/>
      <c r="K358" s="165"/>
      <c r="L358" s="165"/>
      <c r="M358" s="165"/>
      <c r="N358" s="165"/>
      <c r="O358" s="166"/>
      <c r="P358" s="166"/>
      <c r="Q358" s="522"/>
      <c r="R358" s="150"/>
      <c r="S358" s="186"/>
      <c r="T358" s="187"/>
      <c r="U358" s="187"/>
      <c r="V358" s="188"/>
      <c r="W358" s="187"/>
      <c r="X358" s="187"/>
      <c r="Y358" s="187"/>
      <c r="Z358" s="187"/>
      <c r="AA358" s="187"/>
      <c r="AB358" s="188"/>
      <c r="AC358" s="186"/>
      <c r="AD358" s="189"/>
      <c r="AE358" s="190"/>
      <c r="AF358" s="191"/>
      <c r="AH358" s="180"/>
      <c r="AK358" s="1"/>
      <c r="AL358" s="1"/>
      <c r="AM358" s="1"/>
      <c r="AN358" s="1"/>
    </row>
    <row r="359" spans="1:40" ht="12.75" customHeight="1">
      <c r="A359" s="87"/>
      <c r="B359" s="192" t="s">
        <v>721</v>
      </c>
      <c r="C359" s="193" t="s">
        <v>57</v>
      </c>
      <c r="D359" s="193" t="s">
        <v>65</v>
      </c>
      <c r="E359" s="194">
        <v>20</v>
      </c>
      <c r="F359" s="193"/>
      <c r="G359" s="193"/>
      <c r="H359" s="193" t="s">
        <v>121</v>
      </c>
      <c r="I359" s="193" t="s">
        <v>39</v>
      </c>
      <c r="J359" s="194">
        <v>20</v>
      </c>
      <c r="K359" s="193"/>
      <c r="L359" s="193"/>
      <c r="M359" s="193" t="s">
        <v>39</v>
      </c>
      <c r="N359" s="193" t="s">
        <v>49</v>
      </c>
      <c r="O359" s="194">
        <v>20</v>
      </c>
      <c r="P359" s="194" t="s">
        <v>722</v>
      </c>
      <c r="Q359" s="521">
        <f>R359*(1-Bolts!$E$1179)</f>
        <v>151.1</v>
      </c>
      <c r="R359" s="150">
        <v>151.1</v>
      </c>
      <c r="S359" s="168">
        <f t="shared" ref="S359:S360" si="142">SUM(T359:AB359)</f>
        <v>0</v>
      </c>
      <c r="T359" s="211"/>
      <c r="U359" s="169"/>
      <c r="V359" s="170"/>
      <c r="W359" s="171"/>
      <c r="X359" s="172"/>
      <c r="Y359" s="173"/>
      <c r="Z359" s="174"/>
      <c r="AA359" s="175"/>
      <c r="AB359" s="176"/>
      <c r="AC359" s="168">
        <f t="shared" ref="AC359:AC360" si="143">S359*O359</f>
        <v>0</v>
      </c>
      <c r="AD359" s="177">
        <f t="shared" ref="AD359:AD360" si="144">S359*R359</f>
        <v>0</v>
      </c>
      <c r="AE359" s="178">
        <v>4.37</v>
      </c>
      <c r="AF359" s="179">
        <f t="shared" ref="AF359:AF360" si="145">AE359*S359</f>
        <v>0</v>
      </c>
      <c r="AH359" s="180"/>
      <c r="AK359" s="1"/>
      <c r="AL359" s="1"/>
      <c r="AM359" s="1"/>
      <c r="AN359" s="1"/>
    </row>
    <row r="360" spans="1:40" ht="12.75" customHeight="1">
      <c r="A360" s="87"/>
      <c r="B360" s="192" t="s">
        <v>723</v>
      </c>
      <c r="C360" s="193" t="s">
        <v>57</v>
      </c>
      <c r="D360" s="193" t="s">
        <v>65</v>
      </c>
      <c r="E360" s="194">
        <v>20</v>
      </c>
      <c r="F360" s="193"/>
      <c r="G360" s="193"/>
      <c r="H360" s="193" t="s">
        <v>121</v>
      </c>
      <c r="I360" s="193" t="s">
        <v>39</v>
      </c>
      <c r="J360" s="194">
        <v>20</v>
      </c>
      <c r="K360" s="193"/>
      <c r="L360" s="193"/>
      <c r="M360" s="193" t="s">
        <v>39</v>
      </c>
      <c r="N360" s="193" t="s">
        <v>48</v>
      </c>
      <c r="O360" s="194">
        <v>20</v>
      </c>
      <c r="P360" s="194" t="s">
        <v>724</v>
      </c>
      <c r="Q360" s="521">
        <f>R360*(1-Bolts!$E$1179)</f>
        <v>134.80000000000001</v>
      </c>
      <c r="R360" s="150">
        <v>134.80000000000001</v>
      </c>
      <c r="S360" s="168">
        <f t="shared" si="142"/>
        <v>0</v>
      </c>
      <c r="T360" s="211"/>
      <c r="U360" s="169"/>
      <c r="V360" s="170"/>
      <c r="W360" s="171"/>
      <c r="X360" s="172"/>
      <c r="Y360" s="173"/>
      <c r="Z360" s="174"/>
      <c r="AA360" s="175"/>
      <c r="AB360" s="176"/>
      <c r="AC360" s="168">
        <f t="shared" si="143"/>
        <v>0</v>
      </c>
      <c r="AD360" s="177">
        <f t="shared" si="144"/>
        <v>0</v>
      </c>
      <c r="AE360" s="178">
        <v>3.42</v>
      </c>
      <c r="AF360" s="179">
        <f t="shared" si="145"/>
        <v>0</v>
      </c>
      <c r="AH360" s="180"/>
      <c r="AK360" s="1"/>
      <c r="AL360" s="1"/>
      <c r="AM360" s="1"/>
      <c r="AN360" s="1"/>
    </row>
    <row r="361" spans="1:40" ht="12.75" customHeight="1">
      <c r="A361" s="138" t="s">
        <v>146</v>
      </c>
      <c r="B361" s="205" t="s">
        <v>725</v>
      </c>
      <c r="C361" s="206" t="str">
        <f>B361</f>
        <v>Teagan</v>
      </c>
      <c r="D361" s="207"/>
      <c r="E361" s="207"/>
      <c r="F361" s="207"/>
      <c r="G361" s="207"/>
      <c r="H361" s="207" t="s">
        <v>121</v>
      </c>
      <c r="I361" s="207"/>
      <c r="J361" s="207"/>
      <c r="K361" s="207"/>
      <c r="L361" s="207"/>
      <c r="M361" s="207"/>
      <c r="N361" s="207"/>
      <c r="O361" s="207"/>
      <c r="P361" s="207"/>
      <c r="Q361" s="524"/>
      <c r="R361" s="150"/>
      <c r="S361" s="207"/>
      <c r="T361" s="207"/>
      <c r="U361" s="207"/>
      <c r="V361" s="207"/>
      <c r="W361" s="207"/>
      <c r="X361" s="207"/>
      <c r="Y361" s="207"/>
      <c r="Z361" s="207"/>
      <c r="AA361" s="207"/>
      <c r="AB361" s="207"/>
      <c r="AC361" s="207"/>
      <c r="AD361" s="207"/>
      <c r="AE361" s="207"/>
      <c r="AF361" s="208"/>
      <c r="AH361" s="180"/>
      <c r="AK361" s="1"/>
      <c r="AL361" s="1"/>
      <c r="AM361" s="1"/>
      <c r="AN361" s="1"/>
    </row>
    <row r="362" spans="1:40" ht="12.75" customHeight="1">
      <c r="A362" s="87"/>
      <c r="B362" s="192" t="s">
        <v>726</v>
      </c>
      <c r="C362" s="193" t="s">
        <v>55</v>
      </c>
      <c r="D362" s="193" t="s">
        <v>60</v>
      </c>
      <c r="E362" s="194">
        <v>3</v>
      </c>
      <c r="F362" s="193"/>
      <c r="G362" s="193"/>
      <c r="H362" s="193" t="s">
        <v>121</v>
      </c>
      <c r="I362" s="193" t="s">
        <v>28</v>
      </c>
      <c r="J362" s="194">
        <v>3</v>
      </c>
      <c r="K362" s="193"/>
      <c r="L362" s="193"/>
      <c r="M362" s="193" t="s">
        <v>28</v>
      </c>
      <c r="N362" s="193" t="s">
        <v>48</v>
      </c>
      <c r="O362" s="194">
        <v>3</v>
      </c>
      <c r="P362" s="194" t="s">
        <v>727</v>
      </c>
      <c r="Q362" s="521">
        <f>R362*(1-Bolts!$E$1179)</f>
        <v>533.29999999999995</v>
      </c>
      <c r="R362" s="150">
        <v>533.29999999999995</v>
      </c>
      <c r="S362" s="168">
        <f t="shared" ref="S362:S365" si="146">SUM(T362:AB362)</f>
        <v>0</v>
      </c>
      <c r="T362" s="211"/>
      <c r="U362" s="169"/>
      <c r="V362" s="170"/>
      <c r="W362" s="171"/>
      <c r="X362" s="172"/>
      <c r="Y362" s="173"/>
      <c r="Z362" s="174"/>
      <c r="AA362" s="175"/>
      <c r="AB362" s="176"/>
      <c r="AC362" s="168">
        <f t="shared" ref="AC362:AC365" si="147">S362*O362</f>
        <v>0</v>
      </c>
      <c r="AD362" s="177">
        <f t="shared" ref="AD362:AD365" si="148">S362*R362</f>
        <v>0</v>
      </c>
      <c r="AE362" s="178">
        <v>28.14</v>
      </c>
      <c r="AF362" s="179">
        <f t="shared" ref="AF362:AF365" si="149">AE362*S362</f>
        <v>0</v>
      </c>
      <c r="AH362" s="209"/>
      <c r="AK362" s="1"/>
      <c r="AL362" s="1"/>
      <c r="AM362" s="1"/>
      <c r="AN362" s="1"/>
    </row>
    <row r="363" spans="1:40" ht="12.75" customHeight="1">
      <c r="A363" s="87"/>
      <c r="B363" s="195" t="s">
        <v>728</v>
      </c>
      <c r="C363" s="196" t="s">
        <v>55</v>
      </c>
      <c r="D363" s="196" t="s">
        <v>60</v>
      </c>
      <c r="E363" s="197">
        <v>1</v>
      </c>
      <c r="F363" s="196"/>
      <c r="G363" s="196"/>
      <c r="H363" s="196" t="s">
        <v>121</v>
      </c>
      <c r="I363" s="196" t="s">
        <v>28</v>
      </c>
      <c r="J363" s="197">
        <v>1</v>
      </c>
      <c r="K363" s="196"/>
      <c r="L363" s="196"/>
      <c r="M363" s="196" t="s">
        <v>28</v>
      </c>
      <c r="N363" s="196" t="s">
        <v>48</v>
      </c>
      <c r="O363" s="197">
        <v>1</v>
      </c>
      <c r="P363" s="197" t="s">
        <v>729</v>
      </c>
      <c r="Q363" s="523">
        <f>R363*(1-Bolts!$E$1179)</f>
        <v>178</v>
      </c>
      <c r="R363" s="150">
        <v>178</v>
      </c>
      <c r="S363" s="198">
        <f t="shared" si="146"/>
        <v>0</v>
      </c>
      <c r="T363" s="199"/>
      <c r="U363" s="199"/>
      <c r="V363" s="200"/>
      <c r="W363" s="199"/>
      <c r="X363" s="199"/>
      <c r="Y363" s="199"/>
      <c r="Z363" s="199"/>
      <c r="AA363" s="199"/>
      <c r="AB363" s="199"/>
      <c r="AC363" s="198">
        <f t="shared" si="147"/>
        <v>0</v>
      </c>
      <c r="AD363" s="177">
        <f t="shared" si="148"/>
        <v>0</v>
      </c>
      <c r="AE363" s="201">
        <v>8.44</v>
      </c>
      <c r="AF363" s="202">
        <f t="shared" si="149"/>
        <v>0</v>
      </c>
      <c r="AH363" s="180"/>
      <c r="AK363" s="1"/>
      <c r="AL363" s="1"/>
      <c r="AM363" s="1"/>
      <c r="AN363" s="1"/>
    </row>
    <row r="364" spans="1:40" ht="12.75" customHeight="1">
      <c r="A364" s="87"/>
      <c r="B364" s="195" t="s">
        <v>730</v>
      </c>
      <c r="C364" s="196" t="s">
        <v>55</v>
      </c>
      <c r="D364" s="196" t="s">
        <v>60</v>
      </c>
      <c r="E364" s="197">
        <v>1</v>
      </c>
      <c r="F364" s="196"/>
      <c r="G364" s="196"/>
      <c r="H364" s="196" t="s">
        <v>121</v>
      </c>
      <c r="I364" s="196" t="s">
        <v>28</v>
      </c>
      <c r="J364" s="197">
        <v>1</v>
      </c>
      <c r="K364" s="196"/>
      <c r="L364" s="196"/>
      <c r="M364" s="196" t="s">
        <v>28</v>
      </c>
      <c r="N364" s="196" t="s">
        <v>48</v>
      </c>
      <c r="O364" s="197">
        <v>1</v>
      </c>
      <c r="P364" s="197" t="s">
        <v>731</v>
      </c>
      <c r="Q364" s="523">
        <f>R364*(1-Bolts!$E$1179)</f>
        <v>191.3</v>
      </c>
      <c r="R364" s="150">
        <v>191.3</v>
      </c>
      <c r="S364" s="198">
        <f t="shared" si="146"/>
        <v>0</v>
      </c>
      <c r="T364" s="199"/>
      <c r="U364" s="199"/>
      <c r="V364" s="200"/>
      <c r="W364" s="199"/>
      <c r="X364" s="199"/>
      <c r="Y364" s="199"/>
      <c r="Z364" s="199"/>
      <c r="AA364" s="199"/>
      <c r="AB364" s="199"/>
      <c r="AC364" s="198">
        <f t="shared" si="147"/>
        <v>0</v>
      </c>
      <c r="AD364" s="177">
        <f t="shared" si="148"/>
        <v>0</v>
      </c>
      <c r="AE364" s="201">
        <v>9.2200000000000006</v>
      </c>
      <c r="AF364" s="202">
        <f t="shared" si="149"/>
        <v>0</v>
      </c>
      <c r="AH364" s="180"/>
      <c r="AK364" s="1"/>
      <c r="AL364" s="1"/>
      <c r="AM364" s="1"/>
      <c r="AN364" s="1"/>
    </row>
    <row r="365" spans="1:40" ht="12.75" customHeight="1">
      <c r="A365" s="87"/>
      <c r="B365" s="195" t="s">
        <v>732</v>
      </c>
      <c r="C365" s="196" t="s">
        <v>55</v>
      </c>
      <c r="D365" s="196" t="s">
        <v>60</v>
      </c>
      <c r="E365" s="197">
        <v>1</v>
      </c>
      <c r="F365" s="196"/>
      <c r="G365" s="196"/>
      <c r="H365" s="196" t="s">
        <v>121</v>
      </c>
      <c r="I365" s="196" t="s">
        <v>28</v>
      </c>
      <c r="J365" s="197">
        <v>1</v>
      </c>
      <c r="K365" s="196"/>
      <c r="L365" s="196"/>
      <c r="M365" s="196" t="s">
        <v>28</v>
      </c>
      <c r="N365" s="196" t="s">
        <v>48</v>
      </c>
      <c r="O365" s="197">
        <v>1</v>
      </c>
      <c r="P365" s="197" t="s">
        <v>733</v>
      </c>
      <c r="Q365" s="523">
        <f>R365*(1-Bolts!$E$1179)</f>
        <v>213</v>
      </c>
      <c r="R365" s="150">
        <v>213</v>
      </c>
      <c r="S365" s="198">
        <f t="shared" si="146"/>
        <v>0</v>
      </c>
      <c r="T365" s="199"/>
      <c r="U365" s="199"/>
      <c r="V365" s="200"/>
      <c r="W365" s="199"/>
      <c r="X365" s="199"/>
      <c r="Y365" s="199"/>
      <c r="Z365" s="199"/>
      <c r="AA365" s="199"/>
      <c r="AB365" s="199"/>
      <c r="AC365" s="198">
        <f t="shared" si="147"/>
        <v>0</v>
      </c>
      <c r="AD365" s="177">
        <f t="shared" si="148"/>
        <v>0</v>
      </c>
      <c r="AE365" s="201">
        <v>10.48</v>
      </c>
      <c r="AF365" s="202">
        <f t="shared" si="149"/>
        <v>0</v>
      </c>
      <c r="AH365" s="180"/>
      <c r="AK365" s="1"/>
      <c r="AL365" s="1"/>
      <c r="AM365" s="1"/>
      <c r="AN365" s="1"/>
    </row>
    <row r="366" spans="1:40" ht="12.75" customHeight="1">
      <c r="A366" s="87"/>
      <c r="B366" s="185"/>
      <c r="C366" s="165"/>
      <c r="D366" s="165"/>
      <c r="E366" s="166"/>
      <c r="F366" s="165"/>
      <c r="G366" s="165"/>
      <c r="H366" s="165"/>
      <c r="I366" s="165"/>
      <c r="J366" s="166"/>
      <c r="K366" s="165"/>
      <c r="L366" s="165"/>
      <c r="M366" s="165"/>
      <c r="N366" s="165"/>
      <c r="O366" s="166"/>
      <c r="P366" s="166"/>
      <c r="Q366" s="522"/>
      <c r="R366" s="150"/>
      <c r="S366" s="186"/>
      <c r="T366" s="187"/>
      <c r="U366" s="187"/>
      <c r="V366" s="188"/>
      <c r="W366" s="187"/>
      <c r="X366" s="187"/>
      <c r="Y366" s="187"/>
      <c r="Z366" s="187"/>
      <c r="AA366" s="187"/>
      <c r="AB366" s="188"/>
      <c r="AC366" s="186"/>
      <c r="AD366" s="189"/>
      <c r="AE366" s="190"/>
      <c r="AF366" s="191"/>
      <c r="AH366" s="180"/>
      <c r="AK366" s="1"/>
      <c r="AL366" s="1"/>
      <c r="AM366" s="1"/>
      <c r="AN366" s="1"/>
    </row>
    <row r="367" spans="1:40" ht="12.75" customHeight="1">
      <c r="A367" s="87"/>
      <c r="B367" s="192" t="s">
        <v>734</v>
      </c>
      <c r="C367" s="193" t="s">
        <v>55</v>
      </c>
      <c r="D367" s="193" t="s">
        <v>61</v>
      </c>
      <c r="E367" s="194">
        <v>4</v>
      </c>
      <c r="F367" s="193"/>
      <c r="G367" s="193"/>
      <c r="H367" s="193" t="s">
        <v>121</v>
      </c>
      <c r="I367" s="193" t="s">
        <v>37</v>
      </c>
      <c r="J367" s="194">
        <v>4</v>
      </c>
      <c r="K367" s="193"/>
      <c r="L367" s="193"/>
      <c r="M367" s="193" t="s">
        <v>37</v>
      </c>
      <c r="N367" s="193" t="s">
        <v>49</v>
      </c>
      <c r="O367" s="194">
        <v>4</v>
      </c>
      <c r="P367" s="194" t="s">
        <v>735</v>
      </c>
      <c r="Q367" s="521">
        <f>R367*(1-Bolts!$E$1179)</f>
        <v>383.5</v>
      </c>
      <c r="R367" s="150">
        <v>383.5</v>
      </c>
      <c r="S367" s="168">
        <f>SUM(T367:AB367)</f>
        <v>0</v>
      </c>
      <c r="T367" s="211"/>
      <c r="U367" s="169"/>
      <c r="V367" s="170"/>
      <c r="W367" s="171"/>
      <c r="X367" s="172"/>
      <c r="Y367" s="173"/>
      <c r="Z367" s="174"/>
      <c r="AA367" s="175"/>
      <c r="AB367" s="176"/>
      <c r="AC367" s="168">
        <f>S367*O367</f>
        <v>0</v>
      </c>
      <c r="AD367" s="177">
        <f>S367*R367</f>
        <v>0</v>
      </c>
      <c r="AE367" s="178">
        <v>18.899999999999999</v>
      </c>
      <c r="AF367" s="179">
        <f>AE367*S367</f>
        <v>0</v>
      </c>
      <c r="AH367" s="180"/>
      <c r="AK367" s="1"/>
      <c r="AL367" s="1"/>
      <c r="AM367" s="1"/>
      <c r="AN367" s="1"/>
    </row>
    <row r="368" spans="1:40" ht="12.75" customHeight="1">
      <c r="A368" s="87"/>
      <c r="B368" s="185"/>
      <c r="C368" s="165"/>
      <c r="D368" s="165"/>
      <c r="E368" s="166"/>
      <c r="F368" s="165"/>
      <c r="G368" s="165"/>
      <c r="H368" s="165"/>
      <c r="I368" s="165"/>
      <c r="J368" s="166"/>
      <c r="K368" s="165"/>
      <c r="L368" s="165"/>
      <c r="M368" s="165"/>
      <c r="N368" s="165"/>
      <c r="O368" s="166"/>
      <c r="P368" s="166"/>
      <c r="Q368" s="522"/>
      <c r="R368" s="150"/>
      <c r="S368" s="186"/>
      <c r="T368" s="187"/>
      <c r="U368" s="187"/>
      <c r="V368" s="188"/>
      <c r="W368" s="187"/>
      <c r="X368" s="187"/>
      <c r="Y368" s="187"/>
      <c r="Z368" s="187"/>
      <c r="AA368" s="187"/>
      <c r="AB368" s="188"/>
      <c r="AC368" s="186"/>
      <c r="AD368" s="189"/>
      <c r="AE368" s="190"/>
      <c r="AF368" s="191"/>
      <c r="AH368" s="180"/>
      <c r="AK368" s="1"/>
      <c r="AL368" s="1"/>
      <c r="AM368" s="1"/>
      <c r="AN368" s="1"/>
    </row>
    <row r="369" spans="1:40" ht="12.75" customHeight="1">
      <c r="A369" s="87"/>
      <c r="B369" s="192" t="s">
        <v>736</v>
      </c>
      <c r="C369" s="193" t="s">
        <v>55</v>
      </c>
      <c r="D369" s="193" t="s">
        <v>63</v>
      </c>
      <c r="E369" s="194">
        <v>5</v>
      </c>
      <c r="F369" s="193"/>
      <c r="G369" s="193"/>
      <c r="H369" s="193" t="s">
        <v>121</v>
      </c>
      <c r="I369" s="193" t="s">
        <v>29</v>
      </c>
      <c r="J369" s="194">
        <v>5</v>
      </c>
      <c r="K369" s="193"/>
      <c r="L369" s="193"/>
      <c r="M369" s="193" t="s">
        <v>29</v>
      </c>
      <c r="N369" s="193" t="s">
        <v>48</v>
      </c>
      <c r="O369" s="194">
        <v>5</v>
      </c>
      <c r="P369" s="194" t="s">
        <v>737</v>
      </c>
      <c r="Q369" s="521">
        <f>R369*(1-Bolts!$E$1179)</f>
        <v>90.7</v>
      </c>
      <c r="R369" s="150">
        <v>90.7</v>
      </c>
      <c r="S369" s="168">
        <f t="shared" ref="S369:S371" si="150">SUM(T369:AB369)</f>
        <v>0</v>
      </c>
      <c r="T369" s="211"/>
      <c r="U369" s="169"/>
      <c r="V369" s="170"/>
      <c r="W369" s="171"/>
      <c r="X369" s="172"/>
      <c r="Y369" s="173"/>
      <c r="Z369" s="174"/>
      <c r="AA369" s="175"/>
      <c r="AB369" s="176"/>
      <c r="AC369" s="168">
        <f t="shared" ref="AC369:AC371" si="151">S369*O369</f>
        <v>0</v>
      </c>
      <c r="AD369" s="177">
        <f t="shared" ref="AD369:AD371" si="152">S369*R369</f>
        <v>0</v>
      </c>
      <c r="AE369" s="178">
        <v>3.4</v>
      </c>
      <c r="AF369" s="179">
        <f t="shared" ref="AF369:AF371" si="153">AE369*S369</f>
        <v>0</v>
      </c>
      <c r="AH369" s="180"/>
      <c r="AK369" s="1"/>
      <c r="AL369" s="1"/>
      <c r="AM369" s="1"/>
      <c r="AN369" s="1"/>
    </row>
    <row r="370" spans="1:40" ht="12.75" customHeight="1">
      <c r="A370" s="87"/>
      <c r="B370" s="192" t="s">
        <v>738</v>
      </c>
      <c r="C370" s="193" t="s">
        <v>55</v>
      </c>
      <c r="D370" s="193" t="s">
        <v>63</v>
      </c>
      <c r="E370" s="194">
        <v>5</v>
      </c>
      <c r="F370" s="193"/>
      <c r="G370" s="193"/>
      <c r="H370" s="193" t="s">
        <v>121</v>
      </c>
      <c r="I370" s="193" t="s">
        <v>29</v>
      </c>
      <c r="J370" s="194">
        <v>5</v>
      </c>
      <c r="K370" s="193"/>
      <c r="L370" s="193"/>
      <c r="M370" s="193" t="s">
        <v>29</v>
      </c>
      <c r="N370" s="193" t="s">
        <v>48</v>
      </c>
      <c r="O370" s="194">
        <v>5</v>
      </c>
      <c r="P370" s="194" t="s">
        <v>739</v>
      </c>
      <c r="Q370" s="521">
        <f>R370*(1-Bolts!$E$1179)</f>
        <v>128.30000000000001</v>
      </c>
      <c r="R370" s="150">
        <v>128.30000000000001</v>
      </c>
      <c r="S370" s="168">
        <f t="shared" si="150"/>
        <v>0</v>
      </c>
      <c r="T370" s="211"/>
      <c r="U370" s="169"/>
      <c r="V370" s="170"/>
      <c r="W370" s="171"/>
      <c r="X370" s="172"/>
      <c r="Y370" s="173"/>
      <c r="Z370" s="174"/>
      <c r="AA370" s="175"/>
      <c r="AB370" s="176"/>
      <c r="AC370" s="168">
        <f t="shared" si="151"/>
        <v>0</v>
      </c>
      <c r="AD370" s="177">
        <f t="shared" si="152"/>
        <v>0</v>
      </c>
      <c r="AE370" s="178">
        <v>5.75</v>
      </c>
      <c r="AF370" s="179">
        <f t="shared" si="153"/>
        <v>0</v>
      </c>
      <c r="AH370" s="180"/>
      <c r="AK370" s="1"/>
      <c r="AL370" s="1"/>
      <c r="AM370" s="1"/>
      <c r="AN370" s="1"/>
    </row>
    <row r="371" spans="1:40" ht="12.75" customHeight="1">
      <c r="A371" s="87"/>
      <c r="B371" s="192" t="s">
        <v>740</v>
      </c>
      <c r="C371" s="193" t="s">
        <v>55</v>
      </c>
      <c r="D371" s="193" t="s">
        <v>63</v>
      </c>
      <c r="E371" s="194">
        <v>5</v>
      </c>
      <c r="F371" s="193"/>
      <c r="G371" s="193"/>
      <c r="H371" s="193" t="s">
        <v>121</v>
      </c>
      <c r="I371" s="193" t="s">
        <v>37</v>
      </c>
      <c r="J371" s="194">
        <v>5</v>
      </c>
      <c r="K371" s="193"/>
      <c r="L371" s="193"/>
      <c r="M371" s="193" t="s">
        <v>37</v>
      </c>
      <c r="N371" s="193" t="s">
        <v>48</v>
      </c>
      <c r="O371" s="194">
        <v>5</v>
      </c>
      <c r="P371" s="194" t="s">
        <v>741</v>
      </c>
      <c r="Q371" s="521">
        <f>R371*(1-Bolts!$E$1179)</f>
        <v>126.5</v>
      </c>
      <c r="R371" s="150">
        <v>126.5</v>
      </c>
      <c r="S371" s="168">
        <f t="shared" si="150"/>
        <v>0</v>
      </c>
      <c r="T371" s="211"/>
      <c r="U371" s="169"/>
      <c r="V371" s="170"/>
      <c r="W371" s="171"/>
      <c r="X371" s="172"/>
      <c r="Y371" s="173"/>
      <c r="Z371" s="174"/>
      <c r="AA371" s="175"/>
      <c r="AB371" s="176"/>
      <c r="AC371" s="168">
        <f t="shared" si="151"/>
        <v>0</v>
      </c>
      <c r="AD371" s="177">
        <f t="shared" si="152"/>
        <v>0</v>
      </c>
      <c r="AE371" s="178">
        <v>5.17</v>
      </c>
      <c r="AF371" s="179">
        <f t="shared" si="153"/>
        <v>0</v>
      </c>
      <c r="AH371" s="180"/>
      <c r="AK371" s="1"/>
      <c r="AL371" s="1"/>
      <c r="AM371" s="1"/>
      <c r="AN371" s="1"/>
    </row>
    <row r="372" spans="1:40" ht="12.75" customHeight="1">
      <c r="A372" s="87"/>
      <c r="B372" s="185"/>
      <c r="C372" s="165"/>
      <c r="D372" s="165"/>
      <c r="E372" s="166"/>
      <c r="F372" s="165"/>
      <c r="G372" s="165"/>
      <c r="H372" s="165"/>
      <c r="I372" s="165"/>
      <c r="J372" s="166"/>
      <c r="K372" s="165"/>
      <c r="L372" s="165"/>
      <c r="M372" s="165"/>
      <c r="N372" s="165"/>
      <c r="O372" s="166"/>
      <c r="P372" s="166"/>
      <c r="Q372" s="522"/>
      <c r="R372" s="150"/>
      <c r="S372" s="186"/>
      <c r="T372" s="187"/>
      <c r="U372" s="187"/>
      <c r="V372" s="188"/>
      <c r="W372" s="187"/>
      <c r="X372" s="187"/>
      <c r="Y372" s="187"/>
      <c r="Z372" s="187"/>
      <c r="AA372" s="187"/>
      <c r="AB372" s="188"/>
      <c r="AC372" s="186"/>
      <c r="AD372" s="189"/>
      <c r="AE372" s="190"/>
      <c r="AF372" s="191"/>
      <c r="AH372" s="180"/>
      <c r="AK372" s="1"/>
      <c r="AL372" s="1"/>
      <c r="AM372" s="1"/>
      <c r="AN372" s="1"/>
    </row>
    <row r="373" spans="1:40" ht="12.75" customHeight="1">
      <c r="A373" s="87"/>
      <c r="B373" s="192" t="s">
        <v>742</v>
      </c>
      <c r="C373" s="193" t="s">
        <v>55</v>
      </c>
      <c r="D373" s="193" t="s">
        <v>48</v>
      </c>
      <c r="E373" s="194">
        <v>10</v>
      </c>
      <c r="F373" s="193"/>
      <c r="G373" s="193"/>
      <c r="H373" s="193" t="s">
        <v>121</v>
      </c>
      <c r="I373" s="193" t="s">
        <v>30</v>
      </c>
      <c r="J373" s="194">
        <v>10</v>
      </c>
      <c r="K373" s="193"/>
      <c r="L373" s="193"/>
      <c r="M373" s="193" t="s">
        <v>30</v>
      </c>
      <c r="N373" s="193" t="s">
        <v>48</v>
      </c>
      <c r="O373" s="194">
        <v>10</v>
      </c>
      <c r="P373" s="194" t="s">
        <v>743</v>
      </c>
      <c r="Q373" s="521">
        <f>R373*(1-Bolts!$E$1179)</f>
        <v>86</v>
      </c>
      <c r="R373" s="150">
        <v>86</v>
      </c>
      <c r="S373" s="168">
        <f t="shared" ref="S373:S378" si="154">SUM(T373:AB373)</f>
        <v>0</v>
      </c>
      <c r="T373" s="211"/>
      <c r="U373" s="169"/>
      <c r="V373" s="170"/>
      <c r="W373" s="171"/>
      <c r="X373" s="172"/>
      <c r="Y373" s="173"/>
      <c r="Z373" s="174"/>
      <c r="AA373" s="175"/>
      <c r="AB373" s="176"/>
      <c r="AC373" s="168">
        <f t="shared" ref="AC373:AC378" si="155">S373*O373</f>
        <v>0</v>
      </c>
      <c r="AD373" s="177">
        <f t="shared" ref="AD373:AD378" si="156">S373*R373</f>
        <v>0</v>
      </c>
      <c r="AE373" s="178">
        <v>2.4500000000000002</v>
      </c>
      <c r="AF373" s="179">
        <f t="shared" ref="AF373:AF378" si="157">AE373*S373</f>
        <v>0</v>
      </c>
      <c r="AH373" s="180"/>
      <c r="AK373" s="1"/>
      <c r="AL373" s="1"/>
      <c r="AM373" s="1"/>
      <c r="AN373" s="1"/>
    </row>
    <row r="374" spans="1:40" ht="12.75" customHeight="1">
      <c r="A374" s="87"/>
      <c r="B374" s="192" t="s">
        <v>744</v>
      </c>
      <c r="C374" s="193" t="s">
        <v>55</v>
      </c>
      <c r="D374" s="193" t="s">
        <v>48</v>
      </c>
      <c r="E374" s="194">
        <v>10</v>
      </c>
      <c r="F374" s="193"/>
      <c r="G374" s="193"/>
      <c r="H374" s="193" t="s">
        <v>121</v>
      </c>
      <c r="I374" s="193" t="s">
        <v>31</v>
      </c>
      <c r="J374" s="194">
        <v>10</v>
      </c>
      <c r="K374" s="193"/>
      <c r="L374" s="193"/>
      <c r="M374" s="193" t="s">
        <v>31</v>
      </c>
      <c r="N374" s="193" t="s">
        <v>49</v>
      </c>
      <c r="O374" s="194">
        <v>10</v>
      </c>
      <c r="P374" s="194" t="s">
        <v>745</v>
      </c>
      <c r="Q374" s="521">
        <f>R374*(1-Bolts!$E$1179)</f>
        <v>76.8</v>
      </c>
      <c r="R374" s="150">
        <v>76.8</v>
      </c>
      <c r="S374" s="168">
        <f t="shared" si="154"/>
        <v>0</v>
      </c>
      <c r="T374" s="211"/>
      <c r="U374" s="169"/>
      <c r="V374" s="170"/>
      <c r="W374" s="171"/>
      <c r="X374" s="172"/>
      <c r="Y374" s="173"/>
      <c r="Z374" s="174"/>
      <c r="AA374" s="175"/>
      <c r="AB374" s="176"/>
      <c r="AC374" s="168">
        <f t="shared" si="155"/>
        <v>0</v>
      </c>
      <c r="AD374" s="177">
        <f t="shared" si="156"/>
        <v>0</v>
      </c>
      <c r="AE374" s="178">
        <v>1.85</v>
      </c>
      <c r="AF374" s="179">
        <f t="shared" si="157"/>
        <v>0</v>
      </c>
      <c r="AH374" s="180"/>
      <c r="AK374" s="1"/>
      <c r="AL374" s="1"/>
      <c r="AM374" s="1"/>
      <c r="AN374" s="1"/>
    </row>
    <row r="375" spans="1:40" ht="12.75" customHeight="1">
      <c r="A375" s="87"/>
      <c r="B375" s="192" t="s">
        <v>746</v>
      </c>
      <c r="C375" s="193" t="s">
        <v>55</v>
      </c>
      <c r="D375" s="193" t="s">
        <v>48</v>
      </c>
      <c r="E375" s="194">
        <v>10</v>
      </c>
      <c r="F375" s="193"/>
      <c r="G375" s="193"/>
      <c r="H375" s="193" t="s">
        <v>121</v>
      </c>
      <c r="I375" s="193" t="s">
        <v>35</v>
      </c>
      <c r="J375" s="194">
        <v>10</v>
      </c>
      <c r="K375" s="193"/>
      <c r="L375" s="193"/>
      <c r="M375" s="193" t="s">
        <v>35</v>
      </c>
      <c r="N375" s="193" t="s">
        <v>49</v>
      </c>
      <c r="O375" s="194">
        <v>10</v>
      </c>
      <c r="P375" s="194" t="s">
        <v>747</v>
      </c>
      <c r="Q375" s="521">
        <f>R375*(1-Bolts!$E$1179)</f>
        <v>92.9</v>
      </c>
      <c r="R375" s="150">
        <v>92.9</v>
      </c>
      <c r="S375" s="168">
        <f t="shared" si="154"/>
        <v>0</v>
      </c>
      <c r="T375" s="211"/>
      <c r="U375" s="169"/>
      <c r="V375" s="170"/>
      <c r="W375" s="171"/>
      <c r="X375" s="172"/>
      <c r="Y375" s="173"/>
      <c r="Z375" s="174"/>
      <c r="AA375" s="175"/>
      <c r="AB375" s="176"/>
      <c r="AC375" s="168">
        <f t="shared" si="155"/>
        <v>0</v>
      </c>
      <c r="AD375" s="177">
        <f t="shared" si="156"/>
        <v>0</v>
      </c>
      <c r="AE375" s="178">
        <v>2.8</v>
      </c>
      <c r="AF375" s="179">
        <f t="shared" si="157"/>
        <v>0</v>
      </c>
      <c r="AH375" s="180"/>
      <c r="AK375" s="1"/>
      <c r="AL375" s="1"/>
      <c r="AM375" s="1"/>
      <c r="AN375" s="1"/>
    </row>
    <row r="376" spans="1:40" ht="12.75" customHeight="1">
      <c r="A376" s="87"/>
      <c r="B376" s="192" t="s">
        <v>748</v>
      </c>
      <c r="C376" s="193" t="s">
        <v>55</v>
      </c>
      <c r="D376" s="193" t="s">
        <v>48</v>
      </c>
      <c r="E376" s="194">
        <v>10</v>
      </c>
      <c r="F376" s="193"/>
      <c r="G376" s="193"/>
      <c r="H376" s="193" t="s">
        <v>121</v>
      </c>
      <c r="I376" s="193" t="s">
        <v>35</v>
      </c>
      <c r="J376" s="194">
        <v>10</v>
      </c>
      <c r="K376" s="193"/>
      <c r="L376" s="193"/>
      <c r="M376" s="193" t="s">
        <v>35</v>
      </c>
      <c r="N376" s="193" t="s">
        <v>49</v>
      </c>
      <c r="O376" s="194">
        <v>10</v>
      </c>
      <c r="P376" s="194" t="s">
        <v>749</v>
      </c>
      <c r="Q376" s="521">
        <f>R376*(1-Bolts!$E$1179)</f>
        <v>107.4</v>
      </c>
      <c r="R376" s="150">
        <v>107.4</v>
      </c>
      <c r="S376" s="168">
        <f t="shared" si="154"/>
        <v>0</v>
      </c>
      <c r="T376" s="211"/>
      <c r="U376" s="169"/>
      <c r="V376" s="170"/>
      <c r="W376" s="171"/>
      <c r="X376" s="172"/>
      <c r="Y376" s="173"/>
      <c r="Z376" s="174"/>
      <c r="AA376" s="175"/>
      <c r="AB376" s="176"/>
      <c r="AC376" s="168">
        <f t="shared" si="155"/>
        <v>0</v>
      </c>
      <c r="AD376" s="177">
        <f t="shared" si="156"/>
        <v>0</v>
      </c>
      <c r="AE376" s="178">
        <v>3.55</v>
      </c>
      <c r="AF376" s="179">
        <f t="shared" si="157"/>
        <v>0</v>
      </c>
      <c r="AH376" s="180"/>
      <c r="AK376" s="1"/>
      <c r="AL376" s="1"/>
      <c r="AM376" s="1"/>
      <c r="AN376" s="1"/>
    </row>
    <row r="377" spans="1:40" ht="12.75" customHeight="1">
      <c r="A377" s="87"/>
      <c r="B377" s="192" t="s">
        <v>750</v>
      </c>
      <c r="C377" s="193" t="s">
        <v>55</v>
      </c>
      <c r="D377" s="193" t="s">
        <v>48</v>
      </c>
      <c r="E377" s="194">
        <v>10</v>
      </c>
      <c r="F377" s="193"/>
      <c r="G377" s="193"/>
      <c r="H377" s="193" t="s">
        <v>121</v>
      </c>
      <c r="I377" s="193" t="s">
        <v>30</v>
      </c>
      <c r="J377" s="194">
        <v>10</v>
      </c>
      <c r="K377" s="193"/>
      <c r="L377" s="193"/>
      <c r="M377" s="193" t="s">
        <v>30</v>
      </c>
      <c r="N377" s="193" t="s">
        <v>48</v>
      </c>
      <c r="O377" s="194">
        <v>10</v>
      </c>
      <c r="P377" s="194" t="s">
        <v>751</v>
      </c>
      <c r="Q377" s="521">
        <f>R377*(1-Bolts!$E$1179)</f>
        <v>97.4</v>
      </c>
      <c r="R377" s="150">
        <v>97.4</v>
      </c>
      <c r="S377" s="168">
        <f t="shared" si="154"/>
        <v>0</v>
      </c>
      <c r="T377" s="211"/>
      <c r="U377" s="169"/>
      <c r="V377" s="170"/>
      <c r="W377" s="171"/>
      <c r="X377" s="172"/>
      <c r="Y377" s="173"/>
      <c r="Z377" s="174"/>
      <c r="AA377" s="175"/>
      <c r="AB377" s="176"/>
      <c r="AC377" s="168">
        <f t="shared" si="155"/>
        <v>0</v>
      </c>
      <c r="AD377" s="177">
        <f t="shared" si="156"/>
        <v>0</v>
      </c>
      <c r="AE377" s="178">
        <v>3.05</v>
      </c>
      <c r="AF377" s="179">
        <f t="shared" si="157"/>
        <v>0</v>
      </c>
      <c r="AH377" s="180"/>
      <c r="AK377" s="1"/>
      <c r="AL377" s="1"/>
      <c r="AM377" s="1"/>
      <c r="AN377" s="1"/>
    </row>
    <row r="378" spans="1:40" ht="12.75" customHeight="1">
      <c r="A378" s="87"/>
      <c r="B378" s="192" t="s">
        <v>752</v>
      </c>
      <c r="C378" s="193" t="s">
        <v>55</v>
      </c>
      <c r="D378" s="193" t="s">
        <v>48</v>
      </c>
      <c r="E378" s="194">
        <v>10</v>
      </c>
      <c r="F378" s="193"/>
      <c r="G378" s="193"/>
      <c r="H378" s="193" t="s">
        <v>121</v>
      </c>
      <c r="I378" s="193" t="s">
        <v>37</v>
      </c>
      <c r="J378" s="194">
        <v>10</v>
      </c>
      <c r="K378" s="193"/>
      <c r="L378" s="193"/>
      <c r="M378" s="193" t="s">
        <v>37</v>
      </c>
      <c r="N378" s="193" t="s">
        <v>48</v>
      </c>
      <c r="O378" s="194">
        <v>10</v>
      </c>
      <c r="P378" s="194" t="s">
        <v>753</v>
      </c>
      <c r="Q378" s="521">
        <f>R378*(1-Bolts!$E$1179)</f>
        <v>114.2</v>
      </c>
      <c r="R378" s="150">
        <v>114.2</v>
      </c>
      <c r="S378" s="168">
        <f t="shared" si="154"/>
        <v>0</v>
      </c>
      <c r="T378" s="211"/>
      <c r="U378" s="169"/>
      <c r="V378" s="170"/>
      <c r="W378" s="171"/>
      <c r="X378" s="172"/>
      <c r="Y378" s="173"/>
      <c r="Z378" s="174"/>
      <c r="AA378" s="175"/>
      <c r="AB378" s="176"/>
      <c r="AC378" s="168">
        <f t="shared" si="155"/>
        <v>0</v>
      </c>
      <c r="AD378" s="177">
        <f t="shared" si="156"/>
        <v>0</v>
      </c>
      <c r="AE378" s="178">
        <v>3.9</v>
      </c>
      <c r="AF378" s="179">
        <f t="shared" si="157"/>
        <v>0</v>
      </c>
      <c r="AH378" s="180"/>
      <c r="AK378" s="1"/>
      <c r="AL378" s="1"/>
      <c r="AM378" s="1"/>
      <c r="AN378" s="1"/>
    </row>
    <row r="379" spans="1:40" ht="12.75" customHeight="1">
      <c r="A379" s="87"/>
      <c r="B379" s="185"/>
      <c r="C379" s="165"/>
      <c r="D379" s="165"/>
      <c r="E379" s="166"/>
      <c r="F379" s="165"/>
      <c r="G379" s="165"/>
      <c r="H379" s="165"/>
      <c r="I379" s="165"/>
      <c r="J379" s="166"/>
      <c r="K379" s="165"/>
      <c r="L379" s="165"/>
      <c r="M379" s="165"/>
      <c r="N379" s="165"/>
      <c r="O379" s="166"/>
      <c r="P379" s="166"/>
      <c r="Q379" s="522"/>
      <c r="R379" s="150"/>
      <c r="S379" s="186"/>
      <c r="T379" s="187"/>
      <c r="U379" s="187"/>
      <c r="V379" s="188"/>
      <c r="W379" s="187"/>
      <c r="X379" s="187"/>
      <c r="Y379" s="187"/>
      <c r="Z379" s="187"/>
      <c r="AA379" s="187"/>
      <c r="AB379" s="188"/>
      <c r="AC379" s="186"/>
      <c r="AD379" s="189"/>
      <c r="AE379" s="190"/>
      <c r="AF379" s="191"/>
      <c r="AH379" s="180"/>
      <c r="AK379" s="1"/>
      <c r="AL379" s="1"/>
      <c r="AM379" s="1"/>
      <c r="AN379" s="1"/>
    </row>
    <row r="380" spans="1:40" ht="12.75" customHeight="1">
      <c r="A380" s="87"/>
      <c r="B380" s="192" t="s">
        <v>754</v>
      </c>
      <c r="C380" s="193" t="s">
        <v>55</v>
      </c>
      <c r="D380" s="193" t="s">
        <v>65</v>
      </c>
      <c r="E380" s="194">
        <v>20</v>
      </c>
      <c r="F380" s="193"/>
      <c r="G380" s="193"/>
      <c r="H380" s="193" t="s">
        <v>121</v>
      </c>
      <c r="I380" s="193" t="s">
        <v>39</v>
      </c>
      <c r="J380" s="194">
        <v>20</v>
      </c>
      <c r="K380" s="193"/>
      <c r="L380" s="193"/>
      <c r="M380" s="193" t="s">
        <v>39</v>
      </c>
      <c r="N380" s="193" t="s">
        <v>47</v>
      </c>
      <c r="O380" s="194">
        <v>20</v>
      </c>
      <c r="P380" s="194" t="s">
        <v>755</v>
      </c>
      <c r="Q380" s="521">
        <f>R380*(1-Bolts!$E$1179)</f>
        <v>99.9</v>
      </c>
      <c r="R380" s="150">
        <v>99.9</v>
      </c>
      <c r="S380" s="168">
        <f t="shared" ref="S380:S381" si="158">SUM(T380:AB380)</f>
        <v>0</v>
      </c>
      <c r="T380" s="211"/>
      <c r="U380" s="169"/>
      <c r="V380" s="170"/>
      <c r="W380" s="171"/>
      <c r="X380" s="172"/>
      <c r="Y380" s="173"/>
      <c r="Z380" s="174"/>
      <c r="AA380" s="175"/>
      <c r="AB380" s="176"/>
      <c r="AC380" s="168">
        <f t="shared" ref="AC380:AC381" si="159">S380*O380</f>
        <v>0</v>
      </c>
      <c r="AD380" s="177">
        <f t="shared" ref="AD380:AD381" si="160">S380*R380</f>
        <v>0</v>
      </c>
      <c r="AE380" s="178">
        <v>1.75</v>
      </c>
      <c r="AF380" s="179">
        <f t="shared" ref="AF380:AF381" si="161">AE380*S380</f>
        <v>0</v>
      </c>
      <c r="AH380" s="180"/>
      <c r="AK380" s="1"/>
      <c r="AL380" s="1"/>
      <c r="AM380" s="1"/>
      <c r="AN380" s="1"/>
    </row>
    <row r="381" spans="1:40" ht="12.75" customHeight="1">
      <c r="A381" s="87"/>
      <c r="B381" s="192" t="s">
        <v>756</v>
      </c>
      <c r="C381" s="193" t="s">
        <v>55</v>
      </c>
      <c r="D381" s="193" t="s">
        <v>65</v>
      </c>
      <c r="E381" s="194">
        <v>20</v>
      </c>
      <c r="F381" s="193"/>
      <c r="G381" s="193"/>
      <c r="H381" s="193" t="s">
        <v>121</v>
      </c>
      <c r="I381" s="193" t="s">
        <v>39</v>
      </c>
      <c r="J381" s="194">
        <v>20</v>
      </c>
      <c r="K381" s="193"/>
      <c r="L381" s="193"/>
      <c r="M381" s="193" t="s">
        <v>39</v>
      </c>
      <c r="N381" s="193" t="s">
        <v>47</v>
      </c>
      <c r="O381" s="194">
        <v>20</v>
      </c>
      <c r="P381" s="194" t="s">
        <v>757</v>
      </c>
      <c r="Q381" s="521">
        <f>R381*(1-Bolts!$E$1179)</f>
        <v>105.3</v>
      </c>
      <c r="R381" s="150">
        <v>105.3</v>
      </c>
      <c r="S381" s="168">
        <f t="shared" si="158"/>
        <v>0</v>
      </c>
      <c r="T381" s="211"/>
      <c r="U381" s="169"/>
      <c r="V381" s="170"/>
      <c r="W381" s="171"/>
      <c r="X381" s="172"/>
      <c r="Y381" s="173"/>
      <c r="Z381" s="174"/>
      <c r="AA381" s="175"/>
      <c r="AB381" s="176"/>
      <c r="AC381" s="168">
        <f t="shared" si="159"/>
        <v>0</v>
      </c>
      <c r="AD381" s="177">
        <f t="shared" si="160"/>
        <v>0</v>
      </c>
      <c r="AE381" s="178">
        <v>2.1</v>
      </c>
      <c r="AF381" s="179">
        <f t="shared" si="161"/>
        <v>0</v>
      </c>
      <c r="AH381" s="180"/>
      <c r="AK381" s="1"/>
      <c r="AL381" s="1"/>
      <c r="AM381" s="1"/>
      <c r="AN381" s="1"/>
    </row>
    <row r="382" spans="1:40" ht="12.75" customHeight="1">
      <c r="A382" s="138" t="s">
        <v>378</v>
      </c>
      <c r="B382" s="220" t="s">
        <v>758</v>
      </c>
      <c r="C382" s="221" t="str">
        <f>B382</f>
        <v>Jimmy Webb - Southern Sandstone Slopers</v>
      </c>
      <c r="D382" s="142"/>
      <c r="E382" s="142"/>
      <c r="F382" s="142"/>
      <c r="G382" s="142"/>
      <c r="H382" s="142" t="s">
        <v>121</v>
      </c>
      <c r="I382" s="142"/>
      <c r="J382" s="142"/>
      <c r="K382" s="142"/>
      <c r="L382" s="142"/>
      <c r="M382" s="142"/>
      <c r="N382" s="142"/>
      <c r="O382" s="142"/>
      <c r="P382" s="142"/>
      <c r="Q382" s="525"/>
      <c r="R382" s="150"/>
      <c r="S382" s="142"/>
      <c r="T382" s="142"/>
      <c r="U382" s="142"/>
      <c r="V382" s="142"/>
      <c r="W382" s="142"/>
      <c r="X382" s="142"/>
      <c r="Y382" s="142"/>
      <c r="Z382" s="142"/>
      <c r="AA382" s="142"/>
      <c r="AB382" s="142"/>
      <c r="AC382" s="142"/>
      <c r="AD382" s="142"/>
      <c r="AE382" s="142"/>
      <c r="AF382" s="217"/>
      <c r="AH382" s="180"/>
      <c r="AK382" s="1"/>
      <c r="AL382" s="1"/>
      <c r="AM382" s="1"/>
      <c r="AN382" s="1"/>
    </row>
    <row r="383" spans="1:40" ht="12.75" customHeight="1">
      <c r="A383" s="87"/>
      <c r="B383" s="222" t="s">
        <v>759</v>
      </c>
      <c r="C383" s="223" t="s">
        <v>57</v>
      </c>
      <c r="D383" s="223" t="s">
        <v>60</v>
      </c>
      <c r="E383" s="224">
        <v>3</v>
      </c>
      <c r="F383" s="223"/>
      <c r="G383" s="223"/>
      <c r="H383" s="223" t="s">
        <v>121</v>
      </c>
      <c r="I383" s="223" t="s">
        <v>28</v>
      </c>
      <c r="J383" s="224">
        <v>3</v>
      </c>
      <c r="K383" s="223"/>
      <c r="L383" s="223"/>
      <c r="M383" s="223" t="s">
        <v>28</v>
      </c>
      <c r="N383" s="223" t="s">
        <v>48</v>
      </c>
      <c r="O383" s="224">
        <v>3</v>
      </c>
      <c r="P383" s="224" t="s">
        <v>760</v>
      </c>
      <c r="Q383" s="520">
        <f>R383*(1-Bolts!$E$1179)</f>
        <v>918.9</v>
      </c>
      <c r="R383" s="150">
        <v>918.9</v>
      </c>
      <c r="S383" s="151">
        <f t="shared" ref="S383:S390" si="162">SUM(T383:AB383)</f>
        <v>0</v>
      </c>
      <c r="T383" s="152"/>
      <c r="U383" s="153"/>
      <c r="V383" s="154"/>
      <c r="W383" s="155"/>
      <c r="X383" s="156"/>
      <c r="Y383" s="157"/>
      <c r="Z383" s="158"/>
      <c r="AA383" s="159"/>
      <c r="AB383" s="160"/>
      <c r="AC383" s="151">
        <f t="shared" ref="AC383:AC390" si="163">S383*O383</f>
        <v>0</v>
      </c>
      <c r="AD383" s="161">
        <f t="shared" ref="AD383:AD390" si="164">S383*R383</f>
        <v>0</v>
      </c>
      <c r="AE383" s="162">
        <v>47.83</v>
      </c>
      <c r="AF383" s="163">
        <f t="shared" ref="AF383:AF390" si="165">AE383*S383</f>
        <v>0</v>
      </c>
      <c r="AH383" s="209"/>
      <c r="AK383" s="1"/>
      <c r="AL383" s="1"/>
      <c r="AM383" s="1"/>
      <c r="AN383" s="1"/>
    </row>
    <row r="384" spans="1:40" ht="12.75" customHeight="1">
      <c r="A384" s="87"/>
      <c r="B384" s="195" t="s">
        <v>761</v>
      </c>
      <c r="C384" s="196" t="s">
        <v>57</v>
      </c>
      <c r="D384" s="196" t="s">
        <v>60</v>
      </c>
      <c r="E384" s="197">
        <v>1</v>
      </c>
      <c r="F384" s="196"/>
      <c r="G384" s="196"/>
      <c r="H384" s="196" t="s">
        <v>121</v>
      </c>
      <c r="I384" s="196" t="s">
        <v>28</v>
      </c>
      <c r="J384" s="197">
        <v>1</v>
      </c>
      <c r="K384" s="196"/>
      <c r="L384" s="196"/>
      <c r="M384" s="196" t="s">
        <v>28</v>
      </c>
      <c r="N384" s="196" t="s">
        <v>48</v>
      </c>
      <c r="O384" s="197">
        <v>1</v>
      </c>
      <c r="P384" s="197" t="s">
        <v>762</v>
      </c>
      <c r="Q384" s="523">
        <f>R384*(1-Bolts!$E$1179)</f>
        <v>317.2</v>
      </c>
      <c r="R384" s="150">
        <v>317.2</v>
      </c>
      <c r="S384" s="198">
        <f t="shared" si="162"/>
        <v>0</v>
      </c>
      <c r="T384" s="199"/>
      <c r="U384" s="199"/>
      <c r="V384" s="200"/>
      <c r="W384" s="199"/>
      <c r="X384" s="199"/>
      <c r="Y384" s="199"/>
      <c r="Z384" s="199"/>
      <c r="AA384" s="199"/>
      <c r="AB384" s="199"/>
      <c r="AC384" s="198">
        <f t="shared" si="163"/>
        <v>0</v>
      </c>
      <c r="AD384" s="177">
        <f t="shared" si="164"/>
        <v>0</v>
      </c>
      <c r="AE384" s="201">
        <v>15.62</v>
      </c>
      <c r="AF384" s="202">
        <f t="shared" si="165"/>
        <v>0</v>
      </c>
      <c r="AH384" s="180"/>
      <c r="AK384" s="1"/>
      <c r="AL384" s="1"/>
      <c r="AM384" s="1"/>
      <c r="AN384" s="1"/>
    </row>
    <row r="385" spans="1:40" ht="12.75" customHeight="1">
      <c r="A385" s="87"/>
      <c r="B385" s="195" t="s">
        <v>763</v>
      </c>
      <c r="C385" s="196" t="s">
        <v>57</v>
      </c>
      <c r="D385" s="196" t="s">
        <v>60</v>
      </c>
      <c r="E385" s="197">
        <v>1</v>
      </c>
      <c r="F385" s="196"/>
      <c r="G385" s="196"/>
      <c r="H385" s="196" t="s">
        <v>121</v>
      </c>
      <c r="I385" s="196" t="s">
        <v>28</v>
      </c>
      <c r="J385" s="197">
        <v>1</v>
      </c>
      <c r="K385" s="196"/>
      <c r="L385" s="196"/>
      <c r="M385" s="196" t="s">
        <v>28</v>
      </c>
      <c r="N385" s="196" t="s">
        <v>48</v>
      </c>
      <c r="O385" s="197">
        <v>1</v>
      </c>
      <c r="P385" s="197" t="s">
        <v>764</v>
      </c>
      <c r="Q385" s="523">
        <f>R385*(1-Bolts!$E$1179)</f>
        <v>317.8</v>
      </c>
      <c r="R385" s="150">
        <v>317.8</v>
      </c>
      <c r="S385" s="198">
        <f t="shared" si="162"/>
        <v>0</v>
      </c>
      <c r="T385" s="199"/>
      <c r="U385" s="199"/>
      <c r="V385" s="200"/>
      <c r="W385" s="199"/>
      <c r="X385" s="199"/>
      <c r="Y385" s="199"/>
      <c r="Z385" s="199"/>
      <c r="AA385" s="199"/>
      <c r="AB385" s="199"/>
      <c r="AC385" s="198">
        <f t="shared" si="163"/>
        <v>0</v>
      </c>
      <c r="AD385" s="177">
        <f t="shared" si="164"/>
        <v>0</v>
      </c>
      <c r="AE385" s="201">
        <v>15.66</v>
      </c>
      <c r="AF385" s="202">
        <f t="shared" si="165"/>
        <v>0</v>
      </c>
      <c r="AH385" s="180"/>
      <c r="AK385" s="1"/>
      <c r="AL385" s="1"/>
      <c r="AM385" s="1"/>
      <c r="AN385" s="1"/>
    </row>
    <row r="386" spans="1:40" ht="12.75" customHeight="1">
      <c r="A386" s="87"/>
      <c r="B386" s="195" t="s">
        <v>765</v>
      </c>
      <c r="C386" s="196" t="s">
        <v>57</v>
      </c>
      <c r="D386" s="196" t="s">
        <v>60</v>
      </c>
      <c r="E386" s="197">
        <v>1</v>
      </c>
      <c r="F386" s="196"/>
      <c r="G386" s="196"/>
      <c r="H386" s="196" t="s">
        <v>121</v>
      </c>
      <c r="I386" s="196" t="s">
        <v>28</v>
      </c>
      <c r="J386" s="197">
        <v>1</v>
      </c>
      <c r="K386" s="196"/>
      <c r="L386" s="196"/>
      <c r="M386" s="196" t="s">
        <v>28</v>
      </c>
      <c r="N386" s="196" t="s">
        <v>48</v>
      </c>
      <c r="O386" s="197">
        <v>1</v>
      </c>
      <c r="P386" s="197" t="s">
        <v>766</v>
      </c>
      <c r="Q386" s="523">
        <f>R386*(1-Bolts!$E$1179)</f>
        <v>333.1</v>
      </c>
      <c r="R386" s="150">
        <v>333.1</v>
      </c>
      <c r="S386" s="198">
        <f t="shared" si="162"/>
        <v>0</v>
      </c>
      <c r="T386" s="199"/>
      <c r="U386" s="199"/>
      <c r="V386" s="200"/>
      <c r="W386" s="199"/>
      <c r="X386" s="199"/>
      <c r="Y386" s="199"/>
      <c r="Z386" s="199"/>
      <c r="AA386" s="199"/>
      <c r="AB386" s="199"/>
      <c r="AC386" s="198">
        <f t="shared" si="163"/>
        <v>0</v>
      </c>
      <c r="AD386" s="177">
        <f t="shared" si="164"/>
        <v>0</v>
      </c>
      <c r="AE386" s="201">
        <v>16.55</v>
      </c>
      <c r="AF386" s="202">
        <f t="shared" si="165"/>
        <v>0</v>
      </c>
      <c r="AH386" s="180"/>
      <c r="AK386" s="1"/>
      <c r="AL386" s="1"/>
      <c r="AM386" s="1"/>
      <c r="AN386" s="1"/>
    </row>
    <row r="387" spans="1:40" ht="12.75" customHeight="1">
      <c r="A387" s="181"/>
      <c r="B387" s="222" t="s">
        <v>767</v>
      </c>
      <c r="C387" s="223" t="s">
        <v>52</v>
      </c>
      <c r="D387" s="223" t="s">
        <v>60</v>
      </c>
      <c r="E387" s="224">
        <v>3</v>
      </c>
      <c r="F387" s="223"/>
      <c r="G387" s="223"/>
      <c r="H387" s="223" t="s">
        <v>121</v>
      </c>
      <c r="I387" s="223" t="s">
        <v>28</v>
      </c>
      <c r="J387" s="224">
        <v>3</v>
      </c>
      <c r="K387" s="223"/>
      <c r="L387" s="223"/>
      <c r="M387" s="223" t="s">
        <v>28</v>
      </c>
      <c r="N387" s="223" t="s">
        <v>48</v>
      </c>
      <c r="O387" s="224">
        <v>3</v>
      </c>
      <c r="P387" s="224" t="s">
        <v>768</v>
      </c>
      <c r="Q387" s="521">
        <f>R387*(1-Bolts!$E$1179)</f>
        <v>530.79999999999995</v>
      </c>
      <c r="R387" s="150">
        <v>530.79999999999995</v>
      </c>
      <c r="S387" s="168">
        <f t="shared" si="162"/>
        <v>0</v>
      </c>
      <c r="T387" s="211"/>
      <c r="U387" s="169"/>
      <c r="V387" s="170"/>
      <c r="W387" s="171"/>
      <c r="X387" s="172"/>
      <c r="Y387" s="173"/>
      <c r="Z387" s="174"/>
      <c r="AA387" s="175"/>
      <c r="AB387" s="176"/>
      <c r="AC387" s="168">
        <f t="shared" si="163"/>
        <v>0</v>
      </c>
      <c r="AD387" s="177">
        <f t="shared" si="164"/>
        <v>0</v>
      </c>
      <c r="AE387" s="178">
        <v>25.95</v>
      </c>
      <c r="AF387" s="179">
        <f t="shared" si="165"/>
        <v>0</v>
      </c>
      <c r="AH387" s="180"/>
      <c r="AK387" s="1"/>
      <c r="AL387" s="1"/>
      <c r="AM387" s="1"/>
      <c r="AN387" s="1"/>
    </row>
    <row r="388" spans="1:40" ht="12.75" customHeight="1">
      <c r="A388" s="181" t="s">
        <v>769</v>
      </c>
      <c r="B388" s="214" t="s">
        <v>770</v>
      </c>
      <c r="C388" s="196" t="s">
        <v>57</v>
      </c>
      <c r="D388" s="196" t="s">
        <v>60</v>
      </c>
      <c r="E388" s="197">
        <v>1</v>
      </c>
      <c r="F388" s="196"/>
      <c r="G388" s="196"/>
      <c r="H388" s="196" t="s">
        <v>121</v>
      </c>
      <c r="I388" s="196" t="s">
        <v>28</v>
      </c>
      <c r="J388" s="197">
        <v>1</v>
      </c>
      <c r="K388" s="196"/>
      <c r="L388" s="196"/>
      <c r="M388" s="196" t="s">
        <v>28</v>
      </c>
      <c r="N388" s="196" t="s">
        <v>48</v>
      </c>
      <c r="O388" s="197">
        <v>1</v>
      </c>
      <c r="P388" s="197" t="s">
        <v>771</v>
      </c>
      <c r="Q388" s="523">
        <f>R388*(1-Bolts!$E$1179)</f>
        <v>212.8</v>
      </c>
      <c r="R388" s="150">
        <v>212.8</v>
      </c>
      <c r="S388" s="198">
        <f t="shared" si="162"/>
        <v>0</v>
      </c>
      <c r="T388" s="199"/>
      <c r="U388" s="199"/>
      <c r="V388" s="200"/>
      <c r="W388" s="199"/>
      <c r="X388" s="199"/>
      <c r="Y388" s="199"/>
      <c r="Z388" s="199"/>
      <c r="AA388" s="199"/>
      <c r="AB388" s="199"/>
      <c r="AC388" s="198">
        <f t="shared" si="163"/>
        <v>0</v>
      </c>
      <c r="AD388" s="177">
        <f t="shared" si="164"/>
        <v>0</v>
      </c>
      <c r="AE388" s="201">
        <v>9.75</v>
      </c>
      <c r="AF388" s="202">
        <f t="shared" si="165"/>
        <v>0</v>
      </c>
      <c r="AH388" s="180"/>
      <c r="AK388" s="1"/>
      <c r="AL388" s="1"/>
      <c r="AM388" s="1"/>
      <c r="AN388" s="1"/>
    </row>
    <row r="389" spans="1:40" ht="12.75" customHeight="1">
      <c r="A389" s="181" t="s">
        <v>769</v>
      </c>
      <c r="B389" s="214" t="s">
        <v>772</v>
      </c>
      <c r="C389" s="196" t="s">
        <v>57</v>
      </c>
      <c r="D389" s="196" t="s">
        <v>60</v>
      </c>
      <c r="E389" s="197">
        <v>1</v>
      </c>
      <c r="F389" s="196"/>
      <c r="G389" s="196"/>
      <c r="H389" s="196" t="s">
        <v>121</v>
      </c>
      <c r="I389" s="196" t="s">
        <v>28</v>
      </c>
      <c r="J389" s="197">
        <v>1</v>
      </c>
      <c r="K389" s="196"/>
      <c r="L389" s="196"/>
      <c r="M389" s="196" t="s">
        <v>28</v>
      </c>
      <c r="N389" s="196" t="s">
        <v>48</v>
      </c>
      <c r="O389" s="197">
        <v>1</v>
      </c>
      <c r="P389" s="197" t="s">
        <v>773</v>
      </c>
      <c r="Q389" s="523">
        <f>R389*(1-Bolts!$E$1179)</f>
        <v>208.3</v>
      </c>
      <c r="R389" s="150">
        <v>208.3</v>
      </c>
      <c r="S389" s="198">
        <f t="shared" si="162"/>
        <v>0</v>
      </c>
      <c r="T389" s="199"/>
      <c r="U389" s="199"/>
      <c r="V389" s="200"/>
      <c r="W389" s="199"/>
      <c r="X389" s="199"/>
      <c r="Y389" s="199"/>
      <c r="Z389" s="199"/>
      <c r="AA389" s="199"/>
      <c r="AB389" s="199"/>
      <c r="AC389" s="198">
        <f t="shared" si="163"/>
        <v>0</v>
      </c>
      <c r="AD389" s="177">
        <f t="shared" si="164"/>
        <v>0</v>
      </c>
      <c r="AE389" s="201">
        <v>9.5</v>
      </c>
      <c r="AF389" s="202">
        <f t="shared" si="165"/>
        <v>0</v>
      </c>
      <c r="AH389" s="180"/>
      <c r="AK389" s="1"/>
      <c r="AL389" s="1"/>
      <c r="AM389" s="1"/>
      <c r="AN389" s="1"/>
    </row>
    <row r="390" spans="1:40" ht="12.75" customHeight="1">
      <c r="A390" s="181" t="s">
        <v>769</v>
      </c>
      <c r="B390" s="214" t="s">
        <v>774</v>
      </c>
      <c r="C390" s="196" t="s">
        <v>57</v>
      </c>
      <c r="D390" s="196" t="s">
        <v>60</v>
      </c>
      <c r="E390" s="197">
        <v>1</v>
      </c>
      <c r="F390" s="196"/>
      <c r="G390" s="196"/>
      <c r="H390" s="196" t="s">
        <v>121</v>
      </c>
      <c r="I390" s="196" t="s">
        <v>28</v>
      </c>
      <c r="J390" s="197">
        <v>1</v>
      </c>
      <c r="K390" s="196"/>
      <c r="L390" s="196"/>
      <c r="M390" s="196" t="s">
        <v>28</v>
      </c>
      <c r="N390" s="196" t="s">
        <v>48</v>
      </c>
      <c r="O390" s="197">
        <v>1</v>
      </c>
      <c r="P390" s="197" t="s">
        <v>775</v>
      </c>
      <c r="Q390" s="523">
        <f>R390*(1-Bolts!$E$1179)</f>
        <v>158.69999999999999</v>
      </c>
      <c r="R390" s="150">
        <v>158.69999999999999</v>
      </c>
      <c r="S390" s="198">
        <f t="shared" si="162"/>
        <v>0</v>
      </c>
      <c r="T390" s="199"/>
      <c r="U390" s="199"/>
      <c r="V390" s="200"/>
      <c r="W390" s="199"/>
      <c r="X390" s="199"/>
      <c r="Y390" s="199"/>
      <c r="Z390" s="199"/>
      <c r="AA390" s="199"/>
      <c r="AB390" s="199"/>
      <c r="AC390" s="198">
        <f t="shared" si="163"/>
        <v>0</v>
      </c>
      <c r="AD390" s="177">
        <f t="shared" si="164"/>
        <v>0</v>
      </c>
      <c r="AE390" s="201">
        <v>6.7</v>
      </c>
      <c r="AF390" s="202">
        <f t="shared" si="165"/>
        <v>0</v>
      </c>
      <c r="AH390" s="180"/>
      <c r="AK390" s="1"/>
      <c r="AL390" s="1"/>
      <c r="AM390" s="1"/>
      <c r="AN390" s="1"/>
    </row>
    <row r="391" spans="1:40" ht="12.75" customHeight="1">
      <c r="A391" s="87"/>
      <c r="B391" s="185"/>
      <c r="C391" s="165"/>
      <c r="D391" s="165"/>
      <c r="E391" s="166"/>
      <c r="F391" s="165"/>
      <c r="G391" s="165"/>
      <c r="H391" s="165"/>
      <c r="I391" s="165"/>
      <c r="J391" s="166"/>
      <c r="K391" s="165"/>
      <c r="L391" s="165"/>
      <c r="M391" s="165"/>
      <c r="N391" s="165"/>
      <c r="O391" s="166"/>
      <c r="P391" s="166"/>
      <c r="Q391" s="522"/>
      <c r="R391" s="150"/>
      <c r="S391" s="186"/>
      <c r="T391" s="187"/>
      <c r="U391" s="187"/>
      <c r="V391" s="188"/>
      <c r="W391" s="187"/>
      <c r="X391" s="187"/>
      <c r="Y391" s="187"/>
      <c r="Z391" s="187"/>
      <c r="AA391" s="187"/>
      <c r="AB391" s="188"/>
      <c r="AC391" s="186"/>
      <c r="AD391" s="189"/>
      <c r="AE391" s="190"/>
      <c r="AF391" s="191"/>
      <c r="AH391" s="180"/>
      <c r="AK391" s="1"/>
      <c r="AL391" s="1"/>
      <c r="AM391" s="1"/>
      <c r="AN391" s="1"/>
    </row>
    <row r="392" spans="1:40" ht="12.75" customHeight="1">
      <c r="A392" s="87"/>
      <c r="B392" s="192" t="s">
        <v>776</v>
      </c>
      <c r="C392" s="193" t="s">
        <v>57</v>
      </c>
      <c r="D392" s="193" t="s">
        <v>61</v>
      </c>
      <c r="E392" s="194">
        <v>4</v>
      </c>
      <c r="F392" s="193"/>
      <c r="G392" s="193"/>
      <c r="H392" s="193" t="s">
        <v>121</v>
      </c>
      <c r="I392" s="193" t="s">
        <v>37</v>
      </c>
      <c r="J392" s="194">
        <v>4</v>
      </c>
      <c r="K392" s="193"/>
      <c r="L392" s="193"/>
      <c r="M392" s="193" t="s">
        <v>37</v>
      </c>
      <c r="N392" s="193" t="s">
        <v>48</v>
      </c>
      <c r="O392" s="194">
        <v>4</v>
      </c>
      <c r="P392" s="194" t="s">
        <v>777</v>
      </c>
      <c r="Q392" s="521">
        <f>R392*(1-Bolts!$E$1179)</f>
        <v>609.1</v>
      </c>
      <c r="R392" s="150">
        <v>609.1</v>
      </c>
      <c r="S392" s="168">
        <f t="shared" ref="S392:S394" si="166">SUM(T392:AB392)</f>
        <v>0</v>
      </c>
      <c r="T392" s="211"/>
      <c r="U392" s="169"/>
      <c r="V392" s="170"/>
      <c r="W392" s="171"/>
      <c r="X392" s="172"/>
      <c r="Y392" s="173"/>
      <c r="Z392" s="174"/>
      <c r="AA392" s="175"/>
      <c r="AB392" s="176"/>
      <c r="AC392" s="168">
        <f t="shared" ref="AC392:AC394" si="167">S392*O392</f>
        <v>0</v>
      </c>
      <c r="AD392" s="177">
        <f t="shared" ref="AD392:AD394" si="168">S392*R392</f>
        <v>0</v>
      </c>
      <c r="AE392" s="178">
        <v>32</v>
      </c>
      <c r="AF392" s="179">
        <f t="shared" ref="AF392:AF394" si="169">AE392*S392</f>
        <v>0</v>
      </c>
      <c r="AH392" s="180"/>
      <c r="AK392" s="1"/>
      <c r="AL392" s="1"/>
      <c r="AM392" s="1"/>
      <c r="AN392" s="1"/>
    </row>
    <row r="393" spans="1:40" ht="12.75" customHeight="1">
      <c r="A393" s="87"/>
      <c r="B393" s="192" t="s">
        <v>778</v>
      </c>
      <c r="C393" s="193" t="s">
        <v>57</v>
      </c>
      <c r="D393" s="193" t="s">
        <v>61</v>
      </c>
      <c r="E393" s="194">
        <v>4</v>
      </c>
      <c r="F393" s="193"/>
      <c r="G393" s="193"/>
      <c r="H393" s="193" t="s">
        <v>121</v>
      </c>
      <c r="I393" s="193" t="s">
        <v>37</v>
      </c>
      <c r="J393" s="194">
        <v>4</v>
      </c>
      <c r="K393" s="193"/>
      <c r="L393" s="193"/>
      <c r="M393" s="193" t="s">
        <v>37</v>
      </c>
      <c r="N393" s="193" t="s">
        <v>49</v>
      </c>
      <c r="O393" s="194">
        <v>4</v>
      </c>
      <c r="P393" s="194" t="s">
        <v>779</v>
      </c>
      <c r="Q393" s="521">
        <f>R393*(1-Bolts!$E$1179)</f>
        <v>350.6</v>
      </c>
      <c r="R393" s="150">
        <v>350.6</v>
      </c>
      <c r="S393" s="168">
        <f t="shared" si="166"/>
        <v>0</v>
      </c>
      <c r="T393" s="211"/>
      <c r="U393" s="169"/>
      <c r="V393" s="170"/>
      <c r="W393" s="171"/>
      <c r="X393" s="172"/>
      <c r="Y393" s="173"/>
      <c r="Z393" s="174"/>
      <c r="AA393" s="175"/>
      <c r="AB393" s="176"/>
      <c r="AC393" s="168">
        <f t="shared" si="167"/>
        <v>0</v>
      </c>
      <c r="AD393" s="177">
        <f t="shared" si="168"/>
        <v>0</v>
      </c>
      <c r="AE393" s="178">
        <v>17.63</v>
      </c>
      <c r="AF393" s="179">
        <f t="shared" si="169"/>
        <v>0</v>
      </c>
      <c r="AH393" s="180"/>
      <c r="AK393" s="1"/>
      <c r="AL393" s="1"/>
      <c r="AM393" s="1"/>
      <c r="AN393" s="1"/>
    </row>
    <row r="394" spans="1:40" ht="12.75" customHeight="1">
      <c r="A394" s="87"/>
      <c r="B394" s="192" t="s">
        <v>780</v>
      </c>
      <c r="C394" s="193" t="s">
        <v>52</v>
      </c>
      <c r="D394" s="193" t="s">
        <v>61</v>
      </c>
      <c r="E394" s="194">
        <v>4</v>
      </c>
      <c r="F394" s="193"/>
      <c r="G394" s="193"/>
      <c r="H394" s="193" t="s">
        <v>121</v>
      </c>
      <c r="I394" s="193" t="s">
        <v>29</v>
      </c>
      <c r="J394" s="194">
        <v>4</v>
      </c>
      <c r="K394" s="193"/>
      <c r="L394" s="193"/>
      <c r="M394" s="193" t="s">
        <v>29</v>
      </c>
      <c r="N394" s="193" t="s">
        <v>47</v>
      </c>
      <c r="O394" s="194">
        <v>4</v>
      </c>
      <c r="P394" s="194" t="s">
        <v>781</v>
      </c>
      <c r="Q394" s="521">
        <f>R394*(1-Bolts!$E$1179)</f>
        <v>378.6</v>
      </c>
      <c r="R394" s="150">
        <v>378.6</v>
      </c>
      <c r="S394" s="168">
        <f t="shared" si="166"/>
        <v>0</v>
      </c>
      <c r="T394" s="211"/>
      <c r="U394" s="169"/>
      <c r="V394" s="170"/>
      <c r="W394" s="171"/>
      <c r="X394" s="172"/>
      <c r="Y394" s="173"/>
      <c r="Z394" s="174"/>
      <c r="AA394" s="175"/>
      <c r="AB394" s="176"/>
      <c r="AC394" s="168">
        <f t="shared" si="167"/>
        <v>0</v>
      </c>
      <c r="AD394" s="177">
        <f t="shared" si="168"/>
        <v>0</v>
      </c>
      <c r="AE394" s="178">
        <v>18.61</v>
      </c>
      <c r="AF394" s="179">
        <f t="shared" si="169"/>
        <v>0</v>
      </c>
      <c r="AH394" s="180"/>
      <c r="AK394" s="1"/>
      <c r="AL394" s="1"/>
      <c r="AM394" s="1"/>
      <c r="AN394" s="1"/>
    </row>
    <row r="395" spans="1:40" ht="12.75" customHeight="1">
      <c r="A395" s="87"/>
      <c r="B395" s="185"/>
      <c r="C395" s="165"/>
      <c r="D395" s="165"/>
      <c r="E395" s="166"/>
      <c r="F395" s="165"/>
      <c r="G395" s="165"/>
      <c r="H395" s="165"/>
      <c r="I395" s="165"/>
      <c r="J395" s="166"/>
      <c r="K395" s="165"/>
      <c r="L395" s="165"/>
      <c r="M395" s="165"/>
      <c r="N395" s="165"/>
      <c r="O395" s="166"/>
      <c r="P395" s="166"/>
      <c r="Q395" s="522"/>
      <c r="R395" s="150"/>
      <c r="S395" s="186"/>
      <c r="T395" s="187"/>
      <c r="U395" s="187"/>
      <c r="V395" s="188"/>
      <c r="W395" s="187"/>
      <c r="X395" s="187"/>
      <c r="Y395" s="187"/>
      <c r="Z395" s="187"/>
      <c r="AA395" s="187"/>
      <c r="AB395" s="188"/>
      <c r="AC395" s="186"/>
      <c r="AD395" s="189"/>
      <c r="AE395" s="190"/>
      <c r="AF395" s="191"/>
      <c r="AH395" s="180"/>
      <c r="AK395" s="1"/>
      <c r="AL395" s="1"/>
      <c r="AM395" s="1"/>
      <c r="AN395" s="1"/>
    </row>
    <row r="396" spans="1:40" ht="12.75" customHeight="1">
      <c r="A396" s="87"/>
      <c r="B396" s="192" t="s">
        <v>782</v>
      </c>
      <c r="C396" s="193" t="s">
        <v>57</v>
      </c>
      <c r="D396" s="193" t="s">
        <v>62</v>
      </c>
      <c r="E396" s="194">
        <v>5</v>
      </c>
      <c r="F396" s="193"/>
      <c r="G396" s="193"/>
      <c r="H396" s="193" t="s">
        <v>121</v>
      </c>
      <c r="I396" s="193" t="s">
        <v>35</v>
      </c>
      <c r="J396" s="194">
        <v>5</v>
      </c>
      <c r="K396" s="193"/>
      <c r="L396" s="193"/>
      <c r="M396" s="193" t="s">
        <v>35</v>
      </c>
      <c r="N396" s="193" t="s">
        <v>49</v>
      </c>
      <c r="O396" s="194">
        <v>5</v>
      </c>
      <c r="P396" s="194" t="s">
        <v>783</v>
      </c>
      <c r="Q396" s="521">
        <f>R396*(1-Bolts!$E$1179)</f>
        <v>294.5</v>
      </c>
      <c r="R396" s="150">
        <v>294.5</v>
      </c>
      <c r="S396" s="168">
        <f t="shared" ref="S396:S398" si="170">SUM(T396:AB396)</f>
        <v>0</v>
      </c>
      <c r="T396" s="211"/>
      <c r="U396" s="169"/>
      <c r="V396" s="170"/>
      <c r="W396" s="171"/>
      <c r="X396" s="172"/>
      <c r="Y396" s="173"/>
      <c r="Z396" s="174"/>
      <c r="AA396" s="175"/>
      <c r="AB396" s="176"/>
      <c r="AC396" s="168">
        <f t="shared" ref="AC396:AC398" si="171">S396*O396</f>
        <v>0</v>
      </c>
      <c r="AD396" s="177">
        <f t="shared" ref="AD396:AD398" si="172">S396*R396</f>
        <v>0</v>
      </c>
      <c r="AE396" s="178">
        <v>13.14</v>
      </c>
      <c r="AF396" s="179">
        <f t="shared" ref="AF396:AF398" si="173">AE396*S396</f>
        <v>0</v>
      </c>
      <c r="AH396" s="180"/>
      <c r="AK396" s="1"/>
      <c r="AL396" s="1"/>
      <c r="AM396" s="1"/>
      <c r="AN396" s="1"/>
    </row>
    <row r="397" spans="1:40" ht="12.75" customHeight="1">
      <c r="A397" s="87"/>
      <c r="B397" s="192" t="s">
        <v>784</v>
      </c>
      <c r="C397" s="193" t="s">
        <v>52</v>
      </c>
      <c r="D397" s="193" t="s">
        <v>62</v>
      </c>
      <c r="E397" s="194">
        <v>5</v>
      </c>
      <c r="F397" s="193"/>
      <c r="G397" s="193"/>
      <c r="H397" s="193" t="s">
        <v>121</v>
      </c>
      <c r="I397" s="193" t="s">
        <v>37</v>
      </c>
      <c r="J397" s="194">
        <v>5</v>
      </c>
      <c r="K397" s="193"/>
      <c r="L397" s="193"/>
      <c r="M397" s="193" t="s">
        <v>37</v>
      </c>
      <c r="N397" s="193" t="s">
        <v>48</v>
      </c>
      <c r="O397" s="194">
        <v>5</v>
      </c>
      <c r="P397" s="194" t="s">
        <v>785</v>
      </c>
      <c r="Q397" s="521">
        <f>R397*(1-Bolts!$E$1179)</f>
        <v>567</v>
      </c>
      <c r="R397" s="150">
        <v>567</v>
      </c>
      <c r="S397" s="168">
        <f t="shared" si="170"/>
        <v>0</v>
      </c>
      <c r="T397" s="211"/>
      <c r="U397" s="169"/>
      <c r="V397" s="170"/>
      <c r="W397" s="171"/>
      <c r="X397" s="172"/>
      <c r="Y397" s="173"/>
      <c r="Z397" s="174"/>
      <c r="AA397" s="175"/>
      <c r="AB397" s="176"/>
      <c r="AC397" s="168">
        <f t="shared" si="171"/>
        <v>0</v>
      </c>
      <c r="AD397" s="177">
        <f t="shared" si="172"/>
        <v>0</v>
      </c>
      <c r="AE397" s="178">
        <v>29.06</v>
      </c>
      <c r="AF397" s="179">
        <f t="shared" si="173"/>
        <v>0</v>
      </c>
      <c r="AH397" s="180"/>
      <c r="AK397" s="1"/>
      <c r="AL397" s="1"/>
      <c r="AM397" s="1"/>
      <c r="AN397" s="1"/>
    </row>
    <row r="398" spans="1:40" ht="12.75" customHeight="1">
      <c r="A398" s="87"/>
      <c r="B398" s="192" t="s">
        <v>786</v>
      </c>
      <c r="C398" s="193" t="s">
        <v>52</v>
      </c>
      <c r="D398" s="193" t="s">
        <v>62</v>
      </c>
      <c r="E398" s="194">
        <v>5</v>
      </c>
      <c r="F398" s="193"/>
      <c r="G398" s="193"/>
      <c r="H398" s="193" t="s">
        <v>121</v>
      </c>
      <c r="I398" s="193" t="s">
        <v>29</v>
      </c>
      <c r="J398" s="194">
        <v>5</v>
      </c>
      <c r="K398" s="193"/>
      <c r="L398" s="193"/>
      <c r="M398" s="193" t="s">
        <v>29</v>
      </c>
      <c r="N398" s="193" t="s">
        <v>47</v>
      </c>
      <c r="O398" s="194">
        <v>5</v>
      </c>
      <c r="P398" s="194" t="s">
        <v>787</v>
      </c>
      <c r="Q398" s="521">
        <f>R398*(1-Bolts!$E$1179)</f>
        <v>347.1</v>
      </c>
      <c r="R398" s="150">
        <v>347.1</v>
      </c>
      <c r="S398" s="168">
        <f t="shared" si="170"/>
        <v>0</v>
      </c>
      <c r="T398" s="211"/>
      <c r="U398" s="169"/>
      <c r="V398" s="170"/>
      <c r="W398" s="171"/>
      <c r="X398" s="172"/>
      <c r="Y398" s="173"/>
      <c r="Z398" s="174"/>
      <c r="AA398" s="175"/>
      <c r="AB398" s="176"/>
      <c r="AC398" s="168">
        <f t="shared" si="171"/>
        <v>0</v>
      </c>
      <c r="AD398" s="177">
        <f t="shared" si="172"/>
        <v>0</v>
      </c>
      <c r="AE398" s="178">
        <v>17</v>
      </c>
      <c r="AF398" s="179">
        <f t="shared" si="173"/>
        <v>0</v>
      </c>
      <c r="AH398" s="180"/>
      <c r="AK398" s="1"/>
      <c r="AL398" s="1"/>
      <c r="AM398" s="1"/>
      <c r="AN398" s="1"/>
    </row>
    <row r="399" spans="1:40" ht="12.75" customHeight="1">
      <c r="A399" s="87"/>
      <c r="B399" s="185"/>
      <c r="C399" s="165"/>
      <c r="D399" s="165"/>
      <c r="E399" s="166"/>
      <c r="F399" s="165"/>
      <c r="G399" s="165"/>
      <c r="H399" s="165"/>
      <c r="I399" s="165"/>
      <c r="J399" s="166"/>
      <c r="K399" s="165"/>
      <c r="L399" s="165"/>
      <c r="M399" s="165"/>
      <c r="N399" s="165"/>
      <c r="O399" s="166"/>
      <c r="P399" s="166"/>
      <c r="Q399" s="522"/>
      <c r="R399" s="150"/>
      <c r="S399" s="186"/>
      <c r="T399" s="187"/>
      <c r="U399" s="187"/>
      <c r="V399" s="188"/>
      <c r="W399" s="187"/>
      <c r="X399" s="187"/>
      <c r="Y399" s="187"/>
      <c r="Z399" s="187"/>
      <c r="AA399" s="187"/>
      <c r="AB399" s="188"/>
      <c r="AC399" s="186"/>
      <c r="AD399" s="189"/>
      <c r="AE399" s="190"/>
      <c r="AF399" s="191"/>
      <c r="AH399" s="180"/>
      <c r="AK399" s="1"/>
      <c r="AL399" s="1"/>
      <c r="AM399" s="1"/>
      <c r="AN399" s="1"/>
    </row>
    <row r="400" spans="1:40" ht="12.75" customHeight="1">
      <c r="A400" s="87"/>
      <c r="B400" s="192" t="s">
        <v>788</v>
      </c>
      <c r="C400" s="193" t="s">
        <v>52</v>
      </c>
      <c r="D400" s="193" t="s">
        <v>63</v>
      </c>
      <c r="E400" s="194">
        <v>5</v>
      </c>
      <c r="F400" s="193"/>
      <c r="G400" s="193"/>
      <c r="H400" s="193" t="s">
        <v>121</v>
      </c>
      <c r="I400" s="193" t="s">
        <v>37</v>
      </c>
      <c r="J400" s="194">
        <v>5</v>
      </c>
      <c r="K400" s="193"/>
      <c r="L400" s="193"/>
      <c r="M400" s="193" t="s">
        <v>37</v>
      </c>
      <c r="N400" s="193" t="s">
        <v>49</v>
      </c>
      <c r="O400" s="194">
        <v>5</v>
      </c>
      <c r="P400" s="194" t="s">
        <v>789</v>
      </c>
      <c r="Q400" s="521">
        <f>R400*(1-Bolts!$E$1179)</f>
        <v>139.5</v>
      </c>
      <c r="R400" s="150">
        <v>139.5</v>
      </c>
      <c r="S400" s="168">
        <f t="shared" ref="S400:S402" si="174">SUM(T400:AB400)</f>
        <v>0</v>
      </c>
      <c r="T400" s="211"/>
      <c r="U400" s="169"/>
      <c r="V400" s="170"/>
      <c r="W400" s="171"/>
      <c r="X400" s="172"/>
      <c r="Y400" s="173"/>
      <c r="Z400" s="174"/>
      <c r="AA400" s="175"/>
      <c r="AB400" s="176"/>
      <c r="AC400" s="168">
        <f t="shared" ref="AC400:AC402" si="175">S400*O400</f>
        <v>0</v>
      </c>
      <c r="AD400" s="177">
        <f t="shared" ref="AD400:AD402" si="176">S400*R400</f>
        <v>0</v>
      </c>
      <c r="AE400" s="178">
        <v>5.93</v>
      </c>
      <c r="AF400" s="179">
        <f t="shared" ref="AF400:AF402" si="177">AE400*S400</f>
        <v>0</v>
      </c>
      <c r="AH400" s="180"/>
      <c r="AK400" s="1"/>
      <c r="AL400" s="1"/>
      <c r="AM400" s="1"/>
      <c r="AN400" s="1"/>
    </row>
    <row r="401" spans="1:40" ht="12.75" customHeight="1">
      <c r="A401" s="87"/>
      <c r="B401" s="192" t="s">
        <v>790</v>
      </c>
      <c r="C401" s="193" t="s">
        <v>52</v>
      </c>
      <c r="D401" s="193" t="s">
        <v>63</v>
      </c>
      <c r="E401" s="194">
        <v>6</v>
      </c>
      <c r="F401" s="193"/>
      <c r="G401" s="193"/>
      <c r="H401" s="193" t="s">
        <v>121</v>
      </c>
      <c r="I401" s="193" t="s">
        <v>37</v>
      </c>
      <c r="J401" s="194">
        <v>6</v>
      </c>
      <c r="K401" s="193"/>
      <c r="L401" s="193"/>
      <c r="M401" s="193" t="s">
        <v>37</v>
      </c>
      <c r="N401" s="193" t="s">
        <v>48</v>
      </c>
      <c r="O401" s="194">
        <v>6</v>
      </c>
      <c r="P401" s="194" t="s">
        <v>791</v>
      </c>
      <c r="Q401" s="521">
        <f>R401*(1-Bolts!$E$1179)</f>
        <v>260.3</v>
      </c>
      <c r="R401" s="150">
        <v>260.3</v>
      </c>
      <c r="S401" s="168">
        <f t="shared" si="174"/>
        <v>0</v>
      </c>
      <c r="T401" s="211"/>
      <c r="U401" s="169"/>
      <c r="V401" s="170"/>
      <c r="W401" s="171"/>
      <c r="X401" s="172"/>
      <c r="Y401" s="173"/>
      <c r="Z401" s="174"/>
      <c r="AA401" s="175"/>
      <c r="AB401" s="176"/>
      <c r="AC401" s="168">
        <f t="shared" si="175"/>
        <v>0</v>
      </c>
      <c r="AD401" s="177">
        <f t="shared" si="176"/>
        <v>0</v>
      </c>
      <c r="AE401" s="178">
        <v>11.73</v>
      </c>
      <c r="AF401" s="179">
        <f t="shared" si="177"/>
        <v>0</v>
      </c>
      <c r="AH401" s="180"/>
      <c r="AK401" s="1"/>
      <c r="AL401" s="1"/>
      <c r="AM401" s="1"/>
      <c r="AN401" s="1"/>
    </row>
    <row r="402" spans="1:40" ht="12.75" customHeight="1">
      <c r="A402" s="87"/>
      <c r="B402" s="192" t="s">
        <v>792</v>
      </c>
      <c r="C402" s="193" t="s">
        <v>52</v>
      </c>
      <c r="D402" s="193" t="s">
        <v>63</v>
      </c>
      <c r="E402" s="194">
        <v>5</v>
      </c>
      <c r="F402" s="193"/>
      <c r="G402" s="193"/>
      <c r="H402" s="193" t="s">
        <v>121</v>
      </c>
      <c r="I402" s="193" t="s">
        <v>29</v>
      </c>
      <c r="J402" s="194">
        <v>5</v>
      </c>
      <c r="K402" s="193"/>
      <c r="L402" s="193"/>
      <c r="M402" s="193" t="s">
        <v>29</v>
      </c>
      <c r="N402" s="193" t="s">
        <v>47</v>
      </c>
      <c r="O402" s="194">
        <v>5</v>
      </c>
      <c r="P402" s="194" t="s">
        <v>793</v>
      </c>
      <c r="Q402" s="521">
        <f>R402*(1-Bolts!$E$1179)</f>
        <v>242.9</v>
      </c>
      <c r="R402" s="150">
        <v>242.9</v>
      </c>
      <c r="S402" s="168">
        <f t="shared" si="174"/>
        <v>0</v>
      </c>
      <c r="T402" s="211"/>
      <c r="U402" s="169"/>
      <c r="V402" s="170"/>
      <c r="W402" s="171"/>
      <c r="X402" s="172"/>
      <c r="Y402" s="173"/>
      <c r="Z402" s="174"/>
      <c r="AA402" s="175"/>
      <c r="AB402" s="176"/>
      <c r="AC402" s="168">
        <f t="shared" si="175"/>
        <v>0</v>
      </c>
      <c r="AD402" s="177">
        <f t="shared" si="176"/>
        <v>0</v>
      </c>
      <c r="AE402" s="178">
        <v>11.05</v>
      </c>
      <c r="AF402" s="179">
        <f t="shared" si="177"/>
        <v>0</v>
      </c>
      <c r="AH402" s="180"/>
      <c r="AK402" s="1"/>
      <c r="AL402" s="1"/>
      <c r="AM402" s="1"/>
      <c r="AN402" s="1"/>
    </row>
    <row r="403" spans="1:40" ht="12.75" customHeight="1">
      <c r="A403" s="87"/>
      <c r="B403" s="185"/>
      <c r="C403" s="165"/>
      <c r="D403" s="165"/>
      <c r="E403" s="166"/>
      <c r="F403" s="165"/>
      <c r="G403" s="165"/>
      <c r="H403" s="165"/>
      <c r="I403" s="165"/>
      <c r="J403" s="166"/>
      <c r="K403" s="165"/>
      <c r="L403" s="165"/>
      <c r="M403" s="165"/>
      <c r="N403" s="165"/>
      <c r="O403" s="166"/>
      <c r="P403" s="166"/>
      <c r="Q403" s="522"/>
      <c r="R403" s="150"/>
      <c r="S403" s="186"/>
      <c r="T403" s="187"/>
      <c r="U403" s="187"/>
      <c r="V403" s="188"/>
      <c r="W403" s="187"/>
      <c r="X403" s="187"/>
      <c r="Y403" s="187"/>
      <c r="Z403" s="187"/>
      <c r="AA403" s="187"/>
      <c r="AB403" s="188"/>
      <c r="AC403" s="186"/>
      <c r="AD403" s="189"/>
      <c r="AE403" s="190"/>
      <c r="AF403" s="191"/>
      <c r="AH403" s="180"/>
      <c r="AK403" s="1"/>
      <c r="AL403" s="1"/>
      <c r="AM403" s="1"/>
      <c r="AN403" s="1"/>
    </row>
    <row r="404" spans="1:40" ht="12.75" customHeight="1">
      <c r="A404" s="87"/>
      <c r="B404" s="192" t="s">
        <v>794</v>
      </c>
      <c r="C404" s="193" t="s">
        <v>55</v>
      </c>
      <c r="D404" s="193" t="s">
        <v>64</v>
      </c>
      <c r="E404" s="194">
        <v>10</v>
      </c>
      <c r="F404" s="193"/>
      <c r="G404" s="193"/>
      <c r="H404" s="193" t="s">
        <v>121</v>
      </c>
      <c r="I404" s="193" t="s">
        <v>37</v>
      </c>
      <c r="J404" s="194">
        <v>10</v>
      </c>
      <c r="K404" s="193"/>
      <c r="L404" s="193"/>
      <c r="M404" s="193" t="s">
        <v>37</v>
      </c>
      <c r="N404" s="193" t="s">
        <v>49</v>
      </c>
      <c r="O404" s="194">
        <v>10</v>
      </c>
      <c r="P404" s="194" t="s">
        <v>795</v>
      </c>
      <c r="Q404" s="521">
        <f>R404*(1-Bolts!$E$1179)</f>
        <v>131.9</v>
      </c>
      <c r="R404" s="150">
        <v>131.9</v>
      </c>
      <c r="S404" s="168">
        <f t="shared" ref="S404:S406" si="178">SUM(T404:AB404)</f>
        <v>0</v>
      </c>
      <c r="T404" s="211"/>
      <c r="U404" s="169"/>
      <c r="V404" s="170"/>
      <c r="W404" s="171"/>
      <c r="X404" s="172"/>
      <c r="Y404" s="173"/>
      <c r="Z404" s="174"/>
      <c r="AA404" s="175"/>
      <c r="AB404" s="176"/>
      <c r="AC404" s="168">
        <f t="shared" ref="AC404:AC406" si="179">S404*O404</f>
        <v>0</v>
      </c>
      <c r="AD404" s="177">
        <f t="shared" ref="AD404:AD406" si="180">S404*R404</f>
        <v>0</v>
      </c>
      <c r="AE404" s="178">
        <v>4.74</v>
      </c>
      <c r="AF404" s="179">
        <f t="shared" ref="AF404:AF406" si="181">AE404*S404</f>
        <v>0</v>
      </c>
      <c r="AH404" s="180"/>
      <c r="AK404" s="1"/>
      <c r="AL404" s="1"/>
      <c r="AM404" s="1"/>
      <c r="AN404" s="1"/>
    </row>
    <row r="405" spans="1:40" ht="12.75" customHeight="1">
      <c r="A405" s="87"/>
      <c r="B405" s="192" t="s">
        <v>796</v>
      </c>
      <c r="C405" s="193" t="s">
        <v>55</v>
      </c>
      <c r="D405" s="193" t="s">
        <v>64</v>
      </c>
      <c r="E405" s="194">
        <v>10</v>
      </c>
      <c r="F405" s="193"/>
      <c r="G405" s="193"/>
      <c r="H405" s="193" t="s">
        <v>121</v>
      </c>
      <c r="I405" s="193" t="s">
        <v>37</v>
      </c>
      <c r="J405" s="194">
        <v>10</v>
      </c>
      <c r="K405" s="193"/>
      <c r="L405" s="193"/>
      <c r="M405" s="193" t="s">
        <v>37</v>
      </c>
      <c r="N405" s="193" t="s">
        <v>49</v>
      </c>
      <c r="O405" s="194">
        <v>10</v>
      </c>
      <c r="P405" s="194" t="s">
        <v>797</v>
      </c>
      <c r="Q405" s="521">
        <f>R405*(1-Bolts!$E$1179)</f>
        <v>144.9</v>
      </c>
      <c r="R405" s="150">
        <v>144.9</v>
      </c>
      <c r="S405" s="168">
        <f t="shared" si="178"/>
        <v>0</v>
      </c>
      <c r="T405" s="211"/>
      <c r="U405" s="169"/>
      <c r="V405" s="170"/>
      <c r="W405" s="171"/>
      <c r="X405" s="172"/>
      <c r="Y405" s="173"/>
      <c r="Z405" s="174"/>
      <c r="AA405" s="175"/>
      <c r="AB405" s="176"/>
      <c r="AC405" s="168">
        <f t="shared" si="179"/>
        <v>0</v>
      </c>
      <c r="AD405" s="177">
        <f t="shared" si="180"/>
        <v>0</v>
      </c>
      <c r="AE405" s="178">
        <v>5.5</v>
      </c>
      <c r="AF405" s="179">
        <f t="shared" si="181"/>
        <v>0</v>
      </c>
      <c r="AH405" s="180"/>
      <c r="AK405" s="1"/>
      <c r="AL405" s="1"/>
      <c r="AM405" s="1"/>
      <c r="AN405" s="1"/>
    </row>
    <row r="406" spans="1:40" ht="12.75" customHeight="1">
      <c r="A406" s="87"/>
      <c r="B406" s="192" t="s">
        <v>798</v>
      </c>
      <c r="C406" s="193" t="s">
        <v>52</v>
      </c>
      <c r="D406" s="193" t="s">
        <v>64</v>
      </c>
      <c r="E406" s="194">
        <v>10</v>
      </c>
      <c r="F406" s="193"/>
      <c r="G406" s="193"/>
      <c r="H406" s="193" t="s">
        <v>121</v>
      </c>
      <c r="I406" s="193" t="s">
        <v>32</v>
      </c>
      <c r="J406" s="194">
        <v>10</v>
      </c>
      <c r="K406" s="193"/>
      <c r="L406" s="193"/>
      <c r="M406" s="193" t="s">
        <v>32</v>
      </c>
      <c r="N406" s="193" t="s">
        <v>49</v>
      </c>
      <c r="O406" s="194">
        <v>10</v>
      </c>
      <c r="P406" s="194" t="s">
        <v>799</v>
      </c>
      <c r="Q406" s="521">
        <f>R406*(1-Bolts!$E$1179)</f>
        <v>119.5</v>
      </c>
      <c r="R406" s="150">
        <v>119.5</v>
      </c>
      <c r="S406" s="168">
        <f t="shared" si="178"/>
        <v>0</v>
      </c>
      <c r="T406" s="211"/>
      <c r="U406" s="169"/>
      <c r="V406" s="170"/>
      <c r="W406" s="171"/>
      <c r="X406" s="172"/>
      <c r="Y406" s="173"/>
      <c r="Z406" s="174"/>
      <c r="AA406" s="175"/>
      <c r="AB406" s="176"/>
      <c r="AC406" s="168">
        <f t="shared" si="179"/>
        <v>0</v>
      </c>
      <c r="AD406" s="177">
        <f t="shared" si="180"/>
        <v>0</v>
      </c>
      <c r="AE406" s="178">
        <v>4.0199999999999996</v>
      </c>
      <c r="AF406" s="179">
        <f t="shared" si="181"/>
        <v>0</v>
      </c>
      <c r="AH406" s="180"/>
      <c r="AK406" s="1"/>
      <c r="AL406" s="1"/>
      <c r="AM406" s="1"/>
      <c r="AN406" s="1"/>
    </row>
    <row r="407" spans="1:40" ht="12.75" customHeight="1">
      <c r="A407" s="87"/>
      <c r="B407" s="185"/>
      <c r="C407" s="165"/>
      <c r="D407" s="165"/>
      <c r="E407" s="166"/>
      <c r="F407" s="165"/>
      <c r="G407" s="165"/>
      <c r="H407" s="165"/>
      <c r="I407" s="165"/>
      <c r="J407" s="166"/>
      <c r="K407" s="165"/>
      <c r="L407" s="165"/>
      <c r="M407" s="165"/>
      <c r="N407" s="165"/>
      <c r="O407" s="166"/>
      <c r="P407" s="166"/>
      <c r="Q407" s="522"/>
      <c r="R407" s="150"/>
      <c r="S407" s="186"/>
      <c r="T407" s="187"/>
      <c r="U407" s="187"/>
      <c r="V407" s="188"/>
      <c r="W407" s="187"/>
      <c r="X407" s="187"/>
      <c r="Y407" s="187"/>
      <c r="Z407" s="187"/>
      <c r="AA407" s="187"/>
      <c r="AB407" s="188"/>
      <c r="AC407" s="186"/>
      <c r="AD407" s="189"/>
      <c r="AE407" s="190"/>
      <c r="AF407" s="191"/>
      <c r="AH407" s="180"/>
      <c r="AK407" s="1"/>
      <c r="AL407" s="1"/>
      <c r="AM407" s="1"/>
      <c r="AN407" s="1"/>
    </row>
    <row r="408" spans="1:40" ht="12.75" customHeight="1">
      <c r="A408" s="87"/>
      <c r="B408" s="192" t="s">
        <v>800</v>
      </c>
      <c r="C408" s="193" t="s">
        <v>52</v>
      </c>
      <c r="D408" s="193" t="s">
        <v>65</v>
      </c>
      <c r="E408" s="194">
        <v>20</v>
      </c>
      <c r="F408" s="193"/>
      <c r="G408" s="193"/>
      <c r="H408" s="193" t="s">
        <v>121</v>
      </c>
      <c r="I408" s="193" t="s">
        <v>39</v>
      </c>
      <c r="J408" s="194">
        <v>20</v>
      </c>
      <c r="K408" s="193"/>
      <c r="L408" s="193"/>
      <c r="M408" s="193" t="s">
        <v>39</v>
      </c>
      <c r="N408" s="193" t="s">
        <v>48</v>
      </c>
      <c r="O408" s="194">
        <v>20</v>
      </c>
      <c r="P408" s="194" t="s">
        <v>801</v>
      </c>
      <c r="Q408" s="521">
        <f>R408*(1-Bolts!$E$1179)</f>
        <v>179.5</v>
      </c>
      <c r="R408" s="150">
        <v>179.5</v>
      </c>
      <c r="S408" s="168">
        <f>SUM(T408:AB408)</f>
        <v>0</v>
      </c>
      <c r="T408" s="211"/>
      <c r="U408" s="169"/>
      <c r="V408" s="170"/>
      <c r="W408" s="171"/>
      <c r="X408" s="172"/>
      <c r="Y408" s="173"/>
      <c r="Z408" s="174"/>
      <c r="AA408" s="175"/>
      <c r="AB408" s="176"/>
      <c r="AC408" s="168">
        <f>S408*O408</f>
        <v>0</v>
      </c>
      <c r="AD408" s="177">
        <f>S408*R408</f>
        <v>0</v>
      </c>
      <c r="AE408" s="178">
        <v>6.13</v>
      </c>
      <c r="AF408" s="179">
        <f>AE408*S408</f>
        <v>0</v>
      </c>
      <c r="AH408" s="180"/>
      <c r="AK408" s="1"/>
      <c r="AL408" s="1"/>
      <c r="AM408" s="1"/>
      <c r="AN408" s="1"/>
    </row>
    <row r="409" spans="1:40" ht="12.75" customHeight="1">
      <c r="A409" s="138" t="s">
        <v>378</v>
      </c>
      <c r="B409" s="205" t="s">
        <v>802</v>
      </c>
      <c r="C409" s="206" t="str">
        <f>B409</f>
        <v>Dune and Lo Riders (more in Comp-X section below)</v>
      </c>
      <c r="D409" s="207"/>
      <c r="E409" s="207"/>
      <c r="F409" s="207"/>
      <c r="G409" s="207"/>
      <c r="H409" s="207" t="s">
        <v>121</v>
      </c>
      <c r="I409" s="207"/>
      <c r="J409" s="207"/>
      <c r="K409" s="207"/>
      <c r="L409" s="207"/>
      <c r="M409" s="207"/>
      <c r="N409" s="207"/>
      <c r="O409" s="207"/>
      <c r="P409" s="207"/>
      <c r="Q409" s="524"/>
      <c r="R409" s="150"/>
      <c r="S409" s="207"/>
      <c r="T409" s="207"/>
      <c r="U409" s="207"/>
      <c r="V409" s="207"/>
      <c r="W409" s="207"/>
      <c r="X409" s="207"/>
      <c r="Y409" s="207"/>
      <c r="Z409" s="207"/>
      <c r="AA409" s="207"/>
      <c r="AB409" s="207"/>
      <c r="AC409" s="207"/>
      <c r="AD409" s="207"/>
      <c r="AE409" s="207"/>
      <c r="AF409" s="208"/>
      <c r="AH409" s="180"/>
      <c r="AK409" s="1"/>
      <c r="AL409" s="1"/>
      <c r="AM409" s="1"/>
      <c r="AN409" s="1"/>
    </row>
    <row r="410" spans="1:40" ht="12.75" customHeight="1">
      <c r="A410" s="87"/>
      <c r="B410" s="192" t="s">
        <v>803</v>
      </c>
      <c r="C410" s="193" t="s">
        <v>55</v>
      </c>
      <c r="D410" s="193" t="s">
        <v>60</v>
      </c>
      <c r="E410" s="194">
        <v>2</v>
      </c>
      <c r="F410" s="193"/>
      <c r="G410" s="193"/>
      <c r="H410" s="193" t="s">
        <v>121</v>
      </c>
      <c r="I410" s="193" t="s">
        <v>28</v>
      </c>
      <c r="J410" s="194">
        <v>2</v>
      </c>
      <c r="K410" s="193"/>
      <c r="L410" s="193"/>
      <c r="M410" s="193" t="s">
        <v>28</v>
      </c>
      <c r="N410" s="193" t="s">
        <v>47</v>
      </c>
      <c r="O410" s="194">
        <v>2</v>
      </c>
      <c r="P410" s="194" t="s">
        <v>804</v>
      </c>
      <c r="Q410" s="521">
        <f>R410*(1-Bolts!$E$1179)</f>
        <v>429.1</v>
      </c>
      <c r="R410" s="150">
        <v>429.1</v>
      </c>
      <c r="S410" s="168">
        <f t="shared" ref="S410:S412" si="182">SUM(T410:AB410)</f>
        <v>0</v>
      </c>
      <c r="T410" s="211"/>
      <c r="U410" s="169"/>
      <c r="V410" s="170"/>
      <c r="W410" s="171"/>
      <c r="X410" s="172"/>
      <c r="Y410" s="173"/>
      <c r="Z410" s="174"/>
      <c r="AA410" s="175"/>
      <c r="AB410" s="176"/>
      <c r="AC410" s="168">
        <f t="shared" ref="AC410:AC412" si="183">S410*O410</f>
        <v>0</v>
      </c>
      <c r="AD410" s="177">
        <f t="shared" ref="AD410:AD412" si="184">S410*R410</f>
        <v>0</v>
      </c>
      <c r="AE410" s="178">
        <v>20.03</v>
      </c>
      <c r="AF410" s="179">
        <f t="shared" ref="AF410:AF412" si="185">AE410*S410</f>
        <v>0</v>
      </c>
      <c r="AH410" s="209"/>
      <c r="AK410" s="1"/>
      <c r="AL410" s="1"/>
      <c r="AM410" s="1"/>
      <c r="AN410" s="1"/>
    </row>
    <row r="411" spans="1:40" ht="12.75" customHeight="1">
      <c r="A411" s="181"/>
      <c r="B411" s="195" t="s">
        <v>805</v>
      </c>
      <c r="C411" s="196" t="s">
        <v>55</v>
      </c>
      <c r="D411" s="196" t="s">
        <v>60</v>
      </c>
      <c r="E411" s="197">
        <v>1</v>
      </c>
      <c r="F411" s="196"/>
      <c r="G411" s="196"/>
      <c r="H411" s="196" t="s">
        <v>121</v>
      </c>
      <c r="I411" s="196" t="s">
        <v>28</v>
      </c>
      <c r="J411" s="197">
        <v>1</v>
      </c>
      <c r="K411" s="196"/>
      <c r="L411" s="196"/>
      <c r="M411" s="196" t="s">
        <v>28</v>
      </c>
      <c r="N411" s="196" t="s">
        <v>47</v>
      </c>
      <c r="O411" s="197">
        <v>1</v>
      </c>
      <c r="P411" s="197" t="s">
        <v>806</v>
      </c>
      <c r="Q411" s="523">
        <f>R411*(1-Bolts!$E$1179)</f>
        <v>210.7</v>
      </c>
      <c r="R411" s="150">
        <v>210.7</v>
      </c>
      <c r="S411" s="198">
        <f t="shared" si="182"/>
        <v>0</v>
      </c>
      <c r="T411" s="199"/>
      <c r="U411" s="199"/>
      <c r="V411" s="200"/>
      <c r="W411" s="199"/>
      <c r="X411" s="199"/>
      <c r="Y411" s="199"/>
      <c r="Z411" s="199"/>
      <c r="AA411" s="199"/>
      <c r="AB411" s="199"/>
      <c r="AC411" s="198">
        <f t="shared" si="183"/>
        <v>0</v>
      </c>
      <c r="AD411" s="177">
        <f t="shared" si="184"/>
        <v>0</v>
      </c>
      <c r="AE411" s="201">
        <v>9.1</v>
      </c>
      <c r="AF411" s="202">
        <f t="shared" si="185"/>
        <v>0</v>
      </c>
      <c r="AH411" s="180"/>
      <c r="AK411" s="1"/>
      <c r="AL411" s="1"/>
      <c r="AM411" s="1"/>
      <c r="AN411" s="1"/>
    </row>
    <row r="412" spans="1:40" ht="12.75" customHeight="1">
      <c r="A412" s="181"/>
      <c r="B412" s="195" t="s">
        <v>807</v>
      </c>
      <c r="C412" s="196" t="s">
        <v>55</v>
      </c>
      <c r="D412" s="196" t="s">
        <v>60</v>
      </c>
      <c r="E412" s="197">
        <v>1</v>
      </c>
      <c r="F412" s="196"/>
      <c r="G412" s="196"/>
      <c r="H412" s="196" t="s">
        <v>121</v>
      </c>
      <c r="I412" s="196" t="s">
        <v>28</v>
      </c>
      <c r="J412" s="197">
        <v>1</v>
      </c>
      <c r="K412" s="196"/>
      <c r="L412" s="196"/>
      <c r="M412" s="196" t="s">
        <v>28</v>
      </c>
      <c r="N412" s="196" t="s">
        <v>47</v>
      </c>
      <c r="O412" s="197">
        <v>1</v>
      </c>
      <c r="P412" s="197" t="s">
        <v>808</v>
      </c>
      <c r="Q412" s="523">
        <f>R412*(1-Bolts!$E$1179)</f>
        <v>247.7</v>
      </c>
      <c r="R412" s="150">
        <v>247.7</v>
      </c>
      <c r="S412" s="198">
        <f t="shared" si="182"/>
        <v>0</v>
      </c>
      <c r="T412" s="199"/>
      <c r="U412" s="199"/>
      <c r="V412" s="200"/>
      <c r="W412" s="199"/>
      <c r="X412" s="199"/>
      <c r="Y412" s="199"/>
      <c r="Z412" s="199"/>
      <c r="AA412" s="199"/>
      <c r="AB412" s="199"/>
      <c r="AC412" s="198">
        <f t="shared" si="183"/>
        <v>0</v>
      </c>
      <c r="AD412" s="177">
        <f t="shared" si="184"/>
        <v>0</v>
      </c>
      <c r="AE412" s="201">
        <v>11.2</v>
      </c>
      <c r="AF412" s="202">
        <f t="shared" si="185"/>
        <v>0</v>
      </c>
      <c r="AH412" s="180"/>
      <c r="AK412" s="1"/>
      <c r="AL412" s="1"/>
      <c r="AM412" s="1"/>
      <c r="AN412" s="1"/>
    </row>
    <row r="413" spans="1:40" ht="12.75" customHeight="1">
      <c r="A413" s="87"/>
      <c r="B413" s="185"/>
      <c r="C413" s="165"/>
      <c r="D413" s="165"/>
      <c r="E413" s="166"/>
      <c r="F413" s="165"/>
      <c r="G413" s="165"/>
      <c r="H413" s="165"/>
      <c r="I413" s="165"/>
      <c r="J413" s="166"/>
      <c r="K413" s="165"/>
      <c r="L413" s="165"/>
      <c r="M413" s="165"/>
      <c r="N413" s="165"/>
      <c r="O413" s="166"/>
      <c r="P413" s="166"/>
      <c r="Q413" s="522"/>
      <c r="R413" s="150"/>
      <c r="S413" s="186"/>
      <c r="T413" s="187"/>
      <c r="U413" s="187"/>
      <c r="V413" s="188"/>
      <c r="W413" s="187"/>
      <c r="X413" s="187"/>
      <c r="Y413" s="187"/>
      <c r="Z413" s="187"/>
      <c r="AA413" s="187"/>
      <c r="AB413" s="188"/>
      <c r="AC413" s="186"/>
      <c r="AD413" s="189"/>
      <c r="AE413" s="190"/>
      <c r="AF413" s="191"/>
      <c r="AH413" s="180"/>
      <c r="AK413" s="1"/>
      <c r="AL413" s="1"/>
      <c r="AM413" s="1"/>
      <c r="AN413" s="1"/>
    </row>
    <row r="414" spans="1:40" ht="12.75" customHeight="1">
      <c r="A414" s="181"/>
      <c r="B414" s="192" t="s">
        <v>809</v>
      </c>
      <c r="C414" s="193" t="s">
        <v>55</v>
      </c>
      <c r="D414" s="193" t="s">
        <v>61</v>
      </c>
      <c r="E414" s="194">
        <v>4</v>
      </c>
      <c r="F414" s="193"/>
      <c r="G414" s="193"/>
      <c r="H414" s="193" t="s">
        <v>121</v>
      </c>
      <c r="I414" s="193" t="s">
        <v>28</v>
      </c>
      <c r="J414" s="194">
        <v>4</v>
      </c>
      <c r="K414" s="193"/>
      <c r="L414" s="193"/>
      <c r="M414" s="193" t="s">
        <v>28</v>
      </c>
      <c r="N414" s="193" t="s">
        <v>48</v>
      </c>
      <c r="O414" s="194">
        <v>4</v>
      </c>
      <c r="P414" s="194" t="s">
        <v>810</v>
      </c>
      <c r="Q414" s="521">
        <f>R414*(1-Bolts!$E$1179)</f>
        <v>530.1</v>
      </c>
      <c r="R414" s="150">
        <v>530.1</v>
      </c>
      <c r="S414" s="168">
        <f t="shared" ref="S414:S415" si="186">SUM(T414:AB414)</f>
        <v>0</v>
      </c>
      <c r="T414" s="211"/>
      <c r="U414" s="169"/>
      <c r="V414" s="170"/>
      <c r="W414" s="171"/>
      <c r="X414" s="172"/>
      <c r="Y414" s="173"/>
      <c r="Z414" s="174"/>
      <c r="AA414" s="175"/>
      <c r="AB414" s="176"/>
      <c r="AC414" s="168">
        <f t="shared" ref="AC414:AC415" si="187">S414*O414</f>
        <v>0</v>
      </c>
      <c r="AD414" s="177">
        <f t="shared" ref="AD414:AD415" si="188">S414*R414</f>
        <v>0</v>
      </c>
      <c r="AE414" s="178">
        <v>26.8</v>
      </c>
      <c r="AF414" s="179">
        <f t="shared" ref="AF414:AF415" si="189">AE414*S414</f>
        <v>0</v>
      </c>
      <c r="AH414" s="180"/>
      <c r="AK414" s="1"/>
      <c r="AL414" s="1"/>
      <c r="AM414" s="1"/>
      <c r="AN414" s="1"/>
    </row>
    <row r="415" spans="1:40" ht="12.75" customHeight="1">
      <c r="A415" s="181"/>
      <c r="B415" s="192" t="s">
        <v>811</v>
      </c>
      <c r="C415" s="193" t="s">
        <v>55</v>
      </c>
      <c r="D415" s="193" t="s">
        <v>61</v>
      </c>
      <c r="E415" s="194">
        <v>4</v>
      </c>
      <c r="F415" s="193"/>
      <c r="G415" s="193"/>
      <c r="H415" s="193" t="s">
        <v>121</v>
      </c>
      <c r="I415" s="193" t="s">
        <v>29</v>
      </c>
      <c r="J415" s="194">
        <v>4</v>
      </c>
      <c r="K415" s="193"/>
      <c r="L415" s="193"/>
      <c r="M415" s="193" t="s">
        <v>29</v>
      </c>
      <c r="N415" s="193" t="s">
        <v>47</v>
      </c>
      <c r="O415" s="194">
        <v>4</v>
      </c>
      <c r="P415" s="194" t="s">
        <v>812</v>
      </c>
      <c r="Q415" s="521">
        <f>R415*(1-Bolts!$E$1179)</f>
        <v>533.70000000000005</v>
      </c>
      <c r="R415" s="150">
        <v>533.70000000000005</v>
      </c>
      <c r="S415" s="168">
        <f t="shared" si="186"/>
        <v>0</v>
      </c>
      <c r="T415" s="211"/>
      <c r="U415" s="169"/>
      <c r="V415" s="170"/>
      <c r="W415" s="171"/>
      <c r="X415" s="172"/>
      <c r="Y415" s="173"/>
      <c r="Z415" s="174"/>
      <c r="AA415" s="175"/>
      <c r="AB415" s="176"/>
      <c r="AC415" s="168">
        <f t="shared" si="187"/>
        <v>0</v>
      </c>
      <c r="AD415" s="177">
        <f t="shared" si="188"/>
        <v>0</v>
      </c>
      <c r="AE415" s="178">
        <v>27.55</v>
      </c>
      <c r="AF415" s="179">
        <f t="shared" si="189"/>
        <v>0</v>
      </c>
      <c r="AH415" s="180"/>
      <c r="AK415" s="1"/>
      <c r="AL415" s="1"/>
      <c r="AM415" s="1"/>
      <c r="AN415" s="1"/>
    </row>
    <row r="416" spans="1:40" ht="12.75" customHeight="1">
      <c r="A416" s="87"/>
      <c r="B416" s="185"/>
      <c r="C416" s="165"/>
      <c r="D416" s="165"/>
      <c r="E416" s="166"/>
      <c r="F416" s="165"/>
      <c r="G416" s="165"/>
      <c r="H416" s="165"/>
      <c r="I416" s="165"/>
      <c r="J416" s="166"/>
      <c r="K416" s="165"/>
      <c r="L416" s="165"/>
      <c r="M416" s="165"/>
      <c r="N416" s="165"/>
      <c r="O416" s="166"/>
      <c r="P416" s="166"/>
      <c r="Q416" s="522"/>
      <c r="R416" s="150"/>
      <c r="S416" s="186"/>
      <c r="T416" s="187"/>
      <c r="U416" s="187"/>
      <c r="V416" s="188"/>
      <c r="W416" s="187"/>
      <c r="X416" s="187"/>
      <c r="Y416" s="187"/>
      <c r="Z416" s="187"/>
      <c r="AA416" s="187"/>
      <c r="AB416" s="188"/>
      <c r="AC416" s="186"/>
      <c r="AD416" s="189"/>
      <c r="AE416" s="190"/>
      <c r="AF416" s="191"/>
      <c r="AH416" s="180"/>
      <c r="AK416" s="1"/>
      <c r="AL416" s="1"/>
      <c r="AM416" s="1"/>
      <c r="AN416" s="1"/>
    </row>
    <row r="417" spans="1:40" ht="12.75" customHeight="1">
      <c r="A417" s="181"/>
      <c r="B417" s="192" t="s">
        <v>813</v>
      </c>
      <c r="C417" s="193" t="s">
        <v>55</v>
      </c>
      <c r="D417" s="193" t="s">
        <v>62</v>
      </c>
      <c r="E417" s="194">
        <v>4</v>
      </c>
      <c r="F417" s="193"/>
      <c r="G417" s="193"/>
      <c r="H417" s="193" t="s">
        <v>121</v>
      </c>
      <c r="I417" s="193" t="s">
        <v>29</v>
      </c>
      <c r="J417" s="194">
        <v>4</v>
      </c>
      <c r="K417" s="193"/>
      <c r="L417" s="193"/>
      <c r="M417" s="193" t="s">
        <v>29</v>
      </c>
      <c r="N417" s="193" t="s">
        <v>47</v>
      </c>
      <c r="O417" s="194">
        <v>4</v>
      </c>
      <c r="P417" s="194" t="s">
        <v>814</v>
      </c>
      <c r="Q417" s="521">
        <f>R417*(1-Bolts!$E$1179)</f>
        <v>354.9</v>
      </c>
      <c r="R417" s="150">
        <v>354.9</v>
      </c>
      <c r="S417" s="168">
        <f t="shared" ref="S417:S419" si="190">SUM(T417:AB417)</f>
        <v>0</v>
      </c>
      <c r="T417" s="211"/>
      <c r="U417" s="169"/>
      <c r="V417" s="170"/>
      <c r="W417" s="171"/>
      <c r="X417" s="172"/>
      <c r="Y417" s="173"/>
      <c r="Z417" s="174"/>
      <c r="AA417" s="175"/>
      <c r="AB417" s="176"/>
      <c r="AC417" s="168">
        <f t="shared" ref="AC417:AC419" si="191">S417*O417</f>
        <v>0</v>
      </c>
      <c r="AD417" s="177">
        <f t="shared" ref="AD417:AD419" si="192">S417*R417</f>
        <v>0</v>
      </c>
      <c r="AE417" s="178">
        <v>16.850000000000001</v>
      </c>
      <c r="AF417" s="179">
        <f t="shared" ref="AF417:AF419" si="193">AE417*S417</f>
        <v>0</v>
      </c>
      <c r="AH417" s="180"/>
      <c r="AK417" s="1"/>
      <c r="AL417" s="1"/>
      <c r="AM417" s="1"/>
      <c r="AN417" s="1"/>
    </row>
    <row r="418" spans="1:40" ht="12.75" customHeight="1">
      <c r="A418" s="181"/>
      <c r="B418" s="192" t="s">
        <v>815</v>
      </c>
      <c r="C418" s="193" t="s">
        <v>55</v>
      </c>
      <c r="D418" s="193" t="s">
        <v>62</v>
      </c>
      <c r="E418" s="194">
        <v>4</v>
      </c>
      <c r="F418" s="193"/>
      <c r="G418" s="193"/>
      <c r="H418" s="193" t="s">
        <v>121</v>
      </c>
      <c r="I418" s="193" t="s">
        <v>29</v>
      </c>
      <c r="J418" s="194">
        <v>4</v>
      </c>
      <c r="K418" s="193"/>
      <c r="L418" s="193"/>
      <c r="M418" s="193" t="s">
        <v>29</v>
      </c>
      <c r="N418" s="193" t="s">
        <v>47</v>
      </c>
      <c r="O418" s="194">
        <v>4</v>
      </c>
      <c r="P418" s="194" t="s">
        <v>816</v>
      </c>
      <c r="Q418" s="521">
        <f>R418*(1-Bolts!$E$1179)</f>
        <v>217</v>
      </c>
      <c r="R418" s="150">
        <v>217</v>
      </c>
      <c r="S418" s="168">
        <f t="shared" si="190"/>
        <v>0</v>
      </c>
      <c r="T418" s="211"/>
      <c r="U418" s="169"/>
      <c r="V418" s="170"/>
      <c r="W418" s="171"/>
      <c r="X418" s="172"/>
      <c r="Y418" s="173"/>
      <c r="Z418" s="174"/>
      <c r="AA418" s="175"/>
      <c r="AB418" s="176"/>
      <c r="AC418" s="168">
        <f t="shared" si="191"/>
        <v>0</v>
      </c>
      <c r="AD418" s="177">
        <f t="shared" si="192"/>
        <v>0</v>
      </c>
      <c r="AE418" s="178">
        <v>9.65</v>
      </c>
      <c r="AF418" s="179">
        <f t="shared" si="193"/>
        <v>0</v>
      </c>
      <c r="AH418" s="180"/>
      <c r="AK418" s="1"/>
      <c r="AL418" s="1"/>
      <c r="AM418" s="1"/>
      <c r="AN418" s="1"/>
    </row>
    <row r="419" spans="1:40" ht="12.75" customHeight="1">
      <c r="A419" s="181"/>
      <c r="B419" s="192" t="s">
        <v>817</v>
      </c>
      <c r="C419" s="193" t="s">
        <v>55</v>
      </c>
      <c r="D419" s="193" t="s">
        <v>62</v>
      </c>
      <c r="E419" s="194">
        <v>5</v>
      </c>
      <c r="F419" s="193"/>
      <c r="G419" s="193"/>
      <c r="H419" s="193" t="s">
        <v>121</v>
      </c>
      <c r="I419" s="193" t="s">
        <v>35</v>
      </c>
      <c r="J419" s="194">
        <v>5</v>
      </c>
      <c r="K419" s="193"/>
      <c r="L419" s="193"/>
      <c r="M419" s="193" t="s">
        <v>35</v>
      </c>
      <c r="N419" s="193" t="s">
        <v>48</v>
      </c>
      <c r="O419" s="194">
        <v>5</v>
      </c>
      <c r="P419" s="194" t="s">
        <v>818</v>
      </c>
      <c r="Q419" s="521">
        <f>R419*(1-Bolts!$E$1179)</f>
        <v>246.5</v>
      </c>
      <c r="R419" s="150">
        <v>246.5</v>
      </c>
      <c r="S419" s="168">
        <f t="shared" si="190"/>
        <v>0</v>
      </c>
      <c r="T419" s="211"/>
      <c r="U419" s="169"/>
      <c r="V419" s="170"/>
      <c r="W419" s="171"/>
      <c r="X419" s="172"/>
      <c r="Y419" s="173"/>
      <c r="Z419" s="174"/>
      <c r="AA419" s="175"/>
      <c r="AB419" s="176"/>
      <c r="AC419" s="168">
        <f t="shared" si="191"/>
        <v>0</v>
      </c>
      <c r="AD419" s="177">
        <f t="shared" si="192"/>
        <v>0</v>
      </c>
      <c r="AE419" s="178">
        <v>10.85</v>
      </c>
      <c r="AF419" s="179">
        <f t="shared" si="193"/>
        <v>0</v>
      </c>
      <c r="AH419" s="180"/>
      <c r="AK419" s="1"/>
      <c r="AL419" s="1"/>
      <c r="AM419" s="1"/>
      <c r="AN419" s="1"/>
    </row>
    <row r="420" spans="1:40" ht="12.75" customHeight="1">
      <c r="A420" s="87"/>
      <c r="B420" s="185"/>
      <c r="C420" s="165"/>
      <c r="D420" s="165"/>
      <c r="E420" s="166"/>
      <c r="F420" s="165"/>
      <c r="G420" s="165"/>
      <c r="H420" s="165"/>
      <c r="I420" s="165"/>
      <c r="J420" s="166"/>
      <c r="K420" s="165"/>
      <c r="L420" s="165"/>
      <c r="M420" s="165"/>
      <c r="N420" s="165"/>
      <c r="O420" s="166"/>
      <c r="P420" s="166"/>
      <c r="Q420" s="522"/>
      <c r="R420" s="150"/>
      <c r="S420" s="186"/>
      <c r="T420" s="187"/>
      <c r="U420" s="187"/>
      <c r="V420" s="188"/>
      <c r="W420" s="187"/>
      <c r="X420" s="187"/>
      <c r="Y420" s="187"/>
      <c r="Z420" s="187"/>
      <c r="AA420" s="187"/>
      <c r="AB420" s="188"/>
      <c r="AC420" s="186"/>
      <c r="AD420" s="189"/>
      <c r="AE420" s="190"/>
      <c r="AF420" s="191"/>
      <c r="AH420" s="180"/>
      <c r="AK420" s="1"/>
      <c r="AL420" s="1"/>
      <c r="AM420" s="1"/>
      <c r="AN420" s="1"/>
    </row>
    <row r="421" spans="1:40" ht="12.75" customHeight="1">
      <c r="A421" s="181"/>
      <c r="B421" s="192" t="s">
        <v>819</v>
      </c>
      <c r="C421" s="193" t="s">
        <v>55</v>
      </c>
      <c r="D421" s="193" t="s">
        <v>63</v>
      </c>
      <c r="E421" s="194">
        <v>5</v>
      </c>
      <c r="F421" s="193"/>
      <c r="G421" s="193"/>
      <c r="H421" s="193" t="s">
        <v>121</v>
      </c>
      <c r="I421" s="193" t="s">
        <v>35</v>
      </c>
      <c r="J421" s="194">
        <v>5</v>
      </c>
      <c r="K421" s="193"/>
      <c r="L421" s="193"/>
      <c r="M421" s="193" t="s">
        <v>35</v>
      </c>
      <c r="N421" s="193" t="s">
        <v>48</v>
      </c>
      <c r="O421" s="194">
        <v>5</v>
      </c>
      <c r="P421" s="194" t="s">
        <v>820</v>
      </c>
      <c r="Q421" s="521">
        <f>R421*(1-Bolts!$E$1179)</f>
        <v>189.2</v>
      </c>
      <c r="R421" s="150">
        <v>189.2</v>
      </c>
      <c r="S421" s="168">
        <f t="shared" ref="S421:S423" si="194">SUM(T421:AB421)</f>
        <v>0</v>
      </c>
      <c r="T421" s="211"/>
      <c r="U421" s="169"/>
      <c r="V421" s="170"/>
      <c r="W421" s="171"/>
      <c r="X421" s="172"/>
      <c r="Y421" s="173"/>
      <c r="Z421" s="174"/>
      <c r="AA421" s="175"/>
      <c r="AB421" s="176"/>
      <c r="AC421" s="168">
        <f t="shared" ref="AC421:AC423" si="195">S421*O421</f>
        <v>0</v>
      </c>
      <c r="AD421" s="177">
        <f t="shared" ref="AD421:AD423" si="196">S421*R421</f>
        <v>0</v>
      </c>
      <c r="AE421" s="178">
        <v>7.75</v>
      </c>
      <c r="AF421" s="179">
        <f t="shared" ref="AF421:AF423" si="197">AE421*S421</f>
        <v>0</v>
      </c>
      <c r="AH421" s="180"/>
      <c r="AK421" s="1"/>
      <c r="AL421" s="1"/>
      <c r="AM421" s="1"/>
      <c r="AN421" s="1"/>
    </row>
    <row r="422" spans="1:40" ht="12.75" customHeight="1">
      <c r="A422" s="181"/>
      <c r="B422" s="192" t="s">
        <v>821</v>
      </c>
      <c r="C422" s="193" t="s">
        <v>55</v>
      </c>
      <c r="D422" s="193" t="s">
        <v>63</v>
      </c>
      <c r="E422" s="194">
        <v>5</v>
      </c>
      <c r="F422" s="193"/>
      <c r="G422" s="193"/>
      <c r="H422" s="193" t="s">
        <v>121</v>
      </c>
      <c r="I422" s="193" t="s">
        <v>29</v>
      </c>
      <c r="J422" s="194">
        <v>5</v>
      </c>
      <c r="K422" s="193"/>
      <c r="L422" s="193"/>
      <c r="M422" s="193" t="s">
        <v>29</v>
      </c>
      <c r="N422" s="193" t="s">
        <v>47</v>
      </c>
      <c r="O422" s="194">
        <v>5</v>
      </c>
      <c r="P422" s="194" t="s">
        <v>822</v>
      </c>
      <c r="Q422" s="521">
        <f>R422*(1-Bolts!$E$1179)</f>
        <v>152.1</v>
      </c>
      <c r="R422" s="150">
        <v>152.1</v>
      </c>
      <c r="S422" s="168">
        <f t="shared" si="194"/>
        <v>0</v>
      </c>
      <c r="T422" s="211"/>
      <c r="U422" s="169"/>
      <c r="V422" s="170"/>
      <c r="W422" s="171"/>
      <c r="X422" s="172"/>
      <c r="Y422" s="173"/>
      <c r="Z422" s="174"/>
      <c r="AA422" s="175"/>
      <c r="AB422" s="176"/>
      <c r="AC422" s="168">
        <f t="shared" si="195"/>
        <v>0</v>
      </c>
      <c r="AD422" s="177">
        <f t="shared" si="196"/>
        <v>0</v>
      </c>
      <c r="AE422" s="178">
        <v>4.8499999999999996</v>
      </c>
      <c r="AF422" s="179">
        <f t="shared" si="197"/>
        <v>0</v>
      </c>
      <c r="AH422" s="180"/>
      <c r="AK422" s="1"/>
      <c r="AL422" s="1"/>
      <c r="AM422" s="1"/>
      <c r="AN422" s="1"/>
    </row>
    <row r="423" spans="1:40" ht="12.75" customHeight="1">
      <c r="A423" s="181"/>
      <c r="B423" s="192" t="s">
        <v>823</v>
      </c>
      <c r="C423" s="193" t="s">
        <v>55</v>
      </c>
      <c r="D423" s="193" t="s">
        <v>63</v>
      </c>
      <c r="E423" s="194">
        <v>5</v>
      </c>
      <c r="F423" s="193"/>
      <c r="G423" s="193"/>
      <c r="H423" s="193" t="s">
        <v>121</v>
      </c>
      <c r="I423" s="193" t="s">
        <v>29</v>
      </c>
      <c r="J423" s="194">
        <v>5</v>
      </c>
      <c r="K423" s="193"/>
      <c r="L423" s="193"/>
      <c r="M423" s="193" t="s">
        <v>29</v>
      </c>
      <c r="N423" s="193" t="s">
        <v>47</v>
      </c>
      <c r="O423" s="194">
        <v>5</v>
      </c>
      <c r="P423" s="194" t="s">
        <v>824</v>
      </c>
      <c r="Q423" s="521">
        <f>R423*(1-Bolts!$E$1179)</f>
        <v>152.1</v>
      </c>
      <c r="R423" s="150">
        <v>152.1</v>
      </c>
      <c r="S423" s="168">
        <f t="shared" si="194"/>
        <v>0</v>
      </c>
      <c r="T423" s="211"/>
      <c r="U423" s="169"/>
      <c r="V423" s="170"/>
      <c r="W423" s="171"/>
      <c r="X423" s="172"/>
      <c r="Y423" s="173"/>
      <c r="Z423" s="174"/>
      <c r="AA423" s="175"/>
      <c r="AB423" s="176"/>
      <c r="AC423" s="168">
        <f t="shared" si="195"/>
        <v>0</v>
      </c>
      <c r="AD423" s="177">
        <f t="shared" si="196"/>
        <v>0</v>
      </c>
      <c r="AE423" s="178">
        <v>4.8499999999999996</v>
      </c>
      <c r="AF423" s="179">
        <f t="shared" si="197"/>
        <v>0</v>
      </c>
      <c r="AH423" s="180"/>
      <c r="AK423" s="1"/>
      <c r="AL423" s="1"/>
      <c r="AM423" s="1"/>
      <c r="AN423" s="1"/>
    </row>
    <row r="424" spans="1:40" ht="12.75" customHeight="1">
      <c r="A424" s="87"/>
      <c r="B424" s="185"/>
      <c r="C424" s="165"/>
      <c r="D424" s="165"/>
      <c r="E424" s="166"/>
      <c r="F424" s="165"/>
      <c r="G424" s="165"/>
      <c r="H424" s="165"/>
      <c r="I424" s="165"/>
      <c r="J424" s="166"/>
      <c r="K424" s="165"/>
      <c r="L424" s="165"/>
      <c r="M424" s="165"/>
      <c r="N424" s="165"/>
      <c r="O424" s="166"/>
      <c r="P424" s="166"/>
      <c r="Q424" s="522"/>
      <c r="R424" s="150"/>
      <c r="S424" s="186"/>
      <c r="T424" s="187"/>
      <c r="U424" s="187"/>
      <c r="V424" s="188"/>
      <c r="W424" s="187"/>
      <c r="X424" s="187"/>
      <c r="Y424" s="187"/>
      <c r="Z424" s="187"/>
      <c r="AA424" s="187"/>
      <c r="AB424" s="188"/>
      <c r="AC424" s="186"/>
      <c r="AD424" s="189"/>
      <c r="AE424" s="190"/>
      <c r="AF424" s="191"/>
      <c r="AH424" s="180"/>
      <c r="AK424" s="1"/>
      <c r="AL424" s="1"/>
      <c r="AM424" s="1"/>
      <c r="AN424" s="1"/>
    </row>
    <row r="425" spans="1:40" ht="12.75" customHeight="1">
      <c r="A425" s="87"/>
      <c r="B425" s="192" t="s">
        <v>825</v>
      </c>
      <c r="C425" s="193" t="s">
        <v>55</v>
      </c>
      <c r="D425" s="193" t="s">
        <v>64</v>
      </c>
      <c r="E425" s="194">
        <v>10</v>
      </c>
      <c r="F425" s="193"/>
      <c r="G425" s="193"/>
      <c r="H425" s="193" t="s">
        <v>121</v>
      </c>
      <c r="I425" s="193" t="s">
        <v>32</v>
      </c>
      <c r="J425" s="194">
        <v>10</v>
      </c>
      <c r="K425" s="193"/>
      <c r="L425" s="193"/>
      <c r="M425" s="193" t="s">
        <v>32</v>
      </c>
      <c r="N425" s="193" t="s">
        <v>49</v>
      </c>
      <c r="O425" s="194">
        <v>10</v>
      </c>
      <c r="P425" s="194" t="s">
        <v>826</v>
      </c>
      <c r="Q425" s="521">
        <f>R425*(1-Bolts!$E$1179)</f>
        <v>135.80000000000001</v>
      </c>
      <c r="R425" s="150">
        <v>135.80000000000001</v>
      </c>
      <c r="S425" s="168">
        <f t="shared" ref="S425:S427" si="198">SUM(T425:AB425)</f>
        <v>0</v>
      </c>
      <c r="T425" s="211"/>
      <c r="U425" s="169"/>
      <c r="V425" s="170"/>
      <c r="W425" s="171"/>
      <c r="X425" s="172"/>
      <c r="Y425" s="173"/>
      <c r="Z425" s="174"/>
      <c r="AA425" s="175"/>
      <c r="AB425" s="176"/>
      <c r="AC425" s="168">
        <f t="shared" ref="AC425:AC427" si="199">S425*O425</f>
        <v>0</v>
      </c>
      <c r="AD425" s="177">
        <f t="shared" ref="AD425:AD427" si="200">S425*R425</f>
        <v>0</v>
      </c>
      <c r="AE425" s="178">
        <v>4.97</v>
      </c>
      <c r="AF425" s="179">
        <f t="shared" ref="AF425:AF427" si="201">AE425*S425</f>
        <v>0</v>
      </c>
      <c r="AH425" s="180"/>
      <c r="AK425" s="1"/>
      <c r="AL425" s="1"/>
      <c r="AM425" s="1"/>
      <c r="AN425" s="1"/>
    </row>
    <row r="426" spans="1:40" ht="12.75" customHeight="1">
      <c r="A426" s="87"/>
      <c r="B426" s="192" t="s">
        <v>827</v>
      </c>
      <c r="C426" s="193" t="s">
        <v>55</v>
      </c>
      <c r="D426" s="193" t="s">
        <v>64</v>
      </c>
      <c r="E426" s="194">
        <v>10</v>
      </c>
      <c r="F426" s="193"/>
      <c r="G426" s="193"/>
      <c r="H426" s="193" t="s">
        <v>121</v>
      </c>
      <c r="I426" s="193" t="s">
        <v>32</v>
      </c>
      <c r="J426" s="194">
        <v>10</v>
      </c>
      <c r="K426" s="193"/>
      <c r="L426" s="193"/>
      <c r="M426" s="193" t="s">
        <v>32</v>
      </c>
      <c r="N426" s="193" t="s">
        <v>49</v>
      </c>
      <c r="O426" s="194">
        <v>10</v>
      </c>
      <c r="P426" s="194" t="s">
        <v>828</v>
      </c>
      <c r="Q426" s="521">
        <f>R426*(1-Bolts!$E$1179)</f>
        <v>124.8</v>
      </c>
      <c r="R426" s="150">
        <v>124.8</v>
      </c>
      <c r="S426" s="168">
        <f t="shared" si="198"/>
        <v>0</v>
      </c>
      <c r="T426" s="211"/>
      <c r="U426" s="169"/>
      <c r="V426" s="170"/>
      <c r="W426" s="171"/>
      <c r="X426" s="172"/>
      <c r="Y426" s="173"/>
      <c r="Z426" s="174"/>
      <c r="AA426" s="175"/>
      <c r="AB426" s="176"/>
      <c r="AC426" s="168">
        <f t="shared" si="199"/>
        <v>0</v>
      </c>
      <c r="AD426" s="177">
        <f t="shared" si="200"/>
        <v>0</v>
      </c>
      <c r="AE426" s="178">
        <v>4.33</v>
      </c>
      <c r="AF426" s="179">
        <f t="shared" si="201"/>
        <v>0</v>
      </c>
      <c r="AH426" s="180"/>
      <c r="AK426" s="1"/>
      <c r="AL426" s="1"/>
      <c r="AM426" s="1"/>
      <c r="AN426" s="1"/>
    </row>
    <row r="427" spans="1:40" ht="12.75" customHeight="1">
      <c r="A427" s="87"/>
      <c r="B427" s="192" t="s">
        <v>829</v>
      </c>
      <c r="C427" s="193" t="s">
        <v>55</v>
      </c>
      <c r="D427" s="193" t="s">
        <v>64</v>
      </c>
      <c r="E427" s="194">
        <v>10</v>
      </c>
      <c r="F427" s="193"/>
      <c r="G427" s="193"/>
      <c r="H427" s="193" t="s">
        <v>121</v>
      </c>
      <c r="I427" s="193" t="s">
        <v>31</v>
      </c>
      <c r="J427" s="194">
        <v>10</v>
      </c>
      <c r="K427" s="193"/>
      <c r="L427" s="193"/>
      <c r="M427" s="193" t="s">
        <v>31</v>
      </c>
      <c r="N427" s="193" t="s">
        <v>48</v>
      </c>
      <c r="O427" s="194">
        <v>10</v>
      </c>
      <c r="P427" s="194" t="s">
        <v>830</v>
      </c>
      <c r="Q427" s="521">
        <f>R427*(1-Bolts!$E$1179)</f>
        <v>143</v>
      </c>
      <c r="R427" s="150">
        <v>143</v>
      </c>
      <c r="S427" s="168">
        <f t="shared" si="198"/>
        <v>0</v>
      </c>
      <c r="T427" s="211"/>
      <c r="U427" s="169"/>
      <c r="V427" s="170"/>
      <c r="W427" s="171"/>
      <c r="X427" s="172"/>
      <c r="Y427" s="173"/>
      <c r="Z427" s="174"/>
      <c r="AA427" s="175"/>
      <c r="AB427" s="176"/>
      <c r="AC427" s="168">
        <f t="shared" si="199"/>
        <v>0</v>
      </c>
      <c r="AD427" s="177">
        <f t="shared" si="200"/>
        <v>0</v>
      </c>
      <c r="AE427" s="178">
        <v>5.39</v>
      </c>
      <c r="AF427" s="179">
        <f t="shared" si="201"/>
        <v>0</v>
      </c>
      <c r="AH427" s="180"/>
      <c r="AK427" s="1"/>
      <c r="AL427" s="1"/>
      <c r="AM427" s="1"/>
      <c r="AN427" s="1"/>
    </row>
    <row r="428" spans="1:40" ht="12.75" customHeight="1">
      <c r="A428" s="87"/>
      <c r="B428" s="185"/>
      <c r="C428" s="165"/>
      <c r="D428" s="165"/>
      <c r="E428" s="166"/>
      <c r="F428" s="165"/>
      <c r="G428" s="165"/>
      <c r="H428" s="165"/>
      <c r="I428" s="165"/>
      <c r="J428" s="166"/>
      <c r="K428" s="165"/>
      <c r="L428" s="165"/>
      <c r="M428" s="165"/>
      <c r="N428" s="165"/>
      <c r="O428" s="166"/>
      <c r="P428" s="166"/>
      <c r="Q428" s="522"/>
      <c r="R428" s="150"/>
      <c r="S428" s="186"/>
      <c r="T428" s="187"/>
      <c r="U428" s="187"/>
      <c r="V428" s="188"/>
      <c r="W428" s="187"/>
      <c r="X428" s="187"/>
      <c r="Y428" s="187"/>
      <c r="Z428" s="187"/>
      <c r="AA428" s="187"/>
      <c r="AB428" s="188"/>
      <c r="AC428" s="186"/>
      <c r="AD428" s="189"/>
      <c r="AE428" s="190"/>
      <c r="AF428" s="191"/>
      <c r="AH428" s="180"/>
      <c r="AK428" s="1"/>
      <c r="AL428" s="1"/>
      <c r="AM428" s="1"/>
      <c r="AN428" s="1"/>
    </row>
    <row r="429" spans="1:40" ht="12.75" customHeight="1">
      <c r="A429" s="87"/>
      <c r="B429" s="192" t="s">
        <v>831</v>
      </c>
      <c r="C429" s="193" t="s">
        <v>55</v>
      </c>
      <c r="D429" s="193" t="s">
        <v>65</v>
      </c>
      <c r="E429" s="194">
        <v>10</v>
      </c>
      <c r="F429" s="193"/>
      <c r="G429" s="193"/>
      <c r="H429" s="193" t="s">
        <v>121</v>
      </c>
      <c r="I429" s="193" t="s">
        <v>39</v>
      </c>
      <c r="J429" s="194">
        <v>10</v>
      </c>
      <c r="K429" s="193"/>
      <c r="L429" s="193"/>
      <c r="M429" s="193" t="s">
        <v>39</v>
      </c>
      <c r="N429" s="193" t="s">
        <v>48</v>
      </c>
      <c r="O429" s="194">
        <v>10</v>
      </c>
      <c r="P429" s="194" t="s">
        <v>832</v>
      </c>
      <c r="Q429" s="521">
        <f>R429*(1-Bolts!$E$1179)</f>
        <v>113.4</v>
      </c>
      <c r="R429" s="150">
        <v>113.4</v>
      </c>
      <c r="S429" s="168">
        <f>SUM(T429:AB429)</f>
        <v>0</v>
      </c>
      <c r="T429" s="211"/>
      <c r="U429" s="169"/>
      <c r="V429" s="170"/>
      <c r="W429" s="171"/>
      <c r="X429" s="172"/>
      <c r="Y429" s="173"/>
      <c r="Z429" s="174"/>
      <c r="AA429" s="175"/>
      <c r="AB429" s="176"/>
      <c r="AC429" s="168">
        <f>S429*O429</f>
        <v>0</v>
      </c>
      <c r="AD429" s="177">
        <f>S429*R429</f>
        <v>0</v>
      </c>
      <c r="AE429" s="178">
        <v>3.59</v>
      </c>
      <c r="AF429" s="179">
        <f>AE429*S429</f>
        <v>0</v>
      </c>
      <c r="AH429" s="180"/>
      <c r="AK429" s="1"/>
      <c r="AL429" s="1"/>
      <c r="AM429" s="1"/>
      <c r="AN429" s="1"/>
    </row>
    <row r="430" spans="1:40" ht="12.75" customHeight="1">
      <c r="A430" s="87"/>
      <c r="B430" s="185"/>
      <c r="C430" s="165"/>
      <c r="D430" s="165"/>
      <c r="E430" s="166"/>
      <c r="F430" s="165"/>
      <c r="G430" s="165"/>
      <c r="H430" s="165"/>
      <c r="I430" s="165"/>
      <c r="J430" s="166"/>
      <c r="K430" s="165"/>
      <c r="L430" s="165"/>
      <c r="M430" s="165"/>
      <c r="N430" s="165"/>
      <c r="O430" s="166"/>
      <c r="P430" s="166"/>
      <c r="Q430" s="522"/>
      <c r="R430" s="150"/>
      <c r="S430" s="186"/>
      <c r="T430" s="187"/>
      <c r="U430" s="187"/>
      <c r="V430" s="188"/>
      <c r="W430" s="187"/>
      <c r="X430" s="187"/>
      <c r="Y430" s="187"/>
      <c r="Z430" s="187"/>
      <c r="AA430" s="187"/>
      <c r="AB430" s="188"/>
      <c r="AC430" s="186"/>
      <c r="AD430" s="189"/>
      <c r="AE430" s="190"/>
      <c r="AF430" s="191"/>
      <c r="AH430" s="180"/>
      <c r="AK430" s="1"/>
      <c r="AL430" s="1"/>
      <c r="AM430" s="1"/>
      <c r="AN430" s="1"/>
    </row>
    <row r="431" spans="1:40" ht="12.75" customHeight="1">
      <c r="A431" s="87"/>
      <c r="B431" s="192" t="s">
        <v>833</v>
      </c>
      <c r="C431" s="193" t="s">
        <v>57</v>
      </c>
      <c r="D431" s="193" t="s">
        <v>61</v>
      </c>
      <c r="E431" s="194">
        <v>4</v>
      </c>
      <c r="F431" s="193"/>
      <c r="G431" s="193"/>
      <c r="H431" s="193" t="s">
        <v>121</v>
      </c>
      <c r="I431" s="193" t="s">
        <v>28</v>
      </c>
      <c r="J431" s="194">
        <v>4</v>
      </c>
      <c r="K431" s="193"/>
      <c r="L431" s="193"/>
      <c r="M431" s="193" t="s">
        <v>28</v>
      </c>
      <c r="N431" s="193" t="s">
        <v>48</v>
      </c>
      <c r="O431" s="194">
        <v>4</v>
      </c>
      <c r="P431" s="194" t="s">
        <v>834</v>
      </c>
      <c r="Q431" s="521">
        <f>R431*(1-Bolts!$E$1179)</f>
        <v>377.1</v>
      </c>
      <c r="R431" s="150">
        <v>377.1</v>
      </c>
      <c r="S431" s="168">
        <f t="shared" ref="S431:S432" si="202">SUM(T431:AB431)</f>
        <v>0</v>
      </c>
      <c r="T431" s="211"/>
      <c r="U431" s="169"/>
      <c r="V431" s="170"/>
      <c r="W431" s="171"/>
      <c r="X431" s="172"/>
      <c r="Y431" s="173"/>
      <c r="Z431" s="174"/>
      <c r="AA431" s="175"/>
      <c r="AB431" s="176"/>
      <c r="AC431" s="168">
        <f t="shared" ref="AC431:AC432" si="203">S431*O431</f>
        <v>0</v>
      </c>
      <c r="AD431" s="177">
        <f t="shared" ref="AD431:AD432" si="204">S431*R431</f>
        <v>0</v>
      </c>
      <c r="AE431" s="178">
        <v>18.5</v>
      </c>
      <c r="AF431" s="179">
        <f t="shared" ref="AF431:AF432" si="205">AE431*S431</f>
        <v>0</v>
      </c>
      <c r="AH431" s="180"/>
      <c r="AK431" s="1"/>
      <c r="AL431" s="1"/>
      <c r="AM431" s="1"/>
      <c r="AN431" s="1"/>
    </row>
    <row r="432" spans="1:40" ht="12.75" customHeight="1">
      <c r="A432" s="181"/>
      <c r="B432" s="225" t="s">
        <v>835</v>
      </c>
      <c r="C432" s="226" t="s">
        <v>52</v>
      </c>
      <c r="D432" s="226" t="s">
        <v>62</v>
      </c>
      <c r="E432" s="227">
        <v>5</v>
      </c>
      <c r="F432" s="226"/>
      <c r="G432" s="226"/>
      <c r="H432" s="226" t="s">
        <v>121</v>
      </c>
      <c r="I432" s="226" t="s">
        <v>33</v>
      </c>
      <c r="J432" s="227">
        <v>5</v>
      </c>
      <c r="K432" s="226"/>
      <c r="L432" s="226"/>
      <c r="M432" s="226" t="s">
        <v>33</v>
      </c>
      <c r="N432" s="226" t="s">
        <v>48</v>
      </c>
      <c r="O432" s="227">
        <v>5</v>
      </c>
      <c r="P432" s="227" t="s">
        <v>836</v>
      </c>
      <c r="Q432" s="526">
        <f>R432*(1-Bolts!$E$1179)</f>
        <v>202</v>
      </c>
      <c r="R432" s="150">
        <v>202</v>
      </c>
      <c r="S432" s="228">
        <f t="shared" si="202"/>
        <v>0</v>
      </c>
      <c r="T432" s="229"/>
      <c r="U432" s="230"/>
      <c r="V432" s="231"/>
      <c r="W432" s="232"/>
      <c r="X432" s="233"/>
      <c r="Y432" s="234"/>
      <c r="Z432" s="235"/>
      <c r="AA432" s="236"/>
      <c r="AB432" s="237"/>
      <c r="AC432" s="228">
        <f t="shared" si="203"/>
        <v>0</v>
      </c>
      <c r="AD432" s="238">
        <f t="shared" si="204"/>
        <v>0</v>
      </c>
      <c r="AE432" s="239">
        <v>9.35</v>
      </c>
      <c r="AF432" s="240">
        <f t="shared" si="205"/>
        <v>0</v>
      </c>
      <c r="AH432" s="180"/>
      <c r="AK432" s="1"/>
      <c r="AL432" s="1"/>
      <c r="AM432" s="1"/>
      <c r="AN432" s="1"/>
    </row>
    <row r="433" spans="1:40" ht="12.75" customHeight="1">
      <c r="A433" s="138" t="s">
        <v>378</v>
      </c>
      <c r="B433" s="241" t="s">
        <v>837</v>
      </c>
      <c r="C433" s="242" t="str">
        <f>B433</f>
        <v>Geo Complex</v>
      </c>
      <c r="D433" s="243"/>
      <c r="E433" s="243"/>
      <c r="F433" s="243"/>
      <c r="G433" s="243"/>
      <c r="H433" s="243" t="s">
        <v>121</v>
      </c>
      <c r="I433" s="243"/>
      <c r="J433" s="243"/>
      <c r="K433" s="243"/>
      <c r="L433" s="243"/>
      <c r="M433" s="243"/>
      <c r="N433" s="243"/>
      <c r="O433" s="243"/>
      <c r="P433" s="243"/>
      <c r="Q433" s="527"/>
      <c r="R433" s="150"/>
      <c r="S433" s="243"/>
      <c r="T433" s="243"/>
      <c r="U433" s="243"/>
      <c r="V433" s="243"/>
      <c r="W433" s="243"/>
      <c r="X433" s="243"/>
      <c r="Y433" s="243"/>
      <c r="Z433" s="243"/>
      <c r="AA433" s="243"/>
      <c r="AB433" s="243"/>
      <c r="AC433" s="243"/>
      <c r="AD433" s="243"/>
      <c r="AE433" s="243"/>
      <c r="AF433" s="244"/>
      <c r="AH433" s="180"/>
      <c r="AK433" s="1"/>
      <c r="AL433" s="1"/>
      <c r="AM433" s="1"/>
      <c r="AN433" s="1"/>
    </row>
    <row r="434" spans="1:40" ht="12.75" customHeight="1">
      <c r="A434" s="87"/>
      <c r="B434" s="192" t="s">
        <v>838</v>
      </c>
      <c r="C434" s="193" t="s">
        <v>55</v>
      </c>
      <c r="D434" s="193" t="s">
        <v>60</v>
      </c>
      <c r="E434" s="194">
        <v>3</v>
      </c>
      <c r="F434" s="193"/>
      <c r="G434" s="193"/>
      <c r="H434" s="193" t="s">
        <v>121</v>
      </c>
      <c r="I434" s="193" t="s">
        <v>28</v>
      </c>
      <c r="J434" s="194">
        <v>3</v>
      </c>
      <c r="K434" s="193"/>
      <c r="L434" s="193"/>
      <c r="M434" s="193" t="s">
        <v>28</v>
      </c>
      <c r="N434" s="193" t="s">
        <v>48</v>
      </c>
      <c r="O434" s="194">
        <v>3</v>
      </c>
      <c r="P434" s="194" t="s">
        <v>839</v>
      </c>
      <c r="Q434" s="521">
        <f>R434*(1-Bolts!$E$1179)</f>
        <v>326.8</v>
      </c>
      <c r="R434" s="150">
        <v>326.8</v>
      </c>
      <c r="S434" s="168">
        <f t="shared" ref="S434:S436" si="206">SUM(T434:AB434)</f>
        <v>0</v>
      </c>
      <c r="T434" s="211"/>
      <c r="U434" s="169"/>
      <c r="V434" s="170"/>
      <c r="W434" s="171"/>
      <c r="X434" s="172"/>
      <c r="Y434" s="173"/>
      <c r="Z434" s="174"/>
      <c r="AA434" s="175"/>
      <c r="AB434" s="176"/>
      <c r="AC434" s="168">
        <f t="shared" ref="AC434:AC436" si="207">S434*O434</f>
        <v>0</v>
      </c>
      <c r="AD434" s="177">
        <f t="shared" ref="AD434:AD436" si="208">S434*R434</f>
        <v>0</v>
      </c>
      <c r="AE434" s="178">
        <v>16.399999999999999</v>
      </c>
      <c r="AF434" s="179">
        <f t="shared" ref="AF434:AF436" si="209">AE434*S434</f>
        <v>0</v>
      </c>
      <c r="AH434" s="209"/>
      <c r="AK434" s="1"/>
      <c r="AL434" s="1"/>
      <c r="AM434" s="1"/>
      <c r="AN434" s="1"/>
    </row>
    <row r="435" spans="1:40" ht="12.75" customHeight="1">
      <c r="A435" s="87"/>
      <c r="B435" s="192" t="s">
        <v>840</v>
      </c>
      <c r="C435" s="193" t="s">
        <v>55</v>
      </c>
      <c r="D435" s="193" t="s">
        <v>60</v>
      </c>
      <c r="E435" s="194">
        <v>3</v>
      </c>
      <c r="F435" s="193"/>
      <c r="G435" s="193"/>
      <c r="H435" s="193" t="s">
        <v>121</v>
      </c>
      <c r="I435" s="193" t="s">
        <v>28</v>
      </c>
      <c r="J435" s="194">
        <v>3</v>
      </c>
      <c r="K435" s="193"/>
      <c r="L435" s="193"/>
      <c r="M435" s="193" t="s">
        <v>28</v>
      </c>
      <c r="N435" s="193" t="s">
        <v>48</v>
      </c>
      <c r="O435" s="194">
        <v>3</v>
      </c>
      <c r="P435" s="194" t="s">
        <v>841</v>
      </c>
      <c r="Q435" s="521">
        <f>R435*(1-Bolts!$E$1179)</f>
        <v>678.2</v>
      </c>
      <c r="R435" s="150">
        <v>678.2</v>
      </c>
      <c r="S435" s="168">
        <f t="shared" si="206"/>
        <v>0</v>
      </c>
      <c r="T435" s="211"/>
      <c r="U435" s="169"/>
      <c r="V435" s="170"/>
      <c r="W435" s="171"/>
      <c r="X435" s="172"/>
      <c r="Y435" s="173"/>
      <c r="Z435" s="174"/>
      <c r="AA435" s="175"/>
      <c r="AB435" s="176"/>
      <c r="AC435" s="168">
        <f t="shared" si="207"/>
        <v>0</v>
      </c>
      <c r="AD435" s="177">
        <f t="shared" si="208"/>
        <v>0</v>
      </c>
      <c r="AE435" s="178">
        <v>34.700000000000003</v>
      </c>
      <c r="AF435" s="179">
        <f t="shared" si="209"/>
        <v>0</v>
      </c>
      <c r="AH435" s="180"/>
      <c r="AK435" s="1"/>
      <c r="AL435" s="1"/>
      <c r="AM435" s="1"/>
      <c r="AN435" s="1"/>
    </row>
    <row r="436" spans="1:40" ht="12.75" customHeight="1">
      <c r="A436" s="87"/>
      <c r="B436" s="192" t="s">
        <v>842</v>
      </c>
      <c r="C436" s="193" t="s">
        <v>55</v>
      </c>
      <c r="D436" s="193" t="s">
        <v>60</v>
      </c>
      <c r="E436" s="194">
        <v>1</v>
      </c>
      <c r="F436" s="193" t="s">
        <v>38</v>
      </c>
      <c r="G436" s="193">
        <v>1</v>
      </c>
      <c r="H436" s="193" t="s">
        <v>121</v>
      </c>
      <c r="I436" s="193" t="s">
        <v>28</v>
      </c>
      <c r="J436" s="194">
        <v>1</v>
      </c>
      <c r="K436" s="193" t="s">
        <v>38</v>
      </c>
      <c r="L436" s="193">
        <v>1</v>
      </c>
      <c r="M436" s="193" t="s">
        <v>28</v>
      </c>
      <c r="N436" s="193" t="s">
        <v>48</v>
      </c>
      <c r="O436" s="194">
        <v>2</v>
      </c>
      <c r="P436" s="194" t="s">
        <v>843</v>
      </c>
      <c r="Q436" s="521">
        <f>R436*(1-Bolts!$E$1179)</f>
        <v>385.6</v>
      </c>
      <c r="R436" s="150">
        <v>385.6</v>
      </c>
      <c r="S436" s="168">
        <f t="shared" si="206"/>
        <v>0</v>
      </c>
      <c r="T436" s="211"/>
      <c r="U436" s="169"/>
      <c r="V436" s="170"/>
      <c r="W436" s="171"/>
      <c r="X436" s="172"/>
      <c r="Y436" s="173"/>
      <c r="Z436" s="174"/>
      <c r="AA436" s="175"/>
      <c r="AB436" s="176"/>
      <c r="AC436" s="168">
        <f t="shared" si="207"/>
        <v>0</v>
      </c>
      <c r="AD436" s="177">
        <f t="shared" si="208"/>
        <v>0</v>
      </c>
      <c r="AE436" s="178">
        <v>18.850000000000001</v>
      </c>
      <c r="AF436" s="179">
        <f t="shared" si="209"/>
        <v>0</v>
      </c>
      <c r="AH436" s="180"/>
      <c r="AK436" s="1"/>
      <c r="AL436" s="1"/>
      <c r="AM436" s="1"/>
      <c r="AN436" s="1"/>
    </row>
    <row r="437" spans="1:40" ht="12.75" customHeight="1">
      <c r="A437" s="87"/>
      <c r="B437" s="185"/>
      <c r="C437" s="165"/>
      <c r="D437" s="165"/>
      <c r="E437" s="166"/>
      <c r="F437" s="165"/>
      <c r="G437" s="165"/>
      <c r="H437" s="165"/>
      <c r="I437" s="165"/>
      <c r="J437" s="166"/>
      <c r="K437" s="165"/>
      <c r="L437" s="165"/>
      <c r="M437" s="165"/>
      <c r="N437" s="165"/>
      <c r="O437" s="166"/>
      <c r="P437" s="166"/>
      <c r="Q437" s="522"/>
      <c r="R437" s="150"/>
      <c r="S437" s="186"/>
      <c r="T437" s="187"/>
      <c r="U437" s="187"/>
      <c r="V437" s="188"/>
      <c r="W437" s="187"/>
      <c r="X437" s="187"/>
      <c r="Y437" s="187"/>
      <c r="Z437" s="187"/>
      <c r="AA437" s="187"/>
      <c r="AB437" s="188"/>
      <c r="AC437" s="186"/>
      <c r="AD437" s="189"/>
      <c r="AE437" s="190"/>
      <c r="AF437" s="191"/>
      <c r="AH437" s="180"/>
      <c r="AK437" s="1"/>
      <c r="AL437" s="1"/>
      <c r="AM437" s="1"/>
      <c r="AN437" s="1"/>
    </row>
    <row r="438" spans="1:40" ht="12.75" customHeight="1">
      <c r="A438" s="87"/>
      <c r="B438" s="192" t="s">
        <v>844</v>
      </c>
      <c r="C438" s="193" t="s">
        <v>55</v>
      </c>
      <c r="D438" s="193" t="s">
        <v>61</v>
      </c>
      <c r="E438" s="194">
        <v>3</v>
      </c>
      <c r="F438" s="193" t="s">
        <v>38</v>
      </c>
      <c r="G438" s="193">
        <v>9</v>
      </c>
      <c r="H438" s="193" t="s">
        <v>121</v>
      </c>
      <c r="I438" s="193" t="s">
        <v>29</v>
      </c>
      <c r="J438" s="194">
        <v>3</v>
      </c>
      <c r="K438" s="193" t="s">
        <v>38</v>
      </c>
      <c r="L438" s="193">
        <v>9</v>
      </c>
      <c r="M438" s="193" t="s">
        <v>38</v>
      </c>
      <c r="N438" s="193" t="s">
        <v>48</v>
      </c>
      <c r="O438" s="194">
        <v>12</v>
      </c>
      <c r="P438" s="194" t="s">
        <v>845</v>
      </c>
      <c r="Q438" s="521">
        <f>R438*(1-Bolts!$E$1179)</f>
        <v>564.29999999999995</v>
      </c>
      <c r="R438" s="150">
        <v>564.29999999999995</v>
      </c>
      <c r="S438" s="168">
        <f t="shared" ref="S438:S441" si="210">SUM(T438:AB438)</f>
        <v>0</v>
      </c>
      <c r="T438" s="211"/>
      <c r="U438" s="169"/>
      <c r="V438" s="170"/>
      <c r="W438" s="171"/>
      <c r="X438" s="172"/>
      <c r="Y438" s="173"/>
      <c r="Z438" s="174"/>
      <c r="AA438" s="175"/>
      <c r="AB438" s="176"/>
      <c r="AC438" s="168">
        <f t="shared" ref="AC438:AC441" si="211">S438*O438</f>
        <v>0</v>
      </c>
      <c r="AD438" s="177">
        <f t="shared" ref="AD438:AD441" si="212">S438*R438</f>
        <v>0</v>
      </c>
      <c r="AE438" s="178">
        <v>26.45</v>
      </c>
      <c r="AF438" s="179">
        <f t="shared" ref="AF438:AF441" si="213">AE438*S438</f>
        <v>0</v>
      </c>
      <c r="AH438" s="180"/>
      <c r="AK438" s="1"/>
      <c r="AL438" s="1"/>
      <c r="AM438" s="1"/>
      <c r="AN438" s="1"/>
    </row>
    <row r="439" spans="1:40" ht="12.75" customHeight="1">
      <c r="A439" s="87"/>
      <c r="B439" s="192" t="s">
        <v>846</v>
      </c>
      <c r="C439" s="193" t="s">
        <v>55</v>
      </c>
      <c r="D439" s="193" t="s">
        <v>61</v>
      </c>
      <c r="E439" s="194">
        <v>3</v>
      </c>
      <c r="F439" s="193" t="s">
        <v>38</v>
      </c>
      <c r="G439" s="193"/>
      <c r="H439" s="193" t="s">
        <v>121</v>
      </c>
      <c r="I439" s="193" t="s">
        <v>29</v>
      </c>
      <c r="J439" s="194">
        <v>3</v>
      </c>
      <c r="K439" s="193" t="s">
        <v>38</v>
      </c>
      <c r="L439" s="193"/>
      <c r="M439" s="193" t="s">
        <v>33</v>
      </c>
      <c r="N439" s="193" t="s">
        <v>48</v>
      </c>
      <c r="O439" s="194">
        <v>3</v>
      </c>
      <c r="P439" s="194" t="s">
        <v>847</v>
      </c>
      <c r="Q439" s="521">
        <f>R439*(1-Bolts!$E$1179)</f>
        <v>316.39999999999998</v>
      </c>
      <c r="R439" s="150">
        <v>316.39999999999998</v>
      </c>
      <c r="S439" s="168">
        <f t="shared" si="210"/>
        <v>0</v>
      </c>
      <c r="T439" s="211"/>
      <c r="U439" s="169"/>
      <c r="V439" s="170"/>
      <c r="W439" s="171"/>
      <c r="X439" s="172"/>
      <c r="Y439" s="173"/>
      <c r="Z439" s="174"/>
      <c r="AA439" s="175"/>
      <c r="AB439" s="176"/>
      <c r="AC439" s="168">
        <f t="shared" si="211"/>
        <v>0</v>
      </c>
      <c r="AD439" s="177">
        <f t="shared" si="212"/>
        <v>0</v>
      </c>
      <c r="AE439" s="178">
        <v>15.14</v>
      </c>
      <c r="AF439" s="179">
        <f t="shared" si="213"/>
        <v>0</v>
      </c>
      <c r="AH439" s="180"/>
      <c r="AK439" s="1"/>
      <c r="AL439" s="1"/>
      <c r="AM439" s="1"/>
      <c r="AN439" s="1"/>
    </row>
    <row r="440" spans="1:40" ht="12.75" customHeight="1">
      <c r="A440" s="87"/>
      <c r="B440" s="192" t="s">
        <v>848</v>
      </c>
      <c r="C440" s="193" t="s">
        <v>55</v>
      </c>
      <c r="D440" s="193" t="s">
        <v>61</v>
      </c>
      <c r="E440" s="194">
        <v>3</v>
      </c>
      <c r="F440" s="193" t="s">
        <v>38</v>
      </c>
      <c r="G440" s="193"/>
      <c r="H440" s="193" t="s">
        <v>121</v>
      </c>
      <c r="I440" s="193" t="s">
        <v>35</v>
      </c>
      <c r="J440" s="194">
        <v>3</v>
      </c>
      <c r="K440" s="193" t="s">
        <v>38</v>
      </c>
      <c r="L440" s="193"/>
      <c r="M440" s="193" t="s">
        <v>35</v>
      </c>
      <c r="N440" s="193" t="s">
        <v>48</v>
      </c>
      <c r="O440" s="194">
        <v>3</v>
      </c>
      <c r="P440" s="194" t="s">
        <v>849</v>
      </c>
      <c r="Q440" s="521">
        <f>R440*(1-Bolts!$E$1179)</f>
        <v>226.3</v>
      </c>
      <c r="R440" s="150">
        <v>226.3</v>
      </c>
      <c r="S440" s="168">
        <f t="shared" si="210"/>
        <v>0</v>
      </c>
      <c r="T440" s="211"/>
      <c r="U440" s="169"/>
      <c r="V440" s="170"/>
      <c r="W440" s="171"/>
      <c r="X440" s="172"/>
      <c r="Y440" s="173"/>
      <c r="Z440" s="174"/>
      <c r="AA440" s="175"/>
      <c r="AB440" s="176"/>
      <c r="AC440" s="168">
        <f t="shared" si="211"/>
        <v>0</v>
      </c>
      <c r="AD440" s="177">
        <f t="shared" si="212"/>
        <v>0</v>
      </c>
      <c r="AE440" s="178">
        <v>10.5</v>
      </c>
      <c r="AF440" s="179">
        <f t="shared" si="213"/>
        <v>0</v>
      </c>
      <c r="AH440" s="180"/>
      <c r="AK440" s="1"/>
      <c r="AL440" s="1"/>
      <c r="AM440" s="1"/>
      <c r="AN440" s="1"/>
    </row>
    <row r="441" spans="1:40" ht="12.75" customHeight="1">
      <c r="A441" s="181"/>
      <c r="B441" s="164" t="s">
        <v>850</v>
      </c>
      <c r="C441" s="165" t="s">
        <v>55</v>
      </c>
      <c r="D441" s="165" t="s">
        <v>61</v>
      </c>
      <c r="E441" s="166">
        <v>6</v>
      </c>
      <c r="F441" s="165"/>
      <c r="G441" s="165"/>
      <c r="H441" s="165" t="s">
        <v>121</v>
      </c>
      <c r="I441" s="165" t="s">
        <v>33</v>
      </c>
      <c r="J441" s="166">
        <v>6</v>
      </c>
      <c r="K441" s="165"/>
      <c r="L441" s="165"/>
      <c r="M441" s="165" t="s">
        <v>33</v>
      </c>
      <c r="N441" s="165" t="s">
        <v>48</v>
      </c>
      <c r="O441" s="166">
        <v>6</v>
      </c>
      <c r="P441" s="166" t="s">
        <v>851</v>
      </c>
      <c r="Q441" s="521">
        <f>R441*(1-Bolts!$E$1179)</f>
        <v>809.2</v>
      </c>
      <c r="R441" s="150">
        <v>809.2</v>
      </c>
      <c r="S441" s="168">
        <f t="shared" si="210"/>
        <v>0</v>
      </c>
      <c r="T441" s="211"/>
      <c r="U441" s="169"/>
      <c r="V441" s="170"/>
      <c r="W441" s="171"/>
      <c r="X441" s="172"/>
      <c r="Y441" s="173"/>
      <c r="Z441" s="174"/>
      <c r="AA441" s="175"/>
      <c r="AB441" s="176"/>
      <c r="AC441" s="168">
        <f t="shared" si="211"/>
        <v>0</v>
      </c>
      <c r="AD441" s="177">
        <f t="shared" si="212"/>
        <v>0</v>
      </c>
      <c r="AE441" s="178">
        <v>43.7</v>
      </c>
      <c r="AF441" s="179">
        <f t="shared" si="213"/>
        <v>0</v>
      </c>
      <c r="AH441" s="180"/>
      <c r="AK441" s="1"/>
      <c r="AL441" s="1"/>
      <c r="AM441" s="1"/>
      <c r="AN441" s="1"/>
    </row>
    <row r="442" spans="1:40" ht="12.75" customHeight="1">
      <c r="A442" s="181"/>
      <c r="B442" s="185"/>
      <c r="C442" s="165"/>
      <c r="D442" s="165"/>
      <c r="E442" s="166"/>
      <c r="F442" s="165"/>
      <c r="G442" s="165"/>
      <c r="H442" s="165"/>
      <c r="I442" s="165"/>
      <c r="J442" s="166"/>
      <c r="K442" s="165"/>
      <c r="L442" s="165"/>
      <c r="M442" s="165"/>
      <c r="N442" s="165"/>
      <c r="O442" s="166"/>
      <c r="P442" s="166"/>
      <c r="Q442" s="522"/>
      <c r="R442" s="150"/>
      <c r="S442" s="186"/>
      <c r="T442" s="187"/>
      <c r="U442" s="187"/>
      <c r="V442" s="188"/>
      <c r="W442" s="187"/>
      <c r="X442" s="187"/>
      <c r="Y442" s="187"/>
      <c r="Z442" s="187"/>
      <c r="AA442" s="187"/>
      <c r="AB442" s="188"/>
      <c r="AC442" s="186"/>
      <c r="AD442" s="189"/>
      <c r="AE442" s="190"/>
      <c r="AF442" s="191"/>
      <c r="AH442" s="180"/>
      <c r="AK442" s="1"/>
      <c r="AL442" s="1"/>
      <c r="AM442" s="1"/>
      <c r="AN442" s="1"/>
    </row>
    <row r="443" spans="1:40" ht="12.75" customHeight="1">
      <c r="A443" s="181"/>
      <c r="B443" s="192" t="s">
        <v>852</v>
      </c>
      <c r="C443" s="193" t="s">
        <v>55</v>
      </c>
      <c r="D443" s="193" t="s">
        <v>62</v>
      </c>
      <c r="E443" s="194">
        <v>5</v>
      </c>
      <c r="F443" s="193" t="s">
        <v>38</v>
      </c>
      <c r="G443" s="193">
        <v>9</v>
      </c>
      <c r="H443" s="193" t="s">
        <v>121</v>
      </c>
      <c r="I443" s="193" t="s">
        <v>29</v>
      </c>
      <c r="J443" s="194">
        <v>5</v>
      </c>
      <c r="K443" s="193" t="s">
        <v>38</v>
      </c>
      <c r="L443" s="193">
        <v>9</v>
      </c>
      <c r="M443" s="193" t="s">
        <v>38</v>
      </c>
      <c r="N443" s="193" t="s">
        <v>48</v>
      </c>
      <c r="O443" s="194">
        <v>14</v>
      </c>
      <c r="P443" s="194" t="s">
        <v>853</v>
      </c>
      <c r="Q443" s="521">
        <f>R443*(1-Bolts!$E$1179)</f>
        <v>564.79999999999995</v>
      </c>
      <c r="R443" s="150">
        <v>564.79999999999995</v>
      </c>
      <c r="S443" s="168">
        <f t="shared" ref="S443:S444" si="214">SUM(T443:AB443)</f>
        <v>0</v>
      </c>
      <c r="T443" s="211"/>
      <c r="U443" s="169"/>
      <c r="V443" s="170"/>
      <c r="W443" s="171"/>
      <c r="X443" s="172"/>
      <c r="Y443" s="173"/>
      <c r="Z443" s="174"/>
      <c r="AA443" s="175"/>
      <c r="AB443" s="176"/>
      <c r="AC443" s="168">
        <f t="shared" ref="AC443:AC444" si="215">S443*O443</f>
        <v>0</v>
      </c>
      <c r="AD443" s="177">
        <f t="shared" ref="AD443:AD444" si="216">S443*R443</f>
        <v>0</v>
      </c>
      <c r="AE443" s="178">
        <v>26.31</v>
      </c>
      <c r="AF443" s="179">
        <f t="shared" ref="AF443:AF444" si="217">AE443*S443</f>
        <v>0</v>
      </c>
      <c r="AH443" s="180"/>
      <c r="AK443" s="1"/>
      <c r="AL443" s="1"/>
      <c r="AM443" s="1"/>
      <c r="AN443" s="1"/>
    </row>
    <row r="444" spans="1:40" ht="12.75" customHeight="1">
      <c r="A444" s="181"/>
      <c r="B444" s="192" t="s">
        <v>854</v>
      </c>
      <c r="C444" s="193" t="s">
        <v>55</v>
      </c>
      <c r="D444" s="193" t="s">
        <v>62</v>
      </c>
      <c r="E444" s="194">
        <v>4</v>
      </c>
      <c r="F444" s="193" t="s">
        <v>38</v>
      </c>
      <c r="G444" s="193">
        <v>10</v>
      </c>
      <c r="H444" s="193" t="s">
        <v>121</v>
      </c>
      <c r="I444" s="193" t="s">
        <v>29</v>
      </c>
      <c r="J444" s="194">
        <v>4</v>
      </c>
      <c r="K444" s="193" t="s">
        <v>38</v>
      </c>
      <c r="L444" s="193">
        <v>10</v>
      </c>
      <c r="M444" s="193" t="s">
        <v>38</v>
      </c>
      <c r="N444" s="193" t="s">
        <v>48</v>
      </c>
      <c r="O444" s="194">
        <v>14</v>
      </c>
      <c r="P444" s="194" t="s">
        <v>855</v>
      </c>
      <c r="Q444" s="521">
        <f>R444*(1-Bolts!$E$1179)</f>
        <v>359.8</v>
      </c>
      <c r="R444" s="150">
        <v>359.8</v>
      </c>
      <c r="S444" s="168">
        <f t="shared" si="214"/>
        <v>0</v>
      </c>
      <c r="T444" s="211"/>
      <c r="U444" s="169"/>
      <c r="V444" s="170"/>
      <c r="W444" s="171"/>
      <c r="X444" s="172"/>
      <c r="Y444" s="173"/>
      <c r="Z444" s="174"/>
      <c r="AA444" s="175"/>
      <c r="AB444" s="176"/>
      <c r="AC444" s="168">
        <f t="shared" si="215"/>
        <v>0</v>
      </c>
      <c r="AD444" s="177">
        <f t="shared" si="216"/>
        <v>0</v>
      </c>
      <c r="AE444" s="178">
        <v>16.41</v>
      </c>
      <c r="AF444" s="179">
        <f t="shared" si="217"/>
        <v>0</v>
      </c>
      <c r="AH444" s="180"/>
      <c r="AK444" s="1"/>
      <c r="AL444" s="1"/>
      <c r="AM444" s="1"/>
      <c r="AN444" s="1"/>
    </row>
    <row r="445" spans="1:40" ht="12.75" customHeight="1">
      <c r="A445" s="181"/>
      <c r="B445" s="185"/>
      <c r="C445" s="165"/>
      <c r="D445" s="165"/>
      <c r="E445" s="166"/>
      <c r="F445" s="165"/>
      <c r="G445" s="165"/>
      <c r="H445" s="165"/>
      <c r="I445" s="165"/>
      <c r="J445" s="166"/>
      <c r="K445" s="165"/>
      <c r="L445" s="165"/>
      <c r="M445" s="165"/>
      <c r="N445" s="165"/>
      <c r="O445" s="166"/>
      <c r="P445" s="166"/>
      <c r="Q445" s="522"/>
      <c r="R445" s="150"/>
      <c r="S445" s="186"/>
      <c r="T445" s="187"/>
      <c r="U445" s="187"/>
      <c r="V445" s="188"/>
      <c r="W445" s="187"/>
      <c r="X445" s="187"/>
      <c r="Y445" s="187"/>
      <c r="Z445" s="187"/>
      <c r="AA445" s="187"/>
      <c r="AB445" s="188"/>
      <c r="AC445" s="186"/>
      <c r="AD445" s="189"/>
      <c r="AE445" s="190"/>
      <c r="AF445" s="191"/>
      <c r="AH445" s="180"/>
      <c r="AK445" s="1"/>
      <c r="AL445" s="1"/>
      <c r="AM445" s="1"/>
      <c r="AN445" s="1"/>
    </row>
    <row r="446" spans="1:40" ht="12.75" customHeight="1">
      <c r="A446" s="181"/>
      <c r="B446" s="164" t="s">
        <v>856</v>
      </c>
      <c r="C446" s="165" t="s">
        <v>55</v>
      </c>
      <c r="D446" s="165" t="s">
        <v>63</v>
      </c>
      <c r="E446" s="166">
        <v>2</v>
      </c>
      <c r="F446" s="165"/>
      <c r="G446" s="165"/>
      <c r="H446" s="165" t="s">
        <v>121</v>
      </c>
      <c r="I446" s="165" t="s">
        <v>33</v>
      </c>
      <c r="J446" s="166">
        <v>2</v>
      </c>
      <c r="K446" s="165"/>
      <c r="L446" s="165"/>
      <c r="M446" s="165" t="s">
        <v>33</v>
      </c>
      <c r="N446" s="165" t="s">
        <v>48</v>
      </c>
      <c r="O446" s="166">
        <v>2</v>
      </c>
      <c r="P446" s="166" t="s">
        <v>857</v>
      </c>
      <c r="Q446" s="521">
        <f>R446*(1-Bolts!$E$1179)</f>
        <v>96.3</v>
      </c>
      <c r="R446" s="150">
        <v>96.3</v>
      </c>
      <c r="S446" s="168">
        <f>SUM(T446:AB446)</f>
        <v>0</v>
      </c>
      <c r="T446" s="211"/>
      <c r="U446" s="169"/>
      <c r="V446" s="170"/>
      <c r="W446" s="171"/>
      <c r="X446" s="172"/>
      <c r="Y446" s="173"/>
      <c r="Z446" s="174"/>
      <c r="AA446" s="175"/>
      <c r="AB446" s="176"/>
      <c r="AC446" s="168">
        <f>S446*O446</f>
        <v>0</v>
      </c>
      <c r="AD446" s="177">
        <f>S446*R446</f>
        <v>0</v>
      </c>
      <c r="AE446" s="178">
        <v>3.8</v>
      </c>
      <c r="AF446" s="179">
        <f>AE446*S446</f>
        <v>0</v>
      </c>
      <c r="AH446" s="180"/>
      <c r="AK446" s="1"/>
      <c r="AL446" s="1"/>
      <c r="AM446" s="1"/>
      <c r="AN446" s="1"/>
    </row>
    <row r="447" spans="1:40" ht="12.75" customHeight="1">
      <c r="A447" s="87"/>
      <c r="B447" s="185"/>
      <c r="C447" s="165"/>
      <c r="D447" s="165"/>
      <c r="E447" s="166"/>
      <c r="F447" s="165"/>
      <c r="G447" s="165"/>
      <c r="H447" s="165"/>
      <c r="I447" s="165"/>
      <c r="J447" s="166"/>
      <c r="K447" s="165"/>
      <c r="L447" s="165"/>
      <c r="M447" s="165"/>
      <c r="N447" s="165"/>
      <c r="O447" s="166"/>
      <c r="P447" s="166"/>
      <c r="Q447" s="522"/>
      <c r="R447" s="150"/>
      <c r="S447" s="186"/>
      <c r="T447" s="187"/>
      <c r="U447" s="187"/>
      <c r="V447" s="188"/>
      <c r="W447" s="187"/>
      <c r="X447" s="187"/>
      <c r="Y447" s="187"/>
      <c r="Z447" s="187"/>
      <c r="AA447" s="187"/>
      <c r="AB447" s="188"/>
      <c r="AC447" s="186"/>
      <c r="AD447" s="189"/>
      <c r="AE447" s="190"/>
      <c r="AF447" s="191"/>
      <c r="AH447" s="180"/>
      <c r="AK447" s="1"/>
      <c r="AL447" s="1"/>
      <c r="AM447" s="1"/>
      <c r="AN447" s="1"/>
    </row>
    <row r="448" spans="1:40" ht="12.75" customHeight="1">
      <c r="A448" s="87"/>
      <c r="B448" s="192" t="s">
        <v>858</v>
      </c>
      <c r="C448" s="193" t="s">
        <v>55</v>
      </c>
      <c r="D448" s="193" t="s">
        <v>48</v>
      </c>
      <c r="E448" s="194">
        <v>10</v>
      </c>
      <c r="F448" s="193"/>
      <c r="G448" s="193"/>
      <c r="H448" s="193" t="s">
        <v>121</v>
      </c>
      <c r="I448" s="193" t="s">
        <v>33</v>
      </c>
      <c r="J448" s="194">
        <v>10</v>
      </c>
      <c r="K448" s="193"/>
      <c r="L448" s="193"/>
      <c r="M448" s="193" t="s">
        <v>33</v>
      </c>
      <c r="N448" s="193" t="s">
        <v>48</v>
      </c>
      <c r="O448" s="194">
        <v>10</v>
      </c>
      <c r="P448" s="194" t="s">
        <v>859</v>
      </c>
      <c r="Q448" s="521">
        <f>R448*(1-Bolts!$E$1179)</f>
        <v>182.9</v>
      </c>
      <c r="R448" s="150">
        <v>182.9</v>
      </c>
      <c r="S448" s="168">
        <f t="shared" ref="S448:S451" si="218">SUM(T448:AB448)</f>
        <v>0</v>
      </c>
      <c r="T448" s="211"/>
      <c r="U448" s="169"/>
      <c r="V448" s="170"/>
      <c r="W448" s="171"/>
      <c r="X448" s="172"/>
      <c r="Y448" s="173"/>
      <c r="Z448" s="174"/>
      <c r="AA448" s="175"/>
      <c r="AB448" s="176"/>
      <c r="AC448" s="168">
        <f t="shared" ref="AC448:AC451" si="219">S448*O448</f>
        <v>0</v>
      </c>
      <c r="AD448" s="177">
        <f t="shared" ref="AD448:AD451" si="220">S448*R448</f>
        <v>0</v>
      </c>
      <c r="AE448" s="178">
        <v>7.67</v>
      </c>
      <c r="AF448" s="179">
        <f t="shared" ref="AF448:AF451" si="221">AE448*S448</f>
        <v>0</v>
      </c>
      <c r="AH448" s="180"/>
      <c r="AK448" s="1"/>
      <c r="AL448" s="1"/>
      <c r="AM448" s="1"/>
      <c r="AN448" s="1"/>
    </row>
    <row r="449" spans="1:40" ht="12.75" customHeight="1">
      <c r="A449" s="87"/>
      <c r="B449" s="192" t="s">
        <v>860</v>
      </c>
      <c r="C449" s="193" t="s">
        <v>55</v>
      </c>
      <c r="D449" s="193" t="s">
        <v>48</v>
      </c>
      <c r="E449" s="194">
        <v>5</v>
      </c>
      <c r="F449" s="193" t="s">
        <v>38</v>
      </c>
      <c r="G449" s="193">
        <v>5</v>
      </c>
      <c r="H449" s="193" t="s">
        <v>121</v>
      </c>
      <c r="I449" s="193" t="s">
        <v>33</v>
      </c>
      <c r="J449" s="194">
        <v>5</v>
      </c>
      <c r="K449" s="193" t="s">
        <v>38</v>
      </c>
      <c r="L449" s="193">
        <v>5</v>
      </c>
      <c r="M449" s="193" t="s">
        <v>38</v>
      </c>
      <c r="N449" s="193" t="s">
        <v>48</v>
      </c>
      <c r="O449" s="194">
        <v>10</v>
      </c>
      <c r="P449" s="194" t="s">
        <v>861</v>
      </c>
      <c r="Q449" s="521">
        <f>R449*(1-Bolts!$E$1179)</f>
        <v>136</v>
      </c>
      <c r="R449" s="150">
        <v>136</v>
      </c>
      <c r="S449" s="168">
        <f t="shared" si="218"/>
        <v>0</v>
      </c>
      <c r="T449" s="211"/>
      <c r="U449" s="169"/>
      <c r="V449" s="170"/>
      <c r="W449" s="171"/>
      <c r="X449" s="172"/>
      <c r="Y449" s="173"/>
      <c r="Z449" s="174"/>
      <c r="AA449" s="175"/>
      <c r="AB449" s="176"/>
      <c r="AC449" s="168">
        <f t="shared" si="219"/>
        <v>0</v>
      </c>
      <c r="AD449" s="177">
        <f t="shared" si="220"/>
        <v>0</v>
      </c>
      <c r="AE449" s="178">
        <v>4.93</v>
      </c>
      <c r="AF449" s="179">
        <f t="shared" si="221"/>
        <v>0</v>
      </c>
      <c r="AH449" s="180"/>
      <c r="AK449" s="1"/>
      <c r="AL449" s="1"/>
      <c r="AM449" s="1"/>
      <c r="AN449" s="1"/>
    </row>
    <row r="450" spans="1:40" ht="12.75" customHeight="1">
      <c r="A450" s="87"/>
      <c r="B450" s="192" t="s">
        <v>862</v>
      </c>
      <c r="C450" s="193" t="s">
        <v>55</v>
      </c>
      <c r="D450" s="193" t="s">
        <v>48</v>
      </c>
      <c r="E450" s="194">
        <v>6</v>
      </c>
      <c r="F450" s="193" t="s">
        <v>38</v>
      </c>
      <c r="G450" s="193">
        <v>10</v>
      </c>
      <c r="H450" s="193" t="s">
        <v>121</v>
      </c>
      <c r="I450" s="193" t="s">
        <v>33</v>
      </c>
      <c r="J450" s="194">
        <v>6</v>
      </c>
      <c r="K450" s="193" t="s">
        <v>38</v>
      </c>
      <c r="L450" s="193">
        <v>10</v>
      </c>
      <c r="M450" s="193" t="s">
        <v>38</v>
      </c>
      <c r="N450" s="193" t="s">
        <v>48</v>
      </c>
      <c r="O450" s="194">
        <v>16</v>
      </c>
      <c r="P450" s="194" t="s">
        <v>863</v>
      </c>
      <c r="Q450" s="521">
        <f>R450*(1-Bolts!$E$1179)</f>
        <v>300.10000000000002</v>
      </c>
      <c r="R450" s="150">
        <v>300.10000000000002</v>
      </c>
      <c r="S450" s="168">
        <f t="shared" si="218"/>
        <v>0</v>
      </c>
      <c r="T450" s="211"/>
      <c r="U450" s="169"/>
      <c r="V450" s="170"/>
      <c r="W450" s="171"/>
      <c r="X450" s="172"/>
      <c r="Y450" s="173"/>
      <c r="Z450" s="174"/>
      <c r="AA450" s="175"/>
      <c r="AB450" s="176"/>
      <c r="AC450" s="168">
        <f t="shared" si="219"/>
        <v>0</v>
      </c>
      <c r="AD450" s="177">
        <f t="shared" si="220"/>
        <v>0</v>
      </c>
      <c r="AE450" s="178">
        <v>13.75</v>
      </c>
      <c r="AF450" s="179">
        <f t="shared" si="221"/>
        <v>0</v>
      </c>
      <c r="AH450" s="180"/>
      <c r="AK450" s="1"/>
      <c r="AL450" s="1"/>
      <c r="AM450" s="1"/>
      <c r="AN450" s="1"/>
    </row>
    <row r="451" spans="1:40" ht="12.75" customHeight="1">
      <c r="A451" s="87"/>
      <c r="B451" s="192" t="s">
        <v>864</v>
      </c>
      <c r="C451" s="193" t="s">
        <v>55</v>
      </c>
      <c r="D451" s="193" t="s">
        <v>48</v>
      </c>
      <c r="E451" s="194">
        <v>10</v>
      </c>
      <c r="F451" s="193" t="s">
        <v>38</v>
      </c>
      <c r="G451" s="193">
        <v>10</v>
      </c>
      <c r="H451" s="193" t="s">
        <v>121</v>
      </c>
      <c r="I451" s="193" t="s">
        <v>33</v>
      </c>
      <c r="J451" s="194">
        <v>10</v>
      </c>
      <c r="K451" s="193" t="s">
        <v>38</v>
      </c>
      <c r="L451" s="193">
        <v>10</v>
      </c>
      <c r="M451" s="193" t="s">
        <v>38</v>
      </c>
      <c r="N451" s="193" t="s">
        <v>48</v>
      </c>
      <c r="O451" s="194">
        <v>20</v>
      </c>
      <c r="P451" s="194" t="s">
        <v>865</v>
      </c>
      <c r="Q451" s="521">
        <f>R451*(1-Bolts!$E$1179)</f>
        <v>219.4</v>
      </c>
      <c r="R451" s="150">
        <v>219.4</v>
      </c>
      <c r="S451" s="168">
        <f t="shared" si="218"/>
        <v>0</v>
      </c>
      <c r="T451" s="211"/>
      <c r="U451" s="169"/>
      <c r="V451" s="170"/>
      <c r="W451" s="171"/>
      <c r="X451" s="172"/>
      <c r="Y451" s="173"/>
      <c r="Z451" s="174"/>
      <c r="AA451" s="175"/>
      <c r="AB451" s="176"/>
      <c r="AC451" s="168">
        <f t="shared" si="219"/>
        <v>0</v>
      </c>
      <c r="AD451" s="177">
        <f t="shared" si="220"/>
        <v>0</v>
      </c>
      <c r="AE451" s="178">
        <v>8.26</v>
      </c>
      <c r="AF451" s="179">
        <f t="shared" si="221"/>
        <v>0</v>
      </c>
      <c r="AH451" s="180"/>
      <c r="AK451" s="1"/>
      <c r="AL451" s="1"/>
      <c r="AM451" s="1"/>
      <c r="AN451" s="1"/>
    </row>
    <row r="452" spans="1:40" ht="12.75" customHeight="1">
      <c r="A452" s="87"/>
      <c r="B452" s="185"/>
      <c r="C452" s="165"/>
      <c r="D452" s="165"/>
      <c r="E452" s="166"/>
      <c r="F452" s="165"/>
      <c r="G452" s="165"/>
      <c r="H452" s="165"/>
      <c r="I452" s="165"/>
      <c r="J452" s="166"/>
      <c r="K452" s="165"/>
      <c r="L452" s="165"/>
      <c r="M452" s="165"/>
      <c r="N452" s="165"/>
      <c r="O452" s="166"/>
      <c r="P452" s="166"/>
      <c r="Q452" s="522"/>
      <c r="R452" s="150"/>
      <c r="S452" s="186"/>
      <c r="T452" s="187"/>
      <c r="U452" s="187"/>
      <c r="V452" s="188"/>
      <c r="W452" s="187"/>
      <c r="X452" s="187"/>
      <c r="Y452" s="187"/>
      <c r="Z452" s="187"/>
      <c r="AA452" s="187"/>
      <c r="AB452" s="188"/>
      <c r="AC452" s="186"/>
      <c r="AD452" s="189"/>
      <c r="AE452" s="190"/>
      <c r="AF452" s="191"/>
      <c r="AH452" s="180"/>
      <c r="AK452" s="1"/>
      <c r="AL452" s="1"/>
      <c r="AM452" s="1"/>
      <c r="AN452" s="1"/>
    </row>
    <row r="453" spans="1:40" ht="12.75" customHeight="1">
      <c r="A453" s="87"/>
      <c r="B453" s="192" t="s">
        <v>866</v>
      </c>
      <c r="C453" s="193" t="s">
        <v>55</v>
      </c>
      <c r="D453" s="193" t="s">
        <v>65</v>
      </c>
      <c r="E453" s="194">
        <v>20</v>
      </c>
      <c r="F453" s="193"/>
      <c r="G453" s="193"/>
      <c r="H453" s="193" t="s">
        <v>121</v>
      </c>
      <c r="I453" s="193" t="s">
        <v>39</v>
      </c>
      <c r="J453" s="194">
        <v>20</v>
      </c>
      <c r="K453" s="193"/>
      <c r="L453" s="193"/>
      <c r="M453" s="193" t="s">
        <v>39</v>
      </c>
      <c r="N453" s="193" t="s">
        <v>48</v>
      </c>
      <c r="O453" s="194">
        <v>20</v>
      </c>
      <c r="P453" s="194" t="s">
        <v>867</v>
      </c>
      <c r="Q453" s="521">
        <f>R453*(1-Bolts!$E$1179)</f>
        <v>187.9</v>
      </c>
      <c r="R453" s="150">
        <v>187.9</v>
      </c>
      <c r="S453" s="168">
        <f t="shared" ref="S453:S455" si="222">SUM(T453:AB453)</f>
        <v>0</v>
      </c>
      <c r="T453" s="211"/>
      <c r="U453" s="169"/>
      <c r="V453" s="170"/>
      <c r="W453" s="171"/>
      <c r="X453" s="172"/>
      <c r="Y453" s="173"/>
      <c r="Z453" s="174"/>
      <c r="AA453" s="175"/>
      <c r="AB453" s="176"/>
      <c r="AC453" s="168">
        <f t="shared" ref="AC453:AC455" si="223">S453*O453</f>
        <v>0</v>
      </c>
      <c r="AD453" s="177">
        <f t="shared" ref="AD453:AD455" si="224">S453*R453</f>
        <v>0</v>
      </c>
      <c r="AE453" s="178">
        <v>6.37</v>
      </c>
      <c r="AF453" s="179">
        <f t="shared" ref="AF453:AF455" si="225">AE453*S453</f>
        <v>0</v>
      </c>
      <c r="AH453" s="180"/>
      <c r="AK453" s="1"/>
      <c r="AL453" s="1"/>
      <c r="AM453" s="1"/>
      <c r="AN453" s="1"/>
    </row>
    <row r="454" spans="1:40" ht="12.75" customHeight="1">
      <c r="A454" s="87"/>
      <c r="B454" s="192" t="s">
        <v>868</v>
      </c>
      <c r="C454" s="193" t="s">
        <v>56</v>
      </c>
      <c r="D454" s="193" t="s">
        <v>65</v>
      </c>
      <c r="E454" s="194">
        <v>19</v>
      </c>
      <c r="F454" s="193"/>
      <c r="G454" s="193"/>
      <c r="H454" s="193" t="s">
        <v>121</v>
      </c>
      <c r="I454" s="193" t="s">
        <v>39</v>
      </c>
      <c r="J454" s="194">
        <v>19</v>
      </c>
      <c r="K454" s="193"/>
      <c r="L454" s="193"/>
      <c r="M454" s="193" t="s">
        <v>39</v>
      </c>
      <c r="N454" s="193" t="s">
        <v>48</v>
      </c>
      <c r="O454" s="194">
        <v>19</v>
      </c>
      <c r="P454" s="194" t="s">
        <v>869</v>
      </c>
      <c r="Q454" s="521">
        <f>R454*(1-Bolts!$E$1179)</f>
        <v>0</v>
      </c>
      <c r="R454" s="150"/>
      <c r="S454" s="168">
        <f t="shared" si="222"/>
        <v>0</v>
      </c>
      <c r="T454" s="211"/>
      <c r="U454" s="169"/>
      <c r="V454" s="170"/>
      <c r="W454" s="171"/>
      <c r="X454" s="172"/>
      <c r="Y454" s="173"/>
      <c r="Z454" s="174"/>
      <c r="AA454" s="175"/>
      <c r="AB454" s="176"/>
      <c r="AC454" s="168">
        <f t="shared" si="223"/>
        <v>0</v>
      </c>
      <c r="AD454" s="177">
        <f t="shared" si="224"/>
        <v>0</v>
      </c>
      <c r="AE454" s="178">
        <v>5.4</v>
      </c>
      <c r="AF454" s="179">
        <f t="shared" si="225"/>
        <v>0</v>
      </c>
      <c r="AH454" s="180"/>
      <c r="AK454" s="1"/>
      <c r="AL454" s="1"/>
      <c r="AM454" s="1"/>
      <c r="AN454" s="1"/>
    </row>
    <row r="455" spans="1:40" ht="12.75" customHeight="1">
      <c r="A455" s="87"/>
      <c r="B455" s="192" t="s">
        <v>870</v>
      </c>
      <c r="C455" s="193" t="s">
        <v>55</v>
      </c>
      <c r="D455" s="193" t="s">
        <v>65</v>
      </c>
      <c r="E455" s="194">
        <v>19</v>
      </c>
      <c r="F455" s="193"/>
      <c r="G455" s="193"/>
      <c r="H455" s="193" t="s">
        <v>121</v>
      </c>
      <c r="I455" s="193" t="s">
        <v>39</v>
      </c>
      <c r="J455" s="194">
        <v>19</v>
      </c>
      <c r="K455" s="193"/>
      <c r="L455" s="193"/>
      <c r="M455" s="193" t="s">
        <v>39</v>
      </c>
      <c r="N455" s="193" t="s">
        <v>48</v>
      </c>
      <c r="O455" s="194">
        <v>19</v>
      </c>
      <c r="P455" s="194" t="s">
        <v>871</v>
      </c>
      <c r="Q455" s="521">
        <f>R455*(1-Bolts!$E$1179)</f>
        <v>178.9</v>
      </c>
      <c r="R455" s="150">
        <v>178.9</v>
      </c>
      <c r="S455" s="168">
        <f t="shared" si="222"/>
        <v>0</v>
      </c>
      <c r="T455" s="211"/>
      <c r="U455" s="169"/>
      <c r="V455" s="170"/>
      <c r="W455" s="171"/>
      <c r="X455" s="172"/>
      <c r="Y455" s="173"/>
      <c r="Z455" s="174"/>
      <c r="AA455" s="175"/>
      <c r="AB455" s="176"/>
      <c r="AC455" s="168">
        <f t="shared" si="223"/>
        <v>0</v>
      </c>
      <c r="AD455" s="177">
        <f t="shared" si="224"/>
        <v>0</v>
      </c>
      <c r="AE455" s="178">
        <v>6</v>
      </c>
      <c r="AF455" s="179">
        <f t="shared" si="225"/>
        <v>0</v>
      </c>
      <c r="AH455" s="180"/>
      <c r="AK455" s="1"/>
      <c r="AL455" s="1"/>
      <c r="AM455" s="1"/>
      <c r="AN455" s="1"/>
    </row>
    <row r="456" spans="1:40" ht="12.75" customHeight="1">
      <c r="A456" s="87"/>
      <c r="B456" s="185"/>
      <c r="C456" s="165"/>
      <c r="D456" s="165"/>
      <c r="E456" s="166"/>
      <c r="F456" s="165"/>
      <c r="G456" s="165"/>
      <c r="H456" s="165"/>
      <c r="I456" s="165"/>
      <c r="J456" s="166"/>
      <c r="K456" s="165"/>
      <c r="L456" s="165"/>
      <c r="M456" s="165"/>
      <c r="N456" s="165"/>
      <c r="O456" s="166"/>
      <c r="P456" s="166"/>
      <c r="Q456" s="522"/>
      <c r="R456" s="150"/>
      <c r="S456" s="186"/>
      <c r="T456" s="187"/>
      <c r="U456" s="187"/>
      <c r="V456" s="188"/>
      <c r="W456" s="187"/>
      <c r="X456" s="187"/>
      <c r="Y456" s="187"/>
      <c r="Z456" s="187"/>
      <c r="AA456" s="187"/>
      <c r="AB456" s="188"/>
      <c r="AC456" s="186"/>
      <c r="AD456" s="189"/>
      <c r="AE456" s="190"/>
      <c r="AF456" s="191"/>
      <c r="AH456" s="180"/>
      <c r="AK456" s="1"/>
      <c r="AL456" s="1"/>
      <c r="AM456" s="1"/>
      <c r="AN456" s="1"/>
    </row>
    <row r="457" spans="1:40" ht="12.75" customHeight="1">
      <c r="A457" s="87"/>
      <c r="B457" s="192" t="s">
        <v>872</v>
      </c>
      <c r="C457" s="193" t="s">
        <v>55</v>
      </c>
      <c r="D457" s="193" t="s">
        <v>38</v>
      </c>
      <c r="E457" s="194">
        <v>19</v>
      </c>
      <c r="F457" s="193"/>
      <c r="G457" s="193"/>
      <c r="H457" s="193" t="s">
        <v>121</v>
      </c>
      <c r="I457" s="193" t="s">
        <v>38</v>
      </c>
      <c r="J457" s="194">
        <v>19</v>
      </c>
      <c r="K457" s="193"/>
      <c r="L457" s="193"/>
      <c r="M457" s="193" t="s">
        <v>38</v>
      </c>
      <c r="N457" s="193" t="s">
        <v>48</v>
      </c>
      <c r="O457" s="194">
        <v>19</v>
      </c>
      <c r="P457" s="194" t="s">
        <v>873</v>
      </c>
      <c r="Q457" s="521">
        <f>R457*(1-Bolts!$E$1179)</f>
        <v>100</v>
      </c>
      <c r="R457" s="150">
        <v>100</v>
      </c>
      <c r="S457" s="168">
        <f>SUM(T457:AB457)</f>
        <v>0</v>
      </c>
      <c r="T457" s="211"/>
      <c r="U457" s="169"/>
      <c r="V457" s="170"/>
      <c r="W457" s="171"/>
      <c r="X457" s="172"/>
      <c r="Y457" s="173"/>
      <c r="Z457" s="174"/>
      <c r="AA457" s="175"/>
      <c r="AB457" s="176"/>
      <c r="AC457" s="168">
        <f>S457*O457</f>
        <v>0</v>
      </c>
      <c r="AD457" s="177">
        <f>S457*R457</f>
        <v>0</v>
      </c>
      <c r="AE457" s="178">
        <v>1.55</v>
      </c>
      <c r="AF457" s="179">
        <f>AE457*S457</f>
        <v>0</v>
      </c>
      <c r="AH457" s="180"/>
      <c r="AK457" s="1"/>
      <c r="AL457" s="1"/>
      <c r="AM457" s="1"/>
      <c r="AN457" s="1"/>
    </row>
    <row r="458" spans="1:40" ht="12.75" customHeight="1">
      <c r="A458" s="87"/>
      <c r="B458" s="185"/>
      <c r="C458" s="165"/>
      <c r="D458" s="165"/>
      <c r="E458" s="166"/>
      <c r="F458" s="165"/>
      <c r="G458" s="165"/>
      <c r="H458" s="165"/>
      <c r="I458" s="165"/>
      <c r="J458" s="166"/>
      <c r="K458" s="165"/>
      <c r="L458" s="165"/>
      <c r="M458" s="165"/>
      <c r="N458" s="165"/>
      <c r="O458" s="166"/>
      <c r="P458" s="166"/>
      <c r="Q458" s="522"/>
      <c r="R458" s="150"/>
      <c r="S458" s="186"/>
      <c r="T458" s="187"/>
      <c r="U458" s="187"/>
      <c r="V458" s="188"/>
      <c r="W458" s="187"/>
      <c r="X458" s="187"/>
      <c r="Y458" s="187"/>
      <c r="Z458" s="187"/>
      <c r="AA458" s="187"/>
      <c r="AB458" s="188"/>
      <c r="AC458" s="186"/>
      <c r="AD458" s="189"/>
      <c r="AE458" s="190"/>
      <c r="AF458" s="191"/>
      <c r="AH458" s="180"/>
      <c r="AK458" s="1"/>
      <c r="AL458" s="1"/>
      <c r="AM458" s="1"/>
      <c r="AN458" s="1"/>
    </row>
    <row r="459" spans="1:40" ht="12.75" customHeight="1">
      <c r="A459" s="87"/>
      <c r="B459" s="192" t="s">
        <v>874</v>
      </c>
      <c r="C459" s="193" t="s">
        <v>55</v>
      </c>
      <c r="D459" s="193" t="s">
        <v>38</v>
      </c>
      <c r="E459" s="194">
        <v>10</v>
      </c>
      <c r="F459" s="193"/>
      <c r="G459" s="193"/>
      <c r="H459" s="193" t="s">
        <v>121</v>
      </c>
      <c r="I459" s="193" t="s">
        <v>38</v>
      </c>
      <c r="J459" s="194">
        <v>10</v>
      </c>
      <c r="K459" s="193"/>
      <c r="L459" s="193"/>
      <c r="M459" s="193" t="s">
        <v>38</v>
      </c>
      <c r="N459" s="193" t="s">
        <v>49</v>
      </c>
      <c r="O459" s="194">
        <v>10</v>
      </c>
      <c r="P459" s="194" t="s">
        <v>875</v>
      </c>
      <c r="Q459" s="521">
        <f>R459*(1-Bolts!$E$1179)</f>
        <v>74.3</v>
      </c>
      <c r="R459" s="150">
        <v>74.3</v>
      </c>
      <c r="S459" s="168">
        <f t="shared" ref="S459:S462" si="226">SUM(T459:AB459)</f>
        <v>0</v>
      </c>
      <c r="T459" s="211"/>
      <c r="U459" s="169"/>
      <c r="V459" s="170"/>
      <c r="W459" s="171"/>
      <c r="X459" s="172"/>
      <c r="Y459" s="173"/>
      <c r="Z459" s="174"/>
      <c r="AA459" s="175"/>
      <c r="AB459" s="176"/>
      <c r="AC459" s="168">
        <f t="shared" ref="AC459:AC462" si="227">S459*O459</f>
        <v>0</v>
      </c>
      <c r="AD459" s="177">
        <f t="shared" ref="AD459:AD462" si="228">S459*R459</f>
        <v>0</v>
      </c>
      <c r="AE459" s="178">
        <v>1.4</v>
      </c>
      <c r="AF459" s="179">
        <f t="shared" ref="AF459:AF462" si="229">AE459*S459</f>
        <v>0</v>
      </c>
      <c r="AH459" s="180"/>
      <c r="AK459" s="1"/>
      <c r="AL459" s="1"/>
      <c r="AM459" s="1"/>
      <c r="AN459" s="1"/>
    </row>
    <row r="460" spans="1:40" ht="12.75" hidden="1" customHeight="1">
      <c r="A460" s="87" t="s">
        <v>262</v>
      </c>
      <c r="B460" s="203" t="s">
        <v>876</v>
      </c>
      <c r="C460" s="193" t="s">
        <v>55</v>
      </c>
      <c r="D460" s="193" t="s">
        <v>38</v>
      </c>
      <c r="E460" s="194">
        <v>5</v>
      </c>
      <c r="F460" s="193"/>
      <c r="G460" s="193"/>
      <c r="H460" s="193" t="s">
        <v>121</v>
      </c>
      <c r="I460" s="193" t="s">
        <v>38</v>
      </c>
      <c r="J460" s="194">
        <v>5</v>
      </c>
      <c r="K460" s="193"/>
      <c r="L460" s="193"/>
      <c r="M460" s="193" t="s">
        <v>38</v>
      </c>
      <c r="N460" s="193" t="s">
        <v>49</v>
      </c>
      <c r="O460" s="194">
        <v>5</v>
      </c>
      <c r="P460" s="194" t="s">
        <v>877</v>
      </c>
      <c r="Q460" s="521">
        <f>R460*(1-Bolts!$E$1179)</f>
        <v>66.400000000000006</v>
      </c>
      <c r="R460" s="150">
        <v>66.400000000000006</v>
      </c>
      <c r="S460" s="168">
        <f t="shared" si="226"/>
        <v>0</v>
      </c>
      <c r="T460" s="211"/>
      <c r="U460" s="169"/>
      <c r="V460" s="170"/>
      <c r="W460" s="171"/>
      <c r="X460" s="172"/>
      <c r="Y460" s="173"/>
      <c r="Z460" s="174"/>
      <c r="AA460" s="175"/>
      <c r="AB460" s="176"/>
      <c r="AC460" s="168">
        <f t="shared" si="227"/>
        <v>0</v>
      </c>
      <c r="AD460" s="177">
        <f t="shared" si="228"/>
        <v>0</v>
      </c>
      <c r="AE460" s="178">
        <v>1.68</v>
      </c>
      <c r="AF460" s="179">
        <f t="shared" si="229"/>
        <v>0</v>
      </c>
      <c r="AH460" s="180"/>
      <c r="AK460" s="1"/>
      <c r="AL460" s="1"/>
      <c r="AM460" s="1"/>
      <c r="AN460" s="1"/>
    </row>
    <row r="461" spans="1:40" ht="12.75" customHeight="1">
      <c r="A461" s="87"/>
      <c r="B461" s="192" t="s">
        <v>878</v>
      </c>
      <c r="C461" s="193" t="s">
        <v>55</v>
      </c>
      <c r="D461" s="193" t="s">
        <v>38</v>
      </c>
      <c r="E461" s="194">
        <v>11</v>
      </c>
      <c r="F461" s="193"/>
      <c r="G461" s="193"/>
      <c r="H461" s="193" t="s">
        <v>121</v>
      </c>
      <c r="I461" s="193" t="s">
        <v>38</v>
      </c>
      <c r="J461" s="194">
        <v>11</v>
      </c>
      <c r="K461" s="193"/>
      <c r="L461" s="193"/>
      <c r="M461" s="193" t="s">
        <v>38</v>
      </c>
      <c r="N461" s="193" t="s">
        <v>49</v>
      </c>
      <c r="O461" s="194">
        <v>11</v>
      </c>
      <c r="P461" s="194" t="s">
        <v>879</v>
      </c>
      <c r="Q461" s="521">
        <f>R461*(1-Bolts!$E$1179)</f>
        <v>122.3</v>
      </c>
      <c r="R461" s="150">
        <v>122.3</v>
      </c>
      <c r="S461" s="168">
        <f t="shared" si="226"/>
        <v>0</v>
      </c>
      <c r="T461" s="211"/>
      <c r="U461" s="169"/>
      <c r="V461" s="170"/>
      <c r="W461" s="171"/>
      <c r="X461" s="172"/>
      <c r="Y461" s="173"/>
      <c r="Z461" s="174"/>
      <c r="AA461" s="175"/>
      <c r="AB461" s="176"/>
      <c r="AC461" s="168">
        <f t="shared" si="227"/>
        <v>0</v>
      </c>
      <c r="AD461" s="177">
        <f t="shared" si="228"/>
        <v>0</v>
      </c>
      <c r="AE461" s="178">
        <v>4.04</v>
      </c>
      <c r="AF461" s="179">
        <f t="shared" si="229"/>
        <v>0</v>
      </c>
      <c r="AH461" s="180"/>
      <c r="AK461" s="1"/>
      <c r="AL461" s="1"/>
      <c r="AM461" s="1"/>
      <c r="AN461" s="1"/>
    </row>
    <row r="462" spans="1:40" ht="12.75" customHeight="1">
      <c r="A462" s="87"/>
      <c r="B462" s="192" t="s">
        <v>880</v>
      </c>
      <c r="C462" s="193" t="s">
        <v>55</v>
      </c>
      <c r="D462" s="193" t="s">
        <v>38</v>
      </c>
      <c r="E462" s="194">
        <v>5</v>
      </c>
      <c r="F462" s="193"/>
      <c r="G462" s="193"/>
      <c r="H462" s="193" t="s">
        <v>121</v>
      </c>
      <c r="I462" s="193" t="s">
        <v>38</v>
      </c>
      <c r="J462" s="194">
        <v>5</v>
      </c>
      <c r="K462" s="193"/>
      <c r="L462" s="193"/>
      <c r="M462" s="193" t="s">
        <v>38</v>
      </c>
      <c r="N462" s="193" t="s">
        <v>49</v>
      </c>
      <c r="O462" s="194">
        <v>5</v>
      </c>
      <c r="P462" s="194" t="s">
        <v>881</v>
      </c>
      <c r="Q462" s="521">
        <f>R462*(1-Bolts!$E$1179)</f>
        <v>85.7</v>
      </c>
      <c r="R462" s="150">
        <v>85.7</v>
      </c>
      <c r="S462" s="168">
        <f t="shared" si="226"/>
        <v>0</v>
      </c>
      <c r="T462" s="211"/>
      <c r="U462" s="169"/>
      <c r="V462" s="170"/>
      <c r="W462" s="171"/>
      <c r="X462" s="172"/>
      <c r="Y462" s="173"/>
      <c r="Z462" s="174"/>
      <c r="AA462" s="175"/>
      <c r="AB462" s="176"/>
      <c r="AC462" s="168">
        <f t="shared" si="227"/>
        <v>0</v>
      </c>
      <c r="AD462" s="177">
        <f t="shared" si="228"/>
        <v>0</v>
      </c>
      <c r="AE462" s="178">
        <v>2.81</v>
      </c>
      <c r="AF462" s="179">
        <f t="shared" si="229"/>
        <v>0</v>
      </c>
      <c r="AH462" s="180"/>
      <c r="AK462" s="1"/>
      <c r="AL462" s="1"/>
      <c r="AM462" s="1"/>
      <c r="AN462" s="1"/>
    </row>
    <row r="463" spans="1:40" ht="12.75" customHeight="1">
      <c r="A463" s="138" t="s">
        <v>146</v>
      </c>
      <c r="B463" s="220" t="s">
        <v>882</v>
      </c>
      <c r="C463" s="221" t="str">
        <f>B463</f>
        <v>Noah</v>
      </c>
      <c r="D463" s="142"/>
      <c r="E463" s="142"/>
      <c r="F463" s="142"/>
      <c r="G463" s="142"/>
      <c r="H463" s="142" t="s">
        <v>121</v>
      </c>
      <c r="I463" s="142"/>
      <c r="J463" s="142"/>
      <c r="K463" s="142"/>
      <c r="L463" s="142"/>
      <c r="M463" s="142"/>
      <c r="N463" s="142"/>
      <c r="O463" s="142"/>
      <c r="P463" s="142"/>
      <c r="Q463" s="525"/>
      <c r="R463" s="150"/>
      <c r="S463" s="142"/>
      <c r="T463" s="142"/>
      <c r="U463" s="142"/>
      <c r="V463" s="142"/>
      <c r="W463" s="142"/>
      <c r="X463" s="142"/>
      <c r="Y463" s="142"/>
      <c r="Z463" s="142"/>
      <c r="AA463" s="142"/>
      <c r="AB463" s="142"/>
      <c r="AC463" s="142"/>
      <c r="AD463" s="142"/>
      <c r="AE463" s="142"/>
      <c r="AF463" s="217"/>
      <c r="AH463" s="180"/>
      <c r="AK463" s="1"/>
      <c r="AL463" s="1"/>
      <c r="AM463" s="1"/>
      <c r="AN463" s="1"/>
    </row>
    <row r="464" spans="1:40" ht="12.75" customHeight="1">
      <c r="A464" s="87"/>
      <c r="B464" s="222" t="s">
        <v>883</v>
      </c>
      <c r="C464" s="223" t="s">
        <v>57</v>
      </c>
      <c r="D464" s="223" t="s">
        <v>63</v>
      </c>
      <c r="E464" s="224">
        <v>20</v>
      </c>
      <c r="F464" s="223" t="s">
        <v>38</v>
      </c>
      <c r="G464" s="223">
        <v>25</v>
      </c>
      <c r="H464" s="223" t="s">
        <v>121</v>
      </c>
      <c r="I464" s="223" t="s">
        <v>29</v>
      </c>
      <c r="J464" s="224">
        <v>20</v>
      </c>
      <c r="K464" s="223" t="s">
        <v>38</v>
      </c>
      <c r="L464" s="223">
        <v>25</v>
      </c>
      <c r="M464" s="223" t="s">
        <v>29</v>
      </c>
      <c r="N464" s="223" t="s">
        <v>48</v>
      </c>
      <c r="O464" s="224">
        <v>45</v>
      </c>
      <c r="P464" s="224" t="s">
        <v>884</v>
      </c>
      <c r="Q464" s="520">
        <f>R464*(1-Bolts!$E$1179)</f>
        <v>591.79999999999995</v>
      </c>
      <c r="R464" s="150">
        <v>591.79999999999995</v>
      </c>
      <c r="S464" s="151">
        <f t="shared" ref="S464:S466" si="230">SUM(T464:AB464)</f>
        <v>0</v>
      </c>
      <c r="T464" s="152"/>
      <c r="U464" s="153"/>
      <c r="V464" s="154"/>
      <c r="W464" s="155"/>
      <c r="X464" s="156"/>
      <c r="Y464" s="157"/>
      <c r="Z464" s="158"/>
      <c r="AA464" s="159"/>
      <c r="AB464" s="160"/>
      <c r="AC464" s="151">
        <f t="shared" ref="AC464:AC466" si="231">S464*O464</f>
        <v>0</v>
      </c>
      <c r="AD464" s="161">
        <f t="shared" ref="AD464:AD466" si="232">S464*R464</f>
        <v>0</v>
      </c>
      <c r="AE464" s="162">
        <v>44.07</v>
      </c>
      <c r="AF464" s="163">
        <f t="shared" ref="AF464:AF466" si="233">AE464*S464</f>
        <v>0</v>
      </c>
      <c r="AH464" s="209"/>
      <c r="AK464" s="1"/>
      <c r="AL464" s="1"/>
      <c r="AM464" s="1"/>
      <c r="AN464" s="1"/>
    </row>
    <row r="465" spans="1:40" ht="12.75" customHeight="1">
      <c r="A465" s="87"/>
      <c r="B465" s="192" t="s">
        <v>885</v>
      </c>
      <c r="C465" s="193" t="s">
        <v>57</v>
      </c>
      <c r="D465" s="193" t="s">
        <v>38</v>
      </c>
      <c r="E465" s="194">
        <v>25</v>
      </c>
      <c r="F465" s="193"/>
      <c r="G465" s="193"/>
      <c r="H465" s="193" t="s">
        <v>121</v>
      </c>
      <c r="I465" s="193" t="s">
        <v>38</v>
      </c>
      <c r="J465" s="194">
        <v>25</v>
      </c>
      <c r="K465" s="193"/>
      <c r="L465" s="193"/>
      <c r="M465" s="193" t="s">
        <v>38</v>
      </c>
      <c r="N465" s="193" t="s">
        <v>49</v>
      </c>
      <c r="O465" s="194">
        <v>25</v>
      </c>
      <c r="P465" s="194" t="s">
        <v>886</v>
      </c>
      <c r="Q465" s="521">
        <f>R465*(1-Bolts!$E$1179)</f>
        <v>275.7</v>
      </c>
      <c r="R465" s="150">
        <v>275.7</v>
      </c>
      <c r="S465" s="168">
        <f t="shared" si="230"/>
        <v>0</v>
      </c>
      <c r="T465" s="211"/>
      <c r="U465" s="169"/>
      <c r="V465" s="170"/>
      <c r="W465" s="171"/>
      <c r="X465" s="172"/>
      <c r="Y465" s="173"/>
      <c r="Z465" s="174"/>
      <c r="AA465" s="175"/>
      <c r="AB465" s="176"/>
      <c r="AC465" s="168">
        <f t="shared" si="231"/>
        <v>0</v>
      </c>
      <c r="AD465" s="177">
        <f t="shared" si="232"/>
        <v>0</v>
      </c>
      <c r="AE465" s="178">
        <v>10.89</v>
      </c>
      <c r="AF465" s="179">
        <f t="shared" si="233"/>
        <v>0</v>
      </c>
      <c r="AH465" s="180"/>
      <c r="AK465" s="1"/>
      <c r="AL465" s="1"/>
      <c r="AM465" s="1"/>
      <c r="AN465" s="1"/>
    </row>
    <row r="466" spans="1:40" ht="12.75" customHeight="1">
      <c r="A466" s="87"/>
      <c r="B466" s="192" t="s">
        <v>887</v>
      </c>
      <c r="C466" s="193" t="s">
        <v>57</v>
      </c>
      <c r="D466" s="193" t="s">
        <v>63</v>
      </c>
      <c r="E466" s="194">
        <v>10</v>
      </c>
      <c r="F466" s="193"/>
      <c r="G466" s="193"/>
      <c r="H466" s="193" t="s">
        <v>121</v>
      </c>
      <c r="I466" s="193" t="s">
        <v>29</v>
      </c>
      <c r="J466" s="194">
        <v>10</v>
      </c>
      <c r="K466" s="193"/>
      <c r="L466" s="193"/>
      <c r="M466" s="193" t="s">
        <v>29</v>
      </c>
      <c r="N466" s="193" t="s">
        <v>47</v>
      </c>
      <c r="O466" s="194">
        <v>10</v>
      </c>
      <c r="P466" s="194" t="s">
        <v>888</v>
      </c>
      <c r="Q466" s="521">
        <f>R466*(1-Bolts!$E$1179)</f>
        <v>342.2</v>
      </c>
      <c r="R466" s="150">
        <v>342.2</v>
      </c>
      <c r="S466" s="168">
        <f t="shared" si="230"/>
        <v>0</v>
      </c>
      <c r="T466" s="211"/>
      <c r="U466" s="169"/>
      <c r="V466" s="170"/>
      <c r="W466" s="171"/>
      <c r="X466" s="172"/>
      <c r="Y466" s="173"/>
      <c r="Z466" s="174"/>
      <c r="AA466" s="175"/>
      <c r="AB466" s="176"/>
      <c r="AC466" s="168">
        <f t="shared" si="231"/>
        <v>0</v>
      </c>
      <c r="AD466" s="177">
        <f t="shared" si="232"/>
        <v>0</v>
      </c>
      <c r="AE466" s="178">
        <v>16.59</v>
      </c>
      <c r="AF466" s="179">
        <f t="shared" si="233"/>
        <v>0</v>
      </c>
      <c r="AH466" s="180"/>
      <c r="AK466" s="1"/>
      <c r="AL466" s="1"/>
      <c r="AM466" s="1"/>
      <c r="AN466" s="1"/>
    </row>
    <row r="467" spans="1:40" ht="12.75" customHeight="1">
      <c r="A467" s="87"/>
      <c r="B467" s="185"/>
      <c r="C467" s="165"/>
      <c r="D467" s="165"/>
      <c r="E467" s="166"/>
      <c r="F467" s="165"/>
      <c r="G467" s="165"/>
      <c r="H467" s="165"/>
      <c r="I467" s="165"/>
      <c r="J467" s="166"/>
      <c r="K467" s="165"/>
      <c r="L467" s="165"/>
      <c r="M467" s="165"/>
      <c r="N467" s="165"/>
      <c r="O467" s="166"/>
      <c r="P467" s="166"/>
      <c r="Q467" s="522"/>
      <c r="R467" s="150"/>
      <c r="S467" s="186"/>
      <c r="T467" s="187"/>
      <c r="U467" s="187"/>
      <c r="V467" s="188"/>
      <c r="W467" s="187"/>
      <c r="X467" s="187"/>
      <c r="Y467" s="187"/>
      <c r="Z467" s="187"/>
      <c r="AA467" s="187"/>
      <c r="AB467" s="188"/>
      <c r="AC467" s="186"/>
      <c r="AD467" s="189"/>
      <c r="AE467" s="190"/>
      <c r="AF467" s="191"/>
      <c r="AH467" s="180"/>
      <c r="AK467" s="1"/>
      <c r="AL467" s="1"/>
      <c r="AM467" s="1"/>
      <c r="AN467" s="1"/>
    </row>
    <row r="468" spans="1:40" ht="12.75" customHeight="1">
      <c r="A468" s="87"/>
      <c r="B468" s="192" t="s">
        <v>889</v>
      </c>
      <c r="C468" s="193" t="s">
        <v>57</v>
      </c>
      <c r="D468" s="193" t="s">
        <v>60</v>
      </c>
      <c r="E468" s="194">
        <v>3</v>
      </c>
      <c r="F468" s="193"/>
      <c r="G468" s="193"/>
      <c r="H468" s="193" t="s">
        <v>121</v>
      </c>
      <c r="I468" s="193" t="s">
        <v>28</v>
      </c>
      <c r="J468" s="194">
        <v>3</v>
      </c>
      <c r="K468" s="193"/>
      <c r="L468" s="193"/>
      <c r="M468" s="193" t="s">
        <v>28</v>
      </c>
      <c r="N468" s="193" t="s">
        <v>48</v>
      </c>
      <c r="O468" s="194">
        <v>3</v>
      </c>
      <c r="P468" s="194" t="s">
        <v>890</v>
      </c>
      <c r="Q468" s="521">
        <f>R468*(1-Bolts!$E$1179)</f>
        <v>429.2</v>
      </c>
      <c r="R468" s="150">
        <v>429.2</v>
      </c>
      <c r="S468" s="168">
        <f t="shared" ref="S468:S491" si="234">SUM(T468:AB468)</f>
        <v>0</v>
      </c>
      <c r="T468" s="211"/>
      <c r="U468" s="169"/>
      <c r="V468" s="170"/>
      <c r="W468" s="171"/>
      <c r="X468" s="172"/>
      <c r="Y468" s="173"/>
      <c r="Z468" s="174"/>
      <c r="AA468" s="175"/>
      <c r="AB468" s="176"/>
      <c r="AC468" s="168">
        <f t="shared" ref="AC468:AC491" si="235">S468*O468</f>
        <v>0</v>
      </c>
      <c r="AD468" s="177">
        <f t="shared" ref="AD468:AD491" si="236">S468*R468</f>
        <v>0</v>
      </c>
      <c r="AE468" s="178">
        <v>21.67</v>
      </c>
      <c r="AF468" s="179">
        <f t="shared" ref="AF468:AF491" si="237">AE468*S468</f>
        <v>0</v>
      </c>
      <c r="AH468" s="180"/>
      <c r="AK468" s="1"/>
      <c r="AL468" s="1"/>
      <c r="AM468" s="1"/>
      <c r="AN468" s="1"/>
    </row>
    <row r="469" spans="1:40" ht="12.75" customHeight="1">
      <c r="A469" s="87"/>
      <c r="B469" s="195" t="s">
        <v>891</v>
      </c>
      <c r="C469" s="196" t="s">
        <v>57</v>
      </c>
      <c r="D469" s="196" t="s">
        <v>60</v>
      </c>
      <c r="E469" s="197">
        <v>1</v>
      </c>
      <c r="F469" s="196"/>
      <c r="G469" s="196"/>
      <c r="H469" s="196" t="s">
        <v>121</v>
      </c>
      <c r="I469" s="196" t="s">
        <v>28</v>
      </c>
      <c r="J469" s="197">
        <v>1</v>
      </c>
      <c r="K469" s="196"/>
      <c r="L469" s="196"/>
      <c r="M469" s="196" t="s">
        <v>28</v>
      </c>
      <c r="N469" s="196" t="s">
        <v>48</v>
      </c>
      <c r="O469" s="197">
        <v>1</v>
      </c>
      <c r="P469" s="197" t="s">
        <v>892</v>
      </c>
      <c r="Q469" s="523">
        <f>R469*(1-Bolts!$E$1179)</f>
        <v>103.2</v>
      </c>
      <c r="R469" s="150">
        <v>103.2</v>
      </c>
      <c r="S469" s="198">
        <f t="shared" si="234"/>
        <v>0</v>
      </c>
      <c r="T469" s="199"/>
      <c r="U469" s="199"/>
      <c r="V469" s="200"/>
      <c r="W469" s="199"/>
      <c r="X469" s="199"/>
      <c r="Y469" s="199"/>
      <c r="Z469" s="199"/>
      <c r="AA469" s="199"/>
      <c r="AB469" s="199"/>
      <c r="AC469" s="198">
        <f t="shared" si="235"/>
        <v>0</v>
      </c>
      <c r="AD469" s="177">
        <f t="shared" si="236"/>
        <v>0</v>
      </c>
      <c r="AE469" s="201">
        <v>4.09</v>
      </c>
      <c r="AF469" s="202">
        <f t="shared" si="237"/>
        <v>0</v>
      </c>
      <c r="AH469" s="180"/>
      <c r="AK469" s="1"/>
      <c r="AL469" s="1"/>
      <c r="AM469" s="1"/>
      <c r="AN469" s="1"/>
    </row>
    <row r="470" spans="1:40" ht="12.75" customHeight="1">
      <c r="A470" s="87"/>
      <c r="B470" s="195" t="s">
        <v>893</v>
      </c>
      <c r="C470" s="196" t="s">
        <v>57</v>
      </c>
      <c r="D470" s="196" t="s">
        <v>60</v>
      </c>
      <c r="E470" s="197">
        <v>1</v>
      </c>
      <c r="F470" s="196"/>
      <c r="G470" s="196"/>
      <c r="H470" s="196" t="s">
        <v>121</v>
      </c>
      <c r="I470" s="196" t="s">
        <v>28</v>
      </c>
      <c r="J470" s="197">
        <v>1</v>
      </c>
      <c r="K470" s="196"/>
      <c r="L470" s="196"/>
      <c r="M470" s="196" t="s">
        <v>28</v>
      </c>
      <c r="N470" s="196" t="s">
        <v>47</v>
      </c>
      <c r="O470" s="197">
        <v>1</v>
      </c>
      <c r="P470" s="197" t="s">
        <v>894</v>
      </c>
      <c r="Q470" s="523">
        <f>R470*(1-Bolts!$E$1179)</f>
        <v>144.1</v>
      </c>
      <c r="R470" s="150">
        <v>144.1</v>
      </c>
      <c r="S470" s="198">
        <f t="shared" si="234"/>
        <v>0</v>
      </c>
      <c r="T470" s="199"/>
      <c r="U470" s="199"/>
      <c r="V470" s="200"/>
      <c r="W470" s="199"/>
      <c r="X470" s="199"/>
      <c r="Y470" s="199"/>
      <c r="Z470" s="199"/>
      <c r="AA470" s="199"/>
      <c r="AB470" s="199"/>
      <c r="AC470" s="198">
        <f t="shared" si="235"/>
        <v>0</v>
      </c>
      <c r="AD470" s="177">
        <f t="shared" si="236"/>
        <v>0</v>
      </c>
      <c r="AE470" s="201">
        <v>6.47</v>
      </c>
      <c r="AF470" s="202">
        <f t="shared" si="237"/>
        <v>0</v>
      </c>
      <c r="AH470" s="180"/>
      <c r="AK470" s="1"/>
      <c r="AL470" s="1"/>
      <c r="AM470" s="1"/>
      <c r="AN470" s="1"/>
    </row>
    <row r="471" spans="1:40" ht="12.75" customHeight="1">
      <c r="A471" s="87"/>
      <c r="B471" s="195" t="s">
        <v>895</v>
      </c>
      <c r="C471" s="196" t="s">
        <v>57</v>
      </c>
      <c r="D471" s="196" t="s">
        <v>60</v>
      </c>
      <c r="E471" s="197">
        <v>1</v>
      </c>
      <c r="F471" s="196"/>
      <c r="G471" s="196"/>
      <c r="H471" s="196" t="s">
        <v>121</v>
      </c>
      <c r="I471" s="196" t="s">
        <v>28</v>
      </c>
      <c r="J471" s="197">
        <v>1</v>
      </c>
      <c r="K471" s="196"/>
      <c r="L471" s="196"/>
      <c r="M471" s="196" t="s">
        <v>28</v>
      </c>
      <c r="N471" s="196" t="s">
        <v>49</v>
      </c>
      <c r="O471" s="197">
        <v>1</v>
      </c>
      <c r="P471" s="197" t="s">
        <v>896</v>
      </c>
      <c r="Q471" s="523">
        <f>R471*(1-Bolts!$E$1179)</f>
        <v>223.9</v>
      </c>
      <c r="R471" s="150">
        <v>223.9</v>
      </c>
      <c r="S471" s="198">
        <f t="shared" si="234"/>
        <v>0</v>
      </c>
      <c r="T471" s="199"/>
      <c r="U471" s="199"/>
      <c r="V471" s="200"/>
      <c r="W471" s="199"/>
      <c r="X471" s="199"/>
      <c r="Y471" s="199"/>
      <c r="Z471" s="199"/>
      <c r="AA471" s="199"/>
      <c r="AB471" s="199"/>
      <c r="AC471" s="198">
        <f t="shared" si="235"/>
        <v>0</v>
      </c>
      <c r="AD471" s="177">
        <f t="shared" si="236"/>
        <v>0</v>
      </c>
      <c r="AE471" s="201">
        <v>11.11</v>
      </c>
      <c r="AF471" s="202">
        <f t="shared" si="237"/>
        <v>0</v>
      </c>
      <c r="AH471" s="180"/>
      <c r="AK471" s="1"/>
      <c r="AL471" s="1"/>
      <c r="AM471" s="1"/>
      <c r="AN471" s="1"/>
    </row>
    <row r="472" spans="1:40" ht="12.75" customHeight="1">
      <c r="A472" s="87"/>
      <c r="B472" s="192" t="s">
        <v>897</v>
      </c>
      <c r="C472" s="193" t="s">
        <v>57</v>
      </c>
      <c r="D472" s="193" t="s">
        <v>60</v>
      </c>
      <c r="E472" s="194">
        <v>3</v>
      </c>
      <c r="F472" s="193"/>
      <c r="G472" s="193"/>
      <c r="H472" s="193" t="s">
        <v>121</v>
      </c>
      <c r="I472" s="193" t="s">
        <v>28</v>
      </c>
      <c r="J472" s="194">
        <v>3</v>
      </c>
      <c r="K472" s="193"/>
      <c r="L472" s="193"/>
      <c r="M472" s="193" t="s">
        <v>28</v>
      </c>
      <c r="N472" s="193" t="s">
        <v>47</v>
      </c>
      <c r="O472" s="194">
        <v>3</v>
      </c>
      <c r="P472" s="194" t="s">
        <v>898</v>
      </c>
      <c r="Q472" s="521">
        <f>R472*(1-Bolts!$E$1179)</f>
        <v>453.5</v>
      </c>
      <c r="R472" s="150">
        <v>453.5</v>
      </c>
      <c r="S472" s="168">
        <f t="shared" si="234"/>
        <v>0</v>
      </c>
      <c r="T472" s="211"/>
      <c r="U472" s="169"/>
      <c r="V472" s="170"/>
      <c r="W472" s="171"/>
      <c r="X472" s="172"/>
      <c r="Y472" s="173"/>
      <c r="Z472" s="174"/>
      <c r="AA472" s="175"/>
      <c r="AB472" s="176"/>
      <c r="AC472" s="168">
        <f t="shared" si="235"/>
        <v>0</v>
      </c>
      <c r="AD472" s="177">
        <f t="shared" si="236"/>
        <v>0</v>
      </c>
      <c r="AE472" s="178">
        <v>23.5</v>
      </c>
      <c r="AF472" s="179">
        <f t="shared" si="237"/>
        <v>0</v>
      </c>
      <c r="AH472" s="180"/>
      <c r="AK472" s="1"/>
      <c r="AL472" s="1"/>
      <c r="AM472" s="1"/>
      <c r="AN472" s="1"/>
    </row>
    <row r="473" spans="1:40" ht="12.75" customHeight="1">
      <c r="A473" s="87"/>
      <c r="B473" s="195" t="s">
        <v>899</v>
      </c>
      <c r="C473" s="196" t="s">
        <v>57</v>
      </c>
      <c r="D473" s="196" t="s">
        <v>60</v>
      </c>
      <c r="E473" s="197">
        <v>1</v>
      </c>
      <c r="F473" s="196"/>
      <c r="G473" s="196"/>
      <c r="H473" s="196" t="s">
        <v>121</v>
      </c>
      <c r="I473" s="196" t="s">
        <v>28</v>
      </c>
      <c r="J473" s="197">
        <v>1</v>
      </c>
      <c r="K473" s="196"/>
      <c r="L473" s="196"/>
      <c r="M473" s="196" t="s">
        <v>28</v>
      </c>
      <c r="N473" s="196" t="s">
        <v>48</v>
      </c>
      <c r="O473" s="197">
        <v>1</v>
      </c>
      <c r="P473" s="197" t="s">
        <v>900</v>
      </c>
      <c r="Q473" s="523">
        <f>R473*(1-Bolts!$E$1179)</f>
        <v>125.7</v>
      </c>
      <c r="R473" s="150">
        <v>125.7</v>
      </c>
      <c r="S473" s="198">
        <f t="shared" si="234"/>
        <v>0</v>
      </c>
      <c r="T473" s="199"/>
      <c r="U473" s="199"/>
      <c r="V473" s="200"/>
      <c r="W473" s="199"/>
      <c r="X473" s="199"/>
      <c r="Y473" s="199"/>
      <c r="Z473" s="199"/>
      <c r="AA473" s="199"/>
      <c r="AB473" s="199"/>
      <c r="AC473" s="198">
        <f t="shared" si="235"/>
        <v>0</v>
      </c>
      <c r="AD473" s="177">
        <f t="shared" si="236"/>
        <v>0</v>
      </c>
      <c r="AE473" s="201">
        <v>5.4</v>
      </c>
      <c r="AF473" s="202">
        <f t="shared" si="237"/>
        <v>0</v>
      </c>
      <c r="AH473" s="180"/>
      <c r="AK473" s="1"/>
      <c r="AL473" s="1"/>
      <c r="AM473" s="1"/>
      <c r="AN473" s="1"/>
    </row>
    <row r="474" spans="1:40" ht="12.75" customHeight="1">
      <c r="A474" s="87"/>
      <c r="B474" s="195" t="s">
        <v>901</v>
      </c>
      <c r="C474" s="196" t="s">
        <v>57</v>
      </c>
      <c r="D474" s="196" t="s">
        <v>60</v>
      </c>
      <c r="E474" s="197">
        <v>1</v>
      </c>
      <c r="F474" s="196"/>
      <c r="G474" s="196"/>
      <c r="H474" s="196" t="s">
        <v>121</v>
      </c>
      <c r="I474" s="196" t="s">
        <v>28</v>
      </c>
      <c r="J474" s="197">
        <v>1</v>
      </c>
      <c r="K474" s="196"/>
      <c r="L474" s="196"/>
      <c r="M474" s="196" t="s">
        <v>28</v>
      </c>
      <c r="N474" s="196" t="s">
        <v>47</v>
      </c>
      <c r="O474" s="197">
        <v>1</v>
      </c>
      <c r="P474" s="197" t="s">
        <v>902</v>
      </c>
      <c r="Q474" s="523">
        <f>R474*(1-Bolts!$E$1179)</f>
        <v>153.5</v>
      </c>
      <c r="R474" s="150">
        <v>153.5</v>
      </c>
      <c r="S474" s="198">
        <f t="shared" si="234"/>
        <v>0</v>
      </c>
      <c r="T474" s="199"/>
      <c r="U474" s="199"/>
      <c r="V474" s="200"/>
      <c r="W474" s="199"/>
      <c r="X474" s="199"/>
      <c r="Y474" s="199"/>
      <c r="Z474" s="199"/>
      <c r="AA474" s="199"/>
      <c r="AB474" s="199"/>
      <c r="AC474" s="198">
        <f t="shared" si="235"/>
        <v>0</v>
      </c>
      <c r="AD474" s="177">
        <f t="shared" si="236"/>
        <v>0</v>
      </c>
      <c r="AE474" s="201">
        <v>7.02</v>
      </c>
      <c r="AF474" s="202">
        <f t="shared" si="237"/>
        <v>0</v>
      </c>
      <c r="AH474" s="180"/>
      <c r="AK474" s="1"/>
      <c r="AL474" s="1"/>
      <c r="AM474" s="1"/>
      <c r="AN474" s="1"/>
    </row>
    <row r="475" spans="1:40" ht="12.75" customHeight="1">
      <c r="A475" s="87"/>
      <c r="B475" s="195" t="s">
        <v>903</v>
      </c>
      <c r="C475" s="196" t="s">
        <v>57</v>
      </c>
      <c r="D475" s="196" t="s">
        <v>60</v>
      </c>
      <c r="E475" s="197">
        <v>1</v>
      </c>
      <c r="F475" s="196"/>
      <c r="G475" s="196"/>
      <c r="H475" s="196" t="s">
        <v>121</v>
      </c>
      <c r="I475" s="196" t="s">
        <v>28</v>
      </c>
      <c r="J475" s="197">
        <v>1</v>
      </c>
      <c r="K475" s="196"/>
      <c r="L475" s="196"/>
      <c r="M475" s="196" t="s">
        <v>28</v>
      </c>
      <c r="N475" s="196" t="s">
        <v>47</v>
      </c>
      <c r="O475" s="197">
        <v>1</v>
      </c>
      <c r="P475" s="197" t="s">
        <v>904</v>
      </c>
      <c r="Q475" s="523">
        <f>R475*(1-Bolts!$E$1179)</f>
        <v>223.3</v>
      </c>
      <c r="R475" s="150">
        <v>223.3</v>
      </c>
      <c r="S475" s="198">
        <f t="shared" si="234"/>
        <v>0</v>
      </c>
      <c r="T475" s="199"/>
      <c r="U475" s="199"/>
      <c r="V475" s="200"/>
      <c r="W475" s="199"/>
      <c r="X475" s="199"/>
      <c r="Y475" s="199"/>
      <c r="Z475" s="199"/>
      <c r="AA475" s="199"/>
      <c r="AB475" s="199"/>
      <c r="AC475" s="198">
        <f t="shared" si="235"/>
        <v>0</v>
      </c>
      <c r="AD475" s="177">
        <f t="shared" si="236"/>
        <v>0</v>
      </c>
      <c r="AE475" s="201">
        <v>11.08</v>
      </c>
      <c r="AF475" s="202">
        <f t="shared" si="237"/>
        <v>0</v>
      </c>
      <c r="AH475" s="180"/>
      <c r="AK475" s="1"/>
      <c r="AL475" s="1"/>
      <c r="AM475" s="1"/>
      <c r="AN475" s="1"/>
    </row>
    <row r="476" spans="1:40" ht="12.75" customHeight="1">
      <c r="A476" s="87"/>
      <c r="B476" s="192" t="s">
        <v>905</v>
      </c>
      <c r="C476" s="193" t="s">
        <v>57</v>
      </c>
      <c r="D476" s="193" t="s">
        <v>60</v>
      </c>
      <c r="E476" s="194">
        <v>3</v>
      </c>
      <c r="F476" s="193"/>
      <c r="G476" s="193"/>
      <c r="H476" s="193" t="s">
        <v>121</v>
      </c>
      <c r="I476" s="193" t="s">
        <v>28</v>
      </c>
      <c r="J476" s="194">
        <v>3</v>
      </c>
      <c r="K476" s="193"/>
      <c r="L476" s="193"/>
      <c r="M476" s="193" t="s">
        <v>28</v>
      </c>
      <c r="N476" s="193" t="s">
        <v>48</v>
      </c>
      <c r="O476" s="194">
        <v>3</v>
      </c>
      <c r="P476" s="194" t="s">
        <v>906</v>
      </c>
      <c r="Q476" s="521">
        <f>R476*(1-Bolts!$E$1179)</f>
        <v>655.29999999999995</v>
      </c>
      <c r="R476" s="150">
        <v>655.29999999999995</v>
      </c>
      <c r="S476" s="168">
        <f t="shared" si="234"/>
        <v>0</v>
      </c>
      <c r="T476" s="211"/>
      <c r="U476" s="169"/>
      <c r="V476" s="170"/>
      <c r="W476" s="171"/>
      <c r="X476" s="172"/>
      <c r="Y476" s="173"/>
      <c r="Z476" s="174"/>
      <c r="AA476" s="175"/>
      <c r="AB476" s="176"/>
      <c r="AC476" s="168">
        <f t="shared" si="235"/>
        <v>0</v>
      </c>
      <c r="AD476" s="177">
        <f t="shared" si="236"/>
        <v>0</v>
      </c>
      <c r="AE476" s="178">
        <v>35.17</v>
      </c>
      <c r="AF476" s="179">
        <f t="shared" si="237"/>
        <v>0</v>
      </c>
      <c r="AH476" s="180"/>
      <c r="AK476" s="1"/>
      <c r="AL476" s="1"/>
      <c r="AM476" s="1"/>
      <c r="AN476" s="1"/>
    </row>
    <row r="477" spans="1:40" ht="12.75" customHeight="1">
      <c r="A477" s="87"/>
      <c r="B477" s="195" t="s">
        <v>907</v>
      </c>
      <c r="C477" s="196" t="s">
        <v>57</v>
      </c>
      <c r="D477" s="196" t="s">
        <v>60</v>
      </c>
      <c r="E477" s="197">
        <v>1</v>
      </c>
      <c r="F477" s="196"/>
      <c r="G477" s="196"/>
      <c r="H477" s="196" t="s">
        <v>121</v>
      </c>
      <c r="I477" s="196" t="s">
        <v>28</v>
      </c>
      <c r="J477" s="197">
        <v>1</v>
      </c>
      <c r="K477" s="196"/>
      <c r="L477" s="196"/>
      <c r="M477" s="196" t="s">
        <v>28</v>
      </c>
      <c r="N477" s="196" t="s">
        <v>47</v>
      </c>
      <c r="O477" s="197">
        <v>1</v>
      </c>
      <c r="P477" s="197" t="s">
        <v>908</v>
      </c>
      <c r="Q477" s="523">
        <f>R477*(1-Bolts!$E$1179)</f>
        <v>199.5</v>
      </c>
      <c r="R477" s="150">
        <v>199.5</v>
      </c>
      <c r="S477" s="198">
        <f t="shared" si="234"/>
        <v>0</v>
      </c>
      <c r="T477" s="199"/>
      <c r="U477" s="199"/>
      <c r="V477" s="200"/>
      <c r="W477" s="199"/>
      <c r="X477" s="199"/>
      <c r="Y477" s="199"/>
      <c r="Z477" s="199"/>
      <c r="AA477" s="199"/>
      <c r="AB477" s="199"/>
      <c r="AC477" s="198">
        <f t="shared" si="235"/>
        <v>0</v>
      </c>
      <c r="AD477" s="177">
        <f t="shared" si="236"/>
        <v>0</v>
      </c>
      <c r="AE477" s="201">
        <v>9.67</v>
      </c>
      <c r="AF477" s="202">
        <f t="shared" si="237"/>
        <v>0</v>
      </c>
      <c r="AH477" s="180"/>
      <c r="AK477" s="1"/>
      <c r="AL477" s="1"/>
      <c r="AM477" s="1"/>
      <c r="AN477" s="1"/>
    </row>
    <row r="478" spans="1:40" ht="12.75" customHeight="1">
      <c r="A478" s="87"/>
      <c r="B478" s="195" t="s">
        <v>909</v>
      </c>
      <c r="C478" s="196" t="s">
        <v>57</v>
      </c>
      <c r="D478" s="196" t="s">
        <v>60</v>
      </c>
      <c r="E478" s="197">
        <v>1</v>
      </c>
      <c r="F478" s="196"/>
      <c r="G478" s="196"/>
      <c r="H478" s="196" t="s">
        <v>121</v>
      </c>
      <c r="I478" s="196" t="s">
        <v>28</v>
      </c>
      <c r="J478" s="197">
        <v>1</v>
      </c>
      <c r="K478" s="196"/>
      <c r="L478" s="196"/>
      <c r="M478" s="196" t="s">
        <v>28</v>
      </c>
      <c r="N478" s="196" t="s">
        <v>48</v>
      </c>
      <c r="O478" s="197">
        <v>1</v>
      </c>
      <c r="P478" s="197" t="s">
        <v>910</v>
      </c>
      <c r="Q478" s="523">
        <f>R478*(1-Bolts!$E$1179)</f>
        <v>230.3</v>
      </c>
      <c r="R478" s="150">
        <v>230.3</v>
      </c>
      <c r="S478" s="198">
        <f t="shared" si="234"/>
        <v>0</v>
      </c>
      <c r="T478" s="199"/>
      <c r="U478" s="199"/>
      <c r="V478" s="200"/>
      <c r="W478" s="199"/>
      <c r="X478" s="199"/>
      <c r="Y478" s="199"/>
      <c r="Z478" s="199"/>
      <c r="AA478" s="199"/>
      <c r="AB478" s="199"/>
      <c r="AC478" s="198">
        <f t="shared" si="235"/>
        <v>0</v>
      </c>
      <c r="AD478" s="177">
        <f t="shared" si="236"/>
        <v>0</v>
      </c>
      <c r="AE478" s="201">
        <v>11.46</v>
      </c>
      <c r="AF478" s="202">
        <f t="shared" si="237"/>
        <v>0</v>
      </c>
      <c r="AH478" s="180"/>
      <c r="AK478" s="1"/>
      <c r="AL478" s="1"/>
      <c r="AM478" s="1"/>
      <c r="AN478" s="1"/>
    </row>
    <row r="479" spans="1:40" ht="12.75" customHeight="1">
      <c r="A479" s="87"/>
      <c r="B479" s="195" t="s">
        <v>911</v>
      </c>
      <c r="C479" s="196" t="s">
        <v>57</v>
      </c>
      <c r="D479" s="196" t="s">
        <v>60</v>
      </c>
      <c r="E479" s="197">
        <v>1</v>
      </c>
      <c r="F479" s="196"/>
      <c r="G479" s="196"/>
      <c r="H479" s="196" t="s">
        <v>121</v>
      </c>
      <c r="I479" s="196" t="s">
        <v>28</v>
      </c>
      <c r="J479" s="197">
        <v>1</v>
      </c>
      <c r="K479" s="196"/>
      <c r="L479" s="196"/>
      <c r="M479" s="196" t="s">
        <v>28</v>
      </c>
      <c r="N479" s="196" t="s">
        <v>49</v>
      </c>
      <c r="O479" s="197">
        <v>1</v>
      </c>
      <c r="P479" s="197" t="s">
        <v>912</v>
      </c>
      <c r="Q479" s="523">
        <f>R479*(1-Bolts!$E$1179)</f>
        <v>274.10000000000002</v>
      </c>
      <c r="R479" s="150">
        <v>274.10000000000002</v>
      </c>
      <c r="S479" s="198">
        <f t="shared" si="234"/>
        <v>0</v>
      </c>
      <c r="T479" s="199"/>
      <c r="U479" s="199"/>
      <c r="V479" s="200"/>
      <c r="W479" s="199"/>
      <c r="X479" s="199"/>
      <c r="Y479" s="199"/>
      <c r="Z479" s="199"/>
      <c r="AA479" s="199"/>
      <c r="AB479" s="199"/>
      <c r="AC479" s="198">
        <f t="shared" si="235"/>
        <v>0</v>
      </c>
      <c r="AD479" s="177">
        <f t="shared" si="236"/>
        <v>0</v>
      </c>
      <c r="AE479" s="201">
        <v>14</v>
      </c>
      <c r="AF479" s="202">
        <f t="shared" si="237"/>
        <v>0</v>
      </c>
      <c r="AH479" s="180"/>
      <c r="AK479" s="1"/>
      <c r="AL479" s="1"/>
      <c r="AM479" s="1"/>
      <c r="AN479" s="1"/>
    </row>
    <row r="480" spans="1:40" ht="12.75" customHeight="1">
      <c r="A480" s="87"/>
      <c r="B480" s="192" t="s">
        <v>913</v>
      </c>
      <c r="C480" s="193" t="s">
        <v>57</v>
      </c>
      <c r="D480" s="193" t="s">
        <v>60</v>
      </c>
      <c r="E480" s="194">
        <v>3</v>
      </c>
      <c r="F480" s="193"/>
      <c r="G480" s="193"/>
      <c r="H480" s="193" t="s">
        <v>121</v>
      </c>
      <c r="I480" s="193" t="s">
        <v>28</v>
      </c>
      <c r="J480" s="194">
        <v>3</v>
      </c>
      <c r="K480" s="193"/>
      <c r="L480" s="193"/>
      <c r="M480" s="193" t="s">
        <v>28</v>
      </c>
      <c r="N480" s="193" t="s">
        <v>48</v>
      </c>
      <c r="O480" s="194">
        <v>3</v>
      </c>
      <c r="P480" s="194" t="s">
        <v>914</v>
      </c>
      <c r="Q480" s="521">
        <f>R480*(1-Bolts!$E$1179)</f>
        <v>652.79999999999995</v>
      </c>
      <c r="R480" s="150">
        <v>652.79999999999995</v>
      </c>
      <c r="S480" s="168">
        <f t="shared" si="234"/>
        <v>0</v>
      </c>
      <c r="T480" s="211"/>
      <c r="U480" s="169"/>
      <c r="V480" s="170"/>
      <c r="W480" s="171"/>
      <c r="X480" s="172"/>
      <c r="Y480" s="173"/>
      <c r="Z480" s="174"/>
      <c r="AA480" s="175"/>
      <c r="AB480" s="176"/>
      <c r="AC480" s="168">
        <f t="shared" si="235"/>
        <v>0</v>
      </c>
      <c r="AD480" s="177">
        <f t="shared" si="236"/>
        <v>0</v>
      </c>
      <c r="AE480" s="178">
        <v>35.020000000000003</v>
      </c>
      <c r="AF480" s="179">
        <f t="shared" si="237"/>
        <v>0</v>
      </c>
      <c r="AH480" s="180"/>
      <c r="AK480" s="1"/>
      <c r="AL480" s="1"/>
      <c r="AM480" s="1"/>
      <c r="AN480" s="1"/>
    </row>
    <row r="481" spans="1:40" ht="12.75" customHeight="1">
      <c r="A481" s="87"/>
      <c r="B481" s="195" t="s">
        <v>915</v>
      </c>
      <c r="C481" s="196" t="s">
        <v>57</v>
      </c>
      <c r="D481" s="196" t="s">
        <v>60</v>
      </c>
      <c r="E481" s="197">
        <v>1</v>
      </c>
      <c r="F481" s="196"/>
      <c r="G481" s="196"/>
      <c r="H481" s="196" t="s">
        <v>121</v>
      </c>
      <c r="I481" s="196" t="s">
        <v>28</v>
      </c>
      <c r="J481" s="197">
        <v>1</v>
      </c>
      <c r="K481" s="196"/>
      <c r="L481" s="196"/>
      <c r="M481" s="196" t="s">
        <v>28</v>
      </c>
      <c r="N481" s="196" t="s">
        <v>48</v>
      </c>
      <c r="O481" s="197">
        <v>1</v>
      </c>
      <c r="P481" s="197" t="s">
        <v>916</v>
      </c>
      <c r="Q481" s="523">
        <f>R481*(1-Bolts!$E$1179)</f>
        <v>185.2</v>
      </c>
      <c r="R481" s="150">
        <v>185.2</v>
      </c>
      <c r="S481" s="198">
        <f t="shared" si="234"/>
        <v>0</v>
      </c>
      <c r="T481" s="199"/>
      <c r="U481" s="199"/>
      <c r="V481" s="200"/>
      <c r="W481" s="199"/>
      <c r="X481" s="199"/>
      <c r="Y481" s="199"/>
      <c r="Z481" s="199"/>
      <c r="AA481" s="199"/>
      <c r="AB481" s="199"/>
      <c r="AC481" s="198">
        <f t="shared" si="235"/>
        <v>0</v>
      </c>
      <c r="AD481" s="177">
        <f t="shared" si="236"/>
        <v>0</v>
      </c>
      <c r="AE481" s="201">
        <v>8.84</v>
      </c>
      <c r="AF481" s="202">
        <f t="shared" si="237"/>
        <v>0</v>
      </c>
      <c r="AH481" s="180"/>
      <c r="AK481" s="1"/>
      <c r="AL481" s="1"/>
      <c r="AM481" s="1"/>
      <c r="AN481" s="1"/>
    </row>
    <row r="482" spans="1:40" ht="12.75" customHeight="1">
      <c r="A482" s="87"/>
      <c r="B482" s="195" t="s">
        <v>917</v>
      </c>
      <c r="C482" s="196" t="s">
        <v>57</v>
      </c>
      <c r="D482" s="196" t="s">
        <v>60</v>
      </c>
      <c r="E482" s="197">
        <v>1</v>
      </c>
      <c r="F482" s="196"/>
      <c r="G482" s="196"/>
      <c r="H482" s="196" t="s">
        <v>121</v>
      </c>
      <c r="I482" s="196" t="s">
        <v>28</v>
      </c>
      <c r="J482" s="197">
        <v>1</v>
      </c>
      <c r="K482" s="196"/>
      <c r="L482" s="196"/>
      <c r="M482" s="196" t="s">
        <v>28</v>
      </c>
      <c r="N482" s="196" t="s">
        <v>48</v>
      </c>
      <c r="O482" s="197">
        <v>1</v>
      </c>
      <c r="P482" s="197" t="s">
        <v>918</v>
      </c>
      <c r="Q482" s="523">
        <f>R482*(1-Bolts!$E$1179)</f>
        <v>228</v>
      </c>
      <c r="R482" s="150">
        <v>228</v>
      </c>
      <c r="S482" s="198">
        <f t="shared" si="234"/>
        <v>0</v>
      </c>
      <c r="T482" s="199"/>
      <c r="U482" s="199"/>
      <c r="V482" s="200"/>
      <c r="W482" s="199"/>
      <c r="X482" s="199"/>
      <c r="Y482" s="199"/>
      <c r="Z482" s="199"/>
      <c r="AA482" s="199"/>
      <c r="AB482" s="199"/>
      <c r="AC482" s="198">
        <f t="shared" si="235"/>
        <v>0</v>
      </c>
      <c r="AD482" s="177">
        <f t="shared" si="236"/>
        <v>0</v>
      </c>
      <c r="AE482" s="201">
        <v>11.33</v>
      </c>
      <c r="AF482" s="202">
        <f t="shared" si="237"/>
        <v>0</v>
      </c>
      <c r="AH482" s="180"/>
      <c r="AK482" s="1"/>
      <c r="AL482" s="1"/>
      <c r="AM482" s="1"/>
      <c r="AN482" s="1"/>
    </row>
    <row r="483" spans="1:40" ht="12.75" customHeight="1">
      <c r="A483" s="87"/>
      <c r="B483" s="195" t="s">
        <v>919</v>
      </c>
      <c r="C483" s="196" t="s">
        <v>57</v>
      </c>
      <c r="D483" s="196" t="s">
        <v>60</v>
      </c>
      <c r="E483" s="197">
        <v>1</v>
      </c>
      <c r="F483" s="196"/>
      <c r="G483" s="196"/>
      <c r="H483" s="196" t="s">
        <v>121</v>
      </c>
      <c r="I483" s="196" t="s">
        <v>28</v>
      </c>
      <c r="J483" s="197">
        <v>1</v>
      </c>
      <c r="K483" s="196"/>
      <c r="L483" s="196"/>
      <c r="M483" s="196" t="s">
        <v>28</v>
      </c>
      <c r="N483" s="196" t="s">
        <v>49</v>
      </c>
      <c r="O483" s="197">
        <v>1</v>
      </c>
      <c r="P483" s="197" t="s">
        <v>920</v>
      </c>
      <c r="Q483" s="523">
        <f>R483*(1-Bolts!$E$1179)</f>
        <v>288.7</v>
      </c>
      <c r="R483" s="150">
        <v>288.7</v>
      </c>
      <c r="S483" s="198">
        <f t="shared" si="234"/>
        <v>0</v>
      </c>
      <c r="T483" s="199"/>
      <c r="U483" s="199"/>
      <c r="V483" s="200"/>
      <c r="W483" s="199"/>
      <c r="X483" s="199"/>
      <c r="Y483" s="199"/>
      <c r="Z483" s="199"/>
      <c r="AA483" s="199"/>
      <c r="AB483" s="199"/>
      <c r="AC483" s="198">
        <f t="shared" si="235"/>
        <v>0</v>
      </c>
      <c r="AD483" s="177">
        <f t="shared" si="236"/>
        <v>0</v>
      </c>
      <c r="AE483" s="201">
        <v>14.85</v>
      </c>
      <c r="AF483" s="202">
        <f t="shared" si="237"/>
        <v>0</v>
      </c>
      <c r="AH483" s="180"/>
      <c r="AK483" s="1"/>
      <c r="AL483" s="1"/>
      <c r="AM483" s="1"/>
      <c r="AN483" s="1"/>
    </row>
    <row r="484" spans="1:40" ht="12.75" customHeight="1">
      <c r="A484" s="87"/>
      <c r="B484" s="192" t="s">
        <v>921</v>
      </c>
      <c r="C484" s="193" t="s">
        <v>57</v>
      </c>
      <c r="D484" s="193" t="s">
        <v>60</v>
      </c>
      <c r="E484" s="194">
        <v>3</v>
      </c>
      <c r="F484" s="193"/>
      <c r="G484" s="193"/>
      <c r="H484" s="193" t="s">
        <v>121</v>
      </c>
      <c r="I484" s="193" t="s">
        <v>28</v>
      </c>
      <c r="J484" s="194">
        <v>3</v>
      </c>
      <c r="K484" s="193"/>
      <c r="L484" s="193"/>
      <c r="M484" s="193" t="s">
        <v>28</v>
      </c>
      <c r="N484" s="193" t="s">
        <v>47</v>
      </c>
      <c r="O484" s="194">
        <v>3</v>
      </c>
      <c r="P484" s="194" t="s">
        <v>922</v>
      </c>
      <c r="Q484" s="521">
        <f>R484*(1-Bolts!$E$1179)</f>
        <v>682</v>
      </c>
      <c r="R484" s="150">
        <v>682</v>
      </c>
      <c r="S484" s="168">
        <f t="shared" si="234"/>
        <v>0</v>
      </c>
      <c r="T484" s="211"/>
      <c r="U484" s="169"/>
      <c r="V484" s="170"/>
      <c r="W484" s="171"/>
      <c r="X484" s="172"/>
      <c r="Y484" s="173"/>
      <c r="Z484" s="174"/>
      <c r="AA484" s="175"/>
      <c r="AB484" s="176"/>
      <c r="AC484" s="168">
        <f t="shared" si="235"/>
        <v>0</v>
      </c>
      <c r="AD484" s="177">
        <f t="shared" si="236"/>
        <v>0</v>
      </c>
      <c r="AE484" s="178">
        <v>36.72</v>
      </c>
      <c r="AF484" s="179">
        <f t="shared" si="237"/>
        <v>0</v>
      </c>
      <c r="AH484" s="180"/>
      <c r="AK484" s="1"/>
      <c r="AL484" s="1"/>
      <c r="AM484" s="1"/>
      <c r="AN484" s="1"/>
    </row>
    <row r="485" spans="1:40" ht="12.75" customHeight="1">
      <c r="A485" s="87"/>
      <c r="B485" s="195" t="s">
        <v>923</v>
      </c>
      <c r="C485" s="196" t="s">
        <v>57</v>
      </c>
      <c r="D485" s="196" t="s">
        <v>60</v>
      </c>
      <c r="E485" s="197">
        <v>1</v>
      </c>
      <c r="F485" s="196"/>
      <c r="G485" s="196"/>
      <c r="H485" s="196" t="s">
        <v>121</v>
      </c>
      <c r="I485" s="196" t="s">
        <v>28</v>
      </c>
      <c r="J485" s="197">
        <v>1</v>
      </c>
      <c r="K485" s="196"/>
      <c r="L485" s="196"/>
      <c r="M485" s="196" t="s">
        <v>28</v>
      </c>
      <c r="N485" s="196" t="s">
        <v>48</v>
      </c>
      <c r="O485" s="197">
        <v>1</v>
      </c>
      <c r="P485" s="197" t="s">
        <v>924</v>
      </c>
      <c r="Q485" s="523">
        <f>R485*(1-Bolts!$E$1179)</f>
        <v>194.4</v>
      </c>
      <c r="R485" s="150">
        <v>194.4</v>
      </c>
      <c r="S485" s="198">
        <f t="shared" si="234"/>
        <v>0</v>
      </c>
      <c r="T485" s="199"/>
      <c r="U485" s="199"/>
      <c r="V485" s="200"/>
      <c r="W485" s="199"/>
      <c r="X485" s="199"/>
      <c r="Y485" s="199"/>
      <c r="Z485" s="199"/>
      <c r="AA485" s="199"/>
      <c r="AB485" s="199"/>
      <c r="AC485" s="198">
        <f t="shared" si="235"/>
        <v>0</v>
      </c>
      <c r="AD485" s="177">
        <f t="shared" si="236"/>
        <v>0</v>
      </c>
      <c r="AE485" s="201">
        <v>9.3800000000000008</v>
      </c>
      <c r="AF485" s="202">
        <f t="shared" si="237"/>
        <v>0</v>
      </c>
      <c r="AH485" s="180"/>
      <c r="AK485" s="1"/>
      <c r="AL485" s="1"/>
      <c r="AM485" s="1"/>
      <c r="AN485" s="1"/>
    </row>
    <row r="486" spans="1:40" ht="12.75" customHeight="1">
      <c r="A486" s="87"/>
      <c r="B486" s="195" t="s">
        <v>925</v>
      </c>
      <c r="C486" s="196" t="s">
        <v>57</v>
      </c>
      <c r="D486" s="196" t="s">
        <v>60</v>
      </c>
      <c r="E486" s="197">
        <v>1</v>
      </c>
      <c r="F486" s="196"/>
      <c r="G486" s="196"/>
      <c r="H486" s="196" t="s">
        <v>121</v>
      </c>
      <c r="I486" s="196" t="s">
        <v>28</v>
      </c>
      <c r="J486" s="197">
        <v>1</v>
      </c>
      <c r="K486" s="196"/>
      <c r="L486" s="196"/>
      <c r="M486" s="196" t="s">
        <v>28</v>
      </c>
      <c r="N486" s="196" t="s">
        <v>47</v>
      </c>
      <c r="O486" s="197">
        <v>1</v>
      </c>
      <c r="P486" s="197" t="s">
        <v>926</v>
      </c>
      <c r="Q486" s="523">
        <f>R486*(1-Bolts!$E$1179)</f>
        <v>224.7</v>
      </c>
      <c r="R486" s="150">
        <v>224.7</v>
      </c>
      <c r="S486" s="198">
        <f t="shared" si="234"/>
        <v>0</v>
      </c>
      <c r="T486" s="199"/>
      <c r="U486" s="199"/>
      <c r="V486" s="200"/>
      <c r="W486" s="199"/>
      <c r="X486" s="199"/>
      <c r="Y486" s="199"/>
      <c r="Z486" s="199"/>
      <c r="AA486" s="199"/>
      <c r="AB486" s="199"/>
      <c r="AC486" s="198">
        <f t="shared" si="235"/>
        <v>0</v>
      </c>
      <c r="AD486" s="177">
        <f t="shared" si="236"/>
        <v>0</v>
      </c>
      <c r="AE486" s="201">
        <v>11.14</v>
      </c>
      <c r="AF486" s="202">
        <f t="shared" si="237"/>
        <v>0</v>
      </c>
      <c r="AH486" s="180"/>
      <c r="AK486" s="1"/>
      <c r="AL486" s="1"/>
      <c r="AM486" s="1"/>
      <c r="AN486" s="1"/>
    </row>
    <row r="487" spans="1:40" ht="12.75" customHeight="1">
      <c r="A487" s="87"/>
      <c r="B487" s="195" t="s">
        <v>927</v>
      </c>
      <c r="C487" s="196" t="s">
        <v>57</v>
      </c>
      <c r="D487" s="196" t="s">
        <v>60</v>
      </c>
      <c r="E487" s="197">
        <v>1</v>
      </c>
      <c r="F487" s="196"/>
      <c r="G487" s="196"/>
      <c r="H487" s="196" t="s">
        <v>121</v>
      </c>
      <c r="I487" s="196" t="s">
        <v>28</v>
      </c>
      <c r="J487" s="197">
        <v>1</v>
      </c>
      <c r="K487" s="196"/>
      <c r="L487" s="196"/>
      <c r="M487" s="196" t="s">
        <v>28</v>
      </c>
      <c r="N487" s="196" t="s">
        <v>47</v>
      </c>
      <c r="O487" s="197">
        <v>1</v>
      </c>
      <c r="P487" s="197" t="s">
        <v>928</v>
      </c>
      <c r="Q487" s="523">
        <f>R487*(1-Bolts!$E$1179)</f>
        <v>311.89999999999998</v>
      </c>
      <c r="R487" s="150">
        <v>311.89999999999998</v>
      </c>
      <c r="S487" s="198">
        <f t="shared" si="234"/>
        <v>0</v>
      </c>
      <c r="T487" s="199"/>
      <c r="U487" s="199"/>
      <c r="V487" s="200"/>
      <c r="W487" s="199"/>
      <c r="X487" s="199"/>
      <c r="Y487" s="199"/>
      <c r="Z487" s="199"/>
      <c r="AA487" s="199"/>
      <c r="AB487" s="199"/>
      <c r="AC487" s="198">
        <f t="shared" si="235"/>
        <v>0</v>
      </c>
      <c r="AD487" s="177">
        <f t="shared" si="236"/>
        <v>0</v>
      </c>
      <c r="AE487" s="201">
        <v>16.2</v>
      </c>
      <c r="AF487" s="202">
        <f t="shared" si="237"/>
        <v>0</v>
      </c>
      <c r="AH487" s="180"/>
      <c r="AK487" s="1"/>
      <c r="AL487" s="1"/>
      <c r="AM487" s="1"/>
      <c r="AN487" s="1"/>
    </row>
    <row r="488" spans="1:40" ht="12.75" customHeight="1">
      <c r="A488" s="87"/>
      <c r="B488" s="192" t="s">
        <v>929</v>
      </c>
      <c r="C488" s="193" t="s">
        <v>57</v>
      </c>
      <c r="D488" s="193" t="s">
        <v>60</v>
      </c>
      <c r="E488" s="194">
        <v>3</v>
      </c>
      <c r="F488" s="193"/>
      <c r="G488" s="193"/>
      <c r="H488" s="193" t="s">
        <v>121</v>
      </c>
      <c r="I488" s="193" t="s">
        <v>28</v>
      </c>
      <c r="J488" s="194">
        <v>3</v>
      </c>
      <c r="K488" s="193"/>
      <c r="L488" s="193"/>
      <c r="M488" s="193" t="s">
        <v>28</v>
      </c>
      <c r="N488" s="193" t="s">
        <v>48</v>
      </c>
      <c r="O488" s="194">
        <v>3</v>
      </c>
      <c r="P488" s="194" t="s">
        <v>930</v>
      </c>
      <c r="Q488" s="521">
        <f>R488*(1-Bolts!$E$1179)</f>
        <v>532.9</v>
      </c>
      <c r="R488" s="150">
        <v>532.9</v>
      </c>
      <c r="S488" s="168">
        <f t="shared" si="234"/>
        <v>0</v>
      </c>
      <c r="T488" s="211"/>
      <c r="U488" s="169"/>
      <c r="V488" s="170"/>
      <c r="W488" s="171"/>
      <c r="X488" s="172"/>
      <c r="Y488" s="173"/>
      <c r="Z488" s="174"/>
      <c r="AA488" s="175"/>
      <c r="AB488" s="176"/>
      <c r="AC488" s="168">
        <f t="shared" si="235"/>
        <v>0</v>
      </c>
      <c r="AD488" s="177">
        <f t="shared" si="236"/>
        <v>0</v>
      </c>
      <c r="AE488" s="178">
        <v>28.12</v>
      </c>
      <c r="AF488" s="179">
        <f t="shared" si="237"/>
        <v>0</v>
      </c>
      <c r="AH488" s="180"/>
      <c r="AK488" s="1"/>
      <c r="AL488" s="1"/>
      <c r="AM488" s="1"/>
      <c r="AN488" s="1"/>
    </row>
    <row r="489" spans="1:40" ht="12.75" customHeight="1">
      <c r="A489" s="87"/>
      <c r="B489" s="195" t="s">
        <v>931</v>
      </c>
      <c r="C489" s="196" t="s">
        <v>57</v>
      </c>
      <c r="D489" s="196" t="s">
        <v>60</v>
      </c>
      <c r="E489" s="197">
        <v>1</v>
      </c>
      <c r="F489" s="196"/>
      <c r="G489" s="196"/>
      <c r="H489" s="196" t="s">
        <v>121</v>
      </c>
      <c r="I489" s="196" t="s">
        <v>28</v>
      </c>
      <c r="J489" s="197">
        <v>1</v>
      </c>
      <c r="K489" s="196"/>
      <c r="L489" s="196"/>
      <c r="M489" s="196" t="s">
        <v>28</v>
      </c>
      <c r="N489" s="196" t="s">
        <v>48</v>
      </c>
      <c r="O489" s="197">
        <v>1</v>
      </c>
      <c r="P489" s="197" t="s">
        <v>932</v>
      </c>
      <c r="Q489" s="523">
        <f>R489*(1-Bolts!$E$1179)</f>
        <v>165</v>
      </c>
      <c r="R489" s="150">
        <v>165</v>
      </c>
      <c r="S489" s="198">
        <f t="shared" si="234"/>
        <v>0</v>
      </c>
      <c r="T489" s="199"/>
      <c r="U489" s="199"/>
      <c r="V489" s="200"/>
      <c r="W489" s="199"/>
      <c r="X489" s="199"/>
      <c r="Y489" s="199"/>
      <c r="Z489" s="199"/>
      <c r="AA489" s="199"/>
      <c r="AB489" s="199"/>
      <c r="AC489" s="198">
        <f t="shared" si="235"/>
        <v>0</v>
      </c>
      <c r="AD489" s="177">
        <f t="shared" si="236"/>
        <v>0</v>
      </c>
      <c r="AE489" s="201">
        <v>7.69</v>
      </c>
      <c r="AF489" s="202">
        <f t="shared" si="237"/>
        <v>0</v>
      </c>
      <c r="AH489" s="180"/>
      <c r="AK489" s="1"/>
      <c r="AL489" s="1"/>
      <c r="AM489" s="1"/>
      <c r="AN489" s="1"/>
    </row>
    <row r="490" spans="1:40" ht="12.75" customHeight="1">
      <c r="A490" s="87"/>
      <c r="B490" s="195" t="s">
        <v>933</v>
      </c>
      <c r="C490" s="196" t="s">
        <v>57</v>
      </c>
      <c r="D490" s="196" t="s">
        <v>60</v>
      </c>
      <c r="E490" s="197">
        <v>1</v>
      </c>
      <c r="F490" s="196"/>
      <c r="G490" s="196"/>
      <c r="H490" s="196" t="s">
        <v>121</v>
      </c>
      <c r="I490" s="196" t="s">
        <v>28</v>
      </c>
      <c r="J490" s="197">
        <v>1</v>
      </c>
      <c r="K490" s="196"/>
      <c r="L490" s="196"/>
      <c r="M490" s="196" t="s">
        <v>28</v>
      </c>
      <c r="N490" s="196" t="s">
        <v>47</v>
      </c>
      <c r="O490" s="197">
        <v>1</v>
      </c>
      <c r="P490" s="197" t="s">
        <v>934</v>
      </c>
      <c r="Q490" s="523">
        <f>R490*(1-Bolts!$E$1179)</f>
        <v>194.1</v>
      </c>
      <c r="R490" s="150">
        <v>194.1</v>
      </c>
      <c r="S490" s="198">
        <f t="shared" si="234"/>
        <v>0</v>
      </c>
      <c r="T490" s="199"/>
      <c r="U490" s="199"/>
      <c r="V490" s="200"/>
      <c r="W490" s="199"/>
      <c r="X490" s="199"/>
      <c r="Y490" s="199"/>
      <c r="Z490" s="199"/>
      <c r="AA490" s="199"/>
      <c r="AB490" s="199"/>
      <c r="AC490" s="198">
        <f t="shared" si="235"/>
        <v>0</v>
      </c>
      <c r="AD490" s="177">
        <f t="shared" si="236"/>
        <v>0</v>
      </c>
      <c r="AE490" s="201">
        <v>9.3800000000000008</v>
      </c>
      <c r="AF490" s="202">
        <f t="shared" si="237"/>
        <v>0</v>
      </c>
      <c r="AH490" s="180"/>
      <c r="AK490" s="1"/>
      <c r="AL490" s="1"/>
      <c r="AM490" s="1"/>
      <c r="AN490" s="1"/>
    </row>
    <row r="491" spans="1:40" ht="12.75" customHeight="1">
      <c r="A491" s="87"/>
      <c r="B491" s="195" t="s">
        <v>935</v>
      </c>
      <c r="C491" s="196" t="s">
        <v>57</v>
      </c>
      <c r="D491" s="196" t="s">
        <v>60</v>
      </c>
      <c r="E491" s="197">
        <v>1</v>
      </c>
      <c r="F491" s="196"/>
      <c r="G491" s="196"/>
      <c r="H491" s="196" t="s">
        <v>121</v>
      </c>
      <c r="I491" s="196" t="s">
        <v>28</v>
      </c>
      <c r="J491" s="197">
        <v>1</v>
      </c>
      <c r="K491" s="196"/>
      <c r="L491" s="196"/>
      <c r="M491" s="196" t="s">
        <v>28</v>
      </c>
      <c r="N491" s="196" t="s">
        <v>48</v>
      </c>
      <c r="O491" s="197">
        <v>1</v>
      </c>
      <c r="P491" s="197" t="s">
        <v>936</v>
      </c>
      <c r="Q491" s="523">
        <f>R491*(1-Bolts!$E$1179)</f>
        <v>222.9</v>
      </c>
      <c r="R491" s="150">
        <v>222.9</v>
      </c>
      <c r="S491" s="198">
        <f t="shared" si="234"/>
        <v>0</v>
      </c>
      <c r="T491" s="199"/>
      <c r="U491" s="199"/>
      <c r="V491" s="200"/>
      <c r="W491" s="199"/>
      <c r="X491" s="199"/>
      <c r="Y491" s="199"/>
      <c r="Z491" s="199"/>
      <c r="AA491" s="199"/>
      <c r="AB491" s="199"/>
      <c r="AC491" s="198">
        <f t="shared" si="235"/>
        <v>0</v>
      </c>
      <c r="AD491" s="177">
        <f t="shared" si="236"/>
        <v>0</v>
      </c>
      <c r="AE491" s="201">
        <v>11.06</v>
      </c>
      <c r="AF491" s="202">
        <f t="shared" si="237"/>
        <v>0</v>
      </c>
      <c r="AH491" s="180"/>
      <c r="AK491" s="1"/>
      <c r="AL491" s="1"/>
      <c r="AM491" s="1"/>
      <c r="AN491" s="1"/>
    </row>
    <row r="492" spans="1:40" ht="12.75" customHeight="1">
      <c r="A492" s="87"/>
      <c r="B492" s="185"/>
      <c r="C492" s="165"/>
      <c r="D492" s="165"/>
      <c r="E492" s="166"/>
      <c r="F492" s="165"/>
      <c r="G492" s="165"/>
      <c r="H492" s="165"/>
      <c r="I492" s="165"/>
      <c r="J492" s="166"/>
      <c r="K492" s="165"/>
      <c r="L492" s="165"/>
      <c r="M492" s="165"/>
      <c r="N492" s="165"/>
      <c r="O492" s="166"/>
      <c r="P492" s="166"/>
      <c r="Q492" s="522"/>
      <c r="R492" s="150"/>
      <c r="S492" s="186"/>
      <c r="T492" s="187"/>
      <c r="U492" s="187"/>
      <c r="V492" s="188"/>
      <c r="W492" s="187"/>
      <c r="X492" s="187"/>
      <c r="Y492" s="187"/>
      <c r="Z492" s="187"/>
      <c r="AA492" s="187"/>
      <c r="AB492" s="188"/>
      <c r="AC492" s="186"/>
      <c r="AD492" s="189"/>
      <c r="AE492" s="190"/>
      <c r="AF492" s="191"/>
      <c r="AH492" s="180"/>
      <c r="AK492" s="1"/>
      <c r="AL492" s="1"/>
      <c r="AM492" s="1"/>
      <c r="AN492" s="1"/>
    </row>
    <row r="493" spans="1:40" ht="12.75" customHeight="1">
      <c r="A493" s="87"/>
      <c r="B493" s="192" t="s">
        <v>937</v>
      </c>
      <c r="C493" s="193" t="s">
        <v>57</v>
      </c>
      <c r="D493" s="193" t="s">
        <v>61</v>
      </c>
      <c r="E493" s="194">
        <v>4</v>
      </c>
      <c r="F493" s="193"/>
      <c r="G493" s="193"/>
      <c r="H493" s="193" t="s">
        <v>121</v>
      </c>
      <c r="I493" s="193" t="s">
        <v>29</v>
      </c>
      <c r="J493" s="194">
        <v>4</v>
      </c>
      <c r="K493" s="193"/>
      <c r="L493" s="193"/>
      <c r="M493" s="193" t="s">
        <v>29</v>
      </c>
      <c r="N493" s="193" t="s">
        <v>47</v>
      </c>
      <c r="O493" s="194">
        <v>4</v>
      </c>
      <c r="P493" s="194" t="s">
        <v>938</v>
      </c>
      <c r="Q493" s="521">
        <f>R493*(1-Bolts!$E$1179)</f>
        <v>342.3</v>
      </c>
      <c r="R493" s="150">
        <v>342.3</v>
      </c>
      <c r="S493" s="168">
        <f t="shared" ref="S493:S494" si="238">SUM(T493:AB493)</f>
        <v>0</v>
      </c>
      <c r="T493" s="211"/>
      <c r="U493" s="169"/>
      <c r="V493" s="170"/>
      <c r="W493" s="171"/>
      <c r="X493" s="172"/>
      <c r="Y493" s="173"/>
      <c r="Z493" s="174"/>
      <c r="AA493" s="175"/>
      <c r="AB493" s="176"/>
      <c r="AC493" s="168">
        <f t="shared" ref="AC493:AC494" si="239">S493*O493</f>
        <v>0</v>
      </c>
      <c r="AD493" s="177">
        <f t="shared" ref="AD493:AD494" si="240">S493*R493</f>
        <v>0</v>
      </c>
      <c r="AE493" s="178">
        <v>17.149999999999999</v>
      </c>
      <c r="AF493" s="179">
        <f t="shared" ref="AF493:AF494" si="241">AE493*S493</f>
        <v>0</v>
      </c>
      <c r="AH493" s="180"/>
      <c r="AK493" s="1"/>
      <c r="AL493" s="1"/>
      <c r="AM493" s="1"/>
      <c r="AN493" s="1"/>
    </row>
    <row r="494" spans="1:40" ht="12.75" customHeight="1">
      <c r="A494" s="87"/>
      <c r="B494" s="192" t="s">
        <v>939</v>
      </c>
      <c r="C494" s="193" t="s">
        <v>57</v>
      </c>
      <c r="D494" s="193" t="s">
        <v>61</v>
      </c>
      <c r="E494" s="194">
        <v>4</v>
      </c>
      <c r="F494" s="193"/>
      <c r="G494" s="193"/>
      <c r="H494" s="193" t="s">
        <v>121</v>
      </c>
      <c r="I494" s="193" t="s">
        <v>29</v>
      </c>
      <c r="J494" s="194">
        <v>4</v>
      </c>
      <c r="K494" s="193"/>
      <c r="L494" s="193"/>
      <c r="M494" s="193" t="s">
        <v>29</v>
      </c>
      <c r="N494" s="193" t="s">
        <v>47</v>
      </c>
      <c r="O494" s="194">
        <v>4</v>
      </c>
      <c r="P494" s="194" t="s">
        <v>940</v>
      </c>
      <c r="Q494" s="521">
        <f>R494*(1-Bolts!$E$1179)</f>
        <v>323.5</v>
      </c>
      <c r="R494" s="150">
        <v>323.5</v>
      </c>
      <c r="S494" s="168">
        <f t="shared" si="238"/>
        <v>0</v>
      </c>
      <c r="T494" s="211"/>
      <c r="U494" s="169"/>
      <c r="V494" s="170"/>
      <c r="W494" s="171"/>
      <c r="X494" s="172"/>
      <c r="Y494" s="173"/>
      <c r="Z494" s="174"/>
      <c r="AA494" s="175"/>
      <c r="AB494" s="176"/>
      <c r="AC494" s="168">
        <f t="shared" si="239"/>
        <v>0</v>
      </c>
      <c r="AD494" s="177">
        <f t="shared" si="240"/>
        <v>0</v>
      </c>
      <c r="AE494" s="178">
        <v>16.420000000000002</v>
      </c>
      <c r="AF494" s="179">
        <f t="shared" si="241"/>
        <v>0</v>
      </c>
      <c r="AH494" s="180"/>
      <c r="AK494" s="1"/>
      <c r="AL494" s="1"/>
      <c r="AM494" s="1"/>
      <c r="AN494" s="1"/>
    </row>
    <row r="495" spans="1:40" ht="12.75" customHeight="1">
      <c r="A495" s="87"/>
      <c r="B495" s="185"/>
      <c r="C495" s="165"/>
      <c r="D495" s="165"/>
      <c r="E495" s="166"/>
      <c r="F495" s="165"/>
      <c r="G495" s="165"/>
      <c r="H495" s="165"/>
      <c r="I495" s="165"/>
      <c r="J495" s="166"/>
      <c r="K495" s="165"/>
      <c r="L495" s="165"/>
      <c r="M495" s="165"/>
      <c r="N495" s="165"/>
      <c r="O495" s="166"/>
      <c r="P495" s="166"/>
      <c r="Q495" s="522"/>
      <c r="R495" s="150"/>
      <c r="S495" s="186"/>
      <c r="T495" s="187"/>
      <c r="U495" s="187"/>
      <c r="V495" s="188"/>
      <c r="W495" s="187"/>
      <c r="X495" s="187"/>
      <c r="Y495" s="187"/>
      <c r="Z495" s="187"/>
      <c r="AA495" s="187"/>
      <c r="AB495" s="188"/>
      <c r="AC495" s="186"/>
      <c r="AD495" s="189"/>
      <c r="AE495" s="190"/>
      <c r="AF495" s="191"/>
      <c r="AH495" s="180"/>
      <c r="AK495" s="1"/>
      <c r="AL495" s="1"/>
      <c r="AM495" s="1"/>
      <c r="AN495" s="1"/>
    </row>
    <row r="496" spans="1:40" ht="12.75" customHeight="1">
      <c r="A496" s="87"/>
      <c r="B496" s="192" t="s">
        <v>941</v>
      </c>
      <c r="C496" s="193" t="s">
        <v>57</v>
      </c>
      <c r="D496" s="193" t="s">
        <v>62</v>
      </c>
      <c r="E496" s="194">
        <v>5</v>
      </c>
      <c r="F496" s="193"/>
      <c r="G496" s="193"/>
      <c r="H496" s="193" t="s">
        <v>121</v>
      </c>
      <c r="I496" s="193" t="s">
        <v>30</v>
      </c>
      <c r="J496" s="194">
        <v>5</v>
      </c>
      <c r="K496" s="193"/>
      <c r="L496" s="193"/>
      <c r="M496" s="193" t="s">
        <v>30</v>
      </c>
      <c r="N496" s="193" t="s">
        <v>47</v>
      </c>
      <c r="O496" s="194">
        <v>5</v>
      </c>
      <c r="P496" s="194" t="s">
        <v>942</v>
      </c>
      <c r="Q496" s="521">
        <f>R496*(1-Bolts!$E$1179)</f>
        <v>206.7</v>
      </c>
      <c r="R496" s="150">
        <v>206.7</v>
      </c>
      <c r="S496" s="168">
        <f t="shared" ref="S496:S497" si="242">SUM(T496:AB496)</f>
        <v>0</v>
      </c>
      <c r="T496" s="211"/>
      <c r="U496" s="169"/>
      <c r="V496" s="170"/>
      <c r="W496" s="171"/>
      <c r="X496" s="172"/>
      <c r="Y496" s="173"/>
      <c r="Z496" s="174"/>
      <c r="AA496" s="175"/>
      <c r="AB496" s="176"/>
      <c r="AC496" s="168">
        <f t="shared" ref="AC496:AC497" si="243">S496*O496</f>
        <v>0</v>
      </c>
      <c r="AD496" s="177">
        <f t="shared" ref="AD496:AD497" si="244">S496*R496</f>
        <v>0</v>
      </c>
      <c r="AE496" s="178">
        <v>8.74</v>
      </c>
      <c r="AF496" s="179">
        <f t="shared" ref="AF496:AF497" si="245">AE496*S496</f>
        <v>0</v>
      </c>
      <c r="AH496" s="180"/>
      <c r="AK496" s="1"/>
      <c r="AL496" s="1"/>
      <c r="AM496" s="1"/>
      <c r="AN496" s="1"/>
    </row>
    <row r="497" spans="1:40" ht="12.75" customHeight="1">
      <c r="A497" s="87"/>
      <c r="B497" s="192" t="s">
        <v>943</v>
      </c>
      <c r="C497" s="193" t="s">
        <v>57</v>
      </c>
      <c r="D497" s="193" t="s">
        <v>62</v>
      </c>
      <c r="E497" s="194">
        <v>5</v>
      </c>
      <c r="F497" s="193"/>
      <c r="G497" s="193"/>
      <c r="H497" s="193" t="s">
        <v>121</v>
      </c>
      <c r="I497" s="193" t="s">
        <v>29</v>
      </c>
      <c r="J497" s="194">
        <v>5</v>
      </c>
      <c r="K497" s="193"/>
      <c r="L497" s="193"/>
      <c r="M497" s="193" t="s">
        <v>29</v>
      </c>
      <c r="N497" s="193" t="s">
        <v>47</v>
      </c>
      <c r="O497" s="194">
        <v>5</v>
      </c>
      <c r="P497" s="194" t="s">
        <v>944</v>
      </c>
      <c r="Q497" s="521">
        <f>R497*(1-Bolts!$E$1179)</f>
        <v>257.60000000000002</v>
      </c>
      <c r="R497" s="150">
        <v>257.60000000000002</v>
      </c>
      <c r="S497" s="168">
        <f t="shared" si="242"/>
        <v>0</v>
      </c>
      <c r="T497" s="211"/>
      <c r="U497" s="169"/>
      <c r="V497" s="170"/>
      <c r="W497" s="171"/>
      <c r="X497" s="172"/>
      <c r="Y497" s="173"/>
      <c r="Z497" s="174"/>
      <c r="AA497" s="175"/>
      <c r="AB497" s="176"/>
      <c r="AC497" s="168">
        <f t="shared" si="243"/>
        <v>0</v>
      </c>
      <c r="AD497" s="177">
        <f t="shared" si="244"/>
        <v>0</v>
      </c>
      <c r="AE497" s="178">
        <v>12.79</v>
      </c>
      <c r="AF497" s="179">
        <f t="shared" si="245"/>
        <v>0</v>
      </c>
      <c r="AH497" s="180"/>
      <c r="AK497" s="1"/>
      <c r="AL497" s="1"/>
      <c r="AM497" s="1"/>
      <c r="AN497" s="1"/>
    </row>
    <row r="498" spans="1:40" ht="12.75" customHeight="1">
      <c r="A498" s="87"/>
      <c r="B498" s="185"/>
      <c r="C498" s="165"/>
      <c r="D498" s="165"/>
      <c r="E498" s="166"/>
      <c r="F498" s="165"/>
      <c r="G498" s="165"/>
      <c r="H498" s="165"/>
      <c r="I498" s="165"/>
      <c r="J498" s="166"/>
      <c r="K498" s="165"/>
      <c r="L498" s="165"/>
      <c r="M498" s="165"/>
      <c r="N498" s="165"/>
      <c r="O498" s="166"/>
      <c r="P498" s="166"/>
      <c r="Q498" s="522"/>
      <c r="R498" s="150"/>
      <c r="S498" s="186"/>
      <c r="T498" s="187"/>
      <c r="U498" s="187"/>
      <c r="V498" s="188"/>
      <c r="W498" s="187"/>
      <c r="X498" s="187"/>
      <c r="Y498" s="187"/>
      <c r="Z498" s="187"/>
      <c r="AA498" s="187"/>
      <c r="AB498" s="188"/>
      <c r="AC498" s="186"/>
      <c r="AD498" s="189"/>
      <c r="AE498" s="190"/>
      <c r="AF498" s="191"/>
      <c r="AH498" s="180"/>
      <c r="AK498" s="1"/>
      <c r="AL498" s="1"/>
      <c r="AM498" s="1"/>
      <c r="AN498" s="1"/>
    </row>
    <row r="499" spans="1:40" ht="12.75" customHeight="1">
      <c r="A499" s="87"/>
      <c r="B499" s="192" t="s">
        <v>945</v>
      </c>
      <c r="C499" s="193" t="s">
        <v>57</v>
      </c>
      <c r="D499" s="193" t="s">
        <v>63</v>
      </c>
      <c r="E499" s="194">
        <v>5</v>
      </c>
      <c r="F499" s="193"/>
      <c r="G499" s="193"/>
      <c r="H499" s="193" t="s">
        <v>121</v>
      </c>
      <c r="I499" s="193" t="s">
        <v>35</v>
      </c>
      <c r="J499" s="194">
        <v>5</v>
      </c>
      <c r="K499" s="193"/>
      <c r="L499" s="193"/>
      <c r="M499" s="193" t="s">
        <v>35</v>
      </c>
      <c r="N499" s="193" t="s">
        <v>47</v>
      </c>
      <c r="O499" s="194">
        <v>5</v>
      </c>
      <c r="P499" s="194" t="s">
        <v>946</v>
      </c>
      <c r="Q499" s="521">
        <f>R499*(1-Bolts!$E$1179)</f>
        <v>106.6</v>
      </c>
      <c r="R499" s="150">
        <v>106.6</v>
      </c>
      <c r="S499" s="168">
        <f t="shared" ref="S499:S507" si="246">SUM(T499:AB499)</f>
        <v>0</v>
      </c>
      <c r="T499" s="211"/>
      <c r="U499" s="169"/>
      <c r="V499" s="170"/>
      <c r="W499" s="171"/>
      <c r="X499" s="172"/>
      <c r="Y499" s="173"/>
      <c r="Z499" s="174"/>
      <c r="AA499" s="175"/>
      <c r="AB499" s="176"/>
      <c r="AC499" s="168">
        <f t="shared" ref="AC499:AC507" si="247">S499*O499</f>
        <v>0</v>
      </c>
      <c r="AD499" s="177">
        <f t="shared" ref="AD499:AD507" si="248">S499*R499</f>
        <v>0</v>
      </c>
      <c r="AE499" s="178">
        <v>4.5</v>
      </c>
      <c r="AF499" s="179">
        <f t="shared" ref="AF499:AF507" si="249">AE499*S499</f>
        <v>0</v>
      </c>
      <c r="AH499" s="180"/>
      <c r="AK499" s="1"/>
      <c r="AL499" s="1"/>
      <c r="AM499" s="1"/>
      <c r="AN499" s="1"/>
    </row>
    <row r="500" spans="1:40" ht="12.75" customHeight="1">
      <c r="A500" s="87"/>
      <c r="B500" s="192" t="s">
        <v>947</v>
      </c>
      <c r="C500" s="193" t="s">
        <v>57</v>
      </c>
      <c r="D500" s="193" t="s">
        <v>63</v>
      </c>
      <c r="E500" s="194">
        <v>5</v>
      </c>
      <c r="F500" s="193"/>
      <c r="G500" s="193"/>
      <c r="H500" s="193" t="s">
        <v>121</v>
      </c>
      <c r="I500" s="193" t="s">
        <v>29</v>
      </c>
      <c r="J500" s="194">
        <v>5</v>
      </c>
      <c r="K500" s="193"/>
      <c r="L500" s="193"/>
      <c r="M500" s="193" t="s">
        <v>29</v>
      </c>
      <c r="N500" s="193" t="s">
        <v>48</v>
      </c>
      <c r="O500" s="194">
        <v>5</v>
      </c>
      <c r="P500" s="194" t="s">
        <v>948</v>
      </c>
      <c r="Q500" s="521">
        <f>R500*(1-Bolts!$E$1179)</f>
        <v>90.7</v>
      </c>
      <c r="R500" s="150">
        <v>90.7</v>
      </c>
      <c r="S500" s="168">
        <f t="shared" si="246"/>
        <v>0</v>
      </c>
      <c r="T500" s="211"/>
      <c r="U500" s="169"/>
      <c r="V500" s="170"/>
      <c r="W500" s="171"/>
      <c r="X500" s="172"/>
      <c r="Y500" s="173"/>
      <c r="Z500" s="174"/>
      <c r="AA500" s="175"/>
      <c r="AB500" s="176"/>
      <c r="AC500" s="168">
        <f t="shared" si="247"/>
        <v>0</v>
      </c>
      <c r="AD500" s="177">
        <f t="shared" si="248"/>
        <v>0</v>
      </c>
      <c r="AE500" s="178">
        <v>3.55</v>
      </c>
      <c r="AF500" s="179">
        <f t="shared" si="249"/>
        <v>0</v>
      </c>
      <c r="AH500" s="180"/>
      <c r="AK500" s="1"/>
      <c r="AL500" s="1"/>
      <c r="AM500" s="1"/>
      <c r="AN500" s="1"/>
    </row>
    <row r="501" spans="1:40" ht="12.75" customHeight="1">
      <c r="A501" s="87"/>
      <c r="B501" s="192" t="s">
        <v>949</v>
      </c>
      <c r="C501" s="193" t="s">
        <v>57</v>
      </c>
      <c r="D501" s="193" t="s">
        <v>63</v>
      </c>
      <c r="E501" s="194">
        <v>5</v>
      </c>
      <c r="F501" s="193"/>
      <c r="G501" s="193"/>
      <c r="H501" s="193" t="s">
        <v>121</v>
      </c>
      <c r="I501" s="193" t="s">
        <v>29</v>
      </c>
      <c r="J501" s="194">
        <v>5</v>
      </c>
      <c r="K501" s="193"/>
      <c r="L501" s="193"/>
      <c r="M501" s="193" t="s">
        <v>29</v>
      </c>
      <c r="N501" s="193" t="s">
        <v>48</v>
      </c>
      <c r="O501" s="194">
        <v>5</v>
      </c>
      <c r="P501" s="194" t="s">
        <v>950</v>
      </c>
      <c r="Q501" s="521">
        <f>R501*(1-Bolts!$E$1179)</f>
        <v>140.5</v>
      </c>
      <c r="R501" s="150">
        <v>140.5</v>
      </c>
      <c r="S501" s="168">
        <f t="shared" si="246"/>
        <v>0</v>
      </c>
      <c r="T501" s="211"/>
      <c r="U501" s="169"/>
      <c r="V501" s="170"/>
      <c r="W501" s="171"/>
      <c r="X501" s="172"/>
      <c r="Y501" s="173"/>
      <c r="Z501" s="174"/>
      <c r="AA501" s="175"/>
      <c r="AB501" s="176"/>
      <c r="AC501" s="168">
        <f t="shared" si="247"/>
        <v>0</v>
      </c>
      <c r="AD501" s="177">
        <f t="shared" si="248"/>
        <v>0</v>
      </c>
      <c r="AE501" s="178">
        <v>6.8</v>
      </c>
      <c r="AF501" s="179">
        <f t="shared" si="249"/>
        <v>0</v>
      </c>
      <c r="AH501" s="180"/>
      <c r="AK501" s="1"/>
      <c r="AL501" s="1"/>
      <c r="AM501" s="1"/>
      <c r="AN501" s="1"/>
    </row>
    <row r="502" spans="1:40" ht="12.75" customHeight="1">
      <c r="A502" s="87"/>
      <c r="B502" s="192" t="s">
        <v>951</v>
      </c>
      <c r="C502" s="193" t="s">
        <v>57</v>
      </c>
      <c r="D502" s="193" t="s">
        <v>63</v>
      </c>
      <c r="E502" s="194">
        <v>5</v>
      </c>
      <c r="F502" s="193"/>
      <c r="G502" s="193"/>
      <c r="H502" s="193" t="s">
        <v>121</v>
      </c>
      <c r="I502" s="193" t="s">
        <v>29</v>
      </c>
      <c r="J502" s="194">
        <v>5</v>
      </c>
      <c r="K502" s="193"/>
      <c r="L502" s="193"/>
      <c r="M502" s="193" t="s">
        <v>29</v>
      </c>
      <c r="N502" s="193" t="s">
        <v>48</v>
      </c>
      <c r="O502" s="194">
        <v>5</v>
      </c>
      <c r="P502" s="194" t="s">
        <v>952</v>
      </c>
      <c r="Q502" s="521">
        <f>R502*(1-Bolts!$E$1179)</f>
        <v>125.1</v>
      </c>
      <c r="R502" s="150">
        <v>125.1</v>
      </c>
      <c r="S502" s="168">
        <f t="shared" si="246"/>
        <v>0</v>
      </c>
      <c r="T502" s="211"/>
      <c r="U502" s="169"/>
      <c r="V502" s="170"/>
      <c r="W502" s="171"/>
      <c r="X502" s="172"/>
      <c r="Y502" s="173"/>
      <c r="Z502" s="174"/>
      <c r="AA502" s="175"/>
      <c r="AB502" s="176"/>
      <c r="AC502" s="168">
        <f t="shared" si="247"/>
        <v>0</v>
      </c>
      <c r="AD502" s="177">
        <f t="shared" si="248"/>
        <v>0</v>
      </c>
      <c r="AE502" s="178">
        <v>5.7</v>
      </c>
      <c r="AF502" s="179">
        <f t="shared" si="249"/>
        <v>0</v>
      </c>
      <c r="AH502" s="180"/>
      <c r="AK502" s="1"/>
      <c r="AL502" s="1"/>
      <c r="AM502" s="1"/>
      <c r="AN502" s="1"/>
    </row>
    <row r="503" spans="1:40" ht="12.75" customHeight="1">
      <c r="A503" s="87"/>
      <c r="B503" s="192" t="s">
        <v>953</v>
      </c>
      <c r="C503" s="193" t="s">
        <v>57</v>
      </c>
      <c r="D503" s="193" t="s">
        <v>63</v>
      </c>
      <c r="E503" s="194">
        <v>5</v>
      </c>
      <c r="F503" s="193"/>
      <c r="G503" s="193"/>
      <c r="H503" s="193" t="s">
        <v>121</v>
      </c>
      <c r="I503" s="193" t="s">
        <v>29</v>
      </c>
      <c r="J503" s="194">
        <v>5</v>
      </c>
      <c r="K503" s="193"/>
      <c r="L503" s="193"/>
      <c r="M503" s="193" t="s">
        <v>29</v>
      </c>
      <c r="N503" s="193" t="s">
        <v>47</v>
      </c>
      <c r="O503" s="194">
        <v>5</v>
      </c>
      <c r="P503" s="194" t="s">
        <v>954</v>
      </c>
      <c r="Q503" s="521">
        <f>R503*(1-Bolts!$E$1179)</f>
        <v>181.8</v>
      </c>
      <c r="R503" s="150">
        <v>181.8</v>
      </c>
      <c r="S503" s="168">
        <f t="shared" si="246"/>
        <v>0</v>
      </c>
      <c r="T503" s="211"/>
      <c r="U503" s="169"/>
      <c r="V503" s="170"/>
      <c r="W503" s="171"/>
      <c r="X503" s="172"/>
      <c r="Y503" s="173"/>
      <c r="Z503" s="174"/>
      <c r="AA503" s="175"/>
      <c r="AB503" s="176"/>
      <c r="AC503" s="168">
        <f t="shared" si="247"/>
        <v>0</v>
      </c>
      <c r="AD503" s="177">
        <f t="shared" si="248"/>
        <v>0</v>
      </c>
      <c r="AE503" s="178">
        <v>8.39</v>
      </c>
      <c r="AF503" s="179">
        <f t="shared" si="249"/>
        <v>0</v>
      </c>
      <c r="AH503" s="180"/>
      <c r="AK503" s="1"/>
      <c r="AL503" s="1"/>
      <c r="AM503" s="1"/>
      <c r="AN503" s="1"/>
    </row>
    <row r="504" spans="1:40" ht="12.75" customHeight="1">
      <c r="A504" s="87"/>
      <c r="B504" s="192" t="s">
        <v>955</v>
      </c>
      <c r="C504" s="193" t="s">
        <v>57</v>
      </c>
      <c r="D504" s="193" t="s">
        <v>63</v>
      </c>
      <c r="E504" s="194">
        <v>5</v>
      </c>
      <c r="F504" s="193"/>
      <c r="G504" s="193"/>
      <c r="H504" s="193" t="s">
        <v>121</v>
      </c>
      <c r="I504" s="193" t="s">
        <v>29</v>
      </c>
      <c r="J504" s="194">
        <v>5</v>
      </c>
      <c r="K504" s="193"/>
      <c r="L504" s="193"/>
      <c r="M504" s="193" t="s">
        <v>29</v>
      </c>
      <c r="N504" s="193" t="s">
        <v>47</v>
      </c>
      <c r="O504" s="194">
        <v>5</v>
      </c>
      <c r="P504" s="194" t="s">
        <v>956</v>
      </c>
      <c r="Q504" s="521">
        <f>R504*(1-Bolts!$E$1179)</f>
        <v>156.6</v>
      </c>
      <c r="R504" s="150">
        <v>156.6</v>
      </c>
      <c r="S504" s="168">
        <f t="shared" si="246"/>
        <v>0</v>
      </c>
      <c r="T504" s="211"/>
      <c r="U504" s="169"/>
      <c r="V504" s="170"/>
      <c r="W504" s="171"/>
      <c r="X504" s="172"/>
      <c r="Y504" s="173"/>
      <c r="Z504" s="174"/>
      <c r="AA504" s="175"/>
      <c r="AB504" s="176"/>
      <c r="AC504" s="168">
        <f t="shared" si="247"/>
        <v>0</v>
      </c>
      <c r="AD504" s="177">
        <f t="shared" si="248"/>
        <v>0</v>
      </c>
      <c r="AE504" s="178">
        <v>6.92</v>
      </c>
      <c r="AF504" s="179">
        <f t="shared" si="249"/>
        <v>0</v>
      </c>
      <c r="AH504" s="180"/>
      <c r="AK504" s="1"/>
      <c r="AL504" s="1"/>
      <c r="AM504" s="1"/>
      <c r="AN504" s="1"/>
    </row>
    <row r="505" spans="1:40" ht="12.75" customHeight="1">
      <c r="A505" s="87"/>
      <c r="B505" s="192" t="s">
        <v>957</v>
      </c>
      <c r="C505" s="193" t="s">
        <v>57</v>
      </c>
      <c r="D505" s="193" t="s">
        <v>63</v>
      </c>
      <c r="E505" s="194">
        <v>10</v>
      </c>
      <c r="F505" s="193"/>
      <c r="G505" s="193"/>
      <c r="H505" s="193" t="s">
        <v>121</v>
      </c>
      <c r="I505" s="193" t="s">
        <v>30</v>
      </c>
      <c r="J505" s="194">
        <v>10</v>
      </c>
      <c r="K505" s="193"/>
      <c r="L505" s="193"/>
      <c r="M505" s="193" t="s">
        <v>30</v>
      </c>
      <c r="N505" s="193" t="s">
        <v>47</v>
      </c>
      <c r="O505" s="194">
        <v>10</v>
      </c>
      <c r="P505" s="194" t="s">
        <v>958</v>
      </c>
      <c r="Q505" s="521">
        <f>R505*(1-Bolts!$E$1179)</f>
        <v>194.9</v>
      </c>
      <c r="R505" s="150">
        <v>194.9</v>
      </c>
      <c r="S505" s="168">
        <f t="shared" si="246"/>
        <v>0</v>
      </c>
      <c r="T505" s="211"/>
      <c r="U505" s="169"/>
      <c r="V505" s="170"/>
      <c r="W505" s="171"/>
      <c r="X505" s="172"/>
      <c r="Y505" s="173"/>
      <c r="Z505" s="174"/>
      <c r="AA505" s="175"/>
      <c r="AB505" s="176"/>
      <c r="AC505" s="168">
        <f t="shared" si="247"/>
        <v>0</v>
      </c>
      <c r="AD505" s="177">
        <f t="shared" si="248"/>
        <v>0</v>
      </c>
      <c r="AE505" s="178">
        <v>8.4</v>
      </c>
      <c r="AF505" s="179">
        <f t="shared" si="249"/>
        <v>0</v>
      </c>
      <c r="AH505" s="180"/>
      <c r="AK505" s="1"/>
      <c r="AL505" s="1"/>
      <c r="AM505" s="1"/>
      <c r="AN505" s="1"/>
    </row>
    <row r="506" spans="1:40" ht="12.75" customHeight="1">
      <c r="A506" s="87"/>
      <c r="B506" s="192" t="s">
        <v>959</v>
      </c>
      <c r="C506" s="193" t="s">
        <v>57</v>
      </c>
      <c r="D506" s="193" t="s">
        <v>63</v>
      </c>
      <c r="E506" s="194">
        <v>5</v>
      </c>
      <c r="F506" s="193"/>
      <c r="G506" s="193"/>
      <c r="H506" s="193" t="s">
        <v>121</v>
      </c>
      <c r="I506" s="193" t="s">
        <v>30</v>
      </c>
      <c r="J506" s="194">
        <v>5</v>
      </c>
      <c r="K506" s="193"/>
      <c r="L506" s="193"/>
      <c r="M506" s="193" t="s">
        <v>30</v>
      </c>
      <c r="N506" s="193" t="s">
        <v>47</v>
      </c>
      <c r="O506" s="194">
        <v>5</v>
      </c>
      <c r="P506" s="194" t="s">
        <v>960</v>
      </c>
      <c r="Q506" s="521">
        <f>R506*(1-Bolts!$E$1179)</f>
        <v>127.6</v>
      </c>
      <c r="R506" s="150">
        <v>127.6</v>
      </c>
      <c r="S506" s="168">
        <f t="shared" si="246"/>
        <v>0</v>
      </c>
      <c r="T506" s="211"/>
      <c r="U506" s="169"/>
      <c r="V506" s="170"/>
      <c r="W506" s="171"/>
      <c r="X506" s="172"/>
      <c r="Y506" s="173"/>
      <c r="Z506" s="174"/>
      <c r="AA506" s="175"/>
      <c r="AB506" s="176"/>
      <c r="AC506" s="168">
        <f t="shared" si="247"/>
        <v>0</v>
      </c>
      <c r="AD506" s="177">
        <f t="shared" si="248"/>
        <v>0</v>
      </c>
      <c r="AE506" s="178">
        <v>5.24</v>
      </c>
      <c r="AF506" s="179">
        <f t="shared" si="249"/>
        <v>0</v>
      </c>
      <c r="AH506" s="180"/>
      <c r="AK506" s="1"/>
      <c r="AL506" s="1"/>
      <c r="AM506" s="1"/>
      <c r="AN506" s="1"/>
    </row>
    <row r="507" spans="1:40" ht="12.75" customHeight="1">
      <c r="A507" s="87"/>
      <c r="B507" s="192" t="s">
        <v>961</v>
      </c>
      <c r="C507" s="193" t="s">
        <v>57</v>
      </c>
      <c r="D507" s="193" t="s">
        <v>63</v>
      </c>
      <c r="E507" s="194">
        <v>5</v>
      </c>
      <c r="F507" s="193"/>
      <c r="G507" s="193"/>
      <c r="H507" s="193" t="s">
        <v>121</v>
      </c>
      <c r="I507" s="193" t="s">
        <v>37</v>
      </c>
      <c r="J507" s="194">
        <v>5</v>
      </c>
      <c r="K507" s="193"/>
      <c r="L507" s="193"/>
      <c r="M507" s="193" t="s">
        <v>37</v>
      </c>
      <c r="N507" s="193" t="s">
        <v>49</v>
      </c>
      <c r="O507" s="194">
        <v>5</v>
      </c>
      <c r="P507" s="194" t="s">
        <v>962</v>
      </c>
      <c r="Q507" s="521">
        <f>R507*(1-Bolts!$E$1179)</f>
        <v>167.7</v>
      </c>
      <c r="R507" s="150">
        <v>167.7</v>
      </c>
      <c r="S507" s="168">
        <f t="shared" si="246"/>
        <v>0</v>
      </c>
      <c r="T507" s="211"/>
      <c r="U507" s="169"/>
      <c r="V507" s="170"/>
      <c r="W507" s="171"/>
      <c r="X507" s="172"/>
      <c r="Y507" s="173"/>
      <c r="Z507" s="174"/>
      <c r="AA507" s="175"/>
      <c r="AB507" s="176"/>
      <c r="AC507" s="168">
        <f t="shared" si="247"/>
        <v>0</v>
      </c>
      <c r="AD507" s="177">
        <f t="shared" si="248"/>
        <v>0</v>
      </c>
      <c r="AE507" s="178">
        <v>7.57</v>
      </c>
      <c r="AF507" s="179">
        <f t="shared" si="249"/>
        <v>0</v>
      </c>
      <c r="AH507" s="180"/>
      <c r="AK507" s="1"/>
      <c r="AL507" s="1"/>
      <c r="AM507" s="1"/>
      <c r="AN507" s="1"/>
    </row>
    <row r="508" spans="1:40" ht="12.75" customHeight="1">
      <c r="A508" s="87"/>
      <c r="B508" s="185"/>
      <c r="C508" s="165"/>
      <c r="D508" s="165"/>
      <c r="E508" s="166"/>
      <c r="F508" s="165"/>
      <c r="G508" s="165"/>
      <c r="H508" s="165"/>
      <c r="I508" s="165"/>
      <c r="J508" s="166"/>
      <c r="K508" s="165"/>
      <c r="L508" s="165"/>
      <c r="M508" s="165"/>
      <c r="N508" s="165"/>
      <c r="O508" s="166"/>
      <c r="P508" s="166"/>
      <c r="Q508" s="522"/>
      <c r="R508" s="150"/>
      <c r="S508" s="186"/>
      <c r="T508" s="187"/>
      <c r="U508" s="187"/>
      <c r="V508" s="188"/>
      <c r="W508" s="187"/>
      <c r="X508" s="187"/>
      <c r="Y508" s="187"/>
      <c r="Z508" s="187"/>
      <c r="AA508" s="187"/>
      <c r="AB508" s="188"/>
      <c r="AC508" s="186"/>
      <c r="AD508" s="189"/>
      <c r="AE508" s="190"/>
      <c r="AF508" s="191"/>
      <c r="AH508" s="180"/>
      <c r="AK508" s="1"/>
      <c r="AL508" s="1"/>
      <c r="AM508" s="1"/>
      <c r="AN508" s="1"/>
    </row>
    <row r="509" spans="1:40" ht="12.75" customHeight="1">
      <c r="A509" s="87"/>
      <c r="B509" s="192" t="s">
        <v>963</v>
      </c>
      <c r="C509" s="193" t="s">
        <v>57</v>
      </c>
      <c r="D509" s="193" t="s">
        <v>48</v>
      </c>
      <c r="E509" s="194">
        <v>10</v>
      </c>
      <c r="F509" s="193"/>
      <c r="G509" s="193"/>
      <c r="H509" s="193" t="s">
        <v>121</v>
      </c>
      <c r="I509" s="193" t="s">
        <v>30</v>
      </c>
      <c r="J509" s="194">
        <v>10</v>
      </c>
      <c r="K509" s="193"/>
      <c r="L509" s="193"/>
      <c r="M509" s="193" t="s">
        <v>30</v>
      </c>
      <c r="N509" s="193" t="s">
        <v>48</v>
      </c>
      <c r="O509" s="194">
        <v>10</v>
      </c>
      <c r="P509" s="194" t="s">
        <v>964</v>
      </c>
      <c r="Q509" s="521">
        <f>R509*(1-Bolts!$E$1179)</f>
        <v>103</v>
      </c>
      <c r="R509" s="150">
        <v>103</v>
      </c>
      <c r="S509" s="168">
        <f t="shared" ref="S509:S536" si="250">SUM(T509:AB509)</f>
        <v>0</v>
      </c>
      <c r="T509" s="211"/>
      <c r="U509" s="169"/>
      <c r="V509" s="170"/>
      <c r="W509" s="171"/>
      <c r="X509" s="172"/>
      <c r="Y509" s="173"/>
      <c r="Z509" s="174"/>
      <c r="AA509" s="175"/>
      <c r="AB509" s="176"/>
      <c r="AC509" s="168">
        <f t="shared" ref="AC509:AC536" si="251">S509*O509</f>
        <v>0</v>
      </c>
      <c r="AD509" s="177">
        <f t="shared" ref="AD509:AD536" si="252">S509*R509</f>
        <v>0</v>
      </c>
      <c r="AE509" s="178">
        <v>3.55</v>
      </c>
      <c r="AF509" s="179">
        <f t="shared" ref="AF509:AF536" si="253">AE509*S509</f>
        <v>0</v>
      </c>
      <c r="AH509" s="180"/>
      <c r="AK509" s="1"/>
      <c r="AL509" s="1"/>
      <c r="AM509" s="1"/>
      <c r="AN509" s="1"/>
    </row>
    <row r="510" spans="1:40" ht="12.75" hidden="1" customHeight="1">
      <c r="A510" s="87" t="s">
        <v>262</v>
      </c>
      <c r="B510" s="203" t="s">
        <v>965</v>
      </c>
      <c r="C510" s="193" t="s">
        <v>57</v>
      </c>
      <c r="D510" s="193" t="s">
        <v>48</v>
      </c>
      <c r="E510" s="194">
        <v>10</v>
      </c>
      <c r="F510" s="193"/>
      <c r="G510" s="193"/>
      <c r="H510" s="193" t="s">
        <v>121</v>
      </c>
      <c r="I510" s="193" t="s">
        <v>31</v>
      </c>
      <c r="J510" s="194">
        <v>10</v>
      </c>
      <c r="K510" s="193"/>
      <c r="L510" s="193"/>
      <c r="M510" s="193" t="s">
        <v>31</v>
      </c>
      <c r="N510" s="193" t="s">
        <v>48</v>
      </c>
      <c r="O510" s="194">
        <v>10</v>
      </c>
      <c r="P510" s="194" t="s">
        <v>966</v>
      </c>
      <c r="Q510" s="521">
        <f>R510*(1-Bolts!$E$1179)</f>
        <v>88.4</v>
      </c>
      <c r="R510" s="150">
        <v>88.4</v>
      </c>
      <c r="S510" s="168">
        <f t="shared" si="250"/>
        <v>0</v>
      </c>
      <c r="T510" s="211"/>
      <c r="U510" s="169"/>
      <c r="V510" s="170"/>
      <c r="W510" s="171"/>
      <c r="X510" s="172"/>
      <c r="Y510" s="173"/>
      <c r="Z510" s="174"/>
      <c r="AA510" s="175"/>
      <c r="AB510" s="176"/>
      <c r="AC510" s="168">
        <f t="shared" si="251"/>
        <v>0</v>
      </c>
      <c r="AD510" s="177">
        <f t="shared" si="252"/>
        <v>0</v>
      </c>
      <c r="AE510" s="178">
        <v>2.6</v>
      </c>
      <c r="AF510" s="179">
        <f t="shared" si="253"/>
        <v>0</v>
      </c>
      <c r="AH510" s="180"/>
      <c r="AK510" s="1"/>
      <c r="AL510" s="1"/>
      <c r="AM510" s="1"/>
      <c r="AN510" s="1"/>
    </row>
    <row r="511" spans="1:40" ht="12.75" hidden="1" customHeight="1">
      <c r="A511" s="87" t="s">
        <v>262</v>
      </c>
      <c r="B511" s="203" t="s">
        <v>967</v>
      </c>
      <c r="C511" s="193" t="s">
        <v>57</v>
      </c>
      <c r="D511" s="193" t="s">
        <v>48</v>
      </c>
      <c r="E511" s="194">
        <v>10</v>
      </c>
      <c r="F511" s="193"/>
      <c r="G511" s="193"/>
      <c r="H511" s="193" t="s">
        <v>121</v>
      </c>
      <c r="I511" s="193" t="s">
        <v>31</v>
      </c>
      <c r="J511" s="194">
        <v>10</v>
      </c>
      <c r="K511" s="193"/>
      <c r="L511" s="193"/>
      <c r="M511" s="193" t="s">
        <v>31</v>
      </c>
      <c r="N511" s="193" t="s">
        <v>48</v>
      </c>
      <c r="O511" s="194">
        <v>10</v>
      </c>
      <c r="P511" s="194" t="s">
        <v>968</v>
      </c>
      <c r="Q511" s="521">
        <f>R511*(1-Bolts!$E$1179)</f>
        <v>0</v>
      </c>
      <c r="R511" s="150">
        <v>0</v>
      </c>
      <c r="S511" s="168">
        <f t="shared" si="250"/>
        <v>0</v>
      </c>
      <c r="T511" s="211"/>
      <c r="U511" s="169"/>
      <c r="V511" s="170"/>
      <c r="W511" s="171"/>
      <c r="X511" s="172"/>
      <c r="Y511" s="173"/>
      <c r="Z511" s="174"/>
      <c r="AA511" s="175"/>
      <c r="AB511" s="176"/>
      <c r="AC511" s="168">
        <f t="shared" si="251"/>
        <v>0</v>
      </c>
      <c r="AD511" s="177">
        <f t="shared" si="252"/>
        <v>0</v>
      </c>
      <c r="AE511" s="178">
        <v>2.4</v>
      </c>
      <c r="AF511" s="179">
        <f t="shared" si="253"/>
        <v>0</v>
      </c>
      <c r="AH511" s="180"/>
      <c r="AK511" s="1"/>
      <c r="AL511" s="1"/>
      <c r="AM511" s="1"/>
      <c r="AN511" s="1"/>
    </row>
    <row r="512" spans="1:40" ht="12.75" customHeight="1">
      <c r="A512" s="87"/>
      <c r="B512" s="192" t="s">
        <v>969</v>
      </c>
      <c r="C512" s="193" t="s">
        <v>57</v>
      </c>
      <c r="D512" s="193" t="s">
        <v>48</v>
      </c>
      <c r="E512" s="194">
        <v>10</v>
      </c>
      <c r="F512" s="193"/>
      <c r="G512" s="193"/>
      <c r="H512" s="193" t="s">
        <v>121</v>
      </c>
      <c r="I512" s="193" t="s">
        <v>35</v>
      </c>
      <c r="J512" s="194">
        <v>10</v>
      </c>
      <c r="K512" s="193"/>
      <c r="L512" s="193"/>
      <c r="M512" s="193" t="s">
        <v>35</v>
      </c>
      <c r="N512" s="193" t="s">
        <v>49</v>
      </c>
      <c r="O512" s="194">
        <v>10</v>
      </c>
      <c r="P512" s="194" t="s">
        <v>970</v>
      </c>
      <c r="Q512" s="521">
        <f>R512*(1-Bolts!$E$1179)</f>
        <v>91.4</v>
      </c>
      <c r="R512" s="150">
        <v>91.4</v>
      </c>
      <c r="S512" s="168">
        <f t="shared" si="250"/>
        <v>0</v>
      </c>
      <c r="T512" s="211"/>
      <c r="U512" s="169"/>
      <c r="V512" s="170"/>
      <c r="W512" s="171"/>
      <c r="X512" s="172"/>
      <c r="Y512" s="173"/>
      <c r="Z512" s="174"/>
      <c r="AA512" s="175"/>
      <c r="AB512" s="176"/>
      <c r="AC512" s="168">
        <f t="shared" si="251"/>
        <v>0</v>
      </c>
      <c r="AD512" s="177">
        <f t="shared" si="252"/>
        <v>0</v>
      </c>
      <c r="AE512" s="178">
        <v>2.8</v>
      </c>
      <c r="AF512" s="179">
        <f t="shared" si="253"/>
        <v>0</v>
      </c>
      <c r="AH512" s="180"/>
      <c r="AK512" s="1"/>
      <c r="AL512" s="1"/>
      <c r="AM512" s="1"/>
      <c r="AN512" s="1"/>
    </row>
    <row r="513" spans="1:40" ht="12.75" customHeight="1">
      <c r="A513" s="87"/>
      <c r="B513" s="192" t="s">
        <v>971</v>
      </c>
      <c r="C513" s="193" t="s">
        <v>57</v>
      </c>
      <c r="D513" s="193" t="s">
        <v>48</v>
      </c>
      <c r="E513" s="194">
        <v>10</v>
      </c>
      <c r="F513" s="193"/>
      <c r="G513" s="193"/>
      <c r="H513" s="193" t="s">
        <v>121</v>
      </c>
      <c r="I513" s="193" t="s">
        <v>33</v>
      </c>
      <c r="J513" s="194">
        <v>10</v>
      </c>
      <c r="K513" s="193"/>
      <c r="L513" s="193"/>
      <c r="M513" s="193" t="s">
        <v>33</v>
      </c>
      <c r="N513" s="193" t="s">
        <v>48</v>
      </c>
      <c r="O513" s="194">
        <v>10</v>
      </c>
      <c r="P513" s="194" t="s">
        <v>972</v>
      </c>
      <c r="Q513" s="521">
        <f>R513*(1-Bolts!$E$1179)</f>
        <v>96.4</v>
      </c>
      <c r="R513" s="150">
        <v>96.4</v>
      </c>
      <c r="S513" s="168">
        <f t="shared" si="250"/>
        <v>0</v>
      </c>
      <c r="T513" s="211"/>
      <c r="U513" s="169"/>
      <c r="V513" s="170"/>
      <c r="W513" s="171"/>
      <c r="X513" s="172"/>
      <c r="Y513" s="173"/>
      <c r="Z513" s="174"/>
      <c r="AA513" s="175"/>
      <c r="AB513" s="176"/>
      <c r="AC513" s="168">
        <f t="shared" si="251"/>
        <v>0</v>
      </c>
      <c r="AD513" s="177">
        <f t="shared" si="252"/>
        <v>0</v>
      </c>
      <c r="AE513" s="178">
        <v>3</v>
      </c>
      <c r="AF513" s="179">
        <f t="shared" si="253"/>
        <v>0</v>
      </c>
      <c r="AH513" s="180"/>
      <c r="AK513" s="1"/>
      <c r="AL513" s="1"/>
      <c r="AM513" s="1"/>
      <c r="AN513" s="1"/>
    </row>
    <row r="514" spans="1:40" ht="12.75" customHeight="1">
      <c r="A514" s="87"/>
      <c r="B514" s="192" t="s">
        <v>973</v>
      </c>
      <c r="C514" s="193" t="s">
        <v>57</v>
      </c>
      <c r="D514" s="193" t="s">
        <v>48</v>
      </c>
      <c r="E514" s="194">
        <v>10</v>
      </c>
      <c r="F514" s="193"/>
      <c r="G514" s="193"/>
      <c r="H514" s="193" t="s">
        <v>121</v>
      </c>
      <c r="I514" s="193" t="s">
        <v>34</v>
      </c>
      <c r="J514" s="194">
        <v>10</v>
      </c>
      <c r="K514" s="193"/>
      <c r="L514" s="193"/>
      <c r="M514" s="193" t="s">
        <v>34</v>
      </c>
      <c r="N514" s="193" t="s">
        <v>48</v>
      </c>
      <c r="O514" s="194">
        <v>10</v>
      </c>
      <c r="P514" s="194" t="s">
        <v>974</v>
      </c>
      <c r="Q514" s="521">
        <f>R514*(1-Bolts!$E$1179)</f>
        <v>96.4</v>
      </c>
      <c r="R514" s="150">
        <v>96.4</v>
      </c>
      <c r="S514" s="168">
        <f t="shared" si="250"/>
        <v>0</v>
      </c>
      <c r="T514" s="211"/>
      <c r="U514" s="169"/>
      <c r="V514" s="170"/>
      <c r="W514" s="171"/>
      <c r="X514" s="172"/>
      <c r="Y514" s="173"/>
      <c r="Z514" s="174"/>
      <c r="AA514" s="175"/>
      <c r="AB514" s="176"/>
      <c r="AC514" s="168">
        <f t="shared" si="251"/>
        <v>0</v>
      </c>
      <c r="AD514" s="177">
        <f t="shared" si="252"/>
        <v>0</v>
      </c>
      <c r="AE514" s="178">
        <v>3</v>
      </c>
      <c r="AF514" s="179">
        <f t="shared" si="253"/>
        <v>0</v>
      </c>
      <c r="AH514" s="180"/>
      <c r="AK514" s="1"/>
      <c r="AL514" s="1"/>
      <c r="AM514" s="1"/>
      <c r="AN514" s="1"/>
    </row>
    <row r="515" spans="1:40" ht="12.75" customHeight="1">
      <c r="A515" s="87"/>
      <c r="B515" s="192" t="s">
        <v>975</v>
      </c>
      <c r="C515" s="193" t="s">
        <v>57</v>
      </c>
      <c r="D515" s="193" t="s">
        <v>48</v>
      </c>
      <c r="E515" s="194">
        <v>10</v>
      </c>
      <c r="F515" s="193"/>
      <c r="G515" s="193"/>
      <c r="H515" s="193" t="s">
        <v>121</v>
      </c>
      <c r="I515" s="193" t="s">
        <v>32</v>
      </c>
      <c r="J515" s="194">
        <v>10</v>
      </c>
      <c r="K515" s="193"/>
      <c r="L515" s="193"/>
      <c r="M515" s="193" t="s">
        <v>32</v>
      </c>
      <c r="N515" s="193" t="s">
        <v>48</v>
      </c>
      <c r="O515" s="194">
        <v>10</v>
      </c>
      <c r="P515" s="194" t="s">
        <v>976</v>
      </c>
      <c r="Q515" s="521">
        <f>R515*(1-Bolts!$E$1179)</f>
        <v>70.7</v>
      </c>
      <c r="R515" s="150">
        <v>70.7</v>
      </c>
      <c r="S515" s="168">
        <f t="shared" si="250"/>
        <v>0</v>
      </c>
      <c r="T515" s="211"/>
      <c r="U515" s="169"/>
      <c r="V515" s="170"/>
      <c r="W515" s="171"/>
      <c r="X515" s="172"/>
      <c r="Y515" s="173"/>
      <c r="Z515" s="174"/>
      <c r="AA515" s="175"/>
      <c r="AB515" s="176"/>
      <c r="AC515" s="168">
        <f t="shared" si="251"/>
        <v>0</v>
      </c>
      <c r="AD515" s="177">
        <f t="shared" si="252"/>
        <v>0</v>
      </c>
      <c r="AE515" s="178">
        <v>1.7</v>
      </c>
      <c r="AF515" s="179">
        <f t="shared" si="253"/>
        <v>0</v>
      </c>
      <c r="AH515" s="180"/>
      <c r="AK515" s="1"/>
      <c r="AL515" s="1"/>
      <c r="AM515" s="1"/>
      <c r="AN515" s="1"/>
    </row>
    <row r="516" spans="1:40" ht="12.75" customHeight="1">
      <c r="A516" s="87"/>
      <c r="B516" s="192" t="s">
        <v>977</v>
      </c>
      <c r="C516" s="193" t="s">
        <v>57</v>
      </c>
      <c r="D516" s="193" t="s">
        <v>48</v>
      </c>
      <c r="E516" s="194">
        <v>10</v>
      </c>
      <c r="F516" s="193"/>
      <c r="G516" s="193"/>
      <c r="H516" s="193" t="s">
        <v>121</v>
      </c>
      <c r="I516" s="193" t="s">
        <v>34</v>
      </c>
      <c r="J516" s="194">
        <v>10</v>
      </c>
      <c r="K516" s="193"/>
      <c r="L516" s="193"/>
      <c r="M516" s="193" t="s">
        <v>34</v>
      </c>
      <c r="N516" s="193" t="s">
        <v>49</v>
      </c>
      <c r="O516" s="194">
        <v>10</v>
      </c>
      <c r="P516" s="194" t="s">
        <v>978</v>
      </c>
      <c r="Q516" s="521">
        <f>R516*(1-Bolts!$E$1179)</f>
        <v>121.7</v>
      </c>
      <c r="R516" s="150">
        <v>121.7</v>
      </c>
      <c r="S516" s="168">
        <f t="shared" si="250"/>
        <v>0</v>
      </c>
      <c r="T516" s="211"/>
      <c r="U516" s="169"/>
      <c r="V516" s="170"/>
      <c r="W516" s="171"/>
      <c r="X516" s="172"/>
      <c r="Y516" s="173"/>
      <c r="Z516" s="174"/>
      <c r="AA516" s="175"/>
      <c r="AB516" s="176"/>
      <c r="AC516" s="168">
        <f t="shared" si="251"/>
        <v>0</v>
      </c>
      <c r="AD516" s="177">
        <f t="shared" si="252"/>
        <v>0</v>
      </c>
      <c r="AE516" s="178">
        <v>4.28</v>
      </c>
      <c r="AF516" s="179">
        <f t="shared" si="253"/>
        <v>0</v>
      </c>
      <c r="AH516" s="180"/>
      <c r="AK516" s="1"/>
      <c r="AL516" s="1"/>
      <c r="AM516" s="1"/>
      <c r="AN516" s="1"/>
    </row>
    <row r="517" spans="1:40" ht="12.75" customHeight="1">
      <c r="A517" s="87"/>
      <c r="B517" s="192" t="s">
        <v>979</v>
      </c>
      <c r="C517" s="193" t="s">
        <v>57</v>
      </c>
      <c r="D517" s="193" t="s">
        <v>48</v>
      </c>
      <c r="E517" s="194">
        <v>10</v>
      </c>
      <c r="F517" s="193"/>
      <c r="G517" s="193"/>
      <c r="H517" s="193" t="s">
        <v>121</v>
      </c>
      <c r="I517" s="193" t="s">
        <v>34</v>
      </c>
      <c r="J517" s="194">
        <v>10</v>
      </c>
      <c r="K517" s="193"/>
      <c r="L517" s="193"/>
      <c r="M517" s="193" t="s">
        <v>34</v>
      </c>
      <c r="N517" s="193" t="s">
        <v>49</v>
      </c>
      <c r="O517" s="194">
        <v>10</v>
      </c>
      <c r="P517" s="194" t="s">
        <v>980</v>
      </c>
      <c r="Q517" s="521">
        <f>R517*(1-Bolts!$E$1179)</f>
        <v>156</v>
      </c>
      <c r="R517" s="150">
        <v>156</v>
      </c>
      <c r="S517" s="168">
        <f t="shared" si="250"/>
        <v>0</v>
      </c>
      <c r="T517" s="211"/>
      <c r="U517" s="169"/>
      <c r="V517" s="170"/>
      <c r="W517" s="171"/>
      <c r="X517" s="172"/>
      <c r="Y517" s="173"/>
      <c r="Z517" s="174"/>
      <c r="AA517" s="175"/>
      <c r="AB517" s="176"/>
      <c r="AC517" s="168">
        <f t="shared" si="251"/>
        <v>0</v>
      </c>
      <c r="AD517" s="177">
        <f t="shared" si="252"/>
        <v>0</v>
      </c>
      <c r="AE517" s="178">
        <v>6.16</v>
      </c>
      <c r="AF517" s="179">
        <f t="shared" si="253"/>
        <v>0</v>
      </c>
      <c r="AH517" s="180"/>
      <c r="AK517" s="1"/>
      <c r="AL517" s="1"/>
      <c r="AM517" s="1"/>
      <c r="AN517" s="1"/>
    </row>
    <row r="518" spans="1:40" ht="12.75" customHeight="1">
      <c r="A518" s="87"/>
      <c r="B518" s="192" t="s">
        <v>981</v>
      </c>
      <c r="C518" s="193" t="s">
        <v>57</v>
      </c>
      <c r="D518" s="193" t="s">
        <v>48</v>
      </c>
      <c r="E518" s="194">
        <v>10</v>
      </c>
      <c r="F518" s="193"/>
      <c r="G518" s="193"/>
      <c r="H518" s="193" t="s">
        <v>121</v>
      </c>
      <c r="I518" s="193" t="s">
        <v>30</v>
      </c>
      <c r="J518" s="194">
        <v>10</v>
      </c>
      <c r="K518" s="193"/>
      <c r="L518" s="193"/>
      <c r="M518" s="193" t="s">
        <v>30</v>
      </c>
      <c r="N518" s="193" t="s">
        <v>47</v>
      </c>
      <c r="O518" s="194">
        <v>10</v>
      </c>
      <c r="P518" s="194" t="s">
        <v>982</v>
      </c>
      <c r="Q518" s="521">
        <f>R518*(1-Bolts!$E$1179)</f>
        <v>170</v>
      </c>
      <c r="R518" s="150">
        <v>170</v>
      </c>
      <c r="S518" s="168">
        <f t="shared" si="250"/>
        <v>0</v>
      </c>
      <c r="T518" s="211"/>
      <c r="U518" s="169"/>
      <c r="V518" s="170"/>
      <c r="W518" s="171"/>
      <c r="X518" s="172"/>
      <c r="Y518" s="173"/>
      <c r="Z518" s="174"/>
      <c r="AA518" s="175"/>
      <c r="AB518" s="176"/>
      <c r="AC518" s="168">
        <f t="shared" si="251"/>
        <v>0</v>
      </c>
      <c r="AD518" s="177">
        <f t="shared" si="252"/>
        <v>0</v>
      </c>
      <c r="AE518" s="178">
        <v>6.96</v>
      </c>
      <c r="AF518" s="179">
        <f t="shared" si="253"/>
        <v>0</v>
      </c>
      <c r="AH518" s="180"/>
      <c r="AK518" s="1"/>
      <c r="AL518" s="1"/>
      <c r="AM518" s="1"/>
      <c r="AN518" s="1"/>
    </row>
    <row r="519" spans="1:40" ht="12.75" customHeight="1">
      <c r="A519" s="87"/>
      <c r="B519" s="192" t="s">
        <v>983</v>
      </c>
      <c r="C519" s="193" t="s">
        <v>57</v>
      </c>
      <c r="D519" s="193" t="s">
        <v>48</v>
      </c>
      <c r="E519" s="194">
        <v>20</v>
      </c>
      <c r="F519" s="193"/>
      <c r="G519" s="193"/>
      <c r="H519" s="193" t="s">
        <v>121</v>
      </c>
      <c r="I519" s="193" t="s">
        <v>37</v>
      </c>
      <c r="J519" s="194">
        <v>20</v>
      </c>
      <c r="K519" s="193"/>
      <c r="L519" s="193"/>
      <c r="M519" s="193" t="s">
        <v>37</v>
      </c>
      <c r="N519" s="193" t="s">
        <v>49</v>
      </c>
      <c r="O519" s="194">
        <v>20</v>
      </c>
      <c r="P519" s="194" t="s">
        <v>984</v>
      </c>
      <c r="Q519" s="521">
        <f>R519*(1-Bolts!$E$1179)</f>
        <v>301.2</v>
      </c>
      <c r="R519" s="150">
        <v>301.2</v>
      </c>
      <c r="S519" s="168">
        <f t="shared" si="250"/>
        <v>0</v>
      </c>
      <c r="T519" s="211"/>
      <c r="U519" s="169"/>
      <c r="V519" s="170"/>
      <c r="W519" s="171"/>
      <c r="X519" s="172"/>
      <c r="Y519" s="173"/>
      <c r="Z519" s="174"/>
      <c r="AA519" s="175"/>
      <c r="AB519" s="176"/>
      <c r="AC519" s="168">
        <f t="shared" si="251"/>
        <v>0</v>
      </c>
      <c r="AD519" s="177">
        <f t="shared" si="252"/>
        <v>0</v>
      </c>
      <c r="AE519" s="178">
        <v>11.66</v>
      </c>
      <c r="AF519" s="179">
        <f t="shared" si="253"/>
        <v>0</v>
      </c>
      <c r="AH519" s="180"/>
      <c r="AK519" s="1"/>
      <c r="AL519" s="1"/>
      <c r="AM519" s="1"/>
      <c r="AN519" s="1"/>
    </row>
    <row r="520" spans="1:40" ht="12.75" customHeight="1">
      <c r="A520" s="87"/>
      <c r="B520" s="192" t="s">
        <v>985</v>
      </c>
      <c r="C520" s="193" t="s">
        <v>57</v>
      </c>
      <c r="D520" s="193" t="s">
        <v>48</v>
      </c>
      <c r="E520" s="194">
        <v>10</v>
      </c>
      <c r="F520" s="193"/>
      <c r="G520" s="193"/>
      <c r="H520" s="193" t="s">
        <v>121</v>
      </c>
      <c r="I520" s="193" t="s">
        <v>31</v>
      </c>
      <c r="J520" s="194">
        <v>10</v>
      </c>
      <c r="K520" s="193"/>
      <c r="L520" s="193"/>
      <c r="M520" s="193" t="s">
        <v>31</v>
      </c>
      <c r="N520" s="193" t="s">
        <v>48</v>
      </c>
      <c r="O520" s="194">
        <v>10</v>
      </c>
      <c r="P520" s="194" t="s">
        <v>986</v>
      </c>
      <c r="Q520" s="521">
        <f>R520*(1-Bolts!$E$1179)</f>
        <v>126</v>
      </c>
      <c r="R520" s="150">
        <v>126</v>
      </c>
      <c r="S520" s="168">
        <f t="shared" si="250"/>
        <v>0</v>
      </c>
      <c r="T520" s="211"/>
      <c r="U520" s="169"/>
      <c r="V520" s="170"/>
      <c r="W520" s="171"/>
      <c r="X520" s="172"/>
      <c r="Y520" s="173"/>
      <c r="Z520" s="174"/>
      <c r="AA520" s="175"/>
      <c r="AB520" s="176"/>
      <c r="AC520" s="168">
        <f t="shared" si="251"/>
        <v>0</v>
      </c>
      <c r="AD520" s="177">
        <f t="shared" si="252"/>
        <v>0</v>
      </c>
      <c r="AE520" s="178">
        <v>4.4000000000000004</v>
      </c>
      <c r="AF520" s="179">
        <f t="shared" si="253"/>
        <v>0</v>
      </c>
      <c r="AH520" s="180"/>
      <c r="AK520" s="1"/>
      <c r="AL520" s="1"/>
      <c r="AM520" s="1"/>
      <c r="AN520" s="1"/>
    </row>
    <row r="521" spans="1:40" ht="12.75" customHeight="1">
      <c r="A521" s="87"/>
      <c r="B521" s="192" t="s">
        <v>987</v>
      </c>
      <c r="C521" s="193" t="s">
        <v>57</v>
      </c>
      <c r="D521" s="193" t="s">
        <v>48</v>
      </c>
      <c r="E521" s="194">
        <v>10</v>
      </c>
      <c r="F521" s="193"/>
      <c r="G521" s="193"/>
      <c r="H521" s="193" t="s">
        <v>121</v>
      </c>
      <c r="I521" s="193" t="s">
        <v>31</v>
      </c>
      <c r="J521" s="194">
        <v>10</v>
      </c>
      <c r="K521" s="193"/>
      <c r="L521" s="193"/>
      <c r="M521" s="193" t="s">
        <v>31</v>
      </c>
      <c r="N521" s="193" t="s">
        <v>48</v>
      </c>
      <c r="O521" s="194">
        <v>10</v>
      </c>
      <c r="P521" s="194" t="s">
        <v>988</v>
      </c>
      <c r="Q521" s="521">
        <f>R521*(1-Bolts!$E$1179)</f>
        <v>97.6</v>
      </c>
      <c r="R521" s="150">
        <v>97.6</v>
      </c>
      <c r="S521" s="168">
        <f t="shared" si="250"/>
        <v>0</v>
      </c>
      <c r="T521" s="211"/>
      <c r="U521" s="169"/>
      <c r="V521" s="170"/>
      <c r="W521" s="171"/>
      <c r="X521" s="172"/>
      <c r="Y521" s="173"/>
      <c r="Z521" s="174"/>
      <c r="AA521" s="175"/>
      <c r="AB521" s="176"/>
      <c r="AC521" s="168">
        <f t="shared" si="251"/>
        <v>0</v>
      </c>
      <c r="AD521" s="177">
        <f t="shared" si="252"/>
        <v>0</v>
      </c>
      <c r="AE521" s="178">
        <v>2.75</v>
      </c>
      <c r="AF521" s="179">
        <f t="shared" si="253"/>
        <v>0</v>
      </c>
      <c r="AH521" s="180"/>
      <c r="AK521" s="1"/>
      <c r="AL521" s="1"/>
      <c r="AM521" s="1"/>
      <c r="AN521" s="1"/>
    </row>
    <row r="522" spans="1:40" ht="12.75" customHeight="1">
      <c r="A522" s="87"/>
      <c r="B522" s="192" t="s">
        <v>989</v>
      </c>
      <c r="C522" s="193" t="s">
        <v>57</v>
      </c>
      <c r="D522" s="193" t="s">
        <v>48</v>
      </c>
      <c r="E522" s="194">
        <v>10</v>
      </c>
      <c r="F522" s="193"/>
      <c r="G522" s="193"/>
      <c r="H522" s="193" t="s">
        <v>121</v>
      </c>
      <c r="I522" s="193" t="s">
        <v>31</v>
      </c>
      <c r="J522" s="194">
        <v>10</v>
      </c>
      <c r="K522" s="193"/>
      <c r="L522" s="193"/>
      <c r="M522" s="193" t="s">
        <v>31</v>
      </c>
      <c r="N522" s="193" t="s">
        <v>48</v>
      </c>
      <c r="O522" s="194">
        <v>10</v>
      </c>
      <c r="P522" s="194" t="s">
        <v>990</v>
      </c>
      <c r="Q522" s="521">
        <f>R522*(1-Bolts!$E$1179)</f>
        <v>111.9</v>
      </c>
      <c r="R522" s="150">
        <v>111.9</v>
      </c>
      <c r="S522" s="168">
        <f t="shared" si="250"/>
        <v>0</v>
      </c>
      <c r="T522" s="211"/>
      <c r="U522" s="169"/>
      <c r="V522" s="170"/>
      <c r="W522" s="171"/>
      <c r="X522" s="172"/>
      <c r="Y522" s="173"/>
      <c r="Z522" s="174"/>
      <c r="AA522" s="175"/>
      <c r="AB522" s="176"/>
      <c r="AC522" s="168">
        <f t="shared" si="251"/>
        <v>0</v>
      </c>
      <c r="AD522" s="177">
        <f t="shared" si="252"/>
        <v>0</v>
      </c>
      <c r="AE522" s="178">
        <v>3.58</v>
      </c>
      <c r="AF522" s="179">
        <f t="shared" si="253"/>
        <v>0</v>
      </c>
      <c r="AH522" s="180"/>
      <c r="AK522" s="1"/>
      <c r="AL522" s="1"/>
      <c r="AM522" s="1"/>
      <c r="AN522" s="1"/>
    </row>
    <row r="523" spans="1:40" ht="12.75" customHeight="1">
      <c r="A523" s="87"/>
      <c r="B523" s="192" t="s">
        <v>991</v>
      </c>
      <c r="C523" s="193" t="s">
        <v>57</v>
      </c>
      <c r="D523" s="193" t="s">
        <v>48</v>
      </c>
      <c r="E523" s="194">
        <v>10</v>
      </c>
      <c r="F523" s="193"/>
      <c r="G523" s="193"/>
      <c r="H523" s="193" t="s">
        <v>121</v>
      </c>
      <c r="I523" s="193" t="s">
        <v>37</v>
      </c>
      <c r="J523" s="194">
        <v>10</v>
      </c>
      <c r="K523" s="193"/>
      <c r="L523" s="193"/>
      <c r="M523" s="193" t="s">
        <v>37</v>
      </c>
      <c r="N523" s="193" t="s">
        <v>49</v>
      </c>
      <c r="O523" s="194">
        <v>10</v>
      </c>
      <c r="P523" s="194" t="s">
        <v>992</v>
      </c>
      <c r="Q523" s="521">
        <f>R523*(1-Bolts!$E$1179)</f>
        <v>153.9</v>
      </c>
      <c r="R523" s="150">
        <v>153.9</v>
      </c>
      <c r="S523" s="168">
        <f t="shared" si="250"/>
        <v>0</v>
      </c>
      <c r="T523" s="211"/>
      <c r="U523" s="169"/>
      <c r="V523" s="170"/>
      <c r="W523" s="171"/>
      <c r="X523" s="172"/>
      <c r="Y523" s="173"/>
      <c r="Z523" s="174"/>
      <c r="AA523" s="175"/>
      <c r="AB523" s="176"/>
      <c r="AC523" s="168">
        <f t="shared" si="251"/>
        <v>0</v>
      </c>
      <c r="AD523" s="177">
        <f t="shared" si="252"/>
        <v>0</v>
      </c>
      <c r="AE523" s="178">
        <v>6.02</v>
      </c>
      <c r="AF523" s="179">
        <f t="shared" si="253"/>
        <v>0</v>
      </c>
      <c r="AH523" s="180"/>
      <c r="AK523" s="1"/>
      <c r="AL523" s="1"/>
      <c r="AM523" s="1"/>
      <c r="AN523" s="1"/>
    </row>
    <row r="524" spans="1:40" ht="12.75" customHeight="1">
      <c r="A524" s="87"/>
      <c r="B524" s="192" t="s">
        <v>993</v>
      </c>
      <c r="C524" s="193" t="s">
        <v>57</v>
      </c>
      <c r="D524" s="193" t="s">
        <v>48</v>
      </c>
      <c r="E524" s="194">
        <v>10</v>
      </c>
      <c r="F524" s="193"/>
      <c r="G524" s="193"/>
      <c r="H524" s="193" t="s">
        <v>121</v>
      </c>
      <c r="I524" s="193" t="s">
        <v>33</v>
      </c>
      <c r="J524" s="194">
        <v>10</v>
      </c>
      <c r="K524" s="193"/>
      <c r="L524" s="193"/>
      <c r="M524" s="193" t="s">
        <v>33</v>
      </c>
      <c r="N524" s="193" t="s">
        <v>48</v>
      </c>
      <c r="O524" s="194">
        <v>10</v>
      </c>
      <c r="P524" s="194" t="s">
        <v>994</v>
      </c>
      <c r="Q524" s="521">
        <f>R524*(1-Bolts!$E$1179)</f>
        <v>123.5</v>
      </c>
      <c r="R524" s="150">
        <v>123.5</v>
      </c>
      <c r="S524" s="168">
        <f t="shared" si="250"/>
        <v>0</v>
      </c>
      <c r="T524" s="211"/>
      <c r="U524" s="169"/>
      <c r="V524" s="170"/>
      <c r="W524" s="171"/>
      <c r="X524" s="172"/>
      <c r="Y524" s="173"/>
      <c r="Z524" s="174"/>
      <c r="AA524" s="175"/>
      <c r="AB524" s="176"/>
      <c r="AC524" s="168">
        <f t="shared" si="251"/>
        <v>0</v>
      </c>
      <c r="AD524" s="177">
        <f t="shared" si="252"/>
        <v>0</v>
      </c>
      <c r="AE524" s="178">
        <v>4.26</v>
      </c>
      <c r="AF524" s="179">
        <f t="shared" si="253"/>
        <v>0</v>
      </c>
      <c r="AH524" s="180"/>
      <c r="AK524" s="1"/>
      <c r="AL524" s="1"/>
      <c r="AM524" s="1"/>
      <c r="AN524" s="1"/>
    </row>
    <row r="525" spans="1:40" ht="12.75" customHeight="1">
      <c r="A525" s="87"/>
      <c r="B525" s="192" t="s">
        <v>995</v>
      </c>
      <c r="C525" s="193" t="s">
        <v>57</v>
      </c>
      <c r="D525" s="193" t="s">
        <v>48</v>
      </c>
      <c r="E525" s="194">
        <v>10</v>
      </c>
      <c r="F525" s="193"/>
      <c r="G525" s="193"/>
      <c r="H525" s="193" t="s">
        <v>121</v>
      </c>
      <c r="I525" s="193" t="s">
        <v>30</v>
      </c>
      <c r="J525" s="194">
        <v>10</v>
      </c>
      <c r="K525" s="193"/>
      <c r="L525" s="193"/>
      <c r="M525" s="193" t="s">
        <v>30</v>
      </c>
      <c r="N525" s="193" t="s">
        <v>47</v>
      </c>
      <c r="O525" s="194">
        <v>10</v>
      </c>
      <c r="P525" s="194" t="s">
        <v>996</v>
      </c>
      <c r="Q525" s="521">
        <f>R525*(1-Bolts!$E$1179)</f>
        <v>186.1</v>
      </c>
      <c r="R525" s="150">
        <v>186.1</v>
      </c>
      <c r="S525" s="168">
        <f t="shared" si="250"/>
        <v>0</v>
      </c>
      <c r="T525" s="211"/>
      <c r="U525" s="169"/>
      <c r="V525" s="170"/>
      <c r="W525" s="171"/>
      <c r="X525" s="172"/>
      <c r="Y525" s="173"/>
      <c r="Z525" s="174"/>
      <c r="AA525" s="175"/>
      <c r="AB525" s="176"/>
      <c r="AC525" s="168">
        <f t="shared" si="251"/>
        <v>0</v>
      </c>
      <c r="AD525" s="177">
        <f t="shared" si="252"/>
        <v>0</v>
      </c>
      <c r="AE525" s="178">
        <v>7.89</v>
      </c>
      <c r="AF525" s="179">
        <f t="shared" si="253"/>
        <v>0</v>
      </c>
      <c r="AH525" s="180"/>
      <c r="AK525" s="1"/>
      <c r="AL525" s="1"/>
      <c r="AM525" s="1"/>
      <c r="AN525" s="1"/>
    </row>
    <row r="526" spans="1:40" ht="12.75" customHeight="1">
      <c r="A526" s="87"/>
      <c r="B526" s="192" t="s">
        <v>997</v>
      </c>
      <c r="C526" s="193" t="s">
        <v>57</v>
      </c>
      <c r="D526" s="193" t="s">
        <v>48</v>
      </c>
      <c r="E526" s="194">
        <v>10</v>
      </c>
      <c r="F526" s="193"/>
      <c r="G526" s="193"/>
      <c r="H526" s="193" t="s">
        <v>121</v>
      </c>
      <c r="I526" s="193" t="s">
        <v>33</v>
      </c>
      <c r="J526" s="194">
        <v>10</v>
      </c>
      <c r="K526" s="193"/>
      <c r="L526" s="193"/>
      <c r="M526" s="193" t="s">
        <v>33</v>
      </c>
      <c r="N526" s="193" t="s">
        <v>49</v>
      </c>
      <c r="O526" s="194">
        <v>10</v>
      </c>
      <c r="P526" s="194" t="s">
        <v>998</v>
      </c>
      <c r="Q526" s="521">
        <f>R526*(1-Bolts!$E$1179)</f>
        <v>128.30000000000001</v>
      </c>
      <c r="R526" s="150">
        <v>128.30000000000001</v>
      </c>
      <c r="S526" s="168">
        <f t="shared" si="250"/>
        <v>0</v>
      </c>
      <c r="T526" s="211"/>
      <c r="U526" s="169"/>
      <c r="V526" s="170"/>
      <c r="W526" s="171"/>
      <c r="X526" s="172"/>
      <c r="Y526" s="173"/>
      <c r="Z526" s="174"/>
      <c r="AA526" s="175"/>
      <c r="AB526" s="176"/>
      <c r="AC526" s="168">
        <f t="shared" si="251"/>
        <v>0</v>
      </c>
      <c r="AD526" s="177">
        <f t="shared" si="252"/>
        <v>0</v>
      </c>
      <c r="AE526" s="178">
        <v>4.54</v>
      </c>
      <c r="AF526" s="179">
        <f t="shared" si="253"/>
        <v>0</v>
      </c>
      <c r="AH526" s="180"/>
      <c r="AK526" s="1"/>
      <c r="AL526" s="1"/>
      <c r="AM526" s="1"/>
      <c r="AN526" s="1"/>
    </row>
    <row r="527" spans="1:40" ht="12.75" customHeight="1">
      <c r="A527" s="87"/>
      <c r="B527" s="192" t="s">
        <v>999</v>
      </c>
      <c r="C527" s="193" t="s">
        <v>57</v>
      </c>
      <c r="D527" s="193" t="s">
        <v>48</v>
      </c>
      <c r="E527" s="194">
        <v>10</v>
      </c>
      <c r="F527" s="193"/>
      <c r="G527" s="193"/>
      <c r="H527" s="193" t="s">
        <v>121</v>
      </c>
      <c r="I527" s="193" t="s">
        <v>37</v>
      </c>
      <c r="J527" s="194">
        <v>10</v>
      </c>
      <c r="K527" s="193"/>
      <c r="L527" s="193"/>
      <c r="M527" s="193" t="s">
        <v>37</v>
      </c>
      <c r="N527" s="193" t="s">
        <v>49</v>
      </c>
      <c r="O527" s="194">
        <v>10</v>
      </c>
      <c r="P527" s="194" t="s">
        <v>1000</v>
      </c>
      <c r="Q527" s="521">
        <f>R527*(1-Bolts!$E$1179)</f>
        <v>164.4</v>
      </c>
      <c r="R527" s="150">
        <v>164.4</v>
      </c>
      <c r="S527" s="168">
        <f t="shared" si="250"/>
        <v>0</v>
      </c>
      <c r="T527" s="211"/>
      <c r="U527" s="169"/>
      <c r="V527" s="170"/>
      <c r="W527" s="171"/>
      <c r="X527" s="172"/>
      <c r="Y527" s="173"/>
      <c r="Z527" s="174"/>
      <c r="AA527" s="175"/>
      <c r="AB527" s="176"/>
      <c r="AC527" s="168">
        <f t="shared" si="251"/>
        <v>0</v>
      </c>
      <c r="AD527" s="177">
        <f t="shared" si="252"/>
        <v>0</v>
      </c>
      <c r="AE527" s="178">
        <v>6.63</v>
      </c>
      <c r="AF527" s="179">
        <f t="shared" si="253"/>
        <v>0</v>
      </c>
      <c r="AH527" s="180"/>
      <c r="AK527" s="1"/>
      <c r="AL527" s="1"/>
      <c r="AM527" s="1"/>
      <c r="AN527" s="1"/>
    </row>
    <row r="528" spans="1:40" ht="12.75" customHeight="1">
      <c r="A528" s="87"/>
      <c r="B528" s="192" t="s">
        <v>1001</v>
      </c>
      <c r="C528" s="193" t="s">
        <v>57</v>
      </c>
      <c r="D528" s="193" t="s">
        <v>48</v>
      </c>
      <c r="E528" s="194">
        <v>10</v>
      </c>
      <c r="F528" s="193"/>
      <c r="G528" s="193"/>
      <c r="H528" s="193" t="s">
        <v>121</v>
      </c>
      <c r="I528" s="193" t="s">
        <v>34</v>
      </c>
      <c r="J528" s="194">
        <v>10</v>
      </c>
      <c r="K528" s="193"/>
      <c r="L528" s="193"/>
      <c r="M528" s="193" t="s">
        <v>34</v>
      </c>
      <c r="N528" s="193" t="s">
        <v>49</v>
      </c>
      <c r="O528" s="194">
        <v>10</v>
      </c>
      <c r="P528" s="194" t="s">
        <v>1002</v>
      </c>
      <c r="Q528" s="521">
        <f>R528*(1-Bolts!$E$1179)</f>
        <v>176</v>
      </c>
      <c r="R528" s="150">
        <v>176</v>
      </c>
      <c r="S528" s="168">
        <f t="shared" si="250"/>
        <v>0</v>
      </c>
      <c r="T528" s="211"/>
      <c r="U528" s="169"/>
      <c r="V528" s="170"/>
      <c r="W528" s="171"/>
      <c r="X528" s="172"/>
      <c r="Y528" s="173"/>
      <c r="Z528" s="174"/>
      <c r="AA528" s="175"/>
      <c r="AB528" s="176"/>
      <c r="AC528" s="168">
        <f t="shared" si="251"/>
        <v>0</v>
      </c>
      <c r="AD528" s="177">
        <f t="shared" si="252"/>
        <v>0</v>
      </c>
      <c r="AE528" s="178">
        <v>7.31</v>
      </c>
      <c r="AF528" s="179">
        <f t="shared" si="253"/>
        <v>0</v>
      </c>
      <c r="AH528" s="180"/>
      <c r="AK528" s="1"/>
      <c r="AL528" s="1"/>
      <c r="AM528" s="1"/>
      <c r="AN528" s="1"/>
    </row>
    <row r="529" spans="1:40" ht="12.75" customHeight="1">
      <c r="A529" s="87"/>
      <c r="B529" s="192" t="s">
        <v>1003</v>
      </c>
      <c r="C529" s="193" t="s">
        <v>57</v>
      </c>
      <c r="D529" s="193" t="s">
        <v>48</v>
      </c>
      <c r="E529" s="194">
        <v>10</v>
      </c>
      <c r="F529" s="193"/>
      <c r="G529" s="193"/>
      <c r="H529" s="193" t="s">
        <v>121</v>
      </c>
      <c r="I529" s="193" t="s">
        <v>37</v>
      </c>
      <c r="J529" s="194">
        <v>10</v>
      </c>
      <c r="K529" s="193"/>
      <c r="L529" s="193"/>
      <c r="M529" s="193" t="s">
        <v>37</v>
      </c>
      <c r="N529" s="193" t="s">
        <v>48</v>
      </c>
      <c r="O529" s="194">
        <v>10</v>
      </c>
      <c r="P529" s="194" t="s">
        <v>1004</v>
      </c>
      <c r="Q529" s="521">
        <f>R529*(1-Bolts!$E$1179)</f>
        <v>145.19999999999999</v>
      </c>
      <c r="R529" s="150">
        <v>145.19999999999999</v>
      </c>
      <c r="S529" s="168">
        <f t="shared" si="250"/>
        <v>0</v>
      </c>
      <c r="T529" s="211"/>
      <c r="U529" s="169"/>
      <c r="V529" s="170"/>
      <c r="W529" s="171"/>
      <c r="X529" s="172"/>
      <c r="Y529" s="173"/>
      <c r="Z529" s="174"/>
      <c r="AA529" s="175"/>
      <c r="AB529" s="176"/>
      <c r="AC529" s="168">
        <f t="shared" si="251"/>
        <v>0</v>
      </c>
      <c r="AD529" s="177">
        <f t="shared" si="252"/>
        <v>0</v>
      </c>
      <c r="AE529" s="178">
        <v>5.52</v>
      </c>
      <c r="AF529" s="179">
        <f t="shared" si="253"/>
        <v>0</v>
      </c>
      <c r="AH529" s="180"/>
      <c r="AK529" s="1"/>
      <c r="AL529" s="1"/>
      <c r="AM529" s="1"/>
      <c r="AN529" s="1"/>
    </row>
    <row r="530" spans="1:40" ht="12.75" customHeight="1">
      <c r="A530" s="87"/>
      <c r="B530" s="192" t="s">
        <v>1005</v>
      </c>
      <c r="C530" s="193" t="s">
        <v>57</v>
      </c>
      <c r="D530" s="193" t="s">
        <v>48</v>
      </c>
      <c r="E530" s="194">
        <v>10</v>
      </c>
      <c r="F530" s="193"/>
      <c r="G530" s="193"/>
      <c r="H530" s="193" t="s">
        <v>121</v>
      </c>
      <c r="I530" s="193" t="s">
        <v>33</v>
      </c>
      <c r="J530" s="194">
        <v>10</v>
      </c>
      <c r="K530" s="193"/>
      <c r="L530" s="193"/>
      <c r="M530" s="193" t="s">
        <v>33</v>
      </c>
      <c r="N530" s="193" t="s">
        <v>48</v>
      </c>
      <c r="O530" s="194">
        <v>10</v>
      </c>
      <c r="P530" s="194" t="s">
        <v>1006</v>
      </c>
      <c r="Q530" s="521">
        <f>R530*(1-Bolts!$E$1179)</f>
        <v>138.6</v>
      </c>
      <c r="R530" s="150">
        <v>138.6</v>
      </c>
      <c r="S530" s="168">
        <f t="shared" si="250"/>
        <v>0</v>
      </c>
      <c r="T530" s="211"/>
      <c r="U530" s="169"/>
      <c r="V530" s="170"/>
      <c r="W530" s="171"/>
      <c r="X530" s="172"/>
      <c r="Y530" s="173"/>
      <c r="Z530" s="174"/>
      <c r="AA530" s="175"/>
      <c r="AB530" s="176"/>
      <c r="AC530" s="168">
        <f t="shared" si="251"/>
        <v>0</v>
      </c>
      <c r="AD530" s="177">
        <f t="shared" si="252"/>
        <v>0</v>
      </c>
      <c r="AE530" s="178">
        <v>5.13</v>
      </c>
      <c r="AF530" s="179">
        <f t="shared" si="253"/>
        <v>0</v>
      </c>
      <c r="AH530" s="180"/>
      <c r="AK530" s="1"/>
      <c r="AL530" s="1"/>
      <c r="AM530" s="1"/>
      <c r="AN530" s="1"/>
    </row>
    <row r="531" spans="1:40" ht="12.75" customHeight="1">
      <c r="A531" s="87"/>
      <c r="B531" s="192" t="s">
        <v>1007</v>
      </c>
      <c r="C531" s="193" t="s">
        <v>57</v>
      </c>
      <c r="D531" s="193" t="s">
        <v>48</v>
      </c>
      <c r="E531" s="194">
        <v>10</v>
      </c>
      <c r="F531" s="193"/>
      <c r="G531" s="193"/>
      <c r="H531" s="193" t="s">
        <v>121</v>
      </c>
      <c r="I531" s="193" t="s">
        <v>30</v>
      </c>
      <c r="J531" s="194">
        <v>10</v>
      </c>
      <c r="K531" s="193"/>
      <c r="L531" s="193"/>
      <c r="M531" s="193" t="s">
        <v>30</v>
      </c>
      <c r="N531" s="193" t="s">
        <v>47</v>
      </c>
      <c r="O531" s="194">
        <v>10</v>
      </c>
      <c r="P531" s="194" t="s">
        <v>1008</v>
      </c>
      <c r="Q531" s="521">
        <f>R531*(1-Bolts!$E$1179)</f>
        <v>145.1</v>
      </c>
      <c r="R531" s="150">
        <v>145.1</v>
      </c>
      <c r="S531" s="168">
        <f t="shared" si="250"/>
        <v>0</v>
      </c>
      <c r="T531" s="211"/>
      <c r="U531" s="169"/>
      <c r="V531" s="170"/>
      <c r="W531" s="171"/>
      <c r="X531" s="172"/>
      <c r="Y531" s="173"/>
      <c r="Z531" s="174"/>
      <c r="AA531" s="175"/>
      <c r="AB531" s="176"/>
      <c r="AC531" s="168">
        <f t="shared" si="251"/>
        <v>0</v>
      </c>
      <c r="AD531" s="177">
        <f t="shared" si="252"/>
        <v>0</v>
      </c>
      <c r="AE531" s="178">
        <v>5.51</v>
      </c>
      <c r="AF531" s="179">
        <f t="shared" si="253"/>
        <v>0</v>
      </c>
      <c r="AH531" s="180"/>
      <c r="AK531" s="1"/>
      <c r="AL531" s="1"/>
      <c r="AM531" s="1"/>
      <c r="AN531" s="1"/>
    </row>
    <row r="532" spans="1:40" ht="12.75" customHeight="1">
      <c r="A532" s="87"/>
      <c r="B532" s="192" t="s">
        <v>1009</v>
      </c>
      <c r="C532" s="193" t="s">
        <v>57</v>
      </c>
      <c r="D532" s="193" t="s">
        <v>48</v>
      </c>
      <c r="E532" s="194">
        <v>10</v>
      </c>
      <c r="F532" s="193"/>
      <c r="G532" s="193"/>
      <c r="H532" s="193" t="s">
        <v>121</v>
      </c>
      <c r="I532" s="193" t="s">
        <v>33</v>
      </c>
      <c r="J532" s="194">
        <v>10</v>
      </c>
      <c r="K532" s="193"/>
      <c r="L532" s="193"/>
      <c r="M532" s="193" t="s">
        <v>33</v>
      </c>
      <c r="N532" s="193" t="s">
        <v>48</v>
      </c>
      <c r="O532" s="194">
        <v>10</v>
      </c>
      <c r="P532" s="194" t="s">
        <v>1010</v>
      </c>
      <c r="Q532" s="521">
        <f>R532*(1-Bolts!$E$1179)</f>
        <v>130.80000000000001</v>
      </c>
      <c r="R532" s="150">
        <v>130.80000000000001</v>
      </c>
      <c r="S532" s="168">
        <f t="shared" si="250"/>
        <v>0</v>
      </c>
      <c r="T532" s="211"/>
      <c r="U532" s="169"/>
      <c r="V532" s="170"/>
      <c r="W532" s="171"/>
      <c r="X532" s="172"/>
      <c r="Y532" s="173"/>
      <c r="Z532" s="174"/>
      <c r="AA532" s="175"/>
      <c r="AB532" s="176"/>
      <c r="AC532" s="168">
        <f t="shared" si="251"/>
        <v>0</v>
      </c>
      <c r="AD532" s="177">
        <f t="shared" si="252"/>
        <v>0</v>
      </c>
      <c r="AE532" s="178">
        <v>4.68</v>
      </c>
      <c r="AF532" s="179">
        <f t="shared" si="253"/>
        <v>0</v>
      </c>
      <c r="AH532" s="180"/>
      <c r="AK532" s="1"/>
      <c r="AL532" s="1"/>
      <c r="AM532" s="1"/>
      <c r="AN532" s="1"/>
    </row>
    <row r="533" spans="1:40" ht="12.75" customHeight="1">
      <c r="A533" s="87"/>
      <c r="B533" s="192" t="s">
        <v>1011</v>
      </c>
      <c r="C533" s="193" t="s">
        <v>57</v>
      </c>
      <c r="D533" s="193" t="s">
        <v>48</v>
      </c>
      <c r="E533" s="194">
        <v>10</v>
      </c>
      <c r="F533" s="193"/>
      <c r="G533" s="193"/>
      <c r="H533" s="193" t="s">
        <v>121</v>
      </c>
      <c r="I533" s="193" t="s">
        <v>33</v>
      </c>
      <c r="J533" s="194">
        <v>10</v>
      </c>
      <c r="K533" s="193"/>
      <c r="L533" s="193"/>
      <c r="M533" s="193" t="s">
        <v>33</v>
      </c>
      <c r="N533" s="193" t="s">
        <v>48</v>
      </c>
      <c r="O533" s="194">
        <v>10</v>
      </c>
      <c r="P533" s="194" t="s">
        <v>1012</v>
      </c>
      <c r="Q533" s="521">
        <f>R533*(1-Bolts!$E$1179)</f>
        <v>163.30000000000001</v>
      </c>
      <c r="R533" s="150">
        <v>163.30000000000001</v>
      </c>
      <c r="S533" s="168">
        <f t="shared" si="250"/>
        <v>0</v>
      </c>
      <c r="T533" s="211"/>
      <c r="U533" s="169"/>
      <c r="V533" s="170"/>
      <c r="W533" s="171"/>
      <c r="X533" s="172"/>
      <c r="Y533" s="173"/>
      <c r="Z533" s="174"/>
      <c r="AA533" s="175"/>
      <c r="AB533" s="176"/>
      <c r="AC533" s="168">
        <f t="shared" si="251"/>
        <v>0</v>
      </c>
      <c r="AD533" s="177">
        <f t="shared" si="252"/>
        <v>0</v>
      </c>
      <c r="AE533" s="178">
        <v>6.57</v>
      </c>
      <c r="AF533" s="179">
        <f t="shared" si="253"/>
        <v>0</v>
      </c>
      <c r="AH533" s="180"/>
      <c r="AK533" s="1"/>
      <c r="AL533" s="1"/>
      <c r="AM533" s="1"/>
      <c r="AN533" s="1"/>
    </row>
    <row r="534" spans="1:40" ht="12.75" customHeight="1">
      <c r="A534" s="87"/>
      <c r="B534" s="192" t="s">
        <v>1013</v>
      </c>
      <c r="C534" s="193" t="s">
        <v>57</v>
      </c>
      <c r="D534" s="193" t="s">
        <v>48</v>
      </c>
      <c r="E534" s="194">
        <v>10</v>
      </c>
      <c r="F534" s="193"/>
      <c r="G534" s="193"/>
      <c r="H534" s="193" t="s">
        <v>121</v>
      </c>
      <c r="I534" s="193" t="s">
        <v>31</v>
      </c>
      <c r="J534" s="194">
        <v>10</v>
      </c>
      <c r="K534" s="193"/>
      <c r="L534" s="193"/>
      <c r="M534" s="193" t="s">
        <v>31</v>
      </c>
      <c r="N534" s="193" t="s">
        <v>49</v>
      </c>
      <c r="O534" s="194">
        <v>10</v>
      </c>
      <c r="P534" s="194" t="s">
        <v>1014</v>
      </c>
      <c r="Q534" s="521">
        <f>R534*(1-Bolts!$E$1179)</f>
        <v>111.9</v>
      </c>
      <c r="R534" s="150">
        <v>111.9</v>
      </c>
      <c r="S534" s="168">
        <f t="shared" si="250"/>
        <v>0</v>
      </c>
      <c r="T534" s="211"/>
      <c r="U534" s="169"/>
      <c r="V534" s="170"/>
      <c r="W534" s="171"/>
      <c r="X534" s="172"/>
      <c r="Y534" s="173"/>
      <c r="Z534" s="174"/>
      <c r="AA534" s="175"/>
      <c r="AB534" s="176"/>
      <c r="AC534" s="168">
        <f t="shared" si="251"/>
        <v>0</v>
      </c>
      <c r="AD534" s="177">
        <f t="shared" si="252"/>
        <v>0</v>
      </c>
      <c r="AE534" s="178">
        <v>3.58</v>
      </c>
      <c r="AF534" s="179">
        <f t="shared" si="253"/>
        <v>0</v>
      </c>
      <c r="AH534" s="180"/>
      <c r="AK534" s="1"/>
      <c r="AL534" s="1"/>
      <c r="AM534" s="1"/>
      <c r="AN534" s="1"/>
    </row>
    <row r="535" spans="1:40" ht="12.75" customHeight="1">
      <c r="A535" s="87"/>
      <c r="B535" s="192" t="s">
        <v>1015</v>
      </c>
      <c r="C535" s="193" t="s">
        <v>57</v>
      </c>
      <c r="D535" s="193" t="s">
        <v>48</v>
      </c>
      <c r="E535" s="194">
        <v>10</v>
      </c>
      <c r="F535" s="193"/>
      <c r="G535" s="193"/>
      <c r="H535" s="193" t="s">
        <v>121</v>
      </c>
      <c r="I535" s="193" t="s">
        <v>34</v>
      </c>
      <c r="J535" s="194">
        <v>10</v>
      </c>
      <c r="K535" s="193"/>
      <c r="L535" s="193"/>
      <c r="M535" s="193" t="s">
        <v>34</v>
      </c>
      <c r="N535" s="193" t="s">
        <v>49</v>
      </c>
      <c r="O535" s="194">
        <v>10</v>
      </c>
      <c r="P535" s="194" t="s">
        <v>1016</v>
      </c>
      <c r="Q535" s="521">
        <f>R535*(1-Bolts!$E$1179)</f>
        <v>172.9</v>
      </c>
      <c r="R535" s="150">
        <v>172.9</v>
      </c>
      <c r="S535" s="168">
        <f t="shared" si="250"/>
        <v>0</v>
      </c>
      <c r="T535" s="211"/>
      <c r="U535" s="169"/>
      <c r="V535" s="170"/>
      <c r="W535" s="171"/>
      <c r="X535" s="172"/>
      <c r="Y535" s="173"/>
      <c r="Z535" s="174"/>
      <c r="AA535" s="175"/>
      <c r="AB535" s="176"/>
      <c r="AC535" s="168">
        <f t="shared" si="251"/>
        <v>0</v>
      </c>
      <c r="AD535" s="177">
        <f t="shared" si="252"/>
        <v>0</v>
      </c>
      <c r="AE535" s="178">
        <v>7.13</v>
      </c>
      <c r="AF535" s="179">
        <f t="shared" si="253"/>
        <v>0</v>
      </c>
      <c r="AH535" s="180"/>
      <c r="AK535" s="1"/>
      <c r="AL535" s="1"/>
      <c r="AM535" s="1"/>
      <c r="AN535" s="1"/>
    </row>
    <row r="536" spans="1:40" ht="12.75" customHeight="1">
      <c r="A536" s="181"/>
      <c r="B536" s="182" t="s">
        <v>1017</v>
      </c>
      <c r="C536" s="183" t="s">
        <v>57</v>
      </c>
      <c r="D536" s="183" t="s">
        <v>48</v>
      </c>
      <c r="E536" s="184">
        <v>10</v>
      </c>
      <c r="F536" s="183"/>
      <c r="G536" s="183"/>
      <c r="H536" s="183" t="s">
        <v>121</v>
      </c>
      <c r="I536" s="183" t="s">
        <v>32</v>
      </c>
      <c r="J536" s="184">
        <v>10</v>
      </c>
      <c r="K536" s="183"/>
      <c r="L536" s="183"/>
      <c r="M536" s="183" t="s">
        <v>32</v>
      </c>
      <c r="N536" s="183" t="s">
        <v>48</v>
      </c>
      <c r="O536" s="184">
        <v>10</v>
      </c>
      <c r="P536" s="184" t="s">
        <v>1018</v>
      </c>
      <c r="Q536" s="521">
        <f>R536*(1-Bolts!$E$1179)</f>
        <v>181.5</v>
      </c>
      <c r="R536" s="150">
        <v>181.5</v>
      </c>
      <c r="S536" s="168">
        <f t="shared" si="250"/>
        <v>0</v>
      </c>
      <c r="T536" s="211"/>
      <c r="U536" s="169"/>
      <c r="V536" s="170"/>
      <c r="W536" s="171"/>
      <c r="X536" s="172"/>
      <c r="Y536" s="173"/>
      <c r="Z536" s="174"/>
      <c r="AA536" s="175"/>
      <c r="AB536" s="176"/>
      <c r="AC536" s="168">
        <f t="shared" si="251"/>
        <v>0</v>
      </c>
      <c r="AD536" s="177">
        <f t="shared" si="252"/>
        <v>0</v>
      </c>
      <c r="AE536" s="178">
        <v>7.2</v>
      </c>
      <c r="AF536" s="179">
        <f t="shared" si="253"/>
        <v>0</v>
      </c>
      <c r="AH536" s="180"/>
      <c r="AK536" s="1"/>
      <c r="AL536" s="1"/>
      <c r="AM536" s="1"/>
      <c r="AN536" s="1"/>
    </row>
    <row r="537" spans="1:40" ht="12.75" customHeight="1">
      <c r="A537" s="87"/>
      <c r="B537" s="185"/>
      <c r="C537" s="165"/>
      <c r="D537" s="165"/>
      <c r="E537" s="166"/>
      <c r="F537" s="165"/>
      <c r="G537" s="165"/>
      <c r="H537" s="165"/>
      <c r="I537" s="165"/>
      <c r="J537" s="166"/>
      <c r="K537" s="165"/>
      <c r="L537" s="165"/>
      <c r="M537" s="165"/>
      <c r="N537" s="165"/>
      <c r="O537" s="166"/>
      <c r="P537" s="166"/>
      <c r="Q537" s="522"/>
      <c r="R537" s="150"/>
      <c r="S537" s="186"/>
      <c r="T537" s="187"/>
      <c r="U537" s="187"/>
      <c r="V537" s="188"/>
      <c r="W537" s="187"/>
      <c r="X537" s="187"/>
      <c r="Y537" s="187"/>
      <c r="Z537" s="187"/>
      <c r="AA537" s="187"/>
      <c r="AB537" s="188"/>
      <c r="AC537" s="186"/>
      <c r="AD537" s="189"/>
      <c r="AE537" s="190"/>
      <c r="AF537" s="191"/>
      <c r="AH537" s="180"/>
      <c r="AK537" s="1"/>
      <c r="AL537" s="1"/>
      <c r="AM537" s="1"/>
      <c r="AN537" s="1"/>
    </row>
    <row r="538" spans="1:40" ht="12.75" customHeight="1">
      <c r="A538" s="87"/>
      <c r="B538" s="192" t="s">
        <v>1019</v>
      </c>
      <c r="C538" s="193" t="s">
        <v>57</v>
      </c>
      <c r="D538" s="193" t="s">
        <v>64</v>
      </c>
      <c r="E538" s="194">
        <v>10</v>
      </c>
      <c r="F538" s="193"/>
      <c r="G538" s="193"/>
      <c r="H538" s="193" t="s">
        <v>121</v>
      </c>
      <c r="I538" s="193" t="s">
        <v>32</v>
      </c>
      <c r="J538" s="194">
        <v>10</v>
      </c>
      <c r="K538" s="193"/>
      <c r="L538" s="193"/>
      <c r="M538" s="193" t="s">
        <v>32</v>
      </c>
      <c r="N538" s="193" t="s">
        <v>47</v>
      </c>
      <c r="O538" s="194">
        <v>10</v>
      </c>
      <c r="P538" s="194" t="s">
        <v>1020</v>
      </c>
      <c r="Q538" s="521">
        <f>R538*(1-Bolts!$E$1179)</f>
        <v>78.3</v>
      </c>
      <c r="R538" s="150">
        <v>78.3</v>
      </c>
      <c r="S538" s="168">
        <f t="shared" ref="S538:S551" si="254">SUM(T538:AB538)</f>
        <v>0</v>
      </c>
      <c r="T538" s="211"/>
      <c r="U538" s="169"/>
      <c r="V538" s="170"/>
      <c r="W538" s="171"/>
      <c r="X538" s="172"/>
      <c r="Y538" s="173"/>
      <c r="Z538" s="174"/>
      <c r="AA538" s="175"/>
      <c r="AB538" s="176"/>
      <c r="AC538" s="168">
        <f t="shared" ref="AC538:AC551" si="255">S538*O538</f>
        <v>0</v>
      </c>
      <c r="AD538" s="177">
        <f t="shared" ref="AD538:AD551" si="256">S538*R538</f>
        <v>0</v>
      </c>
      <c r="AE538" s="178">
        <v>1.95</v>
      </c>
      <c r="AF538" s="179">
        <f t="shared" ref="AF538:AF551" si="257">AE538*S538</f>
        <v>0</v>
      </c>
      <c r="AH538" s="180"/>
      <c r="AK538" s="1"/>
      <c r="AL538" s="1"/>
      <c r="AM538" s="1"/>
      <c r="AN538" s="1"/>
    </row>
    <row r="539" spans="1:40" ht="12.75" customHeight="1">
      <c r="A539" s="87"/>
      <c r="B539" s="192" t="s">
        <v>1021</v>
      </c>
      <c r="C539" s="193" t="s">
        <v>57</v>
      </c>
      <c r="D539" s="193" t="s">
        <v>64</v>
      </c>
      <c r="E539" s="194">
        <v>10</v>
      </c>
      <c r="F539" s="193"/>
      <c r="G539" s="193"/>
      <c r="H539" s="193" t="s">
        <v>121</v>
      </c>
      <c r="I539" s="193" t="s">
        <v>31</v>
      </c>
      <c r="J539" s="194">
        <v>10</v>
      </c>
      <c r="K539" s="193"/>
      <c r="L539" s="193"/>
      <c r="M539" s="193" t="s">
        <v>31</v>
      </c>
      <c r="N539" s="193" t="s">
        <v>48</v>
      </c>
      <c r="O539" s="194">
        <v>10</v>
      </c>
      <c r="P539" s="194" t="s">
        <v>1022</v>
      </c>
      <c r="Q539" s="521">
        <f>R539*(1-Bolts!$E$1179)</f>
        <v>74.5</v>
      </c>
      <c r="R539" s="150">
        <v>74.5</v>
      </c>
      <c r="S539" s="168">
        <f t="shared" si="254"/>
        <v>0</v>
      </c>
      <c r="T539" s="211"/>
      <c r="U539" s="169"/>
      <c r="V539" s="170"/>
      <c r="W539" s="171"/>
      <c r="X539" s="172"/>
      <c r="Y539" s="173"/>
      <c r="Z539" s="174"/>
      <c r="AA539" s="175"/>
      <c r="AB539" s="176"/>
      <c r="AC539" s="168">
        <f t="shared" si="255"/>
        <v>0</v>
      </c>
      <c r="AD539" s="177">
        <f t="shared" si="256"/>
        <v>0</v>
      </c>
      <c r="AE539" s="178">
        <v>1.7</v>
      </c>
      <c r="AF539" s="179">
        <f t="shared" si="257"/>
        <v>0</v>
      </c>
      <c r="AH539" s="180"/>
      <c r="AK539" s="1"/>
      <c r="AL539" s="1"/>
      <c r="AM539" s="1"/>
      <c r="AN539" s="1"/>
    </row>
    <row r="540" spans="1:40" ht="12.75" customHeight="1">
      <c r="A540" s="87"/>
      <c r="B540" s="192" t="s">
        <v>1023</v>
      </c>
      <c r="C540" s="193" t="s">
        <v>57</v>
      </c>
      <c r="D540" s="193" t="s">
        <v>64</v>
      </c>
      <c r="E540" s="194">
        <v>10</v>
      </c>
      <c r="F540" s="193"/>
      <c r="G540" s="193"/>
      <c r="H540" s="193" t="s">
        <v>121</v>
      </c>
      <c r="I540" s="193" t="s">
        <v>32</v>
      </c>
      <c r="J540" s="194">
        <v>10</v>
      </c>
      <c r="K540" s="193"/>
      <c r="L540" s="193"/>
      <c r="M540" s="193" t="s">
        <v>32</v>
      </c>
      <c r="N540" s="193" t="s">
        <v>49</v>
      </c>
      <c r="O540" s="194">
        <v>10</v>
      </c>
      <c r="P540" s="194" t="s">
        <v>1024</v>
      </c>
      <c r="Q540" s="521">
        <f>R540*(1-Bolts!$E$1179)</f>
        <v>85.8</v>
      </c>
      <c r="R540" s="150">
        <v>85.8</v>
      </c>
      <c r="S540" s="168">
        <f t="shared" si="254"/>
        <v>0</v>
      </c>
      <c r="T540" s="211"/>
      <c r="U540" s="169"/>
      <c r="V540" s="170"/>
      <c r="W540" s="171"/>
      <c r="X540" s="172"/>
      <c r="Y540" s="173"/>
      <c r="Z540" s="174"/>
      <c r="AA540" s="175"/>
      <c r="AB540" s="176"/>
      <c r="AC540" s="168">
        <f t="shared" si="255"/>
        <v>0</v>
      </c>
      <c r="AD540" s="177">
        <f t="shared" si="256"/>
        <v>0</v>
      </c>
      <c r="AE540" s="178">
        <v>2.0699999999999998</v>
      </c>
      <c r="AF540" s="179">
        <f t="shared" si="257"/>
        <v>0</v>
      </c>
      <c r="AH540" s="180"/>
      <c r="AK540" s="1"/>
      <c r="AL540" s="1"/>
      <c r="AM540" s="1"/>
      <c r="AN540" s="1"/>
    </row>
    <row r="541" spans="1:40" ht="12.75" customHeight="1">
      <c r="A541" s="87"/>
      <c r="B541" s="192" t="s">
        <v>1025</v>
      </c>
      <c r="C541" s="193" t="s">
        <v>57</v>
      </c>
      <c r="D541" s="193" t="s">
        <v>64</v>
      </c>
      <c r="E541" s="194">
        <v>10</v>
      </c>
      <c r="F541" s="193"/>
      <c r="G541" s="193"/>
      <c r="H541" s="193" t="s">
        <v>121</v>
      </c>
      <c r="I541" s="193" t="s">
        <v>32</v>
      </c>
      <c r="J541" s="194">
        <v>10</v>
      </c>
      <c r="K541" s="193"/>
      <c r="L541" s="193"/>
      <c r="M541" s="193" t="s">
        <v>32</v>
      </c>
      <c r="N541" s="193" t="s">
        <v>48</v>
      </c>
      <c r="O541" s="194">
        <v>10</v>
      </c>
      <c r="P541" s="194" t="s">
        <v>1026</v>
      </c>
      <c r="Q541" s="521">
        <f>R541*(1-Bolts!$E$1179)</f>
        <v>84.5</v>
      </c>
      <c r="R541" s="150">
        <v>84.5</v>
      </c>
      <c r="S541" s="168">
        <f t="shared" si="254"/>
        <v>0</v>
      </c>
      <c r="T541" s="211"/>
      <c r="U541" s="169"/>
      <c r="V541" s="170"/>
      <c r="W541" s="171"/>
      <c r="X541" s="172"/>
      <c r="Y541" s="173"/>
      <c r="Z541" s="174"/>
      <c r="AA541" s="175"/>
      <c r="AB541" s="176"/>
      <c r="AC541" s="168">
        <f t="shared" si="255"/>
        <v>0</v>
      </c>
      <c r="AD541" s="177">
        <f t="shared" si="256"/>
        <v>0</v>
      </c>
      <c r="AE541" s="178">
        <v>1.99</v>
      </c>
      <c r="AF541" s="179">
        <f t="shared" si="257"/>
        <v>0</v>
      </c>
      <c r="AH541" s="180"/>
      <c r="AK541" s="1"/>
      <c r="AL541" s="1"/>
      <c r="AM541" s="1"/>
      <c r="AN541" s="1"/>
    </row>
    <row r="542" spans="1:40" ht="12.75" customHeight="1">
      <c r="A542" s="87"/>
      <c r="B542" s="192" t="s">
        <v>1027</v>
      </c>
      <c r="C542" s="193" t="s">
        <v>57</v>
      </c>
      <c r="D542" s="193" t="s">
        <v>64</v>
      </c>
      <c r="E542" s="194">
        <v>10</v>
      </c>
      <c r="F542" s="193"/>
      <c r="G542" s="193"/>
      <c r="H542" s="193" t="s">
        <v>121</v>
      </c>
      <c r="I542" s="193" t="s">
        <v>32</v>
      </c>
      <c r="J542" s="194">
        <v>10</v>
      </c>
      <c r="K542" s="193"/>
      <c r="L542" s="193"/>
      <c r="M542" s="193" t="s">
        <v>32</v>
      </c>
      <c r="N542" s="193" t="s">
        <v>48</v>
      </c>
      <c r="O542" s="194">
        <v>10</v>
      </c>
      <c r="P542" s="194" t="s">
        <v>1028</v>
      </c>
      <c r="Q542" s="521">
        <f>R542*(1-Bolts!$E$1179)</f>
        <v>103.5</v>
      </c>
      <c r="R542" s="150">
        <v>103.5</v>
      </c>
      <c r="S542" s="168">
        <f t="shared" si="254"/>
        <v>0</v>
      </c>
      <c r="T542" s="211"/>
      <c r="U542" s="169"/>
      <c r="V542" s="170"/>
      <c r="W542" s="171"/>
      <c r="X542" s="172"/>
      <c r="Y542" s="173"/>
      <c r="Z542" s="174"/>
      <c r="AA542" s="175"/>
      <c r="AB542" s="176"/>
      <c r="AC542" s="168">
        <f t="shared" si="255"/>
        <v>0</v>
      </c>
      <c r="AD542" s="177">
        <f t="shared" si="256"/>
        <v>0</v>
      </c>
      <c r="AE542" s="178">
        <v>3.1</v>
      </c>
      <c r="AF542" s="179">
        <f t="shared" si="257"/>
        <v>0</v>
      </c>
      <c r="AH542" s="180"/>
      <c r="AK542" s="1"/>
      <c r="AL542" s="1"/>
      <c r="AM542" s="1"/>
      <c r="AN542" s="1"/>
    </row>
    <row r="543" spans="1:40" ht="12.75" customHeight="1">
      <c r="A543" s="87"/>
      <c r="B543" s="192" t="s">
        <v>1029</v>
      </c>
      <c r="C543" s="193" t="s">
        <v>57</v>
      </c>
      <c r="D543" s="193" t="s">
        <v>64</v>
      </c>
      <c r="E543" s="194">
        <v>10</v>
      </c>
      <c r="F543" s="193"/>
      <c r="G543" s="193"/>
      <c r="H543" s="193" t="s">
        <v>121</v>
      </c>
      <c r="I543" s="193" t="s">
        <v>32</v>
      </c>
      <c r="J543" s="194">
        <v>10</v>
      </c>
      <c r="K543" s="193"/>
      <c r="L543" s="193"/>
      <c r="M543" s="193" t="s">
        <v>32</v>
      </c>
      <c r="N543" s="193" t="s">
        <v>49</v>
      </c>
      <c r="O543" s="194">
        <v>10</v>
      </c>
      <c r="P543" s="194" t="s">
        <v>1030</v>
      </c>
      <c r="Q543" s="521">
        <f>R543*(1-Bolts!$E$1179)</f>
        <v>95.5</v>
      </c>
      <c r="R543" s="150">
        <v>95.5</v>
      </c>
      <c r="S543" s="168">
        <f t="shared" si="254"/>
        <v>0</v>
      </c>
      <c r="T543" s="211"/>
      <c r="U543" s="169"/>
      <c r="V543" s="170"/>
      <c r="W543" s="171"/>
      <c r="X543" s="172"/>
      <c r="Y543" s="173"/>
      <c r="Z543" s="174"/>
      <c r="AA543" s="175"/>
      <c r="AB543" s="176"/>
      <c r="AC543" s="168">
        <f t="shared" si="255"/>
        <v>0</v>
      </c>
      <c r="AD543" s="177">
        <f t="shared" si="256"/>
        <v>0</v>
      </c>
      <c r="AE543" s="178">
        <v>2.63</v>
      </c>
      <c r="AF543" s="179">
        <f t="shared" si="257"/>
        <v>0</v>
      </c>
      <c r="AH543" s="180"/>
      <c r="AK543" s="1"/>
      <c r="AL543" s="1"/>
      <c r="AM543" s="1"/>
      <c r="AN543" s="1"/>
    </row>
    <row r="544" spans="1:40" ht="12.75" customHeight="1">
      <c r="A544" s="87"/>
      <c r="B544" s="192" t="s">
        <v>1031</v>
      </c>
      <c r="C544" s="193" t="s">
        <v>57</v>
      </c>
      <c r="D544" s="193" t="s">
        <v>64</v>
      </c>
      <c r="E544" s="194">
        <v>10</v>
      </c>
      <c r="F544" s="193"/>
      <c r="G544" s="193"/>
      <c r="H544" s="193" t="s">
        <v>121</v>
      </c>
      <c r="I544" s="193" t="s">
        <v>32</v>
      </c>
      <c r="J544" s="194">
        <v>10</v>
      </c>
      <c r="K544" s="193"/>
      <c r="L544" s="193"/>
      <c r="M544" s="193" t="s">
        <v>32</v>
      </c>
      <c r="N544" s="193" t="s">
        <v>49</v>
      </c>
      <c r="O544" s="194">
        <v>10</v>
      </c>
      <c r="P544" s="194" t="s">
        <v>1032</v>
      </c>
      <c r="Q544" s="521">
        <f>R544*(1-Bolts!$E$1179)</f>
        <v>88</v>
      </c>
      <c r="R544" s="150">
        <v>88</v>
      </c>
      <c r="S544" s="168">
        <f t="shared" si="254"/>
        <v>0</v>
      </c>
      <c r="T544" s="211"/>
      <c r="U544" s="169"/>
      <c r="V544" s="170"/>
      <c r="W544" s="171"/>
      <c r="X544" s="172"/>
      <c r="Y544" s="173"/>
      <c r="Z544" s="174"/>
      <c r="AA544" s="175"/>
      <c r="AB544" s="176"/>
      <c r="AC544" s="168">
        <f t="shared" si="255"/>
        <v>0</v>
      </c>
      <c r="AD544" s="177">
        <f t="shared" si="256"/>
        <v>0</v>
      </c>
      <c r="AE544" s="178">
        <v>2.2000000000000002</v>
      </c>
      <c r="AF544" s="179">
        <f t="shared" si="257"/>
        <v>0</v>
      </c>
      <c r="AH544" s="180"/>
      <c r="AK544" s="1"/>
      <c r="AL544" s="1"/>
      <c r="AM544" s="1"/>
      <c r="AN544" s="1"/>
    </row>
    <row r="545" spans="1:40" ht="12.75" customHeight="1">
      <c r="A545" s="87"/>
      <c r="B545" s="192" t="s">
        <v>1033</v>
      </c>
      <c r="C545" s="193" t="s">
        <v>57</v>
      </c>
      <c r="D545" s="193" t="s">
        <v>64</v>
      </c>
      <c r="E545" s="194">
        <v>10</v>
      </c>
      <c r="F545" s="193"/>
      <c r="G545" s="193"/>
      <c r="H545" s="193" t="s">
        <v>121</v>
      </c>
      <c r="I545" s="193" t="s">
        <v>32</v>
      </c>
      <c r="J545" s="194">
        <v>10</v>
      </c>
      <c r="K545" s="193"/>
      <c r="L545" s="193"/>
      <c r="M545" s="193" t="s">
        <v>32</v>
      </c>
      <c r="N545" s="193" t="s">
        <v>49</v>
      </c>
      <c r="O545" s="194">
        <v>10</v>
      </c>
      <c r="P545" s="194" t="s">
        <v>1034</v>
      </c>
      <c r="Q545" s="521">
        <f>R545*(1-Bolts!$E$1179)</f>
        <v>126.7</v>
      </c>
      <c r="R545" s="150">
        <v>126.7</v>
      </c>
      <c r="S545" s="168">
        <f t="shared" si="254"/>
        <v>0</v>
      </c>
      <c r="T545" s="211"/>
      <c r="U545" s="169"/>
      <c r="V545" s="170"/>
      <c r="W545" s="171"/>
      <c r="X545" s="172"/>
      <c r="Y545" s="173"/>
      <c r="Z545" s="174"/>
      <c r="AA545" s="175"/>
      <c r="AB545" s="176"/>
      <c r="AC545" s="168">
        <f t="shared" si="255"/>
        <v>0</v>
      </c>
      <c r="AD545" s="177">
        <f t="shared" si="256"/>
        <v>0</v>
      </c>
      <c r="AE545" s="178">
        <v>4.4400000000000004</v>
      </c>
      <c r="AF545" s="179">
        <f t="shared" si="257"/>
        <v>0</v>
      </c>
      <c r="AH545" s="180"/>
      <c r="AK545" s="1"/>
      <c r="AL545" s="1"/>
      <c r="AM545" s="1"/>
      <c r="AN545" s="1"/>
    </row>
    <row r="546" spans="1:40" ht="12.75" customHeight="1">
      <c r="A546" s="181"/>
      <c r="B546" s="182" t="s">
        <v>1035</v>
      </c>
      <c r="C546" s="183" t="s">
        <v>57</v>
      </c>
      <c r="D546" s="183" t="s">
        <v>64</v>
      </c>
      <c r="E546" s="184">
        <v>10</v>
      </c>
      <c r="F546" s="183"/>
      <c r="G546" s="183"/>
      <c r="H546" s="183" t="s">
        <v>121</v>
      </c>
      <c r="I546" s="183" t="s">
        <v>32</v>
      </c>
      <c r="J546" s="184">
        <v>10</v>
      </c>
      <c r="K546" s="183"/>
      <c r="L546" s="183"/>
      <c r="M546" s="183" t="s">
        <v>32</v>
      </c>
      <c r="N546" s="183" t="s">
        <v>48</v>
      </c>
      <c r="O546" s="184">
        <v>10</v>
      </c>
      <c r="P546" s="184" t="s">
        <v>1036</v>
      </c>
      <c r="Q546" s="521">
        <f>R546*(1-Bolts!$E$1179)</f>
        <v>129.80000000000001</v>
      </c>
      <c r="R546" s="150">
        <v>129.80000000000001</v>
      </c>
      <c r="S546" s="168">
        <f t="shared" si="254"/>
        <v>0</v>
      </c>
      <c r="T546" s="211"/>
      <c r="U546" s="169"/>
      <c r="V546" s="170"/>
      <c r="W546" s="171"/>
      <c r="X546" s="172"/>
      <c r="Y546" s="173"/>
      <c r="Z546" s="174"/>
      <c r="AA546" s="175"/>
      <c r="AB546" s="176"/>
      <c r="AC546" s="168">
        <f t="shared" si="255"/>
        <v>0</v>
      </c>
      <c r="AD546" s="177">
        <f t="shared" si="256"/>
        <v>0</v>
      </c>
      <c r="AE546" s="178">
        <v>4.3</v>
      </c>
      <c r="AF546" s="179">
        <f t="shared" si="257"/>
        <v>0</v>
      </c>
      <c r="AH546" s="180"/>
      <c r="AK546" s="1"/>
      <c r="AL546" s="1"/>
      <c r="AM546" s="1"/>
      <c r="AN546" s="1"/>
    </row>
    <row r="547" spans="1:40" ht="12.75" customHeight="1">
      <c r="A547" s="181"/>
      <c r="B547" s="182" t="s">
        <v>1037</v>
      </c>
      <c r="C547" s="183" t="s">
        <v>57</v>
      </c>
      <c r="D547" s="183" t="s">
        <v>64</v>
      </c>
      <c r="E547" s="184">
        <v>10</v>
      </c>
      <c r="F547" s="183"/>
      <c r="G547" s="183"/>
      <c r="H547" s="183" t="s">
        <v>121</v>
      </c>
      <c r="I547" s="183" t="s">
        <v>32</v>
      </c>
      <c r="J547" s="184">
        <v>10</v>
      </c>
      <c r="K547" s="183"/>
      <c r="L547" s="183"/>
      <c r="M547" s="183" t="s">
        <v>32</v>
      </c>
      <c r="N547" s="183" t="s">
        <v>48</v>
      </c>
      <c r="O547" s="184">
        <v>10</v>
      </c>
      <c r="P547" s="184" t="s">
        <v>1038</v>
      </c>
      <c r="Q547" s="521">
        <f>R547*(1-Bolts!$E$1179)</f>
        <v>151.4</v>
      </c>
      <c r="R547" s="150">
        <v>151.4</v>
      </c>
      <c r="S547" s="168">
        <f t="shared" si="254"/>
        <v>0</v>
      </c>
      <c r="T547" s="211"/>
      <c r="U547" s="169"/>
      <c r="V547" s="170"/>
      <c r="W547" s="171"/>
      <c r="X547" s="172"/>
      <c r="Y547" s="173"/>
      <c r="Z547" s="174"/>
      <c r="AA547" s="175"/>
      <c r="AB547" s="176"/>
      <c r="AC547" s="168">
        <f t="shared" si="255"/>
        <v>0</v>
      </c>
      <c r="AD547" s="177">
        <f t="shared" si="256"/>
        <v>0</v>
      </c>
      <c r="AE547" s="178">
        <v>5.35</v>
      </c>
      <c r="AF547" s="179">
        <f t="shared" si="257"/>
        <v>0</v>
      </c>
      <c r="AH547" s="180"/>
      <c r="AK547" s="1"/>
      <c r="AL547" s="1"/>
      <c r="AM547" s="1"/>
      <c r="AN547" s="1"/>
    </row>
    <row r="548" spans="1:40" ht="12.75" customHeight="1">
      <c r="A548" s="181"/>
      <c r="B548" s="182" t="s">
        <v>1039</v>
      </c>
      <c r="C548" s="183" t="s">
        <v>57</v>
      </c>
      <c r="D548" s="183" t="s">
        <v>64</v>
      </c>
      <c r="E548" s="184">
        <v>10</v>
      </c>
      <c r="F548" s="183"/>
      <c r="G548" s="183"/>
      <c r="H548" s="183" t="s">
        <v>121</v>
      </c>
      <c r="I548" s="183" t="s">
        <v>32</v>
      </c>
      <c r="J548" s="184">
        <v>10</v>
      </c>
      <c r="K548" s="183"/>
      <c r="L548" s="183"/>
      <c r="M548" s="183" t="s">
        <v>32</v>
      </c>
      <c r="N548" s="183" t="s">
        <v>48</v>
      </c>
      <c r="O548" s="184">
        <v>10</v>
      </c>
      <c r="P548" s="184" t="s">
        <v>1040</v>
      </c>
      <c r="Q548" s="521">
        <f>R548*(1-Bolts!$E$1179)</f>
        <v>137.5</v>
      </c>
      <c r="R548" s="150">
        <v>137.5</v>
      </c>
      <c r="S548" s="168">
        <f t="shared" si="254"/>
        <v>0</v>
      </c>
      <c r="T548" s="211"/>
      <c r="U548" s="169"/>
      <c r="V548" s="170"/>
      <c r="W548" s="171"/>
      <c r="X548" s="172"/>
      <c r="Y548" s="173"/>
      <c r="Z548" s="174"/>
      <c r="AA548" s="175"/>
      <c r="AB548" s="176"/>
      <c r="AC548" s="168">
        <f t="shared" si="255"/>
        <v>0</v>
      </c>
      <c r="AD548" s="177">
        <f t="shared" si="256"/>
        <v>0</v>
      </c>
      <c r="AE548" s="178">
        <v>4.7</v>
      </c>
      <c r="AF548" s="179">
        <f t="shared" si="257"/>
        <v>0</v>
      </c>
      <c r="AH548" s="180"/>
      <c r="AK548" s="1"/>
      <c r="AL548" s="1"/>
      <c r="AM548" s="1"/>
      <c r="AN548" s="1"/>
    </row>
    <row r="549" spans="1:40" ht="12.75" customHeight="1">
      <c r="A549" s="181"/>
      <c r="B549" s="182" t="s">
        <v>1041</v>
      </c>
      <c r="C549" s="183" t="s">
        <v>57</v>
      </c>
      <c r="D549" s="183" t="s">
        <v>64</v>
      </c>
      <c r="E549" s="184">
        <v>10</v>
      </c>
      <c r="F549" s="183"/>
      <c r="G549" s="183"/>
      <c r="H549" s="183" t="s">
        <v>121</v>
      </c>
      <c r="I549" s="183" t="s">
        <v>30</v>
      </c>
      <c r="J549" s="184">
        <v>10</v>
      </c>
      <c r="K549" s="183"/>
      <c r="L549" s="183"/>
      <c r="M549" s="183" t="s">
        <v>30</v>
      </c>
      <c r="N549" s="183" t="s">
        <v>47</v>
      </c>
      <c r="O549" s="184">
        <v>10</v>
      </c>
      <c r="P549" s="184" t="s">
        <v>1042</v>
      </c>
      <c r="Q549" s="521">
        <f>R549*(1-Bolts!$E$1179)</f>
        <v>146.69999999999999</v>
      </c>
      <c r="R549" s="150">
        <v>146.69999999999999</v>
      </c>
      <c r="S549" s="168">
        <f t="shared" si="254"/>
        <v>0</v>
      </c>
      <c r="T549" s="211"/>
      <c r="U549" s="169"/>
      <c r="V549" s="170"/>
      <c r="W549" s="171"/>
      <c r="X549" s="172"/>
      <c r="Y549" s="173"/>
      <c r="Z549" s="174"/>
      <c r="AA549" s="175"/>
      <c r="AB549" s="176"/>
      <c r="AC549" s="168">
        <f t="shared" si="255"/>
        <v>0</v>
      </c>
      <c r="AD549" s="177">
        <f t="shared" si="256"/>
        <v>0</v>
      </c>
      <c r="AE549" s="178">
        <v>5.25</v>
      </c>
      <c r="AF549" s="179">
        <f t="shared" si="257"/>
        <v>0</v>
      </c>
      <c r="AH549" s="180"/>
      <c r="AK549" s="1"/>
      <c r="AL549" s="1"/>
      <c r="AM549" s="1"/>
      <c r="AN549" s="1"/>
    </row>
    <row r="550" spans="1:40" ht="12.75" customHeight="1">
      <c r="A550" s="181" t="s">
        <v>445</v>
      </c>
      <c r="B550" s="245" t="s">
        <v>1043</v>
      </c>
      <c r="C550" s="183" t="s">
        <v>57</v>
      </c>
      <c r="D550" s="183" t="s">
        <v>64</v>
      </c>
      <c r="E550" s="184">
        <v>10</v>
      </c>
      <c r="F550" s="183"/>
      <c r="G550" s="183"/>
      <c r="H550" s="183" t="s">
        <v>121</v>
      </c>
      <c r="I550" s="183" t="s">
        <v>31</v>
      </c>
      <c r="J550" s="184">
        <v>10</v>
      </c>
      <c r="K550" s="183"/>
      <c r="L550" s="183"/>
      <c r="M550" s="183" t="s">
        <v>31</v>
      </c>
      <c r="N550" s="183" t="s">
        <v>47</v>
      </c>
      <c r="O550" s="184">
        <v>10</v>
      </c>
      <c r="P550" s="184" t="s">
        <v>1044</v>
      </c>
      <c r="Q550" s="521">
        <f>R550*(1-Bolts!$E$1179)</f>
        <v>133.1</v>
      </c>
      <c r="R550" s="150">
        <v>133.1</v>
      </c>
      <c r="S550" s="168">
        <f t="shared" si="254"/>
        <v>0</v>
      </c>
      <c r="T550" s="211"/>
      <c r="U550" s="169"/>
      <c r="V550" s="170"/>
      <c r="W550" s="171"/>
      <c r="X550" s="172"/>
      <c r="Y550" s="173"/>
      <c r="Z550" s="174"/>
      <c r="AA550" s="175"/>
      <c r="AB550" s="176"/>
      <c r="AC550" s="168">
        <f t="shared" si="255"/>
        <v>0</v>
      </c>
      <c r="AD550" s="177">
        <f t="shared" si="256"/>
        <v>0</v>
      </c>
      <c r="AE550" s="178">
        <v>4.5999999999999996</v>
      </c>
      <c r="AF550" s="179">
        <f t="shared" si="257"/>
        <v>0</v>
      </c>
      <c r="AH550" s="180"/>
      <c r="AK550" s="1"/>
      <c r="AL550" s="1"/>
      <c r="AM550" s="1"/>
      <c r="AN550" s="1"/>
    </row>
    <row r="551" spans="1:40" ht="12.75" customHeight="1">
      <c r="A551" s="181"/>
      <c r="B551" s="182" t="s">
        <v>1045</v>
      </c>
      <c r="C551" s="183" t="s">
        <v>57</v>
      </c>
      <c r="D551" s="183" t="s">
        <v>64</v>
      </c>
      <c r="E551" s="184">
        <v>10</v>
      </c>
      <c r="F551" s="183"/>
      <c r="G551" s="183"/>
      <c r="H551" s="183" t="s">
        <v>121</v>
      </c>
      <c r="I551" s="183" t="s">
        <v>30</v>
      </c>
      <c r="J551" s="184">
        <v>10</v>
      </c>
      <c r="K551" s="183"/>
      <c r="L551" s="183"/>
      <c r="M551" s="183" t="s">
        <v>31</v>
      </c>
      <c r="N551" s="183" t="s">
        <v>47</v>
      </c>
      <c r="O551" s="184">
        <v>10</v>
      </c>
      <c r="P551" s="184" t="s">
        <v>1046</v>
      </c>
      <c r="Q551" s="521">
        <f>R551*(1-Bolts!$E$1179)</f>
        <v>145.1</v>
      </c>
      <c r="R551" s="150">
        <v>145.1</v>
      </c>
      <c r="S551" s="168">
        <f t="shared" si="254"/>
        <v>0</v>
      </c>
      <c r="T551" s="211"/>
      <c r="U551" s="169"/>
      <c r="V551" s="170"/>
      <c r="W551" s="171"/>
      <c r="X551" s="172"/>
      <c r="Y551" s="173"/>
      <c r="Z551" s="174"/>
      <c r="AA551" s="175"/>
      <c r="AB551" s="176"/>
      <c r="AC551" s="168">
        <f t="shared" si="255"/>
        <v>0</v>
      </c>
      <c r="AD551" s="177">
        <f t="shared" si="256"/>
        <v>0</v>
      </c>
      <c r="AE551" s="178">
        <v>5.2</v>
      </c>
      <c r="AF551" s="179">
        <f t="shared" si="257"/>
        <v>0</v>
      </c>
      <c r="AH551" s="180"/>
      <c r="AK551" s="1"/>
      <c r="AL551" s="1"/>
      <c r="AM551" s="1"/>
      <c r="AN551" s="1"/>
    </row>
    <row r="552" spans="1:40" ht="12.75" customHeight="1">
      <c r="A552" s="87"/>
      <c r="B552" s="185"/>
      <c r="C552" s="165"/>
      <c r="D552" s="165"/>
      <c r="E552" s="166"/>
      <c r="F552" s="165"/>
      <c r="G552" s="165"/>
      <c r="H552" s="165"/>
      <c r="I552" s="165"/>
      <c r="J552" s="166"/>
      <c r="K552" s="165"/>
      <c r="L552" s="165"/>
      <c r="M552" s="165"/>
      <c r="N552" s="165"/>
      <c r="O552" s="166"/>
      <c r="P552" s="166"/>
      <c r="Q552" s="522"/>
      <c r="R552" s="150"/>
      <c r="S552" s="186"/>
      <c r="T552" s="187"/>
      <c r="U552" s="187"/>
      <c r="V552" s="188"/>
      <c r="W552" s="187"/>
      <c r="X552" s="187"/>
      <c r="Y552" s="187"/>
      <c r="Z552" s="187"/>
      <c r="AA552" s="187"/>
      <c r="AB552" s="188"/>
      <c r="AC552" s="186"/>
      <c r="AD552" s="189"/>
      <c r="AE552" s="190"/>
      <c r="AF552" s="191"/>
      <c r="AH552" s="180"/>
      <c r="AK552" s="1"/>
      <c r="AL552" s="1"/>
      <c r="AM552" s="1"/>
      <c r="AN552" s="1"/>
    </row>
    <row r="553" spans="1:40" ht="12.75" customHeight="1">
      <c r="A553" s="87"/>
      <c r="B553" s="192" t="s">
        <v>1047</v>
      </c>
      <c r="C553" s="193" t="s">
        <v>57</v>
      </c>
      <c r="D553" s="193" t="s">
        <v>65</v>
      </c>
      <c r="E553" s="194">
        <v>20</v>
      </c>
      <c r="F553" s="193"/>
      <c r="G553" s="193"/>
      <c r="H553" s="193" t="s">
        <v>121</v>
      </c>
      <c r="I553" s="193" t="s">
        <v>39</v>
      </c>
      <c r="J553" s="194">
        <v>20</v>
      </c>
      <c r="K553" s="193"/>
      <c r="L553" s="193"/>
      <c r="M553" s="193" t="s">
        <v>39</v>
      </c>
      <c r="N553" s="193" t="s">
        <v>47</v>
      </c>
      <c r="O553" s="194">
        <v>20</v>
      </c>
      <c r="P553" s="194" t="s">
        <v>1048</v>
      </c>
      <c r="Q553" s="521">
        <f>R553*(1-Bolts!$E$1179)</f>
        <v>105.3</v>
      </c>
      <c r="R553" s="150">
        <v>105.3</v>
      </c>
      <c r="S553" s="168">
        <f t="shared" ref="S553:S556" si="258">SUM(T553:AB553)</f>
        <v>0</v>
      </c>
      <c r="T553" s="211"/>
      <c r="U553" s="169"/>
      <c r="V553" s="170"/>
      <c r="W553" s="171"/>
      <c r="X553" s="172"/>
      <c r="Y553" s="173"/>
      <c r="Z553" s="174"/>
      <c r="AA553" s="175"/>
      <c r="AB553" s="176"/>
      <c r="AC553" s="168">
        <f t="shared" ref="AC553:AC556" si="259">S553*O553</f>
        <v>0</v>
      </c>
      <c r="AD553" s="177">
        <f t="shared" ref="AD553:AD556" si="260">S553*R553</f>
        <v>0</v>
      </c>
      <c r="AE553" s="178">
        <v>2.1</v>
      </c>
      <c r="AF553" s="179">
        <f t="shared" ref="AF553:AF556" si="261">AE553*S553</f>
        <v>0</v>
      </c>
      <c r="AH553" s="180"/>
      <c r="AK553" s="1"/>
      <c r="AL553" s="1"/>
      <c r="AM553" s="1"/>
      <c r="AN553" s="1"/>
    </row>
    <row r="554" spans="1:40" ht="12.75" customHeight="1">
      <c r="A554" s="87"/>
      <c r="B554" s="192" t="s">
        <v>1049</v>
      </c>
      <c r="C554" s="193" t="s">
        <v>57</v>
      </c>
      <c r="D554" s="193" t="s">
        <v>65</v>
      </c>
      <c r="E554" s="194">
        <v>20</v>
      </c>
      <c r="F554" s="193"/>
      <c r="G554" s="193"/>
      <c r="H554" s="193" t="s">
        <v>121</v>
      </c>
      <c r="I554" s="193" t="s">
        <v>39</v>
      </c>
      <c r="J554" s="194">
        <v>20</v>
      </c>
      <c r="K554" s="193"/>
      <c r="L554" s="193"/>
      <c r="M554" s="193" t="s">
        <v>39</v>
      </c>
      <c r="N554" s="193" t="s">
        <v>47</v>
      </c>
      <c r="O554" s="194">
        <v>20</v>
      </c>
      <c r="P554" s="194" t="s">
        <v>1050</v>
      </c>
      <c r="Q554" s="521">
        <f>R554*(1-Bolts!$E$1179)</f>
        <v>101.4</v>
      </c>
      <c r="R554" s="150">
        <v>101.4</v>
      </c>
      <c r="S554" s="168">
        <f t="shared" si="258"/>
        <v>0</v>
      </c>
      <c r="T554" s="211"/>
      <c r="U554" s="169"/>
      <c r="V554" s="170"/>
      <c r="W554" s="171"/>
      <c r="X554" s="172"/>
      <c r="Y554" s="173"/>
      <c r="Z554" s="174"/>
      <c r="AA554" s="175"/>
      <c r="AB554" s="176"/>
      <c r="AC554" s="168">
        <f t="shared" si="259"/>
        <v>0</v>
      </c>
      <c r="AD554" s="177">
        <f t="shared" si="260"/>
        <v>0</v>
      </c>
      <c r="AE554" s="178">
        <v>1.85</v>
      </c>
      <c r="AF554" s="179">
        <f t="shared" si="261"/>
        <v>0</v>
      </c>
      <c r="AH554" s="180"/>
      <c r="AK554" s="1"/>
      <c r="AL554" s="1"/>
      <c r="AM554" s="1"/>
      <c r="AN554" s="1"/>
    </row>
    <row r="555" spans="1:40" ht="12.75" customHeight="1">
      <c r="A555" s="87"/>
      <c r="B555" s="192" t="s">
        <v>1051</v>
      </c>
      <c r="C555" s="193" t="s">
        <v>57</v>
      </c>
      <c r="D555" s="193" t="s">
        <v>65</v>
      </c>
      <c r="E555" s="194">
        <v>20</v>
      </c>
      <c r="F555" s="193"/>
      <c r="G555" s="193"/>
      <c r="H555" s="193" t="s">
        <v>121</v>
      </c>
      <c r="I555" s="193" t="s">
        <v>32</v>
      </c>
      <c r="J555" s="194">
        <v>20</v>
      </c>
      <c r="K555" s="193"/>
      <c r="L555" s="193"/>
      <c r="M555" s="193" t="s">
        <v>32</v>
      </c>
      <c r="N555" s="193" t="s">
        <v>49</v>
      </c>
      <c r="O555" s="194">
        <v>20</v>
      </c>
      <c r="P555" s="194" t="s">
        <v>1052</v>
      </c>
      <c r="Q555" s="521">
        <f>R555*(1-Bolts!$E$1179)</f>
        <v>100.6</v>
      </c>
      <c r="R555" s="150">
        <v>100.6</v>
      </c>
      <c r="S555" s="228">
        <f t="shared" si="258"/>
        <v>0</v>
      </c>
      <c r="T555" s="229"/>
      <c r="U555" s="230"/>
      <c r="V555" s="231"/>
      <c r="W555" s="232"/>
      <c r="X555" s="233"/>
      <c r="Y555" s="234"/>
      <c r="Z555" s="235"/>
      <c r="AA555" s="236"/>
      <c r="AB555" s="237"/>
      <c r="AC555" s="228">
        <f t="shared" si="259"/>
        <v>0</v>
      </c>
      <c r="AD555" s="238">
        <f t="shared" si="260"/>
        <v>0</v>
      </c>
      <c r="AE555" s="239">
        <v>2.25</v>
      </c>
      <c r="AF555" s="240">
        <f t="shared" si="261"/>
        <v>0</v>
      </c>
      <c r="AH555" s="180"/>
      <c r="AK555" s="1"/>
      <c r="AL555" s="1"/>
      <c r="AM555" s="1"/>
      <c r="AN555" s="1"/>
    </row>
    <row r="556" spans="1:40" ht="12.75" customHeight="1">
      <c r="A556" s="181"/>
      <c r="B556" s="246" t="s">
        <v>1053</v>
      </c>
      <c r="C556" s="183" t="s">
        <v>57</v>
      </c>
      <c r="D556" s="183" t="s">
        <v>65</v>
      </c>
      <c r="E556" s="184">
        <v>10</v>
      </c>
      <c r="F556" s="183"/>
      <c r="G556" s="183"/>
      <c r="H556" s="183" t="s">
        <v>121</v>
      </c>
      <c r="I556" s="183" t="s">
        <v>39</v>
      </c>
      <c r="J556" s="184">
        <v>10</v>
      </c>
      <c r="K556" s="183"/>
      <c r="L556" s="183"/>
      <c r="M556" s="183" t="s">
        <v>39</v>
      </c>
      <c r="N556" s="183" t="s">
        <v>47</v>
      </c>
      <c r="O556" s="184">
        <v>10</v>
      </c>
      <c r="P556" s="184" t="s">
        <v>1054</v>
      </c>
      <c r="Q556" s="521">
        <f>R556*(1-Bolts!$E$1179)</f>
        <v>92.2</v>
      </c>
      <c r="R556" s="150">
        <v>92.2</v>
      </c>
      <c r="S556" s="168">
        <f t="shared" si="258"/>
        <v>0</v>
      </c>
      <c r="T556" s="211"/>
      <c r="U556" s="169"/>
      <c r="V556" s="170"/>
      <c r="W556" s="171"/>
      <c r="X556" s="172"/>
      <c r="Y556" s="173"/>
      <c r="Z556" s="174"/>
      <c r="AA556" s="175"/>
      <c r="AB556" s="176"/>
      <c r="AC556" s="168">
        <f t="shared" si="259"/>
        <v>0</v>
      </c>
      <c r="AD556" s="177">
        <f t="shared" si="260"/>
        <v>0</v>
      </c>
      <c r="AE556" s="178">
        <v>2.2999999999999998</v>
      </c>
      <c r="AF556" s="179">
        <f t="shared" si="261"/>
        <v>0</v>
      </c>
      <c r="AH556" s="180"/>
      <c r="AK556" s="1"/>
      <c r="AL556" s="1"/>
      <c r="AM556" s="1"/>
      <c r="AN556" s="1"/>
    </row>
    <row r="557" spans="1:40" ht="12.75" customHeight="1">
      <c r="A557" s="87"/>
      <c r="B557" s="185"/>
      <c r="C557" s="165"/>
      <c r="D557" s="165"/>
      <c r="E557" s="166"/>
      <c r="F557" s="165"/>
      <c r="G557" s="165"/>
      <c r="H557" s="165"/>
      <c r="I557" s="165"/>
      <c r="J557" s="166"/>
      <c r="K557" s="165"/>
      <c r="L557" s="165"/>
      <c r="M557" s="165"/>
      <c r="N557" s="165"/>
      <c r="O557" s="166"/>
      <c r="P557" s="166"/>
      <c r="Q557" s="522"/>
      <c r="R557" s="150"/>
      <c r="S557" s="186"/>
      <c r="T557" s="187"/>
      <c r="U557" s="187"/>
      <c r="V557" s="188"/>
      <c r="W557" s="187"/>
      <c r="X557" s="187"/>
      <c r="Y557" s="187"/>
      <c r="Z557" s="187"/>
      <c r="AA557" s="187"/>
      <c r="AB557" s="188"/>
      <c r="AC557" s="186"/>
      <c r="AD557" s="189"/>
      <c r="AE557" s="190"/>
      <c r="AF557" s="191"/>
      <c r="AH557" s="180"/>
      <c r="AK557" s="1"/>
      <c r="AL557" s="1"/>
      <c r="AM557" s="1"/>
      <c r="AN557" s="1"/>
    </row>
    <row r="558" spans="1:40" ht="12.75" customHeight="1">
      <c r="A558" s="181"/>
      <c r="B558" s="182" t="s">
        <v>1055</v>
      </c>
      <c r="C558" s="183" t="s">
        <v>57</v>
      </c>
      <c r="D558" s="183" t="s">
        <v>38</v>
      </c>
      <c r="E558" s="184">
        <v>10</v>
      </c>
      <c r="F558" s="183"/>
      <c r="G558" s="183"/>
      <c r="H558" s="183" t="s">
        <v>121</v>
      </c>
      <c r="I558" s="183" t="s">
        <v>38</v>
      </c>
      <c r="J558" s="184">
        <v>10</v>
      </c>
      <c r="K558" s="183"/>
      <c r="L558" s="183"/>
      <c r="M558" s="183" t="s">
        <v>38</v>
      </c>
      <c r="N558" s="183" t="s">
        <v>48</v>
      </c>
      <c r="O558" s="184">
        <v>10</v>
      </c>
      <c r="P558" s="184" t="s">
        <v>1056</v>
      </c>
      <c r="Q558" s="521">
        <f>R558*(1-Bolts!$E$1179)</f>
        <v>64.599999999999994</v>
      </c>
      <c r="R558" s="150">
        <v>64.599999999999994</v>
      </c>
      <c r="S558" s="168">
        <f>SUM(T558:AB558)</f>
        <v>0</v>
      </c>
      <c r="T558" s="211"/>
      <c r="U558" s="169"/>
      <c r="V558" s="170"/>
      <c r="W558" s="171"/>
      <c r="X558" s="172"/>
      <c r="Y558" s="173"/>
      <c r="Z558" s="174"/>
      <c r="AA558" s="175"/>
      <c r="AB558" s="176"/>
      <c r="AC558" s="168">
        <f>S558*O558</f>
        <v>0</v>
      </c>
      <c r="AD558" s="177">
        <f>S558*R558</f>
        <v>0</v>
      </c>
      <c r="AE558" s="178">
        <v>0.75</v>
      </c>
      <c r="AF558" s="179">
        <f>AE558*S558</f>
        <v>0</v>
      </c>
      <c r="AH558" s="180"/>
      <c r="AK558" s="1"/>
      <c r="AL558" s="1"/>
      <c r="AM558" s="1"/>
      <c r="AN558" s="1"/>
    </row>
    <row r="559" spans="1:40" ht="12.75" customHeight="1">
      <c r="A559" s="138" t="s">
        <v>146</v>
      </c>
      <c r="B559" s="241" t="s">
        <v>1057</v>
      </c>
      <c r="C559" s="242" t="str">
        <f>B559</f>
        <v>Winter</v>
      </c>
      <c r="D559" s="243"/>
      <c r="E559" s="243"/>
      <c r="F559" s="243"/>
      <c r="G559" s="243"/>
      <c r="H559" s="243" t="s">
        <v>121</v>
      </c>
      <c r="I559" s="243"/>
      <c r="J559" s="243"/>
      <c r="K559" s="243"/>
      <c r="L559" s="243"/>
      <c r="M559" s="243"/>
      <c r="N559" s="243"/>
      <c r="O559" s="243"/>
      <c r="P559" s="243"/>
      <c r="Q559" s="527"/>
      <c r="R559" s="150"/>
      <c r="S559" s="243"/>
      <c r="T559" s="243"/>
      <c r="U559" s="243"/>
      <c r="V559" s="243"/>
      <c r="W559" s="243"/>
      <c r="X559" s="243"/>
      <c r="Y559" s="243"/>
      <c r="Z559" s="243"/>
      <c r="AA559" s="243"/>
      <c r="AB559" s="243"/>
      <c r="AC559" s="243"/>
      <c r="AD559" s="243"/>
      <c r="AE559" s="243"/>
      <c r="AF559" s="244"/>
      <c r="AH559" s="180"/>
      <c r="AK559" s="1"/>
      <c r="AL559" s="1"/>
      <c r="AM559" s="1"/>
      <c r="AN559" s="1"/>
    </row>
    <row r="560" spans="1:40" ht="12.75" customHeight="1">
      <c r="A560" s="87"/>
      <c r="B560" s="192" t="s">
        <v>1058</v>
      </c>
      <c r="C560" s="193" t="s">
        <v>57</v>
      </c>
      <c r="D560" s="193" t="s">
        <v>60</v>
      </c>
      <c r="E560" s="194">
        <v>3</v>
      </c>
      <c r="F560" s="193"/>
      <c r="G560" s="193"/>
      <c r="H560" s="193" t="s">
        <v>121</v>
      </c>
      <c r="I560" s="193" t="s">
        <v>28</v>
      </c>
      <c r="J560" s="194">
        <v>3</v>
      </c>
      <c r="K560" s="193"/>
      <c r="L560" s="193"/>
      <c r="M560" s="193" t="s">
        <v>28</v>
      </c>
      <c r="N560" s="193" t="s">
        <v>47</v>
      </c>
      <c r="O560" s="194">
        <v>3</v>
      </c>
      <c r="P560" s="194" t="s">
        <v>1059</v>
      </c>
      <c r="Q560" s="521">
        <f>R560*(1-Bolts!$E$1179)</f>
        <v>439.1</v>
      </c>
      <c r="R560" s="150">
        <v>439.1</v>
      </c>
      <c r="S560" s="168">
        <f t="shared" ref="S560:S575" si="262">SUM(T560:AB560)</f>
        <v>0</v>
      </c>
      <c r="T560" s="211"/>
      <c r="U560" s="169"/>
      <c r="V560" s="170"/>
      <c r="W560" s="171"/>
      <c r="X560" s="172"/>
      <c r="Y560" s="173"/>
      <c r="Z560" s="174"/>
      <c r="AA560" s="175"/>
      <c r="AB560" s="176"/>
      <c r="AC560" s="168">
        <f t="shared" ref="AC560:AC575" si="263">S560*O560</f>
        <v>0</v>
      </c>
      <c r="AD560" s="177">
        <f t="shared" ref="AD560:AD575" si="264">S560*R560</f>
        <v>0</v>
      </c>
      <c r="AE560" s="178">
        <v>22.66</v>
      </c>
      <c r="AF560" s="179">
        <f t="shared" ref="AF560:AF575" si="265">AE560*S560</f>
        <v>0</v>
      </c>
      <c r="AH560" s="209"/>
      <c r="AK560" s="1"/>
      <c r="AL560" s="1"/>
      <c r="AM560" s="1"/>
      <c r="AN560" s="1"/>
    </row>
    <row r="561" spans="1:40" ht="12.75" customHeight="1">
      <c r="A561" s="87"/>
      <c r="B561" s="195" t="s">
        <v>1060</v>
      </c>
      <c r="C561" s="196" t="s">
        <v>57</v>
      </c>
      <c r="D561" s="196" t="s">
        <v>60</v>
      </c>
      <c r="E561" s="197">
        <v>1</v>
      </c>
      <c r="F561" s="196"/>
      <c r="G561" s="196"/>
      <c r="H561" s="196" t="s">
        <v>121</v>
      </c>
      <c r="I561" s="196" t="s">
        <v>28</v>
      </c>
      <c r="J561" s="197">
        <v>1</v>
      </c>
      <c r="K561" s="196"/>
      <c r="L561" s="196"/>
      <c r="M561" s="196" t="s">
        <v>28</v>
      </c>
      <c r="N561" s="196" t="s">
        <v>47</v>
      </c>
      <c r="O561" s="197">
        <v>1</v>
      </c>
      <c r="P561" s="197" t="s">
        <v>1061</v>
      </c>
      <c r="Q561" s="523">
        <f>R561*(1-Bolts!$E$1179)</f>
        <v>123.6</v>
      </c>
      <c r="R561" s="150">
        <v>123.6</v>
      </c>
      <c r="S561" s="198">
        <f t="shared" si="262"/>
        <v>0</v>
      </c>
      <c r="T561" s="199"/>
      <c r="U561" s="199"/>
      <c r="V561" s="200"/>
      <c r="W561" s="199"/>
      <c r="X561" s="199"/>
      <c r="Y561" s="199"/>
      <c r="Z561" s="199"/>
      <c r="AA561" s="199"/>
      <c r="AB561" s="199"/>
      <c r="AC561" s="198">
        <f t="shared" si="263"/>
        <v>0</v>
      </c>
      <c r="AD561" s="177">
        <f t="shared" si="264"/>
        <v>0</v>
      </c>
      <c r="AE561" s="201">
        <v>5.28</v>
      </c>
      <c r="AF561" s="202">
        <f t="shared" si="265"/>
        <v>0</v>
      </c>
      <c r="AH561" s="180"/>
      <c r="AK561" s="1"/>
      <c r="AL561" s="1"/>
      <c r="AM561" s="1"/>
      <c r="AN561" s="1"/>
    </row>
    <row r="562" spans="1:40" ht="12.75" customHeight="1">
      <c r="A562" s="87"/>
      <c r="B562" s="195" t="s">
        <v>1062</v>
      </c>
      <c r="C562" s="196" t="s">
        <v>57</v>
      </c>
      <c r="D562" s="196" t="s">
        <v>60</v>
      </c>
      <c r="E562" s="197">
        <v>1</v>
      </c>
      <c r="F562" s="196"/>
      <c r="G562" s="196"/>
      <c r="H562" s="196" t="s">
        <v>121</v>
      </c>
      <c r="I562" s="196" t="s">
        <v>28</v>
      </c>
      <c r="J562" s="197">
        <v>1</v>
      </c>
      <c r="K562" s="196"/>
      <c r="L562" s="196"/>
      <c r="M562" s="196" t="s">
        <v>28</v>
      </c>
      <c r="N562" s="196" t="s">
        <v>47</v>
      </c>
      <c r="O562" s="197">
        <v>1</v>
      </c>
      <c r="P562" s="197" t="s">
        <v>1063</v>
      </c>
      <c r="Q562" s="523">
        <f>R562*(1-Bolts!$E$1179)</f>
        <v>149.19999999999999</v>
      </c>
      <c r="R562" s="150">
        <v>149.19999999999999</v>
      </c>
      <c r="S562" s="198">
        <f t="shared" si="262"/>
        <v>0</v>
      </c>
      <c r="T562" s="199"/>
      <c r="U562" s="199"/>
      <c r="V562" s="200"/>
      <c r="W562" s="199"/>
      <c r="X562" s="199"/>
      <c r="Y562" s="199"/>
      <c r="Z562" s="199"/>
      <c r="AA562" s="199"/>
      <c r="AB562" s="199"/>
      <c r="AC562" s="198">
        <f t="shared" si="263"/>
        <v>0</v>
      </c>
      <c r="AD562" s="177">
        <f t="shared" si="264"/>
        <v>0</v>
      </c>
      <c r="AE562" s="201">
        <v>6.76</v>
      </c>
      <c r="AF562" s="202">
        <f t="shared" si="265"/>
        <v>0</v>
      </c>
      <c r="AH562" s="180"/>
      <c r="AK562" s="1"/>
      <c r="AL562" s="1"/>
      <c r="AM562" s="1"/>
      <c r="AN562" s="1"/>
    </row>
    <row r="563" spans="1:40" ht="12.75" customHeight="1">
      <c r="A563" s="87"/>
      <c r="B563" s="195" t="s">
        <v>1064</v>
      </c>
      <c r="C563" s="196" t="s">
        <v>57</v>
      </c>
      <c r="D563" s="196" t="s">
        <v>60</v>
      </c>
      <c r="E563" s="197">
        <v>1</v>
      </c>
      <c r="F563" s="196"/>
      <c r="G563" s="196"/>
      <c r="H563" s="196" t="s">
        <v>121</v>
      </c>
      <c r="I563" s="196" t="s">
        <v>28</v>
      </c>
      <c r="J563" s="197">
        <v>1</v>
      </c>
      <c r="K563" s="196"/>
      <c r="L563" s="196"/>
      <c r="M563" s="196" t="s">
        <v>28</v>
      </c>
      <c r="N563" s="196" t="s">
        <v>47</v>
      </c>
      <c r="O563" s="197">
        <v>1</v>
      </c>
      <c r="P563" s="197" t="s">
        <v>1065</v>
      </c>
      <c r="Q563" s="523">
        <f>R563*(1-Bolts!$E$1179)</f>
        <v>215.4</v>
      </c>
      <c r="R563" s="150">
        <v>215.4</v>
      </c>
      <c r="S563" s="198">
        <f t="shared" si="262"/>
        <v>0</v>
      </c>
      <c r="T563" s="199"/>
      <c r="U563" s="199"/>
      <c r="V563" s="200"/>
      <c r="W563" s="199"/>
      <c r="X563" s="199"/>
      <c r="Y563" s="199"/>
      <c r="Z563" s="199"/>
      <c r="AA563" s="199"/>
      <c r="AB563" s="199"/>
      <c r="AC563" s="198">
        <f t="shared" si="263"/>
        <v>0</v>
      </c>
      <c r="AD563" s="177">
        <f t="shared" si="264"/>
        <v>0</v>
      </c>
      <c r="AE563" s="201">
        <v>10.62</v>
      </c>
      <c r="AF563" s="202">
        <f t="shared" si="265"/>
        <v>0</v>
      </c>
      <c r="AH563" s="180"/>
      <c r="AK563" s="1"/>
      <c r="AL563" s="1"/>
      <c r="AM563" s="1"/>
      <c r="AN563" s="1"/>
    </row>
    <row r="564" spans="1:40" ht="12.75" customHeight="1">
      <c r="A564" s="87"/>
      <c r="B564" s="192" t="s">
        <v>1066</v>
      </c>
      <c r="C564" s="193" t="s">
        <v>57</v>
      </c>
      <c r="D564" s="193" t="s">
        <v>60</v>
      </c>
      <c r="E564" s="194">
        <v>3</v>
      </c>
      <c r="F564" s="193"/>
      <c r="G564" s="193"/>
      <c r="H564" s="193" t="s">
        <v>121</v>
      </c>
      <c r="I564" s="193" t="s">
        <v>28</v>
      </c>
      <c r="J564" s="194">
        <v>3</v>
      </c>
      <c r="K564" s="193"/>
      <c r="L564" s="193"/>
      <c r="M564" s="193" t="s">
        <v>28</v>
      </c>
      <c r="N564" s="193" t="s">
        <v>48</v>
      </c>
      <c r="O564" s="194">
        <v>3</v>
      </c>
      <c r="P564" s="194" t="s">
        <v>1067</v>
      </c>
      <c r="Q564" s="521">
        <f>R564*(1-Bolts!$E$1179)</f>
        <v>778.3</v>
      </c>
      <c r="R564" s="150">
        <v>778.3</v>
      </c>
      <c r="S564" s="168">
        <f t="shared" si="262"/>
        <v>0</v>
      </c>
      <c r="T564" s="211"/>
      <c r="U564" s="169"/>
      <c r="V564" s="170"/>
      <c r="W564" s="171"/>
      <c r="X564" s="172"/>
      <c r="Y564" s="173"/>
      <c r="Z564" s="174"/>
      <c r="AA564" s="175"/>
      <c r="AB564" s="176"/>
      <c r="AC564" s="168">
        <f t="shared" si="263"/>
        <v>0</v>
      </c>
      <c r="AD564" s="177">
        <f t="shared" si="264"/>
        <v>0</v>
      </c>
      <c r="AE564" s="178">
        <v>37.72</v>
      </c>
      <c r="AF564" s="179">
        <f t="shared" si="265"/>
        <v>0</v>
      </c>
      <c r="AH564" s="180"/>
      <c r="AK564" s="1"/>
      <c r="AL564" s="1"/>
      <c r="AM564" s="1"/>
      <c r="AN564" s="1"/>
    </row>
    <row r="565" spans="1:40" ht="12.75" customHeight="1">
      <c r="A565" s="181" t="s">
        <v>445</v>
      </c>
      <c r="B565" s="214" t="s">
        <v>1068</v>
      </c>
      <c r="C565" s="196" t="s">
        <v>57</v>
      </c>
      <c r="D565" s="196" t="s">
        <v>60</v>
      </c>
      <c r="E565" s="197">
        <v>1</v>
      </c>
      <c r="F565" s="196"/>
      <c r="G565" s="196"/>
      <c r="H565" s="196" t="s">
        <v>121</v>
      </c>
      <c r="I565" s="196" t="s">
        <v>28</v>
      </c>
      <c r="J565" s="197">
        <v>1</v>
      </c>
      <c r="K565" s="196"/>
      <c r="L565" s="196"/>
      <c r="M565" s="196" t="s">
        <v>28</v>
      </c>
      <c r="N565" s="196" t="s">
        <v>48</v>
      </c>
      <c r="O565" s="197">
        <v>1</v>
      </c>
      <c r="P565" s="197" t="s">
        <v>1069</v>
      </c>
      <c r="Q565" s="523">
        <f>R565*(1-Bolts!$E$1179)</f>
        <v>210.5</v>
      </c>
      <c r="R565" s="150">
        <v>210.5</v>
      </c>
      <c r="S565" s="198">
        <f t="shared" si="262"/>
        <v>0</v>
      </c>
      <c r="T565" s="199"/>
      <c r="U565" s="199"/>
      <c r="V565" s="200"/>
      <c r="W565" s="199"/>
      <c r="X565" s="199"/>
      <c r="Y565" s="199"/>
      <c r="Z565" s="199"/>
      <c r="AA565" s="199"/>
      <c r="AB565" s="199"/>
      <c r="AC565" s="198">
        <f t="shared" si="263"/>
        <v>0</v>
      </c>
      <c r="AD565" s="177">
        <f t="shared" si="264"/>
        <v>0</v>
      </c>
      <c r="AE565" s="201">
        <v>8.86</v>
      </c>
      <c r="AF565" s="202">
        <f t="shared" si="265"/>
        <v>0</v>
      </c>
      <c r="AH565" s="180"/>
      <c r="AK565" s="1"/>
      <c r="AL565" s="1"/>
      <c r="AM565" s="1"/>
      <c r="AN565" s="1"/>
    </row>
    <row r="566" spans="1:40" ht="12.75" customHeight="1">
      <c r="A566" s="181" t="s">
        <v>445</v>
      </c>
      <c r="B566" s="214" t="s">
        <v>1070</v>
      </c>
      <c r="C566" s="196" t="s">
        <v>57</v>
      </c>
      <c r="D566" s="196" t="s">
        <v>60</v>
      </c>
      <c r="E566" s="197">
        <v>1</v>
      </c>
      <c r="F566" s="196"/>
      <c r="G566" s="196"/>
      <c r="H566" s="196" t="s">
        <v>121</v>
      </c>
      <c r="I566" s="196" t="s">
        <v>28</v>
      </c>
      <c r="J566" s="197">
        <v>1</v>
      </c>
      <c r="K566" s="196"/>
      <c r="L566" s="196"/>
      <c r="M566" s="196" t="s">
        <v>28</v>
      </c>
      <c r="N566" s="196" t="s">
        <v>48</v>
      </c>
      <c r="O566" s="197">
        <v>1</v>
      </c>
      <c r="P566" s="197" t="s">
        <v>1071</v>
      </c>
      <c r="Q566" s="523">
        <f>R566*(1-Bolts!$E$1179)</f>
        <v>256.3</v>
      </c>
      <c r="R566" s="150">
        <v>256.3</v>
      </c>
      <c r="S566" s="198">
        <f t="shared" si="262"/>
        <v>0</v>
      </c>
      <c r="T566" s="199"/>
      <c r="U566" s="199"/>
      <c r="V566" s="200"/>
      <c r="W566" s="199"/>
      <c r="X566" s="199"/>
      <c r="Y566" s="199"/>
      <c r="Z566" s="199"/>
      <c r="AA566" s="199"/>
      <c r="AB566" s="199"/>
      <c r="AC566" s="198">
        <f t="shared" si="263"/>
        <v>0</v>
      </c>
      <c r="AD566" s="177">
        <f t="shared" si="264"/>
        <v>0</v>
      </c>
      <c r="AE566" s="201">
        <v>11.46</v>
      </c>
      <c r="AF566" s="202">
        <f t="shared" si="265"/>
        <v>0</v>
      </c>
      <c r="AH566" s="180"/>
      <c r="AK566" s="1"/>
      <c r="AL566" s="1"/>
      <c r="AM566" s="1"/>
      <c r="AN566" s="1"/>
    </row>
    <row r="567" spans="1:40" ht="12.75" customHeight="1">
      <c r="A567" s="181" t="s">
        <v>445</v>
      </c>
      <c r="B567" s="214" t="s">
        <v>1072</v>
      </c>
      <c r="C567" s="196" t="s">
        <v>57</v>
      </c>
      <c r="D567" s="196" t="s">
        <v>60</v>
      </c>
      <c r="E567" s="197">
        <v>1</v>
      </c>
      <c r="F567" s="196"/>
      <c r="G567" s="196"/>
      <c r="H567" s="196" t="s">
        <v>121</v>
      </c>
      <c r="I567" s="196" t="s">
        <v>28</v>
      </c>
      <c r="J567" s="197">
        <v>1</v>
      </c>
      <c r="K567" s="196"/>
      <c r="L567" s="196"/>
      <c r="M567" s="196" t="s">
        <v>28</v>
      </c>
      <c r="N567" s="196" t="s">
        <v>48</v>
      </c>
      <c r="O567" s="197">
        <v>1</v>
      </c>
      <c r="P567" s="197" t="s">
        <v>1073</v>
      </c>
      <c r="Q567" s="523">
        <f>R567*(1-Bolts!$E$1179)</f>
        <v>360.7</v>
      </c>
      <c r="R567" s="150">
        <v>360.7</v>
      </c>
      <c r="S567" s="198">
        <f t="shared" si="262"/>
        <v>0</v>
      </c>
      <c r="T567" s="199"/>
      <c r="U567" s="199"/>
      <c r="V567" s="200"/>
      <c r="W567" s="199"/>
      <c r="X567" s="199"/>
      <c r="Y567" s="199"/>
      <c r="Z567" s="199"/>
      <c r="AA567" s="199"/>
      <c r="AB567" s="199"/>
      <c r="AC567" s="198">
        <f t="shared" si="263"/>
        <v>0</v>
      </c>
      <c r="AD567" s="177">
        <f t="shared" si="264"/>
        <v>0</v>
      </c>
      <c r="AE567" s="201">
        <v>17.399999999999999</v>
      </c>
      <c r="AF567" s="202">
        <f t="shared" si="265"/>
        <v>0</v>
      </c>
      <c r="AH567" s="180"/>
      <c r="AK567" s="1"/>
      <c r="AL567" s="1"/>
      <c r="AM567" s="1"/>
      <c r="AN567" s="1"/>
    </row>
    <row r="568" spans="1:40" ht="12.75" customHeight="1">
      <c r="A568" s="87"/>
      <c r="B568" s="192" t="s">
        <v>1074</v>
      </c>
      <c r="C568" s="193" t="s">
        <v>57</v>
      </c>
      <c r="D568" s="193" t="s">
        <v>60</v>
      </c>
      <c r="E568" s="194">
        <v>3</v>
      </c>
      <c r="F568" s="193"/>
      <c r="G568" s="193"/>
      <c r="H568" s="193" t="s">
        <v>121</v>
      </c>
      <c r="I568" s="193" t="s">
        <v>28</v>
      </c>
      <c r="J568" s="194">
        <v>3</v>
      </c>
      <c r="K568" s="193"/>
      <c r="L568" s="193"/>
      <c r="M568" s="193" t="s">
        <v>28</v>
      </c>
      <c r="N568" s="193" t="s">
        <v>49</v>
      </c>
      <c r="O568" s="194">
        <v>3</v>
      </c>
      <c r="P568" s="194" t="s">
        <v>1075</v>
      </c>
      <c r="Q568" s="521">
        <f>R568*(1-Bolts!$E$1179)</f>
        <v>439.2</v>
      </c>
      <c r="R568" s="150">
        <v>439.2</v>
      </c>
      <c r="S568" s="168">
        <f t="shared" si="262"/>
        <v>0</v>
      </c>
      <c r="T568" s="211"/>
      <c r="U568" s="169"/>
      <c r="V568" s="170"/>
      <c r="W568" s="171"/>
      <c r="X568" s="172"/>
      <c r="Y568" s="173"/>
      <c r="Z568" s="174"/>
      <c r="AA568" s="175"/>
      <c r="AB568" s="176"/>
      <c r="AC568" s="168">
        <f t="shared" si="263"/>
        <v>0</v>
      </c>
      <c r="AD568" s="177">
        <f t="shared" si="264"/>
        <v>0</v>
      </c>
      <c r="AE568" s="178">
        <v>22.62</v>
      </c>
      <c r="AF568" s="179">
        <f t="shared" si="265"/>
        <v>0</v>
      </c>
      <c r="AH568" s="180"/>
      <c r="AK568" s="1"/>
      <c r="AL568" s="1"/>
      <c r="AM568" s="1"/>
      <c r="AN568" s="1"/>
    </row>
    <row r="569" spans="1:40" ht="12.75" customHeight="1">
      <c r="A569" s="87"/>
      <c r="B569" s="195" t="s">
        <v>1076</v>
      </c>
      <c r="C569" s="196" t="s">
        <v>57</v>
      </c>
      <c r="D569" s="196" t="s">
        <v>60</v>
      </c>
      <c r="E569" s="197">
        <v>1</v>
      </c>
      <c r="F569" s="196"/>
      <c r="G569" s="196"/>
      <c r="H569" s="196" t="s">
        <v>121</v>
      </c>
      <c r="I569" s="196" t="s">
        <v>28</v>
      </c>
      <c r="J569" s="197">
        <v>1</v>
      </c>
      <c r="K569" s="196"/>
      <c r="L569" s="196"/>
      <c r="M569" s="196" t="s">
        <v>28</v>
      </c>
      <c r="N569" s="196" t="s">
        <v>49</v>
      </c>
      <c r="O569" s="197">
        <v>1</v>
      </c>
      <c r="P569" s="197" t="s">
        <v>1077</v>
      </c>
      <c r="Q569" s="523">
        <f>R569*(1-Bolts!$E$1179)</f>
        <v>125.3</v>
      </c>
      <c r="R569" s="150">
        <v>125.3</v>
      </c>
      <c r="S569" s="198">
        <f t="shared" si="262"/>
        <v>0</v>
      </c>
      <c r="T569" s="199"/>
      <c r="U569" s="199"/>
      <c r="V569" s="200"/>
      <c r="W569" s="199"/>
      <c r="X569" s="199"/>
      <c r="Y569" s="199"/>
      <c r="Z569" s="199"/>
      <c r="AA569" s="199"/>
      <c r="AB569" s="199"/>
      <c r="AC569" s="198">
        <f t="shared" si="263"/>
        <v>0</v>
      </c>
      <c r="AD569" s="177">
        <f t="shared" si="264"/>
        <v>0</v>
      </c>
      <c r="AE569" s="201">
        <v>5.36</v>
      </c>
      <c r="AF569" s="202">
        <f t="shared" si="265"/>
        <v>0</v>
      </c>
      <c r="AH569" s="180"/>
      <c r="AK569" s="1"/>
      <c r="AL569" s="1"/>
      <c r="AM569" s="1"/>
      <c r="AN569" s="1"/>
    </row>
    <row r="570" spans="1:40" ht="12.75" customHeight="1">
      <c r="A570" s="87"/>
      <c r="B570" s="195" t="s">
        <v>1078</v>
      </c>
      <c r="C570" s="196" t="s">
        <v>57</v>
      </c>
      <c r="D570" s="196" t="s">
        <v>60</v>
      </c>
      <c r="E570" s="197">
        <v>1</v>
      </c>
      <c r="F570" s="196"/>
      <c r="G570" s="196"/>
      <c r="H570" s="196" t="s">
        <v>121</v>
      </c>
      <c r="I570" s="196" t="s">
        <v>28</v>
      </c>
      <c r="J570" s="197">
        <v>1</v>
      </c>
      <c r="K570" s="196"/>
      <c r="L570" s="196"/>
      <c r="M570" s="196" t="s">
        <v>28</v>
      </c>
      <c r="N570" s="196" t="s">
        <v>48</v>
      </c>
      <c r="O570" s="197">
        <v>1</v>
      </c>
      <c r="P570" s="197" t="s">
        <v>1079</v>
      </c>
      <c r="Q570" s="523">
        <f>R570*(1-Bolts!$E$1179)</f>
        <v>166.4</v>
      </c>
      <c r="R570" s="150">
        <v>166.4</v>
      </c>
      <c r="S570" s="198">
        <f t="shared" si="262"/>
        <v>0</v>
      </c>
      <c r="T570" s="199"/>
      <c r="U570" s="199"/>
      <c r="V570" s="200"/>
      <c r="W570" s="199"/>
      <c r="X570" s="199"/>
      <c r="Y570" s="199"/>
      <c r="Z570" s="199"/>
      <c r="AA570" s="199"/>
      <c r="AB570" s="199"/>
      <c r="AC570" s="198">
        <f t="shared" si="263"/>
        <v>0</v>
      </c>
      <c r="AD570" s="177">
        <f t="shared" si="264"/>
        <v>0</v>
      </c>
      <c r="AE570" s="201">
        <v>7.75</v>
      </c>
      <c r="AF570" s="202">
        <f t="shared" si="265"/>
        <v>0</v>
      </c>
      <c r="AH570" s="180"/>
      <c r="AK570" s="1"/>
      <c r="AL570" s="1"/>
      <c r="AM570" s="1"/>
      <c r="AN570" s="1"/>
    </row>
    <row r="571" spans="1:40" ht="12.75" customHeight="1">
      <c r="A571" s="87"/>
      <c r="B571" s="195" t="s">
        <v>1080</v>
      </c>
      <c r="C571" s="196" t="s">
        <v>57</v>
      </c>
      <c r="D571" s="196" t="s">
        <v>60</v>
      </c>
      <c r="E571" s="197">
        <v>1</v>
      </c>
      <c r="F571" s="196"/>
      <c r="G571" s="196"/>
      <c r="H571" s="196" t="s">
        <v>121</v>
      </c>
      <c r="I571" s="196" t="s">
        <v>28</v>
      </c>
      <c r="J571" s="197">
        <v>1</v>
      </c>
      <c r="K571" s="196"/>
      <c r="L571" s="196"/>
      <c r="M571" s="196" t="s">
        <v>28</v>
      </c>
      <c r="N571" s="196" t="s">
        <v>49</v>
      </c>
      <c r="O571" s="197">
        <v>1</v>
      </c>
      <c r="P571" s="197" t="s">
        <v>1081</v>
      </c>
      <c r="Q571" s="523">
        <f>R571*(1-Bolts!$E$1179)</f>
        <v>196.7</v>
      </c>
      <c r="R571" s="150">
        <v>196.7</v>
      </c>
      <c r="S571" s="198">
        <f t="shared" si="262"/>
        <v>0</v>
      </c>
      <c r="T571" s="199"/>
      <c r="U571" s="199"/>
      <c r="V571" s="200"/>
      <c r="W571" s="199"/>
      <c r="X571" s="199"/>
      <c r="Y571" s="199"/>
      <c r="Z571" s="199"/>
      <c r="AA571" s="199"/>
      <c r="AB571" s="199"/>
      <c r="AC571" s="198">
        <f t="shared" si="263"/>
        <v>0</v>
      </c>
      <c r="AD571" s="177">
        <f t="shared" si="264"/>
        <v>0</v>
      </c>
      <c r="AE571" s="201">
        <v>9.51</v>
      </c>
      <c r="AF571" s="202">
        <f t="shared" si="265"/>
        <v>0</v>
      </c>
      <c r="AH571" s="180"/>
      <c r="AK571" s="1"/>
      <c r="AL571" s="1"/>
      <c r="AM571" s="1"/>
      <c r="AN571" s="1"/>
    </row>
    <row r="572" spans="1:40" ht="12.75" customHeight="1">
      <c r="A572" s="87"/>
      <c r="B572" s="192" t="s">
        <v>1082</v>
      </c>
      <c r="C572" s="193" t="s">
        <v>57</v>
      </c>
      <c r="D572" s="193" t="s">
        <v>60</v>
      </c>
      <c r="E572" s="194">
        <v>3</v>
      </c>
      <c r="F572" s="193"/>
      <c r="G572" s="193"/>
      <c r="H572" s="193" t="s">
        <v>121</v>
      </c>
      <c r="I572" s="193" t="s">
        <v>28</v>
      </c>
      <c r="J572" s="194">
        <v>3</v>
      </c>
      <c r="K572" s="193"/>
      <c r="L572" s="193"/>
      <c r="M572" s="193" t="s">
        <v>28</v>
      </c>
      <c r="N572" s="193" t="s">
        <v>48</v>
      </c>
      <c r="O572" s="194">
        <v>3</v>
      </c>
      <c r="P572" s="194" t="s">
        <v>1083</v>
      </c>
      <c r="Q572" s="521">
        <f>R572*(1-Bolts!$E$1179)</f>
        <v>527.79999999999995</v>
      </c>
      <c r="R572" s="150">
        <v>527.79999999999995</v>
      </c>
      <c r="S572" s="168">
        <f t="shared" si="262"/>
        <v>0</v>
      </c>
      <c r="T572" s="211"/>
      <c r="U572" s="169"/>
      <c r="V572" s="170"/>
      <c r="W572" s="171"/>
      <c r="X572" s="172"/>
      <c r="Y572" s="173"/>
      <c r="Z572" s="174"/>
      <c r="AA572" s="175"/>
      <c r="AB572" s="176"/>
      <c r="AC572" s="168">
        <f t="shared" si="263"/>
        <v>0</v>
      </c>
      <c r="AD572" s="177">
        <f t="shared" si="264"/>
        <v>0</v>
      </c>
      <c r="AE572" s="178">
        <v>27.82</v>
      </c>
      <c r="AF572" s="179">
        <f t="shared" si="265"/>
        <v>0</v>
      </c>
      <c r="AH572" s="180"/>
      <c r="AK572" s="1"/>
      <c r="AL572" s="1"/>
      <c r="AM572" s="1"/>
      <c r="AN572" s="1"/>
    </row>
    <row r="573" spans="1:40" ht="12.75" customHeight="1">
      <c r="A573" s="87"/>
      <c r="B573" s="195" t="s">
        <v>1084</v>
      </c>
      <c r="C573" s="196" t="s">
        <v>57</v>
      </c>
      <c r="D573" s="196" t="s">
        <v>60</v>
      </c>
      <c r="E573" s="197">
        <v>1</v>
      </c>
      <c r="F573" s="196"/>
      <c r="G573" s="196"/>
      <c r="H573" s="196" t="s">
        <v>121</v>
      </c>
      <c r="I573" s="196" t="s">
        <v>28</v>
      </c>
      <c r="J573" s="197">
        <v>1</v>
      </c>
      <c r="K573" s="196"/>
      <c r="L573" s="196"/>
      <c r="M573" s="196" t="s">
        <v>28</v>
      </c>
      <c r="N573" s="196" t="s">
        <v>48</v>
      </c>
      <c r="O573" s="197">
        <v>1</v>
      </c>
      <c r="P573" s="197" t="s">
        <v>1085</v>
      </c>
      <c r="Q573" s="523">
        <f>R573*(1-Bolts!$E$1179)</f>
        <v>187.4</v>
      </c>
      <c r="R573" s="150">
        <v>187.4</v>
      </c>
      <c r="S573" s="198">
        <f t="shared" si="262"/>
        <v>0</v>
      </c>
      <c r="T573" s="199"/>
      <c r="U573" s="199"/>
      <c r="V573" s="200"/>
      <c r="W573" s="199"/>
      <c r="X573" s="199"/>
      <c r="Y573" s="199"/>
      <c r="Z573" s="199"/>
      <c r="AA573" s="199"/>
      <c r="AB573" s="199"/>
      <c r="AC573" s="198">
        <f t="shared" si="263"/>
        <v>0</v>
      </c>
      <c r="AD573" s="177">
        <f t="shared" si="264"/>
        <v>0</v>
      </c>
      <c r="AE573" s="201">
        <v>8.99</v>
      </c>
      <c r="AF573" s="202">
        <f t="shared" si="265"/>
        <v>0</v>
      </c>
      <c r="AH573" s="180"/>
      <c r="AK573" s="1"/>
      <c r="AL573" s="1"/>
      <c r="AM573" s="1"/>
      <c r="AN573" s="1"/>
    </row>
    <row r="574" spans="1:40" ht="12.75" customHeight="1">
      <c r="A574" s="87"/>
      <c r="B574" s="195" t="s">
        <v>1086</v>
      </c>
      <c r="C574" s="196" t="s">
        <v>57</v>
      </c>
      <c r="D574" s="196" t="s">
        <v>60</v>
      </c>
      <c r="E574" s="197">
        <v>1</v>
      </c>
      <c r="F574" s="196"/>
      <c r="G574" s="196"/>
      <c r="H574" s="196" t="s">
        <v>121</v>
      </c>
      <c r="I574" s="196" t="s">
        <v>28</v>
      </c>
      <c r="J574" s="197">
        <v>1</v>
      </c>
      <c r="K574" s="196"/>
      <c r="L574" s="196"/>
      <c r="M574" s="196" t="s">
        <v>28</v>
      </c>
      <c r="N574" s="196" t="s">
        <v>48</v>
      </c>
      <c r="O574" s="197">
        <v>1</v>
      </c>
      <c r="P574" s="197" t="s">
        <v>1087</v>
      </c>
      <c r="Q574" s="523">
        <f>R574*(1-Bolts!$E$1179)</f>
        <v>196.4</v>
      </c>
      <c r="R574" s="150">
        <v>196.4</v>
      </c>
      <c r="S574" s="198">
        <f t="shared" si="262"/>
        <v>0</v>
      </c>
      <c r="T574" s="199"/>
      <c r="U574" s="199"/>
      <c r="V574" s="200"/>
      <c r="W574" s="199"/>
      <c r="X574" s="199"/>
      <c r="Y574" s="199"/>
      <c r="Z574" s="199"/>
      <c r="AA574" s="199"/>
      <c r="AB574" s="199"/>
      <c r="AC574" s="198">
        <f t="shared" si="263"/>
        <v>0</v>
      </c>
      <c r="AD574" s="177">
        <f t="shared" si="264"/>
        <v>0</v>
      </c>
      <c r="AE574" s="201">
        <v>9.51</v>
      </c>
      <c r="AF574" s="202">
        <f t="shared" si="265"/>
        <v>0</v>
      </c>
      <c r="AH574" s="180"/>
      <c r="AK574" s="1"/>
      <c r="AL574" s="1"/>
      <c r="AM574" s="1"/>
      <c r="AN574" s="1"/>
    </row>
    <row r="575" spans="1:40" ht="12.75" customHeight="1">
      <c r="A575" s="87"/>
      <c r="B575" s="195" t="s">
        <v>1088</v>
      </c>
      <c r="C575" s="196" t="s">
        <v>57</v>
      </c>
      <c r="D575" s="196" t="s">
        <v>60</v>
      </c>
      <c r="E575" s="197">
        <v>1</v>
      </c>
      <c r="F575" s="196"/>
      <c r="G575" s="196"/>
      <c r="H575" s="196" t="s">
        <v>121</v>
      </c>
      <c r="I575" s="196" t="s">
        <v>28</v>
      </c>
      <c r="J575" s="197">
        <v>1</v>
      </c>
      <c r="K575" s="196"/>
      <c r="L575" s="196"/>
      <c r="M575" s="196" t="s">
        <v>28</v>
      </c>
      <c r="N575" s="196" t="s">
        <v>48</v>
      </c>
      <c r="O575" s="197">
        <v>1</v>
      </c>
      <c r="P575" s="197" t="s">
        <v>1089</v>
      </c>
      <c r="Q575" s="523">
        <f>R575*(1-Bolts!$E$1179)</f>
        <v>193</v>
      </c>
      <c r="R575" s="150">
        <v>193</v>
      </c>
      <c r="S575" s="198">
        <f t="shared" si="262"/>
        <v>0</v>
      </c>
      <c r="T575" s="199"/>
      <c r="U575" s="199"/>
      <c r="V575" s="200"/>
      <c r="W575" s="199"/>
      <c r="X575" s="199"/>
      <c r="Y575" s="199"/>
      <c r="Z575" s="199"/>
      <c r="AA575" s="199"/>
      <c r="AB575" s="199"/>
      <c r="AC575" s="198">
        <f t="shared" si="263"/>
        <v>0</v>
      </c>
      <c r="AD575" s="177">
        <f t="shared" si="264"/>
        <v>0</v>
      </c>
      <c r="AE575" s="201">
        <v>9.32</v>
      </c>
      <c r="AF575" s="202">
        <f t="shared" si="265"/>
        <v>0</v>
      </c>
      <c r="AH575" s="180"/>
      <c r="AK575" s="1"/>
      <c r="AL575" s="1"/>
      <c r="AM575" s="1"/>
      <c r="AN575" s="1"/>
    </row>
    <row r="576" spans="1:40" ht="12.75" customHeight="1">
      <c r="A576" s="87"/>
      <c r="B576" s="185"/>
      <c r="C576" s="165"/>
      <c r="D576" s="165"/>
      <c r="E576" s="166"/>
      <c r="F576" s="165"/>
      <c r="G576" s="165"/>
      <c r="H576" s="165"/>
      <c r="I576" s="165"/>
      <c r="J576" s="166"/>
      <c r="K576" s="165"/>
      <c r="L576" s="165"/>
      <c r="M576" s="165"/>
      <c r="N576" s="165"/>
      <c r="O576" s="166"/>
      <c r="P576" s="166"/>
      <c r="Q576" s="522"/>
      <c r="R576" s="150"/>
      <c r="S576" s="186"/>
      <c r="T576" s="187"/>
      <c r="U576" s="187"/>
      <c r="V576" s="188"/>
      <c r="W576" s="187"/>
      <c r="X576" s="187"/>
      <c r="Y576" s="187"/>
      <c r="Z576" s="187"/>
      <c r="AA576" s="187"/>
      <c r="AB576" s="188"/>
      <c r="AC576" s="186"/>
      <c r="AD576" s="189"/>
      <c r="AE576" s="190"/>
      <c r="AF576" s="191"/>
      <c r="AH576" s="180"/>
      <c r="AK576" s="1"/>
      <c r="AL576" s="1"/>
      <c r="AM576" s="1"/>
      <c r="AN576" s="1"/>
    </row>
    <row r="577" spans="1:40" ht="12.75" customHeight="1">
      <c r="A577" s="87"/>
      <c r="B577" s="192" t="s">
        <v>1090</v>
      </c>
      <c r="C577" s="193" t="s">
        <v>57</v>
      </c>
      <c r="D577" s="193" t="s">
        <v>61</v>
      </c>
      <c r="E577" s="194">
        <v>4</v>
      </c>
      <c r="F577" s="193"/>
      <c r="G577" s="193"/>
      <c r="H577" s="193" t="s">
        <v>121</v>
      </c>
      <c r="I577" s="193" t="s">
        <v>29</v>
      </c>
      <c r="J577" s="194">
        <v>4</v>
      </c>
      <c r="K577" s="193"/>
      <c r="L577" s="193"/>
      <c r="M577" s="193" t="s">
        <v>29</v>
      </c>
      <c r="N577" s="193" t="s">
        <v>47</v>
      </c>
      <c r="O577" s="194">
        <v>4</v>
      </c>
      <c r="P577" s="194" t="s">
        <v>1091</v>
      </c>
      <c r="Q577" s="521">
        <f>R577*(1-Bolts!$E$1179)</f>
        <v>227.7</v>
      </c>
      <c r="R577" s="150">
        <v>227.7</v>
      </c>
      <c r="S577" s="168">
        <f>SUM(T577:AB577)</f>
        <v>0</v>
      </c>
      <c r="T577" s="211"/>
      <c r="U577" s="169"/>
      <c r="V577" s="170"/>
      <c r="W577" s="171"/>
      <c r="X577" s="172"/>
      <c r="Y577" s="173"/>
      <c r="Z577" s="174"/>
      <c r="AA577" s="175"/>
      <c r="AB577" s="176"/>
      <c r="AC577" s="168">
        <f>S577*O577</f>
        <v>0</v>
      </c>
      <c r="AD577" s="177">
        <f>S577*R577</f>
        <v>0</v>
      </c>
      <c r="AE577" s="178">
        <v>11.2</v>
      </c>
      <c r="AF577" s="179">
        <f>AE577*S577</f>
        <v>0</v>
      </c>
      <c r="AH577" s="180"/>
      <c r="AK577" s="1"/>
      <c r="AL577" s="1"/>
      <c r="AM577" s="1"/>
      <c r="AN577" s="1"/>
    </row>
    <row r="578" spans="1:40" ht="12.75" customHeight="1">
      <c r="A578" s="87"/>
      <c r="B578" s="185"/>
      <c r="C578" s="165"/>
      <c r="D578" s="165"/>
      <c r="E578" s="166"/>
      <c r="F578" s="165"/>
      <c r="G578" s="165"/>
      <c r="H578" s="165"/>
      <c r="I578" s="165"/>
      <c r="J578" s="166"/>
      <c r="K578" s="165"/>
      <c r="L578" s="165"/>
      <c r="M578" s="165"/>
      <c r="N578" s="165"/>
      <c r="O578" s="166"/>
      <c r="P578" s="166"/>
      <c r="Q578" s="522"/>
      <c r="R578" s="150"/>
      <c r="S578" s="186"/>
      <c r="T578" s="187"/>
      <c r="U578" s="187"/>
      <c r="V578" s="188"/>
      <c r="W578" s="187"/>
      <c r="X578" s="187"/>
      <c r="Y578" s="187"/>
      <c r="Z578" s="187"/>
      <c r="AA578" s="187"/>
      <c r="AB578" s="188"/>
      <c r="AC578" s="186"/>
      <c r="AD578" s="189"/>
      <c r="AE578" s="190"/>
      <c r="AF578" s="191"/>
      <c r="AH578" s="180"/>
      <c r="AK578" s="1"/>
      <c r="AL578" s="1"/>
      <c r="AM578" s="1"/>
      <c r="AN578" s="1"/>
    </row>
    <row r="579" spans="1:40" ht="12.75" customHeight="1">
      <c r="A579" s="87"/>
      <c r="B579" s="192" t="s">
        <v>1092</v>
      </c>
      <c r="C579" s="193" t="s">
        <v>57</v>
      </c>
      <c r="D579" s="193" t="s">
        <v>62</v>
      </c>
      <c r="E579" s="194">
        <v>5</v>
      </c>
      <c r="F579" s="193"/>
      <c r="G579" s="193"/>
      <c r="H579" s="193" t="s">
        <v>121</v>
      </c>
      <c r="I579" s="193" t="s">
        <v>29</v>
      </c>
      <c r="J579" s="194">
        <v>5</v>
      </c>
      <c r="K579" s="193"/>
      <c r="L579" s="193"/>
      <c r="M579" s="193" t="s">
        <v>29</v>
      </c>
      <c r="N579" s="193" t="s">
        <v>48</v>
      </c>
      <c r="O579" s="194">
        <v>5</v>
      </c>
      <c r="P579" s="194" t="s">
        <v>1093</v>
      </c>
      <c r="Q579" s="521">
        <f>R579*(1-Bolts!$E$1179)</f>
        <v>167.2</v>
      </c>
      <c r="R579" s="150">
        <v>167.2</v>
      </c>
      <c r="S579" s="168">
        <f>SUM(T579:AB579)</f>
        <v>0</v>
      </c>
      <c r="T579" s="211"/>
      <c r="U579" s="169"/>
      <c r="V579" s="170"/>
      <c r="W579" s="171"/>
      <c r="X579" s="172"/>
      <c r="Y579" s="173"/>
      <c r="Z579" s="174"/>
      <c r="AA579" s="175"/>
      <c r="AB579" s="176"/>
      <c r="AC579" s="168">
        <f>S579*O579</f>
        <v>0</v>
      </c>
      <c r="AD579" s="177">
        <f>S579*R579</f>
        <v>0</v>
      </c>
      <c r="AE579" s="178">
        <v>6.65</v>
      </c>
      <c r="AF579" s="179">
        <f>AE579*S579</f>
        <v>0</v>
      </c>
      <c r="AH579" s="180"/>
      <c r="AK579" s="1"/>
      <c r="AL579" s="1"/>
      <c r="AM579" s="1"/>
      <c r="AN579" s="1"/>
    </row>
    <row r="580" spans="1:40" ht="12.75" customHeight="1">
      <c r="A580" s="87"/>
      <c r="B580" s="185"/>
      <c r="C580" s="165"/>
      <c r="D580" s="165"/>
      <c r="E580" s="166"/>
      <c r="F580" s="165"/>
      <c r="G580" s="165"/>
      <c r="H580" s="165"/>
      <c r="I580" s="165"/>
      <c r="J580" s="166"/>
      <c r="K580" s="165"/>
      <c r="L580" s="165"/>
      <c r="M580" s="165"/>
      <c r="N580" s="165"/>
      <c r="O580" s="166"/>
      <c r="P580" s="166"/>
      <c r="Q580" s="522"/>
      <c r="R580" s="150"/>
      <c r="S580" s="186"/>
      <c r="T580" s="187"/>
      <c r="U580" s="187"/>
      <c r="V580" s="188"/>
      <c r="W580" s="187"/>
      <c r="X580" s="187"/>
      <c r="Y580" s="187"/>
      <c r="Z580" s="187"/>
      <c r="AA580" s="187"/>
      <c r="AB580" s="188"/>
      <c r="AC580" s="186"/>
      <c r="AD580" s="189"/>
      <c r="AE580" s="190"/>
      <c r="AF580" s="191"/>
      <c r="AH580" s="180"/>
      <c r="AK580" s="1"/>
      <c r="AL580" s="1"/>
      <c r="AM580" s="1"/>
      <c r="AN580" s="1"/>
    </row>
    <row r="581" spans="1:40" ht="12.75" customHeight="1">
      <c r="A581" s="87"/>
      <c r="B581" s="192" t="s">
        <v>1094</v>
      </c>
      <c r="C581" s="193" t="s">
        <v>57</v>
      </c>
      <c r="D581" s="193" t="s">
        <v>63</v>
      </c>
      <c r="E581" s="194">
        <v>5</v>
      </c>
      <c r="F581" s="193"/>
      <c r="G581" s="193"/>
      <c r="H581" s="193" t="s">
        <v>121</v>
      </c>
      <c r="I581" s="193" t="s">
        <v>29</v>
      </c>
      <c r="J581" s="194">
        <v>5</v>
      </c>
      <c r="K581" s="193"/>
      <c r="L581" s="193"/>
      <c r="M581" s="193" t="s">
        <v>29</v>
      </c>
      <c r="N581" s="193" t="s">
        <v>47</v>
      </c>
      <c r="O581" s="194">
        <v>5</v>
      </c>
      <c r="P581" s="194" t="s">
        <v>1095</v>
      </c>
      <c r="Q581" s="521">
        <f>R581*(1-Bolts!$E$1179)</f>
        <v>92.9</v>
      </c>
      <c r="R581" s="150">
        <v>92.9</v>
      </c>
      <c r="S581" s="168">
        <f t="shared" ref="S581:S592" si="266">SUM(T581:AB581)</f>
        <v>0</v>
      </c>
      <c r="T581" s="211"/>
      <c r="U581" s="169"/>
      <c r="V581" s="170"/>
      <c r="W581" s="171"/>
      <c r="X581" s="172"/>
      <c r="Y581" s="173"/>
      <c r="Z581" s="174"/>
      <c r="AA581" s="175"/>
      <c r="AB581" s="176"/>
      <c r="AC581" s="168">
        <f t="shared" ref="AC581:AC592" si="267">S581*O581</f>
        <v>0</v>
      </c>
      <c r="AD581" s="177">
        <f t="shared" ref="AD581:AD592" si="268">S581*R581</f>
        <v>0</v>
      </c>
      <c r="AE581" s="178">
        <v>3.6</v>
      </c>
      <c r="AF581" s="179">
        <f t="shared" ref="AF581:AF592" si="269">AE581*S581</f>
        <v>0</v>
      </c>
      <c r="AH581" s="180"/>
      <c r="AK581" s="1"/>
      <c r="AL581" s="1"/>
      <c r="AM581" s="1"/>
      <c r="AN581" s="1"/>
    </row>
    <row r="582" spans="1:40" ht="12.75" customHeight="1">
      <c r="A582" s="87"/>
      <c r="B582" s="192" t="s">
        <v>1096</v>
      </c>
      <c r="C582" s="193" t="s">
        <v>57</v>
      </c>
      <c r="D582" s="193" t="s">
        <v>63</v>
      </c>
      <c r="E582" s="194">
        <v>5</v>
      </c>
      <c r="F582" s="193"/>
      <c r="G582" s="193"/>
      <c r="H582" s="193" t="s">
        <v>121</v>
      </c>
      <c r="I582" s="193" t="s">
        <v>29</v>
      </c>
      <c r="J582" s="194">
        <v>5</v>
      </c>
      <c r="K582" s="193"/>
      <c r="L582" s="193"/>
      <c r="M582" s="193" t="s">
        <v>29</v>
      </c>
      <c r="N582" s="193" t="s">
        <v>48</v>
      </c>
      <c r="O582" s="194">
        <v>5</v>
      </c>
      <c r="P582" s="194" t="s">
        <v>1097</v>
      </c>
      <c r="Q582" s="521">
        <f>R582*(1-Bolts!$E$1179)</f>
        <v>86</v>
      </c>
      <c r="R582" s="150">
        <v>86</v>
      </c>
      <c r="S582" s="168">
        <f t="shared" si="266"/>
        <v>0</v>
      </c>
      <c r="T582" s="211"/>
      <c r="U582" s="169"/>
      <c r="V582" s="170"/>
      <c r="W582" s="171"/>
      <c r="X582" s="172"/>
      <c r="Y582" s="173"/>
      <c r="Z582" s="174"/>
      <c r="AA582" s="175"/>
      <c r="AB582" s="176"/>
      <c r="AC582" s="168">
        <f t="shared" si="267"/>
        <v>0</v>
      </c>
      <c r="AD582" s="177">
        <f t="shared" si="268"/>
        <v>0</v>
      </c>
      <c r="AE582" s="178">
        <v>3.15</v>
      </c>
      <c r="AF582" s="179">
        <f t="shared" si="269"/>
        <v>0</v>
      </c>
      <c r="AH582" s="180"/>
      <c r="AK582" s="1"/>
      <c r="AL582" s="1"/>
      <c r="AM582" s="1"/>
      <c r="AN582" s="1"/>
    </row>
    <row r="583" spans="1:40" ht="12.75" customHeight="1">
      <c r="A583" s="87"/>
      <c r="B583" s="192" t="s">
        <v>1098</v>
      </c>
      <c r="C583" s="193" t="s">
        <v>57</v>
      </c>
      <c r="D583" s="193" t="s">
        <v>63</v>
      </c>
      <c r="E583" s="194">
        <v>5</v>
      </c>
      <c r="F583" s="193"/>
      <c r="G583" s="193"/>
      <c r="H583" s="193" t="s">
        <v>121</v>
      </c>
      <c r="I583" s="193" t="s">
        <v>29</v>
      </c>
      <c r="J583" s="194">
        <v>5</v>
      </c>
      <c r="K583" s="193"/>
      <c r="L583" s="193"/>
      <c r="M583" s="193" t="s">
        <v>29</v>
      </c>
      <c r="N583" s="193" t="s">
        <v>48</v>
      </c>
      <c r="O583" s="194">
        <v>5</v>
      </c>
      <c r="P583" s="194" t="s">
        <v>1099</v>
      </c>
      <c r="Q583" s="521">
        <f>R583*(1-Bolts!$E$1179)</f>
        <v>93.9</v>
      </c>
      <c r="R583" s="150">
        <v>93.9</v>
      </c>
      <c r="S583" s="168">
        <f t="shared" si="266"/>
        <v>0</v>
      </c>
      <c r="T583" s="211"/>
      <c r="U583" s="169"/>
      <c r="V583" s="170"/>
      <c r="W583" s="171"/>
      <c r="X583" s="172"/>
      <c r="Y583" s="173"/>
      <c r="Z583" s="174"/>
      <c r="AA583" s="175"/>
      <c r="AB583" s="176"/>
      <c r="AC583" s="168">
        <f t="shared" si="267"/>
        <v>0</v>
      </c>
      <c r="AD583" s="177">
        <f t="shared" si="268"/>
        <v>0</v>
      </c>
      <c r="AE583" s="178">
        <v>3.6</v>
      </c>
      <c r="AF583" s="179">
        <f t="shared" si="269"/>
        <v>0</v>
      </c>
      <c r="AH583" s="180"/>
      <c r="AK583" s="1"/>
      <c r="AL583" s="1"/>
      <c r="AM583" s="1"/>
      <c r="AN583" s="1"/>
    </row>
    <row r="584" spans="1:40" ht="12.75" customHeight="1">
      <c r="A584" s="87"/>
      <c r="B584" s="192" t="s">
        <v>1100</v>
      </c>
      <c r="C584" s="193" t="s">
        <v>57</v>
      </c>
      <c r="D584" s="193" t="s">
        <v>63</v>
      </c>
      <c r="E584" s="194">
        <v>5</v>
      </c>
      <c r="F584" s="193"/>
      <c r="G584" s="193"/>
      <c r="H584" s="193" t="s">
        <v>121</v>
      </c>
      <c r="I584" s="193" t="s">
        <v>29</v>
      </c>
      <c r="J584" s="194">
        <v>5</v>
      </c>
      <c r="K584" s="193"/>
      <c r="L584" s="193"/>
      <c r="M584" s="193" t="s">
        <v>29</v>
      </c>
      <c r="N584" s="193" t="s">
        <v>48</v>
      </c>
      <c r="O584" s="194">
        <v>5</v>
      </c>
      <c r="P584" s="194" t="s">
        <v>1101</v>
      </c>
      <c r="Q584" s="521">
        <f>R584*(1-Bolts!$E$1179)</f>
        <v>113.9</v>
      </c>
      <c r="R584" s="150">
        <v>113.9</v>
      </c>
      <c r="S584" s="168">
        <f t="shared" si="266"/>
        <v>0</v>
      </c>
      <c r="T584" s="211"/>
      <c r="U584" s="169"/>
      <c r="V584" s="170"/>
      <c r="W584" s="171"/>
      <c r="X584" s="172"/>
      <c r="Y584" s="173"/>
      <c r="Z584" s="174"/>
      <c r="AA584" s="175"/>
      <c r="AB584" s="176"/>
      <c r="AC584" s="168">
        <f t="shared" si="267"/>
        <v>0</v>
      </c>
      <c r="AD584" s="177">
        <f t="shared" si="268"/>
        <v>0</v>
      </c>
      <c r="AE584" s="178">
        <v>4.8499999999999996</v>
      </c>
      <c r="AF584" s="179">
        <f t="shared" si="269"/>
        <v>0</v>
      </c>
      <c r="AH584" s="180"/>
      <c r="AK584" s="1"/>
      <c r="AL584" s="1"/>
      <c r="AM584" s="1"/>
      <c r="AN584" s="1"/>
    </row>
    <row r="585" spans="1:40" ht="12.75" customHeight="1">
      <c r="A585" s="87"/>
      <c r="B585" s="192" t="s">
        <v>1102</v>
      </c>
      <c r="C585" s="193" t="s">
        <v>57</v>
      </c>
      <c r="D585" s="193" t="s">
        <v>63</v>
      </c>
      <c r="E585" s="194">
        <v>5</v>
      </c>
      <c r="F585" s="193"/>
      <c r="G585" s="193"/>
      <c r="H585" s="193" t="s">
        <v>121</v>
      </c>
      <c r="I585" s="193" t="s">
        <v>29</v>
      </c>
      <c r="J585" s="194">
        <v>5</v>
      </c>
      <c r="K585" s="193"/>
      <c r="L585" s="193"/>
      <c r="M585" s="193" t="s">
        <v>29</v>
      </c>
      <c r="N585" s="193" t="s">
        <v>47</v>
      </c>
      <c r="O585" s="194">
        <v>5</v>
      </c>
      <c r="P585" s="194" t="s">
        <v>1103</v>
      </c>
      <c r="Q585" s="521">
        <f>R585*(1-Bolts!$E$1179)</f>
        <v>113.4</v>
      </c>
      <c r="R585" s="150">
        <v>113.4</v>
      </c>
      <c r="S585" s="168">
        <f t="shared" si="266"/>
        <v>0</v>
      </c>
      <c r="T585" s="211"/>
      <c r="U585" s="169"/>
      <c r="V585" s="170"/>
      <c r="W585" s="171"/>
      <c r="X585" s="172"/>
      <c r="Y585" s="173"/>
      <c r="Z585" s="174"/>
      <c r="AA585" s="175"/>
      <c r="AB585" s="176"/>
      <c r="AC585" s="168">
        <f t="shared" si="267"/>
        <v>0</v>
      </c>
      <c r="AD585" s="177">
        <f t="shared" si="268"/>
        <v>0</v>
      </c>
      <c r="AE585" s="178">
        <v>4.42</v>
      </c>
      <c r="AF585" s="179">
        <f t="shared" si="269"/>
        <v>0</v>
      </c>
      <c r="AH585" s="180"/>
      <c r="AK585" s="1"/>
      <c r="AL585" s="1"/>
      <c r="AM585" s="1"/>
      <c r="AN585" s="1"/>
    </row>
    <row r="586" spans="1:40" ht="12.75" customHeight="1">
      <c r="A586" s="87"/>
      <c r="B586" s="192" t="s">
        <v>1104</v>
      </c>
      <c r="C586" s="193" t="s">
        <v>57</v>
      </c>
      <c r="D586" s="193" t="s">
        <v>63</v>
      </c>
      <c r="E586" s="194">
        <v>5</v>
      </c>
      <c r="F586" s="193"/>
      <c r="G586" s="193"/>
      <c r="H586" s="193" t="s">
        <v>121</v>
      </c>
      <c r="I586" s="193" t="s">
        <v>29</v>
      </c>
      <c r="J586" s="194">
        <v>5</v>
      </c>
      <c r="K586" s="193"/>
      <c r="L586" s="193"/>
      <c r="M586" s="193" t="s">
        <v>29</v>
      </c>
      <c r="N586" s="193" t="s">
        <v>47</v>
      </c>
      <c r="O586" s="194">
        <v>5</v>
      </c>
      <c r="P586" s="194" t="s">
        <v>1105</v>
      </c>
      <c r="Q586" s="521">
        <f>R586*(1-Bolts!$E$1179)</f>
        <v>159.5</v>
      </c>
      <c r="R586" s="150">
        <v>159.5</v>
      </c>
      <c r="S586" s="168">
        <f t="shared" si="266"/>
        <v>0</v>
      </c>
      <c r="T586" s="211"/>
      <c r="U586" s="169"/>
      <c r="V586" s="170"/>
      <c r="W586" s="171"/>
      <c r="X586" s="172"/>
      <c r="Y586" s="173"/>
      <c r="Z586" s="174"/>
      <c r="AA586" s="175"/>
      <c r="AB586" s="176"/>
      <c r="AC586" s="168">
        <f t="shared" si="267"/>
        <v>0</v>
      </c>
      <c r="AD586" s="177">
        <f t="shared" si="268"/>
        <v>0</v>
      </c>
      <c r="AE586" s="178">
        <v>7.09</v>
      </c>
      <c r="AF586" s="179">
        <f t="shared" si="269"/>
        <v>0</v>
      </c>
      <c r="AH586" s="180"/>
      <c r="AK586" s="1"/>
      <c r="AL586" s="1"/>
      <c r="AM586" s="1"/>
      <c r="AN586" s="1"/>
    </row>
    <row r="587" spans="1:40" ht="12.75" customHeight="1">
      <c r="A587" s="87"/>
      <c r="B587" s="192" t="s">
        <v>1106</v>
      </c>
      <c r="C587" s="193" t="s">
        <v>57</v>
      </c>
      <c r="D587" s="193" t="s">
        <v>63</v>
      </c>
      <c r="E587" s="194">
        <v>5</v>
      </c>
      <c r="F587" s="193"/>
      <c r="G587" s="193"/>
      <c r="H587" s="193" t="s">
        <v>121</v>
      </c>
      <c r="I587" s="193" t="s">
        <v>31</v>
      </c>
      <c r="J587" s="194">
        <v>5</v>
      </c>
      <c r="K587" s="193"/>
      <c r="L587" s="193"/>
      <c r="M587" s="193" t="s">
        <v>31</v>
      </c>
      <c r="N587" s="193" t="s">
        <v>48</v>
      </c>
      <c r="O587" s="194">
        <v>5</v>
      </c>
      <c r="P587" s="194" t="s">
        <v>1107</v>
      </c>
      <c r="Q587" s="521">
        <f>R587*(1-Bolts!$E$1179)</f>
        <v>97.6</v>
      </c>
      <c r="R587" s="150">
        <v>97.6</v>
      </c>
      <c r="S587" s="168">
        <f t="shared" si="266"/>
        <v>0</v>
      </c>
      <c r="T587" s="211"/>
      <c r="U587" s="169"/>
      <c r="V587" s="170"/>
      <c r="W587" s="171"/>
      <c r="X587" s="172"/>
      <c r="Y587" s="173"/>
      <c r="Z587" s="174"/>
      <c r="AA587" s="175"/>
      <c r="AB587" s="176"/>
      <c r="AC587" s="168">
        <f t="shared" si="267"/>
        <v>0</v>
      </c>
      <c r="AD587" s="177">
        <f t="shared" si="268"/>
        <v>0</v>
      </c>
      <c r="AE587" s="178">
        <v>3.5</v>
      </c>
      <c r="AF587" s="179">
        <f t="shared" si="269"/>
        <v>0</v>
      </c>
      <c r="AH587" s="180"/>
      <c r="AK587" s="1"/>
      <c r="AL587" s="1"/>
      <c r="AM587" s="1"/>
      <c r="AN587" s="1"/>
    </row>
    <row r="588" spans="1:40" ht="12.75" customHeight="1">
      <c r="A588" s="87"/>
      <c r="B588" s="192" t="s">
        <v>1108</v>
      </c>
      <c r="C588" s="193" t="s">
        <v>57</v>
      </c>
      <c r="D588" s="193" t="s">
        <v>63</v>
      </c>
      <c r="E588" s="194">
        <v>5</v>
      </c>
      <c r="F588" s="193"/>
      <c r="G588" s="193"/>
      <c r="H588" s="193" t="s">
        <v>121</v>
      </c>
      <c r="I588" s="193" t="s">
        <v>29</v>
      </c>
      <c r="J588" s="194">
        <v>5</v>
      </c>
      <c r="K588" s="193"/>
      <c r="L588" s="193"/>
      <c r="M588" s="193" t="s">
        <v>29</v>
      </c>
      <c r="N588" s="193" t="s">
        <v>47</v>
      </c>
      <c r="O588" s="194">
        <v>5</v>
      </c>
      <c r="P588" s="194" t="s">
        <v>1109</v>
      </c>
      <c r="Q588" s="521">
        <f>R588*(1-Bolts!$E$1179)</f>
        <v>144</v>
      </c>
      <c r="R588" s="150">
        <v>144</v>
      </c>
      <c r="S588" s="168">
        <f t="shared" si="266"/>
        <v>0</v>
      </c>
      <c r="T588" s="211"/>
      <c r="U588" s="169"/>
      <c r="V588" s="170"/>
      <c r="W588" s="171"/>
      <c r="X588" s="172"/>
      <c r="Y588" s="173"/>
      <c r="Z588" s="174"/>
      <c r="AA588" s="175"/>
      <c r="AB588" s="176"/>
      <c r="AC588" s="168">
        <f t="shared" si="267"/>
        <v>0</v>
      </c>
      <c r="AD588" s="177">
        <f t="shared" si="268"/>
        <v>0</v>
      </c>
      <c r="AE588" s="178">
        <v>6.19</v>
      </c>
      <c r="AF588" s="179">
        <f t="shared" si="269"/>
        <v>0</v>
      </c>
      <c r="AH588" s="180"/>
      <c r="AK588" s="1"/>
      <c r="AL588" s="1"/>
      <c r="AM588" s="1"/>
      <c r="AN588" s="1"/>
    </row>
    <row r="589" spans="1:40" ht="12.75" customHeight="1">
      <c r="A589" s="87"/>
      <c r="B589" s="192" t="s">
        <v>1110</v>
      </c>
      <c r="C589" s="193" t="s">
        <v>57</v>
      </c>
      <c r="D589" s="193" t="s">
        <v>63</v>
      </c>
      <c r="E589" s="194">
        <v>5</v>
      </c>
      <c r="F589" s="193"/>
      <c r="G589" s="193"/>
      <c r="H589" s="193" t="s">
        <v>121</v>
      </c>
      <c r="I589" s="193" t="s">
        <v>37</v>
      </c>
      <c r="J589" s="194">
        <v>5</v>
      </c>
      <c r="K589" s="193"/>
      <c r="L589" s="193"/>
      <c r="M589" s="193" t="s">
        <v>37</v>
      </c>
      <c r="N589" s="193" t="s">
        <v>49</v>
      </c>
      <c r="O589" s="194">
        <v>5</v>
      </c>
      <c r="P589" s="194" t="s">
        <v>1111</v>
      </c>
      <c r="Q589" s="521">
        <f>R589*(1-Bolts!$E$1179)</f>
        <v>140.5</v>
      </c>
      <c r="R589" s="150">
        <v>140.5</v>
      </c>
      <c r="S589" s="168">
        <f t="shared" si="266"/>
        <v>0</v>
      </c>
      <c r="T589" s="211"/>
      <c r="U589" s="169"/>
      <c r="V589" s="170"/>
      <c r="W589" s="171"/>
      <c r="X589" s="172"/>
      <c r="Y589" s="173"/>
      <c r="Z589" s="174"/>
      <c r="AA589" s="175"/>
      <c r="AB589" s="176"/>
      <c r="AC589" s="168">
        <f t="shared" si="267"/>
        <v>0</v>
      </c>
      <c r="AD589" s="177">
        <f t="shared" si="268"/>
        <v>0</v>
      </c>
      <c r="AE589" s="178">
        <v>5.99</v>
      </c>
      <c r="AF589" s="179">
        <f t="shared" si="269"/>
        <v>0</v>
      </c>
      <c r="AH589" s="180"/>
      <c r="AK589" s="1"/>
      <c r="AL589" s="1"/>
      <c r="AM589" s="1"/>
      <c r="AN589" s="1"/>
    </row>
    <row r="590" spans="1:40" ht="12.75" customHeight="1">
      <c r="A590" s="87"/>
      <c r="B590" s="192" t="s">
        <v>1112</v>
      </c>
      <c r="C590" s="193" t="s">
        <v>57</v>
      </c>
      <c r="D590" s="193" t="s">
        <v>63</v>
      </c>
      <c r="E590" s="194">
        <v>5</v>
      </c>
      <c r="F590" s="193"/>
      <c r="G590" s="193"/>
      <c r="H590" s="193" t="s">
        <v>121</v>
      </c>
      <c r="I590" s="193" t="s">
        <v>31</v>
      </c>
      <c r="J590" s="194">
        <v>5</v>
      </c>
      <c r="K590" s="193"/>
      <c r="L590" s="193"/>
      <c r="M590" s="193" t="s">
        <v>31</v>
      </c>
      <c r="N590" s="193" t="s">
        <v>48</v>
      </c>
      <c r="O590" s="194">
        <v>5</v>
      </c>
      <c r="P590" s="194" t="s">
        <v>1113</v>
      </c>
      <c r="Q590" s="521">
        <f>R590*(1-Bolts!$E$1179)</f>
        <v>124.9</v>
      </c>
      <c r="R590" s="150">
        <v>124.9</v>
      </c>
      <c r="S590" s="168">
        <f t="shared" si="266"/>
        <v>0</v>
      </c>
      <c r="T590" s="211"/>
      <c r="U590" s="169"/>
      <c r="V590" s="170"/>
      <c r="W590" s="171"/>
      <c r="X590" s="172"/>
      <c r="Y590" s="173"/>
      <c r="Z590" s="174"/>
      <c r="AA590" s="175"/>
      <c r="AB590" s="176"/>
      <c r="AC590" s="168">
        <f t="shared" si="267"/>
        <v>0</v>
      </c>
      <c r="AD590" s="177">
        <f t="shared" si="268"/>
        <v>0</v>
      </c>
      <c r="AE590" s="178">
        <v>5.08</v>
      </c>
      <c r="AF590" s="179">
        <f t="shared" si="269"/>
        <v>0</v>
      </c>
      <c r="AH590" s="180"/>
      <c r="AK590" s="1"/>
      <c r="AL590" s="1"/>
      <c r="AM590" s="1"/>
      <c r="AN590" s="1"/>
    </row>
    <row r="591" spans="1:40" ht="12.75" customHeight="1">
      <c r="A591" s="87"/>
      <c r="B591" s="192" t="s">
        <v>1114</v>
      </c>
      <c r="C591" s="193" t="s">
        <v>57</v>
      </c>
      <c r="D591" s="193" t="s">
        <v>63</v>
      </c>
      <c r="E591" s="194">
        <v>10</v>
      </c>
      <c r="F591" s="193"/>
      <c r="G591" s="193"/>
      <c r="H591" s="193" t="s">
        <v>121</v>
      </c>
      <c r="I591" s="193" t="s">
        <v>30</v>
      </c>
      <c r="J591" s="194">
        <v>10</v>
      </c>
      <c r="K591" s="193"/>
      <c r="L591" s="193"/>
      <c r="M591" s="193" t="s">
        <v>30</v>
      </c>
      <c r="N591" s="193" t="s">
        <v>47</v>
      </c>
      <c r="O591" s="194">
        <v>10</v>
      </c>
      <c r="P591" s="194" t="s">
        <v>1115</v>
      </c>
      <c r="Q591" s="521">
        <f>R591*(1-Bolts!$E$1179)</f>
        <v>199.1</v>
      </c>
      <c r="R591" s="150">
        <v>199.1</v>
      </c>
      <c r="S591" s="168">
        <f t="shared" si="266"/>
        <v>0</v>
      </c>
      <c r="T591" s="211"/>
      <c r="U591" s="169"/>
      <c r="V591" s="170"/>
      <c r="W591" s="171"/>
      <c r="X591" s="172"/>
      <c r="Y591" s="173"/>
      <c r="Z591" s="174"/>
      <c r="AA591" s="175"/>
      <c r="AB591" s="176"/>
      <c r="AC591" s="168">
        <f t="shared" si="267"/>
        <v>0</v>
      </c>
      <c r="AD591" s="177">
        <f t="shared" si="268"/>
        <v>0</v>
      </c>
      <c r="AE591" s="178">
        <v>8.65</v>
      </c>
      <c r="AF591" s="179">
        <f t="shared" si="269"/>
        <v>0</v>
      </c>
      <c r="AH591" s="180"/>
      <c r="AK591" s="1"/>
      <c r="AL591" s="1"/>
      <c r="AM591" s="1"/>
      <c r="AN591" s="1"/>
    </row>
    <row r="592" spans="1:40" ht="12.75" customHeight="1">
      <c r="A592" s="87"/>
      <c r="B592" s="192" t="s">
        <v>1116</v>
      </c>
      <c r="C592" s="193" t="s">
        <v>57</v>
      </c>
      <c r="D592" s="193" t="s">
        <v>63</v>
      </c>
      <c r="E592" s="194">
        <v>6</v>
      </c>
      <c r="F592" s="193"/>
      <c r="G592" s="193"/>
      <c r="H592" s="193" t="s">
        <v>121</v>
      </c>
      <c r="I592" s="193" t="s">
        <v>29</v>
      </c>
      <c r="J592" s="194">
        <v>6</v>
      </c>
      <c r="K592" s="193"/>
      <c r="L592" s="193"/>
      <c r="M592" s="193" t="s">
        <v>29</v>
      </c>
      <c r="N592" s="193" t="s">
        <v>47</v>
      </c>
      <c r="O592" s="194">
        <v>6</v>
      </c>
      <c r="P592" s="194" t="s">
        <v>1117</v>
      </c>
      <c r="Q592" s="521">
        <f>R592*(1-Bolts!$E$1179)</f>
        <v>172.3</v>
      </c>
      <c r="R592" s="150">
        <v>172.3</v>
      </c>
      <c r="S592" s="168">
        <f t="shared" si="266"/>
        <v>0</v>
      </c>
      <c r="T592" s="211"/>
      <c r="U592" s="169"/>
      <c r="V592" s="170"/>
      <c r="W592" s="171"/>
      <c r="X592" s="172"/>
      <c r="Y592" s="173"/>
      <c r="Z592" s="174"/>
      <c r="AA592" s="175"/>
      <c r="AB592" s="176"/>
      <c r="AC592" s="168">
        <f t="shared" si="267"/>
        <v>0</v>
      </c>
      <c r="AD592" s="177">
        <f t="shared" si="268"/>
        <v>0</v>
      </c>
      <c r="AE592" s="178">
        <v>7.52</v>
      </c>
      <c r="AF592" s="179">
        <f t="shared" si="269"/>
        <v>0</v>
      </c>
      <c r="AH592" s="180"/>
      <c r="AK592" s="1"/>
      <c r="AL592" s="1"/>
      <c r="AM592" s="1"/>
      <c r="AN592" s="1"/>
    </row>
    <row r="593" spans="1:40" ht="12.75" customHeight="1">
      <c r="A593" s="87"/>
      <c r="B593" s="185"/>
      <c r="C593" s="165"/>
      <c r="D593" s="165"/>
      <c r="E593" s="166"/>
      <c r="F593" s="165"/>
      <c r="G593" s="165"/>
      <c r="H593" s="165"/>
      <c r="I593" s="165"/>
      <c r="J593" s="166"/>
      <c r="K593" s="165"/>
      <c r="L593" s="165"/>
      <c r="M593" s="165"/>
      <c r="N593" s="165"/>
      <c r="O593" s="166"/>
      <c r="P593" s="166"/>
      <c r="Q593" s="522"/>
      <c r="R593" s="150"/>
      <c r="S593" s="186"/>
      <c r="T593" s="187"/>
      <c r="U593" s="187"/>
      <c r="V593" s="188"/>
      <c r="W593" s="187"/>
      <c r="X593" s="187"/>
      <c r="Y593" s="187"/>
      <c r="Z593" s="187"/>
      <c r="AA593" s="187"/>
      <c r="AB593" s="188"/>
      <c r="AC593" s="186"/>
      <c r="AD593" s="189"/>
      <c r="AE593" s="190"/>
      <c r="AF593" s="191"/>
      <c r="AH593" s="180"/>
      <c r="AK593" s="1"/>
      <c r="AL593" s="1"/>
      <c r="AM593" s="1"/>
      <c r="AN593" s="1"/>
    </row>
    <row r="594" spans="1:40" ht="12.75" customHeight="1">
      <c r="A594" s="87"/>
      <c r="B594" s="192" t="s">
        <v>1118</v>
      </c>
      <c r="C594" s="193" t="s">
        <v>57</v>
      </c>
      <c r="D594" s="193" t="s">
        <v>48</v>
      </c>
      <c r="E594" s="194">
        <v>10</v>
      </c>
      <c r="F594" s="193"/>
      <c r="G594" s="193"/>
      <c r="H594" s="193" t="s">
        <v>121</v>
      </c>
      <c r="I594" s="193" t="s">
        <v>31</v>
      </c>
      <c r="J594" s="194">
        <v>10</v>
      </c>
      <c r="K594" s="193"/>
      <c r="L594" s="193"/>
      <c r="M594" s="193" t="s">
        <v>31</v>
      </c>
      <c r="N594" s="193" t="s">
        <v>48</v>
      </c>
      <c r="O594" s="194">
        <v>10</v>
      </c>
      <c r="P594" s="194" t="s">
        <v>1119</v>
      </c>
      <c r="Q594" s="521">
        <f>R594*(1-Bolts!$E$1179)</f>
        <v>86</v>
      </c>
      <c r="R594" s="150">
        <v>86</v>
      </c>
      <c r="S594" s="168">
        <f t="shared" ref="S594:S612" si="270">SUM(T594:AB594)</f>
        <v>0</v>
      </c>
      <c r="T594" s="211"/>
      <c r="U594" s="169"/>
      <c r="V594" s="170"/>
      <c r="W594" s="171"/>
      <c r="X594" s="172"/>
      <c r="Y594" s="173"/>
      <c r="Z594" s="174"/>
      <c r="AA594" s="175"/>
      <c r="AB594" s="176"/>
      <c r="AC594" s="168">
        <f t="shared" ref="AC594:AC612" si="271">S594*O594</f>
        <v>0</v>
      </c>
      <c r="AD594" s="177">
        <f t="shared" ref="AD594:AD612" si="272">S594*R594</f>
        <v>0</v>
      </c>
      <c r="AE594" s="178">
        <v>2.4500000000000002</v>
      </c>
      <c r="AF594" s="179">
        <f t="shared" ref="AF594:AF612" si="273">AE594*S594</f>
        <v>0</v>
      </c>
      <c r="AH594" s="180"/>
      <c r="AK594" s="1"/>
      <c r="AL594" s="1"/>
      <c r="AM594" s="1"/>
      <c r="AN594" s="1"/>
    </row>
    <row r="595" spans="1:40" ht="12.75" customHeight="1">
      <c r="A595" s="87"/>
      <c r="B595" s="192" t="s">
        <v>1120</v>
      </c>
      <c r="C595" s="193" t="s">
        <v>57</v>
      </c>
      <c r="D595" s="193" t="s">
        <v>48</v>
      </c>
      <c r="E595" s="194">
        <v>10</v>
      </c>
      <c r="F595" s="193"/>
      <c r="G595" s="193"/>
      <c r="H595" s="193" t="s">
        <v>121</v>
      </c>
      <c r="I595" s="193" t="s">
        <v>30</v>
      </c>
      <c r="J595" s="194">
        <v>10</v>
      </c>
      <c r="K595" s="193"/>
      <c r="L595" s="193"/>
      <c r="M595" s="193" t="s">
        <v>30</v>
      </c>
      <c r="N595" s="193" t="s">
        <v>47</v>
      </c>
      <c r="O595" s="194">
        <v>10</v>
      </c>
      <c r="P595" s="194" t="s">
        <v>1121</v>
      </c>
      <c r="Q595" s="521">
        <f>R595*(1-Bolts!$E$1179)</f>
        <v>103</v>
      </c>
      <c r="R595" s="150">
        <v>103</v>
      </c>
      <c r="S595" s="168">
        <f t="shared" si="270"/>
        <v>0</v>
      </c>
      <c r="T595" s="211"/>
      <c r="U595" s="169"/>
      <c r="V595" s="170"/>
      <c r="W595" s="171"/>
      <c r="X595" s="172"/>
      <c r="Y595" s="173"/>
      <c r="Z595" s="174"/>
      <c r="AA595" s="175"/>
      <c r="AB595" s="176"/>
      <c r="AC595" s="168">
        <f t="shared" si="271"/>
        <v>0</v>
      </c>
      <c r="AD595" s="177">
        <f t="shared" si="272"/>
        <v>0</v>
      </c>
      <c r="AE595" s="178">
        <v>3.55</v>
      </c>
      <c r="AF595" s="179">
        <f t="shared" si="273"/>
        <v>0</v>
      </c>
      <c r="AH595" s="180"/>
      <c r="AK595" s="1"/>
      <c r="AL595" s="1"/>
      <c r="AM595" s="1"/>
      <c r="AN595" s="1"/>
    </row>
    <row r="596" spans="1:40" ht="12.75" customHeight="1">
      <c r="A596" s="87"/>
      <c r="B596" s="192" t="s">
        <v>1122</v>
      </c>
      <c r="C596" s="193" t="s">
        <v>57</v>
      </c>
      <c r="D596" s="193" t="s">
        <v>48</v>
      </c>
      <c r="E596" s="194">
        <v>10</v>
      </c>
      <c r="F596" s="193"/>
      <c r="G596" s="193"/>
      <c r="H596" s="193" t="s">
        <v>121</v>
      </c>
      <c r="I596" s="193" t="s">
        <v>31</v>
      </c>
      <c r="J596" s="194">
        <v>10</v>
      </c>
      <c r="K596" s="193"/>
      <c r="L596" s="193"/>
      <c r="M596" s="193" t="s">
        <v>31</v>
      </c>
      <c r="N596" s="193" t="s">
        <v>48</v>
      </c>
      <c r="O596" s="194">
        <v>10</v>
      </c>
      <c r="P596" s="194" t="s">
        <v>1123</v>
      </c>
      <c r="Q596" s="521">
        <f>R596*(1-Bolts!$E$1179)</f>
        <v>78.3</v>
      </c>
      <c r="R596" s="150">
        <v>78.3</v>
      </c>
      <c r="S596" s="168">
        <f t="shared" si="270"/>
        <v>0</v>
      </c>
      <c r="T596" s="211"/>
      <c r="U596" s="169"/>
      <c r="V596" s="170"/>
      <c r="W596" s="171"/>
      <c r="X596" s="172"/>
      <c r="Y596" s="173"/>
      <c r="Z596" s="174"/>
      <c r="AA596" s="175"/>
      <c r="AB596" s="176"/>
      <c r="AC596" s="168">
        <f t="shared" si="271"/>
        <v>0</v>
      </c>
      <c r="AD596" s="177">
        <f t="shared" si="272"/>
        <v>0</v>
      </c>
      <c r="AE596" s="178">
        <v>1.95</v>
      </c>
      <c r="AF596" s="179">
        <f t="shared" si="273"/>
        <v>0</v>
      </c>
      <c r="AH596" s="180"/>
      <c r="AK596" s="1"/>
      <c r="AL596" s="1"/>
      <c r="AM596" s="1"/>
      <c r="AN596" s="1"/>
    </row>
    <row r="597" spans="1:40" ht="12.75" customHeight="1">
      <c r="A597" s="87"/>
      <c r="B597" s="192" t="s">
        <v>1124</v>
      </c>
      <c r="C597" s="193" t="s">
        <v>57</v>
      </c>
      <c r="D597" s="193" t="s">
        <v>48</v>
      </c>
      <c r="E597" s="194">
        <v>10</v>
      </c>
      <c r="F597" s="193"/>
      <c r="G597" s="193"/>
      <c r="H597" s="193" t="s">
        <v>121</v>
      </c>
      <c r="I597" s="193" t="s">
        <v>30</v>
      </c>
      <c r="J597" s="194">
        <v>10</v>
      </c>
      <c r="K597" s="193"/>
      <c r="L597" s="193"/>
      <c r="M597" s="193" t="s">
        <v>30</v>
      </c>
      <c r="N597" s="193" t="s">
        <v>47</v>
      </c>
      <c r="O597" s="194">
        <v>10</v>
      </c>
      <c r="P597" s="194" t="s">
        <v>1125</v>
      </c>
      <c r="Q597" s="521">
        <f>R597*(1-Bolts!$E$1179)</f>
        <v>145.30000000000001</v>
      </c>
      <c r="R597" s="150">
        <v>145.30000000000001</v>
      </c>
      <c r="S597" s="168">
        <f t="shared" si="270"/>
        <v>0</v>
      </c>
      <c r="T597" s="211"/>
      <c r="U597" s="169"/>
      <c r="V597" s="170"/>
      <c r="W597" s="171"/>
      <c r="X597" s="172"/>
      <c r="Y597" s="173"/>
      <c r="Z597" s="174"/>
      <c r="AA597" s="175"/>
      <c r="AB597" s="176"/>
      <c r="AC597" s="168">
        <f t="shared" si="271"/>
        <v>0</v>
      </c>
      <c r="AD597" s="177">
        <f t="shared" si="272"/>
        <v>0</v>
      </c>
      <c r="AE597" s="178">
        <v>5.54</v>
      </c>
      <c r="AF597" s="179">
        <f t="shared" si="273"/>
        <v>0</v>
      </c>
      <c r="AH597" s="180"/>
      <c r="AK597" s="1"/>
      <c r="AL597" s="1"/>
      <c r="AM597" s="1"/>
      <c r="AN597" s="1"/>
    </row>
    <row r="598" spans="1:40" ht="12.75" customHeight="1">
      <c r="A598" s="87"/>
      <c r="B598" s="192" t="s">
        <v>1126</v>
      </c>
      <c r="C598" s="193" t="s">
        <v>57</v>
      </c>
      <c r="D598" s="193" t="s">
        <v>48</v>
      </c>
      <c r="E598" s="194">
        <v>10</v>
      </c>
      <c r="F598" s="193"/>
      <c r="G598" s="193"/>
      <c r="H598" s="193" t="s">
        <v>121</v>
      </c>
      <c r="I598" s="193" t="s">
        <v>30</v>
      </c>
      <c r="J598" s="194">
        <v>10</v>
      </c>
      <c r="K598" s="193"/>
      <c r="L598" s="193"/>
      <c r="M598" s="193" t="s">
        <v>30</v>
      </c>
      <c r="N598" s="193" t="s">
        <v>47</v>
      </c>
      <c r="O598" s="194">
        <v>10</v>
      </c>
      <c r="P598" s="194" t="s">
        <v>1127</v>
      </c>
      <c r="Q598" s="521">
        <f>R598*(1-Bolts!$E$1179)</f>
        <v>114</v>
      </c>
      <c r="R598" s="150">
        <v>114</v>
      </c>
      <c r="S598" s="168">
        <f t="shared" si="270"/>
        <v>0</v>
      </c>
      <c r="T598" s="211"/>
      <c r="U598" s="169"/>
      <c r="V598" s="170"/>
      <c r="W598" s="171"/>
      <c r="X598" s="172"/>
      <c r="Y598" s="173"/>
      <c r="Z598" s="174"/>
      <c r="AA598" s="175"/>
      <c r="AB598" s="176"/>
      <c r="AC598" s="168">
        <f t="shared" si="271"/>
        <v>0</v>
      </c>
      <c r="AD598" s="177">
        <f t="shared" si="272"/>
        <v>0</v>
      </c>
      <c r="AE598" s="178">
        <v>3.7</v>
      </c>
      <c r="AF598" s="179">
        <f t="shared" si="273"/>
        <v>0</v>
      </c>
      <c r="AH598" s="180"/>
      <c r="AK598" s="1"/>
      <c r="AL598" s="1"/>
      <c r="AM598" s="1"/>
      <c r="AN598" s="1"/>
    </row>
    <row r="599" spans="1:40" ht="12.75" customHeight="1">
      <c r="A599" s="87"/>
      <c r="B599" s="192" t="s">
        <v>1128</v>
      </c>
      <c r="C599" s="193" t="s">
        <v>57</v>
      </c>
      <c r="D599" s="193" t="s">
        <v>48</v>
      </c>
      <c r="E599" s="194">
        <v>10</v>
      </c>
      <c r="F599" s="193"/>
      <c r="G599" s="193"/>
      <c r="H599" s="193" t="s">
        <v>121</v>
      </c>
      <c r="I599" s="193" t="s">
        <v>30</v>
      </c>
      <c r="J599" s="194">
        <v>10</v>
      </c>
      <c r="K599" s="193"/>
      <c r="L599" s="193"/>
      <c r="M599" s="193" t="s">
        <v>30</v>
      </c>
      <c r="N599" s="193" t="s">
        <v>47</v>
      </c>
      <c r="O599" s="194">
        <v>10</v>
      </c>
      <c r="P599" s="194" t="s">
        <v>1129</v>
      </c>
      <c r="Q599" s="521">
        <f>R599*(1-Bolts!$E$1179)</f>
        <v>120.3</v>
      </c>
      <c r="R599" s="150">
        <v>120.3</v>
      </c>
      <c r="S599" s="168">
        <f t="shared" si="270"/>
        <v>0</v>
      </c>
      <c r="T599" s="211"/>
      <c r="U599" s="169"/>
      <c r="V599" s="170"/>
      <c r="W599" s="171"/>
      <c r="X599" s="172"/>
      <c r="Y599" s="173"/>
      <c r="Z599" s="174"/>
      <c r="AA599" s="175"/>
      <c r="AB599" s="176"/>
      <c r="AC599" s="168">
        <f t="shared" si="271"/>
        <v>0</v>
      </c>
      <c r="AD599" s="177">
        <f t="shared" si="272"/>
        <v>0</v>
      </c>
      <c r="AE599" s="178">
        <v>4.07</v>
      </c>
      <c r="AF599" s="179">
        <f t="shared" si="273"/>
        <v>0</v>
      </c>
      <c r="AH599" s="180"/>
      <c r="AK599" s="1"/>
      <c r="AL599" s="1"/>
      <c r="AM599" s="1"/>
      <c r="AN599" s="1"/>
    </row>
    <row r="600" spans="1:40" ht="12.75" customHeight="1">
      <c r="A600" s="87"/>
      <c r="B600" s="192" t="s">
        <v>1130</v>
      </c>
      <c r="C600" s="193" t="s">
        <v>57</v>
      </c>
      <c r="D600" s="193" t="s">
        <v>48</v>
      </c>
      <c r="E600" s="194">
        <v>10</v>
      </c>
      <c r="F600" s="193"/>
      <c r="G600" s="193"/>
      <c r="H600" s="193" t="s">
        <v>121</v>
      </c>
      <c r="I600" s="193" t="s">
        <v>30</v>
      </c>
      <c r="J600" s="194">
        <v>10</v>
      </c>
      <c r="K600" s="193"/>
      <c r="L600" s="193"/>
      <c r="M600" s="193" t="s">
        <v>30</v>
      </c>
      <c r="N600" s="193" t="s">
        <v>47</v>
      </c>
      <c r="O600" s="194">
        <v>10</v>
      </c>
      <c r="P600" s="194" t="s">
        <v>1131</v>
      </c>
      <c r="Q600" s="521">
        <f>R600*(1-Bolts!$E$1179)</f>
        <v>154.19999999999999</v>
      </c>
      <c r="R600" s="150">
        <v>154.19999999999999</v>
      </c>
      <c r="S600" s="168">
        <f t="shared" si="270"/>
        <v>0</v>
      </c>
      <c r="T600" s="211"/>
      <c r="U600" s="169"/>
      <c r="V600" s="170"/>
      <c r="W600" s="171"/>
      <c r="X600" s="172"/>
      <c r="Y600" s="173"/>
      <c r="Z600" s="174"/>
      <c r="AA600" s="175"/>
      <c r="AB600" s="176"/>
      <c r="AC600" s="168">
        <f t="shared" si="271"/>
        <v>0</v>
      </c>
      <c r="AD600" s="177">
        <f t="shared" si="272"/>
        <v>0</v>
      </c>
      <c r="AE600" s="178">
        <v>6.04</v>
      </c>
      <c r="AF600" s="179">
        <f t="shared" si="273"/>
        <v>0</v>
      </c>
      <c r="AH600" s="180"/>
      <c r="AK600" s="1"/>
      <c r="AL600" s="1"/>
      <c r="AM600" s="1"/>
      <c r="AN600" s="1"/>
    </row>
    <row r="601" spans="1:40" ht="12.75" customHeight="1">
      <c r="A601" s="87"/>
      <c r="B601" s="192" t="s">
        <v>1132</v>
      </c>
      <c r="C601" s="193" t="s">
        <v>57</v>
      </c>
      <c r="D601" s="193" t="s">
        <v>48</v>
      </c>
      <c r="E601" s="194">
        <v>10</v>
      </c>
      <c r="F601" s="193"/>
      <c r="G601" s="193"/>
      <c r="H601" s="193" t="s">
        <v>121</v>
      </c>
      <c r="I601" s="193" t="s">
        <v>30</v>
      </c>
      <c r="J601" s="194">
        <v>10</v>
      </c>
      <c r="K601" s="193"/>
      <c r="L601" s="193"/>
      <c r="M601" s="193" t="s">
        <v>30</v>
      </c>
      <c r="N601" s="193" t="s">
        <v>47</v>
      </c>
      <c r="O601" s="194">
        <v>10</v>
      </c>
      <c r="P601" s="194" t="s">
        <v>1133</v>
      </c>
      <c r="Q601" s="521">
        <f>R601*(1-Bolts!$E$1179)</f>
        <v>102.9</v>
      </c>
      <c r="R601" s="150">
        <v>102.9</v>
      </c>
      <c r="S601" s="168">
        <f t="shared" si="270"/>
        <v>0</v>
      </c>
      <c r="T601" s="211"/>
      <c r="U601" s="169"/>
      <c r="V601" s="170"/>
      <c r="W601" s="171"/>
      <c r="X601" s="172"/>
      <c r="Y601" s="173"/>
      <c r="Z601" s="174"/>
      <c r="AA601" s="175"/>
      <c r="AB601" s="176"/>
      <c r="AC601" s="168">
        <f t="shared" si="271"/>
        <v>0</v>
      </c>
      <c r="AD601" s="177">
        <f t="shared" si="272"/>
        <v>0</v>
      </c>
      <c r="AE601" s="178">
        <v>3.06</v>
      </c>
      <c r="AF601" s="179">
        <f t="shared" si="273"/>
        <v>0</v>
      </c>
      <c r="AH601" s="180"/>
      <c r="AK601" s="1"/>
      <c r="AL601" s="1"/>
      <c r="AM601" s="1"/>
      <c r="AN601" s="1"/>
    </row>
    <row r="602" spans="1:40" ht="12.75" customHeight="1">
      <c r="A602" s="87"/>
      <c r="B602" s="192" t="s">
        <v>1134</v>
      </c>
      <c r="C602" s="193" t="s">
        <v>57</v>
      </c>
      <c r="D602" s="193" t="s">
        <v>48</v>
      </c>
      <c r="E602" s="194">
        <v>10</v>
      </c>
      <c r="F602" s="193"/>
      <c r="G602" s="193"/>
      <c r="H602" s="193" t="s">
        <v>121</v>
      </c>
      <c r="I602" s="193" t="s">
        <v>30</v>
      </c>
      <c r="J602" s="194">
        <v>10</v>
      </c>
      <c r="K602" s="193"/>
      <c r="L602" s="193"/>
      <c r="M602" s="193" t="s">
        <v>30</v>
      </c>
      <c r="N602" s="193" t="s">
        <v>47</v>
      </c>
      <c r="O602" s="194">
        <v>10</v>
      </c>
      <c r="P602" s="194" t="s">
        <v>1135</v>
      </c>
      <c r="Q602" s="521">
        <f>R602*(1-Bolts!$E$1179)</f>
        <v>116.7</v>
      </c>
      <c r="R602" s="150">
        <v>116.7</v>
      </c>
      <c r="S602" s="168">
        <f t="shared" si="270"/>
        <v>0</v>
      </c>
      <c r="T602" s="211"/>
      <c r="U602" s="169"/>
      <c r="V602" s="170"/>
      <c r="W602" s="171"/>
      <c r="X602" s="172"/>
      <c r="Y602" s="173"/>
      <c r="Z602" s="174"/>
      <c r="AA602" s="175"/>
      <c r="AB602" s="176"/>
      <c r="AC602" s="168">
        <f t="shared" si="271"/>
        <v>0</v>
      </c>
      <c r="AD602" s="177">
        <f t="shared" si="272"/>
        <v>0</v>
      </c>
      <c r="AE602" s="178">
        <v>3.86</v>
      </c>
      <c r="AF602" s="179">
        <f t="shared" si="273"/>
        <v>0</v>
      </c>
      <c r="AH602" s="180"/>
      <c r="AK602" s="1"/>
      <c r="AL602" s="1"/>
      <c r="AM602" s="1"/>
      <c r="AN602" s="1"/>
    </row>
    <row r="603" spans="1:40" ht="12.75" customHeight="1">
      <c r="A603" s="87"/>
      <c r="B603" s="192" t="s">
        <v>1136</v>
      </c>
      <c r="C603" s="193" t="s">
        <v>57</v>
      </c>
      <c r="D603" s="193" t="s">
        <v>48</v>
      </c>
      <c r="E603" s="194">
        <v>10</v>
      </c>
      <c r="F603" s="193"/>
      <c r="G603" s="193"/>
      <c r="H603" s="193" t="s">
        <v>121</v>
      </c>
      <c r="I603" s="193" t="s">
        <v>31</v>
      </c>
      <c r="J603" s="194">
        <v>10</v>
      </c>
      <c r="K603" s="193"/>
      <c r="L603" s="193"/>
      <c r="M603" s="193" t="s">
        <v>31</v>
      </c>
      <c r="N603" s="193" t="s">
        <v>48</v>
      </c>
      <c r="O603" s="194">
        <v>10</v>
      </c>
      <c r="P603" s="194" t="s">
        <v>1137</v>
      </c>
      <c r="Q603" s="521">
        <f>R603*(1-Bolts!$E$1179)</f>
        <v>109.3</v>
      </c>
      <c r="R603" s="150">
        <v>109.3</v>
      </c>
      <c r="S603" s="168">
        <f t="shared" si="270"/>
        <v>0</v>
      </c>
      <c r="T603" s="211"/>
      <c r="U603" s="169"/>
      <c r="V603" s="170"/>
      <c r="W603" s="171"/>
      <c r="X603" s="172"/>
      <c r="Y603" s="173"/>
      <c r="Z603" s="174"/>
      <c r="AA603" s="175"/>
      <c r="AB603" s="176"/>
      <c r="AC603" s="168">
        <f t="shared" si="271"/>
        <v>0</v>
      </c>
      <c r="AD603" s="177">
        <f t="shared" si="272"/>
        <v>0</v>
      </c>
      <c r="AE603" s="178">
        <v>3.43</v>
      </c>
      <c r="AF603" s="179">
        <f t="shared" si="273"/>
        <v>0</v>
      </c>
      <c r="AH603" s="180"/>
      <c r="AK603" s="1"/>
      <c r="AL603" s="1"/>
      <c r="AM603" s="1"/>
      <c r="AN603" s="1"/>
    </row>
    <row r="604" spans="1:40" ht="12.75" customHeight="1">
      <c r="A604" s="87"/>
      <c r="B604" s="192" t="s">
        <v>1138</v>
      </c>
      <c r="C604" s="193" t="s">
        <v>57</v>
      </c>
      <c r="D604" s="193" t="s">
        <v>48</v>
      </c>
      <c r="E604" s="194">
        <v>10</v>
      </c>
      <c r="F604" s="193"/>
      <c r="G604" s="193"/>
      <c r="H604" s="193" t="s">
        <v>121</v>
      </c>
      <c r="I604" s="193" t="s">
        <v>31</v>
      </c>
      <c r="J604" s="194">
        <v>10</v>
      </c>
      <c r="K604" s="193"/>
      <c r="L604" s="193"/>
      <c r="M604" s="193" t="s">
        <v>31</v>
      </c>
      <c r="N604" s="193" t="s">
        <v>48</v>
      </c>
      <c r="O604" s="194">
        <v>10</v>
      </c>
      <c r="P604" s="194" t="s">
        <v>1139</v>
      </c>
      <c r="Q604" s="521">
        <f>R604*(1-Bolts!$E$1179)</f>
        <v>128.5</v>
      </c>
      <c r="R604" s="150">
        <v>128.5</v>
      </c>
      <c r="S604" s="168">
        <f t="shared" si="270"/>
        <v>0</v>
      </c>
      <c r="T604" s="211"/>
      <c r="U604" s="169"/>
      <c r="V604" s="170"/>
      <c r="W604" s="171"/>
      <c r="X604" s="172"/>
      <c r="Y604" s="173"/>
      <c r="Z604" s="174"/>
      <c r="AA604" s="175"/>
      <c r="AB604" s="176"/>
      <c r="AC604" s="168">
        <f t="shared" si="271"/>
        <v>0</v>
      </c>
      <c r="AD604" s="177">
        <f t="shared" si="272"/>
        <v>0</v>
      </c>
      <c r="AE604" s="178">
        <v>4.55</v>
      </c>
      <c r="AF604" s="179">
        <f t="shared" si="273"/>
        <v>0</v>
      </c>
      <c r="AH604" s="180"/>
      <c r="AK604" s="1"/>
      <c r="AL604" s="1"/>
      <c r="AM604" s="1"/>
      <c r="AN604" s="1"/>
    </row>
    <row r="605" spans="1:40" ht="12.75" customHeight="1">
      <c r="A605" s="87"/>
      <c r="B605" s="192" t="s">
        <v>1140</v>
      </c>
      <c r="C605" s="193" t="s">
        <v>57</v>
      </c>
      <c r="D605" s="193" t="s">
        <v>48</v>
      </c>
      <c r="E605" s="194">
        <v>10</v>
      </c>
      <c r="F605" s="193"/>
      <c r="G605" s="193"/>
      <c r="H605" s="193" t="s">
        <v>121</v>
      </c>
      <c r="I605" s="193" t="s">
        <v>31</v>
      </c>
      <c r="J605" s="194">
        <v>10</v>
      </c>
      <c r="K605" s="193"/>
      <c r="L605" s="193"/>
      <c r="M605" s="193" t="s">
        <v>31</v>
      </c>
      <c r="N605" s="193" t="s">
        <v>48</v>
      </c>
      <c r="O605" s="194">
        <v>10</v>
      </c>
      <c r="P605" s="194" t="s">
        <v>1141</v>
      </c>
      <c r="Q605" s="521">
        <f>R605*(1-Bolts!$E$1179)</f>
        <v>134.1</v>
      </c>
      <c r="R605" s="150">
        <v>134.1</v>
      </c>
      <c r="S605" s="168">
        <f t="shared" si="270"/>
        <v>0</v>
      </c>
      <c r="T605" s="211"/>
      <c r="U605" s="169"/>
      <c r="V605" s="170"/>
      <c r="W605" s="171"/>
      <c r="X605" s="172"/>
      <c r="Y605" s="173"/>
      <c r="Z605" s="174"/>
      <c r="AA605" s="175"/>
      <c r="AB605" s="176"/>
      <c r="AC605" s="168">
        <f t="shared" si="271"/>
        <v>0</v>
      </c>
      <c r="AD605" s="177">
        <f t="shared" si="272"/>
        <v>0</v>
      </c>
      <c r="AE605" s="178">
        <v>4.87</v>
      </c>
      <c r="AF605" s="179">
        <f t="shared" si="273"/>
        <v>0</v>
      </c>
      <c r="AH605" s="180"/>
      <c r="AK605" s="1"/>
      <c r="AL605" s="1"/>
      <c r="AM605" s="1"/>
      <c r="AN605" s="1"/>
    </row>
    <row r="606" spans="1:40" ht="12.75" customHeight="1">
      <c r="A606" s="87"/>
      <c r="B606" s="192" t="s">
        <v>1142</v>
      </c>
      <c r="C606" s="193" t="s">
        <v>57</v>
      </c>
      <c r="D606" s="193" t="s">
        <v>48</v>
      </c>
      <c r="E606" s="194">
        <v>10</v>
      </c>
      <c r="F606" s="193"/>
      <c r="G606" s="193"/>
      <c r="H606" s="193" t="s">
        <v>121</v>
      </c>
      <c r="I606" s="193" t="s">
        <v>37</v>
      </c>
      <c r="J606" s="194">
        <v>10</v>
      </c>
      <c r="K606" s="193"/>
      <c r="L606" s="193"/>
      <c r="M606" s="193" t="s">
        <v>37</v>
      </c>
      <c r="N606" s="193" t="s">
        <v>49</v>
      </c>
      <c r="O606" s="194">
        <v>10</v>
      </c>
      <c r="P606" s="194" t="s">
        <v>1143</v>
      </c>
      <c r="Q606" s="521">
        <f>R606*(1-Bolts!$E$1179)</f>
        <v>145.1</v>
      </c>
      <c r="R606" s="150">
        <v>145.1</v>
      </c>
      <c r="S606" s="168">
        <f t="shared" si="270"/>
        <v>0</v>
      </c>
      <c r="T606" s="211"/>
      <c r="U606" s="169"/>
      <c r="V606" s="170"/>
      <c r="W606" s="171"/>
      <c r="X606" s="172"/>
      <c r="Y606" s="173"/>
      <c r="Z606" s="174"/>
      <c r="AA606" s="175"/>
      <c r="AB606" s="176"/>
      <c r="AC606" s="168">
        <f t="shared" si="271"/>
        <v>0</v>
      </c>
      <c r="AD606" s="177">
        <f t="shared" si="272"/>
        <v>0</v>
      </c>
      <c r="AE606" s="178">
        <v>5.51</v>
      </c>
      <c r="AF606" s="179">
        <f t="shared" si="273"/>
        <v>0</v>
      </c>
      <c r="AH606" s="180"/>
      <c r="AK606" s="1"/>
      <c r="AL606" s="1"/>
      <c r="AM606" s="1"/>
      <c r="AN606" s="1"/>
    </row>
    <row r="607" spans="1:40" ht="12.75" customHeight="1">
      <c r="A607" s="87"/>
      <c r="B607" s="192" t="s">
        <v>1144</v>
      </c>
      <c r="C607" s="193" t="s">
        <v>57</v>
      </c>
      <c r="D607" s="193" t="s">
        <v>48</v>
      </c>
      <c r="E607" s="194">
        <v>10</v>
      </c>
      <c r="F607" s="193"/>
      <c r="G607" s="193"/>
      <c r="H607" s="193" t="s">
        <v>121</v>
      </c>
      <c r="I607" s="193" t="s">
        <v>32</v>
      </c>
      <c r="J607" s="194">
        <v>10</v>
      </c>
      <c r="K607" s="193"/>
      <c r="L607" s="193"/>
      <c r="M607" s="193" t="s">
        <v>32</v>
      </c>
      <c r="N607" s="193" t="s">
        <v>49</v>
      </c>
      <c r="O607" s="194">
        <v>10</v>
      </c>
      <c r="P607" s="194" t="s">
        <v>1145</v>
      </c>
      <c r="Q607" s="521">
        <f>R607*(1-Bolts!$E$1179)</f>
        <v>139.80000000000001</v>
      </c>
      <c r="R607" s="150">
        <v>139.80000000000001</v>
      </c>
      <c r="S607" s="168">
        <f t="shared" si="270"/>
        <v>0</v>
      </c>
      <c r="T607" s="211"/>
      <c r="U607" s="169"/>
      <c r="V607" s="170"/>
      <c r="W607" s="171"/>
      <c r="X607" s="172"/>
      <c r="Y607" s="173"/>
      <c r="Z607" s="174"/>
      <c r="AA607" s="175"/>
      <c r="AB607" s="176"/>
      <c r="AC607" s="168">
        <f t="shared" si="271"/>
        <v>0</v>
      </c>
      <c r="AD607" s="177">
        <f t="shared" si="272"/>
        <v>0</v>
      </c>
      <c r="AE607" s="178">
        <v>5.2</v>
      </c>
      <c r="AF607" s="179">
        <f t="shared" si="273"/>
        <v>0</v>
      </c>
      <c r="AH607" s="180"/>
      <c r="AK607" s="1"/>
      <c r="AL607" s="1"/>
      <c r="AM607" s="1"/>
      <c r="AN607" s="1"/>
    </row>
    <row r="608" spans="1:40" ht="12.75" customHeight="1">
      <c r="A608" s="87"/>
      <c r="B608" s="192" t="s">
        <v>1146</v>
      </c>
      <c r="C608" s="193" t="s">
        <v>57</v>
      </c>
      <c r="D608" s="193" t="s">
        <v>48</v>
      </c>
      <c r="E608" s="194">
        <v>10</v>
      </c>
      <c r="F608" s="193"/>
      <c r="G608" s="193"/>
      <c r="H608" s="193" t="s">
        <v>121</v>
      </c>
      <c r="I608" s="193" t="s">
        <v>37</v>
      </c>
      <c r="J608" s="194">
        <v>10</v>
      </c>
      <c r="K608" s="193"/>
      <c r="L608" s="193"/>
      <c r="M608" s="193" t="s">
        <v>37</v>
      </c>
      <c r="N608" s="193" t="s">
        <v>49</v>
      </c>
      <c r="O608" s="194">
        <v>10</v>
      </c>
      <c r="P608" s="194" t="s">
        <v>1147</v>
      </c>
      <c r="Q608" s="521">
        <f>R608*(1-Bolts!$E$1179)</f>
        <v>180.6</v>
      </c>
      <c r="R608" s="150">
        <v>180.6</v>
      </c>
      <c r="S608" s="168">
        <f t="shared" si="270"/>
        <v>0</v>
      </c>
      <c r="T608" s="211"/>
      <c r="U608" s="169"/>
      <c r="V608" s="170"/>
      <c r="W608" s="171"/>
      <c r="X608" s="172"/>
      <c r="Y608" s="173"/>
      <c r="Z608" s="174"/>
      <c r="AA608" s="175"/>
      <c r="AB608" s="176"/>
      <c r="AC608" s="168">
        <f t="shared" si="271"/>
        <v>0</v>
      </c>
      <c r="AD608" s="177">
        <f t="shared" si="272"/>
        <v>0</v>
      </c>
      <c r="AE608" s="178">
        <v>7.57</v>
      </c>
      <c r="AF608" s="179">
        <f t="shared" si="273"/>
        <v>0</v>
      </c>
      <c r="AH608" s="180"/>
      <c r="AK608" s="1"/>
      <c r="AL608" s="1"/>
      <c r="AM608" s="1"/>
      <c r="AN608" s="1"/>
    </row>
    <row r="609" spans="1:40" ht="12.75" customHeight="1">
      <c r="A609" s="87"/>
      <c r="B609" s="192" t="s">
        <v>1148</v>
      </c>
      <c r="C609" s="193" t="s">
        <v>57</v>
      </c>
      <c r="D609" s="193" t="s">
        <v>48</v>
      </c>
      <c r="E609" s="194">
        <v>10</v>
      </c>
      <c r="F609" s="193"/>
      <c r="G609" s="193"/>
      <c r="H609" s="193" t="s">
        <v>121</v>
      </c>
      <c r="I609" s="193" t="s">
        <v>30</v>
      </c>
      <c r="J609" s="194">
        <v>10</v>
      </c>
      <c r="K609" s="193"/>
      <c r="L609" s="193"/>
      <c r="M609" s="193" t="s">
        <v>30</v>
      </c>
      <c r="N609" s="193" t="s">
        <v>47</v>
      </c>
      <c r="O609" s="194">
        <v>10</v>
      </c>
      <c r="P609" s="194" t="s">
        <v>1149</v>
      </c>
      <c r="Q609" s="521">
        <f>R609*(1-Bolts!$E$1179)</f>
        <v>150.1</v>
      </c>
      <c r="R609" s="150">
        <v>150.1</v>
      </c>
      <c r="S609" s="168">
        <f t="shared" si="270"/>
        <v>0</v>
      </c>
      <c r="T609" s="211"/>
      <c r="U609" s="169"/>
      <c r="V609" s="170"/>
      <c r="W609" s="171"/>
      <c r="X609" s="172"/>
      <c r="Y609" s="173"/>
      <c r="Z609" s="174"/>
      <c r="AA609" s="175"/>
      <c r="AB609" s="176"/>
      <c r="AC609" s="168">
        <f t="shared" si="271"/>
        <v>0</v>
      </c>
      <c r="AD609" s="177">
        <f t="shared" si="272"/>
        <v>0</v>
      </c>
      <c r="AE609" s="178">
        <v>5.8</v>
      </c>
      <c r="AF609" s="179">
        <f t="shared" si="273"/>
        <v>0</v>
      </c>
      <c r="AH609" s="180"/>
      <c r="AK609" s="1"/>
      <c r="AL609" s="1"/>
      <c r="AM609" s="1"/>
      <c r="AN609" s="1"/>
    </row>
    <row r="610" spans="1:40" ht="12.75" customHeight="1">
      <c r="A610" s="87"/>
      <c r="B610" s="192" t="s">
        <v>1150</v>
      </c>
      <c r="C610" s="193" t="s">
        <v>57</v>
      </c>
      <c r="D610" s="193" t="s">
        <v>48</v>
      </c>
      <c r="E610" s="194">
        <v>10</v>
      </c>
      <c r="F610" s="193"/>
      <c r="G610" s="193"/>
      <c r="H610" s="193" t="s">
        <v>121</v>
      </c>
      <c r="I610" s="193" t="s">
        <v>30</v>
      </c>
      <c r="J610" s="194">
        <v>10</v>
      </c>
      <c r="K610" s="193"/>
      <c r="L610" s="193"/>
      <c r="M610" s="193" t="s">
        <v>30</v>
      </c>
      <c r="N610" s="193" t="s">
        <v>47</v>
      </c>
      <c r="O610" s="194">
        <v>10</v>
      </c>
      <c r="P610" s="194" t="s">
        <v>1151</v>
      </c>
      <c r="Q610" s="521">
        <f>R610*(1-Bolts!$E$1179)</f>
        <v>154.19999999999999</v>
      </c>
      <c r="R610" s="150">
        <v>154.19999999999999</v>
      </c>
      <c r="S610" s="168">
        <f t="shared" si="270"/>
        <v>0</v>
      </c>
      <c r="T610" s="211"/>
      <c r="U610" s="169"/>
      <c r="V610" s="170"/>
      <c r="W610" s="171"/>
      <c r="X610" s="172"/>
      <c r="Y610" s="173"/>
      <c r="Z610" s="174"/>
      <c r="AA610" s="175"/>
      <c r="AB610" s="176"/>
      <c r="AC610" s="168">
        <f t="shared" si="271"/>
        <v>0</v>
      </c>
      <c r="AD610" s="177">
        <f t="shared" si="272"/>
        <v>0</v>
      </c>
      <c r="AE610" s="178">
        <v>6.04</v>
      </c>
      <c r="AF610" s="179">
        <f t="shared" si="273"/>
        <v>0</v>
      </c>
      <c r="AH610" s="180"/>
      <c r="AK610" s="1"/>
      <c r="AL610" s="1"/>
      <c r="AM610" s="1"/>
      <c r="AN610" s="1"/>
    </row>
    <row r="611" spans="1:40" ht="12.75" customHeight="1">
      <c r="A611" s="87"/>
      <c r="B611" s="192" t="s">
        <v>1152</v>
      </c>
      <c r="C611" s="193" t="s">
        <v>57</v>
      </c>
      <c r="D611" s="193" t="s">
        <v>48</v>
      </c>
      <c r="E611" s="194">
        <v>10</v>
      </c>
      <c r="F611" s="193"/>
      <c r="G611" s="193"/>
      <c r="H611" s="193" t="s">
        <v>121</v>
      </c>
      <c r="I611" s="193" t="s">
        <v>30</v>
      </c>
      <c r="J611" s="194">
        <v>10</v>
      </c>
      <c r="K611" s="193"/>
      <c r="L611" s="193"/>
      <c r="M611" s="193" t="s">
        <v>30</v>
      </c>
      <c r="N611" s="193" t="s">
        <v>47</v>
      </c>
      <c r="O611" s="194">
        <v>10</v>
      </c>
      <c r="P611" s="194" t="s">
        <v>1153</v>
      </c>
      <c r="Q611" s="521">
        <f>R611*(1-Bolts!$E$1179)</f>
        <v>154.4</v>
      </c>
      <c r="R611" s="150">
        <v>154.4</v>
      </c>
      <c r="S611" s="168">
        <f t="shared" si="270"/>
        <v>0</v>
      </c>
      <c r="T611" s="211"/>
      <c r="U611" s="169"/>
      <c r="V611" s="170"/>
      <c r="W611" s="171"/>
      <c r="X611" s="172"/>
      <c r="Y611" s="173"/>
      <c r="Z611" s="174"/>
      <c r="AA611" s="175"/>
      <c r="AB611" s="176"/>
      <c r="AC611" s="168">
        <f t="shared" si="271"/>
        <v>0</v>
      </c>
      <c r="AD611" s="177">
        <f t="shared" si="272"/>
        <v>0</v>
      </c>
      <c r="AE611" s="178">
        <v>6.05</v>
      </c>
      <c r="AF611" s="179">
        <f t="shared" si="273"/>
        <v>0</v>
      </c>
      <c r="AH611" s="180"/>
      <c r="AK611" s="1"/>
      <c r="AL611" s="1"/>
      <c r="AM611" s="1"/>
      <c r="AN611" s="1"/>
    </row>
    <row r="612" spans="1:40" ht="12.75" customHeight="1">
      <c r="A612" s="87"/>
      <c r="B612" s="192" t="s">
        <v>1154</v>
      </c>
      <c r="C612" s="193" t="s">
        <v>57</v>
      </c>
      <c r="D612" s="193" t="s">
        <v>48</v>
      </c>
      <c r="E612" s="194">
        <v>10</v>
      </c>
      <c r="F612" s="193"/>
      <c r="G612" s="193"/>
      <c r="H612" s="193" t="s">
        <v>121</v>
      </c>
      <c r="I612" s="193" t="s">
        <v>30</v>
      </c>
      <c r="J612" s="194">
        <v>10</v>
      </c>
      <c r="K612" s="193"/>
      <c r="L612" s="193"/>
      <c r="M612" s="193" t="s">
        <v>30</v>
      </c>
      <c r="N612" s="193" t="s">
        <v>47</v>
      </c>
      <c r="O612" s="194">
        <v>10</v>
      </c>
      <c r="P612" s="194" t="s">
        <v>1155</v>
      </c>
      <c r="Q612" s="521">
        <f>R612*(1-Bolts!$E$1179)</f>
        <v>173.1</v>
      </c>
      <c r="R612" s="150">
        <v>173.1</v>
      </c>
      <c r="S612" s="168">
        <f t="shared" si="270"/>
        <v>0</v>
      </c>
      <c r="T612" s="211"/>
      <c r="U612" s="169"/>
      <c r="V612" s="170"/>
      <c r="W612" s="171"/>
      <c r="X612" s="172"/>
      <c r="Y612" s="173"/>
      <c r="Z612" s="174"/>
      <c r="AA612" s="175"/>
      <c r="AB612" s="176"/>
      <c r="AC612" s="168">
        <f t="shared" si="271"/>
        <v>0</v>
      </c>
      <c r="AD612" s="177">
        <f t="shared" si="272"/>
        <v>0</v>
      </c>
      <c r="AE612" s="178">
        <v>7.14</v>
      </c>
      <c r="AF612" s="179">
        <f t="shared" si="273"/>
        <v>0</v>
      </c>
      <c r="AH612" s="180"/>
      <c r="AK612" s="1"/>
      <c r="AL612" s="1"/>
      <c r="AM612" s="1"/>
      <c r="AN612" s="1"/>
    </row>
    <row r="613" spans="1:40" ht="12.75" customHeight="1">
      <c r="A613" s="87"/>
      <c r="B613" s="185"/>
      <c r="C613" s="165"/>
      <c r="D613" s="165"/>
      <c r="E613" s="166"/>
      <c r="F613" s="165"/>
      <c r="G613" s="165"/>
      <c r="H613" s="165"/>
      <c r="I613" s="165"/>
      <c r="J613" s="166"/>
      <c r="K613" s="165"/>
      <c r="L613" s="165"/>
      <c r="M613" s="165"/>
      <c r="N613" s="165"/>
      <c r="O613" s="166"/>
      <c r="P613" s="166"/>
      <c r="Q613" s="522"/>
      <c r="R613" s="150"/>
      <c r="S613" s="186"/>
      <c r="T613" s="187"/>
      <c r="U613" s="187"/>
      <c r="V613" s="188"/>
      <c r="W613" s="187"/>
      <c r="X613" s="187"/>
      <c r="Y613" s="187"/>
      <c r="Z613" s="187"/>
      <c r="AA613" s="187"/>
      <c r="AB613" s="188"/>
      <c r="AC613" s="186"/>
      <c r="AD613" s="189"/>
      <c r="AE613" s="190"/>
      <c r="AF613" s="191"/>
      <c r="AH613" s="180"/>
      <c r="AK613" s="1"/>
      <c r="AL613" s="1"/>
      <c r="AM613" s="1"/>
      <c r="AN613" s="1"/>
    </row>
    <row r="614" spans="1:40" ht="12.75" customHeight="1">
      <c r="A614" s="87"/>
      <c r="B614" s="192" t="s">
        <v>1156</v>
      </c>
      <c r="C614" s="193" t="s">
        <v>57</v>
      </c>
      <c r="D614" s="193" t="s">
        <v>64</v>
      </c>
      <c r="E614" s="194">
        <v>10</v>
      </c>
      <c r="F614" s="193"/>
      <c r="G614" s="193"/>
      <c r="H614" s="193" t="s">
        <v>121</v>
      </c>
      <c r="I614" s="193" t="s">
        <v>32</v>
      </c>
      <c r="J614" s="194">
        <v>10</v>
      </c>
      <c r="K614" s="193"/>
      <c r="L614" s="193"/>
      <c r="M614" s="193" t="s">
        <v>32</v>
      </c>
      <c r="N614" s="193" t="s">
        <v>48</v>
      </c>
      <c r="O614" s="194">
        <v>10</v>
      </c>
      <c r="P614" s="194" t="s">
        <v>1157</v>
      </c>
      <c r="Q614" s="521">
        <f>R614*(1-Bolts!$E$1179)</f>
        <v>80.599999999999994</v>
      </c>
      <c r="R614" s="150">
        <v>80.599999999999994</v>
      </c>
      <c r="S614" s="168">
        <f t="shared" ref="S614:S622" si="274">SUM(T614:AB614)</f>
        <v>0</v>
      </c>
      <c r="T614" s="211"/>
      <c r="U614" s="169"/>
      <c r="V614" s="170"/>
      <c r="W614" s="171"/>
      <c r="X614" s="172"/>
      <c r="Y614" s="173"/>
      <c r="Z614" s="174"/>
      <c r="AA614" s="175"/>
      <c r="AB614" s="176"/>
      <c r="AC614" s="168">
        <f t="shared" ref="AC614:AC622" si="275">S614*O614</f>
        <v>0</v>
      </c>
      <c r="AD614" s="177">
        <f t="shared" ref="AD614:AD622" si="276">S614*R614</f>
        <v>0</v>
      </c>
      <c r="AE614" s="178">
        <v>2.1</v>
      </c>
      <c r="AF614" s="179">
        <f t="shared" ref="AF614:AF622" si="277">AE614*S614</f>
        <v>0</v>
      </c>
      <c r="AH614" s="180"/>
      <c r="AK614" s="1"/>
      <c r="AL614" s="1"/>
      <c r="AM614" s="1"/>
      <c r="AN614" s="1"/>
    </row>
    <row r="615" spans="1:40" ht="12.75" customHeight="1">
      <c r="A615" s="87"/>
      <c r="B615" s="192" t="s">
        <v>1158</v>
      </c>
      <c r="C615" s="193" t="s">
        <v>57</v>
      </c>
      <c r="D615" s="193" t="s">
        <v>64</v>
      </c>
      <c r="E615" s="194">
        <v>10</v>
      </c>
      <c r="F615" s="193"/>
      <c r="G615" s="193"/>
      <c r="H615" s="193" t="s">
        <v>121</v>
      </c>
      <c r="I615" s="193" t="s">
        <v>32</v>
      </c>
      <c r="J615" s="194">
        <v>10</v>
      </c>
      <c r="K615" s="193"/>
      <c r="L615" s="193"/>
      <c r="M615" s="193" t="s">
        <v>32</v>
      </c>
      <c r="N615" s="193" t="s">
        <v>47</v>
      </c>
      <c r="O615" s="194">
        <v>10</v>
      </c>
      <c r="P615" s="194" t="s">
        <v>1159</v>
      </c>
      <c r="Q615" s="521">
        <f>R615*(1-Bolts!$E$1179)</f>
        <v>72.2</v>
      </c>
      <c r="R615" s="150">
        <v>72.2</v>
      </c>
      <c r="S615" s="168">
        <f t="shared" si="274"/>
        <v>0</v>
      </c>
      <c r="T615" s="211"/>
      <c r="U615" s="169"/>
      <c r="V615" s="170"/>
      <c r="W615" s="171"/>
      <c r="X615" s="172"/>
      <c r="Y615" s="173"/>
      <c r="Z615" s="174"/>
      <c r="AA615" s="175"/>
      <c r="AB615" s="176"/>
      <c r="AC615" s="168">
        <f t="shared" si="275"/>
        <v>0</v>
      </c>
      <c r="AD615" s="177">
        <f t="shared" si="276"/>
        <v>0</v>
      </c>
      <c r="AE615" s="178">
        <v>1.55</v>
      </c>
      <c r="AF615" s="179">
        <f t="shared" si="277"/>
        <v>0</v>
      </c>
      <c r="AH615" s="180"/>
      <c r="AK615" s="1"/>
      <c r="AL615" s="1"/>
      <c r="AM615" s="1"/>
      <c r="AN615" s="1"/>
    </row>
    <row r="616" spans="1:40" ht="12.75" customHeight="1">
      <c r="A616" s="87"/>
      <c r="B616" s="192" t="s">
        <v>1160</v>
      </c>
      <c r="C616" s="193" t="s">
        <v>57</v>
      </c>
      <c r="D616" s="193" t="s">
        <v>64</v>
      </c>
      <c r="E616" s="194">
        <v>10</v>
      </c>
      <c r="F616" s="193"/>
      <c r="G616" s="193"/>
      <c r="H616" s="193" t="s">
        <v>121</v>
      </c>
      <c r="I616" s="193" t="s">
        <v>32</v>
      </c>
      <c r="J616" s="194">
        <v>10</v>
      </c>
      <c r="K616" s="193"/>
      <c r="L616" s="193"/>
      <c r="M616" s="193" t="s">
        <v>32</v>
      </c>
      <c r="N616" s="193" t="s">
        <v>49</v>
      </c>
      <c r="O616" s="194">
        <v>10</v>
      </c>
      <c r="P616" s="194" t="s">
        <v>1161</v>
      </c>
      <c r="Q616" s="521">
        <f>R616*(1-Bolts!$E$1179)</f>
        <v>81.5</v>
      </c>
      <c r="R616" s="150">
        <v>81.5</v>
      </c>
      <c r="S616" s="168">
        <f t="shared" si="274"/>
        <v>0</v>
      </c>
      <c r="T616" s="211"/>
      <c r="U616" s="169"/>
      <c r="V616" s="170"/>
      <c r="W616" s="171"/>
      <c r="X616" s="172"/>
      <c r="Y616" s="173"/>
      <c r="Z616" s="174"/>
      <c r="AA616" s="175"/>
      <c r="AB616" s="176"/>
      <c r="AC616" s="168">
        <f t="shared" si="275"/>
        <v>0</v>
      </c>
      <c r="AD616" s="177">
        <f t="shared" si="276"/>
        <v>0</v>
      </c>
      <c r="AE616" s="178">
        <v>2.15</v>
      </c>
      <c r="AF616" s="179">
        <f t="shared" si="277"/>
        <v>0</v>
      </c>
      <c r="AH616" s="180"/>
      <c r="AK616" s="1"/>
      <c r="AL616" s="1"/>
      <c r="AM616" s="1"/>
      <c r="AN616" s="1"/>
    </row>
    <row r="617" spans="1:40" ht="12.75" customHeight="1">
      <c r="A617" s="87"/>
      <c r="B617" s="192" t="s">
        <v>1162</v>
      </c>
      <c r="C617" s="193" t="s">
        <v>57</v>
      </c>
      <c r="D617" s="193" t="s">
        <v>64</v>
      </c>
      <c r="E617" s="194">
        <v>10</v>
      </c>
      <c r="F617" s="193"/>
      <c r="G617" s="193"/>
      <c r="H617" s="193" t="s">
        <v>121</v>
      </c>
      <c r="I617" s="193" t="s">
        <v>32</v>
      </c>
      <c r="J617" s="194">
        <v>10</v>
      </c>
      <c r="K617" s="193"/>
      <c r="L617" s="193"/>
      <c r="M617" s="193" t="s">
        <v>32</v>
      </c>
      <c r="N617" s="193" t="s">
        <v>47</v>
      </c>
      <c r="O617" s="194">
        <v>10</v>
      </c>
      <c r="P617" s="194" t="s">
        <v>1163</v>
      </c>
      <c r="Q617" s="521">
        <f>R617*(1-Bolts!$E$1179)</f>
        <v>62.8</v>
      </c>
      <c r="R617" s="150">
        <v>62.8</v>
      </c>
      <c r="S617" s="168">
        <f t="shared" si="274"/>
        <v>0</v>
      </c>
      <c r="T617" s="211"/>
      <c r="U617" s="169"/>
      <c r="V617" s="170"/>
      <c r="W617" s="171"/>
      <c r="X617" s="172"/>
      <c r="Y617" s="173"/>
      <c r="Z617" s="174"/>
      <c r="AA617" s="175"/>
      <c r="AB617" s="176"/>
      <c r="AC617" s="168">
        <f t="shared" si="275"/>
        <v>0</v>
      </c>
      <c r="AD617" s="177">
        <f t="shared" si="276"/>
        <v>0</v>
      </c>
      <c r="AE617" s="178">
        <v>1.3</v>
      </c>
      <c r="AF617" s="179">
        <f t="shared" si="277"/>
        <v>0</v>
      </c>
      <c r="AH617" s="180"/>
      <c r="AK617" s="1"/>
      <c r="AL617" s="1"/>
      <c r="AM617" s="1"/>
      <c r="AN617" s="1"/>
    </row>
    <row r="618" spans="1:40" ht="12.75" customHeight="1">
      <c r="A618" s="87"/>
      <c r="B618" s="192" t="s">
        <v>1164</v>
      </c>
      <c r="C618" s="193" t="s">
        <v>57</v>
      </c>
      <c r="D618" s="193" t="s">
        <v>64</v>
      </c>
      <c r="E618" s="194">
        <v>10</v>
      </c>
      <c r="F618" s="193"/>
      <c r="G618" s="193"/>
      <c r="H618" s="193" t="s">
        <v>121</v>
      </c>
      <c r="I618" s="193" t="s">
        <v>32</v>
      </c>
      <c r="J618" s="194">
        <v>10</v>
      </c>
      <c r="K618" s="193"/>
      <c r="L618" s="193"/>
      <c r="M618" s="193" t="s">
        <v>32</v>
      </c>
      <c r="N618" s="193" t="s">
        <v>48</v>
      </c>
      <c r="O618" s="194">
        <v>10</v>
      </c>
      <c r="P618" s="194" t="s">
        <v>1165</v>
      </c>
      <c r="Q618" s="521">
        <f>R618*(1-Bolts!$E$1179)</f>
        <v>63.9</v>
      </c>
      <c r="R618" s="150">
        <v>63.9</v>
      </c>
      <c r="S618" s="168">
        <f t="shared" si="274"/>
        <v>0</v>
      </c>
      <c r="T618" s="211"/>
      <c r="U618" s="169"/>
      <c r="V618" s="170"/>
      <c r="W618" s="171"/>
      <c r="X618" s="172"/>
      <c r="Y618" s="173"/>
      <c r="Z618" s="174"/>
      <c r="AA618" s="175"/>
      <c r="AB618" s="176"/>
      <c r="AC618" s="168">
        <f t="shared" si="275"/>
        <v>0</v>
      </c>
      <c r="AD618" s="177">
        <f t="shared" si="276"/>
        <v>0</v>
      </c>
      <c r="AE618" s="178">
        <v>1.36</v>
      </c>
      <c r="AF618" s="179">
        <f t="shared" si="277"/>
        <v>0</v>
      </c>
      <c r="AH618" s="180"/>
      <c r="AK618" s="1"/>
      <c r="AL618" s="1"/>
      <c r="AM618" s="1"/>
      <c r="AN618" s="1"/>
    </row>
    <row r="619" spans="1:40" ht="12.75" customHeight="1">
      <c r="A619" s="87"/>
      <c r="B619" s="192" t="s">
        <v>1166</v>
      </c>
      <c r="C619" s="193" t="s">
        <v>57</v>
      </c>
      <c r="D619" s="193" t="s">
        <v>64</v>
      </c>
      <c r="E619" s="194">
        <v>10</v>
      </c>
      <c r="F619" s="193"/>
      <c r="G619" s="193"/>
      <c r="H619" s="193" t="s">
        <v>121</v>
      </c>
      <c r="I619" s="193" t="s">
        <v>32</v>
      </c>
      <c r="J619" s="194">
        <v>10</v>
      </c>
      <c r="K619" s="193"/>
      <c r="L619" s="193"/>
      <c r="M619" s="193" t="s">
        <v>32</v>
      </c>
      <c r="N619" s="193" t="s">
        <v>48</v>
      </c>
      <c r="O619" s="194">
        <v>10</v>
      </c>
      <c r="P619" s="194" t="s">
        <v>1167</v>
      </c>
      <c r="Q619" s="521">
        <f>R619*(1-Bolts!$E$1179)</f>
        <v>86.5</v>
      </c>
      <c r="R619" s="150">
        <v>86.5</v>
      </c>
      <c r="S619" s="168">
        <f t="shared" si="274"/>
        <v>0</v>
      </c>
      <c r="T619" s="211"/>
      <c r="U619" s="169"/>
      <c r="V619" s="170"/>
      <c r="W619" s="171"/>
      <c r="X619" s="172"/>
      <c r="Y619" s="173"/>
      <c r="Z619" s="174"/>
      <c r="AA619" s="175"/>
      <c r="AB619" s="176"/>
      <c r="AC619" s="168">
        <f t="shared" si="275"/>
        <v>0</v>
      </c>
      <c r="AD619" s="177">
        <f t="shared" si="276"/>
        <v>0</v>
      </c>
      <c r="AE619" s="178">
        <v>2.11</v>
      </c>
      <c r="AF619" s="179">
        <f t="shared" si="277"/>
        <v>0</v>
      </c>
      <c r="AH619" s="180"/>
      <c r="AK619" s="1"/>
      <c r="AL619" s="1"/>
      <c r="AM619" s="1"/>
      <c r="AN619" s="1"/>
    </row>
    <row r="620" spans="1:40" ht="12.75" customHeight="1">
      <c r="A620" s="87"/>
      <c r="B620" s="192" t="s">
        <v>1168</v>
      </c>
      <c r="C620" s="193" t="s">
        <v>57</v>
      </c>
      <c r="D620" s="193" t="s">
        <v>64</v>
      </c>
      <c r="E620" s="194">
        <v>10</v>
      </c>
      <c r="F620" s="193"/>
      <c r="G620" s="193"/>
      <c r="H620" s="193" t="s">
        <v>121</v>
      </c>
      <c r="I620" s="193" t="s">
        <v>32</v>
      </c>
      <c r="J620" s="194">
        <v>10</v>
      </c>
      <c r="K620" s="193"/>
      <c r="L620" s="193"/>
      <c r="M620" s="193" t="s">
        <v>32</v>
      </c>
      <c r="N620" s="193" t="s">
        <v>48</v>
      </c>
      <c r="O620" s="194">
        <v>10</v>
      </c>
      <c r="P620" s="194" t="s">
        <v>1169</v>
      </c>
      <c r="Q620" s="521">
        <f>R620*(1-Bolts!$E$1179)</f>
        <v>84.7</v>
      </c>
      <c r="R620" s="150">
        <v>84.7</v>
      </c>
      <c r="S620" s="168">
        <f t="shared" si="274"/>
        <v>0</v>
      </c>
      <c r="T620" s="211"/>
      <c r="U620" s="169"/>
      <c r="V620" s="170"/>
      <c r="W620" s="171"/>
      <c r="X620" s="172"/>
      <c r="Y620" s="173"/>
      <c r="Z620" s="174"/>
      <c r="AA620" s="175"/>
      <c r="AB620" s="176"/>
      <c r="AC620" s="168">
        <f t="shared" si="275"/>
        <v>0</v>
      </c>
      <c r="AD620" s="177">
        <f t="shared" si="276"/>
        <v>0</v>
      </c>
      <c r="AE620" s="178">
        <v>2</v>
      </c>
      <c r="AF620" s="179">
        <f t="shared" si="277"/>
        <v>0</v>
      </c>
      <c r="AH620" s="180"/>
      <c r="AK620" s="1"/>
      <c r="AL620" s="1"/>
      <c r="AM620" s="1"/>
      <c r="AN620" s="1"/>
    </row>
    <row r="621" spans="1:40" ht="12.75" customHeight="1">
      <c r="A621" s="87"/>
      <c r="B621" s="192" t="s">
        <v>1170</v>
      </c>
      <c r="C621" s="193" t="s">
        <v>57</v>
      </c>
      <c r="D621" s="193" t="s">
        <v>64</v>
      </c>
      <c r="E621" s="194">
        <v>10</v>
      </c>
      <c r="F621" s="193"/>
      <c r="G621" s="193"/>
      <c r="H621" s="193" t="s">
        <v>121</v>
      </c>
      <c r="I621" s="193" t="s">
        <v>32</v>
      </c>
      <c r="J621" s="194">
        <v>10</v>
      </c>
      <c r="K621" s="193"/>
      <c r="L621" s="193"/>
      <c r="M621" s="193" t="s">
        <v>32</v>
      </c>
      <c r="N621" s="193" t="s">
        <v>48</v>
      </c>
      <c r="O621" s="194">
        <v>10</v>
      </c>
      <c r="P621" s="194" t="s">
        <v>1171</v>
      </c>
      <c r="Q621" s="521">
        <f>R621*(1-Bolts!$E$1179)</f>
        <v>89</v>
      </c>
      <c r="R621" s="150">
        <v>89</v>
      </c>
      <c r="S621" s="168">
        <f t="shared" si="274"/>
        <v>0</v>
      </c>
      <c r="T621" s="211"/>
      <c r="U621" s="169"/>
      <c r="V621" s="170"/>
      <c r="W621" s="171"/>
      <c r="X621" s="172"/>
      <c r="Y621" s="173"/>
      <c r="Z621" s="174"/>
      <c r="AA621" s="175"/>
      <c r="AB621" s="176"/>
      <c r="AC621" s="168">
        <f t="shared" si="275"/>
        <v>0</v>
      </c>
      <c r="AD621" s="177">
        <f t="shared" si="276"/>
        <v>0</v>
      </c>
      <c r="AE621" s="178">
        <v>2.25</v>
      </c>
      <c r="AF621" s="179">
        <f t="shared" si="277"/>
        <v>0</v>
      </c>
      <c r="AH621" s="180"/>
      <c r="AK621" s="1"/>
      <c r="AL621" s="1"/>
      <c r="AM621" s="1"/>
      <c r="AN621" s="1"/>
    </row>
    <row r="622" spans="1:40" ht="12.75" customHeight="1">
      <c r="A622" s="87"/>
      <c r="B622" s="192" t="s">
        <v>1172</v>
      </c>
      <c r="C622" s="193" t="s">
        <v>57</v>
      </c>
      <c r="D622" s="193" t="s">
        <v>64</v>
      </c>
      <c r="E622" s="194">
        <v>10</v>
      </c>
      <c r="F622" s="193"/>
      <c r="G622" s="193"/>
      <c r="H622" s="193" t="s">
        <v>121</v>
      </c>
      <c r="I622" s="193" t="s">
        <v>33</v>
      </c>
      <c r="J622" s="194">
        <v>10</v>
      </c>
      <c r="K622" s="193"/>
      <c r="L622" s="193"/>
      <c r="M622" s="193" t="s">
        <v>33</v>
      </c>
      <c r="N622" s="193" t="s">
        <v>47</v>
      </c>
      <c r="O622" s="194">
        <v>10</v>
      </c>
      <c r="P622" s="194" t="s">
        <v>1173</v>
      </c>
      <c r="Q622" s="521">
        <f>R622*(1-Bolts!$E$1179)</f>
        <v>96.3</v>
      </c>
      <c r="R622" s="150">
        <v>96.3</v>
      </c>
      <c r="S622" s="168">
        <f t="shared" si="274"/>
        <v>0</v>
      </c>
      <c r="T622" s="211"/>
      <c r="U622" s="169"/>
      <c r="V622" s="170"/>
      <c r="W622" s="171"/>
      <c r="X622" s="172"/>
      <c r="Y622" s="173"/>
      <c r="Z622" s="174"/>
      <c r="AA622" s="175"/>
      <c r="AB622" s="176"/>
      <c r="AC622" s="168">
        <f t="shared" si="275"/>
        <v>0</v>
      </c>
      <c r="AD622" s="177">
        <f t="shared" si="276"/>
        <v>0</v>
      </c>
      <c r="AE622" s="178">
        <v>2.68</v>
      </c>
      <c r="AF622" s="179">
        <f t="shared" si="277"/>
        <v>0</v>
      </c>
      <c r="AH622" s="180"/>
      <c r="AK622" s="1"/>
      <c r="AL622" s="1"/>
      <c r="AM622" s="1"/>
      <c r="AN622" s="1"/>
    </row>
    <row r="623" spans="1:40" ht="12.75" customHeight="1">
      <c r="A623" s="87"/>
      <c r="B623" s="185"/>
      <c r="C623" s="165"/>
      <c r="D623" s="165"/>
      <c r="E623" s="166"/>
      <c r="F623" s="165"/>
      <c r="G623" s="165"/>
      <c r="H623" s="165"/>
      <c r="I623" s="165"/>
      <c r="J623" s="166"/>
      <c r="K623" s="165"/>
      <c r="L623" s="165"/>
      <c r="M623" s="165"/>
      <c r="N623" s="165"/>
      <c r="O623" s="166"/>
      <c r="P623" s="166"/>
      <c r="Q623" s="522"/>
      <c r="R623" s="150"/>
      <c r="S623" s="186"/>
      <c r="T623" s="187"/>
      <c r="U623" s="187"/>
      <c r="V623" s="188"/>
      <c r="W623" s="187"/>
      <c r="X623" s="187"/>
      <c r="Y623" s="187"/>
      <c r="Z623" s="187"/>
      <c r="AA623" s="187"/>
      <c r="AB623" s="188"/>
      <c r="AC623" s="186"/>
      <c r="AD623" s="189"/>
      <c r="AE623" s="190"/>
      <c r="AF623" s="191"/>
      <c r="AH623" s="180"/>
      <c r="AK623" s="1"/>
      <c r="AL623" s="1"/>
      <c r="AM623" s="1"/>
      <c r="AN623" s="1"/>
    </row>
    <row r="624" spans="1:40" ht="12.75" customHeight="1">
      <c r="A624" s="87"/>
      <c r="B624" s="192" t="s">
        <v>1174</v>
      </c>
      <c r="C624" s="193" t="s">
        <v>57</v>
      </c>
      <c r="D624" s="193" t="s">
        <v>65</v>
      </c>
      <c r="E624" s="194">
        <v>20</v>
      </c>
      <c r="F624" s="193"/>
      <c r="G624" s="193"/>
      <c r="H624" s="193" t="s">
        <v>121</v>
      </c>
      <c r="I624" s="193" t="s">
        <v>39</v>
      </c>
      <c r="J624" s="194">
        <v>20</v>
      </c>
      <c r="K624" s="193"/>
      <c r="L624" s="193"/>
      <c r="M624" s="193" t="s">
        <v>39</v>
      </c>
      <c r="N624" s="193" t="s">
        <v>47</v>
      </c>
      <c r="O624" s="194">
        <v>20</v>
      </c>
      <c r="P624" s="194" t="s">
        <v>1175</v>
      </c>
      <c r="Q624" s="521">
        <f>R624*(1-Bolts!$E$1179)</f>
        <v>105.6</v>
      </c>
      <c r="R624" s="150">
        <v>105.6</v>
      </c>
      <c r="S624" s="168">
        <f t="shared" ref="S624:S626" si="278">SUM(T624:AB624)</f>
        <v>0</v>
      </c>
      <c r="T624" s="211"/>
      <c r="U624" s="169"/>
      <c r="V624" s="170"/>
      <c r="W624" s="171"/>
      <c r="X624" s="172"/>
      <c r="Y624" s="173"/>
      <c r="Z624" s="174"/>
      <c r="AA624" s="175"/>
      <c r="AB624" s="176"/>
      <c r="AC624" s="168">
        <f t="shared" ref="AC624:AC626" si="279">S624*O624</f>
        <v>0</v>
      </c>
      <c r="AD624" s="177">
        <f t="shared" ref="AD624:AD626" si="280">S624*R624</f>
        <v>0</v>
      </c>
      <c r="AE624" s="178">
        <v>2.0499999999999998</v>
      </c>
      <c r="AF624" s="179">
        <f t="shared" ref="AF624:AF626" si="281">AE624*S624</f>
        <v>0</v>
      </c>
      <c r="AH624" s="180"/>
      <c r="AK624" s="1"/>
      <c r="AL624" s="1"/>
      <c r="AM624" s="1"/>
      <c r="AN624" s="1"/>
    </row>
    <row r="625" spans="1:40" ht="12.75" customHeight="1">
      <c r="A625" s="87"/>
      <c r="B625" s="192" t="s">
        <v>1176</v>
      </c>
      <c r="C625" s="193" t="s">
        <v>57</v>
      </c>
      <c r="D625" s="193" t="s">
        <v>65</v>
      </c>
      <c r="E625" s="194">
        <v>20</v>
      </c>
      <c r="F625" s="193"/>
      <c r="G625" s="193"/>
      <c r="H625" s="193" t="s">
        <v>121</v>
      </c>
      <c r="I625" s="193" t="s">
        <v>39</v>
      </c>
      <c r="J625" s="194">
        <v>20</v>
      </c>
      <c r="K625" s="193"/>
      <c r="L625" s="193"/>
      <c r="M625" s="193" t="s">
        <v>39</v>
      </c>
      <c r="N625" s="193" t="s">
        <v>47</v>
      </c>
      <c r="O625" s="194">
        <v>20</v>
      </c>
      <c r="P625" s="194" t="s">
        <v>1177</v>
      </c>
      <c r="Q625" s="521">
        <f>R625*(1-Bolts!$E$1179)</f>
        <v>101.6</v>
      </c>
      <c r="R625" s="150">
        <v>101.6</v>
      </c>
      <c r="S625" s="168">
        <f t="shared" si="278"/>
        <v>0</v>
      </c>
      <c r="T625" s="211"/>
      <c r="U625" s="169"/>
      <c r="V625" s="170"/>
      <c r="W625" s="171"/>
      <c r="X625" s="172"/>
      <c r="Y625" s="173"/>
      <c r="Z625" s="174"/>
      <c r="AA625" s="175"/>
      <c r="AB625" s="176"/>
      <c r="AC625" s="168">
        <f t="shared" si="279"/>
        <v>0</v>
      </c>
      <c r="AD625" s="177">
        <f t="shared" si="280"/>
        <v>0</v>
      </c>
      <c r="AE625" s="178">
        <v>1.8</v>
      </c>
      <c r="AF625" s="179">
        <f t="shared" si="281"/>
        <v>0</v>
      </c>
      <c r="AH625" s="180"/>
      <c r="AK625" s="1"/>
      <c r="AL625" s="1"/>
      <c r="AM625" s="1"/>
      <c r="AN625" s="1"/>
    </row>
    <row r="626" spans="1:40" ht="12.75" customHeight="1">
      <c r="A626" s="87"/>
      <c r="B626" s="192" t="s">
        <v>1178</v>
      </c>
      <c r="C626" s="193" t="s">
        <v>57</v>
      </c>
      <c r="D626" s="193" t="s">
        <v>65</v>
      </c>
      <c r="E626" s="194">
        <v>20</v>
      </c>
      <c r="F626" s="193"/>
      <c r="G626" s="193"/>
      <c r="H626" s="193" t="s">
        <v>121</v>
      </c>
      <c r="I626" s="193" t="s">
        <v>39</v>
      </c>
      <c r="J626" s="194">
        <v>20</v>
      </c>
      <c r="K626" s="193"/>
      <c r="L626" s="193"/>
      <c r="M626" s="193" t="s">
        <v>39</v>
      </c>
      <c r="N626" s="193" t="s">
        <v>49</v>
      </c>
      <c r="O626" s="194">
        <v>20</v>
      </c>
      <c r="P626" s="194" t="s">
        <v>1179</v>
      </c>
      <c r="Q626" s="521">
        <f>R626*(1-Bolts!$E$1179)</f>
        <v>166.3</v>
      </c>
      <c r="R626" s="150">
        <v>166.3</v>
      </c>
      <c r="S626" s="168">
        <f t="shared" si="278"/>
        <v>0</v>
      </c>
      <c r="T626" s="211"/>
      <c r="U626" s="169"/>
      <c r="V626" s="170"/>
      <c r="W626" s="171"/>
      <c r="X626" s="172"/>
      <c r="Y626" s="173"/>
      <c r="Z626" s="174"/>
      <c r="AA626" s="175"/>
      <c r="AB626" s="176"/>
      <c r="AC626" s="168">
        <f t="shared" si="279"/>
        <v>0</v>
      </c>
      <c r="AD626" s="177">
        <f t="shared" si="280"/>
        <v>0</v>
      </c>
      <c r="AE626" s="178">
        <v>5.25</v>
      </c>
      <c r="AF626" s="179">
        <f t="shared" si="281"/>
        <v>0</v>
      </c>
      <c r="AH626" s="180"/>
      <c r="AK626" s="1"/>
      <c r="AL626" s="1"/>
      <c r="AM626" s="1"/>
      <c r="AN626" s="1"/>
    </row>
    <row r="627" spans="1:40" ht="12.75" customHeight="1">
      <c r="A627" s="138" t="s">
        <v>378</v>
      </c>
      <c r="B627" s="205" t="s">
        <v>1180</v>
      </c>
      <c r="C627" s="206" t="str">
        <f>B627</f>
        <v>Alex Puccio</v>
      </c>
      <c r="D627" s="207"/>
      <c r="E627" s="207"/>
      <c r="F627" s="207"/>
      <c r="G627" s="207"/>
      <c r="H627" s="207" t="s">
        <v>121</v>
      </c>
      <c r="I627" s="207"/>
      <c r="J627" s="207"/>
      <c r="K627" s="207"/>
      <c r="L627" s="207"/>
      <c r="M627" s="207"/>
      <c r="N627" s="207"/>
      <c r="O627" s="207"/>
      <c r="P627" s="207"/>
      <c r="Q627" s="524"/>
      <c r="R627" s="150"/>
      <c r="S627" s="207"/>
      <c r="T627" s="207"/>
      <c r="U627" s="207"/>
      <c r="V627" s="207"/>
      <c r="W627" s="207"/>
      <c r="X627" s="207"/>
      <c r="Y627" s="207"/>
      <c r="Z627" s="207"/>
      <c r="AA627" s="207"/>
      <c r="AB627" s="207"/>
      <c r="AC627" s="207"/>
      <c r="AD627" s="207"/>
      <c r="AE627" s="207"/>
      <c r="AF627" s="208"/>
      <c r="AH627" s="180"/>
      <c r="AK627" s="1"/>
      <c r="AL627" s="1"/>
      <c r="AM627" s="1"/>
      <c r="AN627" s="1"/>
    </row>
    <row r="628" spans="1:40" ht="12.75" customHeight="1">
      <c r="A628" s="87"/>
      <c r="B628" s="192" t="s">
        <v>1181</v>
      </c>
      <c r="C628" s="193" t="s">
        <v>57</v>
      </c>
      <c r="D628" s="193" t="s">
        <v>61</v>
      </c>
      <c r="E628" s="194">
        <v>4</v>
      </c>
      <c r="F628" s="193"/>
      <c r="G628" s="193"/>
      <c r="H628" s="193" t="s">
        <v>121</v>
      </c>
      <c r="I628" s="193" t="s">
        <v>37</v>
      </c>
      <c r="J628" s="194">
        <v>4</v>
      </c>
      <c r="K628" s="193"/>
      <c r="L628" s="193"/>
      <c r="M628" s="193" t="s">
        <v>37</v>
      </c>
      <c r="N628" s="193" t="s">
        <v>49</v>
      </c>
      <c r="O628" s="194">
        <v>4</v>
      </c>
      <c r="P628" s="194" t="s">
        <v>1182</v>
      </c>
      <c r="Q628" s="521">
        <f>R628*(1-Bolts!$E$1179)</f>
        <v>497.9</v>
      </c>
      <c r="R628" s="150">
        <v>497.9</v>
      </c>
      <c r="S628" s="168">
        <f t="shared" ref="S628:S629" si="282">SUM(T628:AB628)</f>
        <v>0</v>
      </c>
      <c r="T628" s="211"/>
      <c r="U628" s="169"/>
      <c r="V628" s="170"/>
      <c r="W628" s="171"/>
      <c r="X628" s="172"/>
      <c r="Y628" s="173"/>
      <c r="Z628" s="174"/>
      <c r="AA628" s="175"/>
      <c r="AB628" s="176"/>
      <c r="AC628" s="168">
        <f t="shared" ref="AC628:AC629" si="283">S628*O628</f>
        <v>0</v>
      </c>
      <c r="AD628" s="177">
        <f t="shared" ref="AD628:AD629" si="284">S628*R628</f>
        <v>0</v>
      </c>
      <c r="AE628" s="178">
        <v>25.86</v>
      </c>
      <c r="AF628" s="179">
        <f t="shared" ref="AF628:AF629" si="285">AE628*S628</f>
        <v>0</v>
      </c>
      <c r="AH628" s="209"/>
      <c r="AK628" s="1"/>
      <c r="AL628" s="1"/>
      <c r="AM628" s="1"/>
      <c r="AN628" s="1"/>
    </row>
    <row r="629" spans="1:40" ht="12.75" customHeight="1">
      <c r="A629" s="87"/>
      <c r="B629" s="192" t="s">
        <v>1183</v>
      </c>
      <c r="C629" s="193" t="s">
        <v>57</v>
      </c>
      <c r="D629" s="193" t="s">
        <v>61</v>
      </c>
      <c r="E629" s="194">
        <v>4</v>
      </c>
      <c r="F629" s="193"/>
      <c r="G629" s="193"/>
      <c r="H629" s="193" t="s">
        <v>121</v>
      </c>
      <c r="I629" s="193" t="s">
        <v>37</v>
      </c>
      <c r="J629" s="194">
        <v>4</v>
      </c>
      <c r="K629" s="193"/>
      <c r="L629" s="193"/>
      <c r="M629" s="193" t="s">
        <v>37</v>
      </c>
      <c r="N629" s="193" t="s">
        <v>49</v>
      </c>
      <c r="O629" s="194">
        <v>4</v>
      </c>
      <c r="P629" s="194" t="s">
        <v>1184</v>
      </c>
      <c r="Q629" s="521">
        <f>R629*(1-Bolts!$E$1179)</f>
        <v>550.5</v>
      </c>
      <c r="R629" s="150">
        <v>550.5</v>
      </c>
      <c r="S629" s="168">
        <f t="shared" si="282"/>
        <v>0</v>
      </c>
      <c r="T629" s="211"/>
      <c r="U629" s="169"/>
      <c r="V629" s="170"/>
      <c r="W629" s="171"/>
      <c r="X629" s="172"/>
      <c r="Y629" s="173"/>
      <c r="Z629" s="174"/>
      <c r="AA629" s="175"/>
      <c r="AB629" s="176"/>
      <c r="AC629" s="168">
        <f t="shared" si="283"/>
        <v>0</v>
      </c>
      <c r="AD629" s="177">
        <f t="shared" si="284"/>
        <v>0</v>
      </c>
      <c r="AE629" s="178">
        <v>28.25</v>
      </c>
      <c r="AF629" s="179">
        <f t="shared" si="285"/>
        <v>0</v>
      </c>
      <c r="AH629" s="180"/>
      <c r="AK629" s="1"/>
      <c r="AL629" s="1"/>
      <c r="AM629" s="1"/>
      <c r="AN629" s="1"/>
    </row>
    <row r="630" spans="1:40" ht="12.75" customHeight="1">
      <c r="A630" s="138" t="s">
        <v>378</v>
      </c>
      <c r="B630" s="205" t="s">
        <v>1185</v>
      </c>
      <c r="C630" s="206" t="str">
        <f>B630</f>
        <v>Will Watkins - Oz Scoops and Edges</v>
      </c>
      <c r="D630" s="207"/>
      <c r="E630" s="207"/>
      <c r="F630" s="207"/>
      <c r="G630" s="207"/>
      <c r="H630" s="207" t="s">
        <v>121</v>
      </c>
      <c r="I630" s="207"/>
      <c r="J630" s="207"/>
      <c r="K630" s="207"/>
      <c r="L630" s="207"/>
      <c r="M630" s="207"/>
      <c r="N630" s="207"/>
      <c r="O630" s="207"/>
      <c r="P630" s="207"/>
      <c r="Q630" s="524"/>
      <c r="R630" s="150"/>
      <c r="S630" s="207"/>
      <c r="T630" s="207"/>
      <c r="U630" s="207"/>
      <c r="V630" s="207"/>
      <c r="W630" s="207"/>
      <c r="X630" s="207"/>
      <c r="Y630" s="207"/>
      <c r="Z630" s="207"/>
      <c r="AA630" s="207"/>
      <c r="AB630" s="207"/>
      <c r="AC630" s="207"/>
      <c r="AD630" s="207"/>
      <c r="AE630" s="207"/>
      <c r="AF630" s="208"/>
      <c r="AH630" s="180"/>
      <c r="AK630" s="1"/>
      <c r="AL630" s="1"/>
      <c r="AM630" s="1"/>
      <c r="AN630" s="1"/>
    </row>
    <row r="631" spans="1:40" ht="12.75" customHeight="1">
      <c r="A631" s="87"/>
      <c r="B631" s="192" t="s">
        <v>1186</v>
      </c>
      <c r="C631" s="193" t="s">
        <v>55</v>
      </c>
      <c r="D631" s="193" t="s">
        <v>63</v>
      </c>
      <c r="E631" s="194">
        <v>5</v>
      </c>
      <c r="F631" s="193"/>
      <c r="G631" s="193"/>
      <c r="H631" s="193" t="s">
        <v>121</v>
      </c>
      <c r="I631" s="193" t="s">
        <v>37</v>
      </c>
      <c r="J631" s="194">
        <v>5</v>
      </c>
      <c r="K631" s="193"/>
      <c r="L631" s="193"/>
      <c r="M631" s="193" t="s">
        <v>37</v>
      </c>
      <c r="N631" s="193" t="s">
        <v>49</v>
      </c>
      <c r="O631" s="194">
        <v>5</v>
      </c>
      <c r="P631" s="194" t="s">
        <v>1187</v>
      </c>
      <c r="Q631" s="521">
        <f>R631*(1-Bolts!$E$1179)</f>
        <v>131.1</v>
      </c>
      <c r="R631" s="150">
        <v>131.1</v>
      </c>
      <c r="S631" s="168">
        <f t="shared" ref="S631:S641" si="286">SUM(T631:AB631)</f>
        <v>0</v>
      </c>
      <c r="T631" s="211"/>
      <c r="U631" s="169"/>
      <c r="V631" s="170"/>
      <c r="W631" s="171"/>
      <c r="X631" s="172"/>
      <c r="Y631" s="173"/>
      <c r="Z631" s="174"/>
      <c r="AA631" s="175"/>
      <c r="AB631" s="176"/>
      <c r="AC631" s="168">
        <f t="shared" ref="AC631:AC641" si="287">S631*O631</f>
        <v>0</v>
      </c>
      <c r="AD631" s="177">
        <f t="shared" ref="AD631:AD641" si="288">S631*R631</f>
        <v>0</v>
      </c>
      <c r="AE631" s="178">
        <v>5.44</v>
      </c>
      <c r="AF631" s="179">
        <f t="shared" ref="AF631:AF641" si="289">AE631*S631</f>
        <v>0</v>
      </c>
      <c r="AH631" s="209"/>
      <c r="AK631" s="1"/>
      <c r="AL631" s="1"/>
      <c r="AM631" s="1"/>
      <c r="AN631" s="1"/>
    </row>
    <row r="632" spans="1:40" ht="12.75" customHeight="1">
      <c r="A632" s="87"/>
      <c r="B632" s="192" t="s">
        <v>1188</v>
      </c>
      <c r="C632" s="193" t="s">
        <v>55</v>
      </c>
      <c r="D632" s="193" t="s">
        <v>63</v>
      </c>
      <c r="E632" s="194">
        <v>10</v>
      </c>
      <c r="F632" s="193"/>
      <c r="G632" s="193"/>
      <c r="H632" s="193" t="s">
        <v>121</v>
      </c>
      <c r="I632" s="193" t="s">
        <v>37</v>
      </c>
      <c r="J632" s="194">
        <v>10</v>
      </c>
      <c r="K632" s="193"/>
      <c r="L632" s="193"/>
      <c r="M632" s="193" t="s">
        <v>37</v>
      </c>
      <c r="N632" s="193" t="s">
        <v>49</v>
      </c>
      <c r="O632" s="194">
        <v>10</v>
      </c>
      <c r="P632" s="194" t="s">
        <v>1189</v>
      </c>
      <c r="Q632" s="521">
        <f>R632*(1-Bolts!$E$1179)</f>
        <v>193.6</v>
      </c>
      <c r="R632" s="150">
        <v>193.6</v>
      </c>
      <c r="S632" s="168">
        <f t="shared" si="286"/>
        <v>0</v>
      </c>
      <c r="T632" s="211"/>
      <c r="U632" s="169"/>
      <c r="V632" s="170"/>
      <c r="W632" s="171"/>
      <c r="X632" s="172"/>
      <c r="Y632" s="173"/>
      <c r="Z632" s="174"/>
      <c r="AA632" s="175"/>
      <c r="AB632" s="176"/>
      <c r="AC632" s="168">
        <f t="shared" si="287"/>
        <v>0</v>
      </c>
      <c r="AD632" s="177">
        <f t="shared" si="288"/>
        <v>0</v>
      </c>
      <c r="AE632" s="178">
        <v>8.33</v>
      </c>
      <c r="AF632" s="179">
        <f t="shared" si="289"/>
        <v>0</v>
      </c>
      <c r="AH632" s="180"/>
      <c r="AK632" s="1"/>
      <c r="AL632" s="1"/>
      <c r="AM632" s="1"/>
      <c r="AN632" s="1"/>
    </row>
    <row r="633" spans="1:40" ht="12.75" customHeight="1">
      <c r="A633" s="87"/>
      <c r="B633" s="192" t="s">
        <v>1190</v>
      </c>
      <c r="C633" s="193" t="s">
        <v>55</v>
      </c>
      <c r="D633" s="193" t="s">
        <v>63</v>
      </c>
      <c r="E633" s="194">
        <v>10</v>
      </c>
      <c r="F633" s="193"/>
      <c r="G633" s="193"/>
      <c r="H633" s="193" t="s">
        <v>121</v>
      </c>
      <c r="I633" s="193" t="s">
        <v>31</v>
      </c>
      <c r="J633" s="194">
        <v>10</v>
      </c>
      <c r="K633" s="193"/>
      <c r="L633" s="193"/>
      <c r="M633" s="193" t="s">
        <v>31</v>
      </c>
      <c r="N633" s="193" t="s">
        <v>48</v>
      </c>
      <c r="O633" s="194">
        <v>10</v>
      </c>
      <c r="P633" s="194" t="s">
        <v>1191</v>
      </c>
      <c r="Q633" s="521">
        <f>R633*(1-Bolts!$E$1179)</f>
        <v>214.1</v>
      </c>
      <c r="R633" s="150">
        <v>214.1</v>
      </c>
      <c r="S633" s="168">
        <f t="shared" si="286"/>
        <v>0</v>
      </c>
      <c r="T633" s="211"/>
      <c r="U633" s="169"/>
      <c r="V633" s="170"/>
      <c r="W633" s="171"/>
      <c r="X633" s="172"/>
      <c r="Y633" s="173"/>
      <c r="Z633" s="174"/>
      <c r="AA633" s="175"/>
      <c r="AB633" s="176"/>
      <c r="AC633" s="168">
        <f t="shared" si="287"/>
        <v>0</v>
      </c>
      <c r="AD633" s="177">
        <f t="shared" si="288"/>
        <v>0</v>
      </c>
      <c r="AE633" s="178">
        <v>9.52</v>
      </c>
      <c r="AF633" s="179">
        <f t="shared" si="289"/>
        <v>0</v>
      </c>
      <c r="AH633" s="180"/>
      <c r="AK633" s="1"/>
      <c r="AL633" s="1"/>
      <c r="AM633" s="1"/>
      <c r="AN633" s="1"/>
    </row>
    <row r="634" spans="1:40" ht="12.75" customHeight="1">
      <c r="A634" s="87"/>
      <c r="B634" s="192" t="s">
        <v>1192</v>
      </c>
      <c r="C634" s="193" t="s">
        <v>55</v>
      </c>
      <c r="D634" s="193" t="s">
        <v>48</v>
      </c>
      <c r="E634" s="194">
        <v>10</v>
      </c>
      <c r="F634" s="193"/>
      <c r="G634" s="193"/>
      <c r="H634" s="193" t="s">
        <v>121</v>
      </c>
      <c r="I634" s="193" t="s">
        <v>37</v>
      </c>
      <c r="J634" s="194">
        <v>10</v>
      </c>
      <c r="K634" s="193"/>
      <c r="L634" s="193"/>
      <c r="M634" s="193" t="s">
        <v>37</v>
      </c>
      <c r="N634" s="193" t="s">
        <v>49</v>
      </c>
      <c r="O634" s="194">
        <v>10</v>
      </c>
      <c r="P634" s="194" t="s">
        <v>1193</v>
      </c>
      <c r="Q634" s="521">
        <f>R634*(1-Bolts!$E$1179)</f>
        <v>171.4</v>
      </c>
      <c r="R634" s="150">
        <v>171.4</v>
      </c>
      <c r="S634" s="168">
        <f t="shared" si="286"/>
        <v>0</v>
      </c>
      <c r="T634" s="211"/>
      <c r="U634" s="169"/>
      <c r="V634" s="170"/>
      <c r="W634" s="171"/>
      <c r="X634" s="172"/>
      <c r="Y634" s="173"/>
      <c r="Z634" s="174"/>
      <c r="AA634" s="175"/>
      <c r="AB634" s="176"/>
      <c r="AC634" s="168">
        <f t="shared" si="287"/>
        <v>0</v>
      </c>
      <c r="AD634" s="177">
        <f t="shared" si="288"/>
        <v>0</v>
      </c>
      <c r="AE634" s="178">
        <v>7.04</v>
      </c>
      <c r="AF634" s="179">
        <f t="shared" si="289"/>
        <v>0</v>
      </c>
      <c r="AH634" s="180"/>
      <c r="AK634" s="1"/>
      <c r="AL634" s="1"/>
      <c r="AM634" s="1"/>
      <c r="AN634" s="1"/>
    </row>
    <row r="635" spans="1:40" ht="12.75" customHeight="1">
      <c r="A635" s="87"/>
      <c r="B635" s="192" t="s">
        <v>1194</v>
      </c>
      <c r="C635" s="193" t="s">
        <v>55</v>
      </c>
      <c r="D635" s="193" t="s">
        <v>48</v>
      </c>
      <c r="E635" s="194">
        <v>10</v>
      </c>
      <c r="F635" s="193"/>
      <c r="G635" s="193"/>
      <c r="H635" s="193" t="s">
        <v>121</v>
      </c>
      <c r="I635" s="193" t="s">
        <v>33</v>
      </c>
      <c r="J635" s="194">
        <v>10</v>
      </c>
      <c r="K635" s="193"/>
      <c r="L635" s="193"/>
      <c r="M635" s="193" t="s">
        <v>33</v>
      </c>
      <c r="N635" s="193" t="s">
        <v>48</v>
      </c>
      <c r="O635" s="194">
        <v>10</v>
      </c>
      <c r="P635" s="194" t="s">
        <v>1195</v>
      </c>
      <c r="Q635" s="521">
        <f>R635*(1-Bolts!$E$1179)</f>
        <v>136.80000000000001</v>
      </c>
      <c r="R635" s="150">
        <v>136.80000000000001</v>
      </c>
      <c r="S635" s="168">
        <f t="shared" si="286"/>
        <v>0</v>
      </c>
      <c r="T635" s="211"/>
      <c r="U635" s="169"/>
      <c r="V635" s="170"/>
      <c r="W635" s="171"/>
      <c r="X635" s="172"/>
      <c r="Y635" s="173"/>
      <c r="Z635" s="174"/>
      <c r="AA635" s="175"/>
      <c r="AB635" s="176"/>
      <c r="AC635" s="168">
        <f t="shared" si="287"/>
        <v>0</v>
      </c>
      <c r="AD635" s="177">
        <f t="shared" si="288"/>
        <v>0</v>
      </c>
      <c r="AE635" s="178">
        <v>5.03</v>
      </c>
      <c r="AF635" s="179">
        <f t="shared" si="289"/>
        <v>0</v>
      </c>
      <c r="AH635" s="180"/>
      <c r="AK635" s="1"/>
      <c r="AL635" s="1"/>
      <c r="AM635" s="1"/>
      <c r="AN635" s="1"/>
    </row>
    <row r="636" spans="1:40" ht="12.75" customHeight="1">
      <c r="A636" s="87"/>
      <c r="B636" s="192" t="s">
        <v>1196</v>
      </c>
      <c r="C636" s="193" t="s">
        <v>55</v>
      </c>
      <c r="D636" s="193" t="s">
        <v>48</v>
      </c>
      <c r="E636" s="194">
        <v>10</v>
      </c>
      <c r="F636" s="193"/>
      <c r="G636" s="193"/>
      <c r="H636" s="193" t="s">
        <v>121</v>
      </c>
      <c r="I636" s="193" t="s">
        <v>33</v>
      </c>
      <c r="J636" s="194">
        <v>10</v>
      </c>
      <c r="K636" s="193"/>
      <c r="L636" s="193"/>
      <c r="M636" s="193" t="s">
        <v>33</v>
      </c>
      <c r="N636" s="193" t="s">
        <v>49</v>
      </c>
      <c r="O636" s="194">
        <v>10</v>
      </c>
      <c r="P636" s="194" t="s">
        <v>1197</v>
      </c>
      <c r="Q636" s="521">
        <f>R636*(1-Bolts!$E$1179)</f>
        <v>174.9</v>
      </c>
      <c r="R636" s="150">
        <v>174.9</v>
      </c>
      <c r="S636" s="168">
        <f t="shared" si="286"/>
        <v>0</v>
      </c>
      <c r="T636" s="211"/>
      <c r="U636" s="169"/>
      <c r="V636" s="170"/>
      <c r="W636" s="171"/>
      <c r="X636" s="172"/>
      <c r="Y636" s="173"/>
      <c r="Z636" s="174"/>
      <c r="AA636" s="175"/>
      <c r="AB636" s="176"/>
      <c r="AC636" s="168">
        <f t="shared" si="287"/>
        <v>0</v>
      </c>
      <c r="AD636" s="177">
        <f t="shared" si="288"/>
        <v>0</v>
      </c>
      <c r="AE636" s="178">
        <v>7.24</v>
      </c>
      <c r="AF636" s="179">
        <f t="shared" si="289"/>
        <v>0</v>
      </c>
      <c r="AH636" s="180"/>
      <c r="AK636" s="1"/>
      <c r="AL636" s="1"/>
      <c r="AM636" s="1"/>
      <c r="AN636" s="1"/>
    </row>
    <row r="637" spans="1:40" ht="12.75" customHeight="1">
      <c r="A637" s="87"/>
      <c r="B637" s="192" t="s">
        <v>1198</v>
      </c>
      <c r="C637" s="193" t="s">
        <v>55</v>
      </c>
      <c r="D637" s="193" t="s">
        <v>65</v>
      </c>
      <c r="E637" s="194">
        <v>10</v>
      </c>
      <c r="F637" s="193"/>
      <c r="G637" s="193"/>
      <c r="H637" s="193" t="s">
        <v>121</v>
      </c>
      <c r="I637" s="193" t="s">
        <v>39</v>
      </c>
      <c r="J637" s="194">
        <v>10</v>
      </c>
      <c r="K637" s="193"/>
      <c r="L637" s="193"/>
      <c r="M637" s="193" t="s">
        <v>39</v>
      </c>
      <c r="N637" s="193" t="s">
        <v>48</v>
      </c>
      <c r="O637" s="194">
        <v>10</v>
      </c>
      <c r="P637" s="194" t="s">
        <v>1199</v>
      </c>
      <c r="Q637" s="521">
        <f>R637*(1-Bolts!$E$1179)</f>
        <v>84.7</v>
      </c>
      <c r="R637" s="150">
        <v>84.7</v>
      </c>
      <c r="S637" s="168">
        <f t="shared" si="286"/>
        <v>0</v>
      </c>
      <c r="T637" s="211"/>
      <c r="U637" s="169"/>
      <c r="V637" s="170"/>
      <c r="W637" s="171"/>
      <c r="X637" s="172"/>
      <c r="Y637" s="173"/>
      <c r="Z637" s="174"/>
      <c r="AA637" s="175"/>
      <c r="AB637" s="176"/>
      <c r="AC637" s="168">
        <f t="shared" si="287"/>
        <v>0</v>
      </c>
      <c r="AD637" s="177">
        <f t="shared" si="288"/>
        <v>0</v>
      </c>
      <c r="AE637" s="178">
        <v>2</v>
      </c>
      <c r="AF637" s="179">
        <f t="shared" si="289"/>
        <v>0</v>
      </c>
      <c r="AH637" s="180"/>
      <c r="AK637" s="1"/>
      <c r="AL637" s="1"/>
      <c r="AM637" s="1"/>
      <c r="AN637" s="1"/>
    </row>
    <row r="638" spans="1:40" ht="12.75" customHeight="1">
      <c r="A638" s="87"/>
      <c r="B638" s="192" t="s">
        <v>1200</v>
      </c>
      <c r="C638" s="193" t="s">
        <v>55</v>
      </c>
      <c r="D638" s="193" t="s">
        <v>38</v>
      </c>
      <c r="E638" s="194">
        <v>10</v>
      </c>
      <c r="F638" s="193"/>
      <c r="G638" s="193"/>
      <c r="H638" s="193" t="s">
        <v>121</v>
      </c>
      <c r="I638" s="193" t="s">
        <v>38</v>
      </c>
      <c r="J638" s="194">
        <v>10</v>
      </c>
      <c r="K638" s="193"/>
      <c r="L638" s="193"/>
      <c r="M638" s="193" t="s">
        <v>38</v>
      </c>
      <c r="N638" s="193" t="s">
        <v>49</v>
      </c>
      <c r="O638" s="194">
        <v>10</v>
      </c>
      <c r="P638" s="194" t="s">
        <v>1201</v>
      </c>
      <c r="Q638" s="521">
        <f>R638*(1-Bolts!$E$1179)</f>
        <v>124.3</v>
      </c>
      <c r="R638" s="150">
        <v>124.3</v>
      </c>
      <c r="S638" s="168">
        <f t="shared" si="286"/>
        <v>0</v>
      </c>
      <c r="T638" s="211"/>
      <c r="U638" s="169"/>
      <c r="V638" s="170"/>
      <c r="W638" s="171"/>
      <c r="X638" s="172"/>
      <c r="Y638" s="173"/>
      <c r="Z638" s="174"/>
      <c r="AA638" s="175"/>
      <c r="AB638" s="176"/>
      <c r="AC638" s="168">
        <f t="shared" si="287"/>
        <v>0</v>
      </c>
      <c r="AD638" s="177">
        <f t="shared" si="288"/>
        <v>0</v>
      </c>
      <c r="AE638" s="178">
        <v>4.41</v>
      </c>
      <c r="AF638" s="179">
        <f t="shared" si="289"/>
        <v>0</v>
      </c>
      <c r="AH638" s="180"/>
      <c r="AK638" s="1"/>
      <c r="AL638" s="1"/>
      <c r="AM638" s="1"/>
      <c r="AN638" s="1"/>
    </row>
    <row r="639" spans="1:40" ht="12.75" customHeight="1">
      <c r="A639" s="87"/>
      <c r="B639" s="192" t="s">
        <v>1202</v>
      </c>
      <c r="C639" s="193" t="s">
        <v>55</v>
      </c>
      <c r="D639" s="193" t="s">
        <v>38</v>
      </c>
      <c r="E639" s="194">
        <v>5</v>
      </c>
      <c r="F639" s="193"/>
      <c r="G639" s="193"/>
      <c r="H639" s="193" t="s">
        <v>121</v>
      </c>
      <c r="I639" s="193" t="s">
        <v>38</v>
      </c>
      <c r="J639" s="194">
        <v>5</v>
      </c>
      <c r="K639" s="193"/>
      <c r="L639" s="193"/>
      <c r="M639" s="193" t="s">
        <v>38</v>
      </c>
      <c r="N639" s="193" t="s">
        <v>49</v>
      </c>
      <c r="O639" s="194">
        <v>5</v>
      </c>
      <c r="P639" s="194" t="s">
        <v>1203</v>
      </c>
      <c r="Q639" s="521">
        <f>R639*(1-Bolts!$E$1179)</f>
        <v>112.3</v>
      </c>
      <c r="R639" s="150">
        <v>112.3</v>
      </c>
      <c r="S639" s="168">
        <f t="shared" si="286"/>
        <v>0</v>
      </c>
      <c r="T639" s="211"/>
      <c r="U639" s="169"/>
      <c r="V639" s="170"/>
      <c r="W639" s="171"/>
      <c r="X639" s="172"/>
      <c r="Y639" s="173"/>
      <c r="Z639" s="174"/>
      <c r="AA639" s="175"/>
      <c r="AB639" s="176"/>
      <c r="AC639" s="168">
        <f t="shared" si="287"/>
        <v>0</v>
      </c>
      <c r="AD639" s="177">
        <f t="shared" si="288"/>
        <v>0</v>
      </c>
      <c r="AE639" s="178">
        <v>4.41</v>
      </c>
      <c r="AF639" s="179">
        <f t="shared" si="289"/>
        <v>0</v>
      </c>
      <c r="AH639" s="180"/>
      <c r="AK639" s="1"/>
      <c r="AL639" s="1"/>
      <c r="AM639" s="1"/>
      <c r="AN639" s="1"/>
    </row>
    <row r="640" spans="1:40" ht="12.75" customHeight="1">
      <c r="A640" s="87"/>
      <c r="B640" s="192" t="s">
        <v>1204</v>
      </c>
      <c r="C640" s="193" t="s">
        <v>55</v>
      </c>
      <c r="D640" s="193" t="s">
        <v>38</v>
      </c>
      <c r="E640" s="194">
        <v>15</v>
      </c>
      <c r="F640" s="193"/>
      <c r="G640" s="193"/>
      <c r="H640" s="193" t="s">
        <v>121</v>
      </c>
      <c r="I640" s="193" t="s">
        <v>38</v>
      </c>
      <c r="J640" s="194">
        <v>15</v>
      </c>
      <c r="K640" s="193"/>
      <c r="L640" s="193"/>
      <c r="M640" s="193" t="s">
        <v>38</v>
      </c>
      <c r="N640" s="193" t="s">
        <v>49</v>
      </c>
      <c r="O640" s="194">
        <v>15</v>
      </c>
      <c r="P640" s="194" t="s">
        <v>1205</v>
      </c>
      <c r="Q640" s="521">
        <f>R640*(1-Bolts!$E$1179)</f>
        <v>101.4</v>
      </c>
      <c r="R640" s="150">
        <v>101.4</v>
      </c>
      <c r="S640" s="168">
        <f t="shared" si="286"/>
        <v>0</v>
      </c>
      <c r="T640" s="211"/>
      <c r="U640" s="169"/>
      <c r="V640" s="170"/>
      <c r="W640" s="171"/>
      <c r="X640" s="172"/>
      <c r="Y640" s="173"/>
      <c r="Z640" s="174"/>
      <c r="AA640" s="175"/>
      <c r="AB640" s="176"/>
      <c r="AC640" s="168">
        <f t="shared" si="287"/>
        <v>0</v>
      </c>
      <c r="AD640" s="177">
        <f t="shared" si="288"/>
        <v>0</v>
      </c>
      <c r="AE640" s="178">
        <v>2.39</v>
      </c>
      <c r="AF640" s="179">
        <f t="shared" si="289"/>
        <v>0</v>
      </c>
      <c r="AH640" s="180"/>
      <c r="AK640" s="1"/>
      <c r="AL640" s="1"/>
      <c r="AM640" s="1"/>
      <c r="AN640" s="1"/>
    </row>
    <row r="641" spans="1:40" ht="12.75" customHeight="1">
      <c r="A641" s="87"/>
      <c r="B641" s="192" t="s">
        <v>1206</v>
      </c>
      <c r="C641" s="193" t="s">
        <v>55</v>
      </c>
      <c r="D641" s="193" t="s">
        <v>38</v>
      </c>
      <c r="E641" s="194">
        <v>5</v>
      </c>
      <c r="F641" s="193"/>
      <c r="G641" s="193"/>
      <c r="H641" s="193" t="s">
        <v>121</v>
      </c>
      <c r="I641" s="193" t="s">
        <v>38</v>
      </c>
      <c r="J641" s="194">
        <v>5</v>
      </c>
      <c r="K641" s="193"/>
      <c r="L641" s="193"/>
      <c r="M641" s="193" t="s">
        <v>38</v>
      </c>
      <c r="N641" s="193" t="s">
        <v>49</v>
      </c>
      <c r="O641" s="194">
        <v>5</v>
      </c>
      <c r="P641" s="194" t="s">
        <v>1207</v>
      </c>
      <c r="Q641" s="521">
        <f>R641*(1-Bolts!$E$1179)</f>
        <v>77.8</v>
      </c>
      <c r="R641" s="150">
        <v>77.8</v>
      </c>
      <c r="S641" s="168">
        <f t="shared" si="286"/>
        <v>0</v>
      </c>
      <c r="T641" s="211"/>
      <c r="U641" s="169"/>
      <c r="V641" s="170"/>
      <c r="W641" s="171"/>
      <c r="X641" s="172"/>
      <c r="Y641" s="173"/>
      <c r="Z641" s="174"/>
      <c r="AA641" s="175"/>
      <c r="AB641" s="176"/>
      <c r="AC641" s="168">
        <f t="shared" si="287"/>
        <v>0</v>
      </c>
      <c r="AD641" s="177">
        <f t="shared" si="288"/>
        <v>0</v>
      </c>
      <c r="AE641" s="178">
        <v>2.4</v>
      </c>
      <c r="AF641" s="179">
        <f t="shared" si="289"/>
        <v>0</v>
      </c>
      <c r="AH641" s="180"/>
      <c r="AK641" s="1"/>
      <c r="AL641" s="1"/>
      <c r="AM641" s="1"/>
      <c r="AN641" s="1"/>
    </row>
    <row r="642" spans="1:40" ht="12.75" customHeight="1">
      <c r="A642" s="138" t="s">
        <v>1208</v>
      </c>
      <c r="B642" s="220" t="s">
        <v>1209</v>
      </c>
      <c r="C642" s="221" t="str">
        <f>B642</f>
        <v>Setter Shapers</v>
      </c>
      <c r="D642" s="142"/>
      <c r="E642" s="142"/>
      <c r="F642" s="142"/>
      <c r="G642" s="142"/>
      <c r="H642" s="142" t="s">
        <v>121</v>
      </c>
      <c r="I642" s="142"/>
      <c r="J642" s="142"/>
      <c r="K642" s="142"/>
      <c r="L642" s="142"/>
      <c r="M642" s="142"/>
      <c r="N642" s="142"/>
      <c r="O642" s="142"/>
      <c r="P642" s="142"/>
      <c r="Q642" s="525"/>
      <c r="R642" s="150"/>
      <c r="S642" s="142"/>
      <c r="T642" s="142"/>
      <c r="U642" s="142"/>
      <c r="V642" s="142"/>
      <c r="W642" s="142"/>
      <c r="X642" s="142"/>
      <c r="Y642" s="142"/>
      <c r="Z642" s="142"/>
      <c r="AA642" s="142"/>
      <c r="AB642" s="142"/>
      <c r="AC642" s="142"/>
      <c r="AD642" s="142"/>
      <c r="AE642" s="142"/>
      <c r="AF642" s="217"/>
      <c r="AH642" s="180"/>
      <c r="AK642" s="1"/>
      <c r="AL642" s="1"/>
      <c r="AM642" s="1"/>
      <c r="AN642" s="1"/>
    </row>
    <row r="643" spans="1:40" ht="12.75" customHeight="1">
      <c r="A643" s="87"/>
      <c r="B643" s="222" t="s">
        <v>1210</v>
      </c>
      <c r="C643" s="223" t="s">
        <v>55</v>
      </c>
      <c r="D643" s="223" t="s">
        <v>38</v>
      </c>
      <c r="E643" s="224">
        <v>4</v>
      </c>
      <c r="F643" s="223"/>
      <c r="G643" s="223"/>
      <c r="H643" s="223" t="s">
        <v>121</v>
      </c>
      <c r="I643" s="223" t="s">
        <v>38</v>
      </c>
      <c r="J643" s="224">
        <v>4</v>
      </c>
      <c r="K643" s="223"/>
      <c r="L643" s="223"/>
      <c r="M643" s="223" t="s">
        <v>38</v>
      </c>
      <c r="N643" s="223" t="s">
        <v>49</v>
      </c>
      <c r="O643" s="224">
        <v>4</v>
      </c>
      <c r="P643" s="224" t="s">
        <v>1211</v>
      </c>
      <c r="Q643" s="520">
        <f>R643*(1-Bolts!$E$1179)</f>
        <v>106.9</v>
      </c>
      <c r="R643" s="150">
        <v>106.9</v>
      </c>
      <c r="S643" s="151">
        <f t="shared" ref="S643:S647" si="290">SUM(T643:AB643)</f>
        <v>0</v>
      </c>
      <c r="T643" s="152"/>
      <c r="U643" s="153"/>
      <c r="V643" s="154"/>
      <c r="W643" s="155"/>
      <c r="X643" s="156"/>
      <c r="Y643" s="157"/>
      <c r="Z643" s="158"/>
      <c r="AA643" s="159"/>
      <c r="AB643" s="160"/>
      <c r="AC643" s="151">
        <f t="shared" ref="AC643:AC647" si="291">S643*O643</f>
        <v>0</v>
      </c>
      <c r="AD643" s="161">
        <f t="shared" ref="AD643:AD647" si="292">S643*R643</f>
        <v>0</v>
      </c>
      <c r="AE643" s="162">
        <v>4.2300000000000004</v>
      </c>
      <c r="AF643" s="163">
        <f t="shared" ref="AF643:AF647" si="293">AE643*S643</f>
        <v>0</v>
      </c>
      <c r="AH643" s="209"/>
      <c r="AK643" s="1"/>
      <c r="AL643" s="1"/>
      <c r="AM643" s="1"/>
      <c r="AN643" s="1"/>
    </row>
    <row r="644" spans="1:40" ht="12.75" customHeight="1">
      <c r="A644" s="87"/>
      <c r="B644" s="192" t="s">
        <v>1212</v>
      </c>
      <c r="C644" s="193" t="s">
        <v>52</v>
      </c>
      <c r="D644" s="193" t="s">
        <v>38</v>
      </c>
      <c r="E644" s="194">
        <v>10</v>
      </c>
      <c r="F644" s="193"/>
      <c r="G644" s="193"/>
      <c r="H644" s="193" t="s">
        <v>121</v>
      </c>
      <c r="I644" s="193" t="s">
        <v>38</v>
      </c>
      <c r="J644" s="194">
        <v>10</v>
      </c>
      <c r="K644" s="193"/>
      <c r="L644" s="193"/>
      <c r="M644" s="193" t="s">
        <v>38</v>
      </c>
      <c r="N644" s="193" t="s">
        <v>49</v>
      </c>
      <c r="O644" s="194">
        <v>10</v>
      </c>
      <c r="P644" s="194" t="s">
        <v>1213</v>
      </c>
      <c r="Q644" s="521">
        <f>R644*(1-Bolts!$E$1179)</f>
        <v>151.30000000000001</v>
      </c>
      <c r="R644" s="150">
        <v>151.30000000000001</v>
      </c>
      <c r="S644" s="168">
        <f t="shared" si="290"/>
        <v>0</v>
      </c>
      <c r="T644" s="211"/>
      <c r="U644" s="169"/>
      <c r="V644" s="170"/>
      <c r="W644" s="171"/>
      <c r="X644" s="172"/>
      <c r="Y644" s="173"/>
      <c r="Z644" s="174"/>
      <c r="AA644" s="175"/>
      <c r="AB644" s="176"/>
      <c r="AC644" s="168">
        <f t="shared" si="291"/>
        <v>0</v>
      </c>
      <c r="AD644" s="177">
        <f t="shared" si="292"/>
        <v>0</v>
      </c>
      <c r="AE644" s="178">
        <v>5.98</v>
      </c>
      <c r="AF644" s="179">
        <f t="shared" si="293"/>
        <v>0</v>
      </c>
      <c r="AH644" s="180"/>
      <c r="AK644" s="1"/>
      <c r="AL644" s="1"/>
      <c r="AM644" s="1"/>
      <c r="AN644" s="1"/>
    </row>
    <row r="645" spans="1:40" ht="12.75" customHeight="1">
      <c r="A645" s="87"/>
      <c r="B645" s="164" t="s">
        <v>1214</v>
      </c>
      <c r="C645" s="165" t="s">
        <v>53</v>
      </c>
      <c r="D645" s="165" t="s">
        <v>63</v>
      </c>
      <c r="E645" s="166">
        <v>1</v>
      </c>
      <c r="F645" s="165"/>
      <c r="G645" s="165"/>
      <c r="H645" s="165" t="s">
        <v>121</v>
      </c>
      <c r="I645" s="165" t="s">
        <v>33</v>
      </c>
      <c r="J645" s="166">
        <v>1</v>
      </c>
      <c r="K645" s="165"/>
      <c r="L645" s="165"/>
      <c r="M645" s="165" t="s">
        <v>33</v>
      </c>
      <c r="N645" s="165" t="s">
        <v>49</v>
      </c>
      <c r="O645" s="166">
        <v>1</v>
      </c>
      <c r="P645" s="166" t="s">
        <v>1215</v>
      </c>
      <c r="Q645" s="521">
        <f>R645*(1-Bolts!$E$1179)</f>
        <v>0</v>
      </c>
      <c r="R645" s="150">
        <v>0</v>
      </c>
      <c r="S645" s="168">
        <f t="shared" si="290"/>
        <v>0</v>
      </c>
      <c r="T645" s="211"/>
      <c r="U645" s="169"/>
      <c r="V645" s="170"/>
      <c r="W645" s="171"/>
      <c r="X645" s="172"/>
      <c r="Y645" s="173"/>
      <c r="Z645" s="174"/>
      <c r="AA645" s="175"/>
      <c r="AB645" s="176"/>
      <c r="AC645" s="168">
        <f t="shared" si="291"/>
        <v>0</v>
      </c>
      <c r="AD645" s="177">
        <f t="shared" si="292"/>
        <v>0</v>
      </c>
      <c r="AE645" s="178">
        <v>1.45</v>
      </c>
      <c r="AF645" s="179">
        <f t="shared" si="293"/>
        <v>0</v>
      </c>
      <c r="AH645" s="180"/>
      <c r="AK645" s="1"/>
      <c r="AL645" s="1"/>
      <c r="AM645" s="1"/>
      <c r="AN645" s="1"/>
    </row>
    <row r="646" spans="1:40" ht="12.75" customHeight="1">
      <c r="A646" s="181" t="s">
        <v>445</v>
      </c>
      <c r="B646" s="164" t="s">
        <v>1216</v>
      </c>
      <c r="C646" s="165" t="s">
        <v>53</v>
      </c>
      <c r="D646" s="165" t="s">
        <v>48</v>
      </c>
      <c r="E646" s="166">
        <v>1</v>
      </c>
      <c r="F646" s="165"/>
      <c r="G646" s="165"/>
      <c r="H646" s="165" t="s">
        <v>121</v>
      </c>
      <c r="I646" s="165" t="s">
        <v>32</v>
      </c>
      <c r="J646" s="166">
        <v>1</v>
      </c>
      <c r="K646" s="165"/>
      <c r="L646" s="165"/>
      <c r="M646" s="165" t="s">
        <v>32</v>
      </c>
      <c r="N646" s="165" t="s">
        <v>49</v>
      </c>
      <c r="O646" s="166">
        <v>1</v>
      </c>
      <c r="P646" s="166" t="s">
        <v>1217</v>
      </c>
      <c r="Q646" s="521">
        <f>R646*(1-Bolts!$E$1179)</f>
        <v>44.7</v>
      </c>
      <c r="R646" s="150">
        <v>44.7</v>
      </c>
      <c r="S646" s="168">
        <f t="shared" si="290"/>
        <v>0</v>
      </c>
      <c r="T646" s="211"/>
      <c r="U646" s="169"/>
      <c r="V646" s="170"/>
      <c r="W646" s="171"/>
      <c r="X646" s="172"/>
      <c r="Y646" s="173"/>
      <c r="Z646" s="174"/>
      <c r="AA646" s="175"/>
      <c r="AB646" s="176"/>
      <c r="AC646" s="168">
        <f t="shared" si="291"/>
        <v>0</v>
      </c>
      <c r="AD646" s="177">
        <f t="shared" si="292"/>
        <v>0</v>
      </c>
      <c r="AE646" s="178">
        <v>1</v>
      </c>
      <c r="AF646" s="179">
        <f t="shared" si="293"/>
        <v>0</v>
      </c>
      <c r="AH646" s="180"/>
      <c r="AK646" s="1"/>
      <c r="AL646" s="1"/>
      <c r="AM646" s="1"/>
      <c r="AN646" s="1"/>
    </row>
    <row r="647" spans="1:40" ht="12.75" customHeight="1">
      <c r="A647" s="87"/>
      <c r="B647" s="164" t="s">
        <v>1218</v>
      </c>
      <c r="C647" s="165" t="s">
        <v>53</v>
      </c>
      <c r="D647" s="165" t="s">
        <v>48</v>
      </c>
      <c r="E647" s="166">
        <v>1</v>
      </c>
      <c r="F647" s="165"/>
      <c r="G647" s="165"/>
      <c r="H647" s="165" t="s">
        <v>121</v>
      </c>
      <c r="I647" s="165" t="s">
        <v>32</v>
      </c>
      <c r="J647" s="166">
        <v>1</v>
      </c>
      <c r="K647" s="165"/>
      <c r="L647" s="165"/>
      <c r="M647" s="165" t="s">
        <v>32</v>
      </c>
      <c r="N647" s="165" t="s">
        <v>49</v>
      </c>
      <c r="O647" s="166">
        <v>1</v>
      </c>
      <c r="P647" s="166" t="s">
        <v>1219</v>
      </c>
      <c r="Q647" s="521">
        <f>R647*(1-Bolts!$E$1179)</f>
        <v>37.4</v>
      </c>
      <c r="R647" s="150">
        <v>37.4</v>
      </c>
      <c r="S647" s="168">
        <f t="shared" si="290"/>
        <v>0</v>
      </c>
      <c r="T647" s="211"/>
      <c r="U647" s="169"/>
      <c r="V647" s="170"/>
      <c r="W647" s="171"/>
      <c r="X647" s="172"/>
      <c r="Y647" s="173"/>
      <c r="Z647" s="174"/>
      <c r="AA647" s="175"/>
      <c r="AB647" s="176"/>
      <c r="AC647" s="168">
        <f t="shared" si="291"/>
        <v>0</v>
      </c>
      <c r="AD647" s="177">
        <f t="shared" si="292"/>
        <v>0</v>
      </c>
      <c r="AE647" s="178">
        <v>0.6</v>
      </c>
      <c r="AF647" s="179">
        <f t="shared" si="293"/>
        <v>0</v>
      </c>
      <c r="AH647" s="180"/>
      <c r="AK647" s="1"/>
      <c r="AL647" s="1"/>
      <c r="AM647" s="1"/>
      <c r="AN647" s="1"/>
    </row>
    <row r="648" spans="1:40" ht="12.75" customHeight="1">
      <c r="A648" s="213" t="s">
        <v>378</v>
      </c>
      <c r="B648" s="241" t="s">
        <v>1220</v>
      </c>
      <c r="C648" s="242" t="str">
        <f>B648</f>
        <v>Jibs</v>
      </c>
      <c r="D648" s="243"/>
      <c r="E648" s="243"/>
      <c r="F648" s="243"/>
      <c r="G648" s="243"/>
      <c r="H648" s="243" t="s">
        <v>121</v>
      </c>
      <c r="I648" s="243"/>
      <c r="J648" s="243"/>
      <c r="K648" s="243"/>
      <c r="L648" s="243"/>
      <c r="M648" s="243"/>
      <c r="N648" s="243"/>
      <c r="O648" s="243"/>
      <c r="P648" s="243"/>
      <c r="Q648" s="527"/>
      <c r="R648" s="150"/>
      <c r="S648" s="243"/>
      <c r="T648" s="243"/>
      <c r="U648" s="243"/>
      <c r="V648" s="243"/>
      <c r="W648" s="243"/>
      <c r="X648" s="243"/>
      <c r="Y648" s="243"/>
      <c r="Z648" s="243"/>
      <c r="AA648" s="243"/>
      <c r="AB648" s="243"/>
      <c r="AC648" s="243"/>
      <c r="AD648" s="243"/>
      <c r="AE648" s="243"/>
      <c r="AF648" s="244"/>
      <c r="AG648" s="1"/>
      <c r="AH648" s="247"/>
      <c r="AI648" s="1"/>
      <c r="AJ648" s="1"/>
      <c r="AK648" s="1"/>
      <c r="AL648" s="1"/>
      <c r="AM648" s="1"/>
      <c r="AN648" s="1"/>
    </row>
    <row r="649" spans="1:40" ht="12.75" customHeight="1">
      <c r="A649" s="87"/>
      <c r="B649" s="192" t="s">
        <v>1221</v>
      </c>
      <c r="C649" s="193" t="s">
        <v>57</v>
      </c>
      <c r="D649" s="193" t="s">
        <v>38</v>
      </c>
      <c r="E649" s="194">
        <v>10</v>
      </c>
      <c r="F649" s="193"/>
      <c r="G649" s="193"/>
      <c r="H649" s="193" t="s">
        <v>121</v>
      </c>
      <c r="I649" s="193" t="s">
        <v>38</v>
      </c>
      <c r="J649" s="194">
        <v>10</v>
      </c>
      <c r="K649" s="193"/>
      <c r="L649" s="193"/>
      <c r="M649" s="193" t="s">
        <v>38</v>
      </c>
      <c r="N649" s="193" t="s">
        <v>49</v>
      </c>
      <c r="O649" s="194">
        <v>10</v>
      </c>
      <c r="P649" s="194" t="s">
        <v>1222</v>
      </c>
      <c r="Q649" s="521">
        <f>R649*(1-Bolts!$E$1179)</f>
        <v>119.5</v>
      </c>
      <c r="R649" s="150">
        <v>119.5</v>
      </c>
      <c r="S649" s="168">
        <f t="shared" ref="S649:S651" si="294">SUM(T649:AB649)</f>
        <v>0</v>
      </c>
      <c r="T649" s="211"/>
      <c r="U649" s="169"/>
      <c r="V649" s="170"/>
      <c r="W649" s="171"/>
      <c r="X649" s="172"/>
      <c r="Y649" s="173"/>
      <c r="Z649" s="174"/>
      <c r="AA649" s="175"/>
      <c r="AB649" s="176"/>
      <c r="AC649" s="168">
        <f t="shared" ref="AC649:AC651" si="295">S649*O649</f>
        <v>0</v>
      </c>
      <c r="AD649" s="177">
        <f t="shared" ref="AD649:AD651" si="296">S649*R649</f>
        <v>0</v>
      </c>
      <c r="AE649" s="178">
        <v>4.0199999999999996</v>
      </c>
      <c r="AF649" s="179">
        <f t="shared" ref="AF649:AF651" si="297">AE649*S649</f>
        <v>0</v>
      </c>
      <c r="AG649" s="1"/>
      <c r="AH649" s="1"/>
      <c r="AI649" s="1"/>
      <c r="AJ649" s="1"/>
      <c r="AK649" s="1"/>
      <c r="AL649" s="1"/>
      <c r="AM649" s="1"/>
      <c r="AN649" s="1"/>
    </row>
    <row r="650" spans="1:40" ht="12.75" customHeight="1">
      <c r="A650" s="87"/>
      <c r="B650" s="192" t="s">
        <v>1223</v>
      </c>
      <c r="C650" s="193" t="s">
        <v>57</v>
      </c>
      <c r="D650" s="193" t="s">
        <v>38</v>
      </c>
      <c r="E650" s="194">
        <v>11</v>
      </c>
      <c r="F650" s="193"/>
      <c r="G650" s="193"/>
      <c r="H650" s="193" t="s">
        <v>121</v>
      </c>
      <c r="I650" s="193" t="s">
        <v>38</v>
      </c>
      <c r="J650" s="194">
        <v>11</v>
      </c>
      <c r="K650" s="193"/>
      <c r="L650" s="193"/>
      <c r="M650" s="193" t="s">
        <v>38</v>
      </c>
      <c r="N650" s="193" t="s">
        <v>49</v>
      </c>
      <c r="O650" s="194">
        <v>11</v>
      </c>
      <c r="P650" s="194" t="s">
        <v>1224</v>
      </c>
      <c r="Q650" s="521">
        <f>R650*(1-Bolts!$E$1179)</f>
        <v>138.6</v>
      </c>
      <c r="R650" s="150">
        <v>138.6</v>
      </c>
      <c r="S650" s="168">
        <f t="shared" si="294"/>
        <v>0</v>
      </c>
      <c r="T650" s="211"/>
      <c r="U650" s="169"/>
      <c r="V650" s="170"/>
      <c r="W650" s="171"/>
      <c r="X650" s="172"/>
      <c r="Y650" s="173"/>
      <c r="Z650" s="174"/>
      <c r="AA650" s="175"/>
      <c r="AB650" s="176"/>
      <c r="AC650" s="168">
        <f t="shared" si="295"/>
        <v>0</v>
      </c>
      <c r="AD650" s="177">
        <f t="shared" si="296"/>
        <v>0</v>
      </c>
      <c r="AE650" s="178">
        <v>4.99</v>
      </c>
      <c r="AF650" s="179">
        <f t="shared" si="297"/>
        <v>0</v>
      </c>
      <c r="AG650" s="1"/>
      <c r="AH650" s="247"/>
      <c r="AI650" s="1"/>
      <c r="AJ650" s="1"/>
      <c r="AK650" s="1"/>
      <c r="AL650" s="1"/>
      <c r="AM650" s="1"/>
      <c r="AN650" s="1"/>
    </row>
    <row r="651" spans="1:40" ht="12.75" customHeight="1">
      <c r="A651" s="87"/>
      <c r="B651" s="192" t="s">
        <v>1225</v>
      </c>
      <c r="C651" s="193" t="s">
        <v>55</v>
      </c>
      <c r="D651" s="193" t="s">
        <v>38</v>
      </c>
      <c r="E651" s="194">
        <v>6</v>
      </c>
      <c r="F651" s="193"/>
      <c r="G651" s="193"/>
      <c r="H651" s="193" t="s">
        <v>121</v>
      </c>
      <c r="I651" s="193" t="s">
        <v>38</v>
      </c>
      <c r="J651" s="194">
        <v>6</v>
      </c>
      <c r="K651" s="193"/>
      <c r="L651" s="193"/>
      <c r="M651" s="193" t="s">
        <v>38</v>
      </c>
      <c r="N651" s="193" t="s">
        <v>49</v>
      </c>
      <c r="O651" s="194">
        <v>6</v>
      </c>
      <c r="P651" s="194" t="s">
        <v>1226</v>
      </c>
      <c r="Q651" s="521">
        <f>R651*(1-Bolts!$E$1179)</f>
        <v>107.1</v>
      </c>
      <c r="R651" s="150">
        <v>107.1</v>
      </c>
      <c r="S651" s="168">
        <f t="shared" si="294"/>
        <v>0</v>
      </c>
      <c r="T651" s="211"/>
      <c r="U651" s="169"/>
      <c r="V651" s="170"/>
      <c r="W651" s="171"/>
      <c r="X651" s="172"/>
      <c r="Y651" s="173"/>
      <c r="Z651" s="174"/>
      <c r="AA651" s="175"/>
      <c r="AB651" s="176"/>
      <c r="AC651" s="168">
        <f t="shared" si="295"/>
        <v>0</v>
      </c>
      <c r="AD651" s="177">
        <f t="shared" si="296"/>
        <v>0</v>
      </c>
      <c r="AE651" s="178">
        <v>3.9</v>
      </c>
      <c r="AF651" s="179">
        <f t="shared" si="297"/>
        <v>0</v>
      </c>
      <c r="AG651" s="1"/>
      <c r="AH651" s="247"/>
      <c r="AI651" s="1"/>
      <c r="AJ651" s="1"/>
      <c r="AK651" s="1"/>
      <c r="AL651" s="1"/>
      <c r="AM651" s="1"/>
      <c r="AN651" s="1"/>
    </row>
    <row r="652" spans="1:40" ht="15.75" customHeight="1">
      <c r="A652" s="141" t="s">
        <v>1227</v>
      </c>
      <c r="B652" s="205" t="s">
        <v>1227</v>
      </c>
      <c r="C652" s="207"/>
      <c r="D652" s="207"/>
      <c r="E652" s="207"/>
      <c r="F652" s="207"/>
      <c r="G652" s="207"/>
      <c r="H652" s="207" t="s">
        <v>121</v>
      </c>
      <c r="I652" s="207"/>
      <c r="J652" s="210"/>
      <c r="K652" s="248"/>
      <c r="L652" s="207"/>
      <c r="M652" s="207"/>
      <c r="N652" s="207"/>
      <c r="O652" s="207"/>
      <c r="P652" s="207"/>
      <c r="Q652" s="524"/>
      <c r="R652" s="150"/>
      <c r="S652" s="207"/>
      <c r="T652" s="207"/>
      <c r="U652" s="207"/>
      <c r="V652" s="207"/>
      <c r="W652" s="207"/>
      <c r="X652" s="207"/>
      <c r="Y652" s="208"/>
      <c r="Z652" s="208"/>
      <c r="AA652" s="208"/>
      <c r="AB652" s="208"/>
      <c r="AC652" s="208"/>
      <c r="AD652" s="208"/>
      <c r="AE652" s="208"/>
      <c r="AF652" s="208"/>
      <c r="AG652" s="1"/>
      <c r="AH652" s="247"/>
      <c r="AI652" s="1"/>
      <c r="AJ652" s="1"/>
      <c r="AK652" s="1"/>
      <c r="AL652" s="1"/>
      <c r="AM652" s="1"/>
      <c r="AN652" s="1"/>
    </row>
    <row r="653" spans="1:40" ht="12.75" customHeight="1">
      <c r="A653" s="181"/>
      <c r="B653" s="164" t="s">
        <v>1228</v>
      </c>
      <c r="C653" s="165" t="s">
        <v>41</v>
      </c>
      <c r="D653" s="165" t="s">
        <v>41</v>
      </c>
      <c r="E653" s="166">
        <v>2</v>
      </c>
      <c r="F653" s="165"/>
      <c r="G653" s="165"/>
      <c r="H653" s="165" t="s">
        <v>121</v>
      </c>
      <c r="I653" s="165" t="s">
        <v>41</v>
      </c>
      <c r="J653" s="166">
        <v>2</v>
      </c>
      <c r="K653" s="165"/>
      <c r="L653" s="165"/>
      <c r="M653" s="165" t="s">
        <v>41</v>
      </c>
      <c r="N653" s="165" t="s">
        <v>48</v>
      </c>
      <c r="O653" s="166">
        <v>2</v>
      </c>
      <c r="P653" s="166" t="s">
        <v>1229</v>
      </c>
      <c r="Q653" s="521">
        <f>R653*(1-Bolts!$E$1179)</f>
        <v>81.7</v>
      </c>
      <c r="R653" s="150">
        <v>81.7</v>
      </c>
      <c r="S653" s="168">
        <f>SUM(T653:AB653)</f>
        <v>0</v>
      </c>
      <c r="T653" s="211"/>
      <c r="U653" s="169"/>
      <c r="V653" s="170"/>
      <c r="W653" s="171"/>
      <c r="X653" s="172"/>
      <c r="Y653" s="173"/>
      <c r="Z653" s="174"/>
      <c r="AA653" s="175"/>
      <c r="AB653" s="176"/>
      <c r="AC653" s="168">
        <f>S653*O653</f>
        <v>0</v>
      </c>
      <c r="AD653" s="177">
        <f>S653*R653</f>
        <v>0</v>
      </c>
      <c r="AE653" s="178">
        <v>2.95</v>
      </c>
      <c r="AF653" s="179">
        <f>AE653*S653</f>
        <v>0</v>
      </c>
      <c r="AH653" s="209"/>
      <c r="AK653" s="1"/>
      <c r="AL653" s="1"/>
      <c r="AM653" s="1"/>
      <c r="AN653" s="1"/>
    </row>
    <row r="654" spans="1:40" ht="12.75" customHeight="1">
      <c r="A654" s="213" t="s">
        <v>1230</v>
      </c>
      <c r="B654" s="205" t="s">
        <v>1231</v>
      </c>
      <c r="C654" s="206" t="str">
        <f>B654</f>
        <v>Treadwall Kits</v>
      </c>
      <c r="D654" s="207"/>
      <c r="E654" s="207"/>
      <c r="F654" s="207"/>
      <c r="G654" s="207"/>
      <c r="H654" s="207" t="s">
        <v>121</v>
      </c>
      <c r="I654" s="207"/>
      <c r="J654" s="207"/>
      <c r="K654" s="207"/>
      <c r="L654" s="207"/>
      <c r="M654" s="207"/>
      <c r="N654" s="207"/>
      <c r="O654" s="207"/>
      <c r="P654" s="207"/>
      <c r="Q654" s="528"/>
      <c r="R654" s="248"/>
      <c r="S654" s="207"/>
      <c r="T654" s="207"/>
      <c r="U654" s="207"/>
      <c r="V654" s="207"/>
      <c r="W654" s="207"/>
      <c r="X654" s="207"/>
      <c r="Y654" s="207"/>
      <c r="Z654" s="207"/>
      <c r="AA654" s="207"/>
      <c r="AB654" s="207"/>
      <c r="AC654" s="207"/>
      <c r="AD654" s="207"/>
      <c r="AE654" s="207"/>
      <c r="AF654" s="208"/>
      <c r="AG654" s="1"/>
      <c r="AH654" s="247"/>
      <c r="AI654" s="1"/>
      <c r="AJ654" s="1"/>
      <c r="AK654" s="1"/>
      <c r="AL654" s="1"/>
      <c r="AM654" s="1"/>
      <c r="AN654" s="1"/>
    </row>
    <row r="655" spans="1:40" ht="12.75" customHeight="1">
      <c r="A655" s="87"/>
      <c r="B655" s="164" t="s">
        <v>1232</v>
      </c>
      <c r="C655" s="165" t="s">
        <v>57</v>
      </c>
      <c r="D655" s="165" t="s">
        <v>48</v>
      </c>
      <c r="E655" s="166">
        <v>20</v>
      </c>
      <c r="F655" s="165" t="s">
        <v>65</v>
      </c>
      <c r="G655" s="165">
        <v>20</v>
      </c>
      <c r="H655" s="165" t="s">
        <v>121</v>
      </c>
      <c r="I655" s="165" t="s">
        <v>29</v>
      </c>
      <c r="J655" s="166">
        <v>20</v>
      </c>
      <c r="K655" s="165" t="s">
        <v>39</v>
      </c>
      <c r="L655" s="165">
        <v>20</v>
      </c>
      <c r="M655" s="165" t="s">
        <v>29</v>
      </c>
      <c r="N655" s="165" t="s">
        <v>47</v>
      </c>
      <c r="O655" s="166">
        <v>40</v>
      </c>
      <c r="P655" s="166" t="s">
        <v>1233</v>
      </c>
      <c r="Q655" s="521">
        <f>R655*(1-Bolts!$E$1179)</f>
        <v>434.3</v>
      </c>
      <c r="R655" s="167">
        <v>434.3</v>
      </c>
      <c r="S655" s="168">
        <f t="shared" ref="S655:S661" si="298">SUM(T655:AB655)</f>
        <v>0</v>
      </c>
      <c r="T655" s="211"/>
      <c r="U655" s="169"/>
      <c r="V655" s="170"/>
      <c r="W655" s="171"/>
      <c r="X655" s="172"/>
      <c r="Y655" s="173"/>
      <c r="Z655" s="174"/>
      <c r="AA655" s="175"/>
      <c r="AB655" s="176"/>
      <c r="AC655" s="168">
        <f t="shared" ref="AC655:AC661" si="299">S655*O655</f>
        <v>0</v>
      </c>
      <c r="AD655" s="177">
        <f t="shared" ref="AD655:AD661" si="300">S655*R655</f>
        <v>0</v>
      </c>
      <c r="AE655" s="178">
        <v>15</v>
      </c>
      <c r="AF655" s="179">
        <f t="shared" ref="AF655:AF661" si="301">AE655*S655</f>
        <v>0</v>
      </c>
      <c r="AG655" s="1"/>
      <c r="AH655" s="247"/>
      <c r="AI655" s="1"/>
      <c r="AJ655" s="1"/>
      <c r="AK655" s="1"/>
      <c r="AL655" s="1"/>
      <c r="AM655" s="1"/>
      <c r="AN655" s="1"/>
    </row>
    <row r="656" spans="1:40" ht="12.75" customHeight="1">
      <c r="A656" s="87"/>
      <c r="B656" s="164" t="s">
        <v>1234</v>
      </c>
      <c r="C656" s="165" t="s">
        <v>57</v>
      </c>
      <c r="D656" s="165" t="s">
        <v>48</v>
      </c>
      <c r="E656" s="166">
        <v>20</v>
      </c>
      <c r="F656" s="165" t="s">
        <v>65</v>
      </c>
      <c r="G656" s="165">
        <v>20</v>
      </c>
      <c r="H656" s="165" t="s">
        <v>121</v>
      </c>
      <c r="I656" s="165" t="s">
        <v>31</v>
      </c>
      <c r="J656" s="166">
        <v>20</v>
      </c>
      <c r="K656" s="165" t="s">
        <v>39</v>
      </c>
      <c r="L656" s="165">
        <v>20</v>
      </c>
      <c r="M656" s="165" t="s">
        <v>31</v>
      </c>
      <c r="N656" s="165" t="s">
        <v>47</v>
      </c>
      <c r="O656" s="166">
        <v>40</v>
      </c>
      <c r="P656" s="166" t="s">
        <v>1235</v>
      </c>
      <c r="Q656" s="521">
        <f>R656*(1-Bolts!$E$1179)</f>
        <v>354.3</v>
      </c>
      <c r="R656" s="167">
        <v>354.3</v>
      </c>
      <c r="S656" s="168">
        <f t="shared" si="298"/>
        <v>0</v>
      </c>
      <c r="T656" s="211"/>
      <c r="U656" s="169"/>
      <c r="V656" s="170"/>
      <c r="W656" s="171"/>
      <c r="X656" s="172"/>
      <c r="Y656" s="173"/>
      <c r="Z656" s="174"/>
      <c r="AA656" s="175"/>
      <c r="AB656" s="176"/>
      <c r="AC656" s="168">
        <f t="shared" si="299"/>
        <v>0</v>
      </c>
      <c r="AD656" s="177">
        <f t="shared" si="300"/>
        <v>0</v>
      </c>
      <c r="AE656" s="178">
        <v>10.34</v>
      </c>
      <c r="AF656" s="179">
        <f t="shared" si="301"/>
        <v>0</v>
      </c>
      <c r="AG656" s="1"/>
      <c r="AH656" s="247"/>
      <c r="AI656" s="1"/>
      <c r="AJ656" s="1"/>
      <c r="AK656" s="1"/>
      <c r="AL656" s="1"/>
      <c r="AM656" s="1"/>
      <c r="AN656" s="1"/>
    </row>
    <row r="657" spans="1:40" ht="12.75" customHeight="1">
      <c r="A657" s="87"/>
      <c r="B657" s="164" t="s">
        <v>1236</v>
      </c>
      <c r="C657" s="165" t="s">
        <v>57</v>
      </c>
      <c r="D657" s="165" t="s">
        <v>48</v>
      </c>
      <c r="E657" s="166">
        <v>20</v>
      </c>
      <c r="F657" s="165" t="s">
        <v>65</v>
      </c>
      <c r="G657" s="165">
        <v>20</v>
      </c>
      <c r="H657" s="165" t="s">
        <v>121</v>
      </c>
      <c r="I657" s="165" t="s">
        <v>35</v>
      </c>
      <c r="J657" s="166">
        <v>20</v>
      </c>
      <c r="K657" s="165" t="s">
        <v>39</v>
      </c>
      <c r="L657" s="165">
        <v>20</v>
      </c>
      <c r="M657" s="165" t="s">
        <v>35</v>
      </c>
      <c r="N657" s="165" t="s">
        <v>48</v>
      </c>
      <c r="O657" s="166">
        <v>40</v>
      </c>
      <c r="P657" s="166" t="s">
        <v>1237</v>
      </c>
      <c r="Q657" s="521">
        <f>R657*(1-Bolts!$E$1179)</f>
        <v>498.6</v>
      </c>
      <c r="R657" s="167">
        <v>498.6</v>
      </c>
      <c r="S657" s="168">
        <f t="shared" si="298"/>
        <v>0</v>
      </c>
      <c r="T657" s="211"/>
      <c r="U657" s="169"/>
      <c r="V657" s="170"/>
      <c r="W657" s="171"/>
      <c r="X657" s="172"/>
      <c r="Y657" s="173"/>
      <c r="Z657" s="174"/>
      <c r="AA657" s="175"/>
      <c r="AB657" s="176"/>
      <c r="AC657" s="168">
        <f t="shared" si="299"/>
        <v>0</v>
      </c>
      <c r="AD657" s="177">
        <f t="shared" si="300"/>
        <v>0</v>
      </c>
      <c r="AE657" s="178">
        <v>18.72</v>
      </c>
      <c r="AF657" s="179">
        <f t="shared" si="301"/>
        <v>0</v>
      </c>
      <c r="AG657" s="1"/>
      <c r="AH657" s="247"/>
      <c r="AI657" s="1"/>
      <c r="AJ657" s="1"/>
      <c r="AK657" s="1"/>
      <c r="AL657" s="1"/>
      <c r="AM657" s="1"/>
      <c r="AN657" s="1"/>
    </row>
    <row r="658" spans="1:40" ht="12.75" customHeight="1">
      <c r="A658" s="87"/>
      <c r="B658" s="164" t="s">
        <v>1238</v>
      </c>
      <c r="C658" s="165" t="s">
        <v>57</v>
      </c>
      <c r="D658" s="165" t="s">
        <v>64</v>
      </c>
      <c r="E658" s="166">
        <v>20</v>
      </c>
      <c r="F658" s="165" t="s">
        <v>65</v>
      </c>
      <c r="G658" s="165">
        <v>20</v>
      </c>
      <c r="H658" s="165" t="s">
        <v>121</v>
      </c>
      <c r="I658" s="165" t="s">
        <v>32</v>
      </c>
      <c r="J658" s="166">
        <v>20</v>
      </c>
      <c r="K658" s="165" t="s">
        <v>39</v>
      </c>
      <c r="L658" s="165">
        <v>20</v>
      </c>
      <c r="M658" s="165" t="s">
        <v>32</v>
      </c>
      <c r="N658" s="165" t="s">
        <v>48</v>
      </c>
      <c r="O658" s="166">
        <v>40</v>
      </c>
      <c r="P658" s="166" t="s">
        <v>1239</v>
      </c>
      <c r="Q658" s="521">
        <f>R658*(1-Bolts!$E$1179)</f>
        <v>261.39999999999998</v>
      </c>
      <c r="R658" s="167">
        <v>261.39999999999998</v>
      </c>
      <c r="S658" s="168">
        <f t="shared" si="298"/>
        <v>0</v>
      </c>
      <c r="T658" s="211"/>
      <c r="U658" s="169"/>
      <c r="V658" s="170"/>
      <c r="W658" s="171"/>
      <c r="X658" s="172"/>
      <c r="Y658" s="173"/>
      <c r="Z658" s="174"/>
      <c r="AA658" s="175"/>
      <c r="AB658" s="176"/>
      <c r="AC658" s="168">
        <f t="shared" si="299"/>
        <v>0</v>
      </c>
      <c r="AD658" s="177">
        <f t="shared" si="300"/>
        <v>0</v>
      </c>
      <c r="AE658" s="178">
        <v>6.08</v>
      </c>
      <c r="AF658" s="179">
        <f t="shared" si="301"/>
        <v>0</v>
      </c>
      <c r="AG658" s="1"/>
      <c r="AH658" s="247"/>
      <c r="AI658" s="1"/>
      <c r="AJ658" s="1"/>
      <c r="AK658" s="1"/>
      <c r="AL658" s="1"/>
      <c r="AM658" s="1"/>
      <c r="AN658" s="1"/>
    </row>
    <row r="659" spans="1:40" ht="12.75" customHeight="1">
      <c r="A659" s="87"/>
      <c r="B659" s="164" t="s">
        <v>1240</v>
      </c>
      <c r="C659" s="165" t="s">
        <v>57</v>
      </c>
      <c r="D659" s="165" t="s">
        <v>64</v>
      </c>
      <c r="E659" s="166">
        <v>20</v>
      </c>
      <c r="F659" s="165" t="s">
        <v>65</v>
      </c>
      <c r="G659" s="165">
        <v>20</v>
      </c>
      <c r="H659" s="165" t="s">
        <v>121</v>
      </c>
      <c r="I659" s="165" t="s">
        <v>32</v>
      </c>
      <c r="J659" s="166">
        <v>20</v>
      </c>
      <c r="K659" s="165" t="s">
        <v>39</v>
      </c>
      <c r="L659" s="165">
        <v>20</v>
      </c>
      <c r="M659" s="165" t="s">
        <v>32</v>
      </c>
      <c r="N659" s="165" t="s">
        <v>48</v>
      </c>
      <c r="O659" s="166">
        <v>40</v>
      </c>
      <c r="P659" s="166" t="s">
        <v>1241</v>
      </c>
      <c r="Q659" s="521">
        <f>R659*(1-Bolts!$E$1179)</f>
        <v>280.7</v>
      </c>
      <c r="R659" s="167">
        <v>280.7</v>
      </c>
      <c r="S659" s="168">
        <f t="shared" si="298"/>
        <v>0</v>
      </c>
      <c r="T659" s="211"/>
      <c r="U659" s="169"/>
      <c r="V659" s="170"/>
      <c r="W659" s="171"/>
      <c r="X659" s="172"/>
      <c r="Y659" s="173"/>
      <c r="Z659" s="174"/>
      <c r="AA659" s="175"/>
      <c r="AB659" s="176"/>
      <c r="AC659" s="168">
        <f t="shared" si="299"/>
        <v>0</v>
      </c>
      <c r="AD659" s="177">
        <f t="shared" si="300"/>
        <v>0</v>
      </c>
      <c r="AE659" s="178">
        <v>6.46</v>
      </c>
      <c r="AF659" s="179">
        <f t="shared" si="301"/>
        <v>0</v>
      </c>
      <c r="AG659" s="1"/>
      <c r="AH659" s="247"/>
      <c r="AI659" s="1"/>
      <c r="AJ659" s="1"/>
      <c r="AK659" s="1"/>
      <c r="AL659" s="1"/>
      <c r="AM659" s="1"/>
      <c r="AN659" s="1"/>
    </row>
    <row r="660" spans="1:40" ht="12.75" customHeight="1">
      <c r="A660" s="87"/>
      <c r="B660" s="164" t="s">
        <v>1242</v>
      </c>
      <c r="C660" s="165" t="s">
        <v>57</v>
      </c>
      <c r="D660" s="165" t="s">
        <v>48</v>
      </c>
      <c r="E660" s="166">
        <v>20</v>
      </c>
      <c r="F660" s="165" t="s">
        <v>65</v>
      </c>
      <c r="G660" s="165">
        <v>20</v>
      </c>
      <c r="H660" s="165" t="s">
        <v>121</v>
      </c>
      <c r="I660" s="165" t="s">
        <v>30</v>
      </c>
      <c r="J660" s="166">
        <v>20</v>
      </c>
      <c r="K660" s="165" t="s">
        <v>39</v>
      </c>
      <c r="L660" s="165">
        <v>20</v>
      </c>
      <c r="M660" s="165" t="s">
        <v>30</v>
      </c>
      <c r="N660" s="165" t="s">
        <v>47</v>
      </c>
      <c r="O660" s="166">
        <v>40</v>
      </c>
      <c r="P660" s="166" t="s">
        <v>1243</v>
      </c>
      <c r="Q660" s="521">
        <f>R660*(1-Bolts!$E$1179)</f>
        <v>474.6</v>
      </c>
      <c r="R660" s="167">
        <v>474.6</v>
      </c>
      <c r="S660" s="168">
        <f t="shared" si="298"/>
        <v>0</v>
      </c>
      <c r="T660" s="211"/>
      <c r="U660" s="169"/>
      <c r="V660" s="170"/>
      <c r="W660" s="171"/>
      <c r="X660" s="172"/>
      <c r="Y660" s="173"/>
      <c r="Z660" s="174"/>
      <c r="AA660" s="175"/>
      <c r="AB660" s="176"/>
      <c r="AC660" s="168">
        <f t="shared" si="299"/>
        <v>0</v>
      </c>
      <c r="AD660" s="177">
        <f t="shared" si="300"/>
        <v>0</v>
      </c>
      <c r="AE660" s="178">
        <v>14.93</v>
      </c>
      <c r="AF660" s="179">
        <f t="shared" si="301"/>
        <v>0</v>
      </c>
      <c r="AG660" s="1"/>
      <c r="AH660" s="247"/>
      <c r="AI660" s="1"/>
      <c r="AJ660" s="1"/>
      <c r="AK660" s="1"/>
      <c r="AL660" s="1"/>
      <c r="AM660" s="1"/>
      <c r="AN660" s="1"/>
    </row>
    <row r="661" spans="1:40" ht="15.75" hidden="1" customHeight="1">
      <c r="A661" s="87" t="s">
        <v>262</v>
      </c>
      <c r="B661" s="203" t="s">
        <v>1244</v>
      </c>
      <c r="C661" s="193" t="s">
        <v>52</v>
      </c>
      <c r="D661" s="193" t="s">
        <v>48</v>
      </c>
      <c r="E661" s="194">
        <v>10</v>
      </c>
      <c r="F661" s="193"/>
      <c r="G661" s="193"/>
      <c r="H661" s="193" t="s">
        <v>121</v>
      </c>
      <c r="I661" s="193" t="s">
        <v>34</v>
      </c>
      <c r="J661" s="194">
        <v>10</v>
      </c>
      <c r="K661" s="193"/>
      <c r="L661" s="193"/>
      <c r="M661" s="193" t="s">
        <v>34</v>
      </c>
      <c r="N661" s="193" t="s">
        <v>49</v>
      </c>
      <c r="O661" s="194">
        <v>10</v>
      </c>
      <c r="P661" s="194" t="s">
        <v>1245</v>
      </c>
      <c r="Q661" s="521">
        <f>R661*(1-Bolts!$E$1179)</f>
        <v>181.50000000000003</v>
      </c>
      <c r="R661" s="167">
        <v>181.50000000000003</v>
      </c>
      <c r="S661" s="168">
        <f t="shared" si="298"/>
        <v>0</v>
      </c>
      <c r="T661" s="211"/>
      <c r="U661" s="169"/>
      <c r="V661" s="170"/>
      <c r="W661" s="171"/>
      <c r="X661" s="172"/>
      <c r="Y661" s="173"/>
      <c r="Z661" s="174"/>
      <c r="AA661" s="175"/>
      <c r="AB661" s="176"/>
      <c r="AC661" s="168">
        <f t="shared" si="299"/>
        <v>0</v>
      </c>
      <c r="AD661" s="177">
        <f t="shared" si="300"/>
        <v>0</v>
      </c>
      <c r="AE661" s="178">
        <v>9.6</v>
      </c>
      <c r="AF661" s="179">
        <f t="shared" si="301"/>
        <v>0</v>
      </c>
      <c r="AG661" s="1"/>
      <c r="AH661" s="247"/>
      <c r="AI661" s="1"/>
      <c r="AJ661" s="1"/>
      <c r="AK661" s="1"/>
      <c r="AL661" s="1"/>
      <c r="AM661" s="1"/>
      <c r="AN661" s="1"/>
    </row>
    <row r="662" spans="1:40" ht="15.75" hidden="1" customHeight="1">
      <c r="A662" s="87"/>
      <c r="B662" s="203"/>
      <c r="C662" s="193"/>
      <c r="D662" s="193"/>
      <c r="E662" s="194"/>
      <c r="F662" s="193"/>
      <c r="G662" s="193"/>
      <c r="H662" s="193"/>
      <c r="I662" s="193"/>
      <c r="J662" s="194"/>
      <c r="K662" s="193"/>
      <c r="L662" s="193"/>
      <c r="M662" s="193"/>
      <c r="N662" s="193"/>
      <c r="O662" s="194"/>
      <c r="P662" s="194"/>
      <c r="Q662" s="521"/>
      <c r="R662" s="167"/>
      <c r="S662" s="168"/>
      <c r="T662" s="211"/>
      <c r="U662" s="169"/>
      <c r="V662" s="170"/>
      <c r="W662" s="171"/>
      <c r="X662" s="172"/>
      <c r="Y662" s="173"/>
      <c r="Z662" s="174"/>
      <c r="AA662" s="175"/>
      <c r="AB662" s="176"/>
      <c r="AC662" s="168"/>
      <c r="AD662" s="177"/>
      <c r="AE662" s="178"/>
      <c r="AF662" s="179"/>
      <c r="AG662" s="1"/>
      <c r="AH662" s="1"/>
      <c r="AI662" s="1"/>
      <c r="AJ662" s="1"/>
      <c r="AK662" s="1"/>
      <c r="AL662" s="1"/>
      <c r="AM662" s="1"/>
      <c r="AN662" s="1"/>
    </row>
    <row r="663" spans="1:40" ht="30" customHeight="1">
      <c r="A663" s="249"/>
      <c r="B663" s="250"/>
      <c r="C663" s="250"/>
      <c r="D663" s="250"/>
      <c r="E663" s="250"/>
      <c r="F663" s="250"/>
      <c r="G663" s="250"/>
      <c r="H663" s="250"/>
      <c r="I663" s="250"/>
      <c r="J663" s="250"/>
      <c r="K663" s="250"/>
      <c r="L663" s="250"/>
      <c r="M663" s="250"/>
      <c r="N663" s="250"/>
      <c r="O663" s="251"/>
      <c r="P663" s="252"/>
      <c r="Q663" s="529" t="s">
        <v>132</v>
      </c>
      <c r="R663" s="253"/>
      <c r="S663" s="254">
        <f>SUM(S37:S662)</f>
        <v>0</v>
      </c>
      <c r="T663" s="255"/>
      <c r="U663" s="256"/>
      <c r="V663" s="255"/>
      <c r="W663" s="255"/>
      <c r="X663" s="255"/>
      <c r="Y663" s="255"/>
      <c r="Z663" s="255"/>
      <c r="AA663" s="256"/>
      <c r="AB663" s="257"/>
      <c r="AC663" s="258"/>
      <c r="AD663" s="259"/>
      <c r="AE663" s="260" t="s">
        <v>1246</v>
      </c>
      <c r="AF663" s="261">
        <f>SUM(AF37:AF662)</f>
        <v>0</v>
      </c>
      <c r="AG663" s="1"/>
      <c r="AH663" s="1"/>
      <c r="AI663" s="1"/>
      <c r="AJ663" s="1"/>
      <c r="AK663" s="1"/>
      <c r="AL663" s="1"/>
      <c r="AM663" s="1"/>
      <c r="AN663" s="1"/>
    </row>
    <row r="664" spans="1:40" ht="12.75" customHeight="1">
      <c r="A664" s="1"/>
      <c r="B664" s="1"/>
      <c r="C664" s="1"/>
      <c r="D664" s="1"/>
      <c r="E664" s="1"/>
      <c r="F664" s="1"/>
      <c r="G664" s="1"/>
      <c r="H664" s="1"/>
      <c r="I664" s="1"/>
      <c r="J664" s="1"/>
      <c r="K664" s="1"/>
      <c r="L664" s="1"/>
      <c r="M664" s="1"/>
      <c r="N664" s="1"/>
      <c r="O664" s="1"/>
      <c r="P664" s="262" t="s">
        <v>1247</v>
      </c>
      <c r="Q664" s="530"/>
      <c r="R664" s="263"/>
      <c r="S664" s="264"/>
      <c r="T664" s="265">
        <f t="shared" ref="T664:AB664" si="302">SUM(T37:T663)</f>
        <v>0</v>
      </c>
      <c r="U664" s="265">
        <f t="shared" si="302"/>
        <v>0</v>
      </c>
      <c r="V664" s="265">
        <f t="shared" si="302"/>
        <v>0</v>
      </c>
      <c r="W664" s="265">
        <f t="shared" si="302"/>
        <v>0</v>
      </c>
      <c r="X664" s="265">
        <f t="shared" si="302"/>
        <v>0</v>
      </c>
      <c r="Y664" s="265">
        <f t="shared" si="302"/>
        <v>0</v>
      </c>
      <c r="Z664" s="265">
        <f t="shared" si="302"/>
        <v>0</v>
      </c>
      <c r="AA664" s="265">
        <f t="shared" si="302"/>
        <v>0</v>
      </c>
      <c r="AB664" s="265">
        <f t="shared" si="302"/>
        <v>0</v>
      </c>
      <c r="AC664" s="266"/>
      <c r="AD664" s="267"/>
      <c r="AE664" s="268"/>
      <c r="AG664" s="1"/>
      <c r="AH664" s="1"/>
      <c r="AI664" s="1"/>
      <c r="AJ664" s="1"/>
      <c r="AK664" s="1"/>
      <c r="AL664" s="1"/>
      <c r="AM664" s="1"/>
      <c r="AN664" s="1"/>
    </row>
    <row r="665" spans="1:40" ht="12.75" customHeight="1">
      <c r="A665" s="1"/>
      <c r="B665" s="1"/>
      <c r="C665" s="1"/>
      <c r="D665" s="1"/>
      <c r="E665" s="1"/>
      <c r="F665" s="1"/>
      <c r="G665" s="1"/>
      <c r="H665" s="1"/>
      <c r="I665" s="1"/>
      <c r="J665" s="1"/>
      <c r="K665" s="1"/>
      <c r="L665" s="1"/>
      <c r="M665" s="1"/>
      <c r="N665" s="1"/>
      <c r="O665" s="1"/>
      <c r="P665" s="493" t="s">
        <v>1248</v>
      </c>
      <c r="Q665" s="494"/>
      <c r="R665" s="494"/>
      <c r="S665" s="494"/>
      <c r="T665" s="494"/>
      <c r="U665" s="494"/>
      <c r="V665" s="494"/>
      <c r="W665" s="494"/>
      <c r="X665" s="494"/>
      <c r="Y665" s="494"/>
      <c r="Z665" s="494"/>
      <c r="AA665" s="495"/>
      <c r="AB665" s="269">
        <f>SUM(AC37:AC663)</f>
        <v>0</v>
      </c>
      <c r="AC665" s="270"/>
      <c r="AE665" s="496" t="s">
        <v>1249</v>
      </c>
      <c r="AG665" s="1"/>
      <c r="AH665" s="1"/>
      <c r="AI665" s="1"/>
      <c r="AJ665" s="1"/>
      <c r="AK665" s="1"/>
      <c r="AL665" s="1"/>
      <c r="AM665" s="1"/>
      <c r="AN665" s="1"/>
    </row>
    <row r="666" spans="1:40" ht="15.75" hidden="1" customHeight="1">
      <c r="A666" s="1"/>
      <c r="B666" s="1"/>
      <c r="C666" s="1"/>
      <c r="D666" s="1"/>
      <c r="E666" s="1"/>
      <c r="F666" s="1"/>
      <c r="G666" s="1"/>
      <c r="H666" s="1"/>
      <c r="I666" s="1"/>
      <c r="J666" s="1"/>
      <c r="K666" s="1"/>
      <c r="L666" s="1"/>
      <c r="M666" s="1"/>
      <c r="N666" s="1"/>
      <c r="O666" s="1"/>
      <c r="P666" s="497" t="s">
        <v>1250</v>
      </c>
      <c r="Q666" s="498"/>
      <c r="R666" s="498"/>
      <c r="S666" s="498"/>
      <c r="T666" s="498"/>
      <c r="U666" s="498"/>
      <c r="V666" s="498"/>
      <c r="W666" s="498"/>
      <c r="X666" s="498"/>
      <c r="Y666" s="498"/>
      <c r="Z666" s="498"/>
      <c r="AA666" s="499"/>
      <c r="AB666" s="271"/>
      <c r="AC666" s="272">
        <f>SUMIF(H37:H662,"Aragon",AD37:AD662)</f>
        <v>0</v>
      </c>
      <c r="AE666" s="464"/>
      <c r="AG666" s="1"/>
      <c r="AH666" s="1"/>
      <c r="AI666" s="1"/>
      <c r="AJ666" s="1"/>
      <c r="AK666" s="1"/>
      <c r="AL666" s="1"/>
      <c r="AM666" s="1"/>
      <c r="AN666" s="1"/>
    </row>
    <row r="667" spans="1:40" ht="15.75" hidden="1" customHeight="1">
      <c r="A667" s="273"/>
      <c r="B667" s="274"/>
      <c r="C667" s="274"/>
      <c r="D667" s="274"/>
      <c r="E667" s="274"/>
      <c r="F667" s="274"/>
      <c r="G667" s="274"/>
      <c r="H667" s="274"/>
      <c r="I667" s="274"/>
      <c r="J667" s="274"/>
      <c r="K667" s="274"/>
      <c r="L667" s="274"/>
      <c r="M667" s="1"/>
      <c r="N667" s="1"/>
      <c r="O667" s="1"/>
      <c r="P667" s="490" t="s">
        <v>1251</v>
      </c>
      <c r="Q667" s="460"/>
      <c r="R667" s="460"/>
      <c r="S667" s="460"/>
      <c r="T667" s="460"/>
      <c r="U667" s="460"/>
      <c r="V667" s="460"/>
      <c r="W667" s="460"/>
      <c r="X667" s="460"/>
      <c r="Y667" s="460"/>
      <c r="Z667" s="460"/>
      <c r="AA667" s="461"/>
      <c r="AB667" s="275">
        <f>Bolts!E1179</f>
        <v>0</v>
      </c>
      <c r="AC667" s="272">
        <f>-SUM(AC666*AB667)</f>
        <v>0</v>
      </c>
      <c r="AE667" s="464"/>
      <c r="AG667" s="1"/>
      <c r="AH667" s="1"/>
      <c r="AI667" s="1"/>
      <c r="AJ667" s="1"/>
      <c r="AK667" s="1"/>
      <c r="AL667" s="1"/>
      <c r="AM667" s="1"/>
      <c r="AN667" s="1"/>
    </row>
    <row r="668" spans="1:40" ht="12.75" customHeight="1">
      <c r="A668" s="273"/>
      <c r="B668" s="274"/>
      <c r="C668" s="274"/>
      <c r="D668" s="274"/>
      <c r="E668" s="274"/>
      <c r="F668" s="274"/>
      <c r="G668" s="274"/>
      <c r="H668" s="274"/>
      <c r="I668" s="274"/>
      <c r="J668" s="274"/>
      <c r="K668" s="274"/>
      <c r="L668" s="274"/>
      <c r="M668" s="1"/>
      <c r="N668" s="1"/>
      <c r="O668" s="1"/>
      <c r="P668" s="489" t="s">
        <v>1252</v>
      </c>
      <c r="Q668" s="460"/>
      <c r="R668" s="460"/>
      <c r="S668" s="460"/>
      <c r="T668" s="460"/>
      <c r="U668" s="460"/>
      <c r="V668" s="460"/>
      <c r="W668" s="460"/>
      <c r="X668" s="460"/>
      <c r="Y668" s="460"/>
      <c r="Z668" s="460"/>
      <c r="AA668" s="461"/>
      <c r="AB668" s="271"/>
      <c r="AC668" s="276">
        <f>SUM(AC666:AC667)</f>
        <v>0</v>
      </c>
      <c r="AE668" s="464"/>
      <c r="AG668" s="1"/>
      <c r="AH668" s="1"/>
      <c r="AI668" s="1"/>
      <c r="AJ668" s="1"/>
      <c r="AK668" s="1"/>
      <c r="AL668" s="1"/>
      <c r="AM668" s="1"/>
      <c r="AN668" s="1"/>
    </row>
    <row r="669" spans="1:40" ht="12.75" customHeight="1">
      <c r="A669" s="273"/>
      <c r="B669" s="274"/>
      <c r="C669" s="274"/>
      <c r="D669" s="274"/>
      <c r="E669" s="274"/>
      <c r="F669" s="274"/>
      <c r="G669" s="274"/>
      <c r="H669" s="274"/>
      <c r="I669" s="274"/>
      <c r="J669" s="274"/>
      <c r="K669" s="274"/>
      <c r="L669" s="274"/>
      <c r="M669" s="1"/>
      <c r="N669" s="1"/>
      <c r="O669" s="1"/>
      <c r="P669" s="277"/>
      <c r="Q669" s="531"/>
      <c r="R669" s="277"/>
      <c r="S669" s="277"/>
      <c r="T669" s="277"/>
      <c r="U669" s="277"/>
      <c r="V669" s="277"/>
      <c r="W669" s="277"/>
      <c r="X669" s="277"/>
      <c r="Y669" s="488" t="s">
        <v>1253</v>
      </c>
      <c r="Z669" s="460"/>
      <c r="AA669" s="461"/>
      <c r="AB669" s="278"/>
      <c r="AC669" s="279">
        <f>IF(W6="Yes",(Bolts!D1168*Bolts!K1171),0)</f>
        <v>0</v>
      </c>
      <c r="AD669" s="280"/>
      <c r="AE669" s="464"/>
      <c r="AG669" s="1"/>
      <c r="AH669" s="1"/>
      <c r="AI669" s="1"/>
      <c r="AJ669" s="1"/>
      <c r="AK669" s="1"/>
      <c r="AL669" s="1"/>
      <c r="AM669" s="1"/>
      <c r="AN669" s="1"/>
    </row>
    <row r="670" spans="1:40" ht="12.75" customHeight="1">
      <c r="A670" s="273"/>
      <c r="B670" s="274"/>
      <c r="C670" s="274"/>
      <c r="D670" s="274"/>
      <c r="E670" s="274"/>
      <c r="F670" s="274"/>
      <c r="G670" s="274"/>
      <c r="H670" s="274"/>
      <c r="I670" s="274"/>
      <c r="J670" s="274"/>
      <c r="K670" s="274"/>
      <c r="L670" s="274"/>
      <c r="M670" s="1"/>
      <c r="N670" s="273"/>
      <c r="O670" s="1"/>
      <c r="P670" s="488" t="s">
        <v>1254</v>
      </c>
      <c r="Q670" s="460"/>
      <c r="R670" s="460"/>
      <c r="S670" s="460"/>
      <c r="T670" s="460"/>
      <c r="U670" s="460"/>
      <c r="V670" s="460"/>
      <c r="W670" s="460"/>
      <c r="X670" s="460"/>
      <c r="Y670" s="460"/>
      <c r="Z670" s="460"/>
      <c r="AA670" s="461"/>
      <c r="AB670" s="275">
        <v>0.05</v>
      </c>
      <c r="AC670" s="281">
        <v>0</v>
      </c>
      <c r="AD670" s="280"/>
      <c r="AE670" s="464"/>
      <c r="AH670" s="1"/>
      <c r="AI670" s="1"/>
      <c r="AJ670" s="1"/>
      <c r="AK670" s="1"/>
      <c r="AL670" s="1"/>
      <c r="AM670" s="1"/>
      <c r="AN670" s="1"/>
    </row>
    <row r="671" spans="1:40" ht="12.75" customHeight="1">
      <c r="A671" s="282"/>
      <c r="B671" s="274"/>
      <c r="C671" s="274"/>
      <c r="D671" s="274"/>
      <c r="E671" s="274"/>
      <c r="F671" s="274"/>
      <c r="G671" s="274"/>
      <c r="H671" s="274"/>
      <c r="I671" s="274"/>
      <c r="J671" s="274"/>
      <c r="K671" s="274"/>
      <c r="L671" s="274"/>
      <c r="M671" s="1"/>
      <c r="N671" s="273"/>
      <c r="O671" s="1"/>
      <c r="P671" s="283"/>
      <c r="Q671" s="532"/>
      <c r="R671" s="283"/>
      <c r="S671" s="283"/>
      <c r="T671" s="283"/>
      <c r="U671" s="283"/>
      <c r="V671" s="283"/>
      <c r="W671" s="283"/>
      <c r="X671" s="283"/>
      <c r="Y671" s="488" t="s">
        <v>1255</v>
      </c>
      <c r="Z671" s="460"/>
      <c r="AA671" s="461"/>
      <c r="AB671" s="275"/>
      <c r="AC671" s="279"/>
      <c r="AD671" s="280"/>
      <c r="AE671" s="464"/>
      <c r="AH671" s="1"/>
      <c r="AI671" s="1"/>
      <c r="AJ671" s="1"/>
      <c r="AK671" s="1"/>
      <c r="AL671" s="1"/>
      <c r="AM671" s="1"/>
      <c r="AN671" s="1"/>
    </row>
    <row r="672" spans="1:40" ht="12.75" customHeight="1">
      <c r="A672" s="282"/>
      <c r="B672" s="274"/>
      <c r="C672" s="274"/>
      <c r="D672" s="274"/>
      <c r="E672" s="274"/>
      <c r="F672" s="274"/>
      <c r="G672" s="274"/>
      <c r="H672" s="274"/>
      <c r="I672" s="274"/>
      <c r="J672" s="274"/>
      <c r="K672" s="274"/>
      <c r="L672" s="274"/>
      <c r="M672" s="1"/>
      <c r="N672" s="273"/>
      <c r="O672" s="1"/>
      <c r="P672" s="489" t="s">
        <v>1256</v>
      </c>
      <c r="Q672" s="460"/>
      <c r="R672" s="460"/>
      <c r="S672" s="460"/>
      <c r="T672" s="460"/>
      <c r="U672" s="460"/>
      <c r="V672" s="460"/>
      <c r="W672" s="460"/>
      <c r="X672" s="460"/>
      <c r="Y672" s="460"/>
      <c r="Z672" s="460"/>
      <c r="AA672" s="461"/>
      <c r="AB672" s="275"/>
      <c r="AC672" s="284">
        <f>SUM(AC668:AC671)</f>
        <v>0</v>
      </c>
      <c r="AD672" s="280"/>
      <c r="AE672" s="464"/>
      <c r="AH672" s="1"/>
      <c r="AI672" s="1"/>
      <c r="AJ672" s="1"/>
      <c r="AK672" s="1"/>
      <c r="AL672" s="1"/>
      <c r="AM672" s="1"/>
      <c r="AN672" s="1"/>
    </row>
    <row r="673" spans="1:40" ht="12.75" customHeight="1">
      <c r="A673" s="282"/>
      <c r="B673" s="274"/>
      <c r="C673" s="274"/>
      <c r="D673" s="274"/>
      <c r="E673" s="274"/>
      <c r="F673" s="274"/>
      <c r="G673" s="274"/>
      <c r="H673" s="274"/>
      <c r="I673" s="274"/>
      <c r="J673" s="274"/>
      <c r="K673" s="274"/>
      <c r="L673" s="274"/>
      <c r="M673" s="1"/>
      <c r="N673" s="273"/>
      <c r="O673" s="1"/>
      <c r="P673" s="490" t="s">
        <v>1257</v>
      </c>
      <c r="Q673" s="460"/>
      <c r="R673" s="460"/>
      <c r="S673" s="460"/>
      <c r="T673" s="460"/>
      <c r="U673" s="460"/>
      <c r="V673" s="460"/>
      <c r="W673" s="460"/>
      <c r="X673" s="460"/>
      <c r="Y673" s="460"/>
      <c r="Z673" s="460"/>
      <c r="AA673" s="461"/>
      <c r="AB673" s="285">
        <v>0</v>
      </c>
      <c r="AC673" s="284">
        <f>AC672*AB673</f>
        <v>0</v>
      </c>
      <c r="AD673" s="280"/>
      <c r="AE673" s="464"/>
      <c r="AH673" s="1"/>
      <c r="AI673" s="1"/>
      <c r="AJ673" s="1"/>
      <c r="AK673" s="1"/>
      <c r="AL673" s="1"/>
      <c r="AM673" s="1"/>
      <c r="AN673" s="1"/>
    </row>
    <row r="674" spans="1:40" ht="12.75" customHeight="1">
      <c r="A674" s="282"/>
      <c r="B674" s="274"/>
      <c r="C674" s="274"/>
      <c r="D674" s="274"/>
      <c r="E674" s="274"/>
      <c r="F674" s="274"/>
      <c r="G674" s="274"/>
      <c r="H674" s="274"/>
      <c r="I674" s="274"/>
      <c r="J674" s="274"/>
      <c r="K674" s="274"/>
      <c r="L674" s="274"/>
      <c r="M674" s="1"/>
      <c r="N674" s="273"/>
      <c r="O674" s="1"/>
      <c r="P674" s="491" t="s">
        <v>1258</v>
      </c>
      <c r="Q674" s="460"/>
      <c r="R674" s="460"/>
      <c r="S674" s="460"/>
      <c r="T674" s="460"/>
      <c r="U674" s="460"/>
      <c r="V674" s="460"/>
      <c r="W674" s="460"/>
      <c r="X674" s="460"/>
      <c r="Y674" s="460"/>
      <c r="Z674" s="460"/>
      <c r="AA674" s="461"/>
      <c r="AB674" s="271"/>
      <c r="AC674" s="279">
        <f>IF((Bolts!H1171+Bolts!H1174)&gt;0,Bolts!B1185*Bolts!J1171,0)</f>
        <v>0</v>
      </c>
      <c r="AD674" s="286"/>
      <c r="AE674" s="464"/>
      <c r="AH674" s="1"/>
      <c r="AI674" s="1"/>
      <c r="AJ674" s="1"/>
      <c r="AK674" s="1"/>
      <c r="AL674" s="1"/>
      <c r="AM674" s="1"/>
      <c r="AN674" s="1"/>
    </row>
    <row r="675" spans="1:40" ht="24">
      <c r="A675" s="282"/>
      <c r="B675" s="274"/>
      <c r="C675" s="274"/>
      <c r="D675" s="274"/>
      <c r="E675" s="274"/>
      <c r="F675" s="274"/>
      <c r="G675" s="274"/>
      <c r="H675" s="274"/>
      <c r="I675" s="274"/>
      <c r="J675" s="274"/>
      <c r="K675" s="274"/>
      <c r="L675" s="274"/>
      <c r="M675" s="1"/>
      <c r="N675" s="273"/>
      <c r="O675" s="1"/>
      <c r="P675" s="287"/>
      <c r="Q675" s="491" t="s">
        <v>1259</v>
      </c>
      <c r="R675" s="460"/>
      <c r="S675" s="460"/>
      <c r="T675" s="460"/>
      <c r="U675" s="460"/>
      <c r="V675" s="460"/>
      <c r="W675" s="460"/>
      <c r="X675" s="460"/>
      <c r="Y675" s="460"/>
      <c r="Z675" s="460"/>
      <c r="AA675" s="461"/>
      <c r="AB675" s="271"/>
      <c r="AC675" s="284">
        <v>0</v>
      </c>
      <c r="AD675" s="280"/>
      <c r="AE675" s="464"/>
      <c r="AF675" s="288" t="s">
        <v>1260</v>
      </c>
      <c r="AG675" s="289">
        <f>SUMIF(H37:H663,"Aragon",AD37:AD663)</f>
        <v>0</v>
      </c>
      <c r="AH675" s="1"/>
      <c r="AI675" s="1"/>
      <c r="AJ675" s="1"/>
      <c r="AK675" s="1"/>
      <c r="AL675" s="1"/>
      <c r="AM675" s="1"/>
      <c r="AN675" s="1"/>
    </row>
    <row r="676" spans="1:40" ht="24">
      <c r="A676" s="282"/>
      <c r="B676" s="274"/>
      <c r="C676" s="274"/>
      <c r="D676" s="274"/>
      <c r="E676" s="274"/>
      <c r="F676" s="274"/>
      <c r="G676" s="274"/>
      <c r="H676" s="274"/>
      <c r="I676" s="274"/>
      <c r="J676" s="274"/>
      <c r="K676" s="274"/>
      <c r="L676" s="274"/>
      <c r="M676" s="1"/>
      <c r="N676" s="1"/>
      <c r="O676" s="1"/>
      <c r="P676" s="492" t="s">
        <v>1261</v>
      </c>
      <c r="Q676" s="460"/>
      <c r="R676" s="460"/>
      <c r="S676" s="460"/>
      <c r="T676" s="460"/>
      <c r="U676" s="460"/>
      <c r="V676" s="460"/>
      <c r="W676" s="460"/>
      <c r="X676" s="460"/>
      <c r="Y676" s="460"/>
      <c r="Z676" s="460"/>
      <c r="AA676" s="461"/>
      <c r="AB676" s="271"/>
      <c r="AC676" s="279">
        <f>SUM(AC672:AC675)</f>
        <v>0</v>
      </c>
      <c r="AD676" s="286"/>
      <c r="AE676" s="464"/>
      <c r="AF676" s="288" t="s">
        <v>1262</v>
      </c>
      <c r="AG676" s="289">
        <f>Bolts!E1179*AG675</f>
        <v>0</v>
      </c>
      <c r="AH676" s="1"/>
      <c r="AI676" s="1"/>
      <c r="AJ676" s="1"/>
      <c r="AK676" s="1"/>
      <c r="AL676" s="1"/>
      <c r="AM676" s="1"/>
      <c r="AN676" s="1"/>
    </row>
    <row r="677" spans="1:40" ht="13">
      <c r="A677" s="282"/>
      <c r="B677" s="274"/>
      <c r="C677" s="274"/>
      <c r="D677" s="274"/>
      <c r="E677" s="274"/>
      <c r="F677" s="274"/>
      <c r="G677" s="274"/>
      <c r="H677" s="274"/>
      <c r="I677" s="274"/>
      <c r="J677" s="274"/>
      <c r="K677" s="274"/>
      <c r="L677" s="274"/>
      <c r="M677" s="10"/>
      <c r="N677" s="10"/>
      <c r="O677" s="10"/>
      <c r="P677" s="491" t="s">
        <v>1263</v>
      </c>
      <c r="Q677" s="460"/>
      <c r="R677" s="460"/>
      <c r="S677" s="460"/>
      <c r="T677" s="460"/>
      <c r="U677" s="460"/>
      <c r="V677" s="460"/>
      <c r="W677" s="460"/>
      <c r="X677" s="460"/>
      <c r="Y677" s="460"/>
      <c r="Z677" s="460"/>
      <c r="AA677" s="461"/>
      <c r="AB677" s="271"/>
      <c r="AC677" s="279">
        <v>0</v>
      </c>
      <c r="AD677" s="286"/>
      <c r="AE677" s="464"/>
      <c r="AF677" s="288" t="s">
        <v>1264</v>
      </c>
      <c r="AG677" s="290">
        <f>SUMIF(H37:H663,"Aragon",S37:S663)</f>
        <v>0</v>
      </c>
      <c r="AH677" s="1"/>
      <c r="AI677" s="1"/>
      <c r="AJ677" s="1"/>
      <c r="AK677" s="1"/>
      <c r="AL677" s="1"/>
      <c r="AM677" s="1"/>
      <c r="AN677" s="1"/>
    </row>
    <row r="678" spans="1:40" ht="13">
      <c r="A678" s="282"/>
      <c r="B678" s="274"/>
      <c r="C678" s="274"/>
      <c r="D678" s="274"/>
      <c r="E678" s="274"/>
      <c r="F678" s="274"/>
      <c r="G678" s="274"/>
      <c r="H678" s="274"/>
      <c r="I678" s="274"/>
      <c r="J678" s="274"/>
      <c r="K678" s="274"/>
      <c r="L678" s="274"/>
      <c r="M678" s="10"/>
      <c r="N678" s="10"/>
      <c r="O678" s="10"/>
      <c r="P678" s="491"/>
      <c r="Q678" s="460"/>
      <c r="R678" s="460"/>
      <c r="S678" s="460"/>
      <c r="T678" s="460"/>
      <c r="U678" s="460"/>
      <c r="V678" s="460"/>
      <c r="W678" s="460"/>
      <c r="X678" s="460"/>
      <c r="Y678" s="460"/>
      <c r="Z678" s="460"/>
      <c r="AA678" s="461"/>
      <c r="AB678" s="271"/>
      <c r="AC678" s="279"/>
      <c r="AD678" s="10"/>
      <c r="AE678" s="464"/>
      <c r="AF678" s="291" t="s">
        <v>1265</v>
      </c>
      <c r="AG678" s="292">
        <f>SUMIF(H37:H663,"Aragon",AC37:AC663)</f>
        <v>0</v>
      </c>
      <c r="AH678" s="1"/>
      <c r="AI678" s="1"/>
      <c r="AJ678" s="1"/>
      <c r="AK678" s="1"/>
      <c r="AL678" s="1"/>
      <c r="AM678" s="1"/>
      <c r="AN678" s="1"/>
    </row>
    <row r="679" spans="1:40" ht="24">
      <c r="A679" s="282"/>
      <c r="B679" s="274"/>
      <c r="C679" s="274"/>
      <c r="D679" s="274"/>
      <c r="E679" s="274"/>
      <c r="F679" s="274"/>
      <c r="G679" s="274"/>
      <c r="H679" s="274"/>
      <c r="I679" s="274"/>
      <c r="J679" s="274"/>
      <c r="K679" s="274"/>
      <c r="L679" s="274"/>
      <c r="M679" s="10"/>
      <c r="N679" s="10"/>
      <c r="O679" s="10"/>
      <c r="P679" s="492" t="s">
        <v>1266</v>
      </c>
      <c r="Q679" s="460"/>
      <c r="R679" s="460"/>
      <c r="S679" s="460"/>
      <c r="T679" s="460"/>
      <c r="U679" s="460"/>
      <c r="V679" s="460"/>
      <c r="W679" s="460"/>
      <c r="X679" s="460"/>
      <c r="Y679" s="460"/>
      <c r="Z679" s="460"/>
      <c r="AA679" s="461"/>
      <c r="AB679" s="271"/>
      <c r="AC679" s="279">
        <f>SUM(AC676-AC677)</f>
        <v>0</v>
      </c>
      <c r="AD679" s="10"/>
      <c r="AE679" s="465"/>
      <c r="AF679" s="293" t="s">
        <v>1246</v>
      </c>
      <c r="AG679" s="294">
        <f>SUMIF(H37:H663,"Aragon",AF37:AF663)</f>
        <v>0</v>
      </c>
      <c r="AH679" s="1"/>
      <c r="AI679" s="1"/>
      <c r="AJ679" s="1"/>
      <c r="AK679" s="1"/>
      <c r="AL679" s="1"/>
      <c r="AM679" s="1"/>
      <c r="AN679" s="1"/>
    </row>
    <row r="680" spans="1:40" ht="15.75" hidden="1" customHeight="1">
      <c r="A680" s="282"/>
      <c r="B680" s="274"/>
      <c r="C680" s="274"/>
      <c r="D680" s="274"/>
      <c r="E680" s="274"/>
      <c r="F680" s="274"/>
      <c r="G680" s="274"/>
      <c r="H680" s="274"/>
      <c r="I680" s="274"/>
      <c r="J680" s="274"/>
      <c r="K680" s="274"/>
      <c r="L680" s="274"/>
      <c r="M680" s="10"/>
      <c r="N680" s="10"/>
      <c r="O680" s="10"/>
      <c r="P680" s="10"/>
      <c r="Q680" s="514"/>
      <c r="R680" s="10"/>
      <c r="S680" s="10"/>
      <c r="T680" s="10"/>
      <c r="U680" s="10"/>
      <c r="V680" s="10"/>
      <c r="W680" s="10"/>
      <c r="X680" s="10"/>
      <c r="Y680" s="10"/>
      <c r="Z680" s="10"/>
      <c r="AA680" s="10"/>
      <c r="AB680" s="10"/>
      <c r="AC680" s="10"/>
      <c r="AD680" s="10"/>
      <c r="AE680" s="295"/>
      <c r="AH680" s="1"/>
      <c r="AI680" s="1"/>
      <c r="AJ680" s="1"/>
      <c r="AK680" s="1"/>
      <c r="AL680" s="1"/>
      <c r="AM680" s="1"/>
      <c r="AN680" s="1"/>
    </row>
    <row r="681" spans="1:40" ht="15.75" hidden="1" customHeight="1">
      <c r="A681" s="282"/>
      <c r="B681" s="274"/>
      <c r="C681" s="274"/>
      <c r="D681" s="274"/>
      <c r="E681" s="274"/>
      <c r="F681" s="274"/>
      <c r="G681" s="274"/>
      <c r="H681" s="274"/>
      <c r="I681" s="274"/>
      <c r="J681" s="274"/>
      <c r="K681" s="274"/>
      <c r="L681" s="274"/>
      <c r="M681" s="10"/>
      <c r="N681" s="10"/>
      <c r="O681" s="10"/>
      <c r="P681" s="489" t="s">
        <v>1250</v>
      </c>
      <c r="Q681" s="460"/>
      <c r="R681" s="460"/>
      <c r="S681" s="460"/>
      <c r="T681" s="460"/>
      <c r="U681" s="460"/>
      <c r="V681" s="460"/>
      <c r="W681" s="460"/>
      <c r="X681" s="460"/>
      <c r="Y681" s="460"/>
      <c r="Z681" s="460"/>
      <c r="AA681" s="461"/>
      <c r="AB681" s="271"/>
      <c r="AC681" s="272">
        <f>SUMIF(H37:H662,"Composite X",AD37:AD662)</f>
        <v>0</v>
      </c>
      <c r="AD681" s="280"/>
      <c r="AE681" s="496" t="s">
        <v>1267</v>
      </c>
      <c r="AH681" s="1"/>
      <c r="AI681" s="1"/>
      <c r="AJ681" s="1"/>
      <c r="AK681" s="1"/>
      <c r="AL681" s="1"/>
      <c r="AM681" s="1"/>
      <c r="AN681" s="1"/>
    </row>
    <row r="682" spans="1:40" ht="15.75" hidden="1" customHeight="1">
      <c r="A682" s="10"/>
      <c r="B682" s="296"/>
      <c r="C682" s="296"/>
      <c r="D682" s="296"/>
      <c r="E682" s="296"/>
      <c r="F682" s="296"/>
      <c r="G682" s="296"/>
      <c r="H682" s="296"/>
      <c r="I682" s="296"/>
      <c r="J682" s="296"/>
      <c r="K682" s="296"/>
      <c r="L682" s="296"/>
      <c r="M682" s="10"/>
      <c r="N682" s="10"/>
      <c r="O682" s="10"/>
      <c r="P682" s="490" t="s">
        <v>1251</v>
      </c>
      <c r="Q682" s="460"/>
      <c r="R682" s="460"/>
      <c r="S682" s="460"/>
      <c r="T682" s="460"/>
      <c r="U682" s="460"/>
      <c r="V682" s="460"/>
      <c r="W682" s="460"/>
      <c r="X682" s="460"/>
      <c r="Y682" s="460"/>
      <c r="Z682" s="460"/>
      <c r="AA682" s="461"/>
      <c r="AB682" s="275">
        <f>Bolts!E1179</f>
        <v>0</v>
      </c>
      <c r="AC682" s="272">
        <f>-SUM(AC681*AB682)</f>
        <v>0</v>
      </c>
      <c r="AD682" s="280"/>
      <c r="AE682" s="464"/>
      <c r="AH682" s="1"/>
      <c r="AI682" s="1"/>
      <c r="AJ682" s="1"/>
      <c r="AK682" s="1"/>
      <c r="AL682" s="1"/>
      <c r="AM682" s="1"/>
      <c r="AN682" s="1"/>
    </row>
    <row r="683" spans="1:40" ht="12.75" hidden="1" customHeight="1">
      <c r="A683" s="10"/>
      <c r="B683" s="296"/>
      <c r="C683" s="296"/>
      <c r="D683" s="296"/>
      <c r="E683" s="296"/>
      <c r="F683" s="296"/>
      <c r="G683" s="296"/>
      <c r="H683" s="296"/>
      <c r="I683" s="296"/>
      <c r="J683" s="296"/>
      <c r="K683" s="296"/>
      <c r="L683" s="296"/>
      <c r="M683" s="10"/>
      <c r="N683" s="10"/>
      <c r="O683" s="10"/>
      <c r="P683" s="489" t="s">
        <v>1252</v>
      </c>
      <c r="Q683" s="460"/>
      <c r="R683" s="460"/>
      <c r="S683" s="460"/>
      <c r="T683" s="460"/>
      <c r="U683" s="460"/>
      <c r="V683" s="460"/>
      <c r="W683" s="460"/>
      <c r="X683" s="460"/>
      <c r="Y683" s="460"/>
      <c r="Z683" s="460"/>
      <c r="AA683" s="461"/>
      <c r="AB683" s="271"/>
      <c r="AC683" s="272">
        <f>SUM(AC681:AC682)</f>
        <v>0</v>
      </c>
      <c r="AD683" s="280"/>
      <c r="AE683" s="464"/>
      <c r="AH683" s="1"/>
      <c r="AI683" s="1"/>
      <c r="AJ683" s="1"/>
      <c r="AK683" s="1"/>
      <c r="AL683" s="1"/>
      <c r="AM683" s="1"/>
      <c r="AN683" s="1"/>
    </row>
    <row r="684" spans="1:40" ht="12.75" hidden="1" customHeight="1">
      <c r="A684" s="10"/>
      <c r="B684" s="10"/>
      <c r="C684" s="10"/>
      <c r="D684" s="10"/>
      <c r="E684" s="10"/>
      <c r="F684" s="10"/>
      <c r="G684" s="10"/>
      <c r="H684" s="10"/>
      <c r="I684" s="10"/>
      <c r="J684" s="10"/>
      <c r="K684" s="10"/>
      <c r="L684" s="10"/>
      <c r="M684" s="10"/>
      <c r="N684" s="10"/>
      <c r="O684" s="10"/>
      <c r="P684" s="277"/>
      <c r="Q684" s="531"/>
      <c r="R684" s="277"/>
      <c r="S684" s="277"/>
      <c r="T684" s="277"/>
      <c r="U684" s="277"/>
      <c r="V684" s="277"/>
      <c r="W684" s="277"/>
      <c r="X684" s="277"/>
      <c r="Y684" s="488" t="s">
        <v>1253</v>
      </c>
      <c r="Z684" s="460"/>
      <c r="AA684" s="461"/>
      <c r="AB684" s="278"/>
      <c r="AC684" s="297">
        <f>IF(W6="Yes",(Bolts!D1168*Bolts!K1172),0)</f>
        <v>0</v>
      </c>
      <c r="AD684" s="10"/>
      <c r="AE684" s="464"/>
      <c r="AH684" s="1"/>
      <c r="AI684" s="1"/>
      <c r="AJ684" s="1"/>
      <c r="AK684" s="1"/>
      <c r="AL684" s="1"/>
      <c r="AM684" s="1"/>
      <c r="AN684" s="1"/>
    </row>
    <row r="685" spans="1:40" ht="15.75" hidden="1" customHeight="1">
      <c r="A685" s="10"/>
      <c r="B685" s="10"/>
      <c r="C685" s="10"/>
      <c r="D685" s="10"/>
      <c r="E685" s="10"/>
      <c r="F685" s="10"/>
      <c r="G685" s="10"/>
      <c r="H685" s="10"/>
      <c r="I685" s="10"/>
      <c r="J685" s="10"/>
      <c r="K685" s="10"/>
      <c r="L685" s="10"/>
      <c r="M685" s="10"/>
      <c r="N685" s="10"/>
      <c r="O685" s="10"/>
      <c r="P685" s="283"/>
      <c r="Q685" s="532"/>
      <c r="R685" s="283"/>
      <c r="S685" s="283"/>
      <c r="T685" s="283"/>
      <c r="U685" s="283"/>
      <c r="V685" s="283"/>
      <c r="W685" s="283"/>
      <c r="X685" s="283"/>
      <c r="Y685" s="488" t="s">
        <v>1255</v>
      </c>
      <c r="Z685" s="460"/>
      <c r="AA685" s="461"/>
      <c r="AB685" s="275"/>
      <c r="AC685" s="297"/>
      <c r="AD685" s="10"/>
      <c r="AE685" s="464"/>
      <c r="AH685" s="1"/>
      <c r="AI685" s="1"/>
      <c r="AJ685" s="1"/>
      <c r="AK685" s="1"/>
      <c r="AL685" s="1"/>
      <c r="AM685" s="1"/>
      <c r="AN685" s="1"/>
    </row>
    <row r="686" spans="1:40" ht="15.75" hidden="1" customHeight="1">
      <c r="A686" s="10"/>
      <c r="B686" s="10"/>
      <c r="C686" s="10"/>
      <c r="D686" s="10"/>
      <c r="E686" s="10"/>
      <c r="F686" s="10"/>
      <c r="G686" s="10"/>
      <c r="H686" s="10"/>
      <c r="I686" s="10"/>
      <c r="J686" s="10"/>
      <c r="K686" s="10"/>
      <c r="L686" s="10"/>
      <c r="M686" s="10"/>
      <c r="N686" s="10"/>
      <c r="O686" s="10"/>
      <c r="P686" s="489" t="s">
        <v>1256</v>
      </c>
      <c r="Q686" s="460"/>
      <c r="R686" s="460"/>
      <c r="S686" s="460"/>
      <c r="T686" s="460"/>
      <c r="U686" s="460"/>
      <c r="V686" s="460"/>
      <c r="W686" s="460"/>
      <c r="X686" s="460"/>
      <c r="Y686" s="460"/>
      <c r="Z686" s="460"/>
      <c r="AA686" s="461"/>
      <c r="AB686" s="275"/>
      <c r="AC686" s="298">
        <f>SUM(AC683:AC685)</f>
        <v>0</v>
      </c>
      <c r="AD686" s="10"/>
      <c r="AE686" s="464"/>
      <c r="AH686" s="1"/>
      <c r="AI686" s="1"/>
      <c r="AJ686" s="1"/>
      <c r="AK686" s="1"/>
      <c r="AL686" s="1"/>
      <c r="AM686" s="1"/>
      <c r="AN686" s="1"/>
    </row>
    <row r="687" spans="1:40" ht="15.75" hidden="1" customHeight="1">
      <c r="A687" s="10"/>
      <c r="B687" s="10"/>
      <c r="C687" s="10"/>
      <c r="D687" s="10"/>
      <c r="E687" s="10"/>
      <c r="F687" s="10"/>
      <c r="G687" s="10"/>
      <c r="H687" s="10"/>
      <c r="I687" s="10"/>
      <c r="J687" s="10"/>
      <c r="K687" s="10"/>
      <c r="L687" s="10"/>
      <c r="M687" s="10"/>
      <c r="N687" s="10"/>
      <c r="O687" s="10"/>
      <c r="P687" s="490" t="s">
        <v>1257</v>
      </c>
      <c r="Q687" s="460"/>
      <c r="R687" s="460"/>
      <c r="S687" s="460"/>
      <c r="T687" s="460"/>
      <c r="U687" s="460"/>
      <c r="V687" s="460"/>
      <c r="W687" s="460"/>
      <c r="X687" s="460"/>
      <c r="Y687" s="460"/>
      <c r="Z687" s="460"/>
      <c r="AA687" s="461"/>
      <c r="AB687" s="285">
        <v>0</v>
      </c>
      <c r="AC687" s="298">
        <f>AC686*AB687</f>
        <v>0</v>
      </c>
      <c r="AD687" s="10"/>
      <c r="AE687" s="464"/>
      <c r="AH687" s="1"/>
      <c r="AI687" s="1"/>
      <c r="AJ687" s="1"/>
      <c r="AK687" s="1"/>
      <c r="AL687" s="1"/>
      <c r="AM687" s="1"/>
      <c r="AN687" s="1"/>
    </row>
    <row r="688" spans="1:40" ht="15.75" hidden="1" customHeight="1">
      <c r="A688" s="10"/>
      <c r="B688" s="10"/>
      <c r="C688" s="10"/>
      <c r="D688" s="10"/>
      <c r="E688" s="10"/>
      <c r="F688" s="10"/>
      <c r="G688" s="10"/>
      <c r="H688" s="10"/>
      <c r="I688" s="10"/>
      <c r="J688" s="10"/>
      <c r="K688" s="10"/>
      <c r="L688" s="10"/>
      <c r="M688" s="10"/>
      <c r="N688" s="10"/>
      <c r="O688" s="10"/>
      <c r="P688" s="491" t="s">
        <v>1258</v>
      </c>
      <c r="Q688" s="460"/>
      <c r="R688" s="460"/>
      <c r="S688" s="460"/>
      <c r="T688" s="460"/>
      <c r="U688" s="460"/>
      <c r="V688" s="460"/>
      <c r="W688" s="460"/>
      <c r="X688" s="460"/>
      <c r="Y688" s="460"/>
      <c r="Z688" s="460"/>
      <c r="AA688" s="461"/>
      <c r="AB688" s="271"/>
      <c r="AC688" s="297">
        <f>100*Bolts!J1172</f>
        <v>0</v>
      </c>
      <c r="AD688" s="10"/>
      <c r="AE688" s="464"/>
      <c r="AH688" s="1"/>
      <c r="AI688" s="1"/>
      <c r="AJ688" s="1"/>
      <c r="AK688" s="1"/>
      <c r="AL688" s="1"/>
      <c r="AM688" s="1"/>
      <c r="AN688" s="1"/>
    </row>
    <row r="689" spans="1:40" ht="15.75" hidden="1" customHeight="1">
      <c r="A689" s="10"/>
      <c r="B689" s="10"/>
      <c r="C689" s="10"/>
      <c r="D689" s="10"/>
      <c r="E689" s="10"/>
      <c r="F689" s="10"/>
      <c r="G689" s="10"/>
      <c r="H689" s="10"/>
      <c r="I689" s="10"/>
      <c r="J689" s="10"/>
      <c r="K689" s="10"/>
      <c r="L689" s="10"/>
      <c r="M689" s="10"/>
      <c r="N689" s="10"/>
      <c r="O689" s="10"/>
      <c r="P689" s="287"/>
      <c r="Q689" s="491" t="s">
        <v>1259</v>
      </c>
      <c r="R689" s="460"/>
      <c r="S689" s="460"/>
      <c r="T689" s="460"/>
      <c r="U689" s="460"/>
      <c r="V689" s="460"/>
      <c r="W689" s="460"/>
      <c r="X689" s="460"/>
      <c r="Y689" s="460"/>
      <c r="Z689" s="460"/>
      <c r="AA689" s="461"/>
      <c r="AB689" s="271"/>
      <c r="AC689" s="298">
        <f>1.8*AG693</f>
        <v>0</v>
      </c>
      <c r="AD689" s="10"/>
      <c r="AE689" s="464"/>
      <c r="AF689" s="288" t="s">
        <v>1260</v>
      </c>
      <c r="AG689" s="299">
        <f>SUMIF(H37:H663,"Composite X",AD37:AD663)</f>
        <v>0</v>
      </c>
      <c r="AH689" s="1"/>
      <c r="AI689" s="1"/>
      <c r="AJ689" s="1"/>
      <c r="AK689" s="1"/>
      <c r="AL689" s="1"/>
      <c r="AM689" s="1"/>
      <c r="AN689" s="1"/>
    </row>
    <row r="690" spans="1:40" ht="15.75" hidden="1" customHeight="1">
      <c r="A690" s="1"/>
      <c r="B690" s="1"/>
      <c r="C690" s="1"/>
      <c r="D690" s="1"/>
      <c r="E690" s="1"/>
      <c r="F690" s="1"/>
      <c r="G690" s="1"/>
      <c r="H690" s="1"/>
      <c r="I690" s="1"/>
      <c r="J690" s="1"/>
      <c r="K690" s="1"/>
      <c r="L690" s="1"/>
      <c r="M690" s="1"/>
      <c r="N690" s="1"/>
      <c r="O690" s="1"/>
      <c r="P690" s="492" t="s">
        <v>1261</v>
      </c>
      <c r="Q690" s="460"/>
      <c r="R690" s="460"/>
      <c r="S690" s="460"/>
      <c r="T690" s="460"/>
      <c r="U690" s="460"/>
      <c r="V690" s="460"/>
      <c r="W690" s="460"/>
      <c r="X690" s="460"/>
      <c r="Y690" s="460"/>
      <c r="Z690" s="460"/>
      <c r="AA690" s="461"/>
      <c r="AB690" s="271"/>
      <c r="AC690" s="297">
        <f>SUM(AC686:AC689)</f>
        <v>0</v>
      </c>
      <c r="AE690" s="464"/>
      <c r="AF690" s="288" t="s">
        <v>1262</v>
      </c>
      <c r="AG690" s="299">
        <f>AG689*Bolts!E1179</f>
        <v>0</v>
      </c>
      <c r="AH690" s="1"/>
      <c r="AI690" s="1"/>
      <c r="AJ690" s="1"/>
      <c r="AK690" s="1"/>
      <c r="AL690" s="1"/>
      <c r="AM690" s="1"/>
      <c r="AN690" s="1"/>
    </row>
    <row r="691" spans="1:40" ht="15.75" hidden="1" customHeight="1">
      <c r="A691" s="1"/>
      <c r="B691" s="1"/>
      <c r="C691" s="1"/>
      <c r="D691" s="1"/>
      <c r="E691" s="1"/>
      <c r="F691" s="1"/>
      <c r="G691" s="1"/>
      <c r="H691" s="1"/>
      <c r="I691" s="1"/>
      <c r="J691" s="1"/>
      <c r="K691" s="1"/>
      <c r="L691" s="1"/>
      <c r="M691" s="1"/>
      <c r="N691" s="1"/>
      <c r="O691" s="1"/>
      <c r="P691" s="491" t="s">
        <v>1263</v>
      </c>
      <c r="Q691" s="460"/>
      <c r="R691" s="460"/>
      <c r="S691" s="460"/>
      <c r="T691" s="460"/>
      <c r="U691" s="460"/>
      <c r="V691" s="460"/>
      <c r="W691" s="460"/>
      <c r="X691" s="460"/>
      <c r="Y691" s="460"/>
      <c r="Z691" s="460"/>
      <c r="AA691" s="461"/>
      <c r="AB691" s="271"/>
      <c r="AC691" s="297">
        <v>0</v>
      </c>
      <c r="AE691" s="464"/>
      <c r="AF691" s="288" t="s">
        <v>1264</v>
      </c>
      <c r="AG691" s="290">
        <f>SUMIF(H37:H663,"Composite X",S37:S663)</f>
        <v>0</v>
      </c>
      <c r="AH691" s="1"/>
      <c r="AI691" s="1"/>
      <c r="AJ691" s="1"/>
      <c r="AK691" s="1"/>
      <c r="AL691" s="1"/>
      <c r="AM691" s="1"/>
      <c r="AN691" s="1"/>
    </row>
    <row r="692" spans="1:40" ht="15.75" hidden="1" customHeight="1">
      <c r="A692" s="1"/>
      <c r="B692" s="1"/>
      <c r="C692" s="1"/>
      <c r="D692" s="1"/>
      <c r="E692" s="1"/>
      <c r="F692" s="1"/>
      <c r="G692" s="1"/>
      <c r="H692" s="1"/>
      <c r="I692" s="1"/>
      <c r="J692" s="1"/>
      <c r="K692" s="1"/>
      <c r="L692" s="1"/>
      <c r="M692" s="1"/>
      <c r="N692" s="1"/>
      <c r="O692" s="1"/>
      <c r="P692" s="491"/>
      <c r="Q692" s="460"/>
      <c r="R692" s="460"/>
      <c r="S692" s="460"/>
      <c r="T692" s="460"/>
      <c r="U692" s="460"/>
      <c r="V692" s="460"/>
      <c r="W692" s="460"/>
      <c r="X692" s="460"/>
      <c r="Y692" s="460"/>
      <c r="Z692" s="460"/>
      <c r="AA692" s="461"/>
      <c r="AB692" s="271"/>
      <c r="AC692" s="297"/>
      <c r="AE692" s="464"/>
      <c r="AF692" s="291" t="s">
        <v>1265</v>
      </c>
      <c r="AG692" s="292">
        <f>SUMIF(H37:H663,"Composite X",AC37:AC663)</f>
        <v>0</v>
      </c>
      <c r="AH692" s="1"/>
      <c r="AI692" s="1"/>
      <c r="AJ692" s="1"/>
      <c r="AK692" s="1"/>
      <c r="AL692" s="1"/>
      <c r="AM692" s="1"/>
      <c r="AN692" s="1"/>
    </row>
    <row r="693" spans="1:40" ht="15.75" hidden="1" customHeight="1">
      <c r="A693" s="1"/>
      <c r="B693" s="1"/>
      <c r="C693" s="1"/>
      <c r="D693" s="1"/>
      <c r="E693" s="1"/>
      <c r="F693" s="1"/>
      <c r="G693" s="1"/>
      <c r="H693" s="1"/>
      <c r="I693" s="1"/>
      <c r="J693" s="1"/>
      <c r="K693" s="1"/>
      <c r="L693" s="1"/>
      <c r="M693" s="1"/>
      <c r="N693" s="1"/>
      <c r="O693" s="1"/>
      <c r="P693" s="492" t="s">
        <v>1266</v>
      </c>
      <c r="Q693" s="460"/>
      <c r="R693" s="460"/>
      <c r="S693" s="460"/>
      <c r="T693" s="460"/>
      <c r="U693" s="460"/>
      <c r="V693" s="460"/>
      <c r="W693" s="460"/>
      <c r="X693" s="460"/>
      <c r="Y693" s="460"/>
      <c r="Z693" s="460"/>
      <c r="AA693" s="461"/>
      <c r="AB693" s="271"/>
      <c r="AC693" s="297">
        <f>SUM(AC690-AC691)</f>
        <v>0</v>
      </c>
      <c r="AE693" s="465"/>
      <c r="AF693" s="293" t="s">
        <v>1246</v>
      </c>
      <c r="AG693" s="294">
        <f>SUMIF(H37:H663,"Composite X",AF37:AF663)</f>
        <v>0</v>
      </c>
      <c r="AH693" s="1"/>
      <c r="AI693" s="1"/>
      <c r="AJ693" s="1"/>
      <c r="AK693" s="1"/>
      <c r="AL693" s="1"/>
      <c r="AM693" s="1"/>
      <c r="AN693" s="1"/>
    </row>
    <row r="694" spans="1:40" ht="15.75" hidden="1" customHeight="1">
      <c r="A694" s="1"/>
      <c r="B694" s="1"/>
      <c r="C694" s="1"/>
      <c r="D694" s="1"/>
      <c r="E694" s="1"/>
      <c r="F694" s="1"/>
      <c r="G694" s="1"/>
      <c r="H694" s="1"/>
      <c r="I694" s="1"/>
      <c r="J694" s="1"/>
      <c r="K694" s="1"/>
      <c r="L694" s="1"/>
      <c r="M694" s="1"/>
      <c r="N694" s="1"/>
      <c r="O694" s="1"/>
      <c r="P694" s="10"/>
      <c r="Q694" s="514"/>
      <c r="R694" s="10"/>
      <c r="S694" s="10"/>
      <c r="T694" s="10"/>
      <c r="U694" s="10"/>
      <c r="V694" s="10"/>
      <c r="W694" s="10"/>
      <c r="X694" s="10"/>
      <c r="Y694" s="10"/>
      <c r="Z694" s="10"/>
      <c r="AA694" s="10"/>
      <c r="AB694" s="10"/>
      <c r="AC694" s="10"/>
      <c r="AD694" s="10"/>
      <c r="AE694" s="295"/>
      <c r="AH694" s="1"/>
      <c r="AI694" s="1"/>
      <c r="AJ694" s="1"/>
      <c r="AK694" s="1"/>
      <c r="AL694" s="1"/>
      <c r="AM694" s="1"/>
      <c r="AN694" s="1"/>
    </row>
    <row r="695" spans="1:40" ht="15.75" hidden="1" customHeight="1">
      <c r="A695" s="1"/>
      <c r="B695" s="1"/>
      <c r="C695" s="1"/>
      <c r="D695" s="1"/>
      <c r="E695" s="1"/>
      <c r="F695" s="1"/>
      <c r="G695" s="1"/>
      <c r="H695" s="1"/>
      <c r="I695" s="1"/>
      <c r="J695" s="1"/>
      <c r="K695" s="1"/>
      <c r="L695" s="1"/>
      <c r="M695" s="1"/>
      <c r="N695" s="1"/>
      <c r="O695" s="1"/>
      <c r="P695" s="489" t="s">
        <v>1250</v>
      </c>
      <c r="Q695" s="460"/>
      <c r="R695" s="460"/>
      <c r="S695" s="460"/>
      <c r="T695" s="460"/>
      <c r="U695" s="460"/>
      <c r="V695" s="460"/>
      <c r="W695" s="460"/>
      <c r="X695" s="460"/>
      <c r="Y695" s="460"/>
      <c r="Z695" s="460"/>
      <c r="AA695" s="461"/>
      <c r="AB695" s="271"/>
      <c r="AC695" s="272">
        <f>SUMIF(H73:H676,"Walltopia",AD73:AD676)</f>
        <v>0</v>
      </c>
      <c r="AD695" s="280"/>
      <c r="AE695" s="496" t="s">
        <v>1268</v>
      </c>
      <c r="AH695" s="1"/>
      <c r="AI695" s="1"/>
      <c r="AJ695" s="1"/>
      <c r="AK695" s="1"/>
      <c r="AL695" s="1"/>
      <c r="AM695" s="1"/>
      <c r="AN695" s="1"/>
    </row>
    <row r="696" spans="1:40" ht="15.75" hidden="1" customHeight="1">
      <c r="A696" s="1"/>
      <c r="B696" s="1"/>
      <c r="C696" s="1"/>
      <c r="D696" s="1"/>
      <c r="E696" s="1"/>
      <c r="F696" s="1"/>
      <c r="G696" s="1"/>
      <c r="H696" s="1"/>
      <c r="I696" s="1"/>
      <c r="J696" s="1"/>
      <c r="K696" s="1"/>
      <c r="L696" s="1"/>
      <c r="M696" s="1"/>
      <c r="N696" s="1"/>
      <c r="O696" s="1"/>
      <c r="P696" s="490" t="s">
        <v>1251</v>
      </c>
      <c r="Q696" s="460"/>
      <c r="R696" s="460"/>
      <c r="S696" s="460"/>
      <c r="T696" s="460"/>
      <c r="U696" s="460"/>
      <c r="V696" s="460"/>
      <c r="W696" s="460"/>
      <c r="X696" s="460"/>
      <c r="Y696" s="460"/>
      <c r="Z696" s="460"/>
      <c r="AA696" s="461"/>
      <c r="AB696" s="275">
        <f>Bolts!E1179</f>
        <v>0</v>
      </c>
      <c r="AC696" s="272">
        <f>-SUM(AC695*AB696)</f>
        <v>0</v>
      </c>
      <c r="AD696" s="280"/>
      <c r="AE696" s="464"/>
      <c r="AH696" s="1"/>
      <c r="AI696" s="1"/>
      <c r="AJ696" s="1"/>
      <c r="AK696" s="1"/>
      <c r="AL696" s="1"/>
      <c r="AM696" s="1"/>
      <c r="AN696" s="1"/>
    </row>
    <row r="697" spans="1:40" ht="15.75" hidden="1" customHeight="1">
      <c r="A697" s="1"/>
      <c r="B697" s="1"/>
      <c r="C697" s="1"/>
      <c r="D697" s="1"/>
      <c r="E697" s="1"/>
      <c r="F697" s="1"/>
      <c r="G697" s="1"/>
      <c r="H697" s="1"/>
      <c r="I697" s="1"/>
      <c r="J697" s="1"/>
      <c r="K697" s="1"/>
      <c r="L697" s="1"/>
      <c r="M697" s="1"/>
      <c r="N697" s="1"/>
      <c r="O697" s="1"/>
      <c r="P697" s="489" t="s">
        <v>1252</v>
      </c>
      <c r="Q697" s="460"/>
      <c r="R697" s="460"/>
      <c r="S697" s="460"/>
      <c r="T697" s="460"/>
      <c r="U697" s="460"/>
      <c r="V697" s="460"/>
      <c r="W697" s="460"/>
      <c r="X697" s="460"/>
      <c r="Y697" s="460"/>
      <c r="Z697" s="460"/>
      <c r="AA697" s="461"/>
      <c r="AB697" s="271"/>
      <c r="AC697" s="272">
        <f>SUM(AC695:AC696)</f>
        <v>0</v>
      </c>
      <c r="AD697" s="280"/>
      <c r="AE697" s="464"/>
      <c r="AH697" s="1"/>
      <c r="AI697" s="1"/>
      <c r="AJ697" s="1"/>
      <c r="AK697" s="1"/>
      <c r="AL697" s="1"/>
      <c r="AM697" s="1"/>
      <c r="AN697" s="1"/>
    </row>
    <row r="698" spans="1:40" ht="15.75" hidden="1" customHeight="1">
      <c r="A698" s="1"/>
      <c r="B698" s="1"/>
      <c r="C698" s="1"/>
      <c r="D698" s="1"/>
      <c r="E698" s="1"/>
      <c r="F698" s="1"/>
      <c r="G698" s="1"/>
      <c r="H698" s="1"/>
      <c r="I698" s="1"/>
      <c r="J698" s="1"/>
      <c r="K698" s="1"/>
      <c r="L698" s="1"/>
      <c r="M698" s="1"/>
      <c r="N698" s="1"/>
      <c r="O698" s="1"/>
      <c r="P698" s="277"/>
      <c r="Q698" s="531"/>
      <c r="R698" s="277"/>
      <c r="S698" s="277"/>
      <c r="T698" s="277"/>
      <c r="U698" s="277"/>
      <c r="V698" s="277"/>
      <c r="W698" s="277"/>
      <c r="X698" s="277"/>
      <c r="Y698" s="488" t="s">
        <v>1253</v>
      </c>
      <c r="Z698" s="460"/>
      <c r="AA698" s="461"/>
      <c r="AB698" s="278"/>
      <c r="AC698" s="297">
        <f>IF(W6="Yes",(Bolts!D1168*Bolts!K1173),0)</f>
        <v>0</v>
      </c>
      <c r="AD698" s="10"/>
      <c r="AE698" s="464"/>
      <c r="AH698" s="1"/>
      <c r="AI698" s="1"/>
      <c r="AJ698" s="1"/>
      <c r="AK698" s="1"/>
      <c r="AL698" s="1"/>
      <c r="AM698" s="1"/>
      <c r="AN698" s="1"/>
    </row>
    <row r="699" spans="1:40" ht="15.75" hidden="1" customHeight="1">
      <c r="A699" s="1"/>
      <c r="B699" s="1"/>
      <c r="C699" s="1"/>
      <c r="D699" s="1"/>
      <c r="E699" s="1"/>
      <c r="F699" s="1"/>
      <c r="G699" s="1"/>
      <c r="H699" s="1"/>
      <c r="I699" s="1"/>
      <c r="J699" s="1"/>
      <c r="K699" s="1"/>
      <c r="L699" s="1"/>
      <c r="M699" s="1"/>
      <c r="N699" s="1"/>
      <c r="O699" s="1"/>
      <c r="P699" s="283"/>
      <c r="Q699" s="532"/>
      <c r="R699" s="283"/>
      <c r="S699" s="283"/>
      <c r="T699" s="283"/>
      <c r="U699" s="283"/>
      <c r="V699" s="283"/>
      <c r="W699" s="283"/>
      <c r="X699" s="283"/>
      <c r="Y699" s="488" t="s">
        <v>1255</v>
      </c>
      <c r="Z699" s="460"/>
      <c r="AA699" s="461"/>
      <c r="AB699" s="275"/>
      <c r="AC699" s="297"/>
      <c r="AD699" s="10"/>
      <c r="AE699" s="464"/>
      <c r="AH699" s="1"/>
      <c r="AI699" s="1"/>
      <c r="AJ699" s="1"/>
      <c r="AK699" s="1"/>
      <c r="AL699" s="1"/>
      <c r="AM699" s="1"/>
      <c r="AN699" s="1"/>
    </row>
    <row r="700" spans="1:40" ht="15.75" hidden="1" customHeight="1">
      <c r="A700" s="1"/>
      <c r="B700" s="1"/>
      <c r="C700" s="1"/>
      <c r="D700" s="1"/>
      <c r="E700" s="1"/>
      <c r="F700" s="1"/>
      <c r="G700" s="1"/>
      <c r="H700" s="1"/>
      <c r="I700" s="1"/>
      <c r="J700" s="1"/>
      <c r="K700" s="1"/>
      <c r="L700" s="1"/>
      <c r="M700" s="1"/>
      <c r="N700" s="1"/>
      <c r="O700" s="1"/>
      <c r="P700" s="489" t="s">
        <v>1256</v>
      </c>
      <c r="Q700" s="460"/>
      <c r="R700" s="460"/>
      <c r="S700" s="460"/>
      <c r="T700" s="460"/>
      <c r="U700" s="460"/>
      <c r="V700" s="460"/>
      <c r="W700" s="460"/>
      <c r="X700" s="460"/>
      <c r="Y700" s="460"/>
      <c r="Z700" s="460"/>
      <c r="AA700" s="461"/>
      <c r="AB700" s="275"/>
      <c r="AC700" s="298">
        <f>SUM(AC697:AC699)</f>
        <v>0</v>
      </c>
      <c r="AD700" s="10"/>
      <c r="AE700" s="464"/>
      <c r="AH700" s="1"/>
      <c r="AI700" s="1"/>
      <c r="AJ700" s="1"/>
      <c r="AK700" s="1"/>
      <c r="AL700" s="1"/>
      <c r="AM700" s="1"/>
      <c r="AN700" s="1"/>
    </row>
    <row r="701" spans="1:40" ht="15.75" hidden="1" customHeight="1">
      <c r="A701" s="1"/>
      <c r="B701" s="1"/>
      <c r="C701" s="1"/>
      <c r="D701" s="1"/>
      <c r="E701" s="1"/>
      <c r="F701" s="1"/>
      <c r="G701" s="1"/>
      <c r="H701" s="1"/>
      <c r="I701" s="1"/>
      <c r="J701" s="1"/>
      <c r="K701" s="1"/>
      <c r="L701" s="1"/>
      <c r="M701" s="1"/>
      <c r="N701" s="1"/>
      <c r="O701" s="1"/>
      <c r="P701" s="490" t="s">
        <v>1257</v>
      </c>
      <c r="Q701" s="460"/>
      <c r="R701" s="460"/>
      <c r="S701" s="460"/>
      <c r="T701" s="460"/>
      <c r="U701" s="460"/>
      <c r="V701" s="460"/>
      <c r="W701" s="460"/>
      <c r="X701" s="460"/>
      <c r="Y701" s="460"/>
      <c r="Z701" s="460"/>
      <c r="AA701" s="461"/>
      <c r="AB701" s="285">
        <v>0</v>
      </c>
      <c r="AC701" s="298">
        <f>AC700*AB701</f>
        <v>0</v>
      </c>
      <c r="AD701" s="10"/>
      <c r="AE701" s="464"/>
      <c r="AH701" s="1"/>
      <c r="AI701" s="1"/>
      <c r="AJ701" s="1"/>
      <c r="AK701" s="1"/>
      <c r="AL701" s="1"/>
      <c r="AM701" s="1"/>
      <c r="AN701" s="1"/>
    </row>
    <row r="702" spans="1:40" ht="15.75" hidden="1" customHeight="1">
      <c r="A702" s="1"/>
      <c r="B702" s="1"/>
      <c r="C702" s="1"/>
      <c r="D702" s="1"/>
      <c r="E702" s="1"/>
      <c r="F702" s="1"/>
      <c r="G702" s="1"/>
      <c r="H702" s="1"/>
      <c r="I702" s="1"/>
      <c r="J702" s="1"/>
      <c r="K702" s="1"/>
      <c r="L702" s="1"/>
      <c r="M702" s="1"/>
      <c r="N702" s="1"/>
      <c r="O702" s="1"/>
      <c r="P702" s="491" t="s">
        <v>1258</v>
      </c>
      <c r="Q702" s="460"/>
      <c r="R702" s="460"/>
      <c r="S702" s="460"/>
      <c r="T702" s="460"/>
      <c r="U702" s="460"/>
      <c r="V702" s="460"/>
      <c r="W702" s="460"/>
      <c r="X702" s="460"/>
      <c r="Y702" s="460"/>
      <c r="Z702" s="460"/>
      <c r="AA702" s="461"/>
      <c r="AB702" s="271"/>
      <c r="AC702" s="297">
        <f>50*Bolts!J1173</f>
        <v>0</v>
      </c>
      <c r="AD702" s="10"/>
      <c r="AE702" s="464"/>
      <c r="AH702" s="1"/>
      <c r="AI702" s="1"/>
      <c r="AJ702" s="1"/>
      <c r="AK702" s="1"/>
      <c r="AL702" s="1"/>
      <c r="AM702" s="1"/>
      <c r="AN702" s="1"/>
    </row>
    <row r="703" spans="1:40" ht="15.75" hidden="1" customHeight="1">
      <c r="A703" s="1"/>
      <c r="B703" s="1"/>
      <c r="C703" s="1"/>
      <c r="D703" s="1"/>
      <c r="E703" s="1"/>
      <c r="F703" s="1"/>
      <c r="G703" s="1"/>
      <c r="H703" s="1"/>
      <c r="I703" s="1"/>
      <c r="J703" s="1"/>
      <c r="K703" s="1"/>
      <c r="L703" s="1"/>
      <c r="M703" s="1"/>
      <c r="N703" s="1"/>
      <c r="O703" s="1"/>
      <c r="P703" s="287"/>
      <c r="Q703" s="491" t="s">
        <v>1259</v>
      </c>
      <c r="R703" s="460"/>
      <c r="S703" s="460"/>
      <c r="T703" s="460"/>
      <c r="U703" s="460"/>
      <c r="V703" s="460"/>
      <c r="W703" s="460"/>
      <c r="X703" s="460"/>
      <c r="Y703" s="460"/>
      <c r="Z703" s="460"/>
      <c r="AA703" s="461"/>
      <c r="AB703" s="271"/>
      <c r="AC703" s="298">
        <v>0</v>
      </c>
      <c r="AD703" s="10"/>
      <c r="AE703" s="464"/>
      <c r="AF703" s="288" t="s">
        <v>1260</v>
      </c>
      <c r="AG703" s="299">
        <f>SUMIF(H37:H663,"Walltopia",AD37:AD663)</f>
        <v>0</v>
      </c>
      <c r="AH703" s="1"/>
      <c r="AI703" s="1"/>
      <c r="AJ703" s="1"/>
      <c r="AK703" s="1"/>
      <c r="AL703" s="1"/>
      <c r="AM703" s="1"/>
      <c r="AN703" s="1"/>
    </row>
    <row r="704" spans="1:40" ht="15.75" hidden="1" customHeight="1">
      <c r="A704" s="1"/>
      <c r="B704" s="1"/>
      <c r="C704" s="1"/>
      <c r="D704" s="1"/>
      <c r="E704" s="1"/>
      <c r="F704" s="1"/>
      <c r="G704" s="1"/>
      <c r="H704" s="1"/>
      <c r="I704" s="1"/>
      <c r="J704" s="1"/>
      <c r="K704" s="1"/>
      <c r="L704" s="1"/>
      <c r="M704" s="1"/>
      <c r="N704" s="1"/>
      <c r="O704" s="1"/>
      <c r="P704" s="492" t="s">
        <v>1261</v>
      </c>
      <c r="Q704" s="460"/>
      <c r="R704" s="460"/>
      <c r="S704" s="460"/>
      <c r="T704" s="460"/>
      <c r="U704" s="460"/>
      <c r="V704" s="460"/>
      <c r="W704" s="460"/>
      <c r="X704" s="460"/>
      <c r="Y704" s="460"/>
      <c r="Z704" s="460"/>
      <c r="AA704" s="461"/>
      <c r="AB704" s="271"/>
      <c r="AC704" s="297">
        <f>SUM(AC700:AC703)</f>
        <v>0</v>
      </c>
      <c r="AE704" s="464"/>
      <c r="AF704" s="288" t="s">
        <v>1262</v>
      </c>
      <c r="AG704" s="299">
        <f>AG703*Bolts!E1179</f>
        <v>0</v>
      </c>
      <c r="AH704" s="1"/>
      <c r="AI704" s="1"/>
      <c r="AJ704" s="1"/>
      <c r="AK704" s="1"/>
      <c r="AL704" s="1"/>
      <c r="AM704" s="1"/>
      <c r="AN704" s="1"/>
    </row>
    <row r="705" spans="1:40" ht="15.75" hidden="1" customHeight="1">
      <c r="A705" s="1"/>
      <c r="B705" s="1"/>
      <c r="C705" s="1"/>
      <c r="D705" s="1"/>
      <c r="E705" s="1"/>
      <c r="F705" s="1"/>
      <c r="G705" s="1"/>
      <c r="H705" s="1"/>
      <c r="I705" s="1"/>
      <c r="J705" s="1"/>
      <c r="K705" s="1"/>
      <c r="L705" s="1"/>
      <c r="M705" s="1"/>
      <c r="N705" s="1"/>
      <c r="O705" s="1"/>
      <c r="P705" s="491" t="s">
        <v>1263</v>
      </c>
      <c r="Q705" s="460"/>
      <c r="R705" s="460"/>
      <c r="S705" s="460"/>
      <c r="T705" s="460"/>
      <c r="U705" s="460"/>
      <c r="V705" s="460"/>
      <c r="W705" s="460"/>
      <c r="X705" s="460"/>
      <c r="Y705" s="460"/>
      <c r="Z705" s="460"/>
      <c r="AA705" s="461"/>
      <c r="AB705" s="271"/>
      <c r="AC705" s="297">
        <v>0</v>
      </c>
      <c r="AE705" s="464"/>
      <c r="AF705" s="288" t="s">
        <v>1264</v>
      </c>
      <c r="AG705" s="290">
        <f>SUMIF(H37:H663,"Walltopia",S37:S663)</f>
        <v>0</v>
      </c>
      <c r="AH705" s="1"/>
      <c r="AI705" s="1"/>
      <c r="AJ705" s="1"/>
      <c r="AK705" s="1"/>
      <c r="AL705" s="1"/>
      <c r="AM705" s="1"/>
      <c r="AN705" s="1"/>
    </row>
    <row r="706" spans="1:40" ht="15.75" hidden="1" customHeight="1">
      <c r="A706" s="1"/>
      <c r="B706" s="1"/>
      <c r="C706" s="1"/>
      <c r="D706" s="1"/>
      <c r="E706" s="1"/>
      <c r="F706" s="1"/>
      <c r="G706" s="1"/>
      <c r="H706" s="1"/>
      <c r="I706" s="1"/>
      <c r="J706" s="1"/>
      <c r="K706" s="1"/>
      <c r="L706" s="1"/>
      <c r="M706" s="1"/>
      <c r="N706" s="1"/>
      <c r="O706" s="1"/>
      <c r="P706" s="491"/>
      <c r="Q706" s="460"/>
      <c r="R706" s="460"/>
      <c r="S706" s="460"/>
      <c r="T706" s="460"/>
      <c r="U706" s="460"/>
      <c r="V706" s="460"/>
      <c r="W706" s="460"/>
      <c r="X706" s="460"/>
      <c r="Y706" s="460"/>
      <c r="Z706" s="460"/>
      <c r="AA706" s="461"/>
      <c r="AB706" s="271"/>
      <c r="AC706" s="297"/>
      <c r="AE706" s="464"/>
      <c r="AF706" s="291" t="s">
        <v>1265</v>
      </c>
      <c r="AG706" s="292">
        <f>SUMIF(H37:H663,"Walltopia",AC37:AC663)</f>
        <v>0</v>
      </c>
      <c r="AH706" s="1"/>
      <c r="AI706" s="1"/>
      <c r="AJ706" s="1"/>
      <c r="AK706" s="1"/>
      <c r="AL706" s="1"/>
      <c r="AM706" s="1"/>
      <c r="AN706" s="1"/>
    </row>
    <row r="707" spans="1:40" ht="15.75" hidden="1" customHeight="1">
      <c r="A707" s="1"/>
      <c r="B707" s="1"/>
      <c r="C707" s="1"/>
      <c r="D707" s="1"/>
      <c r="E707" s="1"/>
      <c r="F707" s="1"/>
      <c r="G707" s="1"/>
      <c r="H707" s="1"/>
      <c r="I707" s="1"/>
      <c r="J707" s="1"/>
      <c r="K707" s="1"/>
      <c r="L707" s="1"/>
      <c r="M707" s="1"/>
      <c r="N707" s="1"/>
      <c r="O707" s="1"/>
      <c r="P707" s="492" t="s">
        <v>1266</v>
      </c>
      <c r="Q707" s="460"/>
      <c r="R707" s="460"/>
      <c r="S707" s="460"/>
      <c r="T707" s="460"/>
      <c r="U707" s="460"/>
      <c r="V707" s="460"/>
      <c r="W707" s="460"/>
      <c r="X707" s="460"/>
      <c r="Y707" s="460"/>
      <c r="Z707" s="460"/>
      <c r="AA707" s="461"/>
      <c r="AB707" s="271"/>
      <c r="AC707" s="297">
        <f>SUM(AC704-AC705)</f>
        <v>0</v>
      </c>
      <c r="AE707" s="465"/>
      <c r="AF707" s="293" t="s">
        <v>1246</v>
      </c>
      <c r="AG707" s="294">
        <f>SUMIF(H37:H663,"Walltopia",AF37:AF663)</f>
        <v>0</v>
      </c>
      <c r="AH707" s="1"/>
      <c r="AI707" s="1"/>
      <c r="AJ707" s="1"/>
      <c r="AK707" s="1"/>
      <c r="AL707" s="1"/>
      <c r="AM707" s="1"/>
      <c r="AN707" s="1"/>
    </row>
    <row r="708" spans="1:40" ht="15.75" hidden="1" customHeight="1">
      <c r="A708" s="1"/>
      <c r="B708" s="1"/>
      <c r="C708" s="1"/>
      <c r="D708" s="1"/>
      <c r="E708" s="1"/>
      <c r="F708" s="1"/>
      <c r="G708" s="1"/>
      <c r="H708" s="1"/>
      <c r="I708" s="1"/>
      <c r="J708" s="1"/>
      <c r="K708" s="1"/>
      <c r="L708" s="1"/>
      <c r="M708" s="1"/>
      <c r="N708" s="1"/>
      <c r="O708" s="1"/>
      <c r="P708" s="10"/>
      <c r="Q708" s="514"/>
      <c r="R708" s="10"/>
      <c r="S708" s="10"/>
      <c r="T708" s="10"/>
      <c r="U708" s="10"/>
      <c r="V708" s="10"/>
      <c r="W708" s="10"/>
      <c r="X708" s="10"/>
      <c r="Y708" s="10"/>
      <c r="Z708" s="10"/>
      <c r="AA708" s="10"/>
      <c r="AB708" s="10"/>
      <c r="AC708" s="10"/>
      <c r="AD708" s="10"/>
      <c r="AE708" s="295"/>
      <c r="AH708" s="1"/>
      <c r="AI708" s="1"/>
      <c r="AJ708" s="1"/>
      <c r="AK708" s="1"/>
      <c r="AL708" s="1"/>
      <c r="AM708" s="1"/>
      <c r="AN708" s="1"/>
    </row>
    <row r="709" spans="1:40" ht="15.75" hidden="1" customHeight="1">
      <c r="A709" s="1"/>
      <c r="B709" s="1"/>
      <c r="C709" s="1"/>
      <c r="D709" s="1"/>
      <c r="E709" s="1"/>
      <c r="F709" s="1"/>
      <c r="G709" s="1"/>
      <c r="H709" s="1"/>
      <c r="I709" s="1"/>
      <c r="J709" s="1"/>
      <c r="K709" s="1"/>
      <c r="L709" s="1"/>
      <c r="M709" s="1"/>
      <c r="N709" s="1"/>
      <c r="O709" s="1"/>
      <c r="P709" s="489" t="s">
        <v>1256</v>
      </c>
      <c r="Q709" s="460"/>
      <c r="R709" s="460"/>
      <c r="S709" s="460"/>
      <c r="T709" s="460"/>
      <c r="U709" s="460"/>
      <c r="V709" s="460"/>
      <c r="W709" s="460"/>
      <c r="X709" s="460"/>
      <c r="Y709" s="460"/>
      <c r="Z709" s="460"/>
      <c r="AA709" s="461"/>
      <c r="AB709" s="275"/>
      <c r="AC709" s="297">
        <f t="shared" ref="AC709:AC712" si="303">AC672+AC686+AC700</f>
        <v>0</v>
      </c>
      <c r="AD709" s="300"/>
      <c r="AE709" s="496" t="s">
        <v>1269</v>
      </c>
      <c r="AH709" s="1"/>
      <c r="AI709" s="1"/>
      <c r="AJ709" s="1"/>
      <c r="AK709" s="1"/>
      <c r="AL709" s="1"/>
      <c r="AM709" s="1"/>
      <c r="AN709" s="1"/>
    </row>
    <row r="710" spans="1:40" ht="15.75" hidden="1" customHeight="1">
      <c r="A710" s="1"/>
      <c r="B710" s="1"/>
      <c r="C710" s="1"/>
      <c r="D710" s="1"/>
      <c r="E710" s="1"/>
      <c r="F710" s="1"/>
      <c r="G710" s="1"/>
      <c r="H710" s="1"/>
      <c r="I710" s="1"/>
      <c r="J710" s="1"/>
      <c r="K710" s="1"/>
      <c r="L710" s="1"/>
      <c r="M710" s="1"/>
      <c r="N710" s="1"/>
      <c r="O710" s="1"/>
      <c r="P710" s="490" t="s">
        <v>1257</v>
      </c>
      <c r="Q710" s="460"/>
      <c r="R710" s="460"/>
      <c r="S710" s="460"/>
      <c r="T710" s="460"/>
      <c r="U710" s="460"/>
      <c r="V710" s="460"/>
      <c r="W710" s="460"/>
      <c r="X710" s="460"/>
      <c r="Y710" s="460"/>
      <c r="Z710" s="460"/>
      <c r="AA710" s="461"/>
      <c r="AB710" s="285">
        <v>0</v>
      </c>
      <c r="AC710" s="297">
        <f t="shared" si="303"/>
        <v>0</v>
      </c>
      <c r="AE710" s="464"/>
      <c r="AH710" s="1"/>
      <c r="AI710" s="1"/>
      <c r="AJ710" s="1"/>
      <c r="AK710" s="1"/>
      <c r="AL710" s="1"/>
      <c r="AM710" s="1"/>
      <c r="AN710" s="1"/>
    </row>
    <row r="711" spans="1:40" ht="15.75" hidden="1" customHeight="1">
      <c r="A711" s="1"/>
      <c r="B711" s="1"/>
      <c r="C711" s="1"/>
      <c r="D711" s="1"/>
      <c r="E711" s="1"/>
      <c r="F711" s="1"/>
      <c r="G711" s="1"/>
      <c r="H711" s="1"/>
      <c r="I711" s="1"/>
      <c r="J711" s="1"/>
      <c r="K711" s="1"/>
      <c r="L711" s="1"/>
      <c r="M711" s="1"/>
      <c r="N711" s="1"/>
      <c r="O711" s="1"/>
      <c r="P711" s="491" t="s">
        <v>1258</v>
      </c>
      <c r="Q711" s="460"/>
      <c r="R711" s="460"/>
      <c r="S711" s="460"/>
      <c r="T711" s="460"/>
      <c r="U711" s="460"/>
      <c r="V711" s="460"/>
      <c r="W711" s="460"/>
      <c r="X711" s="460"/>
      <c r="Y711" s="460"/>
      <c r="Z711" s="460"/>
      <c r="AA711" s="461"/>
      <c r="AB711" s="271"/>
      <c r="AC711" s="297">
        <f t="shared" si="303"/>
        <v>0</v>
      </c>
      <c r="AE711" s="464"/>
      <c r="AF711" s="1"/>
      <c r="AG711" s="1"/>
      <c r="AH711" s="1"/>
      <c r="AI711" s="1"/>
      <c r="AJ711" s="1"/>
      <c r="AK711" s="1"/>
      <c r="AL711" s="1"/>
      <c r="AM711" s="1"/>
      <c r="AN711" s="1"/>
    </row>
    <row r="712" spans="1:40" ht="15.75" hidden="1" customHeight="1">
      <c r="A712" s="1"/>
      <c r="B712" s="1"/>
      <c r="C712" s="1"/>
      <c r="D712" s="1"/>
      <c r="E712" s="1"/>
      <c r="F712" s="1"/>
      <c r="G712" s="1"/>
      <c r="H712" s="1"/>
      <c r="I712" s="1"/>
      <c r="J712" s="1"/>
      <c r="K712" s="1"/>
      <c r="L712" s="1"/>
      <c r="M712" s="1"/>
      <c r="N712" s="1"/>
      <c r="O712" s="1"/>
      <c r="P712" s="287"/>
      <c r="Q712" s="491" t="s">
        <v>1259</v>
      </c>
      <c r="R712" s="460"/>
      <c r="S712" s="460"/>
      <c r="T712" s="460"/>
      <c r="U712" s="460"/>
      <c r="V712" s="460"/>
      <c r="W712" s="460"/>
      <c r="X712" s="460"/>
      <c r="Y712" s="460"/>
      <c r="Z712" s="460"/>
      <c r="AA712" s="461"/>
      <c r="AB712" s="271"/>
      <c r="AC712" s="297">
        <f t="shared" si="303"/>
        <v>0</v>
      </c>
      <c r="AE712" s="464"/>
      <c r="AF712" s="288" t="s">
        <v>1260</v>
      </c>
      <c r="AG712" s="299">
        <f t="shared" ref="AG712:AG716" si="304">AG675+AG689+AG703</f>
        <v>0</v>
      </c>
      <c r="AH712" s="1"/>
      <c r="AI712" s="1"/>
      <c r="AJ712" s="1"/>
      <c r="AK712" s="1"/>
      <c r="AL712" s="1"/>
      <c r="AM712" s="1"/>
      <c r="AN712" s="1"/>
    </row>
    <row r="713" spans="1:40" ht="15.75" hidden="1" customHeight="1">
      <c r="A713" s="1"/>
      <c r="B713" s="1"/>
      <c r="C713" s="1"/>
      <c r="D713" s="1"/>
      <c r="E713" s="1"/>
      <c r="F713" s="1"/>
      <c r="G713" s="1"/>
      <c r="H713" s="1"/>
      <c r="I713" s="1"/>
      <c r="J713" s="1"/>
      <c r="K713" s="1"/>
      <c r="L713" s="1"/>
      <c r="M713" s="1"/>
      <c r="N713" s="1"/>
      <c r="O713" s="1"/>
      <c r="P713" s="492" t="s">
        <v>1261</v>
      </c>
      <c r="Q713" s="460"/>
      <c r="R713" s="460"/>
      <c r="S713" s="460"/>
      <c r="T713" s="460"/>
      <c r="U713" s="460"/>
      <c r="V713" s="460"/>
      <c r="W713" s="460"/>
      <c r="X713" s="460"/>
      <c r="Y713" s="460"/>
      <c r="Z713" s="460"/>
      <c r="AA713" s="461"/>
      <c r="AB713" s="271"/>
      <c r="AC713" s="297">
        <f>SUM(AC709:AC712)</f>
        <v>0</v>
      </c>
      <c r="AE713" s="464"/>
      <c r="AF713" s="288" t="s">
        <v>1262</v>
      </c>
      <c r="AG713" s="299">
        <f t="shared" si="304"/>
        <v>0</v>
      </c>
      <c r="AH713" s="1"/>
      <c r="AI713" s="1"/>
      <c r="AJ713" s="1"/>
      <c r="AK713" s="1"/>
      <c r="AL713" s="1"/>
      <c r="AM713" s="1"/>
      <c r="AN713" s="1"/>
    </row>
    <row r="714" spans="1:40" ht="15.75" hidden="1" customHeight="1">
      <c r="A714" s="1"/>
      <c r="B714" s="1"/>
      <c r="C714" s="1"/>
      <c r="D714" s="1"/>
      <c r="E714" s="1"/>
      <c r="F714" s="1"/>
      <c r="G714" s="1"/>
      <c r="H714" s="1"/>
      <c r="I714" s="1"/>
      <c r="J714" s="1"/>
      <c r="K714" s="1"/>
      <c r="L714" s="1"/>
      <c r="M714" s="1"/>
      <c r="N714" s="1"/>
      <c r="O714" s="1"/>
      <c r="P714" s="491" t="s">
        <v>1263</v>
      </c>
      <c r="Q714" s="460"/>
      <c r="R714" s="460"/>
      <c r="S714" s="460"/>
      <c r="T714" s="460"/>
      <c r="U714" s="460"/>
      <c r="V714" s="460"/>
      <c r="W714" s="460"/>
      <c r="X714" s="460"/>
      <c r="Y714" s="460"/>
      <c r="Z714" s="460"/>
      <c r="AA714" s="461"/>
      <c r="AB714" s="271"/>
      <c r="AC714" s="297">
        <v>0</v>
      </c>
      <c r="AE714" s="464"/>
      <c r="AF714" s="288" t="s">
        <v>1264</v>
      </c>
      <c r="AG714" s="290">
        <f t="shared" si="304"/>
        <v>0</v>
      </c>
      <c r="AH714" s="1"/>
      <c r="AI714" s="1"/>
      <c r="AJ714" s="1"/>
      <c r="AK714" s="1"/>
      <c r="AL714" s="1"/>
      <c r="AM714" s="1"/>
      <c r="AN714" s="1"/>
    </row>
    <row r="715" spans="1:40" ht="13">
      <c r="A715" s="1"/>
      <c r="B715" s="1"/>
      <c r="C715" s="1"/>
      <c r="D715" s="1"/>
      <c r="E715" s="1"/>
      <c r="F715" s="1"/>
      <c r="G715" s="1"/>
      <c r="H715" s="1"/>
      <c r="I715" s="1"/>
      <c r="J715" s="1"/>
      <c r="K715" s="1"/>
      <c r="L715" s="1"/>
      <c r="M715" s="1"/>
      <c r="N715" s="1"/>
      <c r="O715" s="1"/>
      <c r="P715" s="491"/>
      <c r="Q715" s="460"/>
      <c r="R715" s="460"/>
      <c r="S715" s="460"/>
      <c r="T715" s="460"/>
      <c r="U715" s="460"/>
      <c r="V715" s="460"/>
      <c r="W715" s="460"/>
      <c r="X715" s="460"/>
      <c r="Y715" s="460"/>
      <c r="Z715" s="460"/>
      <c r="AA715" s="461"/>
      <c r="AB715" s="271"/>
      <c r="AC715" s="297"/>
      <c r="AE715" s="464"/>
      <c r="AF715" s="291" t="s">
        <v>1265</v>
      </c>
      <c r="AG715" s="292">
        <f t="shared" si="304"/>
        <v>0</v>
      </c>
      <c r="AH715" s="1"/>
      <c r="AI715" s="1"/>
      <c r="AJ715" s="1"/>
      <c r="AK715" s="1"/>
      <c r="AL715" s="1"/>
      <c r="AM715" s="1"/>
      <c r="AN715" s="1"/>
    </row>
    <row r="716" spans="1:40" ht="24">
      <c r="A716" s="1"/>
      <c r="B716" s="1"/>
      <c r="C716" s="1"/>
      <c r="D716" s="1"/>
      <c r="E716" s="1"/>
      <c r="F716" s="1"/>
      <c r="G716" s="1"/>
      <c r="H716" s="1"/>
      <c r="I716" s="1"/>
      <c r="J716" s="1"/>
      <c r="K716" s="1"/>
      <c r="L716" s="1"/>
      <c r="M716" s="1"/>
      <c r="N716" s="1"/>
      <c r="O716" s="1"/>
      <c r="P716" s="492" t="s">
        <v>1266</v>
      </c>
      <c r="Q716" s="460"/>
      <c r="R716" s="460"/>
      <c r="S716" s="460"/>
      <c r="T716" s="460"/>
      <c r="U716" s="460"/>
      <c r="V716" s="460"/>
      <c r="W716" s="460"/>
      <c r="X716" s="460"/>
      <c r="Y716" s="460"/>
      <c r="Z716" s="460"/>
      <c r="AA716" s="461"/>
      <c r="AB716" s="271"/>
      <c r="AC716" s="284">
        <f>SUM(AC713-AC714)</f>
        <v>0</v>
      </c>
      <c r="AE716" s="465"/>
      <c r="AF716" s="293" t="s">
        <v>1246</v>
      </c>
      <c r="AG716" s="294">
        <f t="shared" si="304"/>
        <v>0</v>
      </c>
      <c r="AH716" s="1"/>
      <c r="AI716" s="1"/>
      <c r="AJ716" s="1"/>
      <c r="AK716" s="1"/>
      <c r="AL716" s="1"/>
      <c r="AM716" s="1"/>
      <c r="AN716" s="1"/>
    </row>
    <row r="717" spans="1:40" ht="13">
      <c r="A717" s="1"/>
      <c r="B717" s="1"/>
      <c r="C717" s="1"/>
      <c r="D717" s="1"/>
      <c r="E717" s="1"/>
      <c r="F717" s="1"/>
      <c r="G717" s="1"/>
      <c r="H717" s="1"/>
      <c r="I717" s="1"/>
      <c r="J717" s="1"/>
      <c r="K717" s="1"/>
      <c r="L717" s="1"/>
      <c r="M717" s="1"/>
      <c r="N717" s="1"/>
      <c r="O717" s="1"/>
      <c r="P717" s="1"/>
      <c r="Q717" s="517"/>
      <c r="R717" s="1"/>
      <c r="S717" s="1"/>
      <c r="T717" s="1"/>
      <c r="U717" s="1"/>
      <c r="V717" s="1"/>
      <c r="W717" s="1"/>
      <c r="X717" s="1"/>
      <c r="Y717" s="1"/>
      <c r="Z717" s="1"/>
      <c r="AA717" s="1"/>
      <c r="AB717" s="1"/>
      <c r="AC717" s="1"/>
      <c r="AD717" s="1"/>
      <c r="AE717" s="1"/>
      <c r="AF717" s="1"/>
      <c r="AG717" s="1"/>
      <c r="AH717" s="1"/>
      <c r="AI717" s="1"/>
      <c r="AJ717" s="1"/>
      <c r="AK717" s="1"/>
      <c r="AL717" s="1"/>
      <c r="AM717" s="1"/>
      <c r="AN717" s="1"/>
    </row>
    <row r="718" spans="1:40" ht="15.75" customHeight="1">
      <c r="A718" s="1"/>
      <c r="B718" s="1"/>
      <c r="C718" s="1"/>
      <c r="D718" s="1"/>
      <c r="E718" s="1"/>
      <c r="F718" s="1"/>
      <c r="G718" s="1"/>
      <c r="H718" s="1"/>
      <c r="I718" s="1"/>
      <c r="J718" s="1"/>
      <c r="K718" s="1"/>
      <c r="L718" s="1"/>
      <c r="M718" s="1"/>
      <c r="N718" s="1"/>
      <c r="O718" s="1"/>
      <c r="P718" s="1"/>
      <c r="Q718" s="517"/>
      <c r="R718" s="1"/>
      <c r="S718" s="1"/>
      <c r="T718" s="1"/>
      <c r="U718" s="1"/>
      <c r="V718" s="1"/>
      <c r="W718" s="1"/>
      <c r="X718" s="1"/>
      <c r="Y718" s="1"/>
      <c r="Z718" s="1"/>
      <c r="AA718" s="1"/>
      <c r="AB718" s="1"/>
      <c r="AC718" s="1"/>
      <c r="AD718" s="1"/>
      <c r="AE718" s="1"/>
      <c r="AF718" s="1"/>
      <c r="AG718" s="1"/>
      <c r="AH718" s="1"/>
      <c r="AI718" s="1"/>
      <c r="AJ718" s="1"/>
      <c r="AK718" s="1"/>
      <c r="AL718" s="1"/>
      <c r="AM718" s="1"/>
      <c r="AN718" s="1"/>
    </row>
    <row r="719" spans="1:40" ht="15.75" customHeight="1">
      <c r="A719" s="1"/>
      <c r="B719" s="1"/>
      <c r="C719" s="1"/>
      <c r="D719" s="1"/>
      <c r="E719" s="1"/>
      <c r="F719" s="1"/>
      <c r="G719" s="1"/>
      <c r="H719" s="1"/>
      <c r="I719" s="1"/>
      <c r="J719" s="1"/>
      <c r="K719" s="1"/>
      <c r="L719" s="1"/>
      <c r="M719" s="1"/>
      <c r="N719" s="1"/>
      <c r="O719" s="1"/>
      <c r="P719" s="1"/>
      <c r="Q719" s="517"/>
      <c r="R719" s="1"/>
      <c r="S719" s="1"/>
      <c r="T719" s="1"/>
      <c r="U719" s="1"/>
      <c r="V719" s="1"/>
      <c r="W719" s="1"/>
      <c r="X719" s="1"/>
      <c r="Y719" s="1"/>
      <c r="Z719" s="1"/>
      <c r="AA719" s="1"/>
      <c r="AB719" s="1"/>
      <c r="AC719" s="1"/>
      <c r="AD719" s="1"/>
      <c r="AE719" s="1"/>
      <c r="AF719" s="1"/>
      <c r="AG719" s="1"/>
      <c r="AH719" s="1"/>
      <c r="AI719" s="1"/>
      <c r="AJ719" s="1"/>
      <c r="AK719" s="1"/>
      <c r="AL719" s="1"/>
      <c r="AM719" s="1"/>
      <c r="AN719" s="1"/>
    </row>
    <row r="720" spans="1:40" ht="15.75" customHeight="1">
      <c r="A720" s="1"/>
      <c r="B720" s="1"/>
      <c r="C720" s="1"/>
      <c r="D720" s="1"/>
      <c r="E720" s="1"/>
      <c r="F720" s="1"/>
      <c r="G720" s="1"/>
      <c r="H720" s="1"/>
      <c r="I720" s="1"/>
      <c r="J720" s="1"/>
      <c r="K720" s="1"/>
      <c r="L720" s="1"/>
      <c r="M720" s="1"/>
      <c r="N720" s="1"/>
      <c r="O720" s="1"/>
      <c r="P720" s="1"/>
      <c r="Q720" s="517"/>
      <c r="R720" s="1"/>
      <c r="S720" s="1"/>
      <c r="T720" s="1"/>
      <c r="U720" s="1"/>
      <c r="V720" s="1"/>
      <c r="W720" s="1"/>
      <c r="X720" s="1"/>
      <c r="Y720" s="1"/>
      <c r="Z720" s="1"/>
      <c r="AA720" s="1"/>
      <c r="AB720" s="1"/>
      <c r="AC720" s="1"/>
      <c r="AD720" s="1"/>
      <c r="AE720" s="1"/>
      <c r="AF720" s="1"/>
      <c r="AG720" s="1"/>
      <c r="AH720" s="1"/>
      <c r="AI720" s="1"/>
      <c r="AJ720" s="1"/>
      <c r="AK720" s="1"/>
      <c r="AL720" s="1"/>
      <c r="AM720" s="1"/>
      <c r="AN720" s="1"/>
    </row>
    <row r="721" spans="1:40" ht="15.75" customHeight="1">
      <c r="A721" s="1"/>
      <c r="B721" s="1"/>
      <c r="C721" s="1"/>
      <c r="D721" s="1"/>
      <c r="E721" s="1"/>
      <c r="F721" s="1"/>
      <c r="G721" s="1"/>
      <c r="H721" s="1"/>
      <c r="I721" s="1"/>
      <c r="J721" s="1"/>
      <c r="K721" s="1"/>
      <c r="L721" s="1"/>
      <c r="M721" s="1"/>
      <c r="N721" s="1"/>
      <c r="O721" s="1"/>
      <c r="P721" s="1"/>
      <c r="Q721" s="517"/>
      <c r="R721" s="1"/>
      <c r="S721" s="1"/>
      <c r="T721" s="1"/>
      <c r="U721" s="1"/>
      <c r="V721" s="1"/>
      <c r="W721" s="1"/>
      <c r="X721" s="1"/>
      <c r="Y721" s="1"/>
      <c r="Z721" s="1"/>
      <c r="AA721" s="1"/>
      <c r="AB721" s="1"/>
      <c r="AC721" s="1"/>
      <c r="AD721" s="1"/>
      <c r="AE721" s="1"/>
      <c r="AF721" s="1"/>
      <c r="AG721" s="1"/>
      <c r="AH721" s="1"/>
      <c r="AI721" s="1"/>
      <c r="AJ721" s="1"/>
      <c r="AK721" s="1"/>
      <c r="AL721" s="1"/>
      <c r="AM721" s="1"/>
      <c r="AN721" s="1"/>
    </row>
    <row r="722" spans="1:40" ht="15.75" customHeight="1">
      <c r="A722" s="1"/>
      <c r="B722" s="1"/>
      <c r="C722" s="1"/>
      <c r="D722" s="1"/>
      <c r="E722" s="1"/>
      <c r="F722" s="1"/>
      <c r="G722" s="1"/>
      <c r="H722" s="1"/>
      <c r="I722" s="1"/>
      <c r="J722" s="1"/>
      <c r="K722" s="1"/>
      <c r="L722" s="1"/>
      <c r="M722" s="1"/>
      <c r="N722" s="1"/>
      <c r="O722" s="1"/>
      <c r="P722" s="1"/>
      <c r="Q722" s="517"/>
      <c r="R722" s="1"/>
      <c r="S722" s="1"/>
      <c r="T722" s="1"/>
      <c r="U722" s="1"/>
      <c r="V722" s="1"/>
      <c r="W722" s="1"/>
      <c r="X722" s="1"/>
      <c r="Y722" s="1"/>
      <c r="Z722" s="1"/>
      <c r="AA722" s="1"/>
      <c r="AB722" s="1"/>
      <c r="AC722" s="1"/>
      <c r="AD722" s="1"/>
      <c r="AE722" s="1"/>
      <c r="AF722" s="1"/>
      <c r="AG722" s="1"/>
      <c r="AH722" s="1"/>
      <c r="AI722" s="1"/>
      <c r="AJ722" s="1"/>
      <c r="AK722" s="1"/>
      <c r="AL722" s="1"/>
      <c r="AM722" s="1"/>
      <c r="AN722" s="1"/>
    </row>
    <row r="723" spans="1:40" ht="15.75" customHeight="1">
      <c r="A723" s="1"/>
      <c r="B723" s="1"/>
      <c r="C723" s="1"/>
      <c r="D723" s="1"/>
      <c r="E723" s="1"/>
      <c r="F723" s="1"/>
      <c r="G723" s="1"/>
      <c r="H723" s="1"/>
      <c r="I723" s="1"/>
      <c r="J723" s="1"/>
      <c r="K723" s="1"/>
      <c r="L723" s="1"/>
      <c r="M723" s="1"/>
      <c r="N723" s="1"/>
      <c r="O723" s="1"/>
      <c r="P723" s="1"/>
      <c r="Q723" s="517"/>
      <c r="R723" s="1"/>
      <c r="S723" s="1"/>
      <c r="T723" s="1"/>
      <c r="U723" s="1"/>
      <c r="V723" s="1"/>
      <c r="W723" s="1"/>
      <c r="X723" s="1"/>
      <c r="Y723" s="1"/>
      <c r="Z723" s="1"/>
      <c r="AA723" s="1"/>
      <c r="AB723" s="1"/>
      <c r="AC723" s="1"/>
      <c r="AD723" s="1"/>
      <c r="AE723" s="1"/>
      <c r="AF723" s="1"/>
      <c r="AG723" s="1"/>
      <c r="AH723" s="1"/>
      <c r="AI723" s="1"/>
      <c r="AJ723" s="1"/>
      <c r="AK723" s="1"/>
      <c r="AL723" s="1"/>
      <c r="AM723" s="1"/>
      <c r="AN723" s="1"/>
    </row>
    <row r="724" spans="1:40" ht="15.75" customHeight="1">
      <c r="A724" s="1"/>
      <c r="B724" s="1"/>
      <c r="C724" s="1"/>
      <c r="D724" s="1"/>
      <c r="E724" s="1"/>
      <c r="F724" s="1"/>
      <c r="G724" s="1"/>
      <c r="H724" s="1"/>
      <c r="I724" s="1"/>
      <c r="J724" s="1"/>
      <c r="K724" s="1"/>
      <c r="L724" s="1"/>
      <c r="M724" s="1"/>
      <c r="N724" s="1"/>
      <c r="O724" s="1"/>
      <c r="P724" s="1"/>
      <c r="Q724" s="517"/>
      <c r="R724" s="1"/>
      <c r="S724" s="1"/>
      <c r="T724" s="1"/>
      <c r="U724" s="1"/>
      <c r="V724" s="1"/>
      <c r="W724" s="1"/>
      <c r="X724" s="1"/>
      <c r="Y724" s="1"/>
      <c r="Z724" s="1"/>
      <c r="AA724" s="1"/>
      <c r="AB724" s="1"/>
      <c r="AC724" s="1"/>
      <c r="AD724" s="1"/>
      <c r="AE724" s="1"/>
      <c r="AF724" s="1"/>
      <c r="AG724" s="1"/>
      <c r="AH724" s="1"/>
      <c r="AI724" s="1"/>
      <c r="AJ724" s="1"/>
      <c r="AK724" s="1"/>
      <c r="AL724" s="1"/>
      <c r="AM724" s="1"/>
      <c r="AN724" s="1"/>
    </row>
    <row r="725" spans="1:40" ht="15.75" customHeight="1">
      <c r="A725" s="1"/>
      <c r="B725" s="1"/>
      <c r="C725" s="1"/>
      <c r="D725" s="1"/>
      <c r="E725" s="1"/>
      <c r="F725" s="1"/>
      <c r="G725" s="1"/>
      <c r="H725" s="1"/>
      <c r="I725" s="1"/>
      <c r="J725" s="1"/>
      <c r="K725" s="1"/>
      <c r="L725" s="1"/>
      <c r="M725" s="1"/>
      <c r="N725" s="1"/>
      <c r="O725" s="1"/>
      <c r="P725" s="1"/>
      <c r="Q725" s="517"/>
      <c r="R725" s="1"/>
      <c r="S725" s="1"/>
      <c r="T725" s="1"/>
      <c r="U725" s="1"/>
      <c r="V725" s="1"/>
      <c r="W725" s="1"/>
      <c r="X725" s="1"/>
      <c r="Y725" s="1"/>
      <c r="Z725" s="1"/>
      <c r="AA725" s="1"/>
      <c r="AB725" s="1"/>
      <c r="AC725" s="1"/>
      <c r="AD725" s="1"/>
      <c r="AE725" s="1"/>
      <c r="AF725" s="1"/>
      <c r="AG725" s="1"/>
      <c r="AH725" s="1"/>
      <c r="AI725" s="1"/>
      <c r="AJ725" s="1"/>
      <c r="AK725" s="1"/>
      <c r="AL725" s="1"/>
      <c r="AM725" s="1"/>
      <c r="AN725" s="1"/>
    </row>
    <row r="726" spans="1:40" ht="15.75" customHeight="1">
      <c r="A726" s="1"/>
      <c r="B726" s="1"/>
      <c r="C726" s="1"/>
      <c r="D726" s="1"/>
      <c r="E726" s="1"/>
      <c r="F726" s="1"/>
      <c r="G726" s="1"/>
      <c r="H726" s="1"/>
      <c r="I726" s="1"/>
      <c r="J726" s="1"/>
      <c r="K726" s="1"/>
      <c r="L726" s="1"/>
      <c r="M726" s="1"/>
      <c r="N726" s="1"/>
      <c r="O726" s="1"/>
      <c r="P726" s="1"/>
      <c r="Q726" s="517"/>
      <c r="R726" s="1"/>
      <c r="S726" s="1"/>
      <c r="T726" s="1"/>
      <c r="U726" s="1"/>
      <c r="V726" s="1"/>
      <c r="W726" s="1"/>
      <c r="X726" s="1"/>
      <c r="Y726" s="1"/>
      <c r="Z726" s="1"/>
      <c r="AA726" s="1"/>
      <c r="AB726" s="1"/>
      <c r="AC726" s="1"/>
      <c r="AD726" s="1"/>
      <c r="AE726" s="1"/>
      <c r="AF726" s="1"/>
      <c r="AG726" s="1"/>
      <c r="AH726" s="1"/>
      <c r="AI726" s="1"/>
      <c r="AJ726" s="1"/>
      <c r="AK726" s="1"/>
      <c r="AL726" s="1"/>
      <c r="AM726" s="1"/>
      <c r="AN726" s="1"/>
    </row>
    <row r="727" spans="1:40" ht="15.75" customHeight="1">
      <c r="A727" s="1"/>
      <c r="B727" s="1"/>
      <c r="C727" s="1"/>
      <c r="D727" s="1"/>
      <c r="E727" s="1"/>
      <c r="F727" s="1"/>
      <c r="G727" s="1"/>
      <c r="H727" s="1"/>
      <c r="I727" s="1"/>
      <c r="J727" s="1"/>
      <c r="K727" s="1"/>
      <c r="L727" s="1"/>
      <c r="M727" s="1"/>
      <c r="N727" s="1"/>
      <c r="O727" s="1"/>
      <c r="P727" s="1"/>
      <c r="Q727" s="517"/>
      <c r="R727" s="1"/>
      <c r="S727" s="1"/>
      <c r="T727" s="1"/>
      <c r="U727" s="1"/>
      <c r="V727" s="1"/>
      <c r="W727" s="1"/>
      <c r="X727" s="1"/>
      <c r="Y727" s="1"/>
      <c r="Z727" s="1"/>
      <c r="AA727" s="1"/>
      <c r="AB727" s="1"/>
      <c r="AC727" s="1"/>
      <c r="AD727" s="1"/>
      <c r="AE727" s="1"/>
      <c r="AF727" s="1"/>
      <c r="AG727" s="1"/>
      <c r="AH727" s="1"/>
      <c r="AI727" s="1"/>
      <c r="AJ727" s="1"/>
      <c r="AK727" s="1"/>
      <c r="AL727" s="1"/>
      <c r="AM727" s="1"/>
      <c r="AN727" s="1"/>
    </row>
    <row r="728" spans="1:40" ht="15.75" customHeight="1">
      <c r="A728" s="1"/>
      <c r="B728" s="1"/>
      <c r="C728" s="1"/>
      <c r="D728" s="1"/>
      <c r="E728" s="1"/>
      <c r="F728" s="1"/>
      <c r="G728" s="1"/>
      <c r="H728" s="1"/>
      <c r="I728" s="1"/>
      <c r="J728" s="1"/>
      <c r="K728" s="1"/>
      <c r="L728" s="1"/>
      <c r="M728" s="1"/>
      <c r="N728" s="1"/>
      <c r="O728" s="1"/>
      <c r="P728" s="1"/>
      <c r="Q728" s="517"/>
      <c r="R728" s="1"/>
      <c r="S728" s="1"/>
      <c r="T728" s="1"/>
      <c r="U728" s="1"/>
      <c r="V728" s="1"/>
      <c r="W728" s="1"/>
      <c r="X728" s="1"/>
      <c r="Y728" s="1"/>
      <c r="Z728" s="1"/>
      <c r="AA728" s="1"/>
      <c r="AB728" s="1"/>
      <c r="AC728" s="1"/>
      <c r="AD728" s="1"/>
      <c r="AE728" s="1"/>
      <c r="AF728" s="1"/>
      <c r="AG728" s="1"/>
      <c r="AH728" s="1"/>
      <c r="AI728" s="1"/>
      <c r="AJ728" s="1"/>
      <c r="AK728" s="1"/>
      <c r="AL728" s="1"/>
      <c r="AM728" s="1"/>
      <c r="AN728" s="1"/>
    </row>
    <row r="729" spans="1:40" ht="15.75" customHeight="1">
      <c r="A729" s="1"/>
      <c r="B729" s="1"/>
      <c r="C729" s="1"/>
      <c r="D729" s="1"/>
      <c r="E729" s="1"/>
      <c r="F729" s="1"/>
      <c r="G729" s="1"/>
      <c r="H729" s="1"/>
      <c r="I729" s="1"/>
      <c r="J729" s="1"/>
      <c r="K729" s="1"/>
      <c r="L729" s="1"/>
      <c r="M729" s="1"/>
      <c r="N729" s="1"/>
      <c r="O729" s="1"/>
      <c r="P729" s="1"/>
      <c r="Q729" s="517"/>
      <c r="R729" s="1"/>
      <c r="S729" s="1"/>
      <c r="T729" s="1"/>
      <c r="U729" s="1"/>
      <c r="V729" s="1"/>
      <c r="W729" s="1"/>
      <c r="X729" s="1"/>
      <c r="Y729" s="1"/>
      <c r="Z729" s="1"/>
      <c r="AA729" s="1"/>
      <c r="AB729" s="1"/>
      <c r="AC729" s="1"/>
      <c r="AD729" s="1"/>
      <c r="AE729" s="1"/>
      <c r="AF729" s="1"/>
      <c r="AG729" s="1"/>
      <c r="AH729" s="1"/>
      <c r="AI729" s="1"/>
      <c r="AJ729" s="1"/>
      <c r="AK729" s="1"/>
      <c r="AL729" s="1"/>
      <c r="AM729" s="1"/>
      <c r="AN729" s="1"/>
    </row>
    <row r="730" spans="1:40" ht="15.75" customHeight="1">
      <c r="A730" s="1"/>
      <c r="B730" s="1"/>
      <c r="C730" s="1"/>
      <c r="D730" s="1"/>
      <c r="E730" s="1"/>
      <c r="F730" s="1"/>
      <c r="G730" s="1"/>
      <c r="H730" s="1"/>
      <c r="I730" s="1"/>
      <c r="J730" s="1"/>
      <c r="K730" s="1"/>
      <c r="L730" s="1"/>
      <c r="M730" s="1"/>
      <c r="N730" s="1"/>
      <c r="O730" s="1"/>
      <c r="P730" s="1"/>
      <c r="Q730" s="517"/>
      <c r="R730" s="1"/>
      <c r="S730" s="1"/>
      <c r="T730" s="1"/>
      <c r="U730" s="1"/>
      <c r="V730" s="1"/>
      <c r="W730" s="1"/>
      <c r="X730" s="1"/>
      <c r="Y730" s="1"/>
      <c r="Z730" s="1"/>
      <c r="AA730" s="1"/>
      <c r="AB730" s="1"/>
      <c r="AC730" s="1"/>
      <c r="AD730" s="1"/>
      <c r="AE730" s="1"/>
      <c r="AF730" s="1"/>
      <c r="AG730" s="1"/>
      <c r="AH730" s="1"/>
      <c r="AI730" s="1"/>
      <c r="AJ730" s="1"/>
      <c r="AK730" s="1"/>
      <c r="AL730" s="1"/>
      <c r="AM730" s="1"/>
      <c r="AN730" s="1"/>
    </row>
    <row r="731" spans="1:40" ht="15.75" customHeight="1">
      <c r="A731" s="1"/>
      <c r="B731" s="1"/>
      <c r="C731" s="1"/>
      <c r="D731" s="1"/>
      <c r="E731" s="1"/>
      <c r="F731" s="1"/>
      <c r="G731" s="1"/>
      <c r="H731" s="1"/>
      <c r="I731" s="1"/>
      <c r="J731" s="1"/>
      <c r="K731" s="1"/>
      <c r="L731" s="1"/>
      <c r="M731" s="1"/>
      <c r="N731" s="1"/>
      <c r="O731" s="1"/>
      <c r="P731" s="1"/>
      <c r="Q731" s="517"/>
      <c r="R731" s="1"/>
      <c r="S731" s="1"/>
      <c r="T731" s="1"/>
      <c r="U731" s="1"/>
      <c r="V731" s="1"/>
      <c r="W731" s="1"/>
      <c r="X731" s="1"/>
      <c r="Y731" s="1"/>
      <c r="Z731" s="1"/>
      <c r="AA731" s="1"/>
      <c r="AB731" s="1"/>
      <c r="AC731" s="1"/>
      <c r="AD731" s="1"/>
      <c r="AE731" s="1"/>
      <c r="AF731" s="1"/>
      <c r="AG731" s="1"/>
      <c r="AH731" s="1"/>
      <c r="AI731" s="1"/>
      <c r="AJ731" s="1"/>
      <c r="AK731" s="1"/>
      <c r="AL731" s="1"/>
      <c r="AM731" s="1"/>
      <c r="AN731" s="1"/>
    </row>
    <row r="732" spans="1:40" ht="15.75" customHeight="1">
      <c r="A732" s="1"/>
      <c r="B732" s="1"/>
      <c r="C732" s="1"/>
      <c r="D732" s="1"/>
      <c r="E732" s="1"/>
      <c r="F732" s="1"/>
      <c r="G732" s="1"/>
      <c r="H732" s="1"/>
      <c r="I732" s="1"/>
      <c r="J732" s="1"/>
      <c r="K732" s="1"/>
      <c r="L732" s="1"/>
      <c r="M732" s="1"/>
      <c r="N732" s="1"/>
      <c r="O732" s="1"/>
      <c r="P732" s="1"/>
      <c r="Q732" s="517"/>
      <c r="R732" s="1"/>
      <c r="S732" s="1"/>
      <c r="T732" s="1"/>
      <c r="U732" s="1"/>
      <c r="V732" s="1"/>
      <c r="W732" s="1"/>
      <c r="X732" s="1"/>
      <c r="Y732" s="1"/>
      <c r="Z732" s="1"/>
      <c r="AA732" s="1"/>
      <c r="AB732" s="1"/>
      <c r="AC732" s="1"/>
      <c r="AD732" s="1"/>
      <c r="AE732" s="1"/>
      <c r="AF732" s="1"/>
      <c r="AG732" s="1"/>
      <c r="AH732" s="1"/>
      <c r="AI732" s="1"/>
      <c r="AJ732" s="1"/>
      <c r="AK732" s="1"/>
      <c r="AL732" s="1"/>
      <c r="AM732" s="1"/>
      <c r="AN732" s="1"/>
    </row>
    <row r="733" spans="1:40" ht="15.75" customHeight="1">
      <c r="A733" s="1"/>
      <c r="B733" s="1"/>
      <c r="C733" s="1"/>
      <c r="D733" s="1"/>
      <c r="E733" s="1"/>
      <c r="F733" s="1"/>
      <c r="G733" s="1"/>
      <c r="H733" s="1"/>
      <c r="I733" s="1"/>
      <c r="J733" s="1"/>
      <c r="K733" s="1"/>
      <c r="L733" s="1"/>
      <c r="M733" s="1"/>
      <c r="N733" s="1"/>
      <c r="O733" s="1"/>
      <c r="P733" s="1"/>
      <c r="Q733" s="517"/>
      <c r="R733" s="1"/>
      <c r="S733" s="1"/>
      <c r="T733" s="1"/>
      <c r="U733" s="1"/>
      <c r="V733" s="1"/>
      <c r="W733" s="1"/>
      <c r="X733" s="1"/>
      <c r="Y733" s="1"/>
      <c r="Z733" s="1"/>
      <c r="AA733" s="1"/>
      <c r="AB733" s="1"/>
      <c r="AC733" s="1"/>
      <c r="AD733" s="1"/>
      <c r="AE733" s="1"/>
      <c r="AF733" s="1"/>
      <c r="AG733" s="1"/>
      <c r="AH733" s="1"/>
      <c r="AI733" s="1"/>
      <c r="AJ733" s="1"/>
      <c r="AK733" s="1"/>
      <c r="AL733" s="1"/>
      <c r="AM733" s="1"/>
      <c r="AN733" s="1"/>
    </row>
    <row r="734" spans="1:40" ht="15.75" customHeight="1">
      <c r="A734" s="1"/>
      <c r="B734" s="1"/>
      <c r="C734" s="1"/>
      <c r="D734" s="1"/>
      <c r="E734" s="1"/>
      <c r="F734" s="1"/>
      <c r="G734" s="1"/>
      <c r="H734" s="1"/>
      <c r="I734" s="1"/>
      <c r="J734" s="1"/>
      <c r="K734" s="1"/>
      <c r="L734" s="1"/>
      <c r="M734" s="1"/>
      <c r="N734" s="1"/>
      <c r="O734" s="1"/>
      <c r="P734" s="1"/>
      <c r="Q734" s="517"/>
      <c r="R734" s="1"/>
      <c r="S734" s="1"/>
      <c r="T734" s="1"/>
      <c r="U734" s="1"/>
      <c r="V734" s="1"/>
      <c r="W734" s="1"/>
      <c r="X734" s="1"/>
      <c r="Y734" s="1"/>
      <c r="Z734" s="1"/>
      <c r="AA734" s="1"/>
      <c r="AB734" s="1"/>
      <c r="AC734" s="1"/>
      <c r="AD734" s="1"/>
      <c r="AE734" s="1"/>
      <c r="AF734" s="1"/>
      <c r="AG734" s="1"/>
      <c r="AH734" s="1"/>
      <c r="AI734" s="1"/>
      <c r="AJ734" s="1"/>
      <c r="AK734" s="1"/>
      <c r="AL734" s="1"/>
      <c r="AM734" s="1"/>
      <c r="AN734" s="1"/>
    </row>
    <row r="735" spans="1:40" ht="15.75" customHeight="1">
      <c r="A735" s="1"/>
      <c r="B735" s="1"/>
      <c r="C735" s="1"/>
      <c r="D735" s="1"/>
      <c r="E735" s="1"/>
      <c r="F735" s="1"/>
      <c r="G735" s="1"/>
      <c r="H735" s="1"/>
      <c r="I735" s="1"/>
      <c r="J735" s="1"/>
      <c r="K735" s="1"/>
      <c r="L735" s="1"/>
      <c r="M735" s="1"/>
      <c r="N735" s="1"/>
      <c r="O735" s="1"/>
      <c r="P735" s="1"/>
      <c r="Q735" s="517"/>
      <c r="R735" s="1"/>
      <c r="S735" s="1"/>
      <c r="T735" s="1"/>
      <c r="U735" s="1"/>
      <c r="V735" s="1"/>
      <c r="W735" s="1"/>
      <c r="X735" s="1"/>
      <c r="Y735" s="1"/>
      <c r="Z735" s="1"/>
      <c r="AA735" s="1"/>
      <c r="AB735" s="1"/>
      <c r="AC735" s="1"/>
      <c r="AD735" s="1"/>
      <c r="AE735" s="1"/>
      <c r="AF735" s="1"/>
      <c r="AG735" s="1"/>
      <c r="AH735" s="1"/>
      <c r="AI735" s="1"/>
      <c r="AJ735" s="1"/>
      <c r="AK735" s="1"/>
      <c r="AL735" s="1"/>
      <c r="AM735" s="1"/>
      <c r="AN735" s="1"/>
    </row>
    <row r="736" spans="1:40" ht="15.75" customHeight="1">
      <c r="A736" s="1"/>
      <c r="B736" s="1"/>
      <c r="C736" s="1"/>
      <c r="D736" s="1"/>
      <c r="E736" s="1"/>
      <c r="F736" s="1"/>
      <c r="G736" s="1"/>
      <c r="H736" s="1"/>
      <c r="I736" s="1"/>
      <c r="J736" s="1"/>
      <c r="K736" s="1"/>
      <c r="L736" s="1"/>
      <c r="M736" s="1"/>
      <c r="N736" s="1"/>
      <c r="O736" s="1"/>
      <c r="P736" s="1"/>
      <c r="Q736" s="517"/>
      <c r="R736" s="1"/>
      <c r="S736" s="1"/>
      <c r="T736" s="1"/>
      <c r="U736" s="1"/>
      <c r="V736" s="1"/>
      <c r="W736" s="1"/>
      <c r="X736" s="1"/>
      <c r="Y736" s="1"/>
      <c r="Z736" s="1"/>
      <c r="AA736" s="1"/>
      <c r="AB736" s="1"/>
      <c r="AC736" s="1"/>
      <c r="AD736" s="1"/>
      <c r="AE736" s="1"/>
      <c r="AF736" s="1"/>
      <c r="AG736" s="1"/>
      <c r="AH736" s="1"/>
      <c r="AI736" s="1"/>
      <c r="AJ736" s="1"/>
      <c r="AK736" s="1"/>
      <c r="AL736" s="1"/>
      <c r="AM736" s="1"/>
      <c r="AN736" s="1"/>
    </row>
    <row r="737" spans="1:40" ht="15.75" customHeight="1">
      <c r="A737" s="1"/>
      <c r="B737" s="1"/>
      <c r="C737" s="1"/>
      <c r="D737" s="1"/>
      <c r="E737" s="1"/>
      <c r="F737" s="1"/>
      <c r="G737" s="1"/>
      <c r="H737" s="1"/>
      <c r="I737" s="1"/>
      <c r="J737" s="1"/>
      <c r="K737" s="1"/>
      <c r="L737" s="1"/>
      <c r="M737" s="1"/>
      <c r="N737" s="1"/>
      <c r="O737" s="1"/>
      <c r="P737" s="1"/>
      <c r="Q737" s="517"/>
      <c r="R737" s="1"/>
      <c r="S737" s="1"/>
      <c r="T737" s="1"/>
      <c r="U737" s="1"/>
      <c r="V737" s="1"/>
      <c r="W737" s="1"/>
      <c r="X737" s="1"/>
      <c r="Y737" s="1"/>
      <c r="Z737" s="1"/>
      <c r="AA737" s="1"/>
      <c r="AB737" s="1"/>
      <c r="AC737" s="1"/>
      <c r="AD737" s="1"/>
      <c r="AE737" s="1"/>
      <c r="AF737" s="1"/>
      <c r="AG737" s="1"/>
      <c r="AH737" s="1"/>
      <c r="AI737" s="1"/>
      <c r="AJ737" s="1"/>
      <c r="AK737" s="1"/>
      <c r="AL737" s="1"/>
      <c r="AM737" s="1"/>
      <c r="AN737" s="1"/>
    </row>
    <row r="738" spans="1:40" ht="15.75" customHeight="1">
      <c r="A738" s="1"/>
      <c r="B738" s="1"/>
      <c r="C738" s="1"/>
      <c r="D738" s="1"/>
      <c r="E738" s="1"/>
      <c r="F738" s="1"/>
      <c r="G738" s="1"/>
      <c r="H738" s="1"/>
      <c r="I738" s="1"/>
      <c r="J738" s="1"/>
      <c r="K738" s="1"/>
      <c r="L738" s="1"/>
      <c r="M738" s="1"/>
      <c r="N738" s="1"/>
      <c r="O738" s="1"/>
      <c r="P738" s="1"/>
      <c r="Q738" s="517"/>
      <c r="R738" s="1"/>
      <c r="S738" s="1"/>
      <c r="T738" s="1"/>
      <c r="U738" s="1"/>
      <c r="V738" s="1"/>
      <c r="W738" s="1"/>
      <c r="X738" s="1"/>
      <c r="Y738" s="1"/>
      <c r="Z738" s="1"/>
      <c r="AA738" s="1"/>
      <c r="AB738" s="1"/>
      <c r="AC738" s="1"/>
      <c r="AD738" s="1"/>
      <c r="AE738" s="1"/>
      <c r="AF738" s="1"/>
      <c r="AG738" s="1"/>
      <c r="AH738" s="1"/>
      <c r="AI738" s="1"/>
      <c r="AJ738" s="1"/>
      <c r="AK738" s="1"/>
      <c r="AL738" s="1"/>
      <c r="AM738" s="1"/>
      <c r="AN738" s="1"/>
    </row>
    <row r="739" spans="1:40" ht="15.75" customHeight="1">
      <c r="A739" s="1"/>
      <c r="B739" s="1"/>
      <c r="C739" s="1"/>
      <c r="D739" s="1"/>
      <c r="E739" s="1"/>
      <c r="F739" s="1"/>
      <c r="G739" s="1"/>
      <c r="H739" s="1"/>
      <c r="I739" s="1"/>
      <c r="J739" s="1"/>
      <c r="K739" s="1"/>
      <c r="L739" s="1"/>
      <c r="M739" s="1"/>
      <c r="N739" s="1"/>
      <c r="O739" s="1"/>
      <c r="P739" s="1"/>
      <c r="Q739" s="517"/>
      <c r="R739" s="1"/>
      <c r="S739" s="1"/>
      <c r="T739" s="1"/>
      <c r="U739" s="1"/>
      <c r="V739" s="1"/>
      <c r="W739" s="1"/>
      <c r="X739" s="1"/>
      <c r="Y739" s="1"/>
      <c r="Z739" s="1"/>
      <c r="AA739" s="1"/>
      <c r="AB739" s="1"/>
      <c r="AC739" s="1"/>
      <c r="AD739" s="1"/>
      <c r="AE739" s="1"/>
      <c r="AF739" s="1"/>
      <c r="AG739" s="1"/>
      <c r="AH739" s="1"/>
      <c r="AI739" s="1"/>
      <c r="AJ739" s="1"/>
      <c r="AK739" s="1"/>
      <c r="AL739" s="1"/>
      <c r="AM739" s="1"/>
      <c r="AN739" s="1"/>
    </row>
    <row r="740" spans="1:40" ht="15.75" customHeight="1">
      <c r="A740" s="1"/>
      <c r="B740" s="1"/>
      <c r="C740" s="1"/>
      <c r="D740" s="1"/>
      <c r="E740" s="1"/>
      <c r="F740" s="1"/>
      <c r="G740" s="1"/>
      <c r="H740" s="1"/>
      <c r="I740" s="1"/>
      <c r="J740" s="1"/>
      <c r="K740" s="1"/>
      <c r="L740" s="1"/>
      <c r="M740" s="1"/>
      <c r="N740" s="1"/>
      <c r="O740" s="1"/>
      <c r="P740" s="1"/>
      <c r="Q740" s="517"/>
      <c r="R740" s="1"/>
      <c r="S740" s="1"/>
      <c r="T740" s="1"/>
      <c r="U740" s="1"/>
      <c r="V740" s="1"/>
      <c r="W740" s="1"/>
      <c r="X740" s="1"/>
      <c r="Y740" s="1"/>
      <c r="Z740" s="1"/>
      <c r="AA740" s="1"/>
      <c r="AB740" s="1"/>
      <c r="AC740" s="1"/>
      <c r="AD740" s="1"/>
      <c r="AE740" s="1"/>
      <c r="AF740" s="1"/>
      <c r="AG740" s="1"/>
      <c r="AH740" s="1"/>
      <c r="AI740" s="1"/>
      <c r="AJ740" s="1"/>
      <c r="AK740" s="1"/>
      <c r="AL740" s="1"/>
      <c r="AM740" s="1"/>
      <c r="AN740" s="1"/>
    </row>
    <row r="741" spans="1:40" ht="15.75" customHeight="1">
      <c r="A741" s="1"/>
      <c r="B741" s="1"/>
      <c r="C741" s="1"/>
      <c r="D741" s="1"/>
      <c r="E741" s="1"/>
      <c r="F741" s="1"/>
      <c r="G741" s="1"/>
      <c r="H741" s="1"/>
      <c r="I741" s="1"/>
      <c r="J741" s="1"/>
      <c r="K741" s="1"/>
      <c r="L741" s="1"/>
      <c r="M741" s="1"/>
      <c r="N741" s="1"/>
      <c r="O741" s="1"/>
      <c r="P741" s="1"/>
      <c r="Q741" s="517"/>
      <c r="R741" s="1"/>
      <c r="S741" s="1"/>
      <c r="T741" s="1"/>
      <c r="U741" s="1"/>
      <c r="V741" s="1"/>
      <c r="W741" s="1"/>
      <c r="X741" s="1"/>
      <c r="Y741" s="1"/>
      <c r="Z741" s="1"/>
      <c r="AA741" s="1"/>
      <c r="AB741" s="1"/>
      <c r="AC741" s="1"/>
      <c r="AD741" s="1"/>
      <c r="AE741" s="1"/>
      <c r="AF741" s="1"/>
      <c r="AG741" s="1"/>
      <c r="AH741" s="1"/>
      <c r="AI741" s="1"/>
      <c r="AJ741" s="1"/>
      <c r="AK741" s="1"/>
      <c r="AL741" s="1"/>
      <c r="AM741" s="1"/>
      <c r="AN741" s="1"/>
    </row>
    <row r="742" spans="1:40" ht="15.75" customHeight="1">
      <c r="A742" s="1"/>
      <c r="B742" s="1"/>
      <c r="C742" s="1"/>
      <c r="D742" s="1"/>
      <c r="E742" s="1"/>
      <c r="F742" s="1"/>
      <c r="G742" s="1"/>
      <c r="H742" s="1"/>
      <c r="I742" s="1"/>
      <c r="J742" s="1"/>
      <c r="K742" s="1"/>
      <c r="L742" s="1"/>
      <c r="M742" s="1"/>
      <c r="N742" s="1"/>
      <c r="O742" s="1"/>
      <c r="P742" s="1"/>
      <c r="Q742" s="517"/>
      <c r="R742" s="1"/>
      <c r="S742" s="1"/>
      <c r="T742" s="1"/>
      <c r="U742" s="1"/>
      <c r="V742" s="1"/>
      <c r="W742" s="1"/>
      <c r="X742" s="1"/>
      <c r="Y742" s="1"/>
      <c r="Z742" s="1"/>
      <c r="AA742" s="1"/>
      <c r="AB742" s="1"/>
      <c r="AC742" s="1"/>
      <c r="AD742" s="1"/>
      <c r="AE742" s="1"/>
      <c r="AF742" s="1"/>
      <c r="AG742" s="1"/>
      <c r="AH742" s="1"/>
      <c r="AI742" s="1"/>
      <c r="AJ742" s="1"/>
      <c r="AK742" s="1"/>
      <c r="AL742" s="1"/>
      <c r="AM742" s="1"/>
      <c r="AN742" s="1"/>
    </row>
    <row r="743" spans="1:40" ht="15.75" customHeight="1">
      <c r="A743" s="1"/>
      <c r="B743" s="1"/>
      <c r="C743" s="1"/>
      <c r="D743" s="1"/>
      <c r="E743" s="1"/>
      <c r="F743" s="1"/>
      <c r="G743" s="1"/>
      <c r="H743" s="1"/>
      <c r="I743" s="1"/>
      <c r="J743" s="1"/>
      <c r="K743" s="1"/>
      <c r="L743" s="1"/>
      <c r="M743" s="1"/>
      <c r="N743" s="1"/>
      <c r="O743" s="1"/>
      <c r="P743" s="1"/>
      <c r="Q743" s="517"/>
      <c r="R743" s="1"/>
      <c r="S743" s="1"/>
      <c r="T743" s="1"/>
      <c r="U743" s="1"/>
      <c r="V743" s="1"/>
      <c r="W743" s="1"/>
      <c r="X743" s="1"/>
      <c r="Y743" s="1"/>
      <c r="Z743" s="1"/>
      <c r="AA743" s="1"/>
      <c r="AB743" s="1"/>
      <c r="AC743" s="1"/>
      <c r="AD743" s="1"/>
      <c r="AE743" s="1"/>
      <c r="AF743" s="1"/>
      <c r="AG743" s="1"/>
      <c r="AH743" s="1"/>
      <c r="AI743" s="1"/>
      <c r="AJ743" s="1"/>
      <c r="AK743" s="1"/>
      <c r="AL743" s="1"/>
      <c r="AM743" s="1"/>
      <c r="AN743" s="1"/>
    </row>
    <row r="744" spans="1:40" ht="15.75" customHeight="1">
      <c r="A744" s="1"/>
      <c r="B744" s="1"/>
      <c r="C744" s="1"/>
      <c r="D744" s="1"/>
      <c r="E744" s="1"/>
      <c r="F744" s="1"/>
      <c r="G744" s="1"/>
      <c r="H744" s="1"/>
      <c r="I744" s="1"/>
      <c r="J744" s="1"/>
      <c r="K744" s="1"/>
      <c r="L744" s="1"/>
      <c r="M744" s="1"/>
      <c r="N744" s="1"/>
      <c r="O744" s="1"/>
      <c r="P744" s="1"/>
      <c r="Q744" s="517"/>
      <c r="R744" s="1"/>
      <c r="S744" s="1"/>
      <c r="T744" s="1"/>
      <c r="U744" s="1"/>
      <c r="V744" s="1"/>
      <c r="W744" s="1"/>
      <c r="X744" s="1"/>
      <c r="Y744" s="1"/>
      <c r="Z744" s="1"/>
      <c r="AA744" s="1"/>
      <c r="AB744" s="1"/>
      <c r="AC744" s="1"/>
      <c r="AD744" s="1"/>
      <c r="AE744" s="1"/>
      <c r="AF744" s="1"/>
      <c r="AG744" s="1"/>
      <c r="AH744" s="1"/>
      <c r="AI744" s="1"/>
      <c r="AJ744" s="1"/>
      <c r="AK744" s="1"/>
      <c r="AL744" s="1"/>
      <c r="AM744" s="1"/>
      <c r="AN744" s="1"/>
    </row>
    <row r="745" spans="1:40" ht="15.75" customHeight="1">
      <c r="A745" s="1"/>
      <c r="B745" s="1"/>
      <c r="C745" s="1"/>
      <c r="D745" s="1"/>
      <c r="E745" s="1"/>
      <c r="F745" s="1"/>
      <c r="G745" s="1"/>
      <c r="H745" s="1"/>
      <c r="I745" s="1"/>
      <c r="J745" s="1"/>
      <c r="K745" s="1"/>
      <c r="L745" s="1"/>
      <c r="M745" s="1"/>
      <c r="N745" s="1"/>
      <c r="O745" s="1"/>
      <c r="P745" s="1"/>
      <c r="Q745" s="517"/>
      <c r="R745" s="1"/>
      <c r="S745" s="1"/>
      <c r="T745" s="1"/>
      <c r="U745" s="1"/>
      <c r="V745" s="1"/>
      <c r="W745" s="1"/>
      <c r="X745" s="1"/>
      <c r="Y745" s="1"/>
      <c r="Z745" s="1"/>
      <c r="AA745" s="1"/>
      <c r="AB745" s="1"/>
      <c r="AC745" s="1"/>
      <c r="AD745" s="1"/>
      <c r="AE745" s="1"/>
      <c r="AF745" s="1"/>
      <c r="AG745" s="1"/>
      <c r="AH745" s="1"/>
      <c r="AI745" s="1"/>
      <c r="AJ745" s="1"/>
      <c r="AK745" s="1"/>
      <c r="AL745" s="1"/>
      <c r="AM745" s="1"/>
      <c r="AN745" s="1"/>
    </row>
    <row r="746" spans="1:40" ht="15.75" customHeight="1">
      <c r="A746" s="1"/>
      <c r="B746" s="1"/>
      <c r="C746" s="1"/>
      <c r="D746" s="1"/>
      <c r="E746" s="1"/>
      <c r="F746" s="1"/>
      <c r="G746" s="1"/>
      <c r="H746" s="1"/>
      <c r="I746" s="1"/>
      <c r="J746" s="1"/>
      <c r="K746" s="1"/>
      <c r="L746" s="1"/>
      <c r="M746" s="1"/>
      <c r="N746" s="1"/>
      <c r="O746" s="1"/>
      <c r="P746" s="1"/>
      <c r="Q746" s="517"/>
      <c r="R746" s="1"/>
      <c r="S746" s="1"/>
      <c r="T746" s="1"/>
      <c r="U746" s="1"/>
      <c r="V746" s="1"/>
      <c r="W746" s="1"/>
      <c r="X746" s="1"/>
      <c r="Y746" s="1"/>
      <c r="Z746" s="1"/>
      <c r="AA746" s="1"/>
      <c r="AB746" s="1"/>
      <c r="AC746" s="1"/>
      <c r="AD746" s="1"/>
      <c r="AE746" s="1"/>
      <c r="AF746" s="1"/>
      <c r="AG746" s="1"/>
      <c r="AH746" s="1"/>
      <c r="AI746" s="1"/>
      <c r="AJ746" s="1"/>
      <c r="AK746" s="1"/>
      <c r="AL746" s="1"/>
      <c r="AM746" s="1"/>
      <c r="AN746" s="1"/>
    </row>
    <row r="747" spans="1:40" ht="15.75" customHeight="1">
      <c r="A747" s="1"/>
      <c r="B747" s="1"/>
      <c r="C747" s="1"/>
      <c r="D747" s="1"/>
      <c r="E747" s="1"/>
      <c r="F747" s="1"/>
      <c r="G747" s="1"/>
      <c r="H747" s="1"/>
      <c r="I747" s="1"/>
      <c r="J747" s="1"/>
      <c r="K747" s="1"/>
      <c r="L747" s="1"/>
      <c r="M747" s="1"/>
      <c r="N747" s="1"/>
      <c r="O747" s="1"/>
      <c r="P747" s="1"/>
      <c r="Q747" s="517"/>
      <c r="R747" s="1"/>
      <c r="S747" s="1"/>
      <c r="T747" s="1"/>
      <c r="U747" s="1"/>
      <c r="V747" s="1"/>
      <c r="W747" s="1"/>
      <c r="X747" s="1"/>
      <c r="Y747" s="1"/>
      <c r="Z747" s="1"/>
      <c r="AA747" s="1"/>
      <c r="AB747" s="1"/>
      <c r="AC747" s="1"/>
      <c r="AD747" s="1"/>
      <c r="AE747" s="1"/>
      <c r="AF747" s="1"/>
      <c r="AG747" s="1"/>
      <c r="AH747" s="1"/>
      <c r="AI747" s="1"/>
      <c r="AJ747" s="1"/>
      <c r="AK747" s="1"/>
      <c r="AL747" s="1"/>
      <c r="AM747" s="1"/>
      <c r="AN747" s="1"/>
    </row>
    <row r="748" spans="1:40" ht="15.75" customHeight="1">
      <c r="A748" s="1"/>
      <c r="B748" s="1"/>
      <c r="C748" s="1"/>
      <c r="D748" s="1"/>
      <c r="E748" s="1"/>
      <c r="F748" s="1"/>
      <c r="G748" s="1"/>
      <c r="H748" s="1"/>
      <c r="I748" s="1"/>
      <c r="J748" s="1"/>
      <c r="K748" s="1"/>
      <c r="L748" s="1"/>
      <c r="M748" s="1"/>
      <c r="N748" s="1"/>
      <c r="O748" s="1"/>
      <c r="P748" s="1"/>
      <c r="Q748" s="517"/>
      <c r="R748" s="1"/>
      <c r="S748" s="1"/>
      <c r="T748" s="1"/>
      <c r="U748" s="1"/>
      <c r="V748" s="1"/>
      <c r="W748" s="1"/>
      <c r="X748" s="1"/>
      <c r="Y748" s="1"/>
      <c r="Z748" s="1"/>
      <c r="AA748" s="1"/>
      <c r="AB748" s="1"/>
      <c r="AC748" s="1"/>
      <c r="AD748" s="1"/>
      <c r="AE748" s="1"/>
      <c r="AF748" s="1"/>
      <c r="AG748" s="1"/>
      <c r="AH748" s="1"/>
      <c r="AI748" s="1"/>
      <c r="AJ748" s="1"/>
      <c r="AK748" s="1"/>
      <c r="AL748" s="1"/>
      <c r="AM748" s="1"/>
      <c r="AN748" s="1"/>
    </row>
    <row r="749" spans="1:40" ht="15.75" customHeight="1">
      <c r="A749" s="1"/>
      <c r="B749" s="1"/>
      <c r="C749" s="1"/>
      <c r="D749" s="1"/>
      <c r="E749" s="1"/>
      <c r="F749" s="1"/>
      <c r="G749" s="1"/>
      <c r="H749" s="1"/>
      <c r="I749" s="1"/>
      <c r="J749" s="1"/>
      <c r="K749" s="1"/>
      <c r="L749" s="1"/>
      <c r="M749" s="1"/>
      <c r="N749" s="1"/>
      <c r="O749" s="1"/>
      <c r="P749" s="1"/>
      <c r="Q749" s="517"/>
      <c r="R749" s="1"/>
      <c r="S749" s="1"/>
      <c r="T749" s="1"/>
      <c r="U749" s="1"/>
      <c r="V749" s="1"/>
      <c r="W749" s="1"/>
      <c r="X749" s="1"/>
      <c r="Y749" s="1"/>
      <c r="Z749" s="1"/>
      <c r="AA749" s="1"/>
      <c r="AB749" s="1"/>
      <c r="AC749" s="1"/>
      <c r="AD749" s="1"/>
      <c r="AE749" s="1"/>
      <c r="AF749" s="1"/>
      <c r="AG749" s="1"/>
      <c r="AH749" s="1"/>
      <c r="AI749" s="1"/>
      <c r="AJ749" s="1"/>
      <c r="AK749" s="1"/>
      <c r="AL749" s="1"/>
      <c r="AM749" s="1"/>
      <c r="AN749" s="1"/>
    </row>
    <row r="750" spans="1:40" ht="15.75" customHeight="1">
      <c r="A750" s="1"/>
      <c r="B750" s="1"/>
      <c r="C750" s="1"/>
      <c r="D750" s="1"/>
      <c r="E750" s="1"/>
      <c r="F750" s="1"/>
      <c r="G750" s="1"/>
      <c r="H750" s="1"/>
      <c r="I750" s="1"/>
      <c r="J750" s="1"/>
      <c r="K750" s="1"/>
      <c r="L750" s="1"/>
      <c r="M750" s="1"/>
      <c r="N750" s="1"/>
      <c r="O750" s="1"/>
      <c r="P750" s="1"/>
      <c r="Q750" s="517"/>
      <c r="R750" s="1"/>
      <c r="S750" s="1"/>
      <c r="T750" s="1"/>
      <c r="U750" s="1"/>
      <c r="V750" s="1"/>
      <c r="W750" s="1"/>
      <c r="X750" s="1"/>
      <c r="Y750" s="1"/>
      <c r="Z750" s="1"/>
      <c r="AA750" s="1"/>
      <c r="AB750" s="1"/>
      <c r="AC750" s="1"/>
      <c r="AD750" s="1"/>
      <c r="AE750" s="1"/>
      <c r="AF750" s="1"/>
      <c r="AG750" s="1"/>
      <c r="AH750" s="1"/>
      <c r="AI750" s="1"/>
      <c r="AJ750" s="1"/>
      <c r="AK750" s="1"/>
      <c r="AL750" s="1"/>
      <c r="AM750" s="1"/>
      <c r="AN750" s="1"/>
    </row>
    <row r="751" spans="1:40" ht="15.75" customHeight="1">
      <c r="A751" s="1"/>
      <c r="B751" s="1"/>
      <c r="C751" s="1"/>
      <c r="D751" s="1"/>
      <c r="E751" s="1"/>
      <c r="F751" s="1"/>
      <c r="G751" s="1"/>
      <c r="H751" s="1"/>
      <c r="I751" s="1"/>
      <c r="J751" s="1"/>
      <c r="K751" s="1"/>
      <c r="L751" s="1"/>
      <c r="M751" s="1"/>
      <c r="N751" s="1"/>
      <c r="O751" s="1"/>
      <c r="P751" s="1"/>
      <c r="Q751" s="517"/>
      <c r="R751" s="1"/>
      <c r="S751" s="1"/>
      <c r="T751" s="1"/>
      <c r="U751" s="1"/>
      <c r="V751" s="1"/>
      <c r="W751" s="1"/>
      <c r="X751" s="1"/>
      <c r="Y751" s="1"/>
      <c r="Z751" s="1"/>
      <c r="AA751" s="1"/>
      <c r="AB751" s="1"/>
      <c r="AC751" s="1"/>
      <c r="AD751" s="1"/>
      <c r="AE751" s="1"/>
      <c r="AF751" s="1"/>
      <c r="AG751" s="1"/>
      <c r="AH751" s="1"/>
      <c r="AI751" s="1"/>
      <c r="AJ751" s="1"/>
      <c r="AK751" s="1"/>
      <c r="AL751" s="1"/>
      <c r="AM751" s="1"/>
      <c r="AN751" s="1"/>
    </row>
    <row r="752" spans="1:40" ht="15.75" customHeight="1">
      <c r="A752" s="1"/>
      <c r="B752" s="1"/>
      <c r="C752" s="1"/>
      <c r="D752" s="1"/>
      <c r="E752" s="1"/>
      <c r="F752" s="1"/>
      <c r="G752" s="1"/>
      <c r="H752" s="1"/>
      <c r="I752" s="1"/>
      <c r="J752" s="1"/>
      <c r="K752" s="1"/>
      <c r="L752" s="1"/>
      <c r="M752" s="1"/>
      <c r="N752" s="1"/>
      <c r="O752" s="1"/>
      <c r="P752" s="1"/>
      <c r="Q752" s="517"/>
      <c r="R752" s="1"/>
      <c r="S752" s="1"/>
      <c r="T752" s="1"/>
      <c r="U752" s="1"/>
      <c r="V752" s="1"/>
      <c r="W752" s="1"/>
      <c r="X752" s="1"/>
      <c r="Y752" s="1"/>
      <c r="Z752" s="1"/>
      <c r="AA752" s="1"/>
      <c r="AB752" s="1"/>
      <c r="AC752" s="1"/>
      <c r="AD752" s="1"/>
      <c r="AE752" s="1"/>
      <c r="AF752" s="1"/>
      <c r="AG752" s="1"/>
      <c r="AH752" s="1"/>
      <c r="AI752" s="1"/>
      <c r="AJ752" s="1"/>
      <c r="AK752" s="1"/>
      <c r="AL752" s="1"/>
      <c r="AM752" s="1"/>
      <c r="AN752" s="1"/>
    </row>
    <row r="753" spans="1:40" ht="15.75" customHeight="1">
      <c r="A753" s="1"/>
      <c r="B753" s="1"/>
      <c r="C753" s="1"/>
      <c r="D753" s="1"/>
      <c r="E753" s="1"/>
      <c r="F753" s="1"/>
      <c r="G753" s="1"/>
      <c r="H753" s="1"/>
      <c r="I753" s="1"/>
      <c r="J753" s="1"/>
      <c r="K753" s="1"/>
      <c r="L753" s="1"/>
      <c r="M753" s="1"/>
      <c r="N753" s="1"/>
      <c r="O753" s="1"/>
      <c r="P753" s="1"/>
      <c r="Q753" s="517"/>
      <c r="R753" s="1"/>
      <c r="S753" s="1"/>
      <c r="T753" s="1"/>
      <c r="U753" s="1"/>
      <c r="V753" s="1"/>
      <c r="W753" s="1"/>
      <c r="X753" s="1"/>
      <c r="Y753" s="1"/>
      <c r="Z753" s="1"/>
      <c r="AA753" s="1"/>
      <c r="AB753" s="1"/>
      <c r="AC753" s="1"/>
      <c r="AD753" s="1"/>
      <c r="AE753" s="1"/>
      <c r="AF753" s="1"/>
      <c r="AG753" s="1"/>
      <c r="AH753" s="1"/>
      <c r="AI753" s="1"/>
      <c r="AJ753" s="1"/>
      <c r="AK753" s="1"/>
      <c r="AL753" s="1"/>
      <c r="AM753" s="1"/>
      <c r="AN753" s="1"/>
    </row>
    <row r="754" spans="1:40" ht="15.75" customHeight="1">
      <c r="A754" s="1"/>
      <c r="B754" s="1"/>
      <c r="C754" s="1"/>
      <c r="D754" s="1"/>
      <c r="E754" s="1"/>
      <c r="F754" s="1"/>
      <c r="G754" s="1"/>
      <c r="H754" s="1"/>
      <c r="I754" s="1"/>
      <c r="J754" s="1"/>
      <c r="K754" s="1"/>
      <c r="L754" s="1"/>
      <c r="M754" s="1"/>
      <c r="N754" s="1"/>
      <c r="O754" s="1"/>
      <c r="P754" s="1"/>
      <c r="Q754" s="517"/>
      <c r="R754" s="1"/>
      <c r="S754" s="1"/>
      <c r="T754" s="1"/>
      <c r="U754" s="1"/>
      <c r="V754" s="1"/>
      <c r="W754" s="1"/>
      <c r="X754" s="1"/>
      <c r="Y754" s="1"/>
      <c r="Z754" s="1"/>
      <c r="AA754" s="1"/>
      <c r="AB754" s="1"/>
      <c r="AC754" s="1"/>
      <c r="AD754" s="1"/>
      <c r="AE754" s="1"/>
      <c r="AF754" s="1"/>
      <c r="AG754" s="1"/>
      <c r="AH754" s="1"/>
      <c r="AI754" s="1"/>
      <c r="AJ754" s="1"/>
      <c r="AK754" s="1"/>
      <c r="AL754" s="1"/>
      <c r="AM754" s="1"/>
      <c r="AN754" s="1"/>
    </row>
    <row r="755" spans="1:40" ht="15.75" customHeight="1">
      <c r="A755" s="1"/>
      <c r="B755" s="1"/>
      <c r="C755" s="1"/>
      <c r="D755" s="1"/>
      <c r="E755" s="1"/>
      <c r="F755" s="1"/>
      <c r="G755" s="1"/>
      <c r="H755" s="1"/>
      <c r="I755" s="1"/>
      <c r="J755" s="1"/>
      <c r="K755" s="1"/>
      <c r="L755" s="1"/>
      <c r="M755" s="1"/>
      <c r="N755" s="1"/>
      <c r="O755" s="1"/>
      <c r="P755" s="1"/>
      <c r="Q755" s="517"/>
      <c r="R755" s="1"/>
      <c r="S755" s="1"/>
      <c r="T755" s="1"/>
      <c r="U755" s="1"/>
      <c r="V755" s="1"/>
      <c r="W755" s="1"/>
      <c r="X755" s="1"/>
      <c r="Y755" s="1"/>
      <c r="Z755" s="1"/>
      <c r="AA755" s="1"/>
      <c r="AB755" s="1"/>
      <c r="AC755" s="1"/>
      <c r="AD755" s="1"/>
      <c r="AE755" s="1"/>
      <c r="AF755" s="1"/>
      <c r="AG755" s="1"/>
      <c r="AH755" s="1"/>
      <c r="AI755" s="1"/>
      <c r="AJ755" s="1"/>
      <c r="AK755" s="1"/>
      <c r="AL755" s="1"/>
      <c r="AM755" s="1"/>
      <c r="AN755" s="1"/>
    </row>
    <row r="756" spans="1:40" ht="15.75" customHeight="1">
      <c r="A756" s="1"/>
      <c r="B756" s="1"/>
      <c r="C756" s="1"/>
      <c r="D756" s="1"/>
      <c r="E756" s="1"/>
      <c r="F756" s="1"/>
      <c r="G756" s="1"/>
      <c r="H756" s="1"/>
      <c r="I756" s="1"/>
      <c r="J756" s="1"/>
      <c r="K756" s="1"/>
      <c r="L756" s="1"/>
      <c r="M756" s="1"/>
      <c r="N756" s="1"/>
      <c r="O756" s="1"/>
      <c r="P756" s="1"/>
      <c r="Q756" s="517"/>
      <c r="R756" s="1"/>
      <c r="S756" s="1"/>
      <c r="T756" s="1"/>
      <c r="U756" s="1"/>
      <c r="V756" s="1"/>
      <c r="W756" s="1"/>
      <c r="X756" s="1"/>
      <c r="Y756" s="1"/>
      <c r="Z756" s="1"/>
      <c r="AA756" s="1"/>
      <c r="AB756" s="1"/>
      <c r="AC756" s="1"/>
      <c r="AD756" s="1"/>
      <c r="AE756" s="1"/>
      <c r="AF756" s="1"/>
      <c r="AG756" s="1"/>
      <c r="AH756" s="1"/>
      <c r="AI756" s="1"/>
      <c r="AJ756" s="1"/>
      <c r="AK756" s="1"/>
      <c r="AL756" s="1"/>
      <c r="AM756" s="1"/>
      <c r="AN756" s="1"/>
    </row>
    <row r="757" spans="1:40" ht="15.75" customHeight="1">
      <c r="A757" s="1"/>
      <c r="B757" s="1"/>
      <c r="C757" s="1"/>
      <c r="D757" s="1"/>
      <c r="E757" s="1"/>
      <c r="F757" s="1"/>
      <c r="G757" s="1"/>
      <c r="H757" s="1"/>
      <c r="I757" s="1"/>
      <c r="J757" s="1"/>
      <c r="K757" s="1"/>
      <c r="L757" s="1"/>
      <c r="M757" s="1"/>
      <c r="N757" s="1"/>
      <c r="O757" s="1"/>
      <c r="P757" s="1"/>
      <c r="Q757" s="517"/>
      <c r="R757" s="1"/>
      <c r="S757" s="1"/>
      <c r="T757" s="1"/>
      <c r="U757" s="1"/>
      <c r="V757" s="1"/>
      <c r="W757" s="1"/>
      <c r="X757" s="1"/>
      <c r="Y757" s="1"/>
      <c r="Z757" s="1"/>
      <c r="AA757" s="1"/>
      <c r="AB757" s="1"/>
      <c r="AC757" s="1"/>
      <c r="AD757" s="1"/>
      <c r="AE757" s="1"/>
      <c r="AF757" s="1"/>
      <c r="AG757" s="1"/>
      <c r="AH757" s="1"/>
      <c r="AI757" s="1"/>
      <c r="AJ757" s="1"/>
      <c r="AK757" s="1"/>
      <c r="AL757" s="1"/>
      <c r="AM757" s="1"/>
      <c r="AN757" s="1"/>
    </row>
    <row r="758" spans="1:40" ht="15.75" customHeight="1">
      <c r="A758" s="1"/>
      <c r="B758" s="1"/>
      <c r="C758" s="1"/>
      <c r="D758" s="1"/>
      <c r="E758" s="1"/>
      <c r="F758" s="1"/>
      <c r="G758" s="1"/>
      <c r="H758" s="1"/>
      <c r="I758" s="1"/>
      <c r="J758" s="1"/>
      <c r="K758" s="1"/>
      <c r="L758" s="1"/>
      <c r="M758" s="1"/>
      <c r="N758" s="1"/>
      <c r="O758" s="1"/>
      <c r="P758" s="1"/>
      <c r="Q758" s="517"/>
      <c r="R758" s="1"/>
      <c r="S758" s="1"/>
      <c r="T758" s="1"/>
      <c r="U758" s="1"/>
      <c r="V758" s="1"/>
      <c r="W758" s="1"/>
      <c r="X758" s="1"/>
      <c r="Y758" s="1"/>
      <c r="Z758" s="1"/>
      <c r="AA758" s="1"/>
      <c r="AB758" s="1"/>
      <c r="AC758" s="1"/>
      <c r="AD758" s="1"/>
      <c r="AE758" s="1"/>
      <c r="AF758" s="1"/>
      <c r="AG758" s="1"/>
      <c r="AH758" s="1"/>
      <c r="AI758" s="1"/>
      <c r="AJ758" s="1"/>
      <c r="AK758" s="1"/>
      <c r="AL758" s="1"/>
      <c r="AM758" s="1"/>
      <c r="AN758" s="1"/>
    </row>
    <row r="759" spans="1:40" ht="15.75" customHeight="1">
      <c r="A759" s="1"/>
      <c r="B759" s="1"/>
      <c r="C759" s="1"/>
      <c r="D759" s="1"/>
      <c r="E759" s="1"/>
      <c r="F759" s="1"/>
      <c r="G759" s="1"/>
      <c r="H759" s="1"/>
      <c r="I759" s="1"/>
      <c r="J759" s="1"/>
      <c r="K759" s="1"/>
      <c r="L759" s="1"/>
      <c r="M759" s="1"/>
      <c r="N759" s="1"/>
      <c r="O759" s="1"/>
      <c r="P759" s="1"/>
      <c r="Q759" s="517"/>
      <c r="R759" s="1"/>
      <c r="S759" s="1"/>
      <c r="T759" s="1"/>
      <c r="U759" s="1"/>
      <c r="V759" s="1"/>
      <c r="W759" s="1"/>
      <c r="X759" s="1"/>
      <c r="Y759" s="1"/>
      <c r="Z759" s="1"/>
      <c r="AA759" s="1"/>
      <c r="AB759" s="1"/>
      <c r="AC759" s="1"/>
      <c r="AD759" s="1"/>
      <c r="AE759" s="1"/>
      <c r="AF759" s="1"/>
      <c r="AG759" s="1"/>
      <c r="AH759" s="1"/>
      <c r="AI759" s="1"/>
      <c r="AJ759" s="1"/>
      <c r="AK759" s="1"/>
      <c r="AL759" s="1"/>
      <c r="AM759" s="1"/>
      <c r="AN759" s="1"/>
    </row>
    <row r="760" spans="1:40" ht="15.75" customHeight="1">
      <c r="A760" s="1"/>
      <c r="B760" s="1"/>
      <c r="C760" s="1"/>
      <c r="D760" s="1"/>
      <c r="E760" s="1"/>
      <c r="F760" s="1"/>
      <c r="G760" s="1"/>
      <c r="H760" s="1"/>
      <c r="I760" s="1"/>
      <c r="J760" s="1"/>
      <c r="K760" s="1"/>
      <c r="L760" s="1"/>
      <c r="M760" s="1"/>
      <c r="N760" s="1"/>
      <c r="O760" s="1"/>
      <c r="P760" s="1"/>
      <c r="Q760" s="517"/>
      <c r="R760" s="1"/>
      <c r="S760" s="1"/>
      <c r="T760" s="1"/>
      <c r="U760" s="1"/>
      <c r="V760" s="1"/>
      <c r="W760" s="1"/>
      <c r="X760" s="1"/>
      <c r="Y760" s="1"/>
      <c r="Z760" s="1"/>
      <c r="AA760" s="1"/>
      <c r="AB760" s="1"/>
      <c r="AC760" s="1"/>
      <c r="AD760" s="1"/>
      <c r="AE760" s="1"/>
      <c r="AF760" s="1"/>
      <c r="AG760" s="1"/>
      <c r="AH760" s="1"/>
      <c r="AI760" s="1"/>
      <c r="AJ760" s="1"/>
      <c r="AK760" s="1"/>
      <c r="AL760" s="1"/>
      <c r="AM760" s="1"/>
      <c r="AN760" s="1"/>
    </row>
    <row r="761" spans="1:40" ht="15.75" customHeight="1">
      <c r="A761" s="1"/>
      <c r="B761" s="1"/>
      <c r="C761" s="1"/>
      <c r="D761" s="1"/>
      <c r="E761" s="1"/>
      <c r="F761" s="1"/>
      <c r="G761" s="1"/>
      <c r="H761" s="1"/>
      <c r="I761" s="1"/>
      <c r="J761" s="1"/>
      <c r="K761" s="1"/>
      <c r="L761" s="1"/>
      <c r="M761" s="1"/>
      <c r="N761" s="1"/>
      <c r="O761" s="1"/>
      <c r="P761" s="1"/>
      <c r="Q761" s="517"/>
      <c r="R761" s="1"/>
      <c r="S761" s="1"/>
      <c r="T761" s="1"/>
      <c r="U761" s="1"/>
      <c r="V761" s="1"/>
      <c r="W761" s="1"/>
      <c r="X761" s="1"/>
      <c r="Y761" s="1"/>
      <c r="Z761" s="1"/>
      <c r="AA761" s="1"/>
      <c r="AB761" s="1"/>
      <c r="AC761" s="1"/>
      <c r="AD761" s="1"/>
      <c r="AE761" s="1"/>
      <c r="AF761" s="1"/>
      <c r="AG761" s="1"/>
      <c r="AH761" s="1"/>
      <c r="AI761" s="1"/>
      <c r="AJ761" s="1"/>
      <c r="AK761" s="1"/>
      <c r="AL761" s="1"/>
      <c r="AM761" s="1"/>
      <c r="AN761" s="1"/>
    </row>
    <row r="762" spans="1:40" ht="15.75" customHeight="1">
      <c r="A762" s="1"/>
      <c r="B762" s="1"/>
      <c r="C762" s="1"/>
      <c r="D762" s="1"/>
      <c r="E762" s="1"/>
      <c r="F762" s="1"/>
      <c r="G762" s="1"/>
      <c r="H762" s="1"/>
      <c r="I762" s="1"/>
      <c r="J762" s="1"/>
      <c r="K762" s="1"/>
      <c r="L762" s="1"/>
      <c r="M762" s="1"/>
      <c r="N762" s="1"/>
      <c r="O762" s="1"/>
      <c r="P762" s="1"/>
      <c r="Q762" s="517"/>
      <c r="R762" s="1"/>
      <c r="S762" s="1"/>
      <c r="T762" s="1"/>
      <c r="U762" s="1"/>
      <c r="V762" s="1"/>
      <c r="W762" s="1"/>
      <c r="X762" s="1"/>
      <c r="Y762" s="1"/>
      <c r="Z762" s="1"/>
      <c r="AA762" s="1"/>
      <c r="AB762" s="1"/>
      <c r="AC762" s="1"/>
      <c r="AD762" s="1"/>
      <c r="AE762" s="1"/>
      <c r="AF762" s="1"/>
      <c r="AG762" s="1"/>
      <c r="AH762" s="1"/>
      <c r="AI762" s="1"/>
      <c r="AJ762" s="1"/>
      <c r="AK762" s="1"/>
      <c r="AL762" s="1"/>
      <c r="AM762" s="1"/>
      <c r="AN762" s="1"/>
    </row>
    <row r="763" spans="1:40" ht="15.75" customHeight="1">
      <c r="A763" s="1"/>
      <c r="B763" s="1"/>
      <c r="C763" s="1"/>
      <c r="D763" s="1"/>
      <c r="E763" s="1"/>
      <c r="F763" s="1"/>
      <c r="G763" s="1"/>
      <c r="H763" s="1"/>
      <c r="I763" s="1"/>
      <c r="J763" s="1"/>
      <c r="K763" s="1"/>
      <c r="L763" s="1"/>
      <c r="M763" s="1"/>
      <c r="N763" s="1"/>
      <c r="O763" s="1"/>
      <c r="P763" s="1"/>
      <c r="Q763" s="517"/>
      <c r="R763" s="1"/>
      <c r="S763" s="1"/>
      <c r="T763" s="1"/>
      <c r="U763" s="1"/>
      <c r="V763" s="1"/>
      <c r="W763" s="1"/>
      <c r="X763" s="1"/>
      <c r="Y763" s="1"/>
      <c r="Z763" s="1"/>
      <c r="AA763" s="1"/>
      <c r="AB763" s="1"/>
      <c r="AC763" s="1"/>
      <c r="AD763" s="1"/>
      <c r="AE763" s="1"/>
      <c r="AF763" s="1"/>
      <c r="AG763" s="1"/>
      <c r="AH763" s="1"/>
      <c r="AI763" s="1"/>
      <c r="AJ763" s="1"/>
      <c r="AK763" s="1"/>
      <c r="AL763" s="1"/>
      <c r="AM763" s="1"/>
      <c r="AN763" s="1"/>
    </row>
    <row r="764" spans="1:40" ht="15.75" customHeight="1">
      <c r="A764" s="1"/>
      <c r="B764" s="1"/>
      <c r="C764" s="1"/>
      <c r="D764" s="1"/>
      <c r="E764" s="1"/>
      <c r="F764" s="1"/>
      <c r="G764" s="1"/>
      <c r="H764" s="1"/>
      <c r="I764" s="1"/>
      <c r="J764" s="1"/>
      <c r="K764" s="1"/>
      <c r="L764" s="1"/>
      <c r="M764" s="1"/>
      <c r="N764" s="1"/>
      <c r="O764" s="1"/>
      <c r="P764" s="1"/>
      <c r="Q764" s="517"/>
      <c r="R764" s="1"/>
      <c r="S764" s="1"/>
      <c r="T764" s="1"/>
      <c r="U764" s="1"/>
      <c r="V764" s="1"/>
      <c r="W764" s="1"/>
      <c r="X764" s="1"/>
      <c r="Y764" s="1"/>
      <c r="Z764" s="1"/>
      <c r="AA764" s="1"/>
      <c r="AB764" s="1"/>
      <c r="AC764" s="1"/>
      <c r="AD764" s="1"/>
      <c r="AE764" s="1"/>
      <c r="AF764" s="1"/>
      <c r="AG764" s="1"/>
      <c r="AH764" s="1"/>
      <c r="AI764" s="1"/>
      <c r="AJ764" s="1"/>
      <c r="AK764" s="1"/>
      <c r="AL764" s="1"/>
      <c r="AM764" s="1"/>
      <c r="AN764" s="1"/>
    </row>
    <row r="765" spans="1:40" ht="15.75" customHeight="1">
      <c r="A765" s="1"/>
      <c r="B765" s="1"/>
      <c r="C765" s="1"/>
      <c r="D765" s="1"/>
      <c r="E765" s="1"/>
      <c r="F765" s="1"/>
      <c r="G765" s="1"/>
      <c r="H765" s="1"/>
      <c r="I765" s="1"/>
      <c r="J765" s="1"/>
      <c r="K765" s="1"/>
      <c r="L765" s="1"/>
      <c r="M765" s="1"/>
      <c r="N765" s="1"/>
      <c r="O765" s="1"/>
      <c r="P765" s="1"/>
      <c r="Q765" s="517"/>
      <c r="R765" s="1"/>
      <c r="S765" s="1"/>
      <c r="T765" s="1"/>
      <c r="U765" s="1"/>
      <c r="V765" s="1"/>
      <c r="W765" s="1"/>
      <c r="X765" s="1"/>
      <c r="Y765" s="1"/>
      <c r="Z765" s="1"/>
      <c r="AA765" s="1"/>
      <c r="AB765" s="1"/>
      <c r="AC765" s="1"/>
      <c r="AD765" s="1"/>
      <c r="AE765" s="1"/>
      <c r="AF765" s="1"/>
      <c r="AG765" s="1"/>
      <c r="AH765" s="1"/>
      <c r="AI765" s="1"/>
      <c r="AJ765" s="1"/>
      <c r="AK765" s="1"/>
      <c r="AL765" s="1"/>
      <c r="AM765" s="1"/>
      <c r="AN765" s="1"/>
    </row>
    <row r="766" spans="1:40" ht="15.75" customHeight="1">
      <c r="A766" s="1"/>
      <c r="B766" s="1"/>
      <c r="C766" s="1"/>
      <c r="D766" s="1"/>
      <c r="E766" s="1"/>
      <c r="F766" s="1"/>
      <c r="G766" s="1"/>
      <c r="H766" s="1"/>
      <c r="I766" s="1"/>
      <c r="J766" s="1"/>
      <c r="K766" s="1"/>
      <c r="L766" s="1"/>
      <c r="M766" s="1"/>
      <c r="N766" s="1"/>
      <c r="O766" s="1"/>
      <c r="P766" s="1"/>
      <c r="Q766" s="517"/>
      <c r="R766" s="1"/>
      <c r="S766" s="1"/>
      <c r="T766" s="1"/>
      <c r="U766" s="1"/>
      <c r="V766" s="1"/>
      <c r="W766" s="1"/>
      <c r="X766" s="1"/>
      <c r="Y766" s="1"/>
      <c r="Z766" s="1"/>
      <c r="AA766" s="1"/>
      <c r="AB766" s="1"/>
      <c r="AC766" s="1"/>
      <c r="AD766" s="1"/>
      <c r="AE766" s="1"/>
      <c r="AF766" s="1"/>
      <c r="AG766" s="1"/>
      <c r="AH766" s="1"/>
      <c r="AI766" s="1"/>
      <c r="AJ766" s="1"/>
      <c r="AK766" s="1"/>
      <c r="AL766" s="1"/>
      <c r="AM766" s="1"/>
      <c r="AN766" s="1"/>
    </row>
    <row r="767" spans="1:40" ht="15.75" customHeight="1">
      <c r="A767" s="1"/>
      <c r="B767" s="1"/>
      <c r="C767" s="1"/>
      <c r="D767" s="1"/>
      <c r="E767" s="1"/>
      <c r="F767" s="1"/>
      <c r="G767" s="1"/>
      <c r="H767" s="1"/>
      <c r="I767" s="1"/>
      <c r="J767" s="1"/>
      <c r="K767" s="1"/>
      <c r="L767" s="1"/>
      <c r="M767" s="1"/>
      <c r="N767" s="1"/>
      <c r="O767" s="1"/>
      <c r="P767" s="1"/>
      <c r="Q767" s="517"/>
      <c r="R767" s="1"/>
      <c r="S767" s="1"/>
      <c r="T767" s="1"/>
      <c r="U767" s="1"/>
      <c r="V767" s="1"/>
      <c r="W767" s="1"/>
      <c r="X767" s="1"/>
      <c r="Y767" s="1"/>
      <c r="Z767" s="1"/>
      <c r="AA767" s="1"/>
      <c r="AB767" s="1"/>
      <c r="AC767" s="1"/>
      <c r="AD767" s="1"/>
      <c r="AE767" s="1"/>
      <c r="AF767" s="1"/>
      <c r="AG767" s="1"/>
      <c r="AH767" s="1"/>
      <c r="AI767" s="1"/>
      <c r="AJ767" s="1"/>
      <c r="AK767" s="1"/>
      <c r="AL767" s="1"/>
      <c r="AM767" s="1"/>
      <c r="AN767" s="1"/>
    </row>
    <row r="768" spans="1:40" ht="15.75" customHeight="1">
      <c r="A768" s="1"/>
      <c r="B768" s="1"/>
      <c r="C768" s="1"/>
      <c r="D768" s="1"/>
      <c r="E768" s="1"/>
      <c r="F768" s="1"/>
      <c r="G768" s="1"/>
      <c r="H768" s="1"/>
      <c r="I768" s="1"/>
      <c r="J768" s="1"/>
      <c r="K768" s="1"/>
      <c r="L768" s="1"/>
      <c r="M768" s="1"/>
      <c r="N768" s="1"/>
      <c r="O768" s="1"/>
      <c r="P768" s="1"/>
      <c r="Q768" s="517"/>
      <c r="R768" s="1"/>
      <c r="S768" s="1"/>
      <c r="T768" s="1"/>
      <c r="U768" s="1"/>
      <c r="V768" s="1"/>
      <c r="W768" s="1"/>
      <c r="X768" s="1"/>
      <c r="Y768" s="1"/>
      <c r="Z768" s="1"/>
      <c r="AA768" s="1"/>
      <c r="AB768" s="1"/>
      <c r="AC768" s="1"/>
      <c r="AD768" s="1"/>
      <c r="AE768" s="1"/>
      <c r="AF768" s="1"/>
      <c r="AG768" s="1"/>
      <c r="AH768" s="1"/>
      <c r="AI768" s="1"/>
      <c r="AJ768" s="1"/>
      <c r="AK768" s="1"/>
      <c r="AL768" s="1"/>
      <c r="AM768" s="1"/>
      <c r="AN768" s="1"/>
    </row>
    <row r="769" spans="1:40" ht="15.75" customHeight="1">
      <c r="A769" s="1"/>
      <c r="B769" s="1"/>
      <c r="C769" s="1"/>
      <c r="D769" s="1"/>
      <c r="E769" s="1"/>
      <c r="F769" s="1"/>
      <c r="G769" s="1"/>
      <c r="H769" s="1"/>
      <c r="I769" s="1"/>
      <c r="J769" s="1"/>
      <c r="K769" s="1"/>
      <c r="L769" s="1"/>
      <c r="M769" s="1"/>
      <c r="N769" s="1"/>
      <c r="O769" s="1"/>
      <c r="P769" s="1"/>
      <c r="Q769" s="517"/>
      <c r="R769" s="1"/>
      <c r="S769" s="1"/>
      <c r="T769" s="1"/>
      <c r="U769" s="1"/>
      <c r="V769" s="1"/>
      <c r="W769" s="1"/>
      <c r="X769" s="1"/>
      <c r="Y769" s="1"/>
      <c r="Z769" s="1"/>
      <c r="AA769" s="1"/>
      <c r="AB769" s="1"/>
      <c r="AC769" s="1"/>
      <c r="AD769" s="1"/>
      <c r="AE769" s="1"/>
      <c r="AF769" s="1"/>
      <c r="AG769" s="1"/>
      <c r="AH769" s="1"/>
      <c r="AI769" s="1"/>
      <c r="AJ769" s="1"/>
      <c r="AK769" s="1"/>
      <c r="AL769" s="1"/>
      <c r="AM769" s="1"/>
      <c r="AN769" s="1"/>
    </row>
    <row r="770" spans="1:40" ht="15.75" customHeight="1">
      <c r="A770" s="1"/>
      <c r="B770" s="1"/>
      <c r="C770" s="1"/>
      <c r="D770" s="1"/>
      <c r="E770" s="1"/>
      <c r="F770" s="1"/>
      <c r="G770" s="1"/>
      <c r="H770" s="1"/>
      <c r="I770" s="1"/>
      <c r="J770" s="1"/>
      <c r="K770" s="1"/>
      <c r="L770" s="1"/>
      <c r="M770" s="1"/>
      <c r="N770" s="1"/>
      <c r="O770" s="1"/>
      <c r="P770" s="1"/>
      <c r="Q770" s="517"/>
      <c r="R770" s="1"/>
      <c r="S770" s="1"/>
      <c r="T770" s="1"/>
      <c r="U770" s="1"/>
      <c r="V770" s="1"/>
      <c r="W770" s="1"/>
      <c r="X770" s="1"/>
      <c r="Y770" s="1"/>
      <c r="Z770" s="1"/>
      <c r="AA770" s="1"/>
      <c r="AB770" s="1"/>
      <c r="AC770" s="1"/>
      <c r="AD770" s="1"/>
      <c r="AE770" s="1"/>
      <c r="AF770" s="1"/>
      <c r="AG770" s="1"/>
      <c r="AH770" s="1"/>
      <c r="AI770" s="1"/>
      <c r="AJ770" s="1"/>
      <c r="AK770" s="1"/>
      <c r="AL770" s="1"/>
      <c r="AM770" s="1"/>
      <c r="AN770" s="1"/>
    </row>
    <row r="771" spans="1:40" ht="15.75" customHeight="1">
      <c r="A771" s="1"/>
      <c r="B771" s="1"/>
      <c r="C771" s="1"/>
      <c r="D771" s="1"/>
      <c r="E771" s="1"/>
      <c r="F771" s="1"/>
      <c r="G771" s="1"/>
      <c r="H771" s="1"/>
      <c r="I771" s="1"/>
      <c r="J771" s="1"/>
      <c r="K771" s="1"/>
      <c r="L771" s="1"/>
      <c r="M771" s="1"/>
      <c r="N771" s="1"/>
      <c r="O771" s="1"/>
      <c r="P771" s="1"/>
      <c r="Q771" s="517"/>
      <c r="R771" s="1"/>
      <c r="S771" s="1"/>
      <c r="T771" s="1"/>
      <c r="U771" s="1"/>
      <c r="V771" s="1"/>
      <c r="W771" s="1"/>
      <c r="X771" s="1"/>
      <c r="Y771" s="1"/>
      <c r="Z771" s="1"/>
      <c r="AA771" s="1"/>
      <c r="AB771" s="1"/>
      <c r="AC771" s="1"/>
      <c r="AD771" s="1"/>
      <c r="AE771" s="1"/>
      <c r="AF771" s="1"/>
      <c r="AG771" s="1"/>
      <c r="AH771" s="1"/>
      <c r="AI771" s="1"/>
      <c r="AJ771" s="1"/>
      <c r="AK771" s="1"/>
      <c r="AL771" s="1"/>
      <c r="AM771" s="1"/>
      <c r="AN771" s="1"/>
    </row>
    <row r="772" spans="1:40" ht="15.75" customHeight="1">
      <c r="A772" s="1"/>
      <c r="B772" s="1"/>
      <c r="C772" s="1"/>
      <c r="D772" s="1"/>
      <c r="E772" s="1"/>
      <c r="F772" s="1"/>
      <c r="G772" s="1"/>
      <c r="H772" s="1"/>
      <c r="I772" s="1"/>
      <c r="J772" s="1"/>
      <c r="K772" s="1"/>
      <c r="L772" s="1"/>
      <c r="M772" s="1"/>
      <c r="N772" s="1"/>
      <c r="O772" s="1"/>
      <c r="P772" s="1"/>
      <c r="Q772" s="517"/>
      <c r="R772" s="1"/>
      <c r="S772" s="1"/>
      <c r="T772" s="1"/>
      <c r="U772" s="1"/>
      <c r="V772" s="1"/>
      <c r="W772" s="1"/>
      <c r="X772" s="1"/>
      <c r="Y772" s="1"/>
      <c r="Z772" s="1"/>
      <c r="AA772" s="1"/>
      <c r="AB772" s="1"/>
      <c r="AC772" s="1"/>
      <c r="AD772" s="1"/>
      <c r="AE772" s="1"/>
      <c r="AF772" s="1"/>
      <c r="AG772" s="1"/>
      <c r="AH772" s="1"/>
      <c r="AI772" s="1"/>
      <c r="AJ772" s="1"/>
      <c r="AK772" s="1"/>
      <c r="AL772" s="1"/>
      <c r="AM772" s="1"/>
      <c r="AN772" s="1"/>
    </row>
    <row r="773" spans="1:40" ht="15.75" customHeight="1">
      <c r="A773" s="1"/>
      <c r="B773" s="1"/>
      <c r="C773" s="1"/>
      <c r="D773" s="1"/>
      <c r="E773" s="1"/>
      <c r="F773" s="1"/>
      <c r="G773" s="1"/>
      <c r="H773" s="1"/>
      <c r="I773" s="1"/>
      <c r="J773" s="1"/>
      <c r="K773" s="1"/>
      <c r="L773" s="1"/>
      <c r="M773" s="1"/>
      <c r="N773" s="1"/>
      <c r="O773" s="1"/>
      <c r="P773" s="1"/>
      <c r="Q773" s="517"/>
      <c r="R773" s="1"/>
      <c r="S773" s="1"/>
      <c r="T773" s="1"/>
      <c r="U773" s="1"/>
      <c r="V773" s="1"/>
      <c r="W773" s="1"/>
      <c r="X773" s="1"/>
      <c r="Y773" s="1"/>
      <c r="Z773" s="1"/>
      <c r="AA773" s="1"/>
      <c r="AB773" s="1"/>
      <c r="AC773" s="1"/>
      <c r="AD773" s="1"/>
      <c r="AE773" s="1"/>
      <c r="AF773" s="1"/>
      <c r="AG773" s="1"/>
      <c r="AH773" s="1"/>
      <c r="AI773" s="1"/>
      <c r="AJ773" s="1"/>
      <c r="AK773" s="1"/>
      <c r="AL773" s="1"/>
      <c r="AM773" s="1"/>
      <c r="AN773" s="1"/>
    </row>
    <row r="774" spans="1:40" ht="15.75" customHeight="1">
      <c r="A774" s="1"/>
      <c r="B774" s="1"/>
      <c r="C774" s="1"/>
      <c r="D774" s="1"/>
      <c r="E774" s="1"/>
      <c r="F774" s="1"/>
      <c r="G774" s="1"/>
      <c r="H774" s="1"/>
      <c r="I774" s="1"/>
      <c r="J774" s="1"/>
      <c r="K774" s="1"/>
      <c r="L774" s="1"/>
      <c r="M774" s="1"/>
      <c r="N774" s="1"/>
      <c r="O774" s="1"/>
      <c r="P774" s="1"/>
      <c r="Q774" s="517"/>
      <c r="R774" s="1"/>
      <c r="S774" s="1"/>
      <c r="T774" s="1"/>
      <c r="U774" s="1"/>
      <c r="V774" s="1"/>
      <c r="W774" s="1"/>
      <c r="X774" s="1"/>
      <c r="Y774" s="1"/>
      <c r="Z774" s="1"/>
      <c r="AA774" s="1"/>
      <c r="AB774" s="1"/>
      <c r="AC774" s="1"/>
      <c r="AD774" s="1"/>
      <c r="AE774" s="1"/>
      <c r="AF774" s="1"/>
      <c r="AG774" s="1"/>
      <c r="AH774" s="1"/>
      <c r="AI774" s="1"/>
      <c r="AJ774" s="1"/>
      <c r="AK774" s="1"/>
      <c r="AL774" s="1"/>
      <c r="AM774" s="1"/>
      <c r="AN774" s="1"/>
    </row>
    <row r="775" spans="1:40" ht="15.75" customHeight="1">
      <c r="A775" s="1"/>
      <c r="B775" s="1"/>
      <c r="C775" s="1"/>
      <c r="D775" s="1"/>
      <c r="E775" s="1"/>
      <c r="F775" s="1"/>
      <c r="G775" s="1"/>
      <c r="H775" s="1"/>
      <c r="I775" s="1"/>
      <c r="J775" s="1"/>
      <c r="K775" s="1"/>
      <c r="L775" s="1"/>
      <c r="M775" s="1"/>
      <c r="N775" s="1"/>
      <c r="O775" s="1"/>
      <c r="P775" s="1"/>
      <c r="Q775" s="517"/>
      <c r="R775" s="1"/>
      <c r="S775" s="1"/>
      <c r="T775" s="1"/>
      <c r="U775" s="1"/>
      <c r="V775" s="1"/>
      <c r="W775" s="1"/>
      <c r="X775" s="1"/>
      <c r="Y775" s="1"/>
      <c r="Z775" s="1"/>
      <c r="AA775" s="1"/>
      <c r="AB775" s="1"/>
      <c r="AC775" s="1"/>
      <c r="AD775" s="1"/>
      <c r="AE775" s="1"/>
      <c r="AF775" s="1"/>
      <c r="AG775" s="1"/>
      <c r="AH775" s="1"/>
      <c r="AI775" s="1"/>
      <c r="AJ775" s="1"/>
      <c r="AK775" s="1"/>
      <c r="AL775" s="1"/>
      <c r="AM775" s="1"/>
      <c r="AN775" s="1"/>
    </row>
    <row r="776" spans="1:40" ht="15.75" customHeight="1">
      <c r="A776" s="1"/>
      <c r="B776" s="1"/>
      <c r="C776" s="1"/>
      <c r="D776" s="1"/>
      <c r="E776" s="1"/>
      <c r="F776" s="1"/>
      <c r="G776" s="1"/>
      <c r="H776" s="1"/>
      <c r="I776" s="1"/>
      <c r="J776" s="1"/>
      <c r="K776" s="1"/>
      <c r="L776" s="1"/>
      <c r="M776" s="1"/>
      <c r="N776" s="1"/>
      <c r="O776" s="1"/>
      <c r="P776" s="1"/>
      <c r="Q776" s="517"/>
      <c r="R776" s="1"/>
      <c r="S776" s="1"/>
      <c r="T776" s="1"/>
      <c r="U776" s="1"/>
      <c r="V776" s="1"/>
      <c r="W776" s="1"/>
      <c r="X776" s="1"/>
      <c r="Y776" s="1"/>
      <c r="Z776" s="1"/>
      <c r="AA776" s="1"/>
      <c r="AB776" s="1"/>
      <c r="AC776" s="1"/>
      <c r="AD776" s="1"/>
      <c r="AE776" s="1"/>
      <c r="AF776" s="1"/>
      <c r="AG776" s="1"/>
      <c r="AH776" s="1"/>
      <c r="AI776" s="1"/>
      <c r="AJ776" s="1"/>
      <c r="AK776" s="1"/>
      <c r="AL776" s="1"/>
      <c r="AM776" s="1"/>
      <c r="AN776" s="1"/>
    </row>
    <row r="777" spans="1:40" ht="15.75" customHeight="1">
      <c r="A777" s="1"/>
      <c r="B777" s="1"/>
      <c r="C777" s="1"/>
      <c r="D777" s="1"/>
      <c r="E777" s="1"/>
      <c r="F777" s="1"/>
      <c r="G777" s="1"/>
      <c r="H777" s="1"/>
      <c r="I777" s="1"/>
      <c r="J777" s="1"/>
      <c r="K777" s="1"/>
      <c r="L777" s="1"/>
      <c r="M777" s="1"/>
      <c r="N777" s="1"/>
      <c r="O777" s="1"/>
      <c r="P777" s="1"/>
      <c r="Q777" s="517"/>
      <c r="R777" s="1"/>
      <c r="S777" s="1"/>
      <c r="T777" s="1"/>
      <c r="U777" s="1"/>
      <c r="V777" s="1"/>
      <c r="W777" s="1"/>
      <c r="X777" s="1"/>
      <c r="Y777" s="1"/>
      <c r="Z777" s="1"/>
      <c r="AA777" s="1"/>
      <c r="AB777" s="1"/>
      <c r="AC777" s="1"/>
      <c r="AD777" s="1"/>
      <c r="AE777" s="1"/>
      <c r="AF777" s="1"/>
      <c r="AG777" s="1"/>
      <c r="AH777" s="1"/>
      <c r="AI777" s="1"/>
      <c r="AJ777" s="1"/>
      <c r="AK777" s="1"/>
      <c r="AL777" s="1"/>
      <c r="AM777" s="1"/>
      <c r="AN777" s="1"/>
    </row>
    <row r="778" spans="1:40" ht="15.75" customHeight="1">
      <c r="A778" s="1"/>
      <c r="B778" s="1"/>
      <c r="C778" s="1"/>
      <c r="D778" s="1"/>
      <c r="E778" s="1"/>
      <c r="F778" s="1"/>
      <c r="G778" s="1"/>
      <c r="H778" s="1"/>
      <c r="I778" s="1"/>
      <c r="J778" s="1"/>
      <c r="K778" s="1"/>
      <c r="L778" s="1"/>
      <c r="M778" s="1"/>
      <c r="N778" s="1"/>
      <c r="O778" s="1"/>
      <c r="P778" s="1"/>
      <c r="Q778" s="517"/>
      <c r="R778" s="1"/>
      <c r="S778" s="1"/>
      <c r="T778" s="1"/>
      <c r="U778" s="1"/>
      <c r="V778" s="1"/>
      <c r="W778" s="1"/>
      <c r="X778" s="1"/>
      <c r="Y778" s="1"/>
      <c r="Z778" s="1"/>
      <c r="AA778" s="1"/>
      <c r="AB778" s="1"/>
      <c r="AC778" s="1"/>
      <c r="AD778" s="1"/>
      <c r="AE778" s="1"/>
      <c r="AF778" s="1"/>
      <c r="AG778" s="1"/>
      <c r="AH778" s="1"/>
      <c r="AI778" s="1"/>
      <c r="AJ778" s="1"/>
      <c r="AK778" s="1"/>
      <c r="AL778" s="1"/>
      <c r="AM778" s="1"/>
      <c r="AN778" s="1"/>
    </row>
    <row r="779" spans="1:40" ht="15.75" customHeight="1">
      <c r="A779" s="1"/>
      <c r="B779" s="1"/>
      <c r="C779" s="1"/>
      <c r="D779" s="1"/>
      <c r="E779" s="1"/>
      <c r="F779" s="1"/>
      <c r="G779" s="1"/>
      <c r="H779" s="1"/>
      <c r="I779" s="1"/>
      <c r="J779" s="1"/>
      <c r="K779" s="1"/>
      <c r="L779" s="1"/>
      <c r="M779" s="1"/>
      <c r="N779" s="1"/>
      <c r="O779" s="1"/>
      <c r="P779" s="1"/>
      <c r="Q779" s="517"/>
      <c r="R779" s="1"/>
      <c r="S779" s="1"/>
      <c r="T779" s="1"/>
      <c r="U779" s="1"/>
      <c r="V779" s="1"/>
      <c r="W779" s="1"/>
      <c r="X779" s="1"/>
      <c r="Y779" s="1"/>
      <c r="Z779" s="1"/>
      <c r="AA779" s="1"/>
      <c r="AB779" s="1"/>
      <c r="AC779" s="1"/>
      <c r="AD779" s="1"/>
      <c r="AE779" s="1"/>
      <c r="AF779" s="1"/>
      <c r="AG779" s="1"/>
      <c r="AH779" s="1"/>
      <c r="AI779" s="1"/>
      <c r="AJ779" s="1"/>
      <c r="AK779" s="1"/>
      <c r="AL779" s="1"/>
      <c r="AM779" s="1"/>
      <c r="AN779" s="1"/>
    </row>
    <row r="780" spans="1:40" ht="15.75" customHeight="1">
      <c r="A780" s="1"/>
      <c r="B780" s="1"/>
      <c r="C780" s="1"/>
      <c r="D780" s="1"/>
      <c r="E780" s="1"/>
      <c r="F780" s="1"/>
      <c r="G780" s="1"/>
      <c r="H780" s="1"/>
      <c r="I780" s="1"/>
      <c r="J780" s="1"/>
      <c r="K780" s="1"/>
      <c r="L780" s="1"/>
      <c r="M780" s="1"/>
      <c r="N780" s="1"/>
      <c r="O780" s="1"/>
      <c r="P780" s="1"/>
      <c r="Q780" s="517"/>
      <c r="R780" s="1"/>
      <c r="S780" s="1"/>
      <c r="T780" s="1"/>
      <c r="U780" s="1"/>
      <c r="V780" s="1"/>
      <c r="W780" s="1"/>
      <c r="X780" s="1"/>
      <c r="Y780" s="1"/>
      <c r="Z780" s="1"/>
      <c r="AA780" s="1"/>
      <c r="AB780" s="1"/>
      <c r="AC780" s="1"/>
      <c r="AD780" s="1"/>
      <c r="AE780" s="1"/>
      <c r="AF780" s="1"/>
      <c r="AG780" s="1"/>
      <c r="AH780" s="1"/>
      <c r="AI780" s="1"/>
      <c r="AJ780" s="1"/>
      <c r="AK780" s="1"/>
      <c r="AL780" s="1"/>
      <c r="AM780" s="1"/>
      <c r="AN780" s="1"/>
    </row>
    <row r="781" spans="1:40" ht="15.75" customHeight="1">
      <c r="A781" s="1"/>
      <c r="B781" s="1"/>
      <c r="C781" s="1"/>
      <c r="D781" s="1"/>
      <c r="E781" s="1"/>
      <c r="F781" s="1"/>
      <c r="G781" s="1"/>
      <c r="H781" s="1"/>
      <c r="I781" s="1"/>
      <c r="J781" s="1"/>
      <c r="K781" s="1"/>
      <c r="L781" s="1"/>
      <c r="M781" s="1"/>
      <c r="N781" s="1"/>
      <c r="O781" s="1"/>
      <c r="P781" s="1"/>
      <c r="Q781" s="517"/>
      <c r="R781" s="1"/>
      <c r="S781" s="1"/>
      <c r="T781" s="1"/>
      <c r="U781" s="1"/>
      <c r="V781" s="1"/>
      <c r="W781" s="1"/>
      <c r="X781" s="1"/>
      <c r="Y781" s="1"/>
      <c r="Z781" s="1"/>
      <c r="AA781" s="1"/>
      <c r="AB781" s="1"/>
      <c r="AC781" s="1"/>
      <c r="AD781" s="1"/>
      <c r="AE781" s="1"/>
      <c r="AF781" s="1"/>
      <c r="AG781" s="1"/>
      <c r="AH781" s="1"/>
      <c r="AI781" s="1"/>
      <c r="AJ781" s="1"/>
      <c r="AK781" s="1"/>
      <c r="AL781" s="1"/>
      <c r="AM781" s="1"/>
      <c r="AN781" s="1"/>
    </row>
    <row r="782" spans="1:40" ht="15.75" customHeight="1">
      <c r="A782" s="1"/>
      <c r="B782" s="1"/>
      <c r="C782" s="1"/>
      <c r="D782" s="1"/>
      <c r="E782" s="1"/>
      <c r="F782" s="1"/>
      <c r="G782" s="1"/>
      <c r="H782" s="1"/>
      <c r="I782" s="1"/>
      <c r="J782" s="1"/>
      <c r="K782" s="1"/>
      <c r="L782" s="1"/>
      <c r="M782" s="1"/>
      <c r="N782" s="1"/>
      <c r="O782" s="1"/>
      <c r="P782" s="1"/>
      <c r="Q782" s="517"/>
      <c r="R782" s="1"/>
      <c r="S782" s="1"/>
      <c r="T782" s="1"/>
      <c r="U782" s="1"/>
      <c r="V782" s="1"/>
      <c r="W782" s="1"/>
      <c r="X782" s="1"/>
      <c r="Y782" s="1"/>
      <c r="Z782" s="1"/>
      <c r="AA782" s="1"/>
      <c r="AB782" s="1"/>
      <c r="AC782" s="1"/>
      <c r="AD782" s="1"/>
      <c r="AE782" s="1"/>
      <c r="AF782" s="1"/>
      <c r="AG782" s="1"/>
      <c r="AH782" s="1"/>
      <c r="AI782" s="1"/>
      <c r="AJ782" s="1"/>
      <c r="AK782" s="1"/>
      <c r="AL782" s="1"/>
      <c r="AM782" s="1"/>
      <c r="AN782" s="1"/>
    </row>
    <row r="783" spans="1:40" ht="15.75" customHeight="1">
      <c r="A783" s="1"/>
      <c r="B783" s="1"/>
      <c r="C783" s="1"/>
      <c r="D783" s="1"/>
      <c r="E783" s="1"/>
      <c r="F783" s="1"/>
      <c r="G783" s="1"/>
      <c r="H783" s="1"/>
      <c r="I783" s="1"/>
      <c r="J783" s="1"/>
      <c r="K783" s="1"/>
      <c r="L783" s="1"/>
      <c r="M783" s="1"/>
      <c r="N783" s="1"/>
      <c r="O783" s="1"/>
      <c r="P783" s="1"/>
      <c r="Q783" s="517"/>
      <c r="R783" s="1"/>
      <c r="S783" s="1"/>
      <c r="T783" s="1"/>
      <c r="U783" s="1"/>
      <c r="V783" s="1"/>
      <c r="W783" s="1"/>
      <c r="X783" s="1"/>
      <c r="Y783" s="1"/>
      <c r="Z783" s="1"/>
      <c r="AA783" s="1"/>
      <c r="AB783" s="1"/>
      <c r="AC783" s="1"/>
      <c r="AD783" s="1"/>
      <c r="AE783" s="1"/>
      <c r="AF783" s="1"/>
      <c r="AG783" s="1"/>
      <c r="AH783" s="1"/>
      <c r="AI783" s="1"/>
      <c r="AJ783" s="1"/>
      <c r="AK783" s="1"/>
      <c r="AL783" s="1"/>
      <c r="AM783" s="1"/>
      <c r="AN783" s="1"/>
    </row>
    <row r="784" spans="1:40" ht="15.75" customHeight="1">
      <c r="A784" s="1"/>
      <c r="B784" s="1"/>
      <c r="C784" s="1"/>
      <c r="D784" s="1"/>
      <c r="E784" s="1"/>
      <c r="F784" s="1"/>
      <c r="G784" s="1"/>
      <c r="H784" s="1"/>
      <c r="I784" s="1"/>
      <c r="J784" s="1"/>
      <c r="K784" s="1"/>
      <c r="L784" s="1"/>
      <c r="M784" s="1"/>
      <c r="N784" s="1"/>
      <c r="O784" s="1"/>
      <c r="P784" s="1"/>
      <c r="Q784" s="517"/>
      <c r="R784" s="1"/>
      <c r="S784" s="1"/>
      <c r="T784" s="1"/>
      <c r="U784" s="1"/>
      <c r="V784" s="1"/>
      <c r="W784" s="1"/>
      <c r="X784" s="1"/>
      <c r="Y784" s="1"/>
      <c r="Z784" s="1"/>
      <c r="AA784" s="1"/>
      <c r="AB784" s="1"/>
      <c r="AC784" s="1"/>
      <c r="AD784" s="1"/>
      <c r="AE784" s="1"/>
      <c r="AF784" s="1"/>
      <c r="AG784" s="1"/>
      <c r="AH784" s="1"/>
      <c r="AI784" s="1"/>
      <c r="AJ784" s="1"/>
      <c r="AK784" s="1"/>
      <c r="AL784" s="1"/>
      <c r="AM784" s="1"/>
      <c r="AN784" s="1"/>
    </row>
    <row r="785" spans="1:40" ht="15.75" customHeight="1">
      <c r="A785" s="1"/>
      <c r="B785" s="1"/>
      <c r="C785" s="1"/>
      <c r="D785" s="1"/>
      <c r="E785" s="1"/>
      <c r="F785" s="1"/>
      <c r="G785" s="1"/>
      <c r="H785" s="1"/>
      <c r="I785" s="1"/>
      <c r="J785" s="1"/>
      <c r="K785" s="1"/>
      <c r="L785" s="1"/>
      <c r="M785" s="1"/>
      <c r="N785" s="1"/>
      <c r="O785" s="1"/>
      <c r="P785" s="1"/>
      <c r="Q785" s="517"/>
      <c r="R785" s="1"/>
      <c r="S785" s="1"/>
      <c r="T785" s="1"/>
      <c r="U785" s="1"/>
      <c r="V785" s="1"/>
      <c r="W785" s="1"/>
      <c r="X785" s="1"/>
      <c r="Y785" s="1"/>
      <c r="Z785" s="1"/>
      <c r="AA785" s="1"/>
      <c r="AB785" s="1"/>
      <c r="AC785" s="1"/>
      <c r="AD785" s="1"/>
      <c r="AE785" s="1"/>
      <c r="AF785" s="1"/>
      <c r="AG785" s="1"/>
      <c r="AH785" s="1"/>
      <c r="AI785" s="1"/>
      <c r="AJ785" s="1"/>
      <c r="AK785" s="1"/>
      <c r="AL785" s="1"/>
      <c r="AM785" s="1"/>
      <c r="AN785" s="1"/>
    </row>
    <row r="786" spans="1:40" ht="15.75" customHeight="1">
      <c r="A786" s="1"/>
      <c r="B786" s="1"/>
      <c r="C786" s="1"/>
      <c r="D786" s="1"/>
      <c r="E786" s="1"/>
      <c r="F786" s="1"/>
      <c r="G786" s="1"/>
      <c r="H786" s="1"/>
      <c r="I786" s="1"/>
      <c r="J786" s="1"/>
      <c r="K786" s="1"/>
      <c r="L786" s="1"/>
      <c r="M786" s="1"/>
      <c r="N786" s="1"/>
      <c r="O786" s="1"/>
      <c r="P786" s="1"/>
      <c r="Q786" s="517"/>
      <c r="R786" s="1"/>
      <c r="S786" s="1"/>
      <c r="T786" s="1"/>
      <c r="U786" s="1"/>
      <c r="V786" s="1"/>
      <c r="W786" s="1"/>
      <c r="X786" s="1"/>
      <c r="Y786" s="1"/>
      <c r="Z786" s="1"/>
      <c r="AA786" s="1"/>
      <c r="AB786" s="1"/>
      <c r="AC786" s="1"/>
      <c r="AD786" s="1"/>
      <c r="AE786" s="1"/>
      <c r="AF786" s="1"/>
      <c r="AG786" s="1"/>
      <c r="AH786" s="1"/>
      <c r="AI786" s="1"/>
      <c r="AJ786" s="1"/>
      <c r="AK786" s="1"/>
      <c r="AL786" s="1"/>
      <c r="AM786" s="1"/>
      <c r="AN786" s="1"/>
    </row>
    <row r="787" spans="1:40" ht="15.75" customHeight="1">
      <c r="A787" s="1"/>
      <c r="B787" s="1"/>
      <c r="C787" s="1"/>
      <c r="D787" s="1"/>
      <c r="E787" s="1"/>
      <c r="F787" s="1"/>
      <c r="G787" s="1"/>
      <c r="H787" s="1"/>
      <c r="I787" s="1"/>
      <c r="J787" s="1"/>
      <c r="K787" s="1"/>
      <c r="L787" s="1"/>
      <c r="M787" s="1"/>
      <c r="N787" s="1"/>
      <c r="O787" s="1"/>
      <c r="P787" s="1"/>
      <c r="Q787" s="517"/>
      <c r="R787" s="1"/>
      <c r="S787" s="1"/>
      <c r="T787" s="1"/>
      <c r="U787" s="1"/>
      <c r="V787" s="1"/>
      <c r="W787" s="1"/>
      <c r="X787" s="1"/>
      <c r="Y787" s="1"/>
      <c r="Z787" s="1"/>
      <c r="AA787" s="1"/>
      <c r="AB787" s="1"/>
      <c r="AC787" s="1"/>
      <c r="AD787" s="1"/>
      <c r="AE787" s="1"/>
      <c r="AF787" s="1"/>
      <c r="AG787" s="1"/>
      <c r="AH787" s="1"/>
      <c r="AI787" s="1"/>
      <c r="AJ787" s="1"/>
      <c r="AK787" s="1"/>
      <c r="AL787" s="1"/>
      <c r="AM787" s="1"/>
      <c r="AN787" s="1"/>
    </row>
    <row r="788" spans="1:40" ht="15.75" customHeight="1">
      <c r="A788" s="1"/>
      <c r="B788" s="1"/>
      <c r="C788" s="1"/>
      <c r="D788" s="1"/>
      <c r="E788" s="1"/>
      <c r="F788" s="1"/>
      <c r="G788" s="1"/>
      <c r="H788" s="1"/>
      <c r="I788" s="1"/>
      <c r="J788" s="1"/>
      <c r="K788" s="1"/>
      <c r="L788" s="1"/>
      <c r="M788" s="1"/>
      <c r="N788" s="1"/>
      <c r="O788" s="1"/>
      <c r="P788" s="1"/>
      <c r="Q788" s="517"/>
      <c r="R788" s="1"/>
      <c r="S788" s="1"/>
      <c r="T788" s="1"/>
      <c r="U788" s="1"/>
      <c r="V788" s="1"/>
      <c r="W788" s="1"/>
      <c r="X788" s="1"/>
      <c r="Y788" s="1"/>
      <c r="Z788" s="1"/>
      <c r="AA788" s="1"/>
      <c r="AB788" s="1"/>
      <c r="AC788" s="1"/>
      <c r="AD788" s="1"/>
      <c r="AE788" s="1"/>
      <c r="AF788" s="1"/>
      <c r="AG788" s="1"/>
      <c r="AH788" s="1"/>
      <c r="AI788" s="1"/>
      <c r="AJ788" s="1"/>
      <c r="AK788" s="1"/>
      <c r="AL788" s="1"/>
      <c r="AM788" s="1"/>
      <c r="AN788" s="1"/>
    </row>
    <row r="789" spans="1:40" ht="15.75" customHeight="1">
      <c r="A789" s="1"/>
      <c r="B789" s="1"/>
      <c r="C789" s="1"/>
      <c r="D789" s="1"/>
      <c r="E789" s="1"/>
      <c r="F789" s="1"/>
      <c r="G789" s="1"/>
      <c r="H789" s="1"/>
      <c r="I789" s="1"/>
      <c r="J789" s="1"/>
      <c r="K789" s="1"/>
      <c r="L789" s="1"/>
      <c r="M789" s="1"/>
      <c r="N789" s="1"/>
      <c r="O789" s="1"/>
      <c r="P789" s="1"/>
      <c r="Q789" s="517"/>
      <c r="R789" s="1"/>
      <c r="S789" s="1"/>
      <c r="T789" s="1"/>
      <c r="U789" s="1"/>
      <c r="V789" s="1"/>
      <c r="W789" s="1"/>
      <c r="X789" s="1"/>
      <c r="Y789" s="1"/>
      <c r="Z789" s="1"/>
      <c r="AA789" s="1"/>
      <c r="AB789" s="1"/>
      <c r="AC789" s="1"/>
      <c r="AD789" s="1"/>
      <c r="AE789" s="1"/>
      <c r="AF789" s="1"/>
      <c r="AG789" s="1"/>
      <c r="AH789" s="1"/>
      <c r="AI789" s="1"/>
      <c r="AJ789" s="1"/>
      <c r="AK789" s="1"/>
      <c r="AL789" s="1"/>
      <c r="AM789" s="1"/>
      <c r="AN789" s="1"/>
    </row>
    <row r="790" spans="1:40" ht="15.75" customHeight="1">
      <c r="A790" s="1"/>
      <c r="B790" s="1"/>
      <c r="C790" s="1"/>
      <c r="D790" s="1"/>
      <c r="E790" s="1"/>
      <c r="F790" s="1"/>
      <c r="G790" s="1"/>
      <c r="H790" s="1"/>
      <c r="I790" s="1"/>
      <c r="J790" s="1"/>
      <c r="K790" s="1"/>
      <c r="L790" s="1"/>
      <c r="M790" s="1"/>
      <c r="N790" s="1"/>
      <c r="O790" s="1"/>
      <c r="P790" s="1"/>
      <c r="Q790" s="517"/>
      <c r="R790" s="1"/>
      <c r="S790" s="1"/>
      <c r="T790" s="1"/>
      <c r="U790" s="1"/>
      <c r="V790" s="1"/>
      <c r="W790" s="1"/>
      <c r="X790" s="1"/>
      <c r="Y790" s="1"/>
      <c r="Z790" s="1"/>
      <c r="AA790" s="1"/>
      <c r="AB790" s="1"/>
      <c r="AC790" s="1"/>
      <c r="AD790" s="1"/>
      <c r="AE790" s="1"/>
      <c r="AF790" s="1"/>
      <c r="AG790" s="1"/>
      <c r="AH790" s="1"/>
      <c r="AI790" s="1"/>
      <c r="AJ790" s="1"/>
      <c r="AK790" s="1"/>
      <c r="AL790" s="1"/>
      <c r="AM790" s="1"/>
      <c r="AN790" s="1"/>
    </row>
    <row r="791" spans="1:40" ht="15.75" customHeight="1">
      <c r="A791" s="1"/>
      <c r="B791" s="1"/>
      <c r="C791" s="1"/>
      <c r="D791" s="1"/>
      <c r="E791" s="1"/>
      <c r="F791" s="1"/>
      <c r="G791" s="1"/>
      <c r="H791" s="1"/>
      <c r="I791" s="1"/>
      <c r="J791" s="1"/>
      <c r="K791" s="1"/>
      <c r="L791" s="1"/>
      <c r="M791" s="1"/>
      <c r="N791" s="1"/>
      <c r="O791" s="1"/>
      <c r="P791" s="1"/>
      <c r="Q791" s="517"/>
      <c r="R791" s="1"/>
      <c r="S791" s="1"/>
      <c r="T791" s="1"/>
      <c r="U791" s="1"/>
      <c r="V791" s="1"/>
      <c r="W791" s="1"/>
      <c r="X791" s="1"/>
      <c r="Y791" s="1"/>
      <c r="Z791" s="1"/>
      <c r="AA791" s="1"/>
      <c r="AB791" s="1"/>
      <c r="AC791" s="1"/>
      <c r="AD791" s="1"/>
      <c r="AE791" s="1"/>
      <c r="AF791" s="1"/>
      <c r="AG791" s="1"/>
      <c r="AH791" s="1"/>
      <c r="AI791" s="1"/>
      <c r="AJ791" s="1"/>
      <c r="AK791" s="1"/>
      <c r="AL791" s="1"/>
      <c r="AM791" s="1"/>
      <c r="AN791" s="1"/>
    </row>
    <row r="792" spans="1:40" ht="15.75" customHeight="1">
      <c r="A792" s="1"/>
      <c r="B792" s="1"/>
      <c r="C792" s="1"/>
      <c r="D792" s="1"/>
      <c r="E792" s="1"/>
      <c r="F792" s="1"/>
      <c r="G792" s="1"/>
      <c r="H792" s="1"/>
      <c r="I792" s="1"/>
      <c r="J792" s="1"/>
      <c r="K792" s="1"/>
      <c r="L792" s="1"/>
      <c r="M792" s="1"/>
      <c r="N792" s="1"/>
      <c r="O792" s="1"/>
      <c r="P792" s="1"/>
      <c r="Q792" s="517"/>
      <c r="R792" s="1"/>
      <c r="S792" s="1"/>
      <c r="T792" s="1"/>
      <c r="U792" s="1"/>
      <c r="V792" s="1"/>
      <c r="W792" s="1"/>
      <c r="X792" s="1"/>
      <c r="Y792" s="1"/>
      <c r="Z792" s="1"/>
      <c r="AA792" s="1"/>
      <c r="AB792" s="1"/>
      <c r="AC792" s="1"/>
      <c r="AD792" s="1"/>
      <c r="AE792" s="1"/>
      <c r="AF792" s="1"/>
      <c r="AG792" s="1"/>
      <c r="AH792" s="1"/>
      <c r="AI792" s="1"/>
      <c r="AJ792" s="1"/>
      <c r="AK792" s="1"/>
      <c r="AL792" s="1"/>
      <c r="AM792" s="1"/>
      <c r="AN792" s="1"/>
    </row>
    <row r="793" spans="1:40" ht="15.75" customHeight="1">
      <c r="A793" s="1"/>
      <c r="B793" s="1"/>
      <c r="C793" s="1"/>
      <c r="D793" s="1"/>
      <c r="E793" s="1"/>
      <c r="F793" s="1"/>
      <c r="G793" s="1"/>
      <c r="H793" s="1"/>
      <c r="I793" s="1"/>
      <c r="J793" s="1"/>
      <c r="K793" s="1"/>
      <c r="L793" s="1"/>
      <c r="M793" s="1"/>
      <c r="N793" s="1"/>
      <c r="O793" s="1"/>
      <c r="P793" s="1"/>
      <c r="Q793" s="517"/>
      <c r="R793" s="1"/>
      <c r="S793" s="1"/>
      <c r="T793" s="1"/>
      <c r="U793" s="1"/>
      <c r="V793" s="1"/>
      <c r="W793" s="1"/>
      <c r="X793" s="1"/>
      <c r="Y793" s="1"/>
      <c r="Z793" s="1"/>
      <c r="AA793" s="1"/>
      <c r="AB793" s="1"/>
      <c r="AC793" s="1"/>
      <c r="AD793" s="1"/>
      <c r="AE793" s="1"/>
      <c r="AF793" s="1"/>
      <c r="AG793" s="1"/>
      <c r="AH793" s="1"/>
      <c r="AI793" s="1"/>
      <c r="AJ793" s="1"/>
      <c r="AK793" s="1"/>
      <c r="AL793" s="1"/>
      <c r="AM793" s="1"/>
      <c r="AN793" s="1"/>
    </row>
    <row r="794" spans="1:40" ht="15.75" customHeight="1">
      <c r="A794" s="1"/>
      <c r="B794" s="1"/>
      <c r="C794" s="1"/>
      <c r="D794" s="1"/>
      <c r="E794" s="1"/>
      <c r="F794" s="1"/>
      <c r="G794" s="1"/>
      <c r="H794" s="1"/>
      <c r="I794" s="1"/>
      <c r="J794" s="1"/>
      <c r="K794" s="1"/>
      <c r="L794" s="1"/>
      <c r="M794" s="1"/>
      <c r="N794" s="1"/>
      <c r="O794" s="1"/>
      <c r="P794" s="1"/>
      <c r="Q794" s="517"/>
      <c r="R794" s="1"/>
      <c r="S794" s="1"/>
      <c r="T794" s="1"/>
      <c r="U794" s="1"/>
      <c r="V794" s="1"/>
      <c r="W794" s="1"/>
      <c r="X794" s="1"/>
      <c r="Y794" s="1"/>
      <c r="Z794" s="1"/>
      <c r="AA794" s="1"/>
      <c r="AB794" s="1"/>
      <c r="AC794" s="1"/>
      <c r="AD794" s="1"/>
      <c r="AE794" s="1"/>
      <c r="AF794" s="1"/>
      <c r="AG794" s="1"/>
      <c r="AH794" s="1"/>
      <c r="AI794" s="1"/>
      <c r="AJ794" s="1"/>
      <c r="AK794" s="1"/>
      <c r="AL794" s="1"/>
      <c r="AM794" s="1"/>
      <c r="AN794" s="1"/>
    </row>
    <row r="795" spans="1:40" ht="15.75" customHeight="1">
      <c r="A795" s="1"/>
      <c r="B795" s="1"/>
      <c r="C795" s="1"/>
      <c r="D795" s="1"/>
      <c r="E795" s="1"/>
      <c r="F795" s="1"/>
      <c r="G795" s="1"/>
      <c r="H795" s="1"/>
      <c r="I795" s="1"/>
      <c r="J795" s="1"/>
      <c r="K795" s="1"/>
      <c r="L795" s="1"/>
      <c r="M795" s="1"/>
      <c r="N795" s="1"/>
      <c r="O795" s="1"/>
      <c r="P795" s="1"/>
      <c r="Q795" s="517"/>
      <c r="R795" s="1"/>
      <c r="S795" s="1"/>
      <c r="T795" s="1"/>
      <c r="U795" s="1"/>
      <c r="V795" s="1"/>
      <c r="W795" s="1"/>
      <c r="X795" s="1"/>
      <c r="Y795" s="1"/>
      <c r="Z795" s="1"/>
      <c r="AA795" s="1"/>
      <c r="AB795" s="1"/>
      <c r="AC795" s="1"/>
      <c r="AD795" s="1"/>
      <c r="AE795" s="1"/>
      <c r="AF795" s="1"/>
      <c r="AG795" s="1"/>
      <c r="AH795" s="1"/>
      <c r="AI795" s="1"/>
      <c r="AJ795" s="1"/>
      <c r="AK795" s="1"/>
      <c r="AL795" s="1"/>
      <c r="AM795" s="1"/>
      <c r="AN795" s="1"/>
    </row>
    <row r="796" spans="1:40" ht="15.75" customHeight="1">
      <c r="A796" s="1"/>
      <c r="B796" s="1"/>
      <c r="C796" s="1"/>
      <c r="D796" s="1"/>
      <c r="E796" s="1"/>
      <c r="F796" s="1"/>
      <c r="G796" s="1"/>
      <c r="H796" s="1"/>
      <c r="I796" s="1"/>
      <c r="J796" s="1"/>
      <c r="K796" s="1"/>
      <c r="L796" s="1"/>
      <c r="M796" s="1"/>
      <c r="N796" s="1"/>
      <c r="O796" s="1"/>
      <c r="P796" s="1"/>
      <c r="Q796" s="517"/>
      <c r="R796" s="1"/>
      <c r="S796" s="1"/>
      <c r="T796" s="1"/>
      <c r="U796" s="1"/>
      <c r="V796" s="1"/>
      <c r="W796" s="1"/>
      <c r="X796" s="1"/>
      <c r="Y796" s="1"/>
      <c r="Z796" s="1"/>
      <c r="AA796" s="1"/>
      <c r="AB796" s="1"/>
      <c r="AC796" s="1"/>
      <c r="AD796" s="1"/>
      <c r="AE796" s="1"/>
      <c r="AF796" s="1"/>
      <c r="AG796" s="1"/>
      <c r="AH796" s="1"/>
      <c r="AI796" s="1"/>
      <c r="AJ796" s="1"/>
      <c r="AK796" s="1"/>
      <c r="AL796" s="1"/>
      <c r="AM796" s="1"/>
      <c r="AN796" s="1"/>
    </row>
    <row r="797" spans="1:40" ht="15.75" customHeight="1">
      <c r="A797" s="1"/>
      <c r="B797" s="1"/>
      <c r="C797" s="1"/>
      <c r="D797" s="1"/>
      <c r="E797" s="1"/>
      <c r="F797" s="1"/>
      <c r="G797" s="1"/>
      <c r="H797" s="1"/>
      <c r="I797" s="1"/>
      <c r="J797" s="1"/>
      <c r="K797" s="1"/>
      <c r="L797" s="1"/>
      <c r="M797" s="1"/>
      <c r="N797" s="1"/>
      <c r="O797" s="1"/>
      <c r="P797" s="1"/>
      <c r="Q797" s="517"/>
      <c r="R797" s="1"/>
      <c r="S797" s="1"/>
      <c r="T797" s="1"/>
      <c r="U797" s="1"/>
      <c r="V797" s="1"/>
      <c r="W797" s="1"/>
      <c r="X797" s="1"/>
      <c r="Y797" s="1"/>
      <c r="Z797" s="1"/>
      <c r="AA797" s="1"/>
      <c r="AB797" s="1"/>
      <c r="AC797" s="1"/>
      <c r="AD797" s="1"/>
      <c r="AE797" s="1"/>
      <c r="AF797" s="1"/>
      <c r="AG797" s="1"/>
      <c r="AH797" s="1"/>
      <c r="AI797" s="1"/>
      <c r="AJ797" s="1"/>
      <c r="AK797" s="1"/>
      <c r="AL797" s="1"/>
      <c r="AM797" s="1"/>
      <c r="AN797" s="1"/>
    </row>
    <row r="798" spans="1:40" ht="15.75" customHeight="1">
      <c r="A798" s="1"/>
      <c r="B798" s="1"/>
      <c r="C798" s="1"/>
      <c r="D798" s="1"/>
      <c r="E798" s="1"/>
      <c r="F798" s="1"/>
      <c r="G798" s="1"/>
      <c r="H798" s="1"/>
      <c r="I798" s="1"/>
      <c r="J798" s="1"/>
      <c r="K798" s="1"/>
      <c r="L798" s="1"/>
      <c r="M798" s="1"/>
      <c r="N798" s="1"/>
      <c r="O798" s="1"/>
      <c r="P798" s="1"/>
      <c r="Q798" s="517"/>
      <c r="R798" s="1"/>
      <c r="S798" s="1"/>
      <c r="T798" s="1"/>
      <c r="U798" s="1"/>
      <c r="V798" s="1"/>
      <c r="W798" s="1"/>
      <c r="X798" s="1"/>
      <c r="Y798" s="1"/>
      <c r="Z798" s="1"/>
      <c r="AA798" s="1"/>
      <c r="AB798" s="1"/>
      <c r="AC798" s="1"/>
      <c r="AD798" s="1"/>
      <c r="AE798" s="1"/>
      <c r="AF798" s="1"/>
      <c r="AG798" s="1"/>
      <c r="AH798" s="1"/>
      <c r="AI798" s="1"/>
      <c r="AJ798" s="1"/>
      <c r="AK798" s="1"/>
      <c r="AL798" s="1"/>
      <c r="AM798" s="1"/>
      <c r="AN798" s="1"/>
    </row>
    <row r="799" spans="1:40" ht="15.75" customHeight="1">
      <c r="A799" s="1"/>
      <c r="B799" s="1"/>
      <c r="C799" s="1"/>
      <c r="D799" s="1"/>
      <c r="E799" s="1"/>
      <c r="F799" s="1"/>
      <c r="G799" s="1"/>
      <c r="H799" s="1"/>
      <c r="I799" s="1"/>
      <c r="J799" s="1"/>
      <c r="K799" s="1"/>
      <c r="L799" s="1"/>
      <c r="M799" s="1"/>
      <c r="N799" s="1"/>
      <c r="O799" s="1"/>
      <c r="P799" s="1"/>
      <c r="Q799" s="517"/>
      <c r="R799" s="1"/>
      <c r="S799" s="1"/>
      <c r="T799" s="1"/>
      <c r="U799" s="1"/>
      <c r="V799" s="1"/>
      <c r="W799" s="1"/>
      <c r="X799" s="1"/>
      <c r="Y799" s="1"/>
      <c r="Z799" s="1"/>
      <c r="AA799" s="1"/>
      <c r="AB799" s="1"/>
      <c r="AC799" s="1"/>
      <c r="AD799" s="1"/>
      <c r="AE799" s="1"/>
      <c r="AF799" s="1"/>
      <c r="AG799" s="1"/>
      <c r="AH799" s="1"/>
      <c r="AI799" s="1"/>
      <c r="AJ799" s="1"/>
      <c r="AK799" s="1"/>
      <c r="AL799" s="1"/>
      <c r="AM799" s="1"/>
      <c r="AN799" s="1"/>
    </row>
    <row r="800" spans="1:40" ht="15.75" customHeight="1">
      <c r="A800" s="1"/>
      <c r="B800" s="1"/>
      <c r="C800" s="1"/>
      <c r="D800" s="1"/>
      <c r="E800" s="1"/>
      <c r="F800" s="1"/>
      <c r="G800" s="1"/>
      <c r="H800" s="1"/>
      <c r="I800" s="1"/>
      <c r="J800" s="1"/>
      <c r="K800" s="1"/>
      <c r="L800" s="1"/>
      <c r="M800" s="1"/>
      <c r="N800" s="1"/>
      <c r="O800" s="1"/>
      <c r="P800" s="1"/>
      <c r="Q800" s="517"/>
      <c r="R800" s="1"/>
      <c r="S800" s="1"/>
      <c r="T800" s="1"/>
      <c r="U800" s="1"/>
      <c r="V800" s="1"/>
      <c r="W800" s="1"/>
      <c r="X800" s="1"/>
      <c r="Y800" s="1"/>
      <c r="Z800" s="1"/>
      <c r="AA800" s="1"/>
      <c r="AB800" s="1"/>
      <c r="AC800" s="1"/>
      <c r="AD800" s="1"/>
      <c r="AE800" s="1"/>
      <c r="AF800" s="1"/>
      <c r="AG800" s="1"/>
      <c r="AH800" s="1"/>
      <c r="AI800" s="1"/>
      <c r="AJ800" s="1"/>
      <c r="AK800" s="1"/>
      <c r="AL800" s="1"/>
      <c r="AM800" s="1"/>
      <c r="AN800" s="1"/>
    </row>
    <row r="801" spans="1:40" ht="15.75" customHeight="1">
      <c r="A801" s="1"/>
      <c r="B801" s="1"/>
      <c r="C801" s="1"/>
      <c r="D801" s="1"/>
      <c r="E801" s="1"/>
      <c r="F801" s="1"/>
      <c r="G801" s="1"/>
      <c r="H801" s="1"/>
      <c r="I801" s="1"/>
      <c r="J801" s="1"/>
      <c r="K801" s="1"/>
      <c r="L801" s="1"/>
      <c r="M801" s="1"/>
      <c r="N801" s="1"/>
      <c r="O801" s="1"/>
      <c r="P801" s="1"/>
      <c r="Q801" s="517"/>
      <c r="R801" s="1"/>
      <c r="S801" s="1"/>
      <c r="T801" s="1"/>
      <c r="U801" s="1"/>
      <c r="V801" s="1"/>
      <c r="W801" s="1"/>
      <c r="X801" s="1"/>
      <c r="Y801" s="1"/>
      <c r="Z801" s="1"/>
      <c r="AA801" s="1"/>
      <c r="AB801" s="1"/>
      <c r="AC801" s="1"/>
      <c r="AD801" s="1"/>
      <c r="AE801" s="1"/>
      <c r="AF801" s="1"/>
      <c r="AG801" s="1"/>
      <c r="AH801" s="1"/>
      <c r="AI801" s="1"/>
      <c r="AJ801" s="1"/>
      <c r="AK801" s="1"/>
      <c r="AL801" s="1"/>
      <c r="AM801" s="1"/>
      <c r="AN801" s="1"/>
    </row>
    <row r="802" spans="1:40" ht="15.75" customHeight="1">
      <c r="A802" s="1"/>
      <c r="B802" s="1"/>
      <c r="C802" s="1"/>
      <c r="D802" s="1"/>
      <c r="E802" s="1"/>
      <c r="F802" s="1"/>
      <c r="G802" s="1"/>
      <c r="H802" s="1"/>
      <c r="I802" s="1"/>
      <c r="J802" s="1"/>
      <c r="K802" s="1"/>
      <c r="L802" s="1"/>
      <c r="M802" s="1"/>
      <c r="N802" s="1"/>
      <c r="O802" s="1"/>
      <c r="P802" s="1"/>
      <c r="Q802" s="517"/>
      <c r="R802" s="1"/>
      <c r="S802" s="1"/>
      <c r="T802" s="1"/>
      <c r="U802" s="1"/>
      <c r="V802" s="1"/>
      <c r="W802" s="1"/>
      <c r="X802" s="1"/>
      <c r="Y802" s="1"/>
      <c r="Z802" s="1"/>
      <c r="AA802" s="1"/>
      <c r="AB802" s="1"/>
      <c r="AC802" s="1"/>
      <c r="AD802" s="1"/>
      <c r="AE802" s="1"/>
      <c r="AF802" s="1"/>
      <c r="AG802" s="1"/>
      <c r="AH802" s="1"/>
      <c r="AI802" s="1"/>
      <c r="AJ802" s="1"/>
      <c r="AK802" s="1"/>
      <c r="AL802" s="1"/>
      <c r="AM802" s="1"/>
      <c r="AN802" s="1"/>
    </row>
    <row r="803" spans="1:40" ht="15.75" customHeight="1">
      <c r="A803" s="1"/>
      <c r="B803" s="1"/>
      <c r="C803" s="1"/>
      <c r="D803" s="1"/>
      <c r="E803" s="1"/>
      <c r="F803" s="1"/>
      <c r="G803" s="1"/>
      <c r="H803" s="1"/>
      <c r="I803" s="1"/>
      <c r="J803" s="1"/>
      <c r="K803" s="1"/>
      <c r="L803" s="1"/>
      <c r="M803" s="1"/>
      <c r="N803" s="1"/>
      <c r="O803" s="1"/>
      <c r="P803" s="1"/>
      <c r="Q803" s="517"/>
      <c r="R803" s="1"/>
      <c r="S803" s="1"/>
      <c r="T803" s="1"/>
      <c r="U803" s="1"/>
      <c r="V803" s="1"/>
      <c r="W803" s="1"/>
      <c r="X803" s="1"/>
      <c r="Y803" s="1"/>
      <c r="Z803" s="1"/>
      <c r="AA803" s="1"/>
      <c r="AB803" s="1"/>
      <c r="AC803" s="1"/>
      <c r="AD803" s="1"/>
      <c r="AE803" s="1"/>
      <c r="AF803" s="1"/>
      <c r="AG803" s="1"/>
      <c r="AH803" s="1"/>
      <c r="AI803" s="1"/>
      <c r="AJ803" s="1"/>
      <c r="AK803" s="1"/>
      <c r="AL803" s="1"/>
      <c r="AM803" s="1"/>
      <c r="AN803" s="1"/>
    </row>
    <row r="804" spans="1:40" ht="15.75" customHeight="1">
      <c r="A804" s="1"/>
      <c r="B804" s="1"/>
      <c r="C804" s="1"/>
      <c r="D804" s="1"/>
      <c r="E804" s="1"/>
      <c r="F804" s="1"/>
      <c r="G804" s="1"/>
      <c r="H804" s="1"/>
      <c r="I804" s="1"/>
      <c r="J804" s="1"/>
      <c r="K804" s="1"/>
      <c r="L804" s="1"/>
      <c r="M804" s="1"/>
      <c r="N804" s="1"/>
      <c r="O804" s="1"/>
      <c r="P804" s="1"/>
      <c r="Q804" s="517"/>
      <c r="R804" s="1"/>
      <c r="S804" s="1"/>
      <c r="T804" s="1"/>
      <c r="U804" s="1"/>
      <c r="V804" s="1"/>
      <c r="W804" s="1"/>
      <c r="X804" s="1"/>
      <c r="Y804" s="1"/>
      <c r="Z804" s="1"/>
      <c r="AA804" s="1"/>
      <c r="AB804" s="1"/>
      <c r="AC804" s="1"/>
      <c r="AD804" s="1"/>
      <c r="AE804" s="1"/>
      <c r="AF804" s="1"/>
      <c r="AG804" s="1"/>
      <c r="AH804" s="1"/>
      <c r="AI804" s="1"/>
      <c r="AJ804" s="1"/>
      <c r="AK804" s="1"/>
      <c r="AL804" s="1"/>
      <c r="AM804" s="1"/>
      <c r="AN804" s="1"/>
    </row>
    <row r="805" spans="1:40" ht="15.75" customHeight="1">
      <c r="A805" s="1"/>
      <c r="B805" s="1"/>
      <c r="C805" s="1"/>
      <c r="D805" s="1"/>
      <c r="E805" s="1"/>
      <c r="F805" s="1"/>
      <c r="G805" s="1"/>
      <c r="H805" s="1"/>
      <c r="I805" s="1"/>
      <c r="J805" s="1"/>
      <c r="K805" s="1"/>
      <c r="L805" s="1"/>
      <c r="M805" s="1"/>
      <c r="N805" s="1"/>
      <c r="O805" s="1"/>
      <c r="P805" s="1"/>
      <c r="Q805" s="517"/>
      <c r="R805" s="1"/>
      <c r="S805" s="1"/>
      <c r="T805" s="1"/>
      <c r="U805" s="1"/>
      <c r="V805" s="1"/>
      <c r="W805" s="1"/>
      <c r="X805" s="1"/>
      <c r="Y805" s="1"/>
      <c r="Z805" s="1"/>
      <c r="AA805" s="1"/>
      <c r="AB805" s="1"/>
      <c r="AC805" s="1"/>
      <c r="AD805" s="1"/>
      <c r="AE805" s="1"/>
      <c r="AF805" s="1"/>
      <c r="AG805" s="1"/>
      <c r="AH805" s="1"/>
      <c r="AI805" s="1"/>
      <c r="AJ805" s="1"/>
      <c r="AK805" s="1"/>
      <c r="AL805" s="1"/>
      <c r="AM805" s="1"/>
      <c r="AN805" s="1"/>
    </row>
    <row r="806" spans="1:40" ht="15.75" customHeight="1">
      <c r="A806" s="1"/>
      <c r="B806" s="1"/>
      <c r="C806" s="1"/>
      <c r="D806" s="1"/>
      <c r="E806" s="1"/>
      <c r="F806" s="1"/>
      <c r="G806" s="1"/>
      <c r="H806" s="1"/>
      <c r="I806" s="1"/>
      <c r="J806" s="1"/>
      <c r="K806" s="1"/>
      <c r="L806" s="1"/>
      <c r="M806" s="1"/>
      <c r="N806" s="1"/>
      <c r="O806" s="1"/>
      <c r="P806" s="1"/>
      <c r="Q806" s="517"/>
      <c r="R806" s="1"/>
      <c r="S806" s="1"/>
      <c r="T806" s="1"/>
      <c r="U806" s="1"/>
      <c r="V806" s="1"/>
      <c r="W806" s="1"/>
      <c r="X806" s="1"/>
      <c r="Y806" s="1"/>
      <c r="Z806" s="1"/>
      <c r="AA806" s="1"/>
      <c r="AB806" s="1"/>
      <c r="AC806" s="1"/>
      <c r="AD806" s="1"/>
      <c r="AE806" s="1"/>
      <c r="AF806" s="1"/>
      <c r="AG806" s="1"/>
      <c r="AH806" s="1"/>
      <c r="AI806" s="1"/>
      <c r="AJ806" s="1"/>
      <c r="AK806" s="1"/>
      <c r="AL806" s="1"/>
      <c r="AM806" s="1"/>
      <c r="AN806" s="1"/>
    </row>
    <row r="807" spans="1:40" ht="15.75" customHeight="1">
      <c r="A807" s="1"/>
      <c r="B807" s="1"/>
      <c r="C807" s="1"/>
      <c r="D807" s="1"/>
      <c r="E807" s="1"/>
      <c r="F807" s="1"/>
      <c r="G807" s="1"/>
      <c r="H807" s="1"/>
      <c r="I807" s="1"/>
      <c r="J807" s="1"/>
      <c r="K807" s="1"/>
      <c r="L807" s="1"/>
      <c r="M807" s="1"/>
      <c r="N807" s="1"/>
      <c r="O807" s="1"/>
      <c r="P807" s="1"/>
      <c r="Q807" s="517"/>
      <c r="R807" s="1"/>
      <c r="S807" s="1"/>
      <c r="T807" s="1"/>
      <c r="U807" s="1"/>
      <c r="V807" s="1"/>
      <c r="W807" s="1"/>
      <c r="X807" s="1"/>
      <c r="Y807" s="1"/>
      <c r="Z807" s="1"/>
      <c r="AA807" s="1"/>
      <c r="AB807" s="1"/>
      <c r="AC807" s="1"/>
      <c r="AD807" s="1"/>
      <c r="AE807" s="1"/>
      <c r="AF807" s="1"/>
      <c r="AG807" s="1"/>
      <c r="AH807" s="1"/>
      <c r="AI807" s="1"/>
      <c r="AJ807" s="1"/>
      <c r="AK807" s="1"/>
      <c r="AL807" s="1"/>
      <c r="AM807" s="1"/>
      <c r="AN807" s="1"/>
    </row>
    <row r="808" spans="1:40" ht="15.75" customHeight="1">
      <c r="A808" s="1"/>
      <c r="B808" s="1"/>
      <c r="C808" s="1"/>
      <c r="D808" s="1"/>
      <c r="E808" s="1"/>
      <c r="F808" s="1"/>
      <c r="G808" s="1"/>
      <c r="H808" s="1"/>
      <c r="I808" s="1"/>
      <c r="J808" s="1"/>
      <c r="K808" s="1"/>
      <c r="L808" s="1"/>
      <c r="M808" s="1"/>
      <c r="N808" s="1"/>
      <c r="O808" s="1"/>
      <c r="P808" s="1"/>
      <c r="Q808" s="517"/>
      <c r="R808" s="1"/>
      <c r="S808" s="1"/>
      <c r="T808" s="1"/>
      <c r="U808" s="1"/>
      <c r="V808" s="1"/>
      <c r="W808" s="1"/>
      <c r="X808" s="1"/>
      <c r="Y808" s="1"/>
      <c r="Z808" s="1"/>
      <c r="AA808" s="1"/>
      <c r="AB808" s="1"/>
      <c r="AC808" s="1"/>
      <c r="AD808" s="1"/>
      <c r="AE808" s="1"/>
      <c r="AF808" s="1"/>
      <c r="AG808" s="1"/>
      <c r="AH808" s="1"/>
      <c r="AI808" s="1"/>
      <c r="AJ808" s="1"/>
      <c r="AK808" s="1"/>
      <c r="AL808" s="1"/>
      <c r="AM808" s="1"/>
      <c r="AN808" s="1"/>
    </row>
    <row r="809" spans="1:40" ht="15.75" customHeight="1">
      <c r="A809" s="1"/>
      <c r="B809" s="1"/>
      <c r="C809" s="1"/>
      <c r="D809" s="1"/>
      <c r="E809" s="1"/>
      <c r="F809" s="1"/>
      <c r="G809" s="1"/>
      <c r="H809" s="1"/>
      <c r="I809" s="1"/>
      <c r="J809" s="1"/>
      <c r="K809" s="1"/>
      <c r="L809" s="1"/>
      <c r="M809" s="1"/>
      <c r="N809" s="1"/>
      <c r="O809" s="1"/>
      <c r="P809" s="1"/>
      <c r="Q809" s="517"/>
      <c r="R809" s="1"/>
      <c r="S809" s="1"/>
      <c r="T809" s="1"/>
      <c r="U809" s="1"/>
      <c r="V809" s="1"/>
      <c r="W809" s="1"/>
      <c r="X809" s="1"/>
      <c r="Y809" s="1"/>
      <c r="Z809" s="1"/>
      <c r="AA809" s="1"/>
      <c r="AB809" s="1"/>
      <c r="AC809" s="1"/>
      <c r="AD809" s="1"/>
      <c r="AE809" s="1"/>
      <c r="AF809" s="1"/>
      <c r="AG809" s="1"/>
      <c r="AH809" s="1"/>
      <c r="AI809" s="1"/>
      <c r="AJ809" s="1"/>
      <c r="AK809" s="1"/>
      <c r="AL809" s="1"/>
      <c r="AM809" s="1"/>
      <c r="AN809" s="1"/>
    </row>
    <row r="810" spans="1:40" ht="15.75" customHeight="1">
      <c r="A810" s="1"/>
      <c r="B810" s="1"/>
      <c r="C810" s="1"/>
      <c r="D810" s="1"/>
      <c r="E810" s="1"/>
      <c r="F810" s="1"/>
      <c r="G810" s="1"/>
      <c r="H810" s="1"/>
      <c r="I810" s="1"/>
      <c r="J810" s="1"/>
      <c r="K810" s="1"/>
      <c r="L810" s="1"/>
      <c r="M810" s="1"/>
      <c r="N810" s="1"/>
      <c r="O810" s="1"/>
      <c r="P810" s="1"/>
      <c r="Q810" s="517"/>
      <c r="R810" s="1"/>
      <c r="S810" s="1"/>
      <c r="T810" s="1"/>
      <c r="U810" s="1"/>
      <c r="V810" s="1"/>
      <c r="W810" s="1"/>
      <c r="X810" s="1"/>
      <c r="Y810" s="1"/>
      <c r="Z810" s="1"/>
      <c r="AA810" s="1"/>
      <c r="AB810" s="1"/>
      <c r="AC810" s="1"/>
      <c r="AD810" s="1"/>
      <c r="AE810" s="1"/>
      <c r="AF810" s="1"/>
      <c r="AG810" s="1"/>
      <c r="AH810" s="1"/>
      <c r="AI810" s="1"/>
      <c r="AJ810" s="1"/>
      <c r="AK810" s="1"/>
      <c r="AL810" s="1"/>
      <c r="AM810" s="1"/>
      <c r="AN810" s="1"/>
    </row>
    <row r="811" spans="1:40" ht="15.75" customHeight="1">
      <c r="A811" s="1"/>
      <c r="B811" s="1"/>
      <c r="C811" s="1"/>
      <c r="D811" s="1"/>
      <c r="E811" s="1"/>
      <c r="F811" s="1"/>
      <c r="G811" s="1"/>
      <c r="H811" s="1"/>
      <c r="I811" s="1"/>
      <c r="J811" s="1"/>
      <c r="K811" s="1"/>
      <c r="L811" s="1"/>
      <c r="M811" s="1"/>
      <c r="N811" s="1"/>
      <c r="O811" s="1"/>
      <c r="P811" s="1"/>
      <c r="Q811" s="517"/>
      <c r="R811" s="1"/>
      <c r="S811" s="1"/>
      <c r="T811" s="1"/>
      <c r="U811" s="1"/>
      <c r="V811" s="1"/>
      <c r="W811" s="1"/>
      <c r="X811" s="1"/>
      <c r="Y811" s="1"/>
      <c r="Z811" s="1"/>
      <c r="AA811" s="1"/>
      <c r="AB811" s="1"/>
      <c r="AC811" s="1"/>
      <c r="AD811" s="1"/>
      <c r="AE811" s="1"/>
      <c r="AF811" s="1"/>
      <c r="AG811" s="1"/>
      <c r="AH811" s="1"/>
      <c r="AI811" s="1"/>
      <c r="AJ811" s="1"/>
      <c r="AK811" s="1"/>
      <c r="AL811" s="1"/>
      <c r="AM811" s="1"/>
      <c r="AN811" s="1"/>
    </row>
    <row r="812" spans="1:40" ht="15.75" customHeight="1">
      <c r="A812" s="1"/>
      <c r="B812" s="1"/>
      <c r="C812" s="1"/>
      <c r="D812" s="1"/>
      <c r="E812" s="1"/>
      <c r="F812" s="1"/>
      <c r="G812" s="1"/>
      <c r="H812" s="1"/>
      <c r="I812" s="1"/>
      <c r="J812" s="1"/>
      <c r="K812" s="1"/>
      <c r="L812" s="1"/>
      <c r="M812" s="1"/>
      <c r="N812" s="1"/>
      <c r="O812" s="1"/>
      <c r="P812" s="1"/>
      <c r="Q812" s="517"/>
      <c r="R812" s="1"/>
      <c r="S812" s="1"/>
      <c r="T812" s="1"/>
      <c r="U812" s="1"/>
      <c r="V812" s="1"/>
      <c r="W812" s="1"/>
      <c r="X812" s="1"/>
      <c r="Y812" s="1"/>
      <c r="Z812" s="1"/>
      <c r="AA812" s="1"/>
      <c r="AB812" s="1"/>
      <c r="AC812" s="1"/>
      <c r="AD812" s="1"/>
      <c r="AE812" s="1"/>
      <c r="AF812" s="1"/>
      <c r="AG812" s="1"/>
      <c r="AH812" s="1"/>
      <c r="AI812" s="1"/>
      <c r="AJ812" s="1"/>
      <c r="AK812" s="1"/>
      <c r="AL812" s="1"/>
      <c r="AM812" s="1"/>
      <c r="AN812" s="1"/>
    </row>
    <row r="813" spans="1:40" ht="15.75" customHeight="1">
      <c r="A813" s="1"/>
      <c r="B813" s="1"/>
      <c r="C813" s="1"/>
      <c r="D813" s="1"/>
      <c r="E813" s="1"/>
      <c r="F813" s="1"/>
      <c r="G813" s="1"/>
      <c r="H813" s="1"/>
      <c r="I813" s="1"/>
      <c r="J813" s="1"/>
      <c r="K813" s="1"/>
      <c r="L813" s="1"/>
      <c r="M813" s="1"/>
      <c r="N813" s="1"/>
      <c r="O813" s="1"/>
      <c r="P813" s="1"/>
      <c r="Q813" s="517"/>
      <c r="R813" s="1"/>
      <c r="S813" s="1"/>
      <c r="T813" s="1"/>
      <c r="U813" s="1"/>
      <c r="V813" s="1"/>
      <c r="W813" s="1"/>
      <c r="X813" s="1"/>
      <c r="Y813" s="1"/>
      <c r="Z813" s="1"/>
      <c r="AA813" s="1"/>
      <c r="AB813" s="1"/>
      <c r="AC813" s="1"/>
      <c r="AD813" s="1"/>
      <c r="AE813" s="1"/>
      <c r="AF813" s="1"/>
      <c r="AG813" s="1"/>
      <c r="AH813" s="1"/>
      <c r="AI813" s="1"/>
      <c r="AJ813" s="1"/>
      <c r="AK813" s="1"/>
      <c r="AL813" s="1"/>
      <c r="AM813" s="1"/>
      <c r="AN813" s="1"/>
    </row>
    <row r="814" spans="1:40" ht="15.75" customHeight="1">
      <c r="A814" s="1"/>
      <c r="B814" s="1"/>
      <c r="C814" s="1"/>
      <c r="D814" s="1"/>
      <c r="E814" s="1"/>
      <c r="F814" s="1"/>
      <c r="G814" s="1"/>
      <c r="H814" s="1"/>
      <c r="I814" s="1"/>
      <c r="J814" s="1"/>
      <c r="K814" s="1"/>
      <c r="L814" s="1"/>
      <c r="M814" s="1"/>
      <c r="N814" s="1"/>
      <c r="O814" s="1"/>
      <c r="P814" s="1"/>
      <c r="Q814" s="517"/>
      <c r="R814" s="1"/>
      <c r="S814" s="1"/>
      <c r="T814" s="1"/>
      <c r="U814" s="1"/>
      <c r="V814" s="1"/>
      <c r="W814" s="1"/>
      <c r="X814" s="1"/>
      <c r="Y814" s="1"/>
      <c r="Z814" s="1"/>
      <c r="AA814" s="1"/>
      <c r="AB814" s="1"/>
      <c r="AC814" s="1"/>
      <c r="AD814" s="1"/>
      <c r="AE814" s="1"/>
      <c r="AF814" s="1"/>
      <c r="AG814" s="1"/>
      <c r="AH814" s="1"/>
      <c r="AI814" s="1"/>
      <c r="AJ814" s="1"/>
      <c r="AK814" s="1"/>
      <c r="AL814" s="1"/>
      <c r="AM814" s="1"/>
      <c r="AN814" s="1"/>
    </row>
    <row r="815" spans="1:40" ht="15.75" customHeight="1">
      <c r="A815" s="1"/>
      <c r="B815" s="1"/>
      <c r="C815" s="1"/>
      <c r="D815" s="1"/>
      <c r="E815" s="1"/>
      <c r="F815" s="1"/>
      <c r="G815" s="1"/>
      <c r="H815" s="1"/>
      <c r="I815" s="1"/>
      <c r="J815" s="1"/>
      <c r="K815" s="1"/>
      <c r="L815" s="1"/>
      <c r="M815" s="1"/>
      <c r="N815" s="1"/>
      <c r="O815" s="1"/>
      <c r="P815" s="1"/>
      <c r="Q815" s="517"/>
      <c r="R815" s="1"/>
      <c r="S815" s="1"/>
      <c r="T815" s="1"/>
      <c r="U815" s="1"/>
      <c r="V815" s="1"/>
      <c r="W815" s="1"/>
      <c r="X815" s="1"/>
      <c r="Y815" s="1"/>
      <c r="Z815" s="1"/>
      <c r="AA815" s="1"/>
      <c r="AB815" s="1"/>
      <c r="AC815" s="1"/>
      <c r="AD815" s="1"/>
      <c r="AE815" s="1"/>
      <c r="AF815" s="1"/>
      <c r="AG815" s="1"/>
      <c r="AH815" s="1"/>
      <c r="AI815" s="1"/>
      <c r="AJ815" s="1"/>
      <c r="AK815" s="1"/>
      <c r="AL815" s="1"/>
      <c r="AM815" s="1"/>
      <c r="AN815" s="1"/>
    </row>
    <row r="816" spans="1:40" ht="15.75" customHeight="1">
      <c r="A816" s="1"/>
      <c r="B816" s="1"/>
      <c r="C816" s="1"/>
      <c r="D816" s="1"/>
      <c r="E816" s="1"/>
      <c r="F816" s="1"/>
      <c r="G816" s="1"/>
      <c r="H816" s="1"/>
      <c r="I816" s="1"/>
      <c r="J816" s="1"/>
      <c r="K816" s="1"/>
      <c r="L816" s="1"/>
      <c r="M816" s="1"/>
      <c r="N816" s="1"/>
      <c r="O816" s="1"/>
      <c r="P816" s="1"/>
      <c r="Q816" s="517"/>
      <c r="R816" s="1"/>
      <c r="S816" s="1"/>
      <c r="T816" s="1"/>
      <c r="U816" s="1"/>
      <c r="V816" s="1"/>
      <c r="W816" s="1"/>
      <c r="X816" s="1"/>
      <c r="Y816" s="1"/>
      <c r="Z816" s="1"/>
      <c r="AA816" s="1"/>
      <c r="AB816" s="1"/>
      <c r="AC816" s="1"/>
      <c r="AD816" s="1"/>
      <c r="AE816" s="1"/>
      <c r="AF816" s="1"/>
      <c r="AG816" s="1"/>
      <c r="AH816" s="1"/>
      <c r="AI816" s="1"/>
      <c r="AJ816" s="1"/>
      <c r="AK816" s="1"/>
      <c r="AL816" s="1"/>
      <c r="AM816" s="1"/>
      <c r="AN816" s="1"/>
    </row>
    <row r="817" spans="1:40" ht="15.75" customHeight="1">
      <c r="A817" s="1"/>
      <c r="B817" s="1"/>
      <c r="C817" s="1"/>
      <c r="D817" s="1"/>
      <c r="E817" s="1"/>
      <c r="F817" s="1"/>
      <c r="G817" s="1"/>
      <c r="H817" s="1"/>
      <c r="I817" s="1"/>
      <c r="J817" s="1"/>
      <c r="K817" s="1"/>
      <c r="L817" s="1"/>
      <c r="M817" s="1"/>
      <c r="N817" s="1"/>
      <c r="O817" s="1"/>
      <c r="P817" s="1"/>
      <c r="Q817" s="517"/>
      <c r="R817" s="1"/>
      <c r="S817" s="1"/>
      <c r="T817" s="1"/>
      <c r="U817" s="1"/>
      <c r="V817" s="1"/>
      <c r="W817" s="1"/>
      <c r="X817" s="1"/>
      <c r="Y817" s="1"/>
      <c r="Z817" s="1"/>
      <c r="AA817" s="1"/>
      <c r="AB817" s="1"/>
      <c r="AC817" s="1"/>
      <c r="AD817" s="1"/>
      <c r="AE817" s="1"/>
      <c r="AF817" s="1"/>
      <c r="AG817" s="1"/>
      <c r="AH817" s="1"/>
      <c r="AI817" s="1"/>
      <c r="AJ817" s="1"/>
      <c r="AK817" s="1"/>
      <c r="AL817" s="1"/>
      <c r="AM817" s="1"/>
      <c r="AN817" s="1"/>
    </row>
    <row r="818" spans="1:40" ht="15.75" customHeight="1">
      <c r="A818" s="1"/>
      <c r="B818" s="1"/>
      <c r="C818" s="1"/>
      <c r="D818" s="1"/>
      <c r="E818" s="1"/>
      <c r="F818" s="1"/>
      <c r="G818" s="1"/>
      <c r="H818" s="1"/>
      <c r="I818" s="1"/>
      <c r="J818" s="1"/>
      <c r="K818" s="1"/>
      <c r="L818" s="1"/>
      <c r="M818" s="1"/>
      <c r="N818" s="1"/>
      <c r="O818" s="1"/>
      <c r="P818" s="1"/>
      <c r="Q818" s="517"/>
      <c r="R818" s="1"/>
      <c r="S818" s="1"/>
      <c r="T818" s="1"/>
      <c r="U818" s="1"/>
      <c r="V818" s="1"/>
      <c r="W818" s="1"/>
      <c r="X818" s="1"/>
      <c r="Y818" s="1"/>
      <c r="Z818" s="1"/>
      <c r="AA818" s="1"/>
      <c r="AB818" s="1"/>
      <c r="AC818" s="1"/>
      <c r="AD818" s="1"/>
      <c r="AE818" s="1"/>
      <c r="AF818" s="1"/>
      <c r="AG818" s="1"/>
      <c r="AH818" s="1"/>
      <c r="AI818" s="1"/>
      <c r="AJ818" s="1"/>
      <c r="AK818" s="1"/>
      <c r="AL818" s="1"/>
      <c r="AM818" s="1"/>
      <c r="AN818" s="1"/>
    </row>
    <row r="819" spans="1:40" ht="15.75" customHeight="1">
      <c r="A819" s="1"/>
      <c r="B819" s="1"/>
      <c r="C819" s="1"/>
      <c r="D819" s="1"/>
      <c r="E819" s="1"/>
      <c r="F819" s="1"/>
      <c r="G819" s="1"/>
      <c r="H819" s="1"/>
      <c r="I819" s="1"/>
      <c r="J819" s="1"/>
      <c r="K819" s="1"/>
      <c r="L819" s="1"/>
      <c r="M819" s="1"/>
      <c r="N819" s="1"/>
      <c r="O819" s="1"/>
      <c r="P819" s="1"/>
      <c r="Q819" s="517"/>
      <c r="R819" s="1"/>
      <c r="S819" s="1"/>
      <c r="T819" s="1"/>
      <c r="U819" s="1"/>
      <c r="V819" s="1"/>
      <c r="W819" s="1"/>
      <c r="X819" s="1"/>
      <c r="Y819" s="1"/>
      <c r="Z819" s="1"/>
      <c r="AA819" s="1"/>
      <c r="AB819" s="1"/>
      <c r="AC819" s="1"/>
      <c r="AD819" s="1"/>
      <c r="AE819" s="1"/>
      <c r="AF819" s="1"/>
      <c r="AG819" s="1"/>
      <c r="AH819" s="1"/>
      <c r="AI819" s="1"/>
      <c r="AJ819" s="1"/>
      <c r="AK819" s="1"/>
      <c r="AL819" s="1"/>
      <c r="AM819" s="1"/>
      <c r="AN819" s="1"/>
    </row>
    <row r="820" spans="1:40" ht="15.75" customHeight="1">
      <c r="A820" s="1"/>
      <c r="B820" s="1"/>
      <c r="C820" s="1"/>
      <c r="D820" s="1"/>
      <c r="E820" s="1"/>
      <c r="F820" s="1"/>
      <c r="G820" s="1"/>
      <c r="H820" s="1"/>
      <c r="I820" s="1"/>
      <c r="J820" s="1"/>
      <c r="K820" s="1"/>
      <c r="L820" s="1"/>
      <c r="M820" s="1"/>
      <c r="N820" s="1"/>
      <c r="O820" s="1"/>
      <c r="P820" s="1"/>
      <c r="Q820" s="517"/>
      <c r="R820" s="1"/>
      <c r="S820" s="1"/>
      <c r="T820" s="1"/>
      <c r="U820" s="1"/>
      <c r="V820" s="1"/>
      <c r="W820" s="1"/>
      <c r="X820" s="1"/>
      <c r="Y820" s="1"/>
      <c r="Z820" s="1"/>
      <c r="AA820" s="1"/>
      <c r="AB820" s="1"/>
      <c r="AC820" s="1"/>
      <c r="AD820" s="1"/>
      <c r="AE820" s="1"/>
      <c r="AF820" s="1"/>
      <c r="AG820" s="1"/>
      <c r="AH820" s="1"/>
      <c r="AI820" s="1"/>
      <c r="AJ820" s="1"/>
      <c r="AK820" s="1"/>
      <c r="AL820" s="1"/>
      <c r="AM820" s="1"/>
      <c r="AN820" s="1"/>
    </row>
    <row r="821" spans="1:40" ht="15.75" customHeight="1">
      <c r="A821" s="1"/>
      <c r="B821" s="1"/>
      <c r="C821" s="1"/>
      <c r="D821" s="1"/>
      <c r="E821" s="1"/>
      <c r="F821" s="1"/>
      <c r="G821" s="1"/>
      <c r="H821" s="1"/>
      <c r="I821" s="1"/>
      <c r="J821" s="1"/>
      <c r="K821" s="1"/>
      <c r="L821" s="1"/>
      <c r="M821" s="1"/>
      <c r="N821" s="1"/>
      <c r="O821" s="1"/>
      <c r="P821" s="1"/>
      <c r="Q821" s="517"/>
      <c r="R821" s="1"/>
      <c r="S821" s="1"/>
      <c r="T821" s="1"/>
      <c r="U821" s="1"/>
      <c r="V821" s="1"/>
      <c r="W821" s="1"/>
      <c r="X821" s="1"/>
      <c r="Y821" s="1"/>
      <c r="Z821" s="1"/>
      <c r="AA821" s="1"/>
      <c r="AB821" s="1"/>
      <c r="AC821" s="1"/>
      <c r="AD821" s="1"/>
      <c r="AE821" s="1"/>
      <c r="AF821" s="1"/>
      <c r="AG821" s="1"/>
      <c r="AH821" s="1"/>
      <c r="AI821" s="1"/>
      <c r="AJ821" s="1"/>
      <c r="AK821" s="1"/>
      <c r="AL821" s="1"/>
      <c r="AM821" s="1"/>
      <c r="AN821" s="1"/>
    </row>
    <row r="822" spans="1:40" ht="15.75" customHeight="1">
      <c r="A822" s="1"/>
      <c r="B822" s="1"/>
      <c r="C822" s="1"/>
      <c r="D822" s="1"/>
      <c r="E822" s="1"/>
      <c r="F822" s="1"/>
      <c r="G822" s="1"/>
      <c r="H822" s="1"/>
      <c r="I822" s="1"/>
      <c r="J822" s="1"/>
      <c r="K822" s="1"/>
      <c r="L822" s="1"/>
      <c r="M822" s="1"/>
      <c r="N822" s="1"/>
      <c r="O822" s="1"/>
      <c r="P822" s="1"/>
      <c r="Q822" s="517"/>
      <c r="R822" s="1"/>
      <c r="S822" s="1"/>
      <c r="T822" s="1"/>
      <c r="U822" s="1"/>
      <c r="V822" s="1"/>
      <c r="W822" s="1"/>
      <c r="X822" s="1"/>
      <c r="Y822" s="1"/>
      <c r="Z822" s="1"/>
      <c r="AA822" s="1"/>
      <c r="AB822" s="1"/>
      <c r="AC822" s="1"/>
      <c r="AD822" s="1"/>
      <c r="AE822" s="1"/>
      <c r="AF822" s="1"/>
      <c r="AG822" s="1"/>
      <c r="AH822" s="1"/>
      <c r="AI822" s="1"/>
      <c r="AJ822" s="1"/>
      <c r="AK822" s="1"/>
      <c r="AL822" s="1"/>
      <c r="AM822" s="1"/>
      <c r="AN822" s="1"/>
    </row>
    <row r="823" spans="1:40" ht="15.75" customHeight="1">
      <c r="A823" s="1"/>
      <c r="B823" s="1"/>
      <c r="C823" s="1"/>
      <c r="D823" s="1"/>
      <c r="E823" s="1"/>
      <c r="F823" s="1"/>
      <c r="G823" s="1"/>
      <c r="H823" s="1"/>
      <c r="I823" s="1"/>
      <c r="J823" s="1"/>
      <c r="K823" s="1"/>
      <c r="L823" s="1"/>
      <c r="M823" s="1"/>
      <c r="N823" s="1"/>
      <c r="O823" s="1"/>
      <c r="P823" s="1"/>
      <c r="Q823" s="517"/>
      <c r="R823" s="1"/>
      <c r="S823" s="1"/>
      <c r="T823" s="1"/>
      <c r="U823" s="1"/>
      <c r="V823" s="1"/>
      <c r="W823" s="1"/>
      <c r="X823" s="1"/>
      <c r="Y823" s="1"/>
      <c r="Z823" s="1"/>
      <c r="AA823" s="1"/>
      <c r="AB823" s="1"/>
      <c r="AC823" s="1"/>
      <c r="AD823" s="1"/>
      <c r="AE823" s="1"/>
      <c r="AF823" s="1"/>
      <c r="AG823" s="1"/>
      <c r="AH823" s="1"/>
      <c r="AI823" s="1"/>
      <c r="AJ823" s="1"/>
      <c r="AK823" s="1"/>
      <c r="AL823" s="1"/>
      <c r="AM823" s="1"/>
      <c r="AN823" s="1"/>
    </row>
    <row r="824" spans="1:40" ht="15.75" customHeight="1">
      <c r="A824" s="1"/>
      <c r="B824" s="1"/>
      <c r="C824" s="1"/>
      <c r="D824" s="1"/>
      <c r="E824" s="1"/>
      <c r="F824" s="1"/>
      <c r="G824" s="1"/>
      <c r="H824" s="1"/>
      <c r="I824" s="1"/>
      <c r="J824" s="1"/>
      <c r="K824" s="1"/>
      <c r="L824" s="1"/>
      <c r="M824" s="1"/>
      <c r="N824" s="1"/>
      <c r="O824" s="1"/>
      <c r="P824" s="1"/>
      <c r="Q824" s="517"/>
      <c r="R824" s="1"/>
      <c r="S824" s="1"/>
      <c r="T824" s="1"/>
      <c r="U824" s="1"/>
      <c r="V824" s="1"/>
      <c r="W824" s="1"/>
      <c r="X824" s="1"/>
      <c r="Y824" s="1"/>
      <c r="Z824" s="1"/>
      <c r="AA824" s="1"/>
      <c r="AB824" s="1"/>
      <c r="AC824" s="1"/>
      <c r="AD824" s="1"/>
      <c r="AE824" s="1"/>
      <c r="AF824" s="1"/>
      <c r="AG824" s="1"/>
      <c r="AH824" s="1"/>
      <c r="AI824" s="1"/>
      <c r="AJ824" s="1"/>
      <c r="AK824" s="1"/>
      <c r="AL824" s="1"/>
      <c r="AM824" s="1"/>
      <c r="AN824" s="1"/>
    </row>
    <row r="825" spans="1:40" ht="15.75" customHeight="1">
      <c r="A825" s="1"/>
      <c r="B825" s="1"/>
      <c r="C825" s="1"/>
      <c r="D825" s="1"/>
      <c r="E825" s="1"/>
      <c r="F825" s="1"/>
      <c r="G825" s="1"/>
      <c r="H825" s="1"/>
      <c r="I825" s="1"/>
      <c r="J825" s="1"/>
      <c r="K825" s="1"/>
      <c r="L825" s="1"/>
      <c r="M825" s="1"/>
      <c r="N825" s="1"/>
      <c r="O825" s="1"/>
      <c r="P825" s="1"/>
      <c r="Q825" s="517"/>
      <c r="R825" s="1"/>
      <c r="S825" s="1"/>
      <c r="T825" s="1"/>
      <c r="U825" s="1"/>
      <c r="V825" s="1"/>
      <c r="W825" s="1"/>
      <c r="X825" s="1"/>
      <c r="Y825" s="1"/>
      <c r="Z825" s="1"/>
      <c r="AA825" s="1"/>
      <c r="AB825" s="1"/>
      <c r="AC825" s="1"/>
      <c r="AD825" s="1"/>
      <c r="AE825" s="1"/>
      <c r="AF825" s="1"/>
      <c r="AG825" s="1"/>
      <c r="AH825" s="1"/>
      <c r="AI825" s="1"/>
      <c r="AJ825" s="1"/>
      <c r="AK825" s="1"/>
      <c r="AL825" s="1"/>
      <c r="AM825" s="1"/>
      <c r="AN825" s="1"/>
    </row>
    <row r="826" spans="1:40" ht="15.75" customHeight="1">
      <c r="A826" s="1"/>
      <c r="B826" s="1"/>
      <c r="C826" s="1"/>
      <c r="D826" s="1"/>
      <c r="E826" s="1"/>
      <c r="F826" s="1"/>
      <c r="G826" s="1"/>
      <c r="H826" s="1"/>
      <c r="I826" s="1"/>
      <c r="J826" s="1"/>
      <c r="K826" s="1"/>
      <c r="L826" s="1"/>
      <c r="M826" s="1"/>
      <c r="N826" s="1"/>
      <c r="O826" s="1"/>
      <c r="P826" s="1"/>
      <c r="Q826" s="517"/>
      <c r="R826" s="1"/>
      <c r="S826" s="1"/>
      <c r="T826" s="1"/>
      <c r="U826" s="1"/>
      <c r="V826" s="1"/>
      <c r="W826" s="1"/>
      <c r="X826" s="1"/>
      <c r="Y826" s="1"/>
      <c r="Z826" s="1"/>
      <c r="AA826" s="1"/>
      <c r="AB826" s="1"/>
      <c r="AC826" s="1"/>
      <c r="AD826" s="1"/>
      <c r="AE826" s="1"/>
      <c r="AF826" s="1"/>
      <c r="AG826" s="1"/>
      <c r="AH826" s="1"/>
      <c r="AI826" s="1"/>
      <c r="AJ826" s="1"/>
      <c r="AK826" s="1"/>
      <c r="AL826" s="1"/>
      <c r="AM826" s="1"/>
      <c r="AN826" s="1"/>
    </row>
    <row r="827" spans="1:40" ht="15.75" customHeight="1">
      <c r="A827" s="1"/>
      <c r="B827" s="1"/>
      <c r="C827" s="1"/>
      <c r="D827" s="1"/>
      <c r="E827" s="1"/>
      <c r="F827" s="1"/>
      <c r="G827" s="1"/>
      <c r="H827" s="1"/>
      <c r="I827" s="1"/>
      <c r="J827" s="1"/>
      <c r="K827" s="1"/>
      <c r="L827" s="1"/>
      <c r="M827" s="1"/>
      <c r="N827" s="1"/>
      <c r="O827" s="1"/>
      <c r="P827" s="1"/>
      <c r="Q827" s="517"/>
      <c r="R827" s="1"/>
      <c r="S827" s="1"/>
      <c r="T827" s="1"/>
      <c r="U827" s="1"/>
      <c r="V827" s="1"/>
      <c r="W827" s="1"/>
      <c r="X827" s="1"/>
      <c r="Y827" s="1"/>
      <c r="Z827" s="1"/>
      <c r="AA827" s="1"/>
      <c r="AB827" s="1"/>
      <c r="AC827" s="1"/>
      <c r="AD827" s="1"/>
      <c r="AE827" s="1"/>
      <c r="AF827" s="1"/>
      <c r="AG827" s="1"/>
      <c r="AH827" s="1"/>
      <c r="AI827" s="1"/>
      <c r="AJ827" s="1"/>
      <c r="AK827" s="1"/>
      <c r="AL827" s="1"/>
      <c r="AM827" s="1"/>
      <c r="AN827" s="1"/>
    </row>
    <row r="828" spans="1:40" ht="15.75" customHeight="1">
      <c r="A828" s="1"/>
      <c r="B828" s="1"/>
      <c r="C828" s="1"/>
      <c r="D828" s="1"/>
      <c r="E828" s="1"/>
      <c r="F828" s="1"/>
      <c r="G828" s="1"/>
      <c r="H828" s="1"/>
      <c r="I828" s="1"/>
      <c r="J828" s="1"/>
      <c r="K828" s="1"/>
      <c r="L828" s="1"/>
      <c r="M828" s="1"/>
      <c r="N828" s="1"/>
      <c r="O828" s="1"/>
      <c r="P828" s="1"/>
      <c r="Q828" s="517"/>
      <c r="R828" s="1"/>
      <c r="S828" s="1"/>
      <c r="T828" s="1"/>
      <c r="U828" s="1"/>
      <c r="V828" s="1"/>
      <c r="W828" s="1"/>
      <c r="X828" s="1"/>
      <c r="Y828" s="1"/>
      <c r="Z828" s="1"/>
      <c r="AA828" s="1"/>
      <c r="AB828" s="1"/>
      <c r="AC828" s="1"/>
      <c r="AD828" s="1"/>
      <c r="AE828" s="1"/>
      <c r="AF828" s="1"/>
      <c r="AG828" s="1"/>
      <c r="AH828" s="1"/>
      <c r="AI828" s="1"/>
      <c r="AJ828" s="1"/>
      <c r="AK828" s="1"/>
      <c r="AL828" s="1"/>
      <c r="AM828" s="1"/>
      <c r="AN828" s="1"/>
    </row>
    <row r="829" spans="1:40" ht="15.75" customHeight="1">
      <c r="A829" s="1"/>
      <c r="B829" s="1"/>
      <c r="C829" s="1"/>
      <c r="D829" s="1"/>
      <c r="E829" s="1"/>
      <c r="F829" s="1"/>
      <c r="G829" s="1"/>
      <c r="H829" s="1"/>
      <c r="I829" s="1"/>
      <c r="J829" s="1"/>
      <c r="K829" s="1"/>
      <c r="L829" s="1"/>
      <c r="M829" s="1"/>
      <c r="N829" s="1"/>
      <c r="O829" s="1"/>
      <c r="P829" s="1"/>
      <c r="Q829" s="517"/>
      <c r="R829" s="1"/>
      <c r="S829" s="1"/>
      <c r="T829" s="1"/>
      <c r="U829" s="1"/>
      <c r="V829" s="1"/>
      <c r="W829" s="1"/>
      <c r="X829" s="1"/>
      <c r="Y829" s="1"/>
      <c r="Z829" s="1"/>
      <c r="AA829" s="1"/>
      <c r="AB829" s="1"/>
      <c r="AC829" s="1"/>
      <c r="AD829" s="1"/>
      <c r="AE829" s="1"/>
      <c r="AF829" s="1"/>
      <c r="AG829" s="1"/>
      <c r="AH829" s="1"/>
      <c r="AI829" s="1"/>
      <c r="AJ829" s="1"/>
      <c r="AK829" s="1"/>
      <c r="AL829" s="1"/>
      <c r="AM829" s="1"/>
      <c r="AN829" s="1"/>
    </row>
    <row r="830" spans="1:40" ht="15.75" customHeight="1">
      <c r="A830" s="1"/>
      <c r="B830" s="1"/>
      <c r="C830" s="1"/>
      <c r="D830" s="1"/>
      <c r="E830" s="1"/>
      <c r="F830" s="1"/>
      <c r="G830" s="1"/>
      <c r="H830" s="1"/>
      <c r="I830" s="1"/>
      <c r="J830" s="1"/>
      <c r="K830" s="1"/>
      <c r="L830" s="1"/>
      <c r="M830" s="1"/>
      <c r="N830" s="1"/>
      <c r="O830" s="1"/>
      <c r="P830" s="1"/>
      <c r="Q830" s="517"/>
      <c r="R830" s="1"/>
      <c r="S830" s="1"/>
      <c r="T830" s="1"/>
      <c r="U830" s="1"/>
      <c r="V830" s="1"/>
      <c r="W830" s="1"/>
      <c r="X830" s="1"/>
      <c r="Y830" s="1"/>
      <c r="Z830" s="1"/>
      <c r="AA830" s="1"/>
      <c r="AB830" s="1"/>
      <c r="AC830" s="1"/>
      <c r="AD830" s="1"/>
      <c r="AE830" s="1"/>
      <c r="AF830" s="1"/>
      <c r="AG830" s="1"/>
      <c r="AH830" s="1"/>
      <c r="AI830" s="1"/>
      <c r="AJ830" s="1"/>
      <c r="AK830" s="1"/>
      <c r="AL830" s="1"/>
      <c r="AM830" s="1"/>
      <c r="AN830" s="1"/>
    </row>
    <row r="831" spans="1:40" ht="15.75" customHeight="1">
      <c r="A831" s="1"/>
      <c r="B831" s="1"/>
      <c r="C831" s="1"/>
      <c r="D831" s="1"/>
      <c r="E831" s="1"/>
      <c r="F831" s="1"/>
      <c r="G831" s="1"/>
      <c r="H831" s="1"/>
      <c r="I831" s="1"/>
      <c r="J831" s="1"/>
      <c r="K831" s="1"/>
      <c r="L831" s="1"/>
      <c r="M831" s="1"/>
      <c r="N831" s="1"/>
      <c r="O831" s="1"/>
      <c r="P831" s="1"/>
      <c r="Q831" s="517"/>
      <c r="R831" s="1"/>
      <c r="S831" s="1"/>
      <c r="T831" s="1"/>
      <c r="U831" s="1"/>
      <c r="V831" s="1"/>
      <c r="W831" s="1"/>
      <c r="X831" s="1"/>
      <c r="Y831" s="1"/>
      <c r="Z831" s="1"/>
      <c r="AA831" s="1"/>
      <c r="AB831" s="1"/>
      <c r="AC831" s="1"/>
      <c r="AD831" s="1"/>
      <c r="AE831" s="1"/>
      <c r="AF831" s="1"/>
      <c r="AG831" s="1"/>
      <c r="AH831" s="1"/>
      <c r="AI831" s="1"/>
      <c r="AJ831" s="1"/>
      <c r="AK831" s="1"/>
      <c r="AL831" s="1"/>
      <c r="AM831" s="1"/>
      <c r="AN831" s="1"/>
    </row>
    <row r="832" spans="1:40" ht="15.75" customHeight="1">
      <c r="A832" s="1"/>
      <c r="B832" s="1"/>
      <c r="C832" s="1"/>
      <c r="D832" s="1"/>
      <c r="E832" s="1"/>
      <c r="F832" s="1"/>
      <c r="G832" s="1"/>
      <c r="H832" s="1"/>
      <c r="I832" s="1"/>
      <c r="J832" s="1"/>
      <c r="K832" s="1"/>
      <c r="L832" s="1"/>
      <c r="M832" s="1"/>
      <c r="N832" s="1"/>
      <c r="O832" s="1"/>
      <c r="P832" s="1"/>
      <c r="Q832" s="517"/>
      <c r="R832" s="1"/>
      <c r="S832" s="1"/>
      <c r="T832" s="1"/>
      <c r="U832" s="1"/>
      <c r="V832" s="1"/>
      <c r="W832" s="1"/>
      <c r="X832" s="1"/>
      <c r="Y832" s="1"/>
      <c r="Z832" s="1"/>
      <c r="AA832" s="1"/>
      <c r="AB832" s="1"/>
      <c r="AC832" s="1"/>
      <c r="AD832" s="1"/>
      <c r="AE832" s="1"/>
      <c r="AF832" s="1"/>
      <c r="AG832" s="1"/>
      <c r="AH832" s="1"/>
      <c r="AI832" s="1"/>
      <c r="AJ832" s="1"/>
      <c r="AK832" s="1"/>
      <c r="AL832" s="1"/>
      <c r="AM832" s="1"/>
      <c r="AN832" s="1"/>
    </row>
    <row r="833" spans="1:40" ht="15.75" customHeight="1">
      <c r="A833" s="1"/>
      <c r="B833" s="1"/>
      <c r="C833" s="1"/>
      <c r="D833" s="1"/>
      <c r="E833" s="1"/>
      <c r="F833" s="1"/>
      <c r="G833" s="1"/>
      <c r="H833" s="1"/>
      <c r="I833" s="1"/>
      <c r="J833" s="1"/>
      <c r="K833" s="1"/>
      <c r="L833" s="1"/>
      <c r="M833" s="1"/>
      <c r="N833" s="1"/>
      <c r="O833" s="1"/>
      <c r="P833" s="1"/>
      <c r="Q833" s="517"/>
      <c r="R833" s="1"/>
      <c r="S833" s="1"/>
      <c r="T833" s="1"/>
      <c r="U833" s="1"/>
      <c r="V833" s="1"/>
      <c r="W833" s="1"/>
      <c r="X833" s="1"/>
      <c r="Y833" s="1"/>
      <c r="Z833" s="1"/>
      <c r="AA833" s="1"/>
      <c r="AB833" s="1"/>
      <c r="AC833" s="1"/>
      <c r="AD833" s="1"/>
      <c r="AE833" s="1"/>
      <c r="AF833" s="1"/>
      <c r="AG833" s="1"/>
      <c r="AH833" s="1"/>
      <c r="AI833" s="1"/>
      <c r="AJ833" s="1"/>
      <c r="AK833" s="1"/>
      <c r="AL833" s="1"/>
      <c r="AM833" s="1"/>
      <c r="AN833" s="1"/>
    </row>
    <row r="834" spans="1:40" ht="15.75" customHeight="1">
      <c r="A834" s="1"/>
      <c r="B834" s="1"/>
      <c r="C834" s="1"/>
      <c r="D834" s="1"/>
      <c r="E834" s="1"/>
      <c r="F834" s="1"/>
      <c r="G834" s="1"/>
      <c r="H834" s="1"/>
      <c r="I834" s="1"/>
      <c r="J834" s="1"/>
      <c r="K834" s="1"/>
      <c r="L834" s="1"/>
      <c r="M834" s="1"/>
      <c r="N834" s="1"/>
      <c r="O834" s="1"/>
      <c r="P834" s="1"/>
      <c r="Q834" s="517"/>
      <c r="R834" s="1"/>
      <c r="S834" s="1"/>
      <c r="T834" s="1"/>
      <c r="U834" s="1"/>
      <c r="V834" s="1"/>
      <c r="W834" s="1"/>
      <c r="X834" s="1"/>
      <c r="Y834" s="1"/>
      <c r="Z834" s="1"/>
      <c r="AA834" s="1"/>
      <c r="AB834" s="1"/>
      <c r="AC834" s="1"/>
      <c r="AD834" s="1"/>
      <c r="AE834" s="1"/>
      <c r="AF834" s="1"/>
      <c r="AG834" s="1"/>
      <c r="AH834" s="1"/>
      <c r="AI834" s="1"/>
      <c r="AJ834" s="1"/>
      <c r="AK834" s="1"/>
      <c r="AL834" s="1"/>
      <c r="AM834" s="1"/>
      <c r="AN834" s="1"/>
    </row>
    <row r="835" spans="1:40" ht="15.75" customHeight="1">
      <c r="A835" s="1"/>
      <c r="B835" s="1"/>
      <c r="C835" s="1"/>
      <c r="D835" s="1"/>
      <c r="E835" s="1"/>
      <c r="F835" s="1"/>
      <c r="G835" s="1"/>
      <c r="H835" s="1"/>
      <c r="I835" s="1"/>
      <c r="J835" s="1"/>
      <c r="K835" s="1"/>
      <c r="L835" s="1"/>
      <c r="M835" s="1"/>
      <c r="N835" s="1"/>
      <c r="O835" s="1"/>
      <c r="P835" s="1"/>
      <c r="Q835" s="517"/>
      <c r="R835" s="1"/>
      <c r="S835" s="1"/>
      <c r="T835" s="1"/>
      <c r="U835" s="1"/>
      <c r="V835" s="1"/>
      <c r="W835" s="1"/>
      <c r="X835" s="1"/>
      <c r="Y835" s="1"/>
      <c r="Z835" s="1"/>
      <c r="AA835" s="1"/>
      <c r="AB835" s="1"/>
      <c r="AC835" s="1"/>
      <c r="AD835" s="1"/>
      <c r="AE835" s="1"/>
      <c r="AF835" s="1"/>
      <c r="AG835" s="1"/>
      <c r="AH835" s="1"/>
      <c r="AI835" s="1"/>
      <c r="AJ835" s="1"/>
      <c r="AK835" s="1"/>
      <c r="AL835" s="1"/>
      <c r="AM835" s="1"/>
      <c r="AN835" s="1"/>
    </row>
    <row r="836" spans="1:40" ht="15.75" customHeight="1">
      <c r="A836" s="1"/>
      <c r="B836" s="1"/>
      <c r="C836" s="1"/>
      <c r="D836" s="1"/>
      <c r="E836" s="1"/>
      <c r="F836" s="1"/>
      <c r="G836" s="1"/>
      <c r="H836" s="1"/>
      <c r="I836" s="1"/>
      <c r="J836" s="1"/>
      <c r="K836" s="1"/>
      <c r="L836" s="1"/>
      <c r="M836" s="1"/>
      <c r="N836" s="1"/>
      <c r="O836" s="1"/>
      <c r="P836" s="1"/>
      <c r="Q836" s="517"/>
      <c r="R836" s="1"/>
      <c r="S836" s="1"/>
      <c r="T836" s="1"/>
      <c r="U836" s="1"/>
      <c r="V836" s="1"/>
      <c r="W836" s="1"/>
      <c r="X836" s="1"/>
      <c r="Y836" s="1"/>
      <c r="Z836" s="1"/>
      <c r="AA836" s="1"/>
      <c r="AB836" s="1"/>
      <c r="AC836" s="1"/>
      <c r="AD836" s="1"/>
      <c r="AE836" s="1"/>
      <c r="AF836" s="1"/>
      <c r="AG836" s="1"/>
      <c r="AH836" s="1"/>
      <c r="AI836" s="1"/>
      <c r="AJ836" s="1"/>
      <c r="AK836" s="1"/>
      <c r="AL836" s="1"/>
      <c r="AM836" s="1"/>
      <c r="AN836" s="1"/>
    </row>
    <row r="837" spans="1:40" ht="15.75" customHeight="1">
      <c r="A837" s="1"/>
      <c r="B837" s="1"/>
      <c r="C837" s="1"/>
      <c r="D837" s="1"/>
      <c r="E837" s="1"/>
      <c r="F837" s="1"/>
      <c r="G837" s="1"/>
      <c r="H837" s="1"/>
      <c r="I837" s="1"/>
      <c r="J837" s="1"/>
      <c r="K837" s="1"/>
      <c r="L837" s="1"/>
      <c r="M837" s="1"/>
      <c r="N837" s="1"/>
      <c r="O837" s="1"/>
      <c r="P837" s="1"/>
      <c r="Q837" s="517"/>
      <c r="R837" s="1"/>
      <c r="S837" s="1"/>
      <c r="T837" s="1"/>
      <c r="U837" s="1"/>
      <c r="V837" s="1"/>
      <c r="W837" s="1"/>
      <c r="X837" s="1"/>
      <c r="Y837" s="1"/>
      <c r="Z837" s="1"/>
      <c r="AA837" s="1"/>
      <c r="AB837" s="1"/>
      <c r="AC837" s="1"/>
      <c r="AD837" s="1"/>
      <c r="AE837" s="1"/>
      <c r="AF837" s="1"/>
      <c r="AG837" s="1"/>
      <c r="AH837" s="1"/>
      <c r="AI837" s="1"/>
      <c r="AJ837" s="1"/>
      <c r="AK837" s="1"/>
      <c r="AL837" s="1"/>
      <c r="AM837" s="1"/>
      <c r="AN837" s="1"/>
    </row>
    <row r="838" spans="1:40" ht="15.75" customHeight="1">
      <c r="A838" s="1"/>
      <c r="B838" s="1"/>
      <c r="C838" s="1"/>
      <c r="D838" s="1"/>
      <c r="E838" s="1"/>
      <c r="F838" s="1"/>
      <c r="G838" s="1"/>
      <c r="H838" s="1"/>
      <c r="I838" s="1"/>
      <c r="J838" s="1"/>
      <c r="K838" s="1"/>
      <c r="L838" s="1"/>
      <c r="M838" s="1"/>
      <c r="N838" s="1"/>
      <c r="O838" s="1"/>
      <c r="P838" s="1"/>
      <c r="Q838" s="517"/>
      <c r="R838" s="1"/>
      <c r="S838" s="1"/>
      <c r="T838" s="1"/>
      <c r="U838" s="1"/>
      <c r="V838" s="1"/>
      <c r="W838" s="1"/>
      <c r="X838" s="1"/>
      <c r="Y838" s="1"/>
      <c r="Z838" s="1"/>
      <c r="AA838" s="1"/>
      <c r="AB838" s="1"/>
      <c r="AC838" s="1"/>
      <c r="AD838" s="1"/>
      <c r="AE838" s="1"/>
      <c r="AF838" s="1"/>
      <c r="AG838" s="1"/>
      <c r="AH838" s="1"/>
      <c r="AI838" s="1"/>
      <c r="AJ838" s="1"/>
      <c r="AK838" s="1"/>
      <c r="AL838" s="1"/>
      <c r="AM838" s="1"/>
      <c r="AN838" s="1"/>
    </row>
    <row r="839" spans="1:40" ht="15.75" customHeight="1">
      <c r="A839" s="1"/>
      <c r="B839" s="1"/>
      <c r="C839" s="1"/>
      <c r="D839" s="1"/>
      <c r="E839" s="1"/>
      <c r="F839" s="1"/>
      <c r="G839" s="1"/>
      <c r="H839" s="1"/>
      <c r="I839" s="1"/>
      <c r="J839" s="1"/>
      <c r="K839" s="1"/>
      <c r="L839" s="1"/>
      <c r="M839" s="1"/>
      <c r="N839" s="1"/>
      <c r="O839" s="1"/>
      <c r="P839" s="1"/>
      <c r="Q839" s="517"/>
      <c r="R839" s="1"/>
      <c r="S839" s="1"/>
      <c r="T839" s="1"/>
      <c r="U839" s="1"/>
      <c r="V839" s="1"/>
      <c r="W839" s="1"/>
      <c r="X839" s="1"/>
      <c r="Y839" s="1"/>
      <c r="Z839" s="1"/>
      <c r="AA839" s="1"/>
      <c r="AB839" s="1"/>
      <c r="AC839" s="1"/>
      <c r="AD839" s="1"/>
      <c r="AE839" s="1"/>
      <c r="AF839" s="1"/>
      <c r="AG839" s="1"/>
      <c r="AH839" s="1"/>
      <c r="AI839" s="1"/>
      <c r="AJ839" s="1"/>
      <c r="AK839" s="1"/>
      <c r="AL839" s="1"/>
      <c r="AM839" s="1"/>
      <c r="AN839" s="1"/>
    </row>
    <row r="840" spans="1:40" ht="15.75" customHeight="1">
      <c r="A840" s="1"/>
      <c r="B840" s="1"/>
      <c r="C840" s="1"/>
      <c r="D840" s="1"/>
      <c r="E840" s="1"/>
      <c r="F840" s="1"/>
      <c r="G840" s="1"/>
      <c r="H840" s="1"/>
      <c r="I840" s="1"/>
      <c r="J840" s="1"/>
      <c r="K840" s="1"/>
      <c r="L840" s="1"/>
      <c r="M840" s="1"/>
      <c r="N840" s="1"/>
      <c r="O840" s="1"/>
      <c r="P840" s="1"/>
      <c r="Q840" s="517"/>
      <c r="R840" s="1"/>
      <c r="S840" s="1"/>
      <c r="T840" s="1"/>
      <c r="U840" s="1"/>
      <c r="V840" s="1"/>
      <c r="W840" s="1"/>
      <c r="X840" s="1"/>
      <c r="Y840" s="1"/>
      <c r="Z840" s="1"/>
      <c r="AA840" s="1"/>
      <c r="AB840" s="1"/>
      <c r="AC840" s="1"/>
      <c r="AD840" s="1"/>
      <c r="AE840" s="1"/>
      <c r="AF840" s="1"/>
      <c r="AG840" s="1"/>
      <c r="AH840" s="1"/>
      <c r="AI840" s="1"/>
      <c r="AJ840" s="1"/>
      <c r="AK840" s="1"/>
      <c r="AL840" s="1"/>
      <c r="AM840" s="1"/>
      <c r="AN840" s="1"/>
    </row>
    <row r="841" spans="1:40" ht="15.75" customHeight="1">
      <c r="A841" s="1"/>
      <c r="B841" s="1"/>
      <c r="C841" s="1"/>
      <c r="D841" s="1"/>
      <c r="E841" s="1"/>
      <c r="F841" s="1"/>
      <c r="G841" s="1"/>
      <c r="H841" s="1"/>
      <c r="I841" s="1"/>
      <c r="J841" s="1"/>
      <c r="K841" s="1"/>
      <c r="L841" s="1"/>
      <c r="M841" s="1"/>
      <c r="N841" s="1"/>
      <c r="O841" s="1"/>
      <c r="P841" s="1"/>
      <c r="Q841" s="517"/>
      <c r="R841" s="1"/>
      <c r="S841" s="1"/>
      <c r="T841" s="1"/>
      <c r="U841" s="1"/>
      <c r="V841" s="1"/>
      <c r="W841" s="1"/>
      <c r="X841" s="1"/>
      <c r="Y841" s="1"/>
      <c r="Z841" s="1"/>
      <c r="AA841" s="1"/>
      <c r="AB841" s="1"/>
      <c r="AC841" s="1"/>
      <c r="AD841" s="1"/>
      <c r="AE841" s="1"/>
      <c r="AF841" s="1"/>
      <c r="AG841" s="1"/>
      <c r="AH841" s="1"/>
      <c r="AI841" s="1"/>
      <c r="AJ841" s="1"/>
      <c r="AK841" s="1"/>
      <c r="AL841" s="1"/>
      <c r="AM841" s="1"/>
      <c r="AN841" s="1"/>
    </row>
    <row r="842" spans="1:40" ht="15.75" customHeight="1">
      <c r="A842" s="1"/>
      <c r="B842" s="1"/>
      <c r="C842" s="1"/>
      <c r="D842" s="1"/>
      <c r="E842" s="1"/>
      <c r="F842" s="1"/>
      <c r="G842" s="1"/>
      <c r="H842" s="1"/>
      <c r="I842" s="1"/>
      <c r="J842" s="1"/>
      <c r="K842" s="1"/>
      <c r="L842" s="1"/>
      <c r="M842" s="1"/>
      <c r="N842" s="1"/>
      <c r="O842" s="1"/>
      <c r="P842" s="1"/>
      <c r="Q842" s="517"/>
      <c r="R842" s="1"/>
      <c r="S842" s="1"/>
      <c r="T842" s="1"/>
      <c r="U842" s="1"/>
      <c r="V842" s="1"/>
      <c r="W842" s="1"/>
      <c r="X842" s="1"/>
      <c r="Y842" s="1"/>
      <c r="Z842" s="1"/>
      <c r="AA842" s="1"/>
      <c r="AB842" s="1"/>
      <c r="AC842" s="1"/>
      <c r="AD842" s="1"/>
      <c r="AE842" s="1"/>
      <c r="AF842" s="1"/>
      <c r="AG842" s="1"/>
      <c r="AH842" s="1"/>
      <c r="AI842" s="1"/>
      <c r="AJ842" s="1"/>
      <c r="AK842" s="1"/>
      <c r="AL842" s="1"/>
      <c r="AM842" s="1"/>
      <c r="AN842" s="1"/>
    </row>
    <row r="843" spans="1:40" ht="15.75" customHeight="1">
      <c r="A843" s="1"/>
      <c r="B843" s="1"/>
      <c r="C843" s="1"/>
      <c r="D843" s="1"/>
      <c r="E843" s="1"/>
      <c r="F843" s="1"/>
      <c r="G843" s="1"/>
      <c r="H843" s="1"/>
      <c r="I843" s="1"/>
      <c r="J843" s="1"/>
      <c r="K843" s="1"/>
      <c r="L843" s="1"/>
      <c r="M843" s="1"/>
      <c r="N843" s="1"/>
      <c r="O843" s="1"/>
      <c r="P843" s="1"/>
      <c r="Q843" s="517"/>
      <c r="R843" s="1"/>
      <c r="S843" s="1"/>
      <c r="T843" s="1"/>
      <c r="U843" s="1"/>
      <c r="V843" s="1"/>
      <c r="W843" s="1"/>
      <c r="X843" s="1"/>
      <c r="Y843" s="1"/>
      <c r="Z843" s="1"/>
      <c r="AA843" s="1"/>
      <c r="AB843" s="1"/>
      <c r="AC843" s="1"/>
      <c r="AD843" s="1"/>
      <c r="AE843" s="1"/>
      <c r="AF843" s="1"/>
      <c r="AG843" s="1"/>
      <c r="AH843" s="1"/>
      <c r="AI843" s="1"/>
      <c r="AJ843" s="1"/>
      <c r="AK843" s="1"/>
      <c r="AL843" s="1"/>
      <c r="AM843" s="1"/>
      <c r="AN843" s="1"/>
    </row>
    <row r="844" spans="1:40" ht="15.75" customHeight="1">
      <c r="A844" s="1"/>
      <c r="B844" s="1"/>
      <c r="C844" s="1"/>
      <c r="D844" s="1"/>
      <c r="E844" s="1"/>
      <c r="F844" s="1"/>
      <c r="G844" s="1"/>
      <c r="H844" s="1"/>
      <c r="I844" s="1"/>
      <c r="J844" s="1"/>
      <c r="K844" s="1"/>
      <c r="L844" s="1"/>
      <c r="M844" s="1"/>
      <c r="N844" s="1"/>
      <c r="O844" s="1"/>
      <c r="P844" s="1"/>
      <c r="Q844" s="517"/>
      <c r="R844" s="1"/>
      <c r="S844" s="1"/>
      <c r="T844" s="1"/>
      <c r="U844" s="1"/>
      <c r="V844" s="1"/>
      <c r="W844" s="1"/>
      <c r="X844" s="1"/>
      <c r="Y844" s="1"/>
      <c r="Z844" s="1"/>
      <c r="AA844" s="1"/>
      <c r="AB844" s="1"/>
      <c r="AC844" s="1"/>
      <c r="AD844" s="1"/>
      <c r="AE844" s="1"/>
      <c r="AF844" s="1"/>
      <c r="AG844" s="1"/>
      <c r="AH844" s="1"/>
      <c r="AI844" s="1"/>
      <c r="AJ844" s="1"/>
      <c r="AK844" s="1"/>
      <c r="AL844" s="1"/>
      <c r="AM844" s="1"/>
      <c r="AN844" s="1"/>
    </row>
    <row r="845" spans="1:40" ht="15.75" customHeight="1">
      <c r="A845" s="1"/>
      <c r="B845" s="1"/>
      <c r="C845" s="1"/>
      <c r="D845" s="1"/>
      <c r="E845" s="1"/>
      <c r="F845" s="1"/>
      <c r="G845" s="1"/>
      <c r="H845" s="1"/>
      <c r="I845" s="1"/>
      <c r="J845" s="1"/>
      <c r="K845" s="1"/>
      <c r="L845" s="1"/>
      <c r="M845" s="1"/>
      <c r="N845" s="1"/>
      <c r="O845" s="1"/>
      <c r="P845" s="1"/>
      <c r="Q845" s="517"/>
      <c r="R845" s="1"/>
      <c r="S845" s="1"/>
      <c r="T845" s="1"/>
      <c r="U845" s="1"/>
      <c r="V845" s="1"/>
      <c r="W845" s="1"/>
      <c r="X845" s="1"/>
      <c r="Y845" s="1"/>
      <c r="Z845" s="1"/>
      <c r="AA845" s="1"/>
      <c r="AB845" s="1"/>
      <c r="AC845" s="1"/>
      <c r="AD845" s="1"/>
      <c r="AE845" s="1"/>
      <c r="AF845" s="1"/>
      <c r="AG845" s="1"/>
      <c r="AH845" s="1"/>
      <c r="AI845" s="1"/>
      <c r="AJ845" s="1"/>
      <c r="AK845" s="1"/>
      <c r="AL845" s="1"/>
      <c r="AM845" s="1"/>
      <c r="AN845" s="1"/>
    </row>
    <row r="846" spans="1:40" ht="15.75" customHeight="1">
      <c r="A846" s="1"/>
      <c r="B846" s="1"/>
      <c r="C846" s="1"/>
      <c r="D846" s="1"/>
      <c r="E846" s="1"/>
      <c r="F846" s="1"/>
      <c r="G846" s="1"/>
      <c r="H846" s="1"/>
      <c r="I846" s="1"/>
      <c r="J846" s="1"/>
      <c r="K846" s="1"/>
      <c r="L846" s="1"/>
      <c r="M846" s="1"/>
      <c r="N846" s="1"/>
      <c r="O846" s="1"/>
      <c r="P846" s="1"/>
      <c r="Q846" s="517"/>
      <c r="R846" s="1"/>
      <c r="S846" s="1"/>
      <c r="T846" s="1"/>
      <c r="U846" s="1"/>
      <c r="V846" s="1"/>
      <c r="W846" s="1"/>
      <c r="X846" s="1"/>
      <c r="Y846" s="1"/>
      <c r="Z846" s="1"/>
      <c r="AA846" s="1"/>
      <c r="AB846" s="1"/>
      <c r="AC846" s="1"/>
      <c r="AD846" s="1"/>
      <c r="AE846" s="1"/>
      <c r="AF846" s="1"/>
      <c r="AG846" s="1"/>
      <c r="AH846" s="1"/>
      <c r="AI846" s="1"/>
      <c r="AJ846" s="1"/>
      <c r="AK846" s="1"/>
      <c r="AL846" s="1"/>
      <c r="AM846" s="1"/>
      <c r="AN846" s="1"/>
    </row>
    <row r="847" spans="1:40" ht="15.75" customHeight="1">
      <c r="A847" s="1"/>
      <c r="B847" s="1"/>
      <c r="C847" s="1"/>
      <c r="D847" s="1"/>
      <c r="E847" s="1"/>
      <c r="F847" s="1"/>
      <c r="G847" s="1"/>
      <c r="H847" s="1"/>
      <c r="I847" s="1"/>
      <c r="J847" s="1"/>
      <c r="K847" s="1"/>
      <c r="L847" s="1"/>
      <c r="M847" s="1"/>
      <c r="N847" s="1"/>
      <c r="O847" s="1"/>
      <c r="P847" s="1"/>
      <c r="Q847" s="517"/>
      <c r="R847" s="1"/>
      <c r="S847" s="1"/>
      <c r="T847" s="1"/>
      <c r="U847" s="1"/>
      <c r="V847" s="1"/>
      <c r="W847" s="1"/>
      <c r="X847" s="1"/>
      <c r="Y847" s="1"/>
      <c r="Z847" s="1"/>
      <c r="AA847" s="1"/>
      <c r="AB847" s="1"/>
      <c r="AC847" s="1"/>
      <c r="AD847" s="1"/>
      <c r="AE847" s="1"/>
      <c r="AF847" s="1"/>
      <c r="AG847" s="1"/>
      <c r="AH847" s="1"/>
      <c r="AI847" s="1"/>
      <c r="AJ847" s="1"/>
      <c r="AK847" s="1"/>
      <c r="AL847" s="1"/>
      <c r="AM847" s="1"/>
      <c r="AN847" s="1"/>
    </row>
    <row r="848" spans="1:40" ht="15.75" customHeight="1">
      <c r="A848" s="1"/>
      <c r="B848" s="1"/>
      <c r="C848" s="1"/>
      <c r="D848" s="1"/>
      <c r="E848" s="1"/>
      <c r="F848" s="1"/>
      <c r="G848" s="1"/>
      <c r="H848" s="1"/>
      <c r="I848" s="1"/>
      <c r="J848" s="1"/>
      <c r="K848" s="1"/>
      <c r="L848" s="1"/>
      <c r="M848" s="1"/>
      <c r="N848" s="1"/>
      <c r="O848" s="1"/>
      <c r="P848" s="1"/>
      <c r="Q848" s="517"/>
      <c r="R848" s="1"/>
      <c r="S848" s="1"/>
      <c r="T848" s="1"/>
      <c r="U848" s="1"/>
      <c r="V848" s="1"/>
      <c r="W848" s="1"/>
      <c r="X848" s="1"/>
      <c r="Y848" s="1"/>
      <c r="Z848" s="1"/>
      <c r="AA848" s="1"/>
      <c r="AB848" s="1"/>
      <c r="AC848" s="1"/>
      <c r="AD848" s="1"/>
      <c r="AE848" s="1"/>
      <c r="AF848" s="1"/>
      <c r="AG848" s="1"/>
      <c r="AH848" s="1"/>
      <c r="AI848" s="1"/>
      <c r="AJ848" s="1"/>
      <c r="AK848" s="1"/>
      <c r="AL848" s="1"/>
      <c r="AM848" s="1"/>
      <c r="AN848" s="1"/>
    </row>
    <row r="849" spans="1:40" ht="15.75" customHeight="1">
      <c r="A849" s="1"/>
      <c r="B849" s="1"/>
      <c r="C849" s="1"/>
      <c r="D849" s="1"/>
      <c r="E849" s="1"/>
      <c r="F849" s="1"/>
      <c r="G849" s="1"/>
      <c r="H849" s="1"/>
      <c r="I849" s="1"/>
      <c r="J849" s="1"/>
      <c r="K849" s="1"/>
      <c r="L849" s="1"/>
      <c r="M849" s="1"/>
      <c r="N849" s="1"/>
      <c r="O849" s="1"/>
      <c r="P849" s="1"/>
      <c r="Q849" s="517"/>
      <c r="R849" s="1"/>
      <c r="S849" s="1"/>
      <c r="T849" s="1"/>
      <c r="U849" s="1"/>
      <c r="V849" s="1"/>
      <c r="W849" s="1"/>
      <c r="X849" s="1"/>
      <c r="Y849" s="1"/>
      <c r="Z849" s="1"/>
      <c r="AA849" s="1"/>
      <c r="AB849" s="1"/>
      <c r="AC849" s="1"/>
      <c r="AD849" s="1"/>
      <c r="AE849" s="1"/>
      <c r="AF849" s="1"/>
      <c r="AG849" s="1"/>
      <c r="AH849" s="1"/>
      <c r="AI849" s="1"/>
      <c r="AJ849" s="1"/>
      <c r="AK849" s="1"/>
      <c r="AL849" s="1"/>
      <c r="AM849" s="1"/>
      <c r="AN849" s="1"/>
    </row>
    <row r="850" spans="1:40" ht="15.75" customHeight="1">
      <c r="A850" s="1"/>
      <c r="B850" s="1"/>
      <c r="C850" s="1"/>
      <c r="D850" s="1"/>
      <c r="E850" s="1"/>
      <c r="F850" s="1"/>
      <c r="G850" s="1"/>
      <c r="H850" s="1"/>
      <c r="I850" s="1"/>
      <c r="J850" s="1"/>
      <c r="K850" s="1"/>
      <c r="L850" s="1"/>
      <c r="M850" s="1"/>
      <c r="N850" s="1"/>
      <c r="O850" s="1"/>
      <c r="P850" s="1"/>
      <c r="Q850" s="517"/>
      <c r="R850" s="1"/>
      <c r="S850" s="1"/>
      <c r="T850" s="1"/>
      <c r="U850" s="1"/>
      <c r="V850" s="1"/>
      <c r="W850" s="1"/>
      <c r="X850" s="1"/>
      <c r="Y850" s="1"/>
      <c r="Z850" s="1"/>
      <c r="AA850" s="1"/>
      <c r="AB850" s="1"/>
      <c r="AC850" s="1"/>
      <c r="AD850" s="1"/>
      <c r="AE850" s="1"/>
      <c r="AF850" s="1"/>
      <c r="AG850" s="1"/>
      <c r="AH850" s="1"/>
      <c r="AI850" s="1"/>
      <c r="AJ850" s="1"/>
      <c r="AK850" s="1"/>
      <c r="AL850" s="1"/>
      <c r="AM850" s="1"/>
      <c r="AN850" s="1"/>
    </row>
    <row r="851" spans="1:40" ht="15.75" customHeight="1">
      <c r="A851" s="1"/>
      <c r="B851" s="1"/>
      <c r="C851" s="1"/>
      <c r="D851" s="1"/>
      <c r="E851" s="1"/>
      <c r="F851" s="1"/>
      <c r="G851" s="1"/>
      <c r="H851" s="1"/>
      <c r="I851" s="1"/>
      <c r="J851" s="1"/>
      <c r="K851" s="1"/>
      <c r="L851" s="1"/>
      <c r="M851" s="1"/>
      <c r="N851" s="1"/>
      <c r="O851" s="1"/>
      <c r="P851" s="1"/>
      <c r="Q851" s="517"/>
      <c r="R851" s="1"/>
      <c r="S851" s="1"/>
      <c r="T851" s="1"/>
      <c r="U851" s="1"/>
      <c r="V851" s="1"/>
      <c r="W851" s="1"/>
      <c r="X851" s="1"/>
      <c r="Y851" s="1"/>
      <c r="Z851" s="1"/>
      <c r="AA851" s="1"/>
      <c r="AB851" s="1"/>
      <c r="AC851" s="1"/>
      <c r="AD851" s="1"/>
      <c r="AE851" s="1"/>
      <c r="AF851" s="1"/>
      <c r="AG851" s="1"/>
      <c r="AH851" s="1"/>
      <c r="AI851" s="1"/>
      <c r="AJ851" s="1"/>
      <c r="AK851" s="1"/>
      <c r="AL851" s="1"/>
      <c r="AM851" s="1"/>
      <c r="AN851" s="1"/>
    </row>
    <row r="852" spans="1:40" ht="15.75" customHeight="1">
      <c r="A852" s="1"/>
      <c r="B852" s="1"/>
      <c r="C852" s="1"/>
      <c r="D852" s="1"/>
      <c r="E852" s="1"/>
      <c r="F852" s="1"/>
      <c r="G852" s="1"/>
      <c r="H852" s="1"/>
      <c r="I852" s="1"/>
      <c r="J852" s="1"/>
      <c r="K852" s="1"/>
      <c r="L852" s="1"/>
      <c r="M852" s="1"/>
      <c r="N852" s="1"/>
      <c r="O852" s="1"/>
      <c r="P852" s="1"/>
      <c r="Q852" s="517"/>
      <c r="R852" s="1"/>
      <c r="S852" s="1"/>
      <c r="T852" s="1"/>
      <c r="U852" s="1"/>
      <c r="V852" s="1"/>
      <c r="W852" s="1"/>
      <c r="X852" s="1"/>
      <c r="Y852" s="1"/>
      <c r="Z852" s="1"/>
      <c r="AA852" s="1"/>
      <c r="AB852" s="1"/>
      <c r="AC852" s="1"/>
      <c r="AD852" s="1"/>
      <c r="AE852" s="1"/>
      <c r="AF852" s="1"/>
      <c r="AG852" s="1"/>
      <c r="AH852" s="1"/>
      <c r="AI852" s="1"/>
      <c r="AJ852" s="1"/>
      <c r="AK852" s="1"/>
      <c r="AL852" s="1"/>
      <c r="AM852" s="1"/>
      <c r="AN852" s="1"/>
    </row>
    <row r="853" spans="1:40" ht="15.75" customHeight="1">
      <c r="A853" s="1"/>
      <c r="B853" s="1"/>
      <c r="C853" s="1"/>
      <c r="D853" s="1"/>
      <c r="E853" s="1"/>
      <c r="F853" s="1"/>
      <c r="G853" s="1"/>
      <c r="H853" s="1"/>
      <c r="I853" s="1"/>
      <c r="J853" s="1"/>
      <c r="K853" s="1"/>
      <c r="L853" s="1"/>
      <c r="M853" s="1"/>
      <c r="N853" s="1"/>
      <c r="O853" s="1"/>
      <c r="P853" s="1"/>
      <c r="Q853" s="517"/>
      <c r="R853" s="1"/>
      <c r="S853" s="1"/>
      <c r="T853" s="1"/>
      <c r="U853" s="1"/>
      <c r="V853" s="1"/>
      <c r="W853" s="1"/>
      <c r="X853" s="1"/>
      <c r="Y853" s="1"/>
      <c r="Z853" s="1"/>
      <c r="AA853" s="1"/>
      <c r="AB853" s="1"/>
      <c r="AC853" s="1"/>
      <c r="AD853" s="1"/>
      <c r="AE853" s="1"/>
      <c r="AF853" s="1"/>
      <c r="AG853" s="1"/>
      <c r="AH853" s="1"/>
      <c r="AI853" s="1"/>
      <c r="AJ853" s="1"/>
      <c r="AK853" s="1"/>
      <c r="AL853" s="1"/>
      <c r="AM853" s="1"/>
      <c r="AN853" s="1"/>
    </row>
    <row r="854" spans="1:40" ht="15.75" customHeight="1">
      <c r="A854" s="1"/>
      <c r="B854" s="1"/>
      <c r="C854" s="1"/>
      <c r="D854" s="1"/>
      <c r="E854" s="1"/>
      <c r="F854" s="1"/>
      <c r="G854" s="1"/>
      <c r="H854" s="1"/>
      <c r="I854" s="1"/>
      <c r="J854" s="1"/>
      <c r="K854" s="1"/>
      <c r="L854" s="1"/>
      <c r="M854" s="1"/>
      <c r="N854" s="1"/>
      <c r="O854" s="1"/>
      <c r="P854" s="1"/>
      <c r="Q854" s="517"/>
      <c r="R854" s="1"/>
      <c r="S854" s="1"/>
      <c r="T854" s="1"/>
      <c r="U854" s="1"/>
      <c r="V854" s="1"/>
      <c r="W854" s="1"/>
      <c r="X854" s="1"/>
      <c r="Y854" s="1"/>
      <c r="Z854" s="1"/>
      <c r="AA854" s="1"/>
      <c r="AB854" s="1"/>
      <c r="AC854" s="1"/>
      <c r="AD854" s="1"/>
      <c r="AE854" s="1"/>
      <c r="AF854" s="1"/>
      <c r="AG854" s="1"/>
      <c r="AH854" s="1"/>
      <c r="AI854" s="1"/>
      <c r="AJ854" s="1"/>
      <c r="AK854" s="1"/>
      <c r="AL854" s="1"/>
      <c r="AM854" s="1"/>
      <c r="AN854" s="1"/>
    </row>
    <row r="855" spans="1:40" ht="15.75" customHeight="1">
      <c r="A855" s="1"/>
      <c r="B855" s="1"/>
      <c r="C855" s="1"/>
      <c r="D855" s="1"/>
      <c r="E855" s="1"/>
      <c r="F855" s="1"/>
      <c r="G855" s="1"/>
      <c r="H855" s="1"/>
      <c r="I855" s="1"/>
      <c r="J855" s="1"/>
      <c r="K855" s="1"/>
      <c r="L855" s="1"/>
      <c r="M855" s="1"/>
      <c r="N855" s="1"/>
      <c r="O855" s="1"/>
      <c r="P855" s="1"/>
      <c r="Q855" s="517"/>
      <c r="R855" s="1"/>
      <c r="S855" s="1"/>
      <c r="T855" s="1"/>
      <c r="U855" s="1"/>
      <c r="V855" s="1"/>
      <c r="W855" s="1"/>
      <c r="X855" s="1"/>
      <c r="Y855" s="1"/>
      <c r="Z855" s="1"/>
      <c r="AA855" s="1"/>
      <c r="AB855" s="1"/>
      <c r="AC855" s="1"/>
      <c r="AD855" s="1"/>
      <c r="AE855" s="1"/>
      <c r="AF855" s="1"/>
      <c r="AG855" s="1"/>
      <c r="AH855" s="1"/>
      <c r="AI855" s="1"/>
      <c r="AJ855" s="1"/>
      <c r="AK855" s="1"/>
      <c r="AL855" s="1"/>
      <c r="AM855" s="1"/>
      <c r="AN855" s="1"/>
    </row>
    <row r="856" spans="1:40" ht="15.75" customHeight="1">
      <c r="A856" s="1"/>
      <c r="B856" s="1"/>
      <c r="C856" s="1"/>
      <c r="D856" s="1"/>
      <c r="E856" s="1"/>
      <c r="F856" s="1"/>
      <c r="G856" s="1"/>
      <c r="H856" s="1"/>
      <c r="I856" s="1"/>
      <c r="J856" s="1"/>
      <c r="K856" s="1"/>
      <c r="L856" s="1"/>
      <c r="M856" s="1"/>
      <c r="N856" s="1"/>
      <c r="O856" s="1"/>
      <c r="P856" s="1"/>
      <c r="Q856" s="517"/>
      <c r="R856" s="1"/>
      <c r="S856" s="1"/>
      <c r="T856" s="1"/>
      <c r="U856" s="1"/>
      <c r="V856" s="1"/>
      <c r="W856" s="1"/>
      <c r="X856" s="1"/>
      <c r="Y856" s="1"/>
      <c r="Z856" s="1"/>
      <c r="AA856" s="1"/>
      <c r="AB856" s="1"/>
      <c r="AC856" s="1"/>
      <c r="AD856" s="1"/>
      <c r="AE856" s="1"/>
      <c r="AF856" s="1"/>
      <c r="AG856" s="1"/>
      <c r="AH856" s="1"/>
      <c r="AI856" s="1"/>
      <c r="AJ856" s="1"/>
      <c r="AK856" s="1"/>
      <c r="AL856" s="1"/>
      <c r="AM856" s="1"/>
      <c r="AN856" s="1"/>
    </row>
    <row r="857" spans="1:40" ht="15.75" customHeight="1">
      <c r="A857" s="1"/>
      <c r="B857" s="1"/>
      <c r="C857" s="1"/>
      <c r="D857" s="1"/>
      <c r="E857" s="1"/>
      <c r="F857" s="1"/>
      <c r="G857" s="1"/>
      <c r="H857" s="1"/>
      <c r="I857" s="1"/>
      <c r="J857" s="1"/>
      <c r="K857" s="1"/>
      <c r="L857" s="1"/>
      <c r="M857" s="1"/>
      <c r="N857" s="1"/>
      <c r="O857" s="1"/>
      <c r="P857" s="1"/>
      <c r="Q857" s="517"/>
      <c r="R857" s="1"/>
      <c r="S857" s="1"/>
      <c r="T857" s="1"/>
      <c r="U857" s="1"/>
      <c r="V857" s="1"/>
      <c r="W857" s="1"/>
      <c r="X857" s="1"/>
      <c r="Y857" s="1"/>
      <c r="Z857" s="1"/>
      <c r="AA857" s="1"/>
      <c r="AB857" s="1"/>
      <c r="AC857" s="1"/>
      <c r="AD857" s="1"/>
      <c r="AE857" s="1"/>
      <c r="AF857" s="1"/>
      <c r="AG857" s="1"/>
      <c r="AH857" s="1"/>
      <c r="AI857" s="1"/>
      <c r="AJ857" s="1"/>
      <c r="AK857" s="1"/>
      <c r="AL857" s="1"/>
      <c r="AM857" s="1"/>
      <c r="AN857" s="1"/>
    </row>
    <row r="858" spans="1:40" ht="15.75" customHeight="1">
      <c r="A858" s="1"/>
      <c r="B858" s="1"/>
      <c r="C858" s="1"/>
      <c r="D858" s="1"/>
      <c r="E858" s="1"/>
      <c r="F858" s="1"/>
      <c r="G858" s="1"/>
      <c r="H858" s="1"/>
      <c r="I858" s="1"/>
      <c r="J858" s="1"/>
      <c r="K858" s="1"/>
      <c r="L858" s="1"/>
      <c r="M858" s="1"/>
      <c r="N858" s="1"/>
      <c r="O858" s="1"/>
      <c r="P858" s="1"/>
      <c r="Q858" s="517"/>
      <c r="R858" s="1"/>
      <c r="S858" s="1"/>
      <c r="T858" s="1"/>
      <c r="U858" s="1"/>
      <c r="V858" s="1"/>
      <c r="W858" s="1"/>
      <c r="X858" s="1"/>
      <c r="Y858" s="1"/>
      <c r="Z858" s="1"/>
      <c r="AA858" s="1"/>
      <c r="AB858" s="1"/>
      <c r="AC858" s="1"/>
      <c r="AD858" s="1"/>
      <c r="AE858" s="1"/>
      <c r="AF858" s="1"/>
      <c r="AG858" s="1"/>
      <c r="AH858" s="1"/>
      <c r="AI858" s="1"/>
      <c r="AJ858" s="1"/>
      <c r="AK858" s="1"/>
      <c r="AL858" s="1"/>
      <c r="AM858" s="1"/>
      <c r="AN858" s="1"/>
    </row>
    <row r="859" spans="1:40" ht="15.75" customHeight="1">
      <c r="A859" s="1"/>
      <c r="B859" s="1"/>
      <c r="C859" s="1"/>
      <c r="D859" s="1"/>
      <c r="E859" s="1"/>
      <c r="F859" s="1"/>
      <c r="G859" s="1"/>
      <c r="H859" s="1"/>
      <c r="I859" s="1"/>
      <c r="J859" s="1"/>
      <c r="K859" s="1"/>
      <c r="L859" s="1"/>
      <c r="M859" s="1"/>
      <c r="N859" s="1"/>
      <c r="O859" s="1"/>
      <c r="P859" s="1"/>
      <c r="Q859" s="517"/>
      <c r="R859" s="1"/>
      <c r="S859" s="1"/>
      <c r="T859" s="1"/>
      <c r="U859" s="1"/>
      <c r="V859" s="1"/>
      <c r="W859" s="1"/>
      <c r="X859" s="1"/>
      <c r="Y859" s="1"/>
      <c r="Z859" s="1"/>
      <c r="AA859" s="1"/>
      <c r="AB859" s="1"/>
      <c r="AC859" s="1"/>
      <c r="AD859" s="1"/>
      <c r="AE859" s="1"/>
      <c r="AF859" s="1"/>
      <c r="AG859" s="1"/>
      <c r="AH859" s="1"/>
      <c r="AI859" s="1"/>
      <c r="AJ859" s="1"/>
      <c r="AK859" s="1"/>
      <c r="AL859" s="1"/>
      <c r="AM859" s="1"/>
      <c r="AN859" s="1"/>
    </row>
    <row r="860" spans="1:40" ht="15.75" customHeight="1">
      <c r="A860" s="1"/>
      <c r="B860" s="1"/>
      <c r="C860" s="1"/>
      <c r="D860" s="1"/>
      <c r="E860" s="1"/>
      <c r="F860" s="1"/>
      <c r="G860" s="1"/>
      <c r="H860" s="1"/>
      <c r="I860" s="1"/>
      <c r="J860" s="1"/>
      <c r="K860" s="1"/>
      <c r="L860" s="1"/>
      <c r="M860" s="1"/>
      <c r="N860" s="1"/>
      <c r="O860" s="1"/>
      <c r="P860" s="1"/>
      <c r="Q860" s="517"/>
      <c r="R860" s="1"/>
      <c r="S860" s="1"/>
      <c r="T860" s="1"/>
      <c r="U860" s="1"/>
      <c r="V860" s="1"/>
      <c r="W860" s="1"/>
      <c r="X860" s="1"/>
      <c r="Y860" s="1"/>
      <c r="Z860" s="1"/>
      <c r="AA860" s="1"/>
      <c r="AB860" s="1"/>
      <c r="AC860" s="1"/>
      <c r="AD860" s="1"/>
      <c r="AE860" s="1"/>
      <c r="AF860" s="1"/>
      <c r="AG860" s="1"/>
      <c r="AH860" s="1"/>
      <c r="AI860" s="1"/>
      <c r="AJ860" s="1"/>
      <c r="AK860" s="1"/>
      <c r="AL860" s="1"/>
      <c r="AM860" s="1"/>
      <c r="AN860" s="1"/>
    </row>
    <row r="861" spans="1:40" ht="15.75" customHeight="1">
      <c r="A861" s="1"/>
      <c r="B861" s="1"/>
      <c r="C861" s="1"/>
      <c r="D861" s="1"/>
      <c r="E861" s="1"/>
      <c r="F861" s="1"/>
      <c r="G861" s="1"/>
      <c r="H861" s="1"/>
      <c r="I861" s="1"/>
      <c r="J861" s="1"/>
      <c r="K861" s="1"/>
      <c r="L861" s="1"/>
      <c r="M861" s="1"/>
      <c r="N861" s="1"/>
      <c r="O861" s="1"/>
      <c r="P861" s="1"/>
      <c r="Q861" s="517"/>
      <c r="R861" s="1"/>
      <c r="S861" s="1"/>
      <c r="T861" s="1"/>
      <c r="U861" s="1"/>
      <c r="V861" s="1"/>
      <c r="W861" s="1"/>
      <c r="X861" s="1"/>
      <c r="Y861" s="1"/>
      <c r="Z861" s="1"/>
      <c r="AA861" s="1"/>
      <c r="AB861" s="1"/>
      <c r="AC861" s="1"/>
      <c r="AD861" s="1"/>
      <c r="AE861" s="1"/>
      <c r="AF861" s="1"/>
      <c r="AG861" s="1"/>
      <c r="AH861" s="1"/>
      <c r="AI861" s="1"/>
      <c r="AJ861" s="1"/>
      <c r="AK861" s="1"/>
      <c r="AL861" s="1"/>
      <c r="AM861" s="1"/>
      <c r="AN861" s="1"/>
    </row>
    <row r="862" spans="1:40" ht="15.75" customHeight="1">
      <c r="A862" s="1"/>
      <c r="B862" s="1"/>
      <c r="C862" s="1"/>
      <c r="D862" s="1"/>
      <c r="E862" s="1"/>
      <c r="F862" s="1"/>
      <c r="G862" s="1"/>
      <c r="H862" s="1"/>
      <c r="I862" s="1"/>
      <c r="J862" s="1"/>
      <c r="K862" s="1"/>
      <c r="L862" s="1"/>
      <c r="M862" s="1"/>
      <c r="N862" s="1"/>
      <c r="O862" s="1"/>
      <c r="P862" s="1"/>
      <c r="Q862" s="517"/>
      <c r="R862" s="1"/>
      <c r="S862" s="1"/>
      <c r="T862" s="1"/>
      <c r="U862" s="1"/>
      <c r="V862" s="1"/>
      <c r="W862" s="1"/>
      <c r="X862" s="1"/>
      <c r="Y862" s="1"/>
      <c r="Z862" s="1"/>
      <c r="AA862" s="1"/>
      <c r="AB862" s="1"/>
      <c r="AC862" s="1"/>
      <c r="AD862" s="1"/>
      <c r="AE862" s="1"/>
      <c r="AF862" s="1"/>
      <c r="AG862" s="1"/>
      <c r="AH862" s="1"/>
      <c r="AI862" s="1"/>
      <c r="AJ862" s="1"/>
      <c r="AK862" s="1"/>
      <c r="AL862" s="1"/>
      <c r="AM862" s="1"/>
      <c r="AN862" s="1"/>
    </row>
    <row r="863" spans="1:40" ht="15.75" customHeight="1">
      <c r="A863" s="1"/>
      <c r="B863" s="1"/>
      <c r="C863" s="1"/>
      <c r="D863" s="1"/>
      <c r="E863" s="1"/>
      <c r="F863" s="1"/>
      <c r="G863" s="1"/>
      <c r="H863" s="1"/>
      <c r="I863" s="1"/>
      <c r="J863" s="1"/>
      <c r="K863" s="1"/>
      <c r="L863" s="1"/>
      <c r="M863" s="1"/>
      <c r="N863" s="1"/>
      <c r="O863" s="1"/>
      <c r="P863" s="1"/>
      <c r="Q863" s="517"/>
      <c r="R863" s="1"/>
      <c r="S863" s="1"/>
      <c r="T863" s="1"/>
      <c r="U863" s="1"/>
      <c r="V863" s="1"/>
      <c r="W863" s="1"/>
      <c r="X863" s="1"/>
      <c r="Y863" s="1"/>
      <c r="Z863" s="1"/>
      <c r="AA863" s="1"/>
      <c r="AB863" s="1"/>
      <c r="AC863" s="1"/>
      <c r="AD863" s="1"/>
      <c r="AE863" s="1"/>
      <c r="AF863" s="1"/>
      <c r="AG863" s="1"/>
      <c r="AH863" s="1"/>
      <c r="AI863" s="1"/>
      <c r="AJ863" s="1"/>
      <c r="AK863" s="1"/>
      <c r="AL863" s="1"/>
      <c r="AM863" s="1"/>
      <c r="AN863" s="1"/>
    </row>
    <row r="864" spans="1:40" ht="15.75" customHeight="1">
      <c r="A864" s="1"/>
      <c r="B864" s="1"/>
      <c r="C864" s="1"/>
      <c r="D864" s="1"/>
      <c r="E864" s="1"/>
      <c r="F864" s="1"/>
      <c r="G864" s="1"/>
      <c r="H864" s="1"/>
      <c r="I864" s="1"/>
      <c r="J864" s="1"/>
      <c r="K864" s="1"/>
      <c r="L864" s="1"/>
      <c r="M864" s="1"/>
      <c r="N864" s="1"/>
      <c r="O864" s="1"/>
      <c r="P864" s="1"/>
      <c r="Q864" s="517"/>
      <c r="R864" s="1"/>
      <c r="S864" s="1"/>
      <c r="T864" s="1"/>
      <c r="U864" s="1"/>
      <c r="V864" s="1"/>
      <c r="W864" s="1"/>
      <c r="X864" s="1"/>
      <c r="Y864" s="1"/>
      <c r="Z864" s="1"/>
      <c r="AA864" s="1"/>
      <c r="AB864" s="1"/>
      <c r="AC864" s="1"/>
      <c r="AD864" s="1"/>
      <c r="AE864" s="1"/>
      <c r="AF864" s="1"/>
      <c r="AG864" s="1"/>
      <c r="AH864" s="1"/>
      <c r="AI864" s="1"/>
      <c r="AJ864" s="1"/>
      <c r="AK864" s="1"/>
      <c r="AL864" s="1"/>
      <c r="AM864" s="1"/>
      <c r="AN864" s="1"/>
    </row>
    <row r="865" spans="1:40" ht="15.75" customHeight="1">
      <c r="A865" s="1"/>
      <c r="B865" s="1"/>
      <c r="C865" s="1"/>
      <c r="D865" s="1"/>
      <c r="E865" s="1"/>
      <c r="F865" s="1"/>
      <c r="G865" s="1"/>
      <c r="H865" s="1"/>
      <c r="I865" s="1"/>
      <c r="J865" s="1"/>
      <c r="K865" s="1"/>
      <c r="L865" s="1"/>
      <c r="M865" s="1"/>
      <c r="N865" s="1"/>
      <c r="O865" s="1"/>
      <c r="P865" s="1"/>
      <c r="Q865" s="517"/>
      <c r="R865" s="1"/>
      <c r="S865" s="1"/>
      <c r="T865" s="1"/>
      <c r="U865" s="1"/>
      <c r="V865" s="1"/>
      <c r="W865" s="1"/>
      <c r="X865" s="1"/>
      <c r="Y865" s="1"/>
      <c r="Z865" s="1"/>
      <c r="AA865" s="1"/>
      <c r="AB865" s="1"/>
      <c r="AC865" s="1"/>
      <c r="AD865" s="1"/>
      <c r="AE865" s="1"/>
      <c r="AF865" s="1"/>
      <c r="AG865" s="1"/>
      <c r="AH865" s="1"/>
      <c r="AI865" s="1"/>
      <c r="AJ865" s="1"/>
      <c r="AK865" s="1"/>
      <c r="AL865" s="1"/>
      <c r="AM865" s="1"/>
      <c r="AN865" s="1"/>
    </row>
    <row r="866" spans="1:40" ht="15.75" customHeight="1">
      <c r="A866" s="1"/>
      <c r="B866" s="1"/>
      <c r="C866" s="1"/>
      <c r="D866" s="1"/>
      <c r="E866" s="1"/>
      <c r="F866" s="1"/>
      <c r="G866" s="1"/>
      <c r="H866" s="1"/>
      <c r="I866" s="1"/>
      <c r="J866" s="1"/>
      <c r="K866" s="1"/>
      <c r="L866" s="1"/>
      <c r="M866" s="1"/>
      <c r="N866" s="1"/>
      <c r="O866" s="1"/>
      <c r="P866" s="1"/>
      <c r="Q866" s="517"/>
      <c r="R866" s="1"/>
      <c r="S866" s="1"/>
      <c r="T866" s="1"/>
      <c r="U866" s="1"/>
      <c r="V866" s="1"/>
      <c r="W866" s="1"/>
      <c r="X866" s="1"/>
      <c r="Y866" s="1"/>
      <c r="Z866" s="1"/>
      <c r="AA866" s="1"/>
      <c r="AB866" s="1"/>
      <c r="AC866" s="1"/>
      <c r="AD866" s="1"/>
      <c r="AE866" s="1"/>
      <c r="AF866" s="1"/>
      <c r="AG866" s="1"/>
      <c r="AH866" s="1"/>
      <c r="AI866" s="1"/>
      <c r="AJ866" s="1"/>
      <c r="AK866" s="1"/>
      <c r="AL866" s="1"/>
      <c r="AM866" s="1"/>
      <c r="AN866" s="1"/>
    </row>
    <row r="867" spans="1:40" ht="15.75" customHeight="1">
      <c r="A867" s="1"/>
      <c r="B867" s="1"/>
      <c r="C867" s="1"/>
      <c r="D867" s="1"/>
      <c r="E867" s="1"/>
      <c r="F867" s="1"/>
      <c r="G867" s="1"/>
      <c r="H867" s="1"/>
      <c r="I867" s="1"/>
      <c r="J867" s="1"/>
      <c r="K867" s="1"/>
      <c r="L867" s="1"/>
      <c r="M867" s="1"/>
      <c r="N867" s="1"/>
      <c r="O867" s="1"/>
      <c r="P867" s="1"/>
      <c r="Q867" s="517"/>
      <c r="R867" s="1"/>
      <c r="S867" s="1"/>
      <c r="T867" s="1"/>
      <c r="U867" s="1"/>
      <c r="V867" s="1"/>
      <c r="W867" s="1"/>
      <c r="X867" s="1"/>
      <c r="Y867" s="1"/>
      <c r="Z867" s="1"/>
      <c r="AA867" s="1"/>
      <c r="AB867" s="1"/>
      <c r="AC867" s="1"/>
      <c r="AD867" s="1"/>
      <c r="AE867" s="1"/>
      <c r="AF867" s="1"/>
      <c r="AG867" s="1"/>
      <c r="AH867" s="1"/>
      <c r="AI867" s="1"/>
      <c r="AJ867" s="1"/>
      <c r="AK867" s="1"/>
      <c r="AL867" s="1"/>
      <c r="AM867" s="1"/>
      <c r="AN867" s="1"/>
    </row>
    <row r="868" spans="1:40" ht="15.75" customHeight="1">
      <c r="A868" s="1"/>
      <c r="B868" s="1"/>
      <c r="C868" s="1"/>
      <c r="D868" s="1"/>
      <c r="E868" s="1"/>
      <c r="F868" s="1"/>
      <c r="G868" s="1"/>
      <c r="H868" s="1"/>
      <c r="I868" s="1"/>
      <c r="J868" s="1"/>
      <c r="K868" s="1"/>
      <c r="L868" s="1"/>
      <c r="M868" s="1"/>
      <c r="N868" s="1"/>
      <c r="O868" s="1"/>
      <c r="P868" s="1"/>
      <c r="Q868" s="517"/>
      <c r="R868" s="1"/>
      <c r="S868" s="1"/>
      <c r="T868" s="1"/>
      <c r="U868" s="1"/>
      <c r="V868" s="1"/>
      <c r="W868" s="1"/>
      <c r="X868" s="1"/>
      <c r="Y868" s="1"/>
      <c r="Z868" s="1"/>
      <c r="AA868" s="1"/>
      <c r="AB868" s="1"/>
      <c r="AC868" s="1"/>
      <c r="AD868" s="1"/>
      <c r="AE868" s="1"/>
      <c r="AF868" s="1"/>
      <c r="AG868" s="1"/>
      <c r="AH868" s="1"/>
      <c r="AI868" s="1"/>
      <c r="AJ868" s="1"/>
      <c r="AK868" s="1"/>
      <c r="AL868" s="1"/>
      <c r="AM868" s="1"/>
      <c r="AN868" s="1"/>
    </row>
    <row r="869" spans="1:40" ht="15.75" customHeight="1">
      <c r="A869" s="1"/>
      <c r="B869" s="1"/>
      <c r="C869" s="1"/>
      <c r="D869" s="1"/>
      <c r="E869" s="1"/>
      <c r="F869" s="1"/>
      <c r="G869" s="1"/>
      <c r="H869" s="1"/>
      <c r="I869" s="1"/>
      <c r="J869" s="1"/>
      <c r="K869" s="1"/>
      <c r="L869" s="1"/>
      <c r="M869" s="1"/>
      <c r="N869" s="1"/>
      <c r="O869" s="1"/>
      <c r="P869" s="1"/>
      <c r="Q869" s="517"/>
      <c r="R869" s="1"/>
      <c r="S869" s="1"/>
      <c r="T869" s="1"/>
      <c r="U869" s="1"/>
      <c r="V869" s="1"/>
      <c r="W869" s="1"/>
      <c r="X869" s="1"/>
      <c r="Y869" s="1"/>
      <c r="Z869" s="1"/>
      <c r="AA869" s="1"/>
      <c r="AB869" s="1"/>
      <c r="AC869" s="1"/>
      <c r="AD869" s="1"/>
      <c r="AE869" s="1"/>
      <c r="AF869" s="1"/>
      <c r="AG869" s="1"/>
      <c r="AH869" s="1"/>
      <c r="AI869" s="1"/>
      <c r="AJ869" s="1"/>
      <c r="AK869" s="1"/>
      <c r="AL869" s="1"/>
      <c r="AM869" s="1"/>
      <c r="AN869" s="1"/>
    </row>
    <row r="870" spans="1:40" ht="15.75" customHeight="1">
      <c r="A870" s="1"/>
      <c r="B870" s="1"/>
      <c r="C870" s="1"/>
      <c r="D870" s="1"/>
      <c r="E870" s="1"/>
      <c r="F870" s="1"/>
      <c r="G870" s="1"/>
      <c r="H870" s="1"/>
      <c r="I870" s="1"/>
      <c r="J870" s="1"/>
      <c r="K870" s="1"/>
      <c r="L870" s="1"/>
      <c r="M870" s="1"/>
      <c r="N870" s="1"/>
      <c r="O870" s="1"/>
      <c r="P870" s="1"/>
      <c r="Q870" s="517"/>
      <c r="R870" s="1"/>
      <c r="S870" s="1"/>
      <c r="T870" s="1"/>
      <c r="U870" s="1"/>
      <c r="V870" s="1"/>
      <c r="W870" s="1"/>
      <c r="X870" s="1"/>
      <c r="Y870" s="1"/>
      <c r="Z870" s="1"/>
      <c r="AA870" s="1"/>
      <c r="AB870" s="1"/>
      <c r="AC870" s="1"/>
      <c r="AD870" s="1"/>
      <c r="AE870" s="1"/>
      <c r="AF870" s="1"/>
      <c r="AG870" s="1"/>
      <c r="AH870" s="1"/>
      <c r="AI870" s="1"/>
      <c r="AJ870" s="1"/>
      <c r="AK870" s="1"/>
      <c r="AL870" s="1"/>
      <c r="AM870" s="1"/>
      <c r="AN870" s="1"/>
    </row>
    <row r="871" spans="1:40" ht="15.75" customHeight="1">
      <c r="A871" s="1"/>
      <c r="B871" s="1"/>
      <c r="C871" s="1"/>
      <c r="D871" s="1"/>
      <c r="E871" s="1"/>
      <c r="F871" s="1"/>
      <c r="G871" s="1"/>
      <c r="H871" s="1"/>
      <c r="I871" s="1"/>
      <c r="J871" s="1"/>
      <c r="K871" s="1"/>
      <c r="L871" s="1"/>
      <c r="M871" s="1"/>
      <c r="N871" s="1"/>
      <c r="O871" s="1"/>
      <c r="P871" s="1"/>
      <c r="Q871" s="517"/>
      <c r="R871" s="1"/>
      <c r="S871" s="1"/>
      <c r="T871" s="1"/>
      <c r="U871" s="1"/>
      <c r="V871" s="1"/>
      <c r="W871" s="1"/>
      <c r="X871" s="1"/>
      <c r="Y871" s="1"/>
      <c r="Z871" s="1"/>
      <c r="AA871" s="1"/>
      <c r="AB871" s="1"/>
      <c r="AC871" s="1"/>
      <c r="AD871" s="1"/>
      <c r="AE871" s="1"/>
      <c r="AF871" s="1"/>
      <c r="AG871" s="1"/>
      <c r="AH871" s="1"/>
      <c r="AI871" s="1"/>
      <c r="AJ871" s="1"/>
      <c r="AK871" s="1"/>
      <c r="AL871" s="1"/>
      <c r="AM871" s="1"/>
      <c r="AN871" s="1"/>
    </row>
    <row r="872" spans="1:40" ht="15.75" customHeight="1">
      <c r="A872" s="1"/>
      <c r="B872" s="1"/>
      <c r="C872" s="1"/>
      <c r="D872" s="1"/>
      <c r="E872" s="1"/>
      <c r="F872" s="1"/>
      <c r="G872" s="1"/>
      <c r="H872" s="1"/>
      <c r="I872" s="1"/>
      <c r="J872" s="1"/>
      <c r="K872" s="1"/>
      <c r="L872" s="1"/>
      <c r="M872" s="1"/>
      <c r="N872" s="1"/>
      <c r="O872" s="1"/>
      <c r="P872" s="1"/>
      <c r="Q872" s="517"/>
      <c r="R872" s="1"/>
      <c r="S872" s="1"/>
      <c r="T872" s="1"/>
      <c r="U872" s="1"/>
      <c r="V872" s="1"/>
      <c r="W872" s="1"/>
      <c r="X872" s="1"/>
      <c r="Y872" s="1"/>
      <c r="Z872" s="1"/>
      <c r="AA872" s="1"/>
      <c r="AB872" s="1"/>
      <c r="AC872" s="1"/>
      <c r="AD872" s="1"/>
      <c r="AE872" s="1"/>
      <c r="AF872" s="1"/>
      <c r="AG872" s="1"/>
      <c r="AH872" s="1"/>
      <c r="AI872" s="1"/>
      <c r="AJ872" s="1"/>
      <c r="AK872" s="1"/>
      <c r="AL872" s="1"/>
      <c r="AM872" s="1"/>
      <c r="AN872" s="1"/>
    </row>
    <row r="873" spans="1:40" ht="15.75" customHeight="1">
      <c r="A873" s="1"/>
      <c r="B873" s="1"/>
      <c r="C873" s="1"/>
      <c r="D873" s="1"/>
      <c r="E873" s="1"/>
      <c r="F873" s="1"/>
      <c r="G873" s="1"/>
      <c r="H873" s="1"/>
      <c r="I873" s="1"/>
      <c r="J873" s="1"/>
      <c r="K873" s="1"/>
      <c r="L873" s="1"/>
      <c r="M873" s="1"/>
      <c r="N873" s="1"/>
      <c r="O873" s="1"/>
      <c r="P873" s="1"/>
      <c r="Q873" s="517"/>
      <c r="R873" s="1"/>
      <c r="S873" s="1"/>
      <c r="T873" s="1"/>
      <c r="U873" s="1"/>
      <c r="V873" s="1"/>
      <c r="W873" s="1"/>
      <c r="X873" s="1"/>
      <c r="Y873" s="1"/>
      <c r="Z873" s="1"/>
      <c r="AA873" s="1"/>
      <c r="AB873" s="1"/>
      <c r="AC873" s="1"/>
      <c r="AD873" s="1"/>
      <c r="AE873" s="1"/>
      <c r="AF873" s="1"/>
      <c r="AG873" s="1"/>
      <c r="AH873" s="1"/>
      <c r="AI873" s="1"/>
      <c r="AJ873" s="1"/>
      <c r="AK873" s="1"/>
      <c r="AL873" s="1"/>
      <c r="AM873" s="1"/>
      <c r="AN873" s="1"/>
    </row>
    <row r="874" spans="1:40" ht="15.75" customHeight="1">
      <c r="A874" s="1"/>
      <c r="B874" s="1"/>
      <c r="C874" s="1"/>
      <c r="D874" s="1"/>
      <c r="E874" s="1"/>
      <c r="F874" s="1"/>
      <c r="G874" s="1"/>
      <c r="H874" s="1"/>
      <c r="I874" s="1"/>
      <c r="J874" s="1"/>
      <c r="K874" s="1"/>
      <c r="L874" s="1"/>
      <c r="M874" s="1"/>
      <c r="N874" s="1"/>
      <c r="O874" s="1"/>
      <c r="P874" s="1"/>
      <c r="Q874" s="517"/>
      <c r="R874" s="1"/>
      <c r="S874" s="1"/>
      <c r="T874" s="1"/>
      <c r="U874" s="1"/>
      <c r="V874" s="1"/>
      <c r="W874" s="1"/>
      <c r="X874" s="1"/>
      <c r="Y874" s="1"/>
      <c r="Z874" s="1"/>
      <c r="AA874" s="1"/>
      <c r="AB874" s="1"/>
      <c r="AC874" s="1"/>
      <c r="AD874" s="1"/>
      <c r="AE874" s="1"/>
      <c r="AF874" s="1"/>
      <c r="AG874" s="1"/>
      <c r="AH874" s="1"/>
      <c r="AI874" s="1"/>
      <c r="AJ874" s="1"/>
      <c r="AK874" s="1"/>
      <c r="AL874" s="1"/>
      <c r="AM874" s="1"/>
      <c r="AN874" s="1"/>
    </row>
    <row r="875" spans="1:40" ht="15.75" customHeight="1">
      <c r="A875" s="1"/>
      <c r="B875" s="1"/>
      <c r="C875" s="1"/>
      <c r="D875" s="1"/>
      <c r="E875" s="1"/>
      <c r="F875" s="1"/>
      <c r="G875" s="1"/>
      <c r="H875" s="1"/>
      <c r="I875" s="1"/>
      <c r="J875" s="1"/>
      <c r="K875" s="1"/>
      <c r="L875" s="1"/>
      <c r="M875" s="1"/>
      <c r="N875" s="1"/>
      <c r="O875" s="1"/>
      <c r="P875" s="1"/>
      <c r="Q875" s="517"/>
      <c r="R875" s="1"/>
      <c r="S875" s="1"/>
      <c r="T875" s="1"/>
      <c r="U875" s="1"/>
      <c r="V875" s="1"/>
      <c r="W875" s="1"/>
      <c r="X875" s="1"/>
      <c r="Y875" s="1"/>
      <c r="Z875" s="1"/>
      <c r="AA875" s="1"/>
      <c r="AB875" s="1"/>
      <c r="AC875" s="1"/>
      <c r="AD875" s="1"/>
      <c r="AE875" s="1"/>
      <c r="AF875" s="1"/>
      <c r="AG875" s="1"/>
      <c r="AH875" s="1"/>
      <c r="AI875" s="1"/>
      <c r="AJ875" s="1"/>
      <c r="AK875" s="1"/>
      <c r="AL875" s="1"/>
      <c r="AM875" s="1"/>
      <c r="AN875" s="1"/>
    </row>
    <row r="876" spans="1:40" ht="15.75" customHeight="1">
      <c r="A876" s="1"/>
      <c r="B876" s="1"/>
      <c r="C876" s="1"/>
      <c r="D876" s="1"/>
      <c r="E876" s="1"/>
      <c r="F876" s="1"/>
      <c r="G876" s="1"/>
      <c r="H876" s="1"/>
      <c r="I876" s="1"/>
      <c r="J876" s="1"/>
      <c r="K876" s="1"/>
      <c r="L876" s="1"/>
      <c r="M876" s="1"/>
      <c r="N876" s="1"/>
      <c r="O876" s="1"/>
      <c r="P876" s="1"/>
      <c r="Q876" s="517"/>
      <c r="R876" s="1"/>
      <c r="S876" s="1"/>
      <c r="T876" s="1"/>
      <c r="U876" s="1"/>
      <c r="V876" s="1"/>
      <c r="W876" s="1"/>
      <c r="X876" s="1"/>
      <c r="Y876" s="1"/>
      <c r="Z876" s="1"/>
      <c r="AA876" s="1"/>
      <c r="AB876" s="1"/>
      <c r="AC876" s="1"/>
      <c r="AD876" s="1"/>
      <c r="AE876" s="1"/>
      <c r="AF876" s="1"/>
      <c r="AG876" s="1"/>
      <c r="AH876" s="1"/>
      <c r="AI876" s="1"/>
      <c r="AJ876" s="1"/>
      <c r="AK876" s="1"/>
      <c r="AL876" s="1"/>
      <c r="AM876" s="1"/>
      <c r="AN876" s="1"/>
    </row>
    <row r="877" spans="1:40" ht="15.75" customHeight="1">
      <c r="A877" s="1"/>
      <c r="B877" s="1"/>
      <c r="C877" s="1"/>
      <c r="D877" s="1"/>
      <c r="E877" s="1"/>
      <c r="F877" s="1"/>
      <c r="G877" s="1"/>
      <c r="H877" s="1"/>
      <c r="I877" s="1"/>
      <c r="J877" s="1"/>
      <c r="K877" s="1"/>
      <c r="L877" s="1"/>
      <c r="M877" s="1"/>
      <c r="N877" s="1"/>
      <c r="O877" s="1"/>
      <c r="P877" s="1"/>
      <c r="Q877" s="517"/>
      <c r="R877" s="1"/>
      <c r="S877" s="1"/>
      <c r="T877" s="1"/>
      <c r="U877" s="1"/>
      <c r="V877" s="1"/>
      <c r="W877" s="1"/>
      <c r="X877" s="1"/>
      <c r="Y877" s="1"/>
      <c r="Z877" s="1"/>
      <c r="AA877" s="1"/>
      <c r="AB877" s="1"/>
      <c r="AC877" s="1"/>
      <c r="AD877" s="1"/>
      <c r="AE877" s="1"/>
      <c r="AF877" s="1"/>
      <c r="AG877" s="1"/>
      <c r="AH877" s="1"/>
      <c r="AI877" s="1"/>
      <c r="AJ877" s="1"/>
      <c r="AK877" s="1"/>
      <c r="AL877" s="1"/>
      <c r="AM877" s="1"/>
      <c r="AN877" s="1"/>
    </row>
    <row r="878" spans="1:40" ht="15.75" customHeight="1">
      <c r="A878" s="1"/>
      <c r="B878" s="1"/>
      <c r="C878" s="1"/>
      <c r="D878" s="1"/>
      <c r="E878" s="1"/>
      <c r="F878" s="1"/>
      <c r="G878" s="1"/>
      <c r="H878" s="1"/>
      <c r="I878" s="1"/>
      <c r="J878" s="1"/>
      <c r="K878" s="1"/>
      <c r="L878" s="1"/>
      <c r="M878" s="1"/>
      <c r="N878" s="1"/>
      <c r="O878" s="1"/>
      <c r="P878" s="1"/>
      <c r="Q878" s="517"/>
      <c r="R878" s="1"/>
      <c r="S878" s="1"/>
      <c r="T878" s="1"/>
      <c r="U878" s="1"/>
      <c r="V878" s="1"/>
      <c r="W878" s="1"/>
      <c r="X878" s="1"/>
      <c r="Y878" s="1"/>
      <c r="Z878" s="1"/>
      <c r="AA878" s="1"/>
      <c r="AB878" s="1"/>
      <c r="AC878" s="1"/>
      <c r="AD878" s="1"/>
      <c r="AE878" s="1"/>
      <c r="AF878" s="1"/>
      <c r="AG878" s="1"/>
      <c r="AH878" s="1"/>
      <c r="AI878" s="1"/>
      <c r="AJ878" s="1"/>
      <c r="AK878" s="1"/>
      <c r="AL878" s="1"/>
      <c r="AM878" s="1"/>
      <c r="AN878" s="1"/>
    </row>
    <row r="879" spans="1:40" ht="15.75" customHeight="1">
      <c r="A879" s="1"/>
      <c r="B879" s="1"/>
      <c r="C879" s="1"/>
      <c r="D879" s="1"/>
      <c r="E879" s="1"/>
      <c r="F879" s="1"/>
      <c r="G879" s="1"/>
      <c r="H879" s="1"/>
      <c r="I879" s="1"/>
      <c r="J879" s="1"/>
      <c r="K879" s="1"/>
      <c r="L879" s="1"/>
      <c r="M879" s="1"/>
      <c r="N879" s="1"/>
      <c r="O879" s="1"/>
      <c r="P879" s="1"/>
      <c r="Q879" s="517"/>
      <c r="R879" s="1"/>
      <c r="S879" s="1"/>
      <c r="T879" s="1"/>
      <c r="U879" s="1"/>
      <c r="V879" s="1"/>
      <c r="W879" s="1"/>
      <c r="X879" s="1"/>
      <c r="Y879" s="1"/>
      <c r="Z879" s="1"/>
      <c r="AA879" s="1"/>
      <c r="AB879" s="1"/>
      <c r="AC879" s="1"/>
      <c r="AD879" s="1"/>
      <c r="AE879" s="1"/>
      <c r="AF879" s="1"/>
      <c r="AG879" s="1"/>
      <c r="AH879" s="1"/>
      <c r="AI879" s="1"/>
      <c r="AJ879" s="1"/>
      <c r="AK879" s="1"/>
      <c r="AL879" s="1"/>
      <c r="AM879" s="1"/>
      <c r="AN879" s="1"/>
    </row>
    <row r="880" spans="1:40" ht="15.75" customHeight="1">
      <c r="A880" s="1"/>
      <c r="B880" s="1"/>
      <c r="C880" s="1"/>
      <c r="D880" s="1"/>
      <c r="E880" s="1"/>
      <c r="F880" s="1"/>
      <c r="G880" s="1"/>
      <c r="H880" s="1"/>
      <c r="I880" s="1"/>
      <c r="J880" s="1"/>
      <c r="K880" s="1"/>
      <c r="L880" s="1"/>
      <c r="M880" s="1"/>
      <c r="N880" s="1"/>
      <c r="O880" s="1"/>
      <c r="P880" s="1"/>
      <c r="Q880" s="517"/>
      <c r="R880" s="1"/>
      <c r="S880" s="1"/>
      <c r="T880" s="1"/>
      <c r="U880" s="1"/>
      <c r="V880" s="1"/>
      <c r="W880" s="1"/>
      <c r="X880" s="1"/>
      <c r="Y880" s="1"/>
      <c r="Z880" s="1"/>
      <c r="AA880" s="1"/>
      <c r="AB880" s="1"/>
      <c r="AC880" s="1"/>
      <c r="AD880" s="1"/>
      <c r="AE880" s="1"/>
      <c r="AF880" s="1"/>
      <c r="AG880" s="1"/>
      <c r="AH880" s="1"/>
      <c r="AI880" s="1"/>
      <c r="AJ880" s="1"/>
      <c r="AK880" s="1"/>
      <c r="AL880" s="1"/>
      <c r="AM880" s="1"/>
      <c r="AN880" s="1"/>
    </row>
    <row r="881" spans="1:40" ht="15.75" customHeight="1">
      <c r="A881" s="1"/>
      <c r="B881" s="1"/>
      <c r="C881" s="1"/>
      <c r="D881" s="1"/>
      <c r="E881" s="1"/>
      <c r="F881" s="1"/>
      <c r="G881" s="1"/>
      <c r="H881" s="1"/>
      <c r="I881" s="1"/>
      <c r="J881" s="1"/>
      <c r="K881" s="1"/>
      <c r="L881" s="1"/>
      <c r="M881" s="1"/>
      <c r="N881" s="1"/>
      <c r="O881" s="1"/>
      <c r="P881" s="1"/>
      <c r="Q881" s="517"/>
      <c r="R881" s="1"/>
      <c r="S881" s="1"/>
      <c r="T881" s="1"/>
      <c r="U881" s="1"/>
      <c r="V881" s="1"/>
      <c r="W881" s="1"/>
      <c r="X881" s="1"/>
      <c r="Y881" s="1"/>
      <c r="Z881" s="1"/>
      <c r="AA881" s="1"/>
      <c r="AB881" s="1"/>
      <c r="AC881" s="1"/>
      <c r="AD881" s="1"/>
      <c r="AE881" s="1"/>
      <c r="AF881" s="1"/>
      <c r="AG881" s="1"/>
      <c r="AH881" s="1"/>
      <c r="AI881" s="1"/>
      <c r="AJ881" s="1"/>
      <c r="AK881" s="1"/>
      <c r="AL881" s="1"/>
      <c r="AM881" s="1"/>
      <c r="AN881" s="1"/>
    </row>
    <row r="882" spans="1:40" ht="15.75" customHeight="1">
      <c r="A882" s="1"/>
      <c r="B882" s="1"/>
      <c r="C882" s="1"/>
      <c r="D882" s="1"/>
      <c r="E882" s="1"/>
      <c r="F882" s="1"/>
      <c r="G882" s="1"/>
      <c r="H882" s="1"/>
      <c r="I882" s="1"/>
      <c r="J882" s="1"/>
      <c r="K882" s="1"/>
      <c r="L882" s="1"/>
      <c r="M882" s="1"/>
      <c r="N882" s="1"/>
      <c r="O882" s="1"/>
      <c r="P882" s="1"/>
      <c r="Q882" s="517"/>
      <c r="R882" s="1"/>
      <c r="S882" s="1"/>
      <c r="T882" s="1"/>
      <c r="U882" s="1"/>
      <c r="V882" s="1"/>
      <c r="W882" s="1"/>
      <c r="X882" s="1"/>
      <c r="Y882" s="1"/>
      <c r="Z882" s="1"/>
      <c r="AA882" s="1"/>
      <c r="AB882" s="1"/>
      <c r="AC882" s="1"/>
      <c r="AD882" s="1"/>
      <c r="AE882" s="1"/>
      <c r="AF882" s="1"/>
      <c r="AG882" s="1"/>
      <c r="AH882" s="1"/>
      <c r="AI882" s="1"/>
      <c r="AJ882" s="1"/>
      <c r="AK882" s="1"/>
      <c r="AL882" s="1"/>
      <c r="AM882" s="1"/>
      <c r="AN882" s="1"/>
    </row>
    <row r="883" spans="1:40" ht="15.75" customHeight="1">
      <c r="A883" s="1"/>
      <c r="B883" s="1"/>
      <c r="C883" s="1"/>
      <c r="D883" s="1"/>
      <c r="E883" s="1"/>
      <c r="F883" s="1"/>
      <c r="G883" s="1"/>
      <c r="H883" s="1"/>
      <c r="I883" s="1"/>
      <c r="J883" s="1"/>
      <c r="K883" s="1"/>
      <c r="L883" s="1"/>
      <c r="M883" s="1"/>
      <c r="N883" s="1"/>
      <c r="O883" s="1"/>
      <c r="P883" s="1"/>
      <c r="Q883" s="517"/>
      <c r="R883" s="1"/>
      <c r="S883" s="1"/>
      <c r="T883" s="1"/>
      <c r="U883" s="1"/>
      <c r="V883" s="1"/>
      <c r="W883" s="1"/>
      <c r="X883" s="1"/>
      <c r="Y883" s="1"/>
      <c r="Z883" s="1"/>
      <c r="AA883" s="1"/>
      <c r="AB883" s="1"/>
      <c r="AC883" s="1"/>
      <c r="AD883" s="1"/>
      <c r="AE883" s="1"/>
      <c r="AF883" s="1"/>
      <c r="AG883" s="1"/>
      <c r="AH883" s="1"/>
      <c r="AI883" s="1"/>
      <c r="AJ883" s="1"/>
      <c r="AK883" s="1"/>
      <c r="AL883" s="1"/>
      <c r="AM883" s="1"/>
      <c r="AN883" s="1"/>
    </row>
    <row r="884" spans="1:40" ht="15.75" customHeight="1">
      <c r="A884" s="1"/>
      <c r="B884" s="1"/>
      <c r="C884" s="1"/>
      <c r="D884" s="1"/>
      <c r="E884" s="1"/>
      <c r="F884" s="1"/>
      <c r="G884" s="1"/>
      <c r="H884" s="1"/>
      <c r="I884" s="1"/>
      <c r="J884" s="1"/>
      <c r="K884" s="1"/>
      <c r="L884" s="1"/>
      <c r="M884" s="1"/>
      <c r="N884" s="1"/>
      <c r="O884" s="1"/>
      <c r="P884" s="1"/>
      <c r="Q884" s="517"/>
      <c r="R884" s="1"/>
      <c r="S884" s="1"/>
      <c r="T884" s="1"/>
      <c r="U884" s="1"/>
      <c r="V884" s="1"/>
      <c r="W884" s="1"/>
      <c r="X884" s="1"/>
      <c r="Y884" s="1"/>
      <c r="Z884" s="1"/>
      <c r="AA884" s="1"/>
      <c r="AB884" s="1"/>
      <c r="AC884" s="1"/>
      <c r="AD884" s="1"/>
      <c r="AE884" s="1"/>
      <c r="AF884" s="1"/>
      <c r="AG884" s="1"/>
      <c r="AH884" s="1"/>
      <c r="AI884" s="1"/>
      <c r="AJ884" s="1"/>
      <c r="AK884" s="1"/>
      <c r="AL884" s="1"/>
      <c r="AM884" s="1"/>
      <c r="AN884" s="1"/>
    </row>
    <row r="885" spans="1:40" ht="15.75" customHeight="1">
      <c r="A885" s="1"/>
      <c r="B885" s="1"/>
      <c r="C885" s="1"/>
      <c r="D885" s="1"/>
      <c r="E885" s="1"/>
      <c r="F885" s="1"/>
      <c r="G885" s="1"/>
      <c r="H885" s="1"/>
      <c r="I885" s="1"/>
      <c r="J885" s="1"/>
      <c r="K885" s="1"/>
      <c r="L885" s="1"/>
      <c r="M885" s="1"/>
      <c r="N885" s="1"/>
      <c r="O885" s="1"/>
      <c r="P885" s="1"/>
      <c r="Q885" s="517"/>
      <c r="R885" s="1"/>
      <c r="S885" s="1"/>
      <c r="T885" s="1"/>
      <c r="U885" s="1"/>
      <c r="V885" s="1"/>
      <c r="W885" s="1"/>
      <c r="X885" s="1"/>
      <c r="Y885" s="1"/>
      <c r="Z885" s="1"/>
      <c r="AA885" s="1"/>
      <c r="AB885" s="1"/>
      <c r="AC885" s="1"/>
      <c r="AD885" s="1"/>
      <c r="AE885" s="1"/>
      <c r="AF885" s="1"/>
      <c r="AG885" s="1"/>
      <c r="AH885" s="1"/>
      <c r="AI885" s="1"/>
      <c r="AJ885" s="1"/>
      <c r="AK885" s="1"/>
      <c r="AL885" s="1"/>
      <c r="AM885" s="1"/>
      <c r="AN885" s="1"/>
    </row>
    <row r="886" spans="1:40" ht="15.75" customHeight="1">
      <c r="A886" s="1"/>
      <c r="B886" s="1"/>
      <c r="C886" s="1"/>
      <c r="D886" s="1"/>
      <c r="E886" s="1"/>
      <c r="F886" s="1"/>
      <c r="G886" s="1"/>
      <c r="H886" s="1"/>
      <c r="I886" s="1"/>
      <c r="J886" s="1"/>
      <c r="K886" s="1"/>
      <c r="L886" s="1"/>
      <c r="M886" s="1"/>
      <c r="N886" s="1"/>
      <c r="O886" s="1"/>
      <c r="P886" s="1"/>
      <c r="Q886" s="517"/>
      <c r="R886" s="1"/>
      <c r="S886" s="1"/>
      <c r="T886" s="1"/>
      <c r="U886" s="1"/>
      <c r="V886" s="1"/>
      <c r="W886" s="1"/>
      <c r="X886" s="1"/>
      <c r="Y886" s="1"/>
      <c r="Z886" s="1"/>
      <c r="AA886" s="1"/>
      <c r="AB886" s="1"/>
      <c r="AC886" s="1"/>
      <c r="AD886" s="1"/>
      <c r="AE886" s="1"/>
      <c r="AF886" s="1"/>
      <c r="AG886" s="1"/>
      <c r="AH886" s="1"/>
      <c r="AI886" s="1"/>
      <c r="AJ886" s="1"/>
      <c r="AK886" s="1"/>
      <c r="AL886" s="1"/>
      <c r="AM886" s="1"/>
      <c r="AN886" s="1"/>
    </row>
    <row r="887" spans="1:40" ht="15.75" customHeight="1">
      <c r="A887" s="1"/>
      <c r="B887" s="1"/>
      <c r="C887" s="1"/>
      <c r="D887" s="1"/>
      <c r="E887" s="1"/>
      <c r="F887" s="1"/>
      <c r="G887" s="1"/>
      <c r="H887" s="1"/>
      <c r="I887" s="1"/>
      <c r="J887" s="1"/>
      <c r="K887" s="1"/>
      <c r="L887" s="1"/>
      <c r="M887" s="1"/>
      <c r="N887" s="1"/>
      <c r="O887" s="1"/>
      <c r="P887" s="1"/>
      <c r="Q887" s="517"/>
      <c r="R887" s="1"/>
      <c r="S887" s="1"/>
      <c r="T887" s="1"/>
      <c r="U887" s="1"/>
      <c r="V887" s="1"/>
      <c r="W887" s="1"/>
      <c r="X887" s="1"/>
      <c r="Y887" s="1"/>
      <c r="Z887" s="1"/>
      <c r="AA887" s="1"/>
      <c r="AB887" s="1"/>
      <c r="AC887" s="1"/>
      <c r="AD887" s="1"/>
      <c r="AE887" s="1"/>
      <c r="AF887" s="1"/>
      <c r="AG887" s="1"/>
      <c r="AH887" s="1"/>
      <c r="AI887" s="1"/>
      <c r="AJ887" s="1"/>
      <c r="AK887" s="1"/>
      <c r="AL887" s="1"/>
      <c r="AM887" s="1"/>
      <c r="AN887" s="1"/>
    </row>
    <row r="888" spans="1:40" ht="15.75" customHeight="1">
      <c r="A888" s="1"/>
      <c r="B888" s="1"/>
      <c r="C888" s="1"/>
      <c r="D888" s="1"/>
      <c r="E888" s="1"/>
      <c r="F888" s="1"/>
      <c r="G888" s="1"/>
      <c r="H888" s="1"/>
      <c r="I888" s="1"/>
      <c r="J888" s="1"/>
      <c r="K888" s="1"/>
      <c r="L888" s="1"/>
      <c r="M888" s="1"/>
      <c r="N888" s="1"/>
      <c r="O888" s="1"/>
      <c r="P888" s="1"/>
      <c r="Q888" s="517"/>
      <c r="R888" s="1"/>
      <c r="S888" s="1"/>
      <c r="T888" s="1"/>
      <c r="U888" s="1"/>
      <c r="V888" s="1"/>
      <c r="W888" s="1"/>
      <c r="X888" s="1"/>
      <c r="Y888" s="1"/>
      <c r="Z888" s="1"/>
      <c r="AA888" s="1"/>
      <c r="AB888" s="1"/>
      <c r="AC888" s="1"/>
      <c r="AD888" s="1"/>
      <c r="AE888" s="1"/>
      <c r="AF888" s="1"/>
      <c r="AG888" s="1"/>
      <c r="AH888" s="1"/>
      <c r="AI888" s="1"/>
      <c r="AJ888" s="1"/>
      <c r="AK888" s="1"/>
      <c r="AL888" s="1"/>
      <c r="AM888" s="1"/>
      <c r="AN888" s="1"/>
    </row>
    <row r="889" spans="1:40" ht="15.75" customHeight="1">
      <c r="A889" s="1"/>
      <c r="B889" s="1"/>
      <c r="C889" s="1"/>
      <c r="D889" s="1"/>
      <c r="E889" s="1"/>
      <c r="F889" s="1"/>
      <c r="G889" s="1"/>
      <c r="H889" s="1"/>
      <c r="I889" s="1"/>
      <c r="J889" s="1"/>
      <c r="K889" s="1"/>
      <c r="L889" s="1"/>
      <c r="M889" s="1"/>
      <c r="N889" s="1"/>
      <c r="O889" s="1"/>
      <c r="P889" s="1"/>
      <c r="Q889" s="517"/>
      <c r="R889" s="1"/>
      <c r="S889" s="1"/>
      <c r="T889" s="1"/>
      <c r="U889" s="1"/>
      <c r="V889" s="1"/>
      <c r="W889" s="1"/>
      <c r="X889" s="1"/>
      <c r="Y889" s="1"/>
      <c r="Z889" s="1"/>
      <c r="AA889" s="1"/>
      <c r="AB889" s="1"/>
      <c r="AC889" s="1"/>
      <c r="AD889" s="1"/>
      <c r="AE889" s="1"/>
      <c r="AF889" s="1"/>
      <c r="AG889" s="1"/>
      <c r="AH889" s="1"/>
      <c r="AI889" s="1"/>
      <c r="AJ889" s="1"/>
      <c r="AK889" s="1"/>
      <c r="AL889" s="1"/>
      <c r="AM889" s="1"/>
      <c r="AN889" s="1"/>
    </row>
    <row r="890" spans="1:40" ht="15.75" customHeight="1">
      <c r="A890" s="1"/>
      <c r="B890" s="1"/>
      <c r="C890" s="1"/>
      <c r="D890" s="1"/>
      <c r="E890" s="1"/>
      <c r="F890" s="1"/>
      <c r="G890" s="1"/>
      <c r="H890" s="1"/>
      <c r="I890" s="1"/>
      <c r="J890" s="1"/>
      <c r="K890" s="1"/>
      <c r="L890" s="1"/>
      <c r="M890" s="1"/>
      <c r="N890" s="1"/>
      <c r="O890" s="1"/>
      <c r="P890" s="1"/>
      <c r="Q890" s="517"/>
      <c r="R890" s="1"/>
      <c r="S890" s="1"/>
      <c r="T890" s="1"/>
      <c r="U890" s="1"/>
      <c r="V890" s="1"/>
      <c r="W890" s="1"/>
      <c r="X890" s="1"/>
      <c r="Y890" s="1"/>
      <c r="Z890" s="1"/>
      <c r="AA890" s="1"/>
      <c r="AB890" s="1"/>
      <c r="AC890" s="1"/>
      <c r="AD890" s="1"/>
      <c r="AE890" s="1"/>
      <c r="AF890" s="1"/>
      <c r="AG890" s="1"/>
      <c r="AH890" s="1"/>
      <c r="AI890" s="1"/>
      <c r="AJ890" s="1"/>
      <c r="AK890" s="1"/>
      <c r="AL890" s="1"/>
      <c r="AM890" s="1"/>
      <c r="AN890" s="1"/>
    </row>
    <row r="891" spans="1:40" ht="15.75" customHeight="1">
      <c r="A891" s="1"/>
      <c r="B891" s="1"/>
      <c r="C891" s="1"/>
      <c r="D891" s="1"/>
      <c r="E891" s="1"/>
      <c r="F891" s="1"/>
      <c r="G891" s="1"/>
      <c r="H891" s="1"/>
      <c r="I891" s="1"/>
      <c r="J891" s="1"/>
      <c r="K891" s="1"/>
      <c r="L891" s="1"/>
      <c r="M891" s="1"/>
      <c r="N891" s="1"/>
      <c r="O891" s="1"/>
      <c r="P891" s="1"/>
      <c r="Q891" s="517"/>
      <c r="R891" s="1"/>
      <c r="S891" s="1"/>
      <c r="T891" s="1"/>
      <c r="U891" s="1"/>
      <c r="V891" s="1"/>
      <c r="W891" s="1"/>
      <c r="X891" s="1"/>
      <c r="Y891" s="1"/>
      <c r="Z891" s="1"/>
      <c r="AA891" s="1"/>
      <c r="AB891" s="1"/>
      <c r="AC891" s="1"/>
      <c r="AD891" s="1"/>
      <c r="AE891" s="1"/>
      <c r="AF891" s="1"/>
      <c r="AG891" s="1"/>
      <c r="AH891" s="1"/>
      <c r="AI891" s="1"/>
      <c r="AJ891" s="1"/>
      <c r="AK891" s="1"/>
      <c r="AL891" s="1"/>
      <c r="AM891" s="1"/>
      <c r="AN891" s="1"/>
    </row>
    <row r="892" spans="1:40" ht="15.75" customHeight="1">
      <c r="A892" s="1"/>
      <c r="B892" s="1"/>
      <c r="C892" s="1"/>
      <c r="D892" s="1"/>
      <c r="E892" s="1"/>
      <c r="F892" s="1"/>
      <c r="G892" s="1"/>
      <c r="H892" s="1"/>
      <c r="I892" s="1"/>
      <c r="J892" s="1"/>
      <c r="K892" s="1"/>
      <c r="L892" s="1"/>
      <c r="M892" s="1"/>
      <c r="N892" s="1"/>
      <c r="O892" s="1"/>
      <c r="P892" s="1"/>
      <c r="Q892" s="517"/>
      <c r="R892" s="1"/>
      <c r="S892" s="1"/>
      <c r="T892" s="1"/>
      <c r="U892" s="1"/>
      <c r="V892" s="1"/>
      <c r="W892" s="1"/>
      <c r="X892" s="1"/>
      <c r="Y892" s="1"/>
      <c r="Z892" s="1"/>
      <c r="AA892" s="1"/>
      <c r="AB892" s="1"/>
      <c r="AC892" s="1"/>
      <c r="AD892" s="1"/>
      <c r="AE892" s="1"/>
      <c r="AF892" s="1"/>
      <c r="AG892" s="1"/>
      <c r="AH892" s="1"/>
      <c r="AI892" s="1"/>
      <c r="AJ892" s="1"/>
      <c r="AK892" s="1"/>
      <c r="AL892" s="1"/>
      <c r="AM892" s="1"/>
      <c r="AN892" s="1"/>
    </row>
    <row r="893" spans="1:40" ht="15.75" customHeight="1">
      <c r="A893" s="1"/>
      <c r="B893" s="1"/>
      <c r="C893" s="1"/>
      <c r="D893" s="1"/>
      <c r="E893" s="1"/>
      <c r="F893" s="1"/>
      <c r="G893" s="1"/>
      <c r="H893" s="1"/>
      <c r="I893" s="1"/>
      <c r="J893" s="1"/>
      <c r="K893" s="1"/>
      <c r="L893" s="1"/>
      <c r="M893" s="1"/>
      <c r="N893" s="1"/>
      <c r="O893" s="1"/>
      <c r="P893" s="1"/>
      <c r="Q893" s="517"/>
      <c r="R893" s="1"/>
      <c r="S893" s="1"/>
      <c r="T893" s="1"/>
      <c r="U893" s="1"/>
      <c r="V893" s="1"/>
      <c r="W893" s="1"/>
      <c r="X893" s="1"/>
      <c r="Y893" s="1"/>
      <c r="Z893" s="1"/>
      <c r="AA893" s="1"/>
      <c r="AB893" s="1"/>
      <c r="AC893" s="1"/>
      <c r="AD893" s="1"/>
      <c r="AE893" s="1"/>
      <c r="AF893" s="1"/>
      <c r="AG893" s="1"/>
      <c r="AH893" s="1"/>
      <c r="AI893" s="1"/>
      <c r="AJ893" s="1"/>
      <c r="AK893" s="1"/>
      <c r="AL893" s="1"/>
      <c r="AM893" s="1"/>
      <c r="AN893" s="1"/>
    </row>
    <row r="894" spans="1:40" ht="15.75" customHeight="1">
      <c r="A894" s="1"/>
      <c r="B894" s="1"/>
      <c r="C894" s="1"/>
      <c r="D894" s="1"/>
      <c r="E894" s="1"/>
      <c r="F894" s="1"/>
      <c r="G894" s="1"/>
      <c r="H894" s="1"/>
      <c r="I894" s="1"/>
      <c r="J894" s="1"/>
      <c r="K894" s="1"/>
      <c r="L894" s="1"/>
      <c r="M894" s="1"/>
      <c r="N894" s="1"/>
      <c r="O894" s="1"/>
      <c r="P894" s="1"/>
      <c r="Q894" s="517"/>
      <c r="R894" s="1"/>
      <c r="S894" s="1"/>
      <c r="T894" s="1"/>
      <c r="U894" s="1"/>
      <c r="V894" s="1"/>
      <c r="W894" s="1"/>
      <c r="X894" s="1"/>
      <c r="Y894" s="1"/>
      <c r="Z894" s="1"/>
      <c r="AA894" s="1"/>
      <c r="AB894" s="1"/>
      <c r="AC894" s="1"/>
      <c r="AD894" s="1"/>
      <c r="AE894" s="1"/>
      <c r="AF894" s="1"/>
      <c r="AG894" s="1"/>
      <c r="AH894" s="1"/>
      <c r="AI894" s="1"/>
      <c r="AJ894" s="1"/>
      <c r="AK894" s="1"/>
      <c r="AL894" s="1"/>
      <c r="AM894" s="1"/>
      <c r="AN894" s="1"/>
    </row>
    <row r="895" spans="1:40" ht="15.75" customHeight="1">
      <c r="A895" s="1"/>
      <c r="B895" s="1"/>
      <c r="C895" s="1"/>
      <c r="D895" s="1"/>
      <c r="E895" s="1"/>
      <c r="F895" s="1"/>
      <c r="G895" s="1"/>
      <c r="H895" s="1"/>
      <c r="I895" s="1"/>
      <c r="J895" s="1"/>
      <c r="K895" s="1"/>
      <c r="L895" s="1"/>
      <c r="M895" s="1"/>
      <c r="N895" s="1"/>
      <c r="O895" s="1"/>
      <c r="P895" s="1"/>
      <c r="Q895" s="517"/>
      <c r="R895" s="1"/>
      <c r="S895" s="1"/>
      <c r="T895" s="1"/>
      <c r="U895" s="1"/>
      <c r="V895" s="1"/>
      <c r="W895" s="1"/>
      <c r="X895" s="1"/>
      <c r="Y895" s="1"/>
      <c r="Z895" s="1"/>
      <c r="AA895" s="1"/>
      <c r="AB895" s="1"/>
      <c r="AC895" s="1"/>
      <c r="AD895" s="1"/>
      <c r="AE895" s="1"/>
      <c r="AF895" s="1"/>
      <c r="AG895" s="1"/>
      <c r="AH895" s="1"/>
      <c r="AI895" s="1"/>
      <c r="AJ895" s="1"/>
      <c r="AK895" s="1"/>
      <c r="AL895" s="1"/>
      <c r="AM895" s="1"/>
      <c r="AN895" s="1"/>
    </row>
    <row r="896" spans="1:40" ht="15.75" customHeight="1">
      <c r="A896" s="1"/>
      <c r="B896" s="1"/>
      <c r="C896" s="1"/>
      <c r="D896" s="1"/>
      <c r="E896" s="1"/>
      <c r="F896" s="1"/>
      <c r="G896" s="1"/>
      <c r="H896" s="1"/>
      <c r="I896" s="1"/>
      <c r="J896" s="1"/>
      <c r="K896" s="1"/>
      <c r="L896" s="1"/>
      <c r="M896" s="1"/>
      <c r="N896" s="1"/>
      <c r="O896" s="1"/>
      <c r="P896" s="1"/>
      <c r="Q896" s="517"/>
      <c r="R896" s="1"/>
      <c r="S896" s="1"/>
      <c r="T896" s="1"/>
      <c r="U896" s="1"/>
      <c r="V896" s="1"/>
      <c r="W896" s="1"/>
      <c r="X896" s="1"/>
      <c r="Y896" s="1"/>
      <c r="Z896" s="1"/>
      <c r="AA896" s="1"/>
      <c r="AB896" s="1"/>
      <c r="AC896" s="1"/>
      <c r="AD896" s="1"/>
      <c r="AE896" s="1"/>
      <c r="AF896" s="1"/>
      <c r="AG896" s="1"/>
      <c r="AH896" s="1"/>
      <c r="AI896" s="1"/>
      <c r="AJ896" s="1"/>
      <c r="AK896" s="1"/>
      <c r="AL896" s="1"/>
      <c r="AM896" s="1"/>
      <c r="AN896" s="1"/>
    </row>
    <row r="897" spans="1:40" ht="15.75" customHeight="1">
      <c r="A897" s="1"/>
      <c r="B897" s="1"/>
      <c r="C897" s="1"/>
      <c r="D897" s="1"/>
      <c r="E897" s="1"/>
      <c r="F897" s="1"/>
      <c r="G897" s="1"/>
      <c r="H897" s="1"/>
      <c r="I897" s="1"/>
      <c r="J897" s="1"/>
      <c r="K897" s="1"/>
      <c r="L897" s="1"/>
      <c r="M897" s="1"/>
      <c r="N897" s="1"/>
      <c r="O897" s="1"/>
      <c r="P897" s="1"/>
      <c r="Q897" s="517"/>
      <c r="R897" s="1"/>
      <c r="S897" s="1"/>
      <c r="T897" s="1"/>
      <c r="U897" s="1"/>
      <c r="V897" s="1"/>
      <c r="W897" s="1"/>
      <c r="X897" s="1"/>
      <c r="Y897" s="1"/>
      <c r="Z897" s="1"/>
      <c r="AA897" s="1"/>
      <c r="AB897" s="1"/>
      <c r="AC897" s="1"/>
      <c r="AD897" s="1"/>
      <c r="AE897" s="1"/>
      <c r="AF897" s="1"/>
      <c r="AG897" s="1"/>
      <c r="AH897" s="1"/>
      <c r="AI897" s="1"/>
      <c r="AJ897" s="1"/>
      <c r="AK897" s="1"/>
      <c r="AL897" s="1"/>
      <c r="AM897" s="1"/>
      <c r="AN897" s="1"/>
    </row>
    <row r="898" spans="1:40" ht="15.75" customHeight="1">
      <c r="A898" s="1"/>
      <c r="B898" s="1"/>
      <c r="C898" s="1"/>
      <c r="D898" s="1"/>
      <c r="E898" s="1"/>
      <c r="F898" s="1"/>
      <c r="G898" s="1"/>
      <c r="H898" s="1"/>
      <c r="I898" s="1"/>
      <c r="J898" s="1"/>
      <c r="K898" s="1"/>
      <c r="L898" s="1"/>
      <c r="M898" s="1"/>
      <c r="N898" s="1"/>
      <c r="O898" s="1"/>
      <c r="P898" s="1"/>
      <c r="Q898" s="517"/>
      <c r="R898" s="1"/>
      <c r="S898" s="1"/>
      <c r="T898" s="1"/>
      <c r="U898" s="1"/>
      <c r="V898" s="1"/>
      <c r="W898" s="1"/>
      <c r="X898" s="1"/>
      <c r="Y898" s="1"/>
      <c r="Z898" s="1"/>
      <c r="AA898" s="1"/>
      <c r="AB898" s="1"/>
      <c r="AC898" s="1"/>
      <c r="AD898" s="1"/>
      <c r="AE898" s="1"/>
      <c r="AF898" s="1"/>
      <c r="AG898" s="1"/>
      <c r="AH898" s="1"/>
      <c r="AI898" s="1"/>
      <c r="AJ898" s="1"/>
      <c r="AK898" s="1"/>
      <c r="AL898" s="1"/>
      <c r="AM898" s="1"/>
      <c r="AN898" s="1"/>
    </row>
    <row r="899" spans="1:40" ht="15.75" customHeight="1">
      <c r="A899" s="1"/>
      <c r="B899" s="1"/>
      <c r="C899" s="1"/>
      <c r="D899" s="1"/>
      <c r="E899" s="1"/>
      <c r="F899" s="1"/>
      <c r="G899" s="1"/>
      <c r="H899" s="1"/>
      <c r="I899" s="1"/>
      <c r="J899" s="1"/>
      <c r="K899" s="1"/>
      <c r="L899" s="1"/>
      <c r="M899" s="1"/>
      <c r="N899" s="1"/>
      <c r="O899" s="1"/>
      <c r="P899" s="1"/>
      <c r="Q899" s="517"/>
      <c r="R899" s="1"/>
      <c r="S899" s="1"/>
      <c r="T899" s="1"/>
      <c r="U899" s="1"/>
      <c r="V899" s="1"/>
      <c r="W899" s="1"/>
      <c r="X899" s="1"/>
      <c r="Y899" s="1"/>
      <c r="Z899" s="1"/>
      <c r="AA899" s="1"/>
      <c r="AB899" s="1"/>
      <c r="AC899" s="1"/>
      <c r="AD899" s="1"/>
      <c r="AE899" s="1"/>
      <c r="AF899" s="1"/>
      <c r="AG899" s="1"/>
      <c r="AH899" s="1"/>
      <c r="AI899" s="1"/>
      <c r="AJ899" s="1"/>
      <c r="AK899" s="1"/>
      <c r="AL899" s="1"/>
      <c r="AM899" s="1"/>
      <c r="AN899" s="1"/>
    </row>
    <row r="900" spans="1:40" ht="15.75" customHeight="1">
      <c r="A900" s="1"/>
      <c r="B900" s="1"/>
      <c r="C900" s="1"/>
      <c r="D900" s="1"/>
      <c r="E900" s="1"/>
      <c r="F900" s="1"/>
      <c r="G900" s="1"/>
      <c r="H900" s="1"/>
      <c r="I900" s="1"/>
      <c r="J900" s="1"/>
      <c r="K900" s="1"/>
      <c r="L900" s="1"/>
      <c r="M900" s="1"/>
      <c r="N900" s="1"/>
      <c r="O900" s="1"/>
      <c r="P900" s="1"/>
      <c r="Q900" s="517"/>
      <c r="R900" s="1"/>
      <c r="S900" s="1"/>
      <c r="T900" s="1"/>
      <c r="U900" s="1"/>
      <c r="V900" s="1"/>
      <c r="W900" s="1"/>
      <c r="X900" s="1"/>
      <c r="Y900" s="1"/>
      <c r="Z900" s="1"/>
      <c r="AA900" s="1"/>
      <c r="AB900" s="1"/>
      <c r="AC900" s="1"/>
      <c r="AD900" s="1"/>
      <c r="AE900" s="1"/>
      <c r="AF900" s="1"/>
      <c r="AG900" s="1"/>
      <c r="AH900" s="1"/>
      <c r="AI900" s="1"/>
      <c r="AJ900" s="1"/>
      <c r="AK900" s="1"/>
      <c r="AL900" s="1"/>
      <c r="AM900" s="1"/>
      <c r="AN900" s="1"/>
    </row>
    <row r="901" spans="1:40" ht="15.75" customHeight="1">
      <c r="A901" s="1"/>
      <c r="B901" s="1"/>
      <c r="C901" s="1"/>
      <c r="D901" s="1"/>
      <c r="E901" s="1"/>
      <c r="F901" s="1"/>
      <c r="G901" s="1"/>
      <c r="H901" s="1"/>
      <c r="I901" s="1"/>
      <c r="J901" s="1"/>
      <c r="K901" s="1"/>
      <c r="L901" s="1"/>
      <c r="M901" s="1"/>
      <c r="N901" s="1"/>
      <c r="O901" s="1"/>
      <c r="P901" s="1"/>
      <c r="Q901" s="517"/>
      <c r="R901" s="1"/>
      <c r="S901" s="1"/>
      <c r="T901" s="1"/>
      <c r="U901" s="1"/>
      <c r="V901" s="1"/>
      <c r="W901" s="1"/>
      <c r="X901" s="1"/>
      <c r="Y901" s="1"/>
      <c r="Z901" s="1"/>
      <c r="AA901" s="1"/>
      <c r="AB901" s="1"/>
      <c r="AC901" s="1"/>
      <c r="AD901" s="1"/>
      <c r="AE901" s="1"/>
      <c r="AF901" s="1"/>
      <c r="AG901" s="1"/>
      <c r="AH901" s="1"/>
      <c r="AI901" s="1"/>
      <c r="AJ901" s="1"/>
      <c r="AK901" s="1"/>
      <c r="AL901" s="1"/>
      <c r="AM901" s="1"/>
      <c r="AN901" s="1"/>
    </row>
    <row r="902" spans="1:40" ht="15.75" customHeight="1">
      <c r="A902" s="1"/>
      <c r="B902" s="1"/>
      <c r="C902" s="1"/>
      <c r="D902" s="1"/>
      <c r="E902" s="1"/>
      <c r="F902" s="1"/>
      <c r="G902" s="1"/>
      <c r="H902" s="1"/>
      <c r="I902" s="1"/>
      <c r="J902" s="1"/>
      <c r="K902" s="1"/>
      <c r="L902" s="1"/>
      <c r="M902" s="1"/>
      <c r="N902" s="1"/>
      <c r="O902" s="1"/>
      <c r="P902" s="1"/>
      <c r="Q902" s="517"/>
      <c r="R902" s="1"/>
      <c r="S902" s="1"/>
      <c r="T902" s="1"/>
      <c r="U902" s="1"/>
      <c r="V902" s="1"/>
      <c r="W902" s="1"/>
      <c r="X902" s="1"/>
      <c r="Y902" s="1"/>
      <c r="Z902" s="1"/>
      <c r="AA902" s="1"/>
      <c r="AB902" s="1"/>
      <c r="AC902" s="1"/>
      <c r="AD902" s="1"/>
      <c r="AE902" s="1"/>
      <c r="AF902" s="1"/>
      <c r="AG902" s="1"/>
      <c r="AH902" s="1"/>
      <c r="AI902" s="1"/>
      <c r="AJ902" s="1"/>
      <c r="AK902" s="1"/>
      <c r="AL902" s="1"/>
      <c r="AM902" s="1"/>
      <c r="AN902" s="1"/>
    </row>
    <row r="903" spans="1:40" ht="15.75" customHeight="1">
      <c r="A903" s="1"/>
      <c r="B903" s="1"/>
      <c r="C903" s="1"/>
      <c r="D903" s="1"/>
      <c r="E903" s="1"/>
      <c r="F903" s="1"/>
      <c r="G903" s="1"/>
      <c r="H903" s="1"/>
      <c r="I903" s="1"/>
      <c r="J903" s="1"/>
      <c r="K903" s="1"/>
      <c r="L903" s="1"/>
      <c r="M903" s="1"/>
      <c r="N903" s="1"/>
      <c r="O903" s="1"/>
      <c r="P903" s="1"/>
      <c r="Q903" s="517"/>
      <c r="R903" s="1"/>
      <c r="S903" s="1"/>
      <c r="T903" s="1"/>
      <c r="U903" s="1"/>
      <c r="V903" s="1"/>
      <c r="W903" s="1"/>
      <c r="X903" s="1"/>
      <c r="Y903" s="1"/>
      <c r="Z903" s="1"/>
      <c r="AA903" s="1"/>
      <c r="AB903" s="1"/>
      <c r="AC903" s="1"/>
      <c r="AD903" s="1"/>
      <c r="AE903" s="1"/>
      <c r="AF903" s="1"/>
      <c r="AG903" s="1"/>
      <c r="AH903" s="1"/>
      <c r="AI903" s="1"/>
      <c r="AJ903" s="1"/>
      <c r="AK903" s="1"/>
      <c r="AL903" s="1"/>
      <c r="AM903" s="1"/>
      <c r="AN903" s="1"/>
    </row>
    <row r="904" spans="1:40" ht="15.75" customHeight="1">
      <c r="A904" s="1"/>
      <c r="B904" s="1"/>
      <c r="C904" s="1"/>
      <c r="D904" s="1"/>
      <c r="E904" s="1"/>
      <c r="F904" s="1"/>
      <c r="G904" s="1"/>
      <c r="H904" s="1"/>
      <c r="I904" s="1"/>
      <c r="J904" s="1"/>
      <c r="K904" s="1"/>
      <c r="L904" s="1"/>
      <c r="M904" s="1"/>
      <c r="N904" s="1"/>
      <c r="O904" s="1"/>
      <c r="P904" s="1"/>
      <c r="Q904" s="517"/>
      <c r="R904" s="1"/>
      <c r="S904" s="1"/>
      <c r="T904" s="1"/>
      <c r="U904" s="1"/>
      <c r="V904" s="1"/>
      <c r="W904" s="1"/>
      <c r="X904" s="1"/>
      <c r="Y904" s="1"/>
      <c r="Z904" s="1"/>
      <c r="AA904" s="1"/>
      <c r="AB904" s="1"/>
      <c r="AC904" s="1"/>
      <c r="AD904" s="1"/>
      <c r="AE904" s="1"/>
      <c r="AF904" s="1"/>
      <c r="AG904" s="1"/>
      <c r="AH904" s="1"/>
      <c r="AI904" s="1"/>
      <c r="AJ904" s="1"/>
      <c r="AK904" s="1"/>
      <c r="AL904" s="1"/>
      <c r="AM904" s="1"/>
      <c r="AN904" s="1"/>
    </row>
    <row r="905" spans="1:40" ht="15.75" customHeight="1">
      <c r="A905" s="1"/>
      <c r="B905" s="1"/>
      <c r="C905" s="1"/>
      <c r="D905" s="1"/>
      <c r="E905" s="1"/>
      <c r="F905" s="1"/>
      <c r="G905" s="1"/>
      <c r="H905" s="1"/>
      <c r="I905" s="1"/>
      <c r="J905" s="1"/>
      <c r="K905" s="1"/>
      <c r="L905" s="1"/>
      <c r="M905" s="1"/>
      <c r="N905" s="1"/>
      <c r="O905" s="1"/>
      <c r="P905" s="1"/>
      <c r="Q905" s="517"/>
      <c r="R905" s="1"/>
      <c r="S905" s="1"/>
      <c r="T905" s="1"/>
      <c r="U905" s="1"/>
      <c r="V905" s="1"/>
      <c r="W905" s="1"/>
      <c r="X905" s="1"/>
      <c r="Y905" s="1"/>
      <c r="Z905" s="1"/>
      <c r="AA905" s="1"/>
      <c r="AB905" s="1"/>
      <c r="AC905" s="1"/>
      <c r="AD905" s="1"/>
      <c r="AE905" s="1"/>
      <c r="AF905" s="1"/>
      <c r="AG905" s="1"/>
      <c r="AH905" s="1"/>
      <c r="AI905" s="1"/>
      <c r="AJ905" s="1"/>
      <c r="AK905" s="1"/>
      <c r="AL905" s="1"/>
      <c r="AM905" s="1"/>
      <c r="AN905" s="1"/>
    </row>
    <row r="906" spans="1:40" ht="15.75" customHeight="1">
      <c r="A906" s="1"/>
      <c r="B906" s="1"/>
      <c r="C906" s="1"/>
      <c r="D906" s="1"/>
      <c r="E906" s="1"/>
      <c r="F906" s="1"/>
      <c r="G906" s="1"/>
      <c r="H906" s="1"/>
      <c r="I906" s="1"/>
      <c r="J906" s="1"/>
      <c r="K906" s="1"/>
      <c r="L906" s="1"/>
      <c r="M906" s="1"/>
      <c r="N906" s="1"/>
      <c r="O906" s="1"/>
      <c r="P906" s="1"/>
      <c r="Q906" s="517"/>
      <c r="R906" s="1"/>
      <c r="S906" s="1"/>
      <c r="T906" s="1"/>
      <c r="U906" s="1"/>
      <c r="V906" s="1"/>
      <c r="W906" s="1"/>
      <c r="X906" s="1"/>
      <c r="Y906" s="1"/>
      <c r="Z906" s="1"/>
      <c r="AA906" s="1"/>
      <c r="AB906" s="1"/>
      <c r="AC906" s="1"/>
      <c r="AD906" s="1"/>
      <c r="AE906" s="1"/>
      <c r="AF906" s="1"/>
      <c r="AG906" s="1"/>
      <c r="AH906" s="1"/>
      <c r="AI906" s="1"/>
      <c r="AJ906" s="1"/>
      <c r="AK906" s="1"/>
      <c r="AL906" s="1"/>
      <c r="AM906" s="1"/>
      <c r="AN906" s="1"/>
    </row>
    <row r="907" spans="1:40" ht="15.75" customHeight="1">
      <c r="A907" s="1"/>
      <c r="B907" s="1"/>
      <c r="C907" s="1"/>
      <c r="D907" s="1"/>
      <c r="E907" s="1"/>
      <c r="F907" s="1"/>
      <c r="G907" s="1"/>
      <c r="H907" s="1"/>
      <c r="I907" s="1"/>
      <c r="J907" s="1"/>
      <c r="K907" s="1"/>
      <c r="L907" s="1"/>
      <c r="M907" s="1"/>
      <c r="N907" s="1"/>
      <c r="O907" s="1"/>
      <c r="P907" s="1"/>
      <c r="Q907" s="517"/>
      <c r="R907" s="1"/>
      <c r="S907" s="1"/>
      <c r="T907" s="1"/>
      <c r="U907" s="1"/>
      <c r="V907" s="1"/>
      <c r="W907" s="1"/>
      <c r="X907" s="1"/>
      <c r="Y907" s="1"/>
      <c r="Z907" s="1"/>
      <c r="AA907" s="1"/>
      <c r="AB907" s="1"/>
      <c r="AC907" s="1"/>
      <c r="AD907" s="1"/>
      <c r="AE907" s="1"/>
      <c r="AF907" s="1"/>
      <c r="AG907" s="1"/>
      <c r="AH907" s="1"/>
      <c r="AI907" s="1"/>
      <c r="AJ907" s="1"/>
      <c r="AK907" s="1"/>
      <c r="AL907" s="1"/>
      <c r="AM907" s="1"/>
      <c r="AN907" s="1"/>
    </row>
    <row r="908" spans="1:40" ht="15.75" customHeight="1">
      <c r="A908" s="1"/>
      <c r="B908" s="1"/>
      <c r="C908" s="1"/>
      <c r="D908" s="1"/>
      <c r="E908" s="1"/>
      <c r="F908" s="1"/>
      <c r="G908" s="1"/>
      <c r="H908" s="1"/>
      <c r="I908" s="1"/>
      <c r="J908" s="1"/>
      <c r="K908" s="1"/>
      <c r="L908" s="1"/>
      <c r="M908" s="1"/>
      <c r="N908" s="1"/>
      <c r="O908" s="1"/>
      <c r="P908" s="1"/>
      <c r="Q908" s="517"/>
      <c r="R908" s="1"/>
      <c r="S908" s="1"/>
      <c r="T908" s="1"/>
      <c r="U908" s="1"/>
      <c r="V908" s="1"/>
      <c r="W908" s="1"/>
      <c r="X908" s="1"/>
      <c r="Y908" s="1"/>
      <c r="Z908" s="1"/>
      <c r="AA908" s="1"/>
      <c r="AB908" s="1"/>
      <c r="AC908" s="1"/>
      <c r="AD908" s="1"/>
      <c r="AE908" s="1"/>
      <c r="AF908" s="1"/>
      <c r="AG908" s="1"/>
      <c r="AH908" s="1"/>
      <c r="AI908" s="1"/>
      <c r="AJ908" s="1"/>
      <c r="AK908" s="1"/>
      <c r="AL908" s="1"/>
      <c r="AM908" s="1"/>
      <c r="AN908" s="1"/>
    </row>
    <row r="909" spans="1:40" ht="15.75" customHeight="1">
      <c r="A909" s="1"/>
      <c r="B909" s="1"/>
      <c r="C909" s="1"/>
      <c r="D909" s="1"/>
      <c r="E909" s="1"/>
      <c r="F909" s="1"/>
      <c r="G909" s="1"/>
      <c r="H909" s="1"/>
      <c r="I909" s="1"/>
      <c r="J909" s="1"/>
      <c r="K909" s="1"/>
      <c r="L909" s="1"/>
      <c r="M909" s="1"/>
      <c r="N909" s="1"/>
      <c r="O909" s="1"/>
      <c r="P909" s="1"/>
      <c r="Q909" s="517"/>
      <c r="R909" s="1"/>
      <c r="S909" s="1"/>
      <c r="T909" s="1"/>
      <c r="U909" s="1"/>
      <c r="V909" s="1"/>
      <c r="W909" s="1"/>
      <c r="X909" s="1"/>
      <c r="Y909" s="1"/>
      <c r="Z909" s="1"/>
      <c r="AA909" s="1"/>
      <c r="AB909" s="1"/>
      <c r="AC909" s="1"/>
      <c r="AD909" s="1"/>
      <c r="AE909" s="1"/>
      <c r="AF909" s="1"/>
      <c r="AG909" s="1"/>
      <c r="AH909" s="1"/>
      <c r="AI909" s="1"/>
      <c r="AJ909" s="1"/>
      <c r="AK909" s="1"/>
      <c r="AL909" s="1"/>
      <c r="AM909" s="1"/>
      <c r="AN909" s="1"/>
    </row>
    <row r="910" spans="1:40" ht="15.75" customHeight="1">
      <c r="A910" s="1"/>
      <c r="B910" s="1"/>
      <c r="C910" s="1"/>
      <c r="D910" s="1"/>
      <c r="E910" s="1"/>
      <c r="F910" s="1"/>
      <c r="G910" s="1"/>
      <c r="H910" s="1"/>
      <c r="I910" s="1"/>
      <c r="J910" s="1"/>
      <c r="K910" s="1"/>
      <c r="L910" s="1"/>
      <c r="M910" s="1"/>
      <c r="N910" s="1"/>
      <c r="O910" s="1"/>
      <c r="P910" s="1"/>
      <c r="Q910" s="517"/>
      <c r="R910" s="1"/>
      <c r="S910" s="1"/>
      <c r="T910" s="1"/>
      <c r="U910" s="1"/>
      <c r="V910" s="1"/>
      <c r="W910" s="1"/>
      <c r="X910" s="1"/>
      <c r="Y910" s="1"/>
      <c r="Z910" s="1"/>
      <c r="AA910" s="1"/>
      <c r="AB910" s="1"/>
      <c r="AC910" s="1"/>
      <c r="AD910" s="1"/>
      <c r="AE910" s="1"/>
      <c r="AF910" s="1"/>
      <c r="AG910" s="1"/>
      <c r="AH910" s="1"/>
      <c r="AI910" s="1"/>
      <c r="AJ910" s="1"/>
      <c r="AK910" s="1"/>
      <c r="AL910" s="1"/>
      <c r="AM910" s="1"/>
      <c r="AN910" s="1"/>
    </row>
    <row r="911" spans="1:40" ht="15.75" customHeight="1">
      <c r="A911" s="1"/>
      <c r="B911" s="1"/>
      <c r="C911" s="1"/>
      <c r="D911" s="1"/>
      <c r="E911" s="1"/>
      <c r="F911" s="1"/>
      <c r="G911" s="1"/>
      <c r="H911" s="1"/>
      <c r="I911" s="1"/>
      <c r="J911" s="1"/>
      <c r="K911" s="1"/>
      <c r="L911" s="1"/>
      <c r="M911" s="1"/>
      <c r="N911" s="1"/>
      <c r="O911" s="1"/>
      <c r="P911" s="1"/>
      <c r="Q911" s="517"/>
      <c r="R911" s="1"/>
      <c r="S911" s="1"/>
      <c r="T911" s="1"/>
      <c r="U911" s="1"/>
      <c r="V911" s="1"/>
      <c r="W911" s="1"/>
      <c r="X911" s="1"/>
      <c r="Y911" s="1"/>
      <c r="Z911" s="1"/>
      <c r="AA911" s="1"/>
      <c r="AB911" s="1"/>
      <c r="AC911" s="1"/>
      <c r="AD911" s="1"/>
      <c r="AE911" s="1"/>
      <c r="AF911" s="1"/>
      <c r="AG911" s="1"/>
      <c r="AH911" s="1"/>
      <c r="AI911" s="1"/>
      <c r="AJ911" s="1"/>
      <c r="AK911" s="1"/>
      <c r="AL911" s="1"/>
      <c r="AM911" s="1"/>
      <c r="AN911" s="1"/>
    </row>
    <row r="912" spans="1:40" ht="15.75" customHeight="1">
      <c r="A912" s="1"/>
      <c r="B912" s="1"/>
      <c r="C912" s="1"/>
      <c r="D912" s="1"/>
      <c r="E912" s="1"/>
      <c r="F912" s="1"/>
      <c r="G912" s="1"/>
      <c r="H912" s="1"/>
      <c r="I912" s="1"/>
      <c r="J912" s="1"/>
      <c r="K912" s="1"/>
      <c r="L912" s="1"/>
      <c r="M912" s="1"/>
      <c r="N912" s="1"/>
      <c r="O912" s="1"/>
      <c r="P912" s="1"/>
      <c r="Q912" s="517"/>
      <c r="R912" s="1"/>
      <c r="S912" s="1"/>
      <c r="T912" s="1"/>
      <c r="U912" s="1"/>
      <c r="V912" s="1"/>
      <c r="W912" s="1"/>
      <c r="X912" s="1"/>
      <c r="Y912" s="1"/>
      <c r="Z912" s="1"/>
      <c r="AA912" s="1"/>
      <c r="AB912" s="1"/>
      <c r="AC912" s="1"/>
      <c r="AD912" s="1"/>
      <c r="AE912" s="1"/>
      <c r="AF912" s="1"/>
      <c r="AG912" s="1"/>
      <c r="AH912" s="1"/>
      <c r="AI912" s="1"/>
      <c r="AJ912" s="1"/>
      <c r="AK912" s="1"/>
      <c r="AL912" s="1"/>
      <c r="AM912" s="1"/>
      <c r="AN912" s="1"/>
    </row>
    <row r="913" spans="1:40" ht="15.75" customHeight="1">
      <c r="A913" s="1"/>
      <c r="B913" s="1"/>
      <c r="C913" s="1"/>
      <c r="D913" s="1"/>
      <c r="E913" s="1"/>
      <c r="F913" s="1"/>
      <c r="G913" s="1"/>
      <c r="H913" s="1"/>
      <c r="I913" s="1"/>
      <c r="J913" s="1"/>
      <c r="K913" s="1"/>
      <c r="L913" s="1"/>
      <c r="M913" s="1"/>
      <c r="N913" s="1"/>
      <c r="O913" s="1"/>
      <c r="P913" s="1"/>
      <c r="Q913" s="517"/>
      <c r="R913" s="1"/>
      <c r="S913" s="1"/>
      <c r="T913" s="1"/>
      <c r="U913" s="1"/>
      <c r="V913" s="1"/>
      <c r="W913" s="1"/>
      <c r="X913" s="1"/>
      <c r="Y913" s="1"/>
      <c r="Z913" s="1"/>
      <c r="AA913" s="1"/>
      <c r="AB913" s="1"/>
      <c r="AC913" s="1"/>
      <c r="AD913" s="1"/>
      <c r="AE913" s="1"/>
      <c r="AF913" s="1"/>
      <c r="AG913" s="1"/>
      <c r="AH913" s="1"/>
      <c r="AI913" s="1"/>
      <c r="AJ913" s="1"/>
      <c r="AK913" s="1"/>
      <c r="AL913" s="1"/>
      <c r="AM913" s="1"/>
      <c r="AN913" s="1"/>
    </row>
    <row r="914" spans="1:40" ht="15.75" customHeight="1">
      <c r="A914" s="1"/>
      <c r="B914" s="1"/>
      <c r="C914" s="1"/>
      <c r="D914" s="1"/>
      <c r="E914" s="1"/>
      <c r="F914" s="1"/>
      <c r="G914" s="1"/>
      <c r="H914" s="1"/>
      <c r="I914" s="1"/>
      <c r="J914" s="1"/>
      <c r="K914" s="1"/>
      <c r="L914" s="1"/>
      <c r="M914" s="1"/>
      <c r="N914" s="1"/>
      <c r="O914" s="1"/>
      <c r="P914" s="1"/>
      <c r="Q914" s="517"/>
      <c r="R914" s="1"/>
      <c r="S914" s="1"/>
      <c r="T914" s="1"/>
      <c r="U914" s="1"/>
      <c r="V914" s="1"/>
      <c r="W914" s="1"/>
      <c r="X914" s="1"/>
      <c r="Y914" s="1"/>
      <c r="Z914" s="1"/>
      <c r="AA914" s="1"/>
      <c r="AB914" s="1"/>
      <c r="AC914" s="1"/>
      <c r="AD914" s="1"/>
      <c r="AE914" s="1"/>
      <c r="AF914" s="1"/>
      <c r="AG914" s="1"/>
      <c r="AH914" s="1"/>
      <c r="AI914" s="1"/>
      <c r="AJ914" s="1"/>
      <c r="AK914" s="1"/>
      <c r="AL914" s="1"/>
      <c r="AM914" s="1"/>
      <c r="AN914" s="1"/>
    </row>
    <row r="915" spans="1:40" ht="15.75" customHeight="1">
      <c r="A915" s="1"/>
      <c r="B915" s="1"/>
      <c r="C915" s="1"/>
      <c r="D915" s="1"/>
      <c r="E915" s="1"/>
      <c r="F915" s="1"/>
      <c r="G915" s="1"/>
      <c r="H915" s="1"/>
      <c r="I915" s="1"/>
      <c r="J915" s="1"/>
      <c r="K915" s="1"/>
      <c r="L915" s="1"/>
      <c r="M915" s="1"/>
      <c r="N915" s="1"/>
      <c r="O915" s="1"/>
      <c r="P915" s="1"/>
      <c r="Q915" s="517"/>
      <c r="R915" s="1"/>
      <c r="S915" s="1"/>
      <c r="T915" s="1"/>
      <c r="U915" s="1"/>
      <c r="V915" s="1"/>
      <c r="W915" s="1"/>
      <c r="X915" s="1"/>
      <c r="Y915" s="1"/>
      <c r="Z915" s="1"/>
      <c r="AA915" s="1"/>
      <c r="AB915" s="1"/>
      <c r="AC915" s="1"/>
      <c r="AD915" s="1"/>
      <c r="AE915" s="1"/>
      <c r="AF915" s="1"/>
      <c r="AG915" s="1"/>
      <c r="AH915" s="1"/>
      <c r="AI915" s="1"/>
      <c r="AJ915" s="1"/>
      <c r="AK915" s="1"/>
      <c r="AL915" s="1"/>
      <c r="AM915" s="1"/>
      <c r="AN915" s="1"/>
    </row>
    <row r="916" spans="1:40" ht="15.75" customHeight="1">
      <c r="A916" s="1"/>
      <c r="B916" s="1"/>
      <c r="C916" s="1"/>
      <c r="D916" s="1"/>
      <c r="E916" s="1"/>
      <c r="F916" s="1"/>
      <c r="G916" s="1"/>
      <c r="H916" s="1"/>
      <c r="I916" s="1"/>
      <c r="J916" s="1"/>
      <c r="K916" s="1"/>
      <c r="L916" s="1"/>
      <c r="M916" s="1"/>
      <c r="N916" s="1"/>
      <c r="O916" s="1"/>
      <c r="P916" s="1"/>
      <c r="Q916" s="517"/>
      <c r="R916" s="1"/>
      <c r="S916" s="1"/>
      <c r="T916" s="1"/>
      <c r="U916" s="1"/>
      <c r="V916" s="1"/>
      <c r="W916" s="1"/>
      <c r="X916" s="1"/>
      <c r="Y916" s="1"/>
      <c r="Z916" s="1"/>
      <c r="AA916" s="1"/>
      <c r="AB916" s="1"/>
      <c r="AC916" s="1"/>
      <c r="AD916" s="1"/>
      <c r="AE916" s="1"/>
      <c r="AF916" s="1"/>
      <c r="AG916" s="1"/>
      <c r="AH916" s="1"/>
      <c r="AI916" s="1"/>
      <c r="AJ916" s="1"/>
      <c r="AK916" s="1"/>
      <c r="AL916" s="1"/>
      <c r="AM916" s="1"/>
      <c r="AN916" s="1"/>
    </row>
  </sheetData>
  <mergeCells count="64">
    <mergeCell ref="P714:AA714"/>
    <mergeCell ref="P715:AA715"/>
    <mergeCell ref="P707:AA707"/>
    <mergeCell ref="P709:AA709"/>
    <mergeCell ref="AE709:AE716"/>
    <mergeCell ref="P710:AA710"/>
    <mergeCell ref="P711:AA711"/>
    <mergeCell ref="Q712:AA712"/>
    <mergeCell ref="P713:AA713"/>
    <mergeCell ref="P716:AA716"/>
    <mergeCell ref="P695:AA695"/>
    <mergeCell ref="AE695:AE707"/>
    <mergeCell ref="P696:AA696"/>
    <mergeCell ref="P697:AA697"/>
    <mergeCell ref="Y698:AA698"/>
    <mergeCell ref="Y699:AA699"/>
    <mergeCell ref="P700:AA700"/>
    <mergeCell ref="P701:AA701"/>
    <mergeCell ref="P702:AA702"/>
    <mergeCell ref="Q703:AA703"/>
    <mergeCell ref="P704:AA704"/>
    <mergeCell ref="P705:AA705"/>
    <mergeCell ref="P706:AA706"/>
    <mergeCell ref="P681:AA681"/>
    <mergeCell ref="AE681:AE693"/>
    <mergeCell ref="P682:AA682"/>
    <mergeCell ref="P683:AA683"/>
    <mergeCell ref="Y684:AA684"/>
    <mergeCell ref="Y685:AA685"/>
    <mergeCell ref="P692:AA692"/>
    <mergeCell ref="P693:AA693"/>
    <mergeCell ref="P686:AA686"/>
    <mergeCell ref="P687:AA687"/>
    <mergeCell ref="P688:AA688"/>
    <mergeCell ref="Q689:AA689"/>
    <mergeCell ref="P690:AA690"/>
    <mergeCell ref="P691:AA691"/>
    <mergeCell ref="P676:AA676"/>
    <mergeCell ref="P677:AA677"/>
    <mergeCell ref="P678:AA678"/>
    <mergeCell ref="P665:AA665"/>
    <mergeCell ref="AE665:AE679"/>
    <mergeCell ref="P666:AA666"/>
    <mergeCell ref="P667:AA667"/>
    <mergeCell ref="P668:AA668"/>
    <mergeCell ref="Y669:AA669"/>
    <mergeCell ref="P670:AA670"/>
    <mergeCell ref="P679:AA679"/>
    <mergeCell ref="Y671:AA671"/>
    <mergeCell ref="P672:AA672"/>
    <mergeCell ref="P673:AA673"/>
    <mergeCell ref="P674:AA674"/>
    <mergeCell ref="Q675:AA675"/>
    <mergeCell ref="O22:S22"/>
    <mergeCell ref="O23:S23"/>
    <mergeCell ref="B26:AC31"/>
    <mergeCell ref="AD34:AE34"/>
    <mergeCell ref="B1:AB1"/>
    <mergeCell ref="M2:T2"/>
    <mergeCell ref="V7:V8"/>
    <mergeCell ref="W7:W8"/>
    <mergeCell ref="T9:U9"/>
    <mergeCell ref="V9:W9"/>
    <mergeCell ref="Q13:W20"/>
  </mergeCells>
  <conditionalFormatting sqref="AA665:AA666">
    <cfRule type="cellIs" dxfId="98" priority="66" stopIfTrue="1" operator="equal">
      <formula>0</formula>
    </cfRule>
  </conditionalFormatting>
  <conditionalFormatting sqref="AA681">
    <cfRule type="cellIs" dxfId="97" priority="2" stopIfTrue="1" operator="equal">
      <formula>0</formula>
    </cfRule>
  </conditionalFormatting>
  <conditionalFormatting sqref="AA683">
    <cfRule type="cellIs" dxfId="96" priority="3" stopIfTrue="1" operator="equal">
      <formula>0</formula>
    </cfRule>
  </conditionalFormatting>
  <conditionalFormatting sqref="AA695">
    <cfRule type="cellIs" dxfId="95" priority="4" stopIfTrue="1" operator="equal">
      <formula>0</formula>
    </cfRule>
  </conditionalFormatting>
  <conditionalFormatting sqref="AA697">
    <cfRule type="cellIs" dxfId="94" priority="5" stopIfTrue="1" operator="equal">
      <formula>0</formula>
    </cfRule>
  </conditionalFormatting>
  <conditionalFormatting sqref="AB38:AB40">
    <cfRule type="cellIs" dxfId="93" priority="6" stopIfTrue="1" operator="equal">
      <formula>0</formula>
    </cfRule>
  </conditionalFormatting>
  <conditionalFormatting sqref="AB42:AB43">
    <cfRule type="cellIs" dxfId="92" priority="7" stopIfTrue="1" operator="equal">
      <formula>0</formula>
    </cfRule>
  </conditionalFormatting>
  <conditionalFormatting sqref="AB45">
    <cfRule type="cellIs" dxfId="91" priority="8" stopIfTrue="1" operator="equal">
      <formula>0</formula>
    </cfRule>
  </conditionalFormatting>
  <conditionalFormatting sqref="AB49">
    <cfRule type="cellIs" dxfId="90" priority="9" stopIfTrue="1" operator="equal">
      <formula>0</formula>
    </cfRule>
  </conditionalFormatting>
  <conditionalFormatting sqref="AB56:AB58">
    <cfRule type="cellIs" dxfId="89" priority="10" stopIfTrue="1" operator="equal">
      <formula>0</formula>
    </cfRule>
  </conditionalFormatting>
  <conditionalFormatting sqref="AB62:AB63">
    <cfRule type="cellIs" dxfId="88" priority="11" stopIfTrue="1" operator="equal">
      <formula>0</formula>
    </cfRule>
  </conditionalFormatting>
  <conditionalFormatting sqref="AB67">
    <cfRule type="cellIs" dxfId="87" priority="12" stopIfTrue="1" operator="equal">
      <formula>0</formula>
    </cfRule>
  </conditionalFormatting>
  <conditionalFormatting sqref="AB70:AB73">
    <cfRule type="cellIs" dxfId="86" priority="13" stopIfTrue="1" operator="equal">
      <formula>0</formula>
    </cfRule>
  </conditionalFormatting>
  <conditionalFormatting sqref="AB77:AB81">
    <cfRule type="cellIs" dxfId="85" priority="14" stopIfTrue="1" operator="equal">
      <formula>0</formula>
    </cfRule>
  </conditionalFormatting>
  <conditionalFormatting sqref="AB86:AB93">
    <cfRule type="cellIs" dxfId="84" priority="15" stopIfTrue="1" operator="equal">
      <formula>0</formula>
    </cfRule>
  </conditionalFormatting>
  <conditionalFormatting sqref="AB99:AB112">
    <cfRule type="cellIs" dxfId="83" priority="16" stopIfTrue="1" operator="equal">
      <formula>0</formula>
    </cfRule>
  </conditionalFormatting>
  <conditionalFormatting sqref="AB114:AB130">
    <cfRule type="cellIs" dxfId="82" priority="17" stopIfTrue="1" operator="equal">
      <formula>0</formula>
    </cfRule>
  </conditionalFormatting>
  <conditionalFormatting sqref="AB138:AB144">
    <cfRule type="cellIs" dxfId="81" priority="18" stopIfTrue="1" operator="equal">
      <formula>0</formula>
    </cfRule>
  </conditionalFormatting>
  <conditionalFormatting sqref="AB152:AB161">
    <cfRule type="cellIs" dxfId="80" priority="19" stopIfTrue="1" operator="equal">
      <formula>0</formula>
    </cfRule>
  </conditionalFormatting>
  <conditionalFormatting sqref="AB163:AB164">
    <cfRule type="cellIs" dxfId="79" priority="20" stopIfTrue="1" operator="equal">
      <formula>0</formula>
    </cfRule>
  </conditionalFormatting>
  <conditionalFormatting sqref="AB166:AB171">
    <cfRule type="cellIs" dxfId="78" priority="21" stopIfTrue="1" operator="equal">
      <formula>0</formula>
    </cfRule>
  </conditionalFormatting>
  <conditionalFormatting sqref="AB173:AB200">
    <cfRule type="cellIs" dxfId="77" priority="22" stopIfTrue="1" operator="equal">
      <formula>0</formula>
    </cfRule>
  </conditionalFormatting>
  <conditionalFormatting sqref="AB219">
    <cfRule type="cellIs" dxfId="76" priority="23" stopIfTrue="1" operator="equal">
      <formula>0</formula>
    </cfRule>
  </conditionalFormatting>
  <conditionalFormatting sqref="AB222:AB223">
    <cfRule type="cellIs" dxfId="75" priority="24" stopIfTrue="1" operator="equal">
      <formula>0</formula>
    </cfRule>
  </conditionalFormatting>
  <conditionalFormatting sqref="AB227">
    <cfRule type="cellIs" dxfId="74" priority="25" stopIfTrue="1" operator="equal">
      <formula>0</formula>
    </cfRule>
  </conditionalFormatting>
  <conditionalFormatting sqref="AB234">
    <cfRule type="cellIs" dxfId="73" priority="26" stopIfTrue="1" operator="equal">
      <formula>0</formula>
    </cfRule>
  </conditionalFormatting>
  <conditionalFormatting sqref="AB239:AB245">
    <cfRule type="cellIs" dxfId="72" priority="27" stopIfTrue="1" operator="equal">
      <formula>0</formula>
    </cfRule>
  </conditionalFormatting>
  <conditionalFormatting sqref="AB256:AB258">
    <cfRule type="cellIs" dxfId="71" priority="28" stopIfTrue="1" operator="equal">
      <formula>0</formula>
    </cfRule>
  </conditionalFormatting>
  <conditionalFormatting sqref="AB260:AB266">
    <cfRule type="cellIs" dxfId="70" priority="29" stopIfTrue="1" operator="equal">
      <formula>0</formula>
    </cfRule>
  </conditionalFormatting>
  <conditionalFormatting sqref="AB268:AB273">
    <cfRule type="cellIs" dxfId="69" priority="30" stopIfTrue="1" operator="equal">
      <formula>0</formula>
    </cfRule>
  </conditionalFormatting>
  <conditionalFormatting sqref="AB275:AB281">
    <cfRule type="cellIs" dxfId="68" priority="31" stopIfTrue="1" operator="equal">
      <formula>0</formula>
    </cfRule>
  </conditionalFormatting>
  <conditionalFormatting sqref="AB283:AB289">
    <cfRule type="cellIs" dxfId="67" priority="32" stopIfTrue="1" operator="equal">
      <formula>0</formula>
    </cfRule>
  </conditionalFormatting>
  <conditionalFormatting sqref="AB299:AB301">
    <cfRule type="cellIs" dxfId="66" priority="33" stopIfTrue="1" operator="equal">
      <formula>0</formula>
    </cfRule>
  </conditionalFormatting>
  <conditionalFormatting sqref="AB303:AB309">
    <cfRule type="cellIs" dxfId="65" priority="34" stopIfTrue="1" operator="equal">
      <formula>0</formula>
    </cfRule>
  </conditionalFormatting>
  <conditionalFormatting sqref="AB311 AB316">
    <cfRule type="cellIs" dxfId="64" priority="35" stopIfTrue="1" operator="equal">
      <formula>0</formula>
    </cfRule>
  </conditionalFormatting>
  <conditionalFormatting sqref="AB322">
    <cfRule type="cellIs" dxfId="63" priority="36" stopIfTrue="1" operator="equal">
      <formula>0</formula>
    </cfRule>
  </conditionalFormatting>
  <conditionalFormatting sqref="AB329">
    <cfRule type="cellIs" dxfId="62" priority="37" stopIfTrue="1" operator="equal">
      <formula>0</formula>
    </cfRule>
  </conditionalFormatting>
  <conditionalFormatting sqref="AB340">
    <cfRule type="cellIs" dxfId="61" priority="38" stopIfTrue="1" operator="equal">
      <formula>0</formula>
    </cfRule>
  </conditionalFormatting>
  <conditionalFormatting sqref="AB344:AB360">
    <cfRule type="cellIs" dxfId="60" priority="39" stopIfTrue="1" operator="equal">
      <formula>0</formula>
    </cfRule>
  </conditionalFormatting>
  <conditionalFormatting sqref="AB362">
    <cfRule type="cellIs" dxfId="59" priority="40" stopIfTrue="1" operator="equal">
      <formula>0</formula>
    </cfRule>
  </conditionalFormatting>
  <conditionalFormatting sqref="AB366:AB381">
    <cfRule type="cellIs" dxfId="58" priority="41" stopIfTrue="1" operator="equal">
      <formula>0</formula>
    </cfRule>
  </conditionalFormatting>
  <conditionalFormatting sqref="AB383">
    <cfRule type="cellIs" dxfId="57" priority="42" stopIfTrue="1" operator="equal">
      <formula>0</formula>
    </cfRule>
  </conditionalFormatting>
  <conditionalFormatting sqref="AB391:AB408">
    <cfRule type="cellIs" dxfId="56" priority="43" stopIfTrue="1" operator="equal">
      <formula>0</formula>
    </cfRule>
  </conditionalFormatting>
  <conditionalFormatting sqref="AB410">
    <cfRule type="cellIs" dxfId="55" priority="44" stopIfTrue="1" operator="equal">
      <formula>0</formula>
    </cfRule>
  </conditionalFormatting>
  <conditionalFormatting sqref="AB413">
    <cfRule type="cellIs" dxfId="54" priority="45" stopIfTrue="1" operator="equal">
      <formula>0</formula>
    </cfRule>
  </conditionalFormatting>
  <conditionalFormatting sqref="AB416">
    <cfRule type="cellIs" dxfId="53" priority="46" stopIfTrue="1" operator="equal">
      <formula>0</formula>
    </cfRule>
  </conditionalFormatting>
  <conditionalFormatting sqref="AB420">
    <cfRule type="cellIs" dxfId="52" priority="47" stopIfTrue="1" operator="equal">
      <formula>0</formula>
    </cfRule>
  </conditionalFormatting>
  <conditionalFormatting sqref="AB424:AB431">
    <cfRule type="cellIs" dxfId="51" priority="48" stopIfTrue="1" operator="equal">
      <formula>0</formula>
    </cfRule>
  </conditionalFormatting>
  <conditionalFormatting sqref="AB434:AB462">
    <cfRule type="cellIs" dxfId="50" priority="49" stopIfTrue="1" operator="equal">
      <formula>0</formula>
    </cfRule>
  </conditionalFormatting>
  <conditionalFormatting sqref="AB464:AB468">
    <cfRule type="cellIs" dxfId="49" priority="50" stopIfTrue="1" operator="equal">
      <formula>0</formula>
    </cfRule>
  </conditionalFormatting>
  <conditionalFormatting sqref="AB472 AB476 AB480 AB484 AB517 AB519 AB521 AB523:AB533 AB535">
    <cfRule type="cellIs" dxfId="48" priority="51" stopIfTrue="1" operator="equal">
      <formula>0</formula>
    </cfRule>
  </conditionalFormatting>
  <conditionalFormatting sqref="AB492:AB496">
    <cfRule type="cellIs" dxfId="47" priority="52" stopIfTrue="1" operator="equal">
      <formula>0</formula>
    </cfRule>
  </conditionalFormatting>
  <conditionalFormatting sqref="AB498:AB515">
    <cfRule type="cellIs" dxfId="46" priority="53" stopIfTrue="1" operator="equal">
      <formula>0</formula>
    </cfRule>
  </conditionalFormatting>
  <conditionalFormatting sqref="AB537:AB545">
    <cfRule type="cellIs" dxfId="45" priority="54" stopIfTrue="1" operator="equal">
      <formula>0</formula>
    </cfRule>
  </conditionalFormatting>
  <conditionalFormatting sqref="AB552:AB555">
    <cfRule type="cellIs" dxfId="44" priority="55" stopIfTrue="1" operator="equal">
      <formula>0</formula>
    </cfRule>
  </conditionalFormatting>
  <conditionalFormatting sqref="AB557">
    <cfRule type="cellIs" dxfId="43" priority="56" stopIfTrue="1" operator="equal">
      <formula>0</formula>
    </cfRule>
  </conditionalFormatting>
  <conditionalFormatting sqref="AB560">
    <cfRule type="cellIs" dxfId="42" priority="57" stopIfTrue="1" operator="equal">
      <formula>0</formula>
    </cfRule>
  </conditionalFormatting>
  <conditionalFormatting sqref="AB564">
    <cfRule type="cellIs" dxfId="41" priority="58" stopIfTrue="1" operator="equal">
      <formula>0</formula>
    </cfRule>
  </conditionalFormatting>
  <conditionalFormatting sqref="AB568 AB572">
    <cfRule type="cellIs" dxfId="40" priority="59" stopIfTrue="1" operator="equal">
      <formula>0</formula>
    </cfRule>
  </conditionalFormatting>
  <conditionalFormatting sqref="AB576:AB626">
    <cfRule type="cellIs" dxfId="39" priority="60" stopIfTrue="1" operator="equal">
      <formula>0</formula>
    </cfRule>
  </conditionalFormatting>
  <conditionalFormatting sqref="AB628:AB629">
    <cfRule type="cellIs" dxfId="38" priority="61" stopIfTrue="1" operator="equal">
      <formula>0</formula>
    </cfRule>
  </conditionalFormatting>
  <conditionalFormatting sqref="AB643:AB645">
    <cfRule type="cellIs" dxfId="37" priority="62" stopIfTrue="1" operator="equal">
      <formula>0</formula>
    </cfRule>
  </conditionalFormatting>
  <conditionalFormatting sqref="AB649:AB651">
    <cfRule type="cellIs" dxfId="36" priority="63" stopIfTrue="1" operator="equal">
      <formula>0</formula>
    </cfRule>
  </conditionalFormatting>
  <conditionalFormatting sqref="AB653">
    <cfRule type="cellIs" dxfId="35" priority="64" stopIfTrue="1" operator="equal">
      <formula>0</formula>
    </cfRule>
  </conditionalFormatting>
  <conditionalFormatting sqref="AB655:AB663 AA668">
    <cfRule type="cellIs" dxfId="34" priority="1" stopIfTrue="1" operator="equal">
      <formula>0</formula>
    </cfRule>
  </conditionalFormatting>
  <conditionalFormatting sqref="AC685">
    <cfRule type="cellIs" dxfId="33" priority="67" stopIfTrue="1" operator="greaterThan">
      <formula>0</formula>
    </cfRule>
  </conditionalFormatting>
  <conditionalFormatting sqref="AC699">
    <cfRule type="cellIs" dxfId="32" priority="68" stopIfTrue="1" operator="greaterThan">
      <formula>0</formula>
    </cfRule>
  </conditionalFormatting>
  <conditionalFormatting sqref="AC671:AD671">
    <cfRule type="cellIs" dxfId="31" priority="69" stopIfTrue="1" operator="greaterThan">
      <formula>0</formula>
    </cfRule>
  </conditionalFormatting>
  <hyperlinks>
    <hyperlink ref="Q7" r:id="rId1" xr:uid="{00000000-0004-0000-0200-000000000000}"/>
    <hyperlink ref="B37" r:id="rId2" xr:uid="{00000000-0004-0000-0200-000001000000}"/>
    <hyperlink ref="B38" r:id="rId3" xr:uid="{00000000-0004-0000-0200-000002000000}"/>
    <hyperlink ref="B39" r:id="rId4" xr:uid="{00000000-0004-0000-0200-000003000000}"/>
    <hyperlink ref="B40" r:id="rId5" xr:uid="{00000000-0004-0000-0200-000004000000}"/>
    <hyperlink ref="B41" r:id="rId6" xr:uid="{00000000-0004-0000-0200-000005000000}"/>
    <hyperlink ref="B43" r:id="rId7" xr:uid="{00000000-0004-0000-0200-000006000000}"/>
    <hyperlink ref="B44" r:id="rId8" xr:uid="{00000000-0004-0000-0200-000007000000}"/>
    <hyperlink ref="B46" r:id="rId9" xr:uid="{00000000-0004-0000-0200-000008000000}"/>
    <hyperlink ref="B47" r:id="rId10" xr:uid="{00000000-0004-0000-0200-000009000000}"/>
    <hyperlink ref="B48" r:id="rId11" xr:uid="{00000000-0004-0000-0200-00000A000000}"/>
    <hyperlink ref="B50" r:id="rId12" xr:uid="{00000000-0004-0000-0200-00000B000000}"/>
    <hyperlink ref="B51" r:id="rId13" xr:uid="{00000000-0004-0000-0200-00000C000000}"/>
    <hyperlink ref="B52" r:id="rId14" xr:uid="{00000000-0004-0000-0200-00000D000000}"/>
    <hyperlink ref="B53" r:id="rId15" xr:uid="{00000000-0004-0000-0200-00000E000000}"/>
    <hyperlink ref="B54" r:id="rId16" xr:uid="{00000000-0004-0000-0200-00000F000000}"/>
    <hyperlink ref="B55" r:id="rId17" xr:uid="{00000000-0004-0000-0200-000010000000}"/>
    <hyperlink ref="B57" r:id="rId18" xr:uid="{00000000-0004-0000-0200-000011000000}"/>
    <hyperlink ref="B58" r:id="rId19" xr:uid="{00000000-0004-0000-0200-000012000000}"/>
    <hyperlink ref="B59" r:id="rId20" xr:uid="{00000000-0004-0000-0200-000013000000}"/>
    <hyperlink ref="B60" r:id="rId21" xr:uid="{00000000-0004-0000-0200-000014000000}"/>
    <hyperlink ref="B61" r:id="rId22" xr:uid="{00000000-0004-0000-0200-000015000000}"/>
    <hyperlink ref="B63" r:id="rId23" xr:uid="{00000000-0004-0000-0200-000016000000}"/>
    <hyperlink ref="B64" r:id="rId24" xr:uid="{00000000-0004-0000-0200-000017000000}"/>
    <hyperlink ref="B65" r:id="rId25" xr:uid="{00000000-0004-0000-0200-000018000000}"/>
    <hyperlink ref="B66" r:id="rId26" xr:uid="{00000000-0004-0000-0200-000019000000}"/>
    <hyperlink ref="B67" r:id="rId27" xr:uid="{00000000-0004-0000-0200-00001A000000}"/>
    <hyperlink ref="B68" r:id="rId28" xr:uid="{00000000-0004-0000-0200-00001B000000}"/>
    <hyperlink ref="B69" r:id="rId29" xr:uid="{00000000-0004-0000-0200-00001C000000}"/>
    <hyperlink ref="B70" r:id="rId30" xr:uid="{00000000-0004-0000-0200-00001D000000}"/>
    <hyperlink ref="B71" r:id="rId31" xr:uid="{00000000-0004-0000-0200-00001E000000}"/>
    <hyperlink ref="B72" r:id="rId32" xr:uid="{00000000-0004-0000-0200-00001F000000}"/>
    <hyperlink ref="B73" r:id="rId33" xr:uid="{00000000-0004-0000-0200-000020000000}"/>
    <hyperlink ref="B74" r:id="rId34" xr:uid="{00000000-0004-0000-0200-000021000000}"/>
    <hyperlink ref="B75" r:id="rId35" xr:uid="{00000000-0004-0000-0200-000022000000}"/>
    <hyperlink ref="B76" r:id="rId36" xr:uid="{00000000-0004-0000-0200-000023000000}"/>
    <hyperlink ref="B78" r:id="rId37" xr:uid="{00000000-0004-0000-0200-000024000000}"/>
    <hyperlink ref="B79" r:id="rId38" xr:uid="{00000000-0004-0000-0200-000025000000}"/>
    <hyperlink ref="B80" r:id="rId39" xr:uid="{00000000-0004-0000-0200-000026000000}"/>
    <hyperlink ref="B81" r:id="rId40" xr:uid="{00000000-0004-0000-0200-000027000000}"/>
    <hyperlink ref="B82" r:id="rId41" xr:uid="{00000000-0004-0000-0200-000028000000}"/>
    <hyperlink ref="B83" r:id="rId42" xr:uid="{00000000-0004-0000-0200-000029000000}"/>
    <hyperlink ref="B84" r:id="rId43" xr:uid="{00000000-0004-0000-0200-00002A000000}"/>
    <hyperlink ref="B85" r:id="rId44" xr:uid="{00000000-0004-0000-0200-00002B000000}"/>
    <hyperlink ref="B87" r:id="rId45" xr:uid="{00000000-0004-0000-0200-00002C000000}"/>
    <hyperlink ref="B88" r:id="rId46" xr:uid="{00000000-0004-0000-0200-00002D000000}"/>
    <hyperlink ref="B89" r:id="rId47" xr:uid="{00000000-0004-0000-0200-00002E000000}"/>
    <hyperlink ref="B90" r:id="rId48" xr:uid="{00000000-0004-0000-0200-00002F000000}"/>
    <hyperlink ref="B91" r:id="rId49" xr:uid="{00000000-0004-0000-0200-000030000000}"/>
    <hyperlink ref="B92" r:id="rId50" xr:uid="{00000000-0004-0000-0200-000031000000}"/>
    <hyperlink ref="B93" r:id="rId51" xr:uid="{00000000-0004-0000-0200-000032000000}"/>
    <hyperlink ref="B94" r:id="rId52" xr:uid="{00000000-0004-0000-0200-000033000000}"/>
    <hyperlink ref="B95" r:id="rId53" xr:uid="{00000000-0004-0000-0200-000034000000}"/>
    <hyperlink ref="B96" r:id="rId54" xr:uid="{00000000-0004-0000-0200-000035000000}"/>
    <hyperlink ref="B97" r:id="rId55" xr:uid="{00000000-0004-0000-0200-000036000000}"/>
    <hyperlink ref="B98" r:id="rId56" xr:uid="{00000000-0004-0000-0200-000037000000}"/>
    <hyperlink ref="B100" r:id="rId57" xr:uid="{00000000-0004-0000-0200-000038000000}"/>
    <hyperlink ref="B101" r:id="rId58" xr:uid="{00000000-0004-0000-0200-000039000000}"/>
    <hyperlink ref="B102" r:id="rId59" xr:uid="{00000000-0004-0000-0200-00003A000000}"/>
    <hyperlink ref="B104" r:id="rId60" xr:uid="{00000000-0004-0000-0200-00003B000000}"/>
    <hyperlink ref="B105" r:id="rId61" xr:uid="{00000000-0004-0000-0200-00003C000000}"/>
    <hyperlink ref="B106" r:id="rId62" xr:uid="{00000000-0004-0000-0200-00003D000000}"/>
    <hyperlink ref="B107" r:id="rId63" xr:uid="{00000000-0004-0000-0200-00003E000000}"/>
    <hyperlink ref="B108" r:id="rId64" xr:uid="{00000000-0004-0000-0200-00003F000000}"/>
    <hyperlink ref="B109" r:id="rId65" xr:uid="{00000000-0004-0000-0200-000040000000}"/>
    <hyperlink ref="B110" r:id="rId66" xr:uid="{00000000-0004-0000-0200-000041000000}"/>
    <hyperlink ref="B111" r:id="rId67" xr:uid="{00000000-0004-0000-0200-000042000000}"/>
    <hyperlink ref="B112" r:id="rId68" xr:uid="{00000000-0004-0000-0200-000043000000}"/>
    <hyperlink ref="B113" r:id="rId69" xr:uid="{00000000-0004-0000-0200-000044000000}"/>
    <hyperlink ref="B115" r:id="rId70" xr:uid="{00000000-0004-0000-0200-000045000000}"/>
    <hyperlink ref="B117" r:id="rId71" xr:uid="{00000000-0004-0000-0200-000046000000}"/>
    <hyperlink ref="B118" r:id="rId72" xr:uid="{00000000-0004-0000-0200-000047000000}"/>
    <hyperlink ref="B119" r:id="rId73" xr:uid="{00000000-0004-0000-0200-000048000000}"/>
    <hyperlink ref="B120" r:id="rId74" xr:uid="{00000000-0004-0000-0200-000049000000}"/>
    <hyperlink ref="B121" r:id="rId75" xr:uid="{00000000-0004-0000-0200-00004A000000}"/>
    <hyperlink ref="B122" r:id="rId76" xr:uid="{00000000-0004-0000-0200-00004B000000}"/>
    <hyperlink ref="B123" r:id="rId77" xr:uid="{00000000-0004-0000-0200-00004C000000}"/>
    <hyperlink ref="B124" r:id="rId78" xr:uid="{00000000-0004-0000-0200-00004D000000}"/>
    <hyperlink ref="B125" r:id="rId79" xr:uid="{00000000-0004-0000-0200-00004E000000}"/>
    <hyperlink ref="B126" r:id="rId80" xr:uid="{00000000-0004-0000-0200-00004F000000}"/>
    <hyperlink ref="B127" r:id="rId81" xr:uid="{00000000-0004-0000-0200-000050000000}"/>
    <hyperlink ref="B128" r:id="rId82" xr:uid="{00000000-0004-0000-0200-000051000000}"/>
    <hyperlink ref="B129" r:id="rId83" xr:uid="{00000000-0004-0000-0200-000052000000}"/>
    <hyperlink ref="B130" r:id="rId84" xr:uid="{00000000-0004-0000-0200-000053000000}"/>
    <hyperlink ref="B131" r:id="rId85" xr:uid="{00000000-0004-0000-0200-000054000000}"/>
    <hyperlink ref="B132" r:id="rId86" xr:uid="{00000000-0004-0000-0200-000055000000}"/>
    <hyperlink ref="B133" r:id="rId87" xr:uid="{00000000-0004-0000-0200-000056000000}"/>
    <hyperlink ref="B134" r:id="rId88" xr:uid="{00000000-0004-0000-0200-000057000000}"/>
    <hyperlink ref="B135" r:id="rId89" xr:uid="{00000000-0004-0000-0200-000058000000}"/>
    <hyperlink ref="B136" r:id="rId90" xr:uid="{00000000-0004-0000-0200-000059000000}"/>
    <hyperlink ref="B137" r:id="rId91" xr:uid="{00000000-0004-0000-0200-00005A000000}"/>
    <hyperlink ref="B139" r:id="rId92" xr:uid="{00000000-0004-0000-0200-00005B000000}"/>
    <hyperlink ref="B140" r:id="rId93" xr:uid="{00000000-0004-0000-0200-00005C000000}"/>
    <hyperlink ref="B141" r:id="rId94" xr:uid="{00000000-0004-0000-0200-00005D000000}"/>
    <hyperlink ref="B142" r:id="rId95" xr:uid="{00000000-0004-0000-0200-00005E000000}"/>
    <hyperlink ref="B143" r:id="rId96" xr:uid="{00000000-0004-0000-0200-00005F000000}"/>
    <hyperlink ref="B144" r:id="rId97" xr:uid="{00000000-0004-0000-0200-000060000000}"/>
    <hyperlink ref="B145" r:id="rId98" xr:uid="{00000000-0004-0000-0200-000061000000}"/>
    <hyperlink ref="B146" r:id="rId99" xr:uid="{00000000-0004-0000-0200-000062000000}"/>
    <hyperlink ref="B147" r:id="rId100" xr:uid="{00000000-0004-0000-0200-000063000000}"/>
    <hyperlink ref="B148" r:id="rId101" xr:uid="{00000000-0004-0000-0200-000064000000}"/>
    <hyperlink ref="B149" r:id="rId102" xr:uid="{00000000-0004-0000-0200-000065000000}"/>
    <hyperlink ref="B150" r:id="rId103" xr:uid="{00000000-0004-0000-0200-000066000000}"/>
    <hyperlink ref="B151" r:id="rId104" xr:uid="{00000000-0004-0000-0200-000067000000}"/>
    <hyperlink ref="B153" r:id="rId105" xr:uid="{00000000-0004-0000-0200-000068000000}"/>
    <hyperlink ref="B154" r:id="rId106" xr:uid="{00000000-0004-0000-0200-000069000000}"/>
    <hyperlink ref="B155" r:id="rId107" xr:uid="{00000000-0004-0000-0200-00006A000000}"/>
    <hyperlink ref="B156" r:id="rId108" xr:uid="{00000000-0004-0000-0200-00006B000000}"/>
    <hyperlink ref="B158" r:id="rId109" xr:uid="{00000000-0004-0000-0200-00006C000000}"/>
    <hyperlink ref="B159" r:id="rId110" xr:uid="{00000000-0004-0000-0200-00006D000000}"/>
    <hyperlink ref="B160" r:id="rId111" xr:uid="{00000000-0004-0000-0200-00006E000000}"/>
    <hyperlink ref="B161" r:id="rId112" xr:uid="{00000000-0004-0000-0200-00006F000000}"/>
    <hyperlink ref="B162" r:id="rId113" xr:uid="{00000000-0004-0000-0200-000070000000}"/>
    <hyperlink ref="B163" r:id="rId114" xr:uid="{00000000-0004-0000-0200-000071000000}"/>
    <hyperlink ref="B164" r:id="rId115" xr:uid="{00000000-0004-0000-0200-000072000000}"/>
    <hyperlink ref="B165" r:id="rId116" xr:uid="{00000000-0004-0000-0200-000073000000}"/>
    <hyperlink ref="B166" r:id="rId117" xr:uid="{00000000-0004-0000-0200-000074000000}"/>
    <hyperlink ref="B167" r:id="rId118" xr:uid="{00000000-0004-0000-0200-000075000000}"/>
    <hyperlink ref="B168" r:id="rId119" xr:uid="{00000000-0004-0000-0200-000076000000}"/>
    <hyperlink ref="B169" r:id="rId120" xr:uid="{00000000-0004-0000-0200-000077000000}"/>
    <hyperlink ref="B170" r:id="rId121" xr:uid="{00000000-0004-0000-0200-000078000000}"/>
    <hyperlink ref="B171" r:id="rId122" xr:uid="{00000000-0004-0000-0200-000079000000}"/>
    <hyperlink ref="B172" r:id="rId123" xr:uid="{00000000-0004-0000-0200-00007A000000}"/>
    <hyperlink ref="B173" r:id="rId124" xr:uid="{00000000-0004-0000-0200-00007B000000}"/>
    <hyperlink ref="B175" r:id="rId125" xr:uid="{00000000-0004-0000-0200-00007C000000}"/>
    <hyperlink ref="B176" r:id="rId126" xr:uid="{00000000-0004-0000-0200-00007D000000}"/>
    <hyperlink ref="B177" r:id="rId127" xr:uid="{00000000-0004-0000-0200-00007E000000}"/>
    <hyperlink ref="B178" r:id="rId128" xr:uid="{00000000-0004-0000-0200-00007F000000}"/>
    <hyperlink ref="B179" r:id="rId129" xr:uid="{00000000-0004-0000-0200-000080000000}"/>
    <hyperlink ref="B180" r:id="rId130" xr:uid="{00000000-0004-0000-0200-000081000000}"/>
    <hyperlink ref="B181" r:id="rId131" xr:uid="{00000000-0004-0000-0200-000082000000}"/>
    <hyperlink ref="B182" r:id="rId132" xr:uid="{00000000-0004-0000-0200-000083000000}"/>
    <hyperlink ref="B183" r:id="rId133" xr:uid="{00000000-0004-0000-0200-000084000000}"/>
    <hyperlink ref="B185" r:id="rId134" xr:uid="{00000000-0004-0000-0200-000085000000}"/>
    <hyperlink ref="B186" r:id="rId135" xr:uid="{00000000-0004-0000-0200-000086000000}"/>
    <hyperlink ref="B187" r:id="rId136" xr:uid="{00000000-0004-0000-0200-000087000000}"/>
    <hyperlink ref="B188" r:id="rId137" xr:uid="{00000000-0004-0000-0200-000088000000}"/>
    <hyperlink ref="B189" r:id="rId138" xr:uid="{00000000-0004-0000-0200-000089000000}"/>
    <hyperlink ref="B190" r:id="rId139" xr:uid="{00000000-0004-0000-0200-00008A000000}"/>
    <hyperlink ref="B191" r:id="rId140" xr:uid="{00000000-0004-0000-0200-00008B000000}"/>
    <hyperlink ref="B193" r:id="rId141" xr:uid="{00000000-0004-0000-0200-00008C000000}"/>
    <hyperlink ref="B194" r:id="rId142" xr:uid="{00000000-0004-0000-0200-00008D000000}"/>
    <hyperlink ref="B195" r:id="rId143" xr:uid="{00000000-0004-0000-0200-00008E000000}"/>
    <hyperlink ref="B196" r:id="rId144" xr:uid="{00000000-0004-0000-0200-00008F000000}"/>
    <hyperlink ref="B198" r:id="rId145" xr:uid="{00000000-0004-0000-0200-000090000000}"/>
    <hyperlink ref="B199" r:id="rId146" xr:uid="{00000000-0004-0000-0200-000091000000}"/>
    <hyperlink ref="B200" r:id="rId147" xr:uid="{00000000-0004-0000-0200-000092000000}"/>
    <hyperlink ref="B201" r:id="rId148" xr:uid="{00000000-0004-0000-0200-000093000000}"/>
    <hyperlink ref="B202" r:id="rId149" xr:uid="{00000000-0004-0000-0200-000094000000}"/>
    <hyperlink ref="B205" r:id="rId150" xr:uid="{00000000-0004-0000-0200-000095000000}"/>
    <hyperlink ref="B208" r:id="rId151" xr:uid="{00000000-0004-0000-0200-000096000000}"/>
    <hyperlink ref="B209" r:id="rId152" xr:uid="{00000000-0004-0000-0200-000097000000}"/>
    <hyperlink ref="B210" r:id="rId153" xr:uid="{00000000-0004-0000-0200-000098000000}"/>
    <hyperlink ref="B212" r:id="rId154" xr:uid="{00000000-0004-0000-0200-000099000000}"/>
    <hyperlink ref="B215" r:id="rId155" xr:uid="{00000000-0004-0000-0200-00009A000000}"/>
    <hyperlink ref="B220" r:id="rId156" xr:uid="{00000000-0004-0000-0200-00009B000000}"/>
    <hyperlink ref="B221" r:id="rId157" xr:uid="{00000000-0004-0000-0200-00009C000000}"/>
    <hyperlink ref="B222" r:id="rId158" xr:uid="{00000000-0004-0000-0200-00009D000000}"/>
    <hyperlink ref="B223" r:id="rId159" xr:uid="{00000000-0004-0000-0200-00009E000000}"/>
    <hyperlink ref="B224" r:id="rId160" xr:uid="{00000000-0004-0000-0200-00009F000000}"/>
    <hyperlink ref="B225" r:id="rId161" xr:uid="{00000000-0004-0000-0200-0000A0000000}"/>
    <hyperlink ref="B226" r:id="rId162" xr:uid="{00000000-0004-0000-0200-0000A1000000}"/>
    <hyperlink ref="B228" r:id="rId163" xr:uid="{00000000-0004-0000-0200-0000A2000000}"/>
    <hyperlink ref="B229" r:id="rId164" xr:uid="{00000000-0004-0000-0200-0000A3000000}"/>
    <hyperlink ref="B230" r:id="rId165" xr:uid="{00000000-0004-0000-0200-0000A4000000}"/>
    <hyperlink ref="B231" r:id="rId166" xr:uid="{00000000-0004-0000-0200-0000A5000000}"/>
    <hyperlink ref="B232" r:id="rId167" xr:uid="{00000000-0004-0000-0200-0000A6000000}"/>
    <hyperlink ref="B233" r:id="rId168" xr:uid="{00000000-0004-0000-0200-0000A7000000}"/>
    <hyperlink ref="B235" r:id="rId169" xr:uid="{00000000-0004-0000-0200-0000A8000000}"/>
    <hyperlink ref="B236" r:id="rId170" xr:uid="{00000000-0004-0000-0200-0000A9000000}"/>
    <hyperlink ref="B237" r:id="rId171" xr:uid="{00000000-0004-0000-0200-0000AA000000}"/>
    <hyperlink ref="B238" r:id="rId172" xr:uid="{00000000-0004-0000-0200-0000AB000000}"/>
    <hyperlink ref="B240" r:id="rId173" xr:uid="{00000000-0004-0000-0200-0000AC000000}"/>
    <hyperlink ref="B241" r:id="rId174" xr:uid="{00000000-0004-0000-0200-0000AD000000}"/>
    <hyperlink ref="B242" r:id="rId175" xr:uid="{00000000-0004-0000-0200-0000AE000000}"/>
    <hyperlink ref="B244" r:id="rId176" xr:uid="{00000000-0004-0000-0200-0000AF000000}"/>
    <hyperlink ref="B246" r:id="rId177" xr:uid="{00000000-0004-0000-0200-0000B0000000}"/>
    <hyperlink ref="B247" r:id="rId178" xr:uid="{00000000-0004-0000-0200-0000B1000000}"/>
    <hyperlink ref="B248" r:id="rId179" xr:uid="{00000000-0004-0000-0200-0000B2000000}"/>
    <hyperlink ref="B249" r:id="rId180" xr:uid="{00000000-0004-0000-0200-0000B3000000}"/>
    <hyperlink ref="B250" r:id="rId181" xr:uid="{00000000-0004-0000-0200-0000B4000000}"/>
    <hyperlink ref="B251" r:id="rId182" xr:uid="{00000000-0004-0000-0200-0000B5000000}"/>
    <hyperlink ref="B252" r:id="rId183" xr:uid="{00000000-0004-0000-0200-0000B6000000}"/>
    <hyperlink ref="B253" r:id="rId184" xr:uid="{00000000-0004-0000-0200-0000B7000000}"/>
    <hyperlink ref="B254" r:id="rId185" xr:uid="{00000000-0004-0000-0200-0000B8000000}"/>
    <hyperlink ref="B255" r:id="rId186" xr:uid="{00000000-0004-0000-0200-0000B9000000}"/>
    <hyperlink ref="B257" r:id="rId187" xr:uid="{00000000-0004-0000-0200-0000BA000000}"/>
    <hyperlink ref="B258" r:id="rId188" xr:uid="{00000000-0004-0000-0200-0000BB000000}"/>
    <hyperlink ref="B259" r:id="rId189" xr:uid="{00000000-0004-0000-0200-0000BC000000}"/>
    <hyperlink ref="B261" r:id="rId190" xr:uid="{00000000-0004-0000-0200-0000BD000000}"/>
    <hyperlink ref="B262" r:id="rId191" xr:uid="{00000000-0004-0000-0200-0000BE000000}"/>
    <hyperlink ref="B263" r:id="rId192" xr:uid="{00000000-0004-0000-0200-0000BF000000}"/>
    <hyperlink ref="B264" r:id="rId193" xr:uid="{00000000-0004-0000-0200-0000C0000000}"/>
    <hyperlink ref="B265" r:id="rId194" xr:uid="{00000000-0004-0000-0200-0000C1000000}"/>
    <hyperlink ref="B266" r:id="rId195" xr:uid="{00000000-0004-0000-0200-0000C2000000}"/>
    <hyperlink ref="B267" r:id="rId196" xr:uid="{00000000-0004-0000-0200-0000C3000000}"/>
    <hyperlink ref="B269" r:id="rId197" xr:uid="{00000000-0004-0000-0200-0000C4000000}"/>
    <hyperlink ref="B270" r:id="rId198" xr:uid="{00000000-0004-0000-0200-0000C5000000}"/>
    <hyperlink ref="B271" r:id="rId199" xr:uid="{00000000-0004-0000-0200-0000C6000000}"/>
    <hyperlink ref="B272" r:id="rId200" xr:uid="{00000000-0004-0000-0200-0000C7000000}"/>
    <hyperlink ref="B273" r:id="rId201" xr:uid="{00000000-0004-0000-0200-0000C8000000}"/>
    <hyperlink ref="B274" r:id="rId202" xr:uid="{00000000-0004-0000-0200-0000C9000000}"/>
    <hyperlink ref="B275" r:id="rId203" xr:uid="{00000000-0004-0000-0200-0000CA000000}"/>
    <hyperlink ref="B276" r:id="rId204" xr:uid="{00000000-0004-0000-0200-0000CB000000}"/>
    <hyperlink ref="B278" r:id="rId205" xr:uid="{00000000-0004-0000-0200-0000CC000000}"/>
    <hyperlink ref="B279" r:id="rId206" xr:uid="{00000000-0004-0000-0200-0000CD000000}"/>
    <hyperlink ref="B280" r:id="rId207" xr:uid="{00000000-0004-0000-0200-0000CE000000}"/>
    <hyperlink ref="B281" r:id="rId208" xr:uid="{00000000-0004-0000-0200-0000CF000000}"/>
    <hyperlink ref="B282" r:id="rId209" xr:uid="{00000000-0004-0000-0200-0000D0000000}"/>
    <hyperlink ref="B283" r:id="rId210" xr:uid="{00000000-0004-0000-0200-0000D1000000}"/>
    <hyperlink ref="B284" r:id="rId211" xr:uid="{00000000-0004-0000-0200-0000D2000000}"/>
    <hyperlink ref="B285" r:id="rId212" xr:uid="{00000000-0004-0000-0200-0000D3000000}"/>
    <hyperlink ref="B286" r:id="rId213" xr:uid="{00000000-0004-0000-0200-0000D4000000}"/>
    <hyperlink ref="B288" r:id="rId214" xr:uid="{00000000-0004-0000-0200-0000D5000000}"/>
    <hyperlink ref="B289" r:id="rId215" xr:uid="{00000000-0004-0000-0200-0000D6000000}"/>
    <hyperlink ref="B290" r:id="rId216" xr:uid="{00000000-0004-0000-0200-0000D7000000}"/>
    <hyperlink ref="B291" r:id="rId217" xr:uid="{00000000-0004-0000-0200-0000D8000000}"/>
    <hyperlink ref="B292" r:id="rId218" xr:uid="{00000000-0004-0000-0200-0000D9000000}"/>
    <hyperlink ref="B293" r:id="rId219" xr:uid="{00000000-0004-0000-0200-0000DA000000}"/>
    <hyperlink ref="B294" r:id="rId220" xr:uid="{00000000-0004-0000-0200-0000DB000000}"/>
    <hyperlink ref="B295" r:id="rId221" xr:uid="{00000000-0004-0000-0200-0000DC000000}"/>
    <hyperlink ref="B296" r:id="rId222" xr:uid="{00000000-0004-0000-0200-0000DD000000}"/>
    <hyperlink ref="B297" r:id="rId223" xr:uid="{00000000-0004-0000-0200-0000DE000000}"/>
    <hyperlink ref="B298" r:id="rId224" xr:uid="{00000000-0004-0000-0200-0000DF000000}"/>
    <hyperlink ref="B300" r:id="rId225" xr:uid="{00000000-0004-0000-0200-0000E0000000}"/>
    <hyperlink ref="B301" r:id="rId226" xr:uid="{00000000-0004-0000-0200-0000E1000000}"/>
    <hyperlink ref="B302" r:id="rId227" xr:uid="{00000000-0004-0000-0200-0000E2000000}"/>
    <hyperlink ref="B303" r:id="rId228" xr:uid="{00000000-0004-0000-0200-0000E3000000}"/>
    <hyperlink ref="B304" r:id="rId229" xr:uid="{00000000-0004-0000-0200-0000E4000000}"/>
    <hyperlink ref="B306" r:id="rId230" xr:uid="{00000000-0004-0000-0200-0000E5000000}"/>
    <hyperlink ref="B307" r:id="rId231" xr:uid="{00000000-0004-0000-0200-0000E6000000}"/>
    <hyperlink ref="B308" r:id="rId232" xr:uid="{00000000-0004-0000-0200-0000E7000000}"/>
    <hyperlink ref="B309" r:id="rId233" xr:uid="{00000000-0004-0000-0200-0000E8000000}"/>
    <hyperlink ref="B311" r:id="rId234" xr:uid="{00000000-0004-0000-0200-0000E9000000}"/>
    <hyperlink ref="B315" r:id="rId235" xr:uid="{00000000-0004-0000-0200-0000EA000000}"/>
    <hyperlink ref="B316" r:id="rId236" xr:uid="{00000000-0004-0000-0200-0000EB000000}"/>
    <hyperlink ref="B320" r:id="rId237" xr:uid="{00000000-0004-0000-0200-0000EC000000}"/>
    <hyperlink ref="B321" r:id="rId238" xr:uid="{00000000-0004-0000-0200-0000ED000000}"/>
    <hyperlink ref="B322" r:id="rId239" xr:uid="{00000000-0004-0000-0200-0000EE000000}"/>
    <hyperlink ref="B323" r:id="rId240" xr:uid="{00000000-0004-0000-0200-0000EF000000}"/>
    <hyperlink ref="B325" r:id="rId241" xr:uid="{00000000-0004-0000-0200-0000F0000000}"/>
    <hyperlink ref="B326" r:id="rId242" xr:uid="{00000000-0004-0000-0200-0000F1000000}"/>
    <hyperlink ref="B327" r:id="rId243" xr:uid="{00000000-0004-0000-0200-0000F2000000}"/>
    <hyperlink ref="B328" r:id="rId244" xr:uid="{00000000-0004-0000-0200-0000F3000000}"/>
    <hyperlink ref="B329" r:id="rId245" xr:uid="{00000000-0004-0000-0200-0000F4000000}"/>
    <hyperlink ref="B330" r:id="rId246" xr:uid="{00000000-0004-0000-0200-0000F5000000}"/>
    <hyperlink ref="B331" r:id="rId247" xr:uid="{00000000-0004-0000-0200-0000F6000000}"/>
    <hyperlink ref="B332" r:id="rId248" xr:uid="{00000000-0004-0000-0200-0000F7000000}"/>
    <hyperlink ref="B333" r:id="rId249" xr:uid="{00000000-0004-0000-0200-0000F8000000}"/>
    <hyperlink ref="B336" r:id="rId250" xr:uid="{00000000-0004-0000-0200-0000F9000000}"/>
    <hyperlink ref="B337" r:id="rId251" xr:uid="{00000000-0004-0000-0200-0000FA000000}"/>
    <hyperlink ref="B338" r:id="rId252" xr:uid="{00000000-0004-0000-0200-0000FB000000}"/>
    <hyperlink ref="B339" r:id="rId253" xr:uid="{00000000-0004-0000-0200-0000FC000000}"/>
    <hyperlink ref="B340" r:id="rId254" xr:uid="{00000000-0004-0000-0200-0000FD000000}"/>
    <hyperlink ref="B341" r:id="rId255" xr:uid="{00000000-0004-0000-0200-0000FE000000}"/>
    <hyperlink ref="B342" r:id="rId256" xr:uid="{00000000-0004-0000-0200-0000FF000000}"/>
    <hyperlink ref="B343" r:id="rId257" xr:uid="{00000000-0004-0000-0200-000000010000}"/>
    <hyperlink ref="B345" r:id="rId258" xr:uid="{00000000-0004-0000-0200-000001010000}"/>
    <hyperlink ref="B346" r:id="rId259" xr:uid="{00000000-0004-0000-0200-000002010000}"/>
    <hyperlink ref="B348" r:id="rId260" xr:uid="{00000000-0004-0000-0200-000003010000}"/>
    <hyperlink ref="B350" r:id="rId261" xr:uid="{00000000-0004-0000-0200-000004010000}"/>
    <hyperlink ref="B351" r:id="rId262" xr:uid="{00000000-0004-0000-0200-000005010000}"/>
    <hyperlink ref="B352" r:id="rId263" xr:uid="{00000000-0004-0000-0200-000006010000}"/>
    <hyperlink ref="B353" r:id="rId264" xr:uid="{00000000-0004-0000-0200-000007010000}"/>
    <hyperlink ref="B355" r:id="rId265" xr:uid="{00000000-0004-0000-0200-000008010000}"/>
    <hyperlink ref="B356" r:id="rId266" xr:uid="{00000000-0004-0000-0200-000009010000}"/>
    <hyperlink ref="B357" r:id="rId267" xr:uid="{00000000-0004-0000-0200-00000A010000}"/>
    <hyperlink ref="B359" r:id="rId268" xr:uid="{00000000-0004-0000-0200-00000B010000}"/>
    <hyperlink ref="B360" r:id="rId269" xr:uid="{00000000-0004-0000-0200-00000C010000}"/>
    <hyperlink ref="B361" r:id="rId270" xr:uid="{00000000-0004-0000-0200-00000D010000}"/>
    <hyperlink ref="B362" r:id="rId271" xr:uid="{00000000-0004-0000-0200-00000E010000}"/>
    <hyperlink ref="B363" r:id="rId272" xr:uid="{00000000-0004-0000-0200-00000F010000}"/>
    <hyperlink ref="B364" r:id="rId273" xr:uid="{00000000-0004-0000-0200-000010010000}"/>
    <hyperlink ref="B365" r:id="rId274" xr:uid="{00000000-0004-0000-0200-000011010000}"/>
    <hyperlink ref="B367" r:id="rId275" xr:uid="{00000000-0004-0000-0200-000012010000}"/>
    <hyperlink ref="B369" r:id="rId276" xr:uid="{00000000-0004-0000-0200-000013010000}"/>
    <hyperlink ref="B370" r:id="rId277" xr:uid="{00000000-0004-0000-0200-000014010000}"/>
    <hyperlink ref="B371" r:id="rId278" xr:uid="{00000000-0004-0000-0200-000015010000}"/>
    <hyperlink ref="B373" r:id="rId279" xr:uid="{00000000-0004-0000-0200-000016010000}"/>
    <hyperlink ref="B374" r:id="rId280" xr:uid="{00000000-0004-0000-0200-000017010000}"/>
    <hyperlink ref="B375" r:id="rId281" xr:uid="{00000000-0004-0000-0200-000018010000}"/>
    <hyperlink ref="B376" r:id="rId282" xr:uid="{00000000-0004-0000-0200-000019010000}"/>
    <hyperlink ref="B377" r:id="rId283" xr:uid="{00000000-0004-0000-0200-00001A010000}"/>
    <hyperlink ref="B378" r:id="rId284" xr:uid="{00000000-0004-0000-0200-00001B010000}"/>
    <hyperlink ref="B380" r:id="rId285" xr:uid="{00000000-0004-0000-0200-00001C010000}"/>
    <hyperlink ref="B381" r:id="rId286" xr:uid="{00000000-0004-0000-0200-00001D010000}"/>
    <hyperlink ref="B382" r:id="rId287" xr:uid="{00000000-0004-0000-0200-00001E010000}"/>
    <hyperlink ref="B383" r:id="rId288" xr:uid="{00000000-0004-0000-0200-00001F010000}"/>
    <hyperlink ref="B384" r:id="rId289" xr:uid="{00000000-0004-0000-0200-000020010000}"/>
    <hyperlink ref="B385" r:id="rId290" xr:uid="{00000000-0004-0000-0200-000021010000}"/>
    <hyperlink ref="B386" r:id="rId291" xr:uid="{00000000-0004-0000-0200-000022010000}"/>
    <hyperlink ref="B387" r:id="rId292" xr:uid="{00000000-0004-0000-0200-000023010000}"/>
    <hyperlink ref="B392" r:id="rId293" xr:uid="{00000000-0004-0000-0200-000024010000}"/>
    <hyperlink ref="B393" r:id="rId294" xr:uid="{00000000-0004-0000-0200-000025010000}"/>
    <hyperlink ref="B394" r:id="rId295" xr:uid="{00000000-0004-0000-0200-000026010000}"/>
    <hyperlink ref="B396" r:id="rId296" xr:uid="{00000000-0004-0000-0200-000027010000}"/>
    <hyperlink ref="B397" r:id="rId297" xr:uid="{00000000-0004-0000-0200-000028010000}"/>
    <hyperlink ref="B398" r:id="rId298" xr:uid="{00000000-0004-0000-0200-000029010000}"/>
    <hyperlink ref="B400" r:id="rId299" xr:uid="{00000000-0004-0000-0200-00002A010000}"/>
    <hyperlink ref="B401" r:id="rId300" xr:uid="{00000000-0004-0000-0200-00002B010000}"/>
    <hyperlink ref="B402" r:id="rId301" xr:uid="{00000000-0004-0000-0200-00002C010000}"/>
    <hyperlink ref="B404" r:id="rId302" xr:uid="{00000000-0004-0000-0200-00002D010000}"/>
    <hyperlink ref="B405" r:id="rId303" xr:uid="{00000000-0004-0000-0200-00002E010000}"/>
    <hyperlink ref="B406" r:id="rId304" xr:uid="{00000000-0004-0000-0200-00002F010000}"/>
    <hyperlink ref="B408" r:id="rId305" xr:uid="{00000000-0004-0000-0200-000030010000}"/>
    <hyperlink ref="B409" r:id="rId306" xr:uid="{00000000-0004-0000-0200-000031010000}"/>
    <hyperlink ref="B410" r:id="rId307" xr:uid="{00000000-0004-0000-0200-000032010000}"/>
    <hyperlink ref="B411" r:id="rId308" xr:uid="{00000000-0004-0000-0200-000033010000}"/>
    <hyperlink ref="B412" r:id="rId309" xr:uid="{00000000-0004-0000-0200-000034010000}"/>
    <hyperlink ref="B414" r:id="rId310" xr:uid="{00000000-0004-0000-0200-000035010000}"/>
    <hyperlink ref="B417" r:id="rId311" xr:uid="{00000000-0004-0000-0200-000036010000}"/>
    <hyperlink ref="B418" r:id="rId312" xr:uid="{00000000-0004-0000-0200-000037010000}"/>
    <hyperlink ref="B419" r:id="rId313" xr:uid="{00000000-0004-0000-0200-000038010000}"/>
    <hyperlink ref="B421" r:id="rId314" xr:uid="{00000000-0004-0000-0200-000039010000}"/>
    <hyperlink ref="B422" r:id="rId315" xr:uid="{00000000-0004-0000-0200-00003A010000}"/>
    <hyperlink ref="B423" r:id="rId316" xr:uid="{00000000-0004-0000-0200-00003B010000}"/>
    <hyperlink ref="B425" r:id="rId317" xr:uid="{00000000-0004-0000-0200-00003C010000}"/>
    <hyperlink ref="B426" r:id="rId318" xr:uid="{00000000-0004-0000-0200-00003D010000}"/>
    <hyperlink ref="B427" r:id="rId319" xr:uid="{00000000-0004-0000-0200-00003E010000}"/>
    <hyperlink ref="B429" r:id="rId320" xr:uid="{00000000-0004-0000-0200-00003F010000}"/>
    <hyperlink ref="B431" r:id="rId321" xr:uid="{00000000-0004-0000-0200-000040010000}"/>
    <hyperlink ref="B432" r:id="rId322" xr:uid="{00000000-0004-0000-0200-000041010000}"/>
    <hyperlink ref="B433" r:id="rId323" xr:uid="{00000000-0004-0000-0200-000042010000}"/>
    <hyperlink ref="B434" r:id="rId324" xr:uid="{00000000-0004-0000-0200-000043010000}"/>
    <hyperlink ref="B435" r:id="rId325" xr:uid="{00000000-0004-0000-0200-000044010000}"/>
    <hyperlink ref="B436" r:id="rId326" xr:uid="{00000000-0004-0000-0200-000045010000}"/>
    <hyperlink ref="B438" r:id="rId327" xr:uid="{00000000-0004-0000-0200-000046010000}"/>
    <hyperlink ref="B439" r:id="rId328" xr:uid="{00000000-0004-0000-0200-000047010000}"/>
    <hyperlink ref="B440" r:id="rId329" xr:uid="{00000000-0004-0000-0200-000048010000}"/>
    <hyperlink ref="B441" r:id="rId330" xr:uid="{00000000-0004-0000-0200-000049010000}"/>
    <hyperlink ref="B443" r:id="rId331" xr:uid="{00000000-0004-0000-0200-00004A010000}"/>
    <hyperlink ref="B444" r:id="rId332" xr:uid="{00000000-0004-0000-0200-00004B010000}"/>
    <hyperlink ref="B446" r:id="rId333" xr:uid="{00000000-0004-0000-0200-00004C010000}"/>
    <hyperlink ref="B448" r:id="rId334" xr:uid="{00000000-0004-0000-0200-00004D010000}"/>
    <hyperlink ref="B449" r:id="rId335" xr:uid="{00000000-0004-0000-0200-00004E010000}"/>
    <hyperlink ref="B450" r:id="rId336" xr:uid="{00000000-0004-0000-0200-00004F010000}"/>
    <hyperlink ref="B451" r:id="rId337" xr:uid="{00000000-0004-0000-0200-000050010000}"/>
    <hyperlink ref="B453" r:id="rId338" xr:uid="{00000000-0004-0000-0200-000051010000}"/>
    <hyperlink ref="B454" r:id="rId339" xr:uid="{00000000-0004-0000-0200-000052010000}"/>
    <hyperlink ref="B455" r:id="rId340" xr:uid="{00000000-0004-0000-0200-000053010000}"/>
    <hyperlink ref="B457" r:id="rId341" xr:uid="{00000000-0004-0000-0200-000054010000}"/>
    <hyperlink ref="B459" r:id="rId342" xr:uid="{00000000-0004-0000-0200-000055010000}"/>
    <hyperlink ref="B461" r:id="rId343" xr:uid="{00000000-0004-0000-0200-000056010000}"/>
    <hyperlink ref="B462" r:id="rId344" xr:uid="{00000000-0004-0000-0200-000057010000}"/>
    <hyperlink ref="B463" r:id="rId345" xr:uid="{00000000-0004-0000-0200-000058010000}"/>
    <hyperlink ref="B464" r:id="rId346" xr:uid="{00000000-0004-0000-0200-000059010000}"/>
    <hyperlink ref="B465" r:id="rId347" xr:uid="{00000000-0004-0000-0200-00005A010000}"/>
    <hyperlink ref="B466" r:id="rId348" xr:uid="{00000000-0004-0000-0200-00005B010000}"/>
    <hyperlink ref="B468" r:id="rId349" xr:uid="{00000000-0004-0000-0200-00005C010000}"/>
    <hyperlink ref="B469" r:id="rId350" xr:uid="{00000000-0004-0000-0200-00005D010000}"/>
    <hyperlink ref="B470" r:id="rId351" xr:uid="{00000000-0004-0000-0200-00005E010000}"/>
    <hyperlink ref="B471" r:id="rId352" xr:uid="{00000000-0004-0000-0200-00005F010000}"/>
    <hyperlink ref="B472" r:id="rId353" xr:uid="{00000000-0004-0000-0200-000060010000}"/>
    <hyperlink ref="B473" r:id="rId354" xr:uid="{00000000-0004-0000-0200-000061010000}"/>
    <hyperlink ref="B474" r:id="rId355" xr:uid="{00000000-0004-0000-0200-000062010000}"/>
    <hyperlink ref="B475" r:id="rId356" xr:uid="{00000000-0004-0000-0200-000063010000}"/>
    <hyperlink ref="B476" r:id="rId357" xr:uid="{00000000-0004-0000-0200-000064010000}"/>
    <hyperlink ref="B477" r:id="rId358" xr:uid="{00000000-0004-0000-0200-000065010000}"/>
    <hyperlink ref="B478" r:id="rId359" xr:uid="{00000000-0004-0000-0200-000066010000}"/>
    <hyperlink ref="B479" r:id="rId360" xr:uid="{00000000-0004-0000-0200-000067010000}"/>
    <hyperlink ref="B480" r:id="rId361" xr:uid="{00000000-0004-0000-0200-000068010000}"/>
    <hyperlink ref="B481" r:id="rId362" xr:uid="{00000000-0004-0000-0200-000069010000}"/>
    <hyperlink ref="B482" r:id="rId363" xr:uid="{00000000-0004-0000-0200-00006A010000}"/>
    <hyperlink ref="B483" r:id="rId364" xr:uid="{00000000-0004-0000-0200-00006B010000}"/>
    <hyperlink ref="B484" r:id="rId365" xr:uid="{00000000-0004-0000-0200-00006C010000}"/>
    <hyperlink ref="B485" r:id="rId366" xr:uid="{00000000-0004-0000-0200-00006D010000}"/>
    <hyperlink ref="B486" r:id="rId367" xr:uid="{00000000-0004-0000-0200-00006E010000}"/>
    <hyperlink ref="B487" r:id="rId368" xr:uid="{00000000-0004-0000-0200-00006F010000}"/>
    <hyperlink ref="B488" r:id="rId369" xr:uid="{00000000-0004-0000-0200-000070010000}"/>
    <hyperlink ref="B489" r:id="rId370" xr:uid="{00000000-0004-0000-0200-000071010000}"/>
    <hyperlink ref="B490" r:id="rId371" xr:uid="{00000000-0004-0000-0200-000072010000}"/>
    <hyperlink ref="B491" r:id="rId372" xr:uid="{00000000-0004-0000-0200-000073010000}"/>
    <hyperlink ref="B493" r:id="rId373" xr:uid="{00000000-0004-0000-0200-000074010000}"/>
    <hyperlink ref="B494" r:id="rId374" xr:uid="{00000000-0004-0000-0200-000075010000}"/>
    <hyperlink ref="B496" r:id="rId375" xr:uid="{00000000-0004-0000-0200-000076010000}"/>
    <hyperlink ref="B497" r:id="rId376" xr:uid="{00000000-0004-0000-0200-000077010000}"/>
    <hyperlink ref="B499" r:id="rId377" xr:uid="{00000000-0004-0000-0200-000078010000}"/>
    <hyperlink ref="B500" r:id="rId378" xr:uid="{00000000-0004-0000-0200-000079010000}"/>
    <hyperlink ref="B501" r:id="rId379" xr:uid="{00000000-0004-0000-0200-00007A010000}"/>
    <hyperlink ref="B502" r:id="rId380" xr:uid="{00000000-0004-0000-0200-00007B010000}"/>
    <hyperlink ref="B503" r:id="rId381" xr:uid="{00000000-0004-0000-0200-00007C010000}"/>
    <hyperlink ref="B504" r:id="rId382" xr:uid="{00000000-0004-0000-0200-00007D010000}"/>
    <hyperlink ref="B505" r:id="rId383" xr:uid="{00000000-0004-0000-0200-00007E010000}"/>
    <hyperlink ref="B506" r:id="rId384" xr:uid="{00000000-0004-0000-0200-00007F010000}"/>
    <hyperlink ref="B507" r:id="rId385" xr:uid="{00000000-0004-0000-0200-000080010000}"/>
    <hyperlink ref="B509" r:id="rId386" xr:uid="{00000000-0004-0000-0200-000081010000}"/>
    <hyperlink ref="B512" r:id="rId387" xr:uid="{00000000-0004-0000-0200-000082010000}"/>
    <hyperlink ref="B513" r:id="rId388" xr:uid="{00000000-0004-0000-0200-000083010000}"/>
    <hyperlink ref="B514" r:id="rId389" xr:uid="{00000000-0004-0000-0200-000084010000}"/>
    <hyperlink ref="B515" r:id="rId390" xr:uid="{00000000-0004-0000-0200-000085010000}"/>
    <hyperlink ref="B516" r:id="rId391" xr:uid="{00000000-0004-0000-0200-000086010000}"/>
    <hyperlink ref="B517" r:id="rId392" xr:uid="{00000000-0004-0000-0200-000087010000}"/>
    <hyperlink ref="B518" r:id="rId393" xr:uid="{00000000-0004-0000-0200-000088010000}"/>
    <hyperlink ref="B519" r:id="rId394" xr:uid="{00000000-0004-0000-0200-000089010000}"/>
    <hyperlink ref="B520" r:id="rId395" xr:uid="{00000000-0004-0000-0200-00008A010000}"/>
    <hyperlink ref="B521" r:id="rId396" xr:uid="{00000000-0004-0000-0200-00008B010000}"/>
    <hyperlink ref="B522" r:id="rId397" xr:uid="{00000000-0004-0000-0200-00008C010000}"/>
    <hyperlink ref="B523" r:id="rId398" xr:uid="{00000000-0004-0000-0200-00008D010000}"/>
    <hyperlink ref="B524" r:id="rId399" xr:uid="{00000000-0004-0000-0200-00008E010000}"/>
    <hyperlink ref="B525" r:id="rId400" xr:uid="{00000000-0004-0000-0200-00008F010000}"/>
    <hyperlink ref="B526" r:id="rId401" xr:uid="{00000000-0004-0000-0200-000090010000}"/>
    <hyperlink ref="B527" r:id="rId402" xr:uid="{00000000-0004-0000-0200-000091010000}"/>
    <hyperlink ref="B528" r:id="rId403" xr:uid="{00000000-0004-0000-0200-000092010000}"/>
    <hyperlink ref="B529" r:id="rId404" xr:uid="{00000000-0004-0000-0200-000093010000}"/>
    <hyperlink ref="B530" r:id="rId405" xr:uid="{00000000-0004-0000-0200-000094010000}"/>
    <hyperlink ref="B531" r:id="rId406" xr:uid="{00000000-0004-0000-0200-000095010000}"/>
    <hyperlink ref="B532" r:id="rId407" xr:uid="{00000000-0004-0000-0200-000096010000}"/>
    <hyperlink ref="B533" r:id="rId408" xr:uid="{00000000-0004-0000-0200-000097010000}"/>
    <hyperlink ref="B534" r:id="rId409" xr:uid="{00000000-0004-0000-0200-000098010000}"/>
    <hyperlink ref="B535" r:id="rId410" xr:uid="{00000000-0004-0000-0200-000099010000}"/>
    <hyperlink ref="B536" r:id="rId411" xr:uid="{00000000-0004-0000-0200-00009A010000}"/>
    <hyperlink ref="B538" r:id="rId412" xr:uid="{00000000-0004-0000-0200-00009B010000}"/>
    <hyperlink ref="B539" r:id="rId413" xr:uid="{00000000-0004-0000-0200-00009C010000}"/>
    <hyperlink ref="B540" r:id="rId414" xr:uid="{00000000-0004-0000-0200-00009D010000}"/>
    <hyperlink ref="B541" r:id="rId415" xr:uid="{00000000-0004-0000-0200-00009E010000}"/>
    <hyperlink ref="B542" r:id="rId416" xr:uid="{00000000-0004-0000-0200-00009F010000}"/>
    <hyperlink ref="B543" r:id="rId417" xr:uid="{00000000-0004-0000-0200-0000A0010000}"/>
    <hyperlink ref="B544" r:id="rId418" xr:uid="{00000000-0004-0000-0200-0000A1010000}"/>
    <hyperlink ref="B545" r:id="rId419" xr:uid="{00000000-0004-0000-0200-0000A2010000}"/>
    <hyperlink ref="B546" r:id="rId420" xr:uid="{00000000-0004-0000-0200-0000A3010000}"/>
    <hyperlink ref="B547" r:id="rId421" xr:uid="{00000000-0004-0000-0200-0000A4010000}"/>
    <hyperlink ref="B548" r:id="rId422" xr:uid="{00000000-0004-0000-0200-0000A5010000}"/>
    <hyperlink ref="B549" r:id="rId423" xr:uid="{00000000-0004-0000-0200-0000A6010000}"/>
    <hyperlink ref="B551" r:id="rId424" xr:uid="{00000000-0004-0000-0200-0000A7010000}"/>
    <hyperlink ref="B553" r:id="rId425" xr:uid="{00000000-0004-0000-0200-0000A8010000}"/>
    <hyperlink ref="B554" r:id="rId426" xr:uid="{00000000-0004-0000-0200-0000A9010000}"/>
    <hyperlink ref="B555" r:id="rId427" xr:uid="{00000000-0004-0000-0200-0000AA010000}"/>
    <hyperlink ref="B556" r:id="rId428" xr:uid="{00000000-0004-0000-0200-0000AB010000}"/>
    <hyperlink ref="B558" r:id="rId429" xr:uid="{00000000-0004-0000-0200-0000AC010000}"/>
    <hyperlink ref="B559" r:id="rId430" xr:uid="{00000000-0004-0000-0200-0000AD010000}"/>
    <hyperlink ref="B560" r:id="rId431" xr:uid="{00000000-0004-0000-0200-0000AE010000}"/>
    <hyperlink ref="B561" r:id="rId432" xr:uid="{00000000-0004-0000-0200-0000AF010000}"/>
    <hyperlink ref="B562" r:id="rId433" xr:uid="{00000000-0004-0000-0200-0000B0010000}"/>
    <hyperlink ref="B563" r:id="rId434" xr:uid="{00000000-0004-0000-0200-0000B1010000}"/>
    <hyperlink ref="B564" r:id="rId435" xr:uid="{00000000-0004-0000-0200-0000B2010000}"/>
    <hyperlink ref="B568" r:id="rId436" xr:uid="{00000000-0004-0000-0200-0000B3010000}"/>
    <hyperlink ref="B569" r:id="rId437" xr:uid="{00000000-0004-0000-0200-0000B4010000}"/>
    <hyperlink ref="B570" r:id="rId438" xr:uid="{00000000-0004-0000-0200-0000B5010000}"/>
    <hyperlink ref="B571" r:id="rId439" xr:uid="{00000000-0004-0000-0200-0000B6010000}"/>
    <hyperlink ref="B572" r:id="rId440" xr:uid="{00000000-0004-0000-0200-0000B7010000}"/>
    <hyperlink ref="B573" r:id="rId441" xr:uid="{00000000-0004-0000-0200-0000B8010000}"/>
    <hyperlink ref="B574" r:id="rId442" xr:uid="{00000000-0004-0000-0200-0000B9010000}"/>
    <hyperlink ref="B575" r:id="rId443" xr:uid="{00000000-0004-0000-0200-0000BA010000}"/>
    <hyperlink ref="B577" r:id="rId444" xr:uid="{00000000-0004-0000-0200-0000BB010000}"/>
    <hyperlink ref="B579" r:id="rId445" xr:uid="{00000000-0004-0000-0200-0000BC010000}"/>
    <hyperlink ref="B581" r:id="rId446" xr:uid="{00000000-0004-0000-0200-0000BD010000}"/>
    <hyperlink ref="B582" r:id="rId447" xr:uid="{00000000-0004-0000-0200-0000BE010000}"/>
    <hyperlink ref="B583" r:id="rId448" xr:uid="{00000000-0004-0000-0200-0000BF010000}"/>
    <hyperlink ref="B584" r:id="rId449" xr:uid="{00000000-0004-0000-0200-0000C0010000}"/>
    <hyperlink ref="B585" r:id="rId450" xr:uid="{00000000-0004-0000-0200-0000C1010000}"/>
    <hyperlink ref="B586" r:id="rId451" xr:uid="{00000000-0004-0000-0200-0000C2010000}"/>
    <hyperlink ref="B587" r:id="rId452" xr:uid="{00000000-0004-0000-0200-0000C3010000}"/>
    <hyperlink ref="B588" r:id="rId453" xr:uid="{00000000-0004-0000-0200-0000C4010000}"/>
    <hyperlink ref="B589" r:id="rId454" xr:uid="{00000000-0004-0000-0200-0000C5010000}"/>
    <hyperlink ref="B590" r:id="rId455" xr:uid="{00000000-0004-0000-0200-0000C6010000}"/>
    <hyperlink ref="B591" r:id="rId456" xr:uid="{00000000-0004-0000-0200-0000C7010000}"/>
    <hyperlink ref="B592" r:id="rId457" xr:uid="{00000000-0004-0000-0200-0000C8010000}"/>
    <hyperlink ref="B594" r:id="rId458" xr:uid="{00000000-0004-0000-0200-0000C9010000}"/>
    <hyperlink ref="B595" r:id="rId459" xr:uid="{00000000-0004-0000-0200-0000CA010000}"/>
    <hyperlink ref="B596" r:id="rId460" xr:uid="{00000000-0004-0000-0200-0000CB010000}"/>
    <hyperlink ref="B597" r:id="rId461" xr:uid="{00000000-0004-0000-0200-0000CC010000}"/>
    <hyperlink ref="B598" r:id="rId462" xr:uid="{00000000-0004-0000-0200-0000CD010000}"/>
    <hyperlink ref="B599" r:id="rId463" xr:uid="{00000000-0004-0000-0200-0000CE010000}"/>
    <hyperlink ref="B600" r:id="rId464" xr:uid="{00000000-0004-0000-0200-0000CF010000}"/>
    <hyperlink ref="B601" r:id="rId465" xr:uid="{00000000-0004-0000-0200-0000D0010000}"/>
    <hyperlink ref="B602" r:id="rId466" xr:uid="{00000000-0004-0000-0200-0000D1010000}"/>
    <hyperlink ref="B603" r:id="rId467" xr:uid="{00000000-0004-0000-0200-0000D2010000}"/>
    <hyperlink ref="B604" r:id="rId468" xr:uid="{00000000-0004-0000-0200-0000D3010000}"/>
    <hyperlink ref="B605" r:id="rId469" xr:uid="{00000000-0004-0000-0200-0000D4010000}"/>
    <hyperlink ref="B606" r:id="rId470" xr:uid="{00000000-0004-0000-0200-0000D5010000}"/>
    <hyperlink ref="B607" r:id="rId471" xr:uid="{00000000-0004-0000-0200-0000D6010000}"/>
    <hyperlink ref="B608" r:id="rId472" xr:uid="{00000000-0004-0000-0200-0000D7010000}"/>
    <hyperlink ref="B609" r:id="rId473" xr:uid="{00000000-0004-0000-0200-0000D8010000}"/>
    <hyperlink ref="B610" r:id="rId474" xr:uid="{00000000-0004-0000-0200-0000D9010000}"/>
    <hyperlink ref="B611" r:id="rId475" xr:uid="{00000000-0004-0000-0200-0000DA010000}"/>
    <hyperlink ref="B612" r:id="rId476" xr:uid="{00000000-0004-0000-0200-0000DB010000}"/>
    <hyperlink ref="B614" r:id="rId477" xr:uid="{00000000-0004-0000-0200-0000DC010000}"/>
    <hyperlink ref="B615" r:id="rId478" xr:uid="{00000000-0004-0000-0200-0000DD010000}"/>
    <hyperlink ref="B616" r:id="rId479" xr:uid="{00000000-0004-0000-0200-0000DE010000}"/>
    <hyperlink ref="B617" r:id="rId480" xr:uid="{00000000-0004-0000-0200-0000DF010000}"/>
    <hyperlink ref="B618" r:id="rId481" xr:uid="{00000000-0004-0000-0200-0000E0010000}"/>
    <hyperlink ref="B619" r:id="rId482" xr:uid="{00000000-0004-0000-0200-0000E1010000}"/>
    <hyperlink ref="B620" r:id="rId483" xr:uid="{00000000-0004-0000-0200-0000E2010000}"/>
    <hyperlink ref="B621" r:id="rId484" xr:uid="{00000000-0004-0000-0200-0000E3010000}"/>
    <hyperlink ref="B622" r:id="rId485" xr:uid="{00000000-0004-0000-0200-0000E4010000}"/>
    <hyperlink ref="B624" r:id="rId486" xr:uid="{00000000-0004-0000-0200-0000E5010000}"/>
    <hyperlink ref="B625" r:id="rId487" xr:uid="{00000000-0004-0000-0200-0000E6010000}"/>
    <hyperlink ref="B626" r:id="rId488" xr:uid="{00000000-0004-0000-0200-0000E7010000}"/>
    <hyperlink ref="B627" r:id="rId489" xr:uid="{00000000-0004-0000-0200-0000E8010000}"/>
    <hyperlink ref="B628" r:id="rId490" xr:uid="{00000000-0004-0000-0200-0000E9010000}"/>
    <hyperlink ref="B629" r:id="rId491" xr:uid="{00000000-0004-0000-0200-0000EA010000}"/>
    <hyperlink ref="B630" r:id="rId492" xr:uid="{00000000-0004-0000-0200-0000EB010000}"/>
    <hyperlink ref="B631" r:id="rId493" xr:uid="{00000000-0004-0000-0200-0000EC010000}"/>
    <hyperlink ref="B632" r:id="rId494" xr:uid="{00000000-0004-0000-0200-0000ED010000}"/>
    <hyperlink ref="B633" r:id="rId495" xr:uid="{00000000-0004-0000-0200-0000EE010000}"/>
    <hyperlink ref="B634" r:id="rId496" xr:uid="{00000000-0004-0000-0200-0000EF010000}"/>
    <hyperlink ref="B635" r:id="rId497" xr:uid="{00000000-0004-0000-0200-0000F0010000}"/>
    <hyperlink ref="B636" r:id="rId498" xr:uid="{00000000-0004-0000-0200-0000F1010000}"/>
    <hyperlink ref="B637" r:id="rId499" xr:uid="{00000000-0004-0000-0200-0000F2010000}"/>
    <hyperlink ref="B638" r:id="rId500" xr:uid="{00000000-0004-0000-0200-0000F3010000}"/>
    <hyperlink ref="B639" r:id="rId501" xr:uid="{00000000-0004-0000-0200-0000F4010000}"/>
    <hyperlink ref="B640" r:id="rId502" xr:uid="{00000000-0004-0000-0200-0000F5010000}"/>
    <hyperlink ref="B641" r:id="rId503" xr:uid="{00000000-0004-0000-0200-0000F6010000}"/>
    <hyperlink ref="B642" r:id="rId504" xr:uid="{00000000-0004-0000-0200-0000F7010000}"/>
    <hyperlink ref="B643" r:id="rId505" xr:uid="{00000000-0004-0000-0200-0000F8010000}"/>
    <hyperlink ref="B644" r:id="rId506" xr:uid="{00000000-0004-0000-0200-0000F9010000}"/>
    <hyperlink ref="B645" r:id="rId507" xr:uid="{00000000-0004-0000-0200-0000FA010000}"/>
    <hyperlink ref="B648" r:id="rId508" xr:uid="{00000000-0004-0000-0200-0000FB010000}"/>
    <hyperlink ref="B649" r:id="rId509" xr:uid="{00000000-0004-0000-0200-0000FC010000}"/>
    <hyperlink ref="B650" r:id="rId510" xr:uid="{00000000-0004-0000-0200-0000FD010000}"/>
    <hyperlink ref="B651" r:id="rId511" xr:uid="{00000000-0004-0000-0200-0000FE010000}"/>
    <hyperlink ref="B652" r:id="rId512" xr:uid="{00000000-0004-0000-0200-0000FF010000}"/>
    <hyperlink ref="B653" r:id="rId513" xr:uid="{00000000-0004-0000-0200-000000020000}"/>
    <hyperlink ref="B654" r:id="rId514" xr:uid="{00000000-0004-0000-0200-000001020000}"/>
    <hyperlink ref="B655" r:id="rId515" xr:uid="{00000000-0004-0000-0200-000002020000}"/>
    <hyperlink ref="B656" r:id="rId516" xr:uid="{00000000-0004-0000-0200-000003020000}"/>
    <hyperlink ref="B657" r:id="rId517" xr:uid="{00000000-0004-0000-0200-000004020000}"/>
    <hyperlink ref="B658" r:id="rId518" xr:uid="{00000000-0004-0000-0200-000005020000}"/>
    <hyperlink ref="B659" r:id="rId519" xr:uid="{00000000-0004-0000-0200-000006020000}"/>
    <hyperlink ref="B660" r:id="rId520" xr:uid="{00000000-0004-0000-0200-000007020000}"/>
  </hyperlinks>
  <pageMargins left="0.7" right="0.7" top="0.75" bottom="0.75" header="0" footer="0"/>
  <pageSetup orientation="portrait"/>
  <drawing r:id="rId521"/>
  <extLst>
    <ext xmlns:x14="http://schemas.microsoft.com/office/spreadsheetml/2009/9/main" uri="{CCE6A557-97BC-4b89-ADB6-D9C93CAAB3DF}">
      <x14:dataValidations xmlns:xm="http://schemas.microsoft.com/office/excel/2006/main" count="10">
        <x14:dataValidation type="list" allowBlank="1" showErrorMessage="1" xr:uid="{00000000-0002-0000-0200-000000000000}">
          <x14:formula1>
            <xm:f>Bolts!$H$1188:$H$1212</xm:f>
          </x14:formula1>
          <xm:sqref>AA36</xm:sqref>
        </x14:dataValidation>
        <x14:dataValidation type="list" allowBlank="1" showErrorMessage="1" xr:uid="{00000000-0002-0000-0200-000001000000}">
          <x14:formula1>
            <xm:f>Bolts!$I$1188:$I$1212</xm:f>
          </x14:formula1>
          <xm:sqref>AB36</xm:sqref>
        </x14:dataValidation>
        <x14:dataValidation type="list" allowBlank="1" showErrorMessage="1" xr:uid="{00000000-0002-0000-0200-000002000000}">
          <x14:formula1>
            <xm:f>Bolts!$F$1188:$F$1212</xm:f>
          </x14:formula1>
          <xm:sqref>Y36</xm:sqref>
        </x14:dataValidation>
        <x14:dataValidation type="list" allowBlank="1" showErrorMessage="1" xr:uid="{00000000-0002-0000-0200-000003000000}">
          <x14:formula1>
            <xm:f>Bolts!$B$1188:$B$1212</xm:f>
          </x14:formula1>
          <xm:sqref>U36</xm:sqref>
        </x14:dataValidation>
        <x14:dataValidation type="list" allowBlank="1" showErrorMessage="1" xr:uid="{00000000-0002-0000-0200-000004000000}">
          <x14:formula1>
            <xm:f>Bolts!$D$1188:$D$1212</xm:f>
          </x14:formula1>
          <xm:sqref>W36</xm:sqref>
        </x14:dataValidation>
        <x14:dataValidation type="list" allowBlank="1" showErrorMessage="1" xr:uid="{00000000-0002-0000-0200-000005000000}">
          <x14:formula1>
            <xm:f>Bolts!$G$1188:$G$1212</xm:f>
          </x14:formula1>
          <xm:sqref>Z36</xm:sqref>
        </x14:dataValidation>
        <x14:dataValidation type="list" allowBlank="1" showErrorMessage="1" xr:uid="{00000000-0002-0000-0200-000006000000}">
          <x14:formula1>
            <xm:f>Bolts!$C$1188:$C$1212</xm:f>
          </x14:formula1>
          <xm:sqref>V36</xm:sqref>
        </x14:dataValidation>
        <x14:dataValidation type="list" allowBlank="1" showErrorMessage="1" xr:uid="{00000000-0002-0000-0200-000007000000}">
          <x14:formula1>
            <xm:f>Bolts!$A$1155:$A$1156</xm:f>
          </x14:formula1>
          <xm:sqref>W6:W7</xm:sqref>
        </x14:dataValidation>
        <x14:dataValidation type="list" allowBlank="1" showErrorMessage="1" xr:uid="{00000000-0002-0000-0200-000008000000}">
          <x14:formula1>
            <xm:f>Bolts!$A$1188:$A$1212</xm:f>
          </x14:formula1>
          <xm:sqref>T36</xm:sqref>
        </x14:dataValidation>
        <x14:dataValidation type="list" allowBlank="1" showErrorMessage="1" xr:uid="{00000000-0002-0000-0200-000009000000}">
          <x14:formula1>
            <xm:f>Bolts!$E$1188:$E$1212</xm:f>
          </x14:formula1>
          <xm:sqref>X36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G1000"/>
  <sheetViews>
    <sheetView showGridLines="0" topLeftCell="A4" workbookViewId="0"/>
  </sheetViews>
  <sheetFormatPr baseColWidth="10" defaultColWidth="11.1640625" defaultRowHeight="15" customHeight="1"/>
  <cols>
    <col min="1" max="1" width="12" customWidth="1"/>
    <col min="2" max="2" width="45.6640625" customWidth="1"/>
    <col min="3" max="3" width="7.1640625" hidden="1" customWidth="1"/>
    <col min="4" max="4" width="5.6640625" hidden="1" customWidth="1"/>
    <col min="5" max="5" width="11.83203125" customWidth="1"/>
    <col min="6" max="6" width="9.1640625" customWidth="1"/>
    <col min="7" max="7" width="11.33203125" customWidth="1"/>
    <col min="8" max="8" width="10.5" customWidth="1"/>
    <col min="9" max="9" width="11.5" customWidth="1"/>
    <col min="10" max="10" width="10.83203125" customWidth="1"/>
    <col min="11" max="11" width="6.1640625" hidden="1" customWidth="1"/>
    <col min="12" max="12" width="9" customWidth="1"/>
    <col min="13" max="13" width="7" customWidth="1"/>
    <col min="14" max="17" width="8.1640625" customWidth="1"/>
    <col min="18" max="18" width="7.83203125" customWidth="1"/>
    <col min="19" max="19" width="6.83203125" customWidth="1"/>
    <col min="20" max="20" width="7.83203125" customWidth="1"/>
    <col min="21" max="21" width="11.83203125" customWidth="1"/>
    <col min="22" max="22" width="10.83203125" customWidth="1"/>
    <col min="23" max="23" width="9" hidden="1" customWidth="1"/>
    <col min="24" max="24" width="7.1640625" customWidth="1"/>
    <col min="25" max="25" width="9.6640625" customWidth="1"/>
    <col min="26" max="26" width="27.83203125" customWidth="1"/>
    <col min="27" max="27" width="14.33203125" customWidth="1"/>
    <col min="28" max="28" width="15.1640625" customWidth="1"/>
    <col min="29" max="29" width="18.5" customWidth="1"/>
    <col min="30" max="33" width="14.33203125" customWidth="1"/>
  </cols>
  <sheetData>
    <row r="1" spans="1:25" ht="23.25" customHeight="1">
      <c r="A1" s="10"/>
      <c r="B1" s="472" t="s">
        <v>1270</v>
      </c>
      <c r="C1" s="455"/>
      <c r="D1" s="455"/>
      <c r="E1" s="455"/>
      <c r="F1" s="455"/>
      <c r="G1" s="455"/>
      <c r="H1" s="455"/>
      <c r="I1" s="455"/>
      <c r="J1" s="455"/>
      <c r="K1" s="455"/>
      <c r="L1" s="455"/>
      <c r="M1" s="455"/>
      <c r="N1" s="455"/>
      <c r="O1" s="455"/>
      <c r="P1" s="455"/>
      <c r="Q1" s="455"/>
      <c r="R1" s="455"/>
      <c r="S1" s="455"/>
      <c r="T1" s="455"/>
      <c r="U1" s="455"/>
      <c r="V1" s="2"/>
      <c r="W1" s="2"/>
      <c r="X1" s="3"/>
    </row>
    <row r="2" spans="1:25" ht="12" customHeight="1">
      <c r="A2" s="13"/>
      <c r="B2" s="7"/>
      <c r="C2" s="7"/>
      <c r="D2" s="7"/>
      <c r="E2" s="1"/>
      <c r="F2" s="473" t="s">
        <v>72</v>
      </c>
      <c r="G2" s="455"/>
      <c r="H2" s="455"/>
      <c r="I2" s="455"/>
      <c r="J2" s="455"/>
      <c r="K2" s="455"/>
      <c r="L2" s="455"/>
      <c r="M2" s="455"/>
      <c r="N2" s="1"/>
      <c r="O2" s="1"/>
      <c r="P2" s="7"/>
      <c r="Q2" s="7"/>
      <c r="R2" s="7"/>
      <c r="S2" s="7"/>
      <c r="T2" s="7"/>
      <c r="U2" s="7"/>
      <c r="V2" s="8"/>
      <c r="W2" s="8"/>
      <c r="X2" s="9"/>
    </row>
    <row r="3" spans="1:25" ht="12" customHeight="1">
      <c r="A3" s="13"/>
      <c r="B3" s="8"/>
      <c r="C3" s="8"/>
      <c r="D3" s="8"/>
      <c r="E3" s="8"/>
      <c r="F3" s="8"/>
      <c r="G3" s="7"/>
      <c r="H3" s="7"/>
      <c r="I3" s="7"/>
      <c r="J3" s="7"/>
      <c r="K3" s="7"/>
      <c r="L3" s="7"/>
      <c r="M3" s="7"/>
      <c r="N3" s="1"/>
      <c r="O3" s="1"/>
      <c r="P3" s="7"/>
      <c r="Q3" s="7"/>
      <c r="R3" s="7"/>
      <c r="S3" s="7"/>
      <c r="T3" s="7"/>
      <c r="U3" s="7"/>
      <c r="V3" s="8"/>
      <c r="W3" s="8"/>
      <c r="X3" s="9"/>
    </row>
    <row r="4" spans="1:25" ht="12" customHeight="1">
      <c r="A4" s="13"/>
      <c r="B4" s="8"/>
      <c r="C4" s="10"/>
      <c r="D4" s="10"/>
      <c r="E4" s="10"/>
      <c r="F4" s="10"/>
      <c r="G4" s="13"/>
      <c r="H4" s="13"/>
      <c r="I4" s="106" t="s">
        <v>73</v>
      </c>
      <c r="J4" s="107" t="s">
        <v>1271</v>
      </c>
      <c r="K4" s="107"/>
      <c r="L4" s="107"/>
      <c r="M4" s="13"/>
      <c r="N4" s="10"/>
      <c r="O4" s="10"/>
      <c r="P4" s="10"/>
      <c r="Q4" s="10"/>
      <c r="R4" s="10"/>
      <c r="S4" s="10"/>
      <c r="T4" s="10"/>
      <c r="U4" s="10"/>
      <c r="V4" s="10"/>
      <c r="W4" s="10"/>
      <c r="X4" s="11"/>
    </row>
    <row r="5" spans="1:25" ht="12.75" customHeight="1">
      <c r="A5" s="13"/>
      <c r="B5" s="8"/>
      <c r="C5" s="10"/>
      <c r="D5" s="10"/>
      <c r="E5" s="10"/>
      <c r="F5" s="10"/>
      <c r="G5" s="13"/>
      <c r="H5" s="13"/>
      <c r="I5" s="13"/>
      <c r="J5" s="107" t="s">
        <v>75</v>
      </c>
      <c r="K5" s="107"/>
      <c r="L5" s="107"/>
      <c r="M5" s="13"/>
      <c r="N5" s="10"/>
      <c r="O5" s="10"/>
      <c r="P5" s="10"/>
      <c r="Q5" s="12"/>
      <c r="R5" s="13"/>
      <c r="S5" s="13"/>
      <c r="T5" s="10"/>
      <c r="U5" s="10"/>
      <c r="V5" s="10"/>
      <c r="W5" s="10"/>
      <c r="X5" s="11"/>
    </row>
    <row r="6" spans="1:25" ht="12.75" customHeight="1">
      <c r="A6" s="13"/>
      <c r="B6" s="8"/>
      <c r="C6" s="10"/>
      <c r="D6" s="10"/>
      <c r="E6" s="10"/>
      <c r="F6" s="10"/>
      <c r="G6" s="13"/>
      <c r="H6" s="13"/>
      <c r="I6" s="13"/>
      <c r="J6" s="107" t="s">
        <v>76</v>
      </c>
      <c r="K6" s="107"/>
      <c r="L6" s="107"/>
      <c r="M6" s="13"/>
      <c r="N6" s="10"/>
      <c r="O6" s="106" t="s">
        <v>77</v>
      </c>
      <c r="P6" s="108" t="s">
        <v>78</v>
      </c>
      <c r="Q6" s="14"/>
      <c r="R6" s="10"/>
      <c r="S6" s="10"/>
      <c r="T6" s="10"/>
      <c r="U6" s="10"/>
      <c r="V6" s="10"/>
      <c r="W6" s="10"/>
      <c r="X6" s="11"/>
    </row>
    <row r="7" spans="1:25" ht="12.75" customHeight="1">
      <c r="A7" s="13"/>
      <c r="B7" s="8"/>
      <c r="C7" s="10"/>
      <c r="D7" s="10"/>
      <c r="E7" s="10"/>
      <c r="F7" s="10"/>
      <c r="G7" s="13"/>
      <c r="H7" s="13"/>
      <c r="I7" s="13"/>
      <c r="J7" s="109" t="s">
        <v>19</v>
      </c>
      <c r="K7" s="107"/>
      <c r="L7" s="107"/>
      <c r="M7" s="13"/>
      <c r="N7" s="10"/>
      <c r="O7" s="474" t="s">
        <v>79</v>
      </c>
      <c r="P7" s="476" t="s">
        <v>80</v>
      </c>
      <c r="Q7" s="15"/>
      <c r="R7" s="15"/>
      <c r="S7" s="15"/>
      <c r="T7" s="15"/>
      <c r="U7" s="15"/>
      <c r="V7" s="15"/>
      <c r="W7" s="15"/>
      <c r="X7" s="11"/>
    </row>
    <row r="8" spans="1:25" ht="12.75" customHeight="1">
      <c r="A8" s="13"/>
      <c r="B8" s="13"/>
      <c r="C8" s="13"/>
      <c r="D8" s="13"/>
      <c r="E8" s="13"/>
      <c r="F8" s="13"/>
      <c r="G8" s="13"/>
      <c r="H8" s="13"/>
      <c r="I8" s="13"/>
      <c r="J8" s="107"/>
      <c r="K8" s="107"/>
      <c r="L8" s="107"/>
      <c r="M8" s="13"/>
      <c r="N8" s="10"/>
      <c r="O8" s="475"/>
      <c r="P8" s="477"/>
      <c r="Q8" s="15"/>
      <c r="R8" s="15"/>
      <c r="S8" s="15"/>
      <c r="T8" s="15"/>
      <c r="U8" s="15"/>
      <c r="V8" s="15"/>
      <c r="W8" s="15"/>
      <c r="X8" s="11"/>
    </row>
    <row r="9" spans="1:25" ht="12.75" customHeight="1">
      <c r="A9" s="106" t="s">
        <v>81</v>
      </c>
      <c r="B9" s="13"/>
      <c r="C9" s="13"/>
      <c r="D9" s="13"/>
      <c r="E9" s="13"/>
      <c r="F9" s="13"/>
      <c r="G9" s="13"/>
      <c r="H9" s="13"/>
      <c r="I9" s="106" t="s">
        <v>82</v>
      </c>
      <c r="J9" s="107" t="s">
        <v>83</v>
      </c>
      <c r="K9" s="107"/>
      <c r="L9" s="107"/>
      <c r="M9" s="478" t="s">
        <v>84</v>
      </c>
      <c r="N9" s="461"/>
      <c r="O9" s="479"/>
      <c r="P9" s="455"/>
      <c r="Q9" s="15"/>
      <c r="R9" s="15"/>
      <c r="S9" s="15"/>
      <c r="T9" s="10"/>
      <c r="U9" s="10"/>
      <c r="V9" s="10"/>
      <c r="W9" s="10"/>
      <c r="X9" s="11"/>
    </row>
    <row r="10" spans="1:25" ht="12.75" customHeight="1">
      <c r="A10" s="110" t="s">
        <v>85</v>
      </c>
      <c r="B10" s="13"/>
      <c r="C10" s="13"/>
      <c r="D10" s="13"/>
      <c r="E10" s="13"/>
      <c r="F10" s="1"/>
      <c r="G10" s="1"/>
      <c r="H10" s="10"/>
      <c r="I10" s="13"/>
      <c r="J10" s="107"/>
      <c r="K10" s="107"/>
      <c r="L10" s="107"/>
      <c r="M10" s="13"/>
      <c r="N10" s="10"/>
      <c r="O10" s="10"/>
      <c r="P10" s="10"/>
      <c r="Q10" s="15"/>
      <c r="R10" s="15"/>
      <c r="S10" s="15"/>
      <c r="T10" s="15"/>
      <c r="U10" s="15"/>
      <c r="V10" s="10"/>
      <c r="W10" s="10"/>
      <c r="X10" s="11"/>
    </row>
    <row r="11" spans="1:25" ht="12.75" customHeight="1">
      <c r="A11" s="110" t="s">
        <v>86</v>
      </c>
      <c r="B11" s="13"/>
      <c r="C11" s="13"/>
      <c r="D11" s="13"/>
      <c r="E11" s="13"/>
      <c r="F11" s="1"/>
      <c r="G11" s="1"/>
      <c r="H11" s="10"/>
      <c r="I11" s="106" t="s">
        <v>87</v>
      </c>
      <c r="J11" s="111" t="s">
        <v>88</v>
      </c>
      <c r="K11" s="111"/>
      <c r="L11" s="1"/>
      <c r="P11" s="10"/>
      <c r="Q11" s="13"/>
      <c r="R11" s="13"/>
      <c r="S11" s="13"/>
      <c r="T11" s="10"/>
      <c r="U11" s="10"/>
      <c r="V11" s="10"/>
      <c r="W11" s="10"/>
      <c r="X11" s="11"/>
    </row>
    <row r="12" spans="1:25" ht="12.75" customHeight="1">
      <c r="A12" s="110" t="s">
        <v>89</v>
      </c>
      <c r="B12" s="13"/>
      <c r="C12" s="13"/>
      <c r="D12" s="13"/>
      <c r="E12" s="13"/>
      <c r="F12" s="1"/>
      <c r="G12" s="1"/>
      <c r="H12" s="10"/>
      <c r="I12" s="13"/>
      <c r="J12" s="13"/>
      <c r="K12" s="13"/>
      <c r="L12" s="13"/>
      <c r="M12" s="13"/>
      <c r="N12" s="10"/>
      <c r="O12" s="10"/>
      <c r="P12" s="10"/>
      <c r="Q12" s="112"/>
      <c r="R12" s="13"/>
      <c r="S12" s="13"/>
      <c r="T12" s="10"/>
      <c r="U12" s="10"/>
      <c r="V12" s="10"/>
      <c r="W12" s="10"/>
      <c r="X12" s="11"/>
    </row>
    <row r="13" spans="1:25" ht="12.75" customHeight="1">
      <c r="A13" s="110" t="s">
        <v>90</v>
      </c>
      <c r="B13" s="13"/>
      <c r="C13" s="13"/>
      <c r="D13" s="13"/>
      <c r="E13" s="13"/>
      <c r="F13" s="1"/>
      <c r="G13" s="1"/>
      <c r="H13" s="10"/>
      <c r="I13" s="106" t="s">
        <v>91</v>
      </c>
      <c r="J13" s="480" t="s">
        <v>92</v>
      </c>
      <c r="K13" s="481"/>
      <c r="L13" s="481"/>
      <c r="M13" s="481"/>
      <c r="N13" s="481"/>
      <c r="O13" s="481"/>
      <c r="P13" s="482"/>
      <c r="Q13" s="10" t="s">
        <v>93</v>
      </c>
      <c r="R13" s="13"/>
      <c r="S13" s="10"/>
      <c r="T13" s="113"/>
      <c r="U13" s="10"/>
      <c r="V13" s="10"/>
      <c r="W13" s="10"/>
      <c r="X13" s="11"/>
    </row>
    <row r="14" spans="1:25" ht="12.75" customHeight="1">
      <c r="A14" s="110" t="s">
        <v>90</v>
      </c>
      <c r="B14" s="13"/>
      <c r="C14" s="13"/>
      <c r="D14" s="13"/>
      <c r="E14" s="13"/>
      <c r="F14" s="1"/>
      <c r="G14" s="1"/>
      <c r="H14" s="10"/>
      <c r="I14" s="13"/>
      <c r="J14" s="483"/>
      <c r="K14" s="455"/>
      <c r="L14" s="455"/>
      <c r="M14" s="455"/>
      <c r="N14" s="455"/>
      <c r="O14" s="455"/>
      <c r="P14" s="484"/>
      <c r="Q14" s="10"/>
      <c r="R14" s="10"/>
      <c r="S14" s="10"/>
      <c r="T14" s="10"/>
      <c r="U14" s="10"/>
      <c r="V14" s="10"/>
      <c r="W14" s="10"/>
      <c r="X14" s="11"/>
    </row>
    <row r="15" spans="1:25" ht="12.75" customHeight="1">
      <c r="A15" s="110" t="s">
        <v>94</v>
      </c>
      <c r="B15" s="13"/>
      <c r="C15" s="13"/>
      <c r="D15" s="13"/>
      <c r="E15" s="13"/>
      <c r="F15" s="13"/>
      <c r="G15" s="13"/>
      <c r="H15" s="10"/>
      <c r="I15" s="13"/>
      <c r="J15" s="483"/>
      <c r="K15" s="455"/>
      <c r="L15" s="455"/>
      <c r="M15" s="455"/>
      <c r="N15" s="455"/>
      <c r="O15" s="455"/>
      <c r="P15" s="484"/>
      <c r="Q15" s="10" t="s">
        <v>1272</v>
      </c>
      <c r="R15" s="10"/>
      <c r="S15" s="10"/>
      <c r="T15" s="10"/>
      <c r="U15" s="10"/>
      <c r="V15" s="10"/>
      <c r="W15" s="10"/>
      <c r="X15" s="11"/>
      <c r="Y15" s="27"/>
    </row>
    <row r="16" spans="1:25" ht="12.75" customHeight="1">
      <c r="A16" s="110" t="s">
        <v>96</v>
      </c>
      <c r="B16" s="13"/>
      <c r="C16" s="13"/>
      <c r="D16" s="13"/>
      <c r="E16" s="13"/>
      <c r="F16" s="1"/>
      <c r="G16" s="1"/>
      <c r="H16" s="10"/>
      <c r="I16" s="13"/>
      <c r="J16" s="483"/>
      <c r="K16" s="455"/>
      <c r="L16" s="455"/>
      <c r="M16" s="455"/>
      <c r="N16" s="455"/>
      <c r="O16" s="455"/>
      <c r="P16" s="484"/>
      <c r="Q16" s="10"/>
      <c r="R16" s="13"/>
      <c r="S16" s="13"/>
      <c r="T16" s="10"/>
      <c r="U16" s="10"/>
      <c r="V16" s="10"/>
      <c r="W16" s="10"/>
      <c r="X16" s="11"/>
      <c r="Y16" s="27"/>
    </row>
    <row r="17" spans="1:33" ht="12.75" customHeight="1">
      <c r="A17" s="110" t="s">
        <v>97</v>
      </c>
      <c r="B17" s="114"/>
      <c r="C17" s="114"/>
      <c r="D17" s="114"/>
      <c r="E17" s="114"/>
      <c r="F17" s="1"/>
      <c r="G17" s="1"/>
      <c r="H17" s="10"/>
      <c r="I17" s="13" t="s">
        <v>98</v>
      </c>
      <c r="J17" s="483"/>
      <c r="K17" s="455"/>
      <c r="L17" s="455"/>
      <c r="M17" s="455"/>
      <c r="N17" s="455"/>
      <c r="O17" s="455"/>
      <c r="P17" s="484"/>
      <c r="Q17" s="10" t="s">
        <v>99</v>
      </c>
      <c r="R17" s="10"/>
      <c r="S17" s="10"/>
      <c r="T17" s="10"/>
      <c r="U17" s="10"/>
      <c r="V17" s="10"/>
      <c r="W17" s="10"/>
      <c r="X17" s="11"/>
      <c r="Y17" s="27"/>
    </row>
    <row r="18" spans="1:33" ht="12.75" customHeight="1">
      <c r="A18" s="110" t="s">
        <v>100</v>
      </c>
      <c r="B18" s="13"/>
      <c r="C18" s="13"/>
      <c r="D18" s="13"/>
      <c r="E18" s="13"/>
      <c r="F18" s="1"/>
      <c r="G18" s="1"/>
      <c r="H18" s="10"/>
      <c r="I18" s="13"/>
      <c r="J18" s="483"/>
      <c r="K18" s="455"/>
      <c r="L18" s="455"/>
      <c r="M18" s="455"/>
      <c r="N18" s="455"/>
      <c r="O18" s="455"/>
      <c r="P18" s="484"/>
      <c r="Q18" s="10"/>
      <c r="R18" s="10"/>
      <c r="S18" s="10"/>
      <c r="T18" s="10"/>
      <c r="U18" s="10"/>
      <c r="V18" s="10"/>
      <c r="W18" s="10"/>
      <c r="X18" s="11"/>
      <c r="Y18" s="27"/>
    </row>
    <row r="19" spans="1:33" ht="12.75" customHeight="1">
      <c r="A19" s="110" t="s">
        <v>101</v>
      </c>
      <c r="B19" s="115"/>
      <c r="C19" s="115"/>
      <c r="D19" s="115"/>
      <c r="E19" s="115"/>
      <c r="F19" s="115"/>
      <c r="G19" s="10"/>
      <c r="H19" s="10"/>
      <c r="I19" s="13"/>
      <c r="J19" s="483"/>
      <c r="K19" s="455"/>
      <c r="L19" s="455"/>
      <c r="M19" s="455"/>
      <c r="N19" s="455"/>
      <c r="O19" s="455"/>
      <c r="P19" s="484"/>
      <c r="Q19" s="10" t="s">
        <v>102</v>
      </c>
      <c r="R19" s="10"/>
      <c r="S19" s="10"/>
      <c r="T19" s="10"/>
      <c r="U19" s="10"/>
      <c r="V19" s="10"/>
      <c r="W19" s="10"/>
      <c r="X19" s="11"/>
      <c r="Y19" s="27"/>
      <c r="AD19" s="1"/>
      <c r="AE19" s="1"/>
      <c r="AF19" s="1"/>
      <c r="AG19" s="1"/>
    </row>
    <row r="20" spans="1:33" ht="12.75" customHeight="1">
      <c r="A20" s="110"/>
      <c r="B20" s="87"/>
      <c r="C20" s="87"/>
      <c r="D20" s="87"/>
      <c r="E20" s="87"/>
      <c r="F20" s="87"/>
      <c r="G20" s="10"/>
      <c r="H20" s="10"/>
      <c r="I20" s="10"/>
      <c r="J20" s="485"/>
      <c r="K20" s="486"/>
      <c r="L20" s="486"/>
      <c r="M20" s="486"/>
      <c r="N20" s="486"/>
      <c r="O20" s="486"/>
      <c r="P20" s="487"/>
      <c r="Q20" s="10" t="s">
        <v>103</v>
      </c>
      <c r="R20" s="10"/>
      <c r="S20" s="10"/>
      <c r="T20" s="10"/>
      <c r="U20" s="10"/>
      <c r="V20" s="10"/>
      <c r="W20" s="10"/>
      <c r="X20" s="11"/>
      <c r="Y20" s="27"/>
      <c r="AD20" s="1"/>
      <c r="AE20" s="1"/>
      <c r="AF20" s="1"/>
      <c r="AG20" s="1"/>
    </row>
    <row r="21" spans="1:33" ht="12.75" customHeight="1">
      <c r="A21" s="10"/>
      <c r="B21" s="10"/>
      <c r="C21" s="10"/>
      <c r="D21" s="10"/>
      <c r="E21" s="10"/>
      <c r="F21" s="10"/>
      <c r="G21" s="10"/>
      <c r="H21" s="10"/>
      <c r="I21" s="10"/>
      <c r="J21" s="14"/>
      <c r="K21" s="14"/>
      <c r="L21" s="14"/>
      <c r="M21" s="14"/>
      <c r="N21" s="14"/>
      <c r="O21" s="14"/>
      <c r="P21" s="14"/>
      <c r="Q21" s="1"/>
      <c r="R21" s="1"/>
      <c r="S21" s="1"/>
      <c r="T21" s="1"/>
      <c r="U21" s="1"/>
      <c r="V21" s="10"/>
      <c r="W21" s="10"/>
      <c r="X21" s="11"/>
      <c r="Y21" s="27"/>
      <c r="AD21" s="1"/>
      <c r="AE21" s="1"/>
      <c r="AF21" s="1"/>
      <c r="AG21" s="1"/>
    </row>
    <row r="22" spans="1:33" ht="12.75" customHeight="1">
      <c r="A22" s="10"/>
      <c r="B22" s="10"/>
      <c r="C22" s="10"/>
      <c r="D22" s="10"/>
      <c r="E22" s="10"/>
      <c r="F22" s="10"/>
      <c r="G22" s="116" t="s">
        <v>104</v>
      </c>
      <c r="H22" s="467"/>
      <c r="I22" s="468"/>
      <c r="J22" s="468"/>
      <c r="K22" s="468"/>
      <c r="L22" s="469"/>
      <c r="M22" s="10"/>
      <c r="N22" s="10"/>
      <c r="O22" s="10"/>
      <c r="P22" s="10"/>
      <c r="Q22" s="10"/>
      <c r="R22" s="10"/>
      <c r="S22" s="10"/>
      <c r="T22" s="10"/>
      <c r="U22" s="10"/>
      <c r="V22" s="10"/>
      <c r="W22" s="10"/>
      <c r="X22" s="11"/>
      <c r="Y22" s="27"/>
      <c r="AD22" s="1"/>
      <c r="AE22" s="1"/>
      <c r="AF22" s="1"/>
      <c r="AG22" s="1"/>
    </row>
    <row r="23" spans="1:33" ht="12.75" customHeight="1">
      <c r="A23" s="10"/>
      <c r="B23" s="10"/>
      <c r="C23" s="10"/>
      <c r="D23" s="10"/>
      <c r="E23" s="10"/>
      <c r="F23" s="10"/>
      <c r="G23" s="116" t="s">
        <v>105</v>
      </c>
      <c r="H23" s="467"/>
      <c r="I23" s="468"/>
      <c r="J23" s="468"/>
      <c r="K23" s="468"/>
      <c r="L23" s="469"/>
      <c r="M23" s="10"/>
      <c r="N23" s="10"/>
      <c r="O23" s="10"/>
      <c r="P23" s="10"/>
      <c r="Q23" s="10"/>
      <c r="R23" s="10"/>
      <c r="S23" s="10"/>
      <c r="T23" s="10"/>
      <c r="U23" s="10"/>
      <c r="V23" s="10"/>
      <c r="W23" s="10"/>
      <c r="X23" s="11"/>
      <c r="Y23" s="27"/>
      <c r="AD23" s="1"/>
      <c r="AE23" s="1"/>
      <c r="AF23" s="1"/>
      <c r="AG23" s="1"/>
    </row>
    <row r="24" spans="1:33" ht="12.75" customHeight="1">
      <c r="A24" s="10"/>
      <c r="B24" s="10"/>
      <c r="C24" s="10"/>
      <c r="D24" s="10"/>
      <c r="E24" s="10"/>
      <c r="F24" s="10"/>
      <c r="G24" s="10"/>
      <c r="H24" s="10"/>
      <c r="I24" s="10"/>
      <c r="J24" s="10"/>
      <c r="K24" s="10"/>
      <c r="L24" s="10"/>
      <c r="M24" s="10"/>
      <c r="N24" s="10"/>
      <c r="O24" s="10"/>
      <c r="P24" s="10"/>
      <c r="Q24" s="10"/>
      <c r="R24" s="10"/>
      <c r="S24" s="10"/>
      <c r="T24" s="10"/>
      <c r="U24" s="10"/>
      <c r="V24" s="10"/>
      <c r="W24" s="10"/>
      <c r="X24" s="11"/>
      <c r="Y24" s="27"/>
      <c r="AD24" s="1"/>
      <c r="AE24" s="1"/>
      <c r="AF24" s="1"/>
      <c r="AG24" s="1"/>
    </row>
    <row r="25" spans="1:33" ht="12.75" customHeight="1">
      <c r="A25" s="110"/>
      <c r="B25" s="87"/>
      <c r="C25" s="87"/>
      <c r="D25" s="87"/>
      <c r="E25" s="87"/>
      <c r="F25" s="87"/>
      <c r="G25" s="10"/>
      <c r="H25" s="10"/>
      <c r="I25" s="10"/>
      <c r="J25" s="10"/>
      <c r="K25" s="10"/>
      <c r="L25" s="10"/>
      <c r="M25" s="10"/>
      <c r="N25" s="10"/>
      <c r="O25" s="10"/>
      <c r="P25" s="10"/>
      <c r="Q25" s="10"/>
      <c r="R25" s="10"/>
      <c r="S25" s="10"/>
      <c r="T25" s="10"/>
      <c r="U25" s="10"/>
      <c r="V25" s="10"/>
      <c r="W25" s="10"/>
      <c r="X25" s="11"/>
      <c r="Y25" s="27"/>
      <c r="AD25" s="1"/>
      <c r="AE25" s="1"/>
      <c r="AF25" s="1"/>
      <c r="AG25" s="1"/>
    </row>
    <row r="26" spans="1:33" ht="12.75" customHeight="1">
      <c r="A26" s="110"/>
      <c r="B26" s="470"/>
      <c r="C26" s="455"/>
      <c r="D26" s="455"/>
      <c r="E26" s="455"/>
      <c r="F26" s="455"/>
      <c r="G26" s="455"/>
      <c r="H26" s="455"/>
      <c r="I26" s="455"/>
      <c r="J26" s="455"/>
      <c r="K26" s="455"/>
      <c r="L26" s="455"/>
      <c r="M26" s="455"/>
      <c r="N26" s="455"/>
      <c r="O26" s="455"/>
      <c r="P26" s="455"/>
      <c r="Q26" s="455"/>
      <c r="R26" s="455"/>
      <c r="S26" s="455"/>
      <c r="T26" s="455"/>
      <c r="U26" s="455"/>
      <c r="V26" s="455"/>
      <c r="W26" s="10"/>
      <c r="X26" s="11"/>
      <c r="Y26" s="27"/>
      <c r="AD26" s="1"/>
      <c r="AE26" s="1"/>
      <c r="AF26" s="1"/>
      <c r="AG26" s="1"/>
    </row>
    <row r="27" spans="1:33" ht="12.75" customHeight="1">
      <c r="A27" s="110"/>
      <c r="B27" s="455"/>
      <c r="C27" s="455"/>
      <c r="D27" s="455"/>
      <c r="E27" s="455"/>
      <c r="F27" s="455"/>
      <c r="G27" s="455"/>
      <c r="H27" s="455"/>
      <c r="I27" s="455"/>
      <c r="J27" s="455"/>
      <c r="K27" s="455"/>
      <c r="L27" s="455"/>
      <c r="M27" s="455"/>
      <c r="N27" s="455"/>
      <c r="O27" s="455"/>
      <c r="P27" s="455"/>
      <c r="Q27" s="455"/>
      <c r="R27" s="455"/>
      <c r="S27" s="455"/>
      <c r="T27" s="455"/>
      <c r="U27" s="455"/>
      <c r="V27" s="455"/>
      <c r="W27" s="10"/>
      <c r="X27" s="11"/>
      <c r="Y27" s="27"/>
      <c r="AD27" s="1"/>
      <c r="AE27" s="1"/>
      <c r="AF27" s="1"/>
      <c r="AG27" s="1"/>
    </row>
    <row r="28" spans="1:33" ht="12.75" customHeight="1">
      <c r="A28" s="110"/>
      <c r="B28" s="455"/>
      <c r="C28" s="455"/>
      <c r="D28" s="455"/>
      <c r="E28" s="455"/>
      <c r="F28" s="455"/>
      <c r="G28" s="455"/>
      <c r="H28" s="455"/>
      <c r="I28" s="455"/>
      <c r="J28" s="455"/>
      <c r="K28" s="455"/>
      <c r="L28" s="455"/>
      <c r="M28" s="455"/>
      <c r="N28" s="455"/>
      <c r="O28" s="455"/>
      <c r="P28" s="455"/>
      <c r="Q28" s="455"/>
      <c r="R28" s="455"/>
      <c r="S28" s="455"/>
      <c r="T28" s="455"/>
      <c r="U28" s="455"/>
      <c r="V28" s="455"/>
      <c r="W28" s="10"/>
      <c r="X28" s="11"/>
      <c r="Y28" s="27"/>
      <c r="AD28" s="1"/>
      <c r="AE28" s="1"/>
      <c r="AF28" s="1"/>
      <c r="AG28" s="1"/>
    </row>
    <row r="29" spans="1:33" ht="12.75" customHeight="1">
      <c r="A29" s="110"/>
      <c r="B29" s="455"/>
      <c r="C29" s="455"/>
      <c r="D29" s="455"/>
      <c r="E29" s="455"/>
      <c r="F29" s="455"/>
      <c r="G29" s="455"/>
      <c r="H29" s="455"/>
      <c r="I29" s="455"/>
      <c r="J29" s="455"/>
      <c r="K29" s="455"/>
      <c r="L29" s="455"/>
      <c r="M29" s="455"/>
      <c r="N29" s="455"/>
      <c r="O29" s="455"/>
      <c r="P29" s="455"/>
      <c r="Q29" s="455"/>
      <c r="R29" s="455"/>
      <c r="S29" s="455"/>
      <c r="T29" s="455"/>
      <c r="U29" s="455"/>
      <c r="V29" s="455"/>
      <c r="W29" s="10"/>
      <c r="X29" s="11"/>
      <c r="Y29" s="27"/>
      <c r="AD29" s="1"/>
      <c r="AE29" s="1"/>
      <c r="AF29" s="1"/>
      <c r="AG29" s="1"/>
    </row>
    <row r="30" spans="1:33" ht="12.75" customHeight="1">
      <c r="A30" s="110"/>
      <c r="B30" s="455"/>
      <c r="C30" s="455"/>
      <c r="D30" s="455"/>
      <c r="E30" s="455"/>
      <c r="F30" s="455"/>
      <c r="G30" s="455"/>
      <c r="H30" s="455"/>
      <c r="I30" s="455"/>
      <c r="J30" s="455"/>
      <c r="K30" s="455"/>
      <c r="L30" s="455"/>
      <c r="M30" s="455"/>
      <c r="N30" s="455"/>
      <c r="O30" s="455"/>
      <c r="P30" s="455"/>
      <c r="Q30" s="455"/>
      <c r="R30" s="455"/>
      <c r="S30" s="455"/>
      <c r="T30" s="455"/>
      <c r="U30" s="455"/>
      <c r="V30" s="455"/>
      <c r="W30" s="10"/>
      <c r="X30" s="11"/>
      <c r="Y30" s="27"/>
      <c r="AD30" s="1"/>
      <c r="AE30" s="1"/>
      <c r="AF30" s="1"/>
      <c r="AG30" s="1"/>
    </row>
    <row r="31" spans="1:33" ht="12.75" customHeight="1">
      <c r="A31" s="110"/>
      <c r="B31" s="455"/>
      <c r="C31" s="455"/>
      <c r="D31" s="455"/>
      <c r="E31" s="455"/>
      <c r="F31" s="455"/>
      <c r="G31" s="455"/>
      <c r="H31" s="455"/>
      <c r="I31" s="455"/>
      <c r="J31" s="455"/>
      <c r="K31" s="455"/>
      <c r="L31" s="455"/>
      <c r="M31" s="455"/>
      <c r="N31" s="455"/>
      <c r="O31" s="455"/>
      <c r="P31" s="455"/>
      <c r="Q31" s="455"/>
      <c r="R31" s="455"/>
      <c r="S31" s="455"/>
      <c r="T31" s="455"/>
      <c r="U31" s="455"/>
      <c r="V31" s="455"/>
      <c r="W31" s="10"/>
      <c r="X31" s="11"/>
      <c r="Y31" s="27"/>
      <c r="AD31" s="1"/>
      <c r="AE31" s="1"/>
      <c r="AF31" s="1"/>
      <c r="AG31" s="1"/>
    </row>
    <row r="32" spans="1:33" ht="12.75" customHeight="1">
      <c r="A32" s="110"/>
      <c r="B32" s="117" t="s">
        <v>106</v>
      </c>
      <c r="C32" s="1"/>
      <c r="D32" s="1"/>
      <c r="E32" s="1"/>
      <c r="F32" s="1"/>
      <c r="G32" s="1"/>
      <c r="H32" s="1"/>
      <c r="I32" s="1"/>
      <c r="J32" s="1"/>
      <c r="K32" s="1"/>
      <c r="L32" s="1"/>
      <c r="M32" s="1"/>
      <c r="N32" s="1"/>
      <c r="O32" s="1"/>
      <c r="P32" s="1"/>
      <c r="Q32" s="1"/>
      <c r="R32" s="1"/>
      <c r="S32" s="1"/>
      <c r="T32" s="1"/>
      <c r="U32" s="1"/>
      <c r="V32" s="1"/>
      <c r="W32" s="10"/>
      <c r="X32" s="11"/>
      <c r="Y32" s="27"/>
      <c r="AD32" s="1"/>
      <c r="AE32" s="1"/>
      <c r="AF32" s="1"/>
      <c r="AG32" s="1"/>
    </row>
    <row r="33" spans="1:33" ht="12.75" customHeight="1">
      <c r="A33" s="110"/>
      <c r="B33" s="118" t="s">
        <v>107</v>
      </c>
      <c r="C33" s="10"/>
      <c r="D33" s="10"/>
      <c r="E33" s="10"/>
      <c r="F33" s="10"/>
      <c r="G33" s="10"/>
      <c r="H33" s="10"/>
      <c r="I33" s="10"/>
      <c r="J33" s="10"/>
      <c r="K33" s="10"/>
      <c r="L33" s="10"/>
      <c r="M33" s="10"/>
      <c r="N33" s="10"/>
      <c r="O33" s="10"/>
      <c r="P33" s="10"/>
      <c r="Q33" s="10"/>
      <c r="R33" s="10"/>
      <c r="S33" s="10"/>
      <c r="T33" s="10"/>
      <c r="U33" s="10"/>
      <c r="V33" s="10"/>
      <c r="W33" s="10"/>
      <c r="X33" s="11"/>
      <c r="Y33" s="1"/>
      <c r="AD33" s="1"/>
      <c r="AE33" s="1"/>
      <c r="AF33" s="1"/>
      <c r="AG33" s="1"/>
    </row>
    <row r="34" spans="1:33" ht="15.75" customHeight="1">
      <c r="A34" s="13"/>
      <c r="B34" s="119" t="s">
        <v>108</v>
      </c>
      <c r="C34" s="13"/>
      <c r="D34" s="13"/>
      <c r="E34" s="13"/>
      <c r="F34" s="13"/>
      <c r="G34" s="13"/>
      <c r="H34" s="13"/>
      <c r="I34" s="13"/>
      <c r="J34" s="13"/>
      <c r="K34" s="13"/>
      <c r="L34" s="13"/>
      <c r="M34" s="120"/>
      <c r="N34" s="13"/>
      <c r="O34" s="120"/>
      <c r="P34" s="120" t="s">
        <v>109</v>
      </c>
      <c r="Q34" s="120"/>
      <c r="R34" s="13"/>
      <c r="S34" s="13"/>
      <c r="T34" s="13"/>
      <c r="U34" s="13"/>
      <c r="V34" s="13"/>
      <c r="W34" s="471" t="s">
        <v>110</v>
      </c>
      <c r="X34" s="455"/>
      <c r="Y34" s="1"/>
      <c r="AD34" s="1"/>
      <c r="AE34" s="1"/>
      <c r="AF34" s="1"/>
      <c r="AG34" s="1"/>
    </row>
    <row r="35" spans="1:33" ht="15.75" customHeight="1">
      <c r="A35" s="13"/>
      <c r="B35" s="122" t="s">
        <v>111</v>
      </c>
      <c r="C35" s="13"/>
      <c r="D35" s="13"/>
      <c r="E35" s="13"/>
      <c r="F35" s="13"/>
      <c r="G35" s="13"/>
      <c r="H35" s="13"/>
      <c r="I35" s="13"/>
      <c r="J35" s="13"/>
      <c r="K35" s="13"/>
      <c r="L35" s="13"/>
      <c r="M35" s="44" t="s">
        <v>112</v>
      </c>
      <c r="N35" s="45" t="s">
        <v>113</v>
      </c>
      <c r="O35" s="46" t="s">
        <v>114</v>
      </c>
      <c r="P35" s="47" t="s">
        <v>115</v>
      </c>
      <c r="Q35" s="48" t="s">
        <v>116</v>
      </c>
      <c r="R35" s="49" t="s">
        <v>117</v>
      </c>
      <c r="S35" s="50" t="s">
        <v>118</v>
      </c>
      <c r="T35" s="51" t="s">
        <v>119</v>
      </c>
      <c r="U35" s="52" t="s">
        <v>120</v>
      </c>
      <c r="V35" s="13"/>
      <c r="W35" s="121"/>
      <c r="X35" s="1"/>
      <c r="Y35" s="1"/>
      <c r="AD35" s="1"/>
      <c r="AE35" s="1"/>
      <c r="AF35" s="1"/>
      <c r="AG35" s="1"/>
    </row>
    <row r="36" spans="1:33" ht="15.75" customHeight="1">
      <c r="A36" s="51" t="s">
        <v>121</v>
      </c>
      <c r="B36" s="51" t="s">
        <v>122</v>
      </c>
      <c r="C36" s="123" t="s">
        <v>123</v>
      </c>
      <c r="D36" s="123" t="s">
        <v>124</v>
      </c>
      <c r="E36" s="123" t="s">
        <v>125</v>
      </c>
      <c r="F36" s="123" t="s">
        <v>126</v>
      </c>
      <c r="G36" s="123" t="s">
        <v>127</v>
      </c>
      <c r="H36" s="124" t="s">
        <v>128</v>
      </c>
      <c r="I36" s="125" t="s">
        <v>129</v>
      </c>
      <c r="J36" s="125" t="s">
        <v>130</v>
      </c>
      <c r="K36" s="125" t="s">
        <v>131</v>
      </c>
      <c r="L36" s="125" t="s">
        <v>132</v>
      </c>
      <c r="M36" s="126" t="s">
        <v>133</v>
      </c>
      <c r="N36" s="127" t="s">
        <v>134</v>
      </c>
      <c r="O36" s="128" t="s">
        <v>135</v>
      </c>
      <c r="P36" s="129" t="s">
        <v>136</v>
      </c>
      <c r="Q36" s="130" t="s">
        <v>137</v>
      </c>
      <c r="R36" s="131" t="s">
        <v>138</v>
      </c>
      <c r="S36" s="132" t="s">
        <v>139</v>
      </c>
      <c r="T36" s="133" t="s">
        <v>140</v>
      </c>
      <c r="U36" s="134" t="s">
        <v>141</v>
      </c>
      <c r="V36" s="135" t="s">
        <v>142</v>
      </c>
      <c r="W36" s="135" t="s">
        <v>143</v>
      </c>
      <c r="X36" s="136" t="s">
        <v>144</v>
      </c>
      <c r="Y36" s="137" t="s">
        <v>145</v>
      </c>
      <c r="AA36" s="180"/>
      <c r="AD36" s="1"/>
      <c r="AE36" s="1"/>
      <c r="AF36" s="1"/>
      <c r="AG36" s="1"/>
    </row>
    <row r="37" spans="1:33" ht="15.75" customHeight="1">
      <c r="A37" s="139" t="s">
        <v>1273</v>
      </c>
      <c r="B37" s="141"/>
      <c r="C37" s="141"/>
      <c r="D37" s="141"/>
      <c r="E37" s="141" t="s">
        <v>121</v>
      </c>
      <c r="F37" s="141"/>
      <c r="G37" s="141"/>
      <c r="H37" s="141"/>
      <c r="I37" s="142"/>
      <c r="J37" s="301"/>
      <c r="K37" s="144"/>
      <c r="L37" s="142"/>
      <c r="M37" s="142"/>
      <c r="N37" s="142"/>
      <c r="O37" s="142"/>
      <c r="P37" s="142"/>
      <c r="Q37" s="142"/>
      <c r="R37" s="142"/>
      <c r="S37" s="142"/>
      <c r="T37" s="142"/>
      <c r="U37" s="142"/>
      <c r="V37" s="143"/>
      <c r="W37" s="143"/>
      <c r="X37" s="145"/>
      <c r="Y37" s="146"/>
      <c r="AA37" s="180"/>
      <c r="AD37" s="1"/>
      <c r="AE37" s="1"/>
      <c r="AF37" s="1"/>
      <c r="AG37" s="1"/>
    </row>
    <row r="38" spans="1:33" ht="15.75" customHeight="1">
      <c r="A38" s="181"/>
      <c r="B38" s="302" t="s">
        <v>1274</v>
      </c>
      <c r="C38" s="303" t="s">
        <v>58</v>
      </c>
      <c r="D38" s="303" t="s">
        <v>60</v>
      </c>
      <c r="E38" s="303" t="s">
        <v>121</v>
      </c>
      <c r="F38" s="303" t="s">
        <v>28</v>
      </c>
      <c r="G38" s="303" t="s">
        <v>49</v>
      </c>
      <c r="H38" s="304">
        <v>1</v>
      </c>
      <c r="I38" s="304" t="s">
        <v>1275</v>
      </c>
      <c r="J38" s="305">
        <f>K38*(1-Bolts!$E$1179)</f>
        <v>254.6</v>
      </c>
      <c r="K38" s="306">
        <v>254.6</v>
      </c>
      <c r="L38" s="168">
        <f>SUM(M38:U38)</f>
        <v>0</v>
      </c>
      <c r="M38" s="211"/>
      <c r="N38" s="169"/>
      <c r="O38" s="170"/>
      <c r="P38" s="171"/>
      <c r="Q38" s="172"/>
      <c r="R38" s="173"/>
      <c r="S38" s="174"/>
      <c r="T38" s="175"/>
      <c r="U38" s="176"/>
      <c r="V38" s="168">
        <f>L38*H38</f>
        <v>0</v>
      </c>
      <c r="W38" s="177">
        <f>L38*K38</f>
        <v>0</v>
      </c>
      <c r="X38" s="178">
        <v>11.3</v>
      </c>
      <c r="Y38" s="179">
        <f>X38*L38</f>
        <v>0</v>
      </c>
      <c r="AA38" s="180"/>
      <c r="AD38" s="1"/>
      <c r="AE38" s="1"/>
      <c r="AF38" s="1"/>
      <c r="AG38" s="1"/>
    </row>
    <row r="39" spans="1:33" ht="15.75" customHeight="1">
      <c r="A39" s="181"/>
      <c r="B39" s="185"/>
      <c r="C39" s="165"/>
      <c r="D39" s="165"/>
      <c r="E39" s="165"/>
      <c r="F39" s="165"/>
      <c r="G39" s="165"/>
      <c r="H39" s="166"/>
      <c r="I39" s="166"/>
      <c r="J39" s="307"/>
      <c r="K39" s="308"/>
      <c r="L39" s="186"/>
      <c r="M39" s="187"/>
      <c r="N39" s="187"/>
      <c r="O39" s="188"/>
      <c r="P39" s="187"/>
      <c r="Q39" s="187"/>
      <c r="R39" s="187"/>
      <c r="S39" s="187"/>
      <c r="T39" s="187"/>
      <c r="U39" s="188"/>
      <c r="V39" s="186"/>
      <c r="W39" s="189"/>
      <c r="X39" s="190"/>
      <c r="Y39" s="191"/>
      <c r="AA39" s="180"/>
      <c r="AD39" s="1"/>
      <c r="AE39" s="1"/>
      <c r="AF39" s="1"/>
      <c r="AG39" s="1"/>
    </row>
    <row r="40" spans="1:33" ht="15.75" customHeight="1">
      <c r="A40" s="181"/>
      <c r="B40" s="309" t="s">
        <v>1276</v>
      </c>
      <c r="C40" s="310" t="s">
        <v>58</v>
      </c>
      <c r="D40" s="310" t="s">
        <v>60</v>
      </c>
      <c r="E40" s="310" t="s">
        <v>121</v>
      </c>
      <c r="F40" s="310" t="s">
        <v>28</v>
      </c>
      <c r="G40" s="310" t="s">
        <v>47</v>
      </c>
      <c r="H40" s="311">
        <v>3</v>
      </c>
      <c r="I40" s="311" t="s">
        <v>1277</v>
      </c>
      <c r="J40" s="312">
        <f>K40*(1-Bolts!$E$1179)</f>
        <v>507.6</v>
      </c>
      <c r="K40" s="306">
        <v>507.6</v>
      </c>
      <c r="L40" s="257">
        <f t="shared" ref="L40:L42" si="0">SUM(M40:U40)</f>
        <v>0</v>
      </c>
      <c r="M40" s="313"/>
      <c r="N40" s="314"/>
      <c r="O40" s="315"/>
      <c r="P40" s="316"/>
      <c r="Q40" s="317"/>
      <c r="R40" s="318"/>
      <c r="S40" s="319"/>
      <c r="T40" s="320"/>
      <c r="U40" s="321"/>
      <c r="V40" s="257">
        <f t="shared" ref="V40:V42" si="1">L40*H40</f>
        <v>0</v>
      </c>
      <c r="W40" s="322">
        <f t="shared" ref="W40:W42" si="2">L40*K40</f>
        <v>0</v>
      </c>
      <c r="X40" s="323" t="s">
        <v>1278</v>
      </c>
      <c r="Y40" s="324">
        <f t="shared" ref="Y40:Y42" si="3">X40*L40</f>
        <v>0</v>
      </c>
      <c r="AA40" s="180"/>
      <c r="AD40" s="1"/>
      <c r="AE40" s="1"/>
      <c r="AF40" s="1"/>
      <c r="AG40" s="1"/>
    </row>
    <row r="41" spans="1:33" ht="15.75" customHeight="1">
      <c r="A41" s="181"/>
      <c r="B41" s="164" t="s">
        <v>1279</v>
      </c>
      <c r="C41" s="165" t="s">
        <v>58</v>
      </c>
      <c r="D41" s="165" t="s">
        <v>60</v>
      </c>
      <c r="E41" s="165" t="s">
        <v>121</v>
      </c>
      <c r="F41" s="165" t="s">
        <v>28</v>
      </c>
      <c r="G41" s="165" t="s">
        <v>47</v>
      </c>
      <c r="H41" s="166">
        <v>2</v>
      </c>
      <c r="I41" s="166" t="s">
        <v>1280</v>
      </c>
      <c r="J41" s="305">
        <f>K41*(1-Bolts!$E$1179)</f>
        <v>266.7</v>
      </c>
      <c r="K41" s="306">
        <v>266.7</v>
      </c>
      <c r="L41" s="168">
        <f t="shared" si="0"/>
        <v>0</v>
      </c>
      <c r="M41" s="211"/>
      <c r="N41" s="169"/>
      <c r="O41" s="170"/>
      <c r="P41" s="171"/>
      <c r="Q41" s="172"/>
      <c r="R41" s="173"/>
      <c r="S41" s="174"/>
      <c r="T41" s="175"/>
      <c r="U41" s="176"/>
      <c r="V41" s="168">
        <f t="shared" si="1"/>
        <v>0</v>
      </c>
      <c r="W41" s="177">
        <f t="shared" si="2"/>
        <v>0</v>
      </c>
      <c r="X41" s="178">
        <v>13.1</v>
      </c>
      <c r="Y41" s="179">
        <f t="shared" si="3"/>
        <v>0</v>
      </c>
      <c r="AA41" s="180"/>
      <c r="AD41" s="1"/>
      <c r="AE41" s="1"/>
      <c r="AF41" s="1"/>
      <c r="AG41" s="1"/>
    </row>
    <row r="42" spans="1:33" ht="15.75" customHeight="1">
      <c r="A42" s="181"/>
      <c r="B42" s="164" t="s">
        <v>1281</v>
      </c>
      <c r="C42" s="165" t="s">
        <v>58</v>
      </c>
      <c r="D42" s="165" t="s">
        <v>60</v>
      </c>
      <c r="E42" s="165" t="s">
        <v>121</v>
      </c>
      <c r="F42" s="165" t="s">
        <v>28</v>
      </c>
      <c r="G42" s="165" t="s">
        <v>48</v>
      </c>
      <c r="H42" s="166">
        <v>3</v>
      </c>
      <c r="I42" s="166" t="s">
        <v>1282</v>
      </c>
      <c r="J42" s="305">
        <f>K42*(1-Bolts!$E$1179)</f>
        <v>386.1</v>
      </c>
      <c r="K42" s="306">
        <v>386.1</v>
      </c>
      <c r="L42" s="168">
        <f t="shared" si="0"/>
        <v>0</v>
      </c>
      <c r="M42" s="211"/>
      <c r="N42" s="169"/>
      <c r="O42" s="170"/>
      <c r="P42" s="171"/>
      <c r="Q42" s="172"/>
      <c r="R42" s="173"/>
      <c r="S42" s="174"/>
      <c r="T42" s="175"/>
      <c r="U42" s="176"/>
      <c r="V42" s="168">
        <f t="shared" si="1"/>
        <v>0</v>
      </c>
      <c r="W42" s="177">
        <f t="shared" si="2"/>
        <v>0</v>
      </c>
      <c r="X42" s="178">
        <v>20.100000000000001</v>
      </c>
      <c r="Y42" s="179">
        <f t="shared" si="3"/>
        <v>0</v>
      </c>
      <c r="AA42" s="180"/>
      <c r="AD42" s="1"/>
      <c r="AE42" s="1"/>
      <c r="AF42" s="1"/>
      <c r="AG42" s="1"/>
    </row>
    <row r="43" spans="1:33" ht="15.75" customHeight="1">
      <c r="A43" s="181"/>
      <c r="B43" s="185"/>
      <c r="C43" s="165"/>
      <c r="D43" s="165"/>
      <c r="E43" s="165"/>
      <c r="F43" s="165"/>
      <c r="G43" s="165"/>
      <c r="H43" s="166"/>
      <c r="I43" s="166"/>
      <c r="J43" s="307"/>
      <c r="K43" s="308"/>
      <c r="L43" s="186"/>
      <c r="M43" s="187"/>
      <c r="N43" s="187"/>
      <c r="O43" s="188"/>
      <c r="P43" s="187"/>
      <c r="Q43" s="187"/>
      <c r="R43" s="187"/>
      <c r="S43" s="187"/>
      <c r="T43" s="187"/>
      <c r="U43" s="325"/>
      <c r="V43" s="186"/>
      <c r="W43" s="189"/>
      <c r="X43" s="190"/>
      <c r="Y43" s="191"/>
      <c r="AA43" s="180"/>
      <c r="AD43" s="1"/>
      <c r="AE43" s="1"/>
      <c r="AF43" s="1"/>
      <c r="AG43" s="1"/>
    </row>
    <row r="44" spans="1:33" ht="15.75" customHeight="1">
      <c r="A44" s="181"/>
      <c r="B44" s="164" t="s">
        <v>1283</v>
      </c>
      <c r="C44" s="165" t="s">
        <v>58</v>
      </c>
      <c r="D44" s="165" t="s">
        <v>61</v>
      </c>
      <c r="E44" s="165" t="s">
        <v>121</v>
      </c>
      <c r="F44" s="165" t="s">
        <v>35</v>
      </c>
      <c r="G44" s="165" t="s">
        <v>48</v>
      </c>
      <c r="H44" s="166">
        <v>1</v>
      </c>
      <c r="I44" s="166" t="s">
        <v>1284</v>
      </c>
      <c r="J44" s="305">
        <f>K44*(1-Bolts!$E$1179)</f>
        <v>154.4</v>
      </c>
      <c r="K44" s="306">
        <v>154.4</v>
      </c>
      <c r="L44" s="168">
        <f t="shared" ref="L44:L52" si="4">SUM(M44:U44)</f>
        <v>0</v>
      </c>
      <c r="M44" s="211"/>
      <c r="N44" s="169"/>
      <c r="O44" s="170"/>
      <c r="P44" s="171"/>
      <c r="Q44" s="172"/>
      <c r="R44" s="173"/>
      <c r="S44" s="174"/>
      <c r="T44" s="175"/>
      <c r="U44" s="176"/>
      <c r="V44" s="168">
        <f t="shared" ref="V44:V52" si="5">L44*H44</f>
        <v>0</v>
      </c>
      <c r="W44" s="177">
        <f t="shared" ref="W44:W52" si="6">L44*K44</f>
        <v>0</v>
      </c>
      <c r="X44" s="178" t="s">
        <v>1285</v>
      </c>
      <c r="Y44" s="179">
        <f t="shared" ref="Y44:Y52" si="7">X44*L44</f>
        <v>0</v>
      </c>
      <c r="AA44" s="180"/>
      <c r="AD44" s="1"/>
      <c r="AE44" s="1"/>
      <c r="AF44" s="1"/>
      <c r="AG44" s="1"/>
    </row>
    <row r="45" spans="1:33" ht="15.75" customHeight="1">
      <c r="A45" s="181"/>
      <c r="B45" s="164" t="s">
        <v>1286</v>
      </c>
      <c r="C45" s="165" t="s">
        <v>58</v>
      </c>
      <c r="D45" s="165" t="s">
        <v>61</v>
      </c>
      <c r="E45" s="165" t="s">
        <v>121</v>
      </c>
      <c r="F45" s="165" t="s">
        <v>35</v>
      </c>
      <c r="G45" s="165" t="s">
        <v>48</v>
      </c>
      <c r="H45" s="166">
        <v>1</v>
      </c>
      <c r="I45" s="166" t="s">
        <v>1287</v>
      </c>
      <c r="J45" s="305">
        <f>K45*(1-Bolts!$E$1179)</f>
        <v>84.4</v>
      </c>
      <c r="K45" s="306">
        <v>84.4</v>
      </c>
      <c r="L45" s="168">
        <f t="shared" si="4"/>
        <v>0</v>
      </c>
      <c r="M45" s="211"/>
      <c r="N45" s="169"/>
      <c r="O45" s="170"/>
      <c r="P45" s="171"/>
      <c r="Q45" s="172"/>
      <c r="R45" s="173"/>
      <c r="S45" s="174"/>
      <c r="T45" s="175"/>
      <c r="U45" s="176"/>
      <c r="V45" s="168">
        <f t="shared" si="5"/>
        <v>0</v>
      </c>
      <c r="W45" s="177">
        <f t="shared" si="6"/>
        <v>0</v>
      </c>
      <c r="X45" s="178" t="s">
        <v>1288</v>
      </c>
      <c r="Y45" s="179">
        <f t="shared" si="7"/>
        <v>0</v>
      </c>
      <c r="AA45" s="180"/>
      <c r="AD45" s="1"/>
      <c r="AE45" s="1"/>
      <c r="AF45" s="1"/>
      <c r="AG45" s="1"/>
    </row>
    <row r="46" spans="1:33" ht="15.75" customHeight="1">
      <c r="A46" s="181"/>
      <c r="B46" s="164" t="s">
        <v>1289</v>
      </c>
      <c r="C46" s="165" t="s">
        <v>58</v>
      </c>
      <c r="D46" s="165" t="s">
        <v>61</v>
      </c>
      <c r="E46" s="165" t="s">
        <v>121</v>
      </c>
      <c r="F46" s="165" t="s">
        <v>35</v>
      </c>
      <c r="G46" s="165" t="s">
        <v>48</v>
      </c>
      <c r="H46" s="166">
        <v>1</v>
      </c>
      <c r="I46" s="166" t="s">
        <v>1290</v>
      </c>
      <c r="J46" s="305">
        <f>K46*(1-Bolts!$E$1179)</f>
        <v>117.2</v>
      </c>
      <c r="K46" s="306">
        <v>117.2</v>
      </c>
      <c r="L46" s="168">
        <f t="shared" si="4"/>
        <v>0</v>
      </c>
      <c r="M46" s="211"/>
      <c r="N46" s="169"/>
      <c r="O46" s="170"/>
      <c r="P46" s="171"/>
      <c r="Q46" s="172"/>
      <c r="R46" s="173"/>
      <c r="S46" s="174"/>
      <c r="T46" s="175"/>
      <c r="U46" s="176"/>
      <c r="V46" s="168">
        <f t="shared" si="5"/>
        <v>0</v>
      </c>
      <c r="W46" s="177">
        <f t="shared" si="6"/>
        <v>0</v>
      </c>
      <c r="X46" s="178" t="s">
        <v>1291</v>
      </c>
      <c r="Y46" s="179">
        <f t="shared" si="7"/>
        <v>0</v>
      </c>
      <c r="AA46" s="180"/>
      <c r="AD46" s="1"/>
      <c r="AE46" s="1"/>
      <c r="AF46" s="1"/>
      <c r="AG46" s="1"/>
    </row>
    <row r="47" spans="1:33" ht="15.75" customHeight="1">
      <c r="A47" s="181"/>
      <c r="B47" s="164" t="s">
        <v>1292</v>
      </c>
      <c r="C47" s="165" t="s">
        <v>58</v>
      </c>
      <c r="D47" s="165" t="s">
        <v>61</v>
      </c>
      <c r="E47" s="165" t="s">
        <v>121</v>
      </c>
      <c r="F47" s="165" t="s">
        <v>28</v>
      </c>
      <c r="G47" s="165" t="s">
        <v>47</v>
      </c>
      <c r="H47" s="166">
        <v>4</v>
      </c>
      <c r="I47" s="166" t="s">
        <v>1293</v>
      </c>
      <c r="J47" s="305">
        <f>K47*(1-Bolts!$E$1179)</f>
        <v>417.8</v>
      </c>
      <c r="K47" s="306">
        <v>417.8</v>
      </c>
      <c r="L47" s="168">
        <f t="shared" si="4"/>
        <v>0</v>
      </c>
      <c r="M47" s="211"/>
      <c r="N47" s="169"/>
      <c r="O47" s="170"/>
      <c r="P47" s="171"/>
      <c r="Q47" s="172"/>
      <c r="R47" s="173"/>
      <c r="S47" s="174"/>
      <c r="T47" s="175"/>
      <c r="U47" s="176"/>
      <c r="V47" s="168">
        <f t="shared" si="5"/>
        <v>0</v>
      </c>
      <c r="W47" s="177">
        <f t="shared" si="6"/>
        <v>0</v>
      </c>
      <c r="X47" s="178">
        <v>20.9</v>
      </c>
      <c r="Y47" s="179">
        <f t="shared" si="7"/>
        <v>0</v>
      </c>
      <c r="AA47" s="180"/>
      <c r="AD47" s="1"/>
      <c r="AE47" s="1"/>
      <c r="AF47" s="1"/>
      <c r="AG47" s="1"/>
    </row>
    <row r="48" spans="1:33" ht="15.75" customHeight="1">
      <c r="A48" s="181"/>
      <c r="B48" s="164" t="s">
        <v>1294</v>
      </c>
      <c r="C48" s="165" t="s">
        <v>58</v>
      </c>
      <c r="D48" s="165" t="s">
        <v>61</v>
      </c>
      <c r="E48" s="165" t="s">
        <v>121</v>
      </c>
      <c r="F48" s="165" t="s">
        <v>29</v>
      </c>
      <c r="G48" s="165" t="s">
        <v>47</v>
      </c>
      <c r="H48" s="166">
        <v>5</v>
      </c>
      <c r="I48" s="166" t="s">
        <v>1295</v>
      </c>
      <c r="J48" s="305">
        <f>K48*(1-Bolts!$E$1179)</f>
        <v>344.1</v>
      </c>
      <c r="K48" s="306">
        <v>344.1</v>
      </c>
      <c r="L48" s="168">
        <f t="shared" si="4"/>
        <v>0</v>
      </c>
      <c r="M48" s="211"/>
      <c r="N48" s="169"/>
      <c r="O48" s="170"/>
      <c r="P48" s="171"/>
      <c r="Q48" s="172"/>
      <c r="R48" s="173"/>
      <c r="S48" s="174"/>
      <c r="T48" s="175"/>
      <c r="U48" s="176"/>
      <c r="V48" s="168">
        <f t="shared" si="5"/>
        <v>0</v>
      </c>
      <c r="W48" s="177">
        <f t="shared" si="6"/>
        <v>0</v>
      </c>
      <c r="X48" s="178">
        <v>16.55</v>
      </c>
      <c r="Y48" s="179">
        <f t="shared" si="7"/>
        <v>0</v>
      </c>
      <c r="AA48" s="180"/>
      <c r="AD48" s="1"/>
      <c r="AE48" s="1"/>
      <c r="AF48" s="1"/>
      <c r="AG48" s="1"/>
    </row>
    <row r="49" spans="1:33" ht="15.75" customHeight="1">
      <c r="A49" s="181"/>
      <c r="B49" s="164" t="s">
        <v>1296</v>
      </c>
      <c r="C49" s="165" t="s">
        <v>58</v>
      </c>
      <c r="D49" s="165" t="s">
        <v>61</v>
      </c>
      <c r="E49" s="165" t="s">
        <v>121</v>
      </c>
      <c r="F49" s="165" t="s">
        <v>28</v>
      </c>
      <c r="G49" s="165" t="s">
        <v>47</v>
      </c>
      <c r="H49" s="166">
        <v>4</v>
      </c>
      <c r="I49" s="166" t="s">
        <v>1297</v>
      </c>
      <c r="J49" s="305">
        <f>K49*(1-Bolts!$E$1179)</f>
        <v>464.9</v>
      </c>
      <c r="K49" s="306">
        <v>464.9</v>
      </c>
      <c r="L49" s="168">
        <f t="shared" si="4"/>
        <v>0</v>
      </c>
      <c r="M49" s="211"/>
      <c r="N49" s="169"/>
      <c r="O49" s="170"/>
      <c r="P49" s="171"/>
      <c r="Q49" s="172"/>
      <c r="R49" s="173"/>
      <c r="S49" s="174"/>
      <c r="T49" s="175"/>
      <c r="U49" s="176"/>
      <c r="V49" s="168">
        <f t="shared" si="5"/>
        <v>0</v>
      </c>
      <c r="W49" s="177">
        <f t="shared" si="6"/>
        <v>0</v>
      </c>
      <c r="X49" s="178">
        <v>23.1</v>
      </c>
      <c r="Y49" s="179">
        <f t="shared" si="7"/>
        <v>0</v>
      </c>
      <c r="AA49" s="180"/>
      <c r="AD49" s="1"/>
      <c r="AE49" s="1"/>
      <c r="AF49" s="1"/>
      <c r="AG49" s="1"/>
    </row>
    <row r="50" spans="1:33" ht="15.75" customHeight="1">
      <c r="A50" s="181"/>
      <c r="B50" s="164" t="s">
        <v>1298</v>
      </c>
      <c r="C50" s="165" t="s">
        <v>58</v>
      </c>
      <c r="D50" s="165" t="s">
        <v>61</v>
      </c>
      <c r="E50" s="165" t="s">
        <v>121</v>
      </c>
      <c r="F50" s="165" t="s">
        <v>35</v>
      </c>
      <c r="G50" s="165" t="s">
        <v>48</v>
      </c>
      <c r="H50" s="166">
        <v>5</v>
      </c>
      <c r="I50" s="166" t="s">
        <v>1299</v>
      </c>
      <c r="J50" s="305">
        <f>K50*(1-Bolts!$E$1179)</f>
        <v>415.5</v>
      </c>
      <c r="K50" s="306">
        <v>415.5</v>
      </c>
      <c r="L50" s="168">
        <f t="shared" si="4"/>
        <v>0</v>
      </c>
      <c r="M50" s="211"/>
      <c r="N50" s="169"/>
      <c r="O50" s="170"/>
      <c r="P50" s="171"/>
      <c r="Q50" s="172"/>
      <c r="R50" s="173"/>
      <c r="S50" s="174"/>
      <c r="T50" s="175"/>
      <c r="U50" s="176"/>
      <c r="V50" s="168">
        <f t="shared" si="5"/>
        <v>0</v>
      </c>
      <c r="W50" s="177">
        <f t="shared" si="6"/>
        <v>0</v>
      </c>
      <c r="X50" s="178">
        <v>18.3</v>
      </c>
      <c r="Y50" s="179">
        <f t="shared" si="7"/>
        <v>0</v>
      </c>
      <c r="AA50" s="180"/>
      <c r="AD50" s="1"/>
      <c r="AE50" s="1"/>
      <c r="AF50" s="1"/>
      <c r="AG50" s="1"/>
    </row>
    <row r="51" spans="1:33" ht="15.75" customHeight="1">
      <c r="A51" s="181"/>
      <c r="B51" s="302" t="s">
        <v>1300</v>
      </c>
      <c r="C51" s="303" t="s">
        <v>58</v>
      </c>
      <c r="D51" s="303" t="s">
        <v>61</v>
      </c>
      <c r="E51" s="303" t="s">
        <v>121</v>
      </c>
      <c r="F51" s="303" t="s">
        <v>29</v>
      </c>
      <c r="G51" s="303" t="s">
        <v>47</v>
      </c>
      <c r="H51" s="304">
        <v>1</v>
      </c>
      <c r="I51" s="304" t="s">
        <v>1301</v>
      </c>
      <c r="J51" s="305">
        <f>K51*(1-Bolts!$E$1179)</f>
        <v>235.1</v>
      </c>
      <c r="K51" s="306">
        <v>235.1</v>
      </c>
      <c r="L51" s="168">
        <f t="shared" si="4"/>
        <v>0</v>
      </c>
      <c r="M51" s="211"/>
      <c r="N51" s="169"/>
      <c r="O51" s="170"/>
      <c r="P51" s="171"/>
      <c r="Q51" s="172"/>
      <c r="R51" s="173"/>
      <c r="S51" s="174"/>
      <c r="T51" s="175"/>
      <c r="U51" s="176"/>
      <c r="V51" s="168">
        <f t="shared" si="5"/>
        <v>0</v>
      </c>
      <c r="W51" s="177">
        <f t="shared" si="6"/>
        <v>0</v>
      </c>
      <c r="X51" s="178">
        <v>10.25</v>
      </c>
      <c r="Y51" s="179">
        <f t="shared" si="7"/>
        <v>0</v>
      </c>
      <c r="AA51" s="180"/>
      <c r="AD51" s="1"/>
      <c r="AE51" s="1"/>
      <c r="AF51" s="1"/>
      <c r="AG51" s="1"/>
    </row>
    <row r="52" spans="1:33" ht="15.75" customHeight="1">
      <c r="A52" s="181"/>
      <c r="B52" s="302" t="s">
        <v>1302</v>
      </c>
      <c r="C52" s="303" t="s">
        <v>58</v>
      </c>
      <c r="D52" s="303" t="s">
        <v>61</v>
      </c>
      <c r="E52" s="303" t="s">
        <v>121</v>
      </c>
      <c r="F52" s="303" t="s">
        <v>37</v>
      </c>
      <c r="G52" s="303" t="s">
        <v>49</v>
      </c>
      <c r="H52" s="304">
        <v>3</v>
      </c>
      <c r="I52" s="304" t="s">
        <v>1303</v>
      </c>
      <c r="J52" s="305">
        <f>K52*(1-Bolts!$E$1179)</f>
        <v>403.2</v>
      </c>
      <c r="K52" s="306">
        <v>403.2</v>
      </c>
      <c r="L52" s="168">
        <f t="shared" si="4"/>
        <v>0</v>
      </c>
      <c r="M52" s="211"/>
      <c r="N52" s="169"/>
      <c r="O52" s="170"/>
      <c r="P52" s="171"/>
      <c r="Q52" s="172"/>
      <c r="R52" s="173"/>
      <c r="S52" s="174"/>
      <c r="T52" s="175"/>
      <c r="U52" s="176"/>
      <c r="V52" s="168">
        <f t="shared" si="5"/>
        <v>0</v>
      </c>
      <c r="W52" s="177">
        <f t="shared" si="6"/>
        <v>0</v>
      </c>
      <c r="X52" s="178">
        <v>17.5</v>
      </c>
      <c r="Y52" s="179">
        <f t="shared" si="7"/>
        <v>0</v>
      </c>
      <c r="AA52" s="180"/>
      <c r="AD52" s="1"/>
      <c r="AE52" s="1"/>
      <c r="AF52" s="1"/>
      <c r="AG52" s="1"/>
    </row>
    <row r="53" spans="1:33" ht="15.75" customHeight="1">
      <c r="A53" s="181"/>
      <c r="B53" s="185"/>
      <c r="C53" s="165"/>
      <c r="D53" s="165"/>
      <c r="E53" s="165"/>
      <c r="F53" s="165"/>
      <c r="G53" s="165"/>
      <c r="H53" s="166"/>
      <c r="I53" s="166"/>
      <c r="J53" s="307"/>
      <c r="K53" s="308"/>
      <c r="L53" s="186"/>
      <c r="M53" s="187"/>
      <c r="N53" s="187"/>
      <c r="O53" s="188"/>
      <c r="P53" s="187"/>
      <c r="Q53" s="187"/>
      <c r="R53" s="187"/>
      <c r="S53" s="187"/>
      <c r="T53" s="187"/>
      <c r="U53" s="188"/>
      <c r="V53" s="186"/>
      <c r="W53" s="189"/>
      <c r="X53" s="190"/>
      <c r="Y53" s="191"/>
      <c r="AA53" s="180"/>
      <c r="AD53" s="1"/>
      <c r="AE53" s="1"/>
      <c r="AF53" s="1"/>
      <c r="AG53" s="1"/>
    </row>
    <row r="54" spans="1:33" ht="15.75" customHeight="1">
      <c r="A54" s="87"/>
      <c r="B54" s="192" t="s">
        <v>1304</v>
      </c>
      <c r="C54" s="193" t="s">
        <v>58</v>
      </c>
      <c r="D54" s="193" t="s">
        <v>62</v>
      </c>
      <c r="E54" s="193" t="s">
        <v>121</v>
      </c>
      <c r="F54" s="193" t="s">
        <v>35</v>
      </c>
      <c r="G54" s="193" t="s">
        <v>48</v>
      </c>
      <c r="H54" s="194">
        <v>5</v>
      </c>
      <c r="I54" s="194" t="s">
        <v>1305</v>
      </c>
      <c r="J54" s="305">
        <f>K54*(1-Bolts!$E$1179)</f>
        <v>192.8</v>
      </c>
      <c r="K54" s="306">
        <v>192.8</v>
      </c>
      <c r="L54" s="168">
        <f t="shared" ref="L54:L57" si="8">SUM(M54:U54)</f>
        <v>0</v>
      </c>
      <c r="M54" s="211"/>
      <c r="N54" s="169"/>
      <c r="O54" s="170"/>
      <c r="P54" s="171"/>
      <c r="Q54" s="172"/>
      <c r="R54" s="173"/>
      <c r="S54" s="174"/>
      <c r="T54" s="175"/>
      <c r="U54" s="176"/>
      <c r="V54" s="168">
        <f t="shared" ref="V54:V57" si="9">L54*H54</f>
        <v>0</v>
      </c>
      <c r="W54" s="177">
        <f t="shared" ref="W54:W57" si="10">L54*K54</f>
        <v>0</v>
      </c>
      <c r="X54" s="178" t="s">
        <v>1306</v>
      </c>
      <c r="Y54" s="179">
        <f t="shared" ref="Y54:Y57" si="11">X54*L54</f>
        <v>0</v>
      </c>
      <c r="AA54" s="180"/>
      <c r="AD54" s="1"/>
      <c r="AE54" s="1"/>
      <c r="AF54" s="1"/>
      <c r="AG54" s="1"/>
    </row>
    <row r="55" spans="1:33" ht="15.75" customHeight="1">
      <c r="A55" s="87"/>
      <c r="B55" s="192" t="s">
        <v>1307</v>
      </c>
      <c r="C55" s="193" t="s">
        <v>58</v>
      </c>
      <c r="D55" s="193" t="s">
        <v>62</v>
      </c>
      <c r="E55" s="193" t="s">
        <v>121</v>
      </c>
      <c r="F55" s="193" t="s">
        <v>29</v>
      </c>
      <c r="G55" s="193" t="s">
        <v>47</v>
      </c>
      <c r="H55" s="194">
        <v>5</v>
      </c>
      <c r="I55" s="194" t="s">
        <v>1308</v>
      </c>
      <c r="J55" s="305">
        <f>K55*(1-Bolts!$E$1179)</f>
        <v>166.3</v>
      </c>
      <c r="K55" s="306">
        <v>166.3</v>
      </c>
      <c r="L55" s="168">
        <f t="shared" si="8"/>
        <v>0</v>
      </c>
      <c r="M55" s="211"/>
      <c r="N55" s="169"/>
      <c r="O55" s="170"/>
      <c r="P55" s="171"/>
      <c r="Q55" s="172"/>
      <c r="R55" s="173"/>
      <c r="S55" s="174"/>
      <c r="T55" s="175"/>
      <c r="U55" s="176"/>
      <c r="V55" s="168">
        <f t="shared" si="9"/>
        <v>0</v>
      </c>
      <c r="W55" s="177">
        <f t="shared" si="10"/>
        <v>0</v>
      </c>
      <c r="X55" s="178" t="s">
        <v>1309</v>
      </c>
      <c r="Y55" s="179">
        <f t="shared" si="11"/>
        <v>0</v>
      </c>
      <c r="AA55" s="180"/>
      <c r="AD55" s="1"/>
      <c r="AE55" s="1"/>
      <c r="AF55" s="1"/>
      <c r="AG55" s="1"/>
    </row>
    <row r="56" spans="1:33" ht="15.75" customHeight="1">
      <c r="A56" s="87"/>
      <c r="B56" s="164" t="s">
        <v>1310</v>
      </c>
      <c r="C56" s="165" t="s">
        <v>58</v>
      </c>
      <c r="D56" s="165" t="s">
        <v>62</v>
      </c>
      <c r="E56" s="165" t="s">
        <v>121</v>
      </c>
      <c r="F56" s="165" t="s">
        <v>35</v>
      </c>
      <c r="G56" s="165" t="s">
        <v>48</v>
      </c>
      <c r="H56" s="166">
        <v>5</v>
      </c>
      <c r="I56" s="166" t="s">
        <v>1311</v>
      </c>
      <c r="J56" s="305">
        <f>K56*(1-Bolts!$E$1179)</f>
        <v>218.4</v>
      </c>
      <c r="K56" s="306">
        <v>218.4</v>
      </c>
      <c r="L56" s="168">
        <f t="shared" si="8"/>
        <v>0</v>
      </c>
      <c r="M56" s="211"/>
      <c r="N56" s="169"/>
      <c r="O56" s="170"/>
      <c r="P56" s="171"/>
      <c r="Q56" s="172"/>
      <c r="R56" s="173"/>
      <c r="S56" s="174"/>
      <c r="T56" s="175"/>
      <c r="U56" s="176"/>
      <c r="V56" s="168">
        <f t="shared" si="9"/>
        <v>0</v>
      </c>
      <c r="W56" s="177">
        <f t="shared" si="10"/>
        <v>0</v>
      </c>
      <c r="X56" s="178">
        <v>10.28</v>
      </c>
      <c r="Y56" s="179">
        <f t="shared" si="11"/>
        <v>0</v>
      </c>
      <c r="AA56" s="180"/>
      <c r="AD56" s="1"/>
      <c r="AE56" s="1"/>
      <c r="AF56" s="1"/>
      <c r="AG56" s="1"/>
    </row>
    <row r="57" spans="1:33" ht="15.75" customHeight="1">
      <c r="A57" s="181"/>
      <c r="B57" s="302" t="s">
        <v>1312</v>
      </c>
      <c r="C57" s="303" t="s">
        <v>58</v>
      </c>
      <c r="D57" s="303" t="s">
        <v>62</v>
      </c>
      <c r="E57" s="303" t="s">
        <v>121</v>
      </c>
      <c r="F57" s="303" t="s">
        <v>37</v>
      </c>
      <c r="G57" s="303" t="s">
        <v>49</v>
      </c>
      <c r="H57" s="304">
        <v>3</v>
      </c>
      <c r="I57" s="304" t="s">
        <v>1313</v>
      </c>
      <c r="J57" s="305">
        <f>K57*(1-Bolts!$E$1179)</f>
        <v>288.7</v>
      </c>
      <c r="K57" s="306">
        <v>288.7</v>
      </c>
      <c r="L57" s="168">
        <f t="shared" si="8"/>
        <v>0</v>
      </c>
      <c r="M57" s="211"/>
      <c r="N57" s="169"/>
      <c r="O57" s="170"/>
      <c r="P57" s="171"/>
      <c r="Q57" s="172"/>
      <c r="R57" s="173"/>
      <c r="S57" s="174"/>
      <c r="T57" s="175"/>
      <c r="U57" s="176"/>
      <c r="V57" s="168">
        <f t="shared" si="9"/>
        <v>0</v>
      </c>
      <c r="W57" s="177">
        <f t="shared" si="10"/>
        <v>0</v>
      </c>
      <c r="X57" s="178">
        <v>11.3</v>
      </c>
      <c r="Y57" s="179">
        <f t="shared" si="11"/>
        <v>0</v>
      </c>
      <c r="AA57" s="180"/>
      <c r="AD57" s="1"/>
      <c r="AE57" s="1"/>
      <c r="AF57" s="1"/>
      <c r="AG57" s="1"/>
    </row>
    <row r="58" spans="1:33" ht="15.75" customHeight="1">
      <c r="A58" s="87"/>
      <c r="B58" s="185"/>
      <c r="C58" s="165"/>
      <c r="D58" s="165"/>
      <c r="E58" s="165"/>
      <c r="F58" s="165"/>
      <c r="G58" s="165"/>
      <c r="H58" s="166"/>
      <c r="I58" s="166"/>
      <c r="J58" s="307"/>
      <c r="K58" s="308"/>
      <c r="L58" s="186"/>
      <c r="M58" s="187"/>
      <c r="N58" s="187"/>
      <c r="O58" s="188"/>
      <c r="P58" s="187"/>
      <c r="Q58" s="187"/>
      <c r="R58" s="187"/>
      <c r="S58" s="187"/>
      <c r="T58" s="187"/>
      <c r="U58" s="188"/>
      <c r="V58" s="186"/>
      <c r="W58" s="189"/>
      <c r="X58" s="190"/>
      <c r="Y58" s="191"/>
      <c r="AA58" s="180"/>
      <c r="AD58" s="1"/>
      <c r="AE58" s="1"/>
      <c r="AF58" s="1"/>
      <c r="AG58" s="1"/>
    </row>
    <row r="59" spans="1:33" ht="15.75" customHeight="1">
      <c r="A59" s="87"/>
      <c r="B59" s="164" t="s">
        <v>1314</v>
      </c>
      <c r="C59" s="165" t="s">
        <v>58</v>
      </c>
      <c r="D59" s="165" t="s">
        <v>63</v>
      </c>
      <c r="E59" s="165" t="s">
        <v>121</v>
      </c>
      <c r="F59" s="165" t="s">
        <v>35</v>
      </c>
      <c r="G59" s="165" t="s">
        <v>48</v>
      </c>
      <c r="H59" s="166">
        <v>10</v>
      </c>
      <c r="I59" s="166" t="s">
        <v>1315</v>
      </c>
      <c r="J59" s="305">
        <f>K59*(1-Bolts!$E$1179)</f>
        <v>246.7</v>
      </c>
      <c r="K59" s="306">
        <v>246.7</v>
      </c>
      <c r="L59" s="168">
        <f>SUM(M59:U59)</f>
        <v>0</v>
      </c>
      <c r="M59" s="211"/>
      <c r="N59" s="169"/>
      <c r="O59" s="170"/>
      <c r="P59" s="171"/>
      <c r="Q59" s="172"/>
      <c r="R59" s="173"/>
      <c r="S59" s="174"/>
      <c r="T59" s="175"/>
      <c r="U59" s="176"/>
      <c r="V59" s="168">
        <f>L59*H59</f>
        <v>0</v>
      </c>
      <c r="W59" s="177">
        <f>L59*K59</f>
        <v>0</v>
      </c>
      <c r="X59" s="178">
        <v>11.16</v>
      </c>
      <c r="Y59" s="179">
        <f>X59*L59</f>
        <v>0</v>
      </c>
      <c r="AA59" s="180"/>
      <c r="AD59" s="1"/>
      <c r="AE59" s="1"/>
      <c r="AF59" s="1"/>
      <c r="AG59" s="1"/>
    </row>
    <row r="60" spans="1:33" ht="15.75" customHeight="1">
      <c r="A60" s="87"/>
      <c r="B60" s="185"/>
      <c r="C60" s="165"/>
      <c r="D60" s="165"/>
      <c r="E60" s="165"/>
      <c r="F60" s="165"/>
      <c r="G60" s="165"/>
      <c r="H60" s="166"/>
      <c r="I60" s="166"/>
      <c r="J60" s="307"/>
      <c r="K60" s="308"/>
      <c r="L60" s="186"/>
      <c r="M60" s="187"/>
      <c r="N60" s="187"/>
      <c r="O60" s="188"/>
      <c r="P60" s="187"/>
      <c r="Q60" s="187"/>
      <c r="R60" s="187"/>
      <c r="S60" s="187"/>
      <c r="T60" s="187"/>
      <c r="U60" s="188"/>
      <c r="V60" s="186"/>
      <c r="W60" s="189"/>
      <c r="X60" s="190"/>
      <c r="Y60" s="191"/>
      <c r="AA60" s="180"/>
      <c r="AD60" s="1"/>
      <c r="AE60" s="1"/>
      <c r="AF60" s="1"/>
      <c r="AG60" s="1"/>
    </row>
    <row r="61" spans="1:33" ht="15.75" customHeight="1">
      <c r="A61" s="87"/>
      <c r="B61" s="164" t="s">
        <v>1316</v>
      </c>
      <c r="C61" s="165" t="s">
        <v>58</v>
      </c>
      <c r="D61" s="165" t="s">
        <v>48</v>
      </c>
      <c r="E61" s="165" t="s">
        <v>121</v>
      </c>
      <c r="F61" s="165" t="s">
        <v>30</v>
      </c>
      <c r="G61" s="165" t="s">
        <v>47</v>
      </c>
      <c r="H61" s="166">
        <v>10</v>
      </c>
      <c r="I61" s="166" t="s">
        <v>1317</v>
      </c>
      <c r="J61" s="305">
        <f>K61*(1-Bolts!$E$1179)</f>
        <v>212</v>
      </c>
      <c r="K61" s="306">
        <v>212</v>
      </c>
      <c r="L61" s="168">
        <f t="shared" ref="L61:L62" si="12">SUM(M61:U61)</f>
        <v>0</v>
      </c>
      <c r="M61" s="211"/>
      <c r="N61" s="169"/>
      <c r="O61" s="170"/>
      <c r="P61" s="171"/>
      <c r="Q61" s="172"/>
      <c r="R61" s="173"/>
      <c r="S61" s="174"/>
      <c r="T61" s="175"/>
      <c r="U61" s="176"/>
      <c r="V61" s="168">
        <f t="shared" ref="V61:V62" si="13">L61*H61</f>
        <v>0</v>
      </c>
      <c r="W61" s="177">
        <f t="shared" ref="W61:W62" si="14">L61*K61</f>
        <v>0</v>
      </c>
      <c r="X61" s="178">
        <v>9.19</v>
      </c>
      <c r="Y61" s="179">
        <f t="shared" ref="Y61:Y62" si="15">X61*L61</f>
        <v>0</v>
      </c>
      <c r="AA61" s="180"/>
      <c r="AD61" s="1"/>
      <c r="AE61" s="1"/>
      <c r="AF61" s="1"/>
      <c r="AG61" s="1"/>
    </row>
    <row r="62" spans="1:33" ht="15.75" customHeight="1">
      <c r="A62" s="87"/>
      <c r="B62" s="164" t="s">
        <v>1318</v>
      </c>
      <c r="C62" s="165" t="s">
        <v>58</v>
      </c>
      <c r="D62" s="165" t="s">
        <v>48</v>
      </c>
      <c r="E62" s="165" t="s">
        <v>121</v>
      </c>
      <c r="F62" s="165" t="s">
        <v>35</v>
      </c>
      <c r="G62" s="165" t="s">
        <v>48</v>
      </c>
      <c r="H62" s="166">
        <v>10</v>
      </c>
      <c r="I62" s="166" t="s">
        <v>1319</v>
      </c>
      <c r="J62" s="305">
        <f>K62*(1-Bolts!$E$1179)</f>
        <v>168.1</v>
      </c>
      <c r="K62" s="306">
        <v>168.1</v>
      </c>
      <c r="L62" s="168">
        <f t="shared" si="12"/>
        <v>0</v>
      </c>
      <c r="M62" s="211"/>
      <c r="N62" s="169"/>
      <c r="O62" s="170"/>
      <c r="P62" s="171"/>
      <c r="Q62" s="172"/>
      <c r="R62" s="173"/>
      <c r="S62" s="174"/>
      <c r="T62" s="175"/>
      <c r="U62" s="176"/>
      <c r="V62" s="168">
        <f t="shared" si="13"/>
        <v>0</v>
      </c>
      <c r="W62" s="177">
        <f t="shared" si="14"/>
        <v>0</v>
      </c>
      <c r="X62" s="178">
        <v>6.7</v>
      </c>
      <c r="Y62" s="179">
        <f t="shared" si="15"/>
        <v>0</v>
      </c>
      <c r="AA62" s="180"/>
      <c r="AD62" s="1"/>
      <c r="AE62" s="1"/>
      <c r="AF62" s="1"/>
      <c r="AG62" s="1"/>
    </row>
    <row r="63" spans="1:33" ht="15.75" customHeight="1">
      <c r="A63" s="87"/>
      <c r="B63" s="185"/>
      <c r="C63" s="165"/>
      <c r="D63" s="165"/>
      <c r="E63" s="165"/>
      <c r="F63" s="165"/>
      <c r="G63" s="165"/>
      <c r="H63" s="166"/>
      <c r="I63" s="166"/>
      <c r="J63" s="307"/>
      <c r="K63" s="308"/>
      <c r="L63" s="186"/>
      <c r="M63" s="187"/>
      <c r="N63" s="187"/>
      <c r="O63" s="188"/>
      <c r="P63" s="187"/>
      <c r="Q63" s="187"/>
      <c r="R63" s="187"/>
      <c r="S63" s="187"/>
      <c r="T63" s="187"/>
      <c r="U63" s="188"/>
      <c r="V63" s="186"/>
      <c r="W63" s="189"/>
      <c r="X63" s="190"/>
      <c r="Y63" s="191"/>
      <c r="AA63" s="180"/>
      <c r="AD63" s="1"/>
      <c r="AE63" s="1"/>
      <c r="AF63" s="1"/>
      <c r="AG63" s="1"/>
    </row>
    <row r="64" spans="1:33" ht="15.75" customHeight="1">
      <c r="A64" s="87"/>
      <c r="B64" s="164" t="s">
        <v>1320</v>
      </c>
      <c r="C64" s="165" t="s">
        <v>58</v>
      </c>
      <c r="D64" s="165" t="s">
        <v>64</v>
      </c>
      <c r="E64" s="165" t="s">
        <v>121</v>
      </c>
      <c r="F64" s="165" t="s">
        <v>35</v>
      </c>
      <c r="G64" s="165" t="s">
        <v>49</v>
      </c>
      <c r="H64" s="166">
        <v>10</v>
      </c>
      <c r="I64" s="166" t="s">
        <v>1321</v>
      </c>
      <c r="J64" s="305">
        <f>K64*(1-Bolts!$E$1179)</f>
        <v>107.9</v>
      </c>
      <c r="K64" s="306">
        <v>107.9</v>
      </c>
      <c r="L64" s="168">
        <f t="shared" ref="L64:L67" si="16">SUM(M64:U64)</f>
        <v>0</v>
      </c>
      <c r="M64" s="211"/>
      <c r="N64" s="169"/>
      <c r="O64" s="170"/>
      <c r="P64" s="171"/>
      <c r="Q64" s="172"/>
      <c r="R64" s="173"/>
      <c r="S64" s="174"/>
      <c r="T64" s="175"/>
      <c r="U64" s="176"/>
      <c r="V64" s="168">
        <f t="shared" ref="V64:V67" si="17">L64*H64</f>
        <v>0</v>
      </c>
      <c r="W64" s="177">
        <f t="shared" ref="W64:W67" si="18">L64*K64</f>
        <v>0</v>
      </c>
      <c r="X64" s="178">
        <v>3.28</v>
      </c>
      <c r="Y64" s="179">
        <f t="shared" ref="Y64:Y67" si="19">X64*L64</f>
        <v>0</v>
      </c>
      <c r="AA64" s="180"/>
      <c r="AD64" s="1"/>
      <c r="AE64" s="1"/>
      <c r="AF64" s="1"/>
      <c r="AG64" s="1"/>
    </row>
    <row r="65" spans="1:33" ht="15.75" customHeight="1">
      <c r="A65" s="87"/>
      <c r="B65" s="164" t="s">
        <v>1322</v>
      </c>
      <c r="C65" s="165" t="s">
        <v>58</v>
      </c>
      <c r="D65" s="165" t="s">
        <v>64</v>
      </c>
      <c r="E65" s="165" t="s">
        <v>121</v>
      </c>
      <c r="F65" s="165" t="s">
        <v>30</v>
      </c>
      <c r="G65" s="165" t="s">
        <v>47</v>
      </c>
      <c r="H65" s="166">
        <v>10</v>
      </c>
      <c r="I65" s="166" t="s">
        <v>1323</v>
      </c>
      <c r="J65" s="305">
        <f>K65*(1-Bolts!$E$1179)</f>
        <v>123.1</v>
      </c>
      <c r="K65" s="306">
        <v>123.1</v>
      </c>
      <c r="L65" s="168">
        <f t="shared" si="16"/>
        <v>0</v>
      </c>
      <c r="M65" s="211"/>
      <c r="N65" s="169"/>
      <c r="O65" s="170"/>
      <c r="P65" s="171"/>
      <c r="Q65" s="172"/>
      <c r="R65" s="173"/>
      <c r="S65" s="174"/>
      <c r="T65" s="175"/>
      <c r="U65" s="176"/>
      <c r="V65" s="168">
        <f t="shared" si="17"/>
        <v>0</v>
      </c>
      <c r="W65" s="177">
        <f t="shared" si="18"/>
        <v>0</v>
      </c>
      <c r="X65" s="178">
        <v>4.1399999999999997</v>
      </c>
      <c r="Y65" s="179">
        <f t="shared" si="19"/>
        <v>0</v>
      </c>
      <c r="AA65" s="180"/>
      <c r="AD65" s="1"/>
      <c r="AE65" s="1"/>
      <c r="AF65" s="1"/>
      <c r="AG65" s="1"/>
    </row>
    <row r="66" spans="1:33" ht="15.75" customHeight="1">
      <c r="A66" s="87"/>
      <c r="B66" s="164" t="s">
        <v>1324</v>
      </c>
      <c r="C66" s="165" t="s">
        <v>58</v>
      </c>
      <c r="D66" s="165" t="s">
        <v>64</v>
      </c>
      <c r="E66" s="165" t="s">
        <v>121</v>
      </c>
      <c r="F66" s="165" t="s">
        <v>30</v>
      </c>
      <c r="G66" s="165" t="s">
        <v>47</v>
      </c>
      <c r="H66" s="166">
        <v>10</v>
      </c>
      <c r="I66" s="166" t="s">
        <v>1325</v>
      </c>
      <c r="J66" s="305">
        <f>K66*(1-Bolts!$E$1179)</f>
        <v>155</v>
      </c>
      <c r="K66" s="306">
        <v>155</v>
      </c>
      <c r="L66" s="168">
        <f t="shared" si="16"/>
        <v>0</v>
      </c>
      <c r="M66" s="211"/>
      <c r="N66" s="169"/>
      <c r="O66" s="170"/>
      <c r="P66" s="171"/>
      <c r="Q66" s="172"/>
      <c r="R66" s="173"/>
      <c r="S66" s="174"/>
      <c r="T66" s="175"/>
      <c r="U66" s="176"/>
      <c r="V66" s="168">
        <f t="shared" si="17"/>
        <v>0</v>
      </c>
      <c r="W66" s="177">
        <f t="shared" si="18"/>
        <v>0</v>
      </c>
      <c r="X66" s="178">
        <v>5.95</v>
      </c>
      <c r="Y66" s="179">
        <f t="shared" si="19"/>
        <v>0</v>
      </c>
      <c r="AA66" s="180"/>
      <c r="AD66" s="1"/>
      <c r="AE66" s="1"/>
      <c r="AF66" s="1"/>
      <c r="AG66" s="1"/>
    </row>
    <row r="67" spans="1:33" ht="15.75" customHeight="1">
      <c r="A67" s="87"/>
      <c r="B67" s="164" t="s">
        <v>1326</v>
      </c>
      <c r="C67" s="165" t="s">
        <v>58</v>
      </c>
      <c r="D67" s="165" t="s">
        <v>64</v>
      </c>
      <c r="E67" s="165" t="s">
        <v>121</v>
      </c>
      <c r="F67" s="165" t="s">
        <v>30</v>
      </c>
      <c r="G67" s="165" t="s">
        <v>47</v>
      </c>
      <c r="H67" s="166">
        <v>10</v>
      </c>
      <c r="I67" s="166" t="s">
        <v>1327</v>
      </c>
      <c r="J67" s="305">
        <f>K67*(1-Bolts!$E$1179)</f>
        <v>157.4</v>
      </c>
      <c r="K67" s="306">
        <v>157.4</v>
      </c>
      <c r="L67" s="168">
        <f t="shared" si="16"/>
        <v>0</v>
      </c>
      <c r="M67" s="211"/>
      <c r="N67" s="169"/>
      <c r="O67" s="170"/>
      <c r="P67" s="171"/>
      <c r="Q67" s="172"/>
      <c r="R67" s="173"/>
      <c r="S67" s="174"/>
      <c r="T67" s="175"/>
      <c r="U67" s="176"/>
      <c r="V67" s="168">
        <f t="shared" si="17"/>
        <v>0</v>
      </c>
      <c r="W67" s="177">
        <f t="shared" si="18"/>
        <v>0</v>
      </c>
      <c r="X67" s="178">
        <v>6.09</v>
      </c>
      <c r="Y67" s="179">
        <f t="shared" si="19"/>
        <v>0</v>
      </c>
      <c r="AA67" s="180"/>
      <c r="AD67" s="1"/>
      <c r="AE67" s="1"/>
      <c r="AF67" s="1"/>
      <c r="AG67" s="1"/>
    </row>
    <row r="68" spans="1:33" ht="15.75" customHeight="1">
      <c r="A68" s="87"/>
      <c r="B68" s="185"/>
      <c r="C68" s="165"/>
      <c r="D68" s="165"/>
      <c r="E68" s="165"/>
      <c r="F68" s="165"/>
      <c r="G68" s="165"/>
      <c r="H68" s="166"/>
      <c r="I68" s="166"/>
      <c r="J68" s="307"/>
      <c r="K68" s="308"/>
      <c r="L68" s="186"/>
      <c r="M68" s="187"/>
      <c r="N68" s="187"/>
      <c r="O68" s="188"/>
      <c r="P68" s="187"/>
      <c r="Q68" s="187"/>
      <c r="R68" s="187"/>
      <c r="S68" s="187"/>
      <c r="T68" s="187"/>
      <c r="U68" s="188"/>
      <c r="V68" s="186"/>
      <c r="W68" s="189"/>
      <c r="X68" s="190"/>
      <c r="Y68" s="191"/>
      <c r="AA68" s="180"/>
      <c r="AD68" s="1"/>
      <c r="AE68" s="1"/>
      <c r="AF68" s="1"/>
      <c r="AG68" s="1"/>
    </row>
    <row r="69" spans="1:33" ht="15.75" customHeight="1">
      <c r="A69" s="87"/>
      <c r="B69" s="164" t="s">
        <v>1328</v>
      </c>
      <c r="C69" s="165" t="s">
        <v>58</v>
      </c>
      <c r="D69" s="165" t="s">
        <v>65</v>
      </c>
      <c r="E69" s="165" t="s">
        <v>121</v>
      </c>
      <c r="F69" s="165" t="s">
        <v>39</v>
      </c>
      <c r="G69" s="165" t="s">
        <v>48</v>
      </c>
      <c r="H69" s="166">
        <v>20</v>
      </c>
      <c r="I69" s="166" t="s">
        <v>1329</v>
      </c>
      <c r="J69" s="305">
        <f>K69*(1-Bolts!$E$1179)</f>
        <v>136.6</v>
      </c>
      <c r="K69" s="306">
        <v>136.6</v>
      </c>
      <c r="L69" s="168">
        <f t="shared" ref="L69:L70" si="20">SUM(M69:U69)</f>
        <v>0</v>
      </c>
      <c r="M69" s="211"/>
      <c r="N69" s="169"/>
      <c r="O69" s="170"/>
      <c r="P69" s="171"/>
      <c r="Q69" s="172"/>
      <c r="R69" s="173"/>
      <c r="S69" s="174"/>
      <c r="T69" s="175"/>
      <c r="U69" s="176"/>
      <c r="V69" s="168">
        <f t="shared" ref="V69:V70" si="21">L69*H69</f>
        <v>0</v>
      </c>
      <c r="W69" s="177">
        <f t="shared" ref="W69:W70" si="22">L69*K69</f>
        <v>0</v>
      </c>
      <c r="X69" s="178">
        <v>3.45</v>
      </c>
      <c r="Y69" s="179">
        <f t="shared" ref="Y69:Y70" si="23">X69*L69</f>
        <v>0</v>
      </c>
      <c r="AA69" s="212"/>
      <c r="AD69" s="1"/>
      <c r="AE69" s="1"/>
      <c r="AF69" s="1"/>
      <c r="AG69" s="1"/>
    </row>
    <row r="70" spans="1:33" ht="15.75" customHeight="1">
      <c r="A70" s="181"/>
      <c r="B70" s="302" t="s">
        <v>1330</v>
      </c>
      <c r="C70" s="303" t="s">
        <v>58</v>
      </c>
      <c r="D70" s="303" t="s">
        <v>65</v>
      </c>
      <c r="E70" s="303" t="s">
        <v>121</v>
      </c>
      <c r="F70" s="303" t="s">
        <v>39</v>
      </c>
      <c r="G70" s="303" t="s">
        <v>47</v>
      </c>
      <c r="H70" s="304">
        <v>10</v>
      </c>
      <c r="I70" s="304" t="s">
        <v>1331</v>
      </c>
      <c r="J70" s="305">
        <f>K70*(1-Bolts!$E$1179)</f>
        <v>104.9</v>
      </c>
      <c r="K70" s="306">
        <v>104.9</v>
      </c>
      <c r="L70" s="168">
        <f t="shared" si="20"/>
        <v>0</v>
      </c>
      <c r="M70" s="211"/>
      <c r="N70" s="169"/>
      <c r="O70" s="170"/>
      <c r="P70" s="171"/>
      <c r="Q70" s="172"/>
      <c r="R70" s="173"/>
      <c r="S70" s="174"/>
      <c r="T70" s="175"/>
      <c r="U70" s="176"/>
      <c r="V70" s="168">
        <f t="shared" si="21"/>
        <v>0</v>
      </c>
      <c r="W70" s="177">
        <f t="shared" si="22"/>
        <v>0</v>
      </c>
      <c r="X70" s="178">
        <v>2.6</v>
      </c>
      <c r="Y70" s="179">
        <f t="shared" si="23"/>
        <v>0</v>
      </c>
      <c r="AA70" s="180"/>
      <c r="AD70" s="1"/>
      <c r="AE70" s="1"/>
      <c r="AF70" s="1"/>
      <c r="AG70" s="1"/>
    </row>
    <row r="71" spans="1:33" ht="15.75" customHeight="1">
      <c r="A71" s="139" t="s">
        <v>1332</v>
      </c>
      <c r="B71" s="326" t="s">
        <v>1333</v>
      </c>
      <c r="C71" s="142"/>
      <c r="D71" s="142"/>
      <c r="E71" s="142" t="s">
        <v>121</v>
      </c>
      <c r="F71" s="142"/>
      <c r="G71" s="142"/>
      <c r="H71" s="142"/>
      <c r="I71" s="142"/>
      <c r="J71" s="327"/>
      <c r="K71" s="308"/>
      <c r="L71" s="142"/>
      <c r="M71" s="142"/>
      <c r="N71" s="142"/>
      <c r="O71" s="142"/>
      <c r="P71" s="142"/>
      <c r="Q71" s="142"/>
      <c r="R71" s="142"/>
      <c r="S71" s="142"/>
      <c r="T71" s="142"/>
      <c r="U71" s="142"/>
      <c r="V71" s="142"/>
      <c r="W71" s="142"/>
      <c r="X71" s="142"/>
      <c r="Y71" s="217"/>
      <c r="AA71" s="180"/>
      <c r="AD71" s="1"/>
      <c r="AE71" s="1"/>
      <c r="AF71" s="1"/>
      <c r="AG71" s="1"/>
    </row>
    <row r="72" spans="1:33" ht="15.75" customHeight="1">
      <c r="A72" s="181"/>
      <c r="B72" s="182" t="s">
        <v>1334</v>
      </c>
      <c r="C72" s="183" t="s">
        <v>56</v>
      </c>
      <c r="D72" s="183" t="s">
        <v>60</v>
      </c>
      <c r="E72" s="183" t="s">
        <v>121</v>
      </c>
      <c r="F72" s="183" t="s">
        <v>28</v>
      </c>
      <c r="G72" s="183" t="s">
        <v>47</v>
      </c>
      <c r="H72" s="184">
        <v>1</v>
      </c>
      <c r="I72" s="184" t="s">
        <v>1335</v>
      </c>
      <c r="J72" s="305">
        <f>K72*(1-Bolts!$E$1179)</f>
        <v>289.39999999999998</v>
      </c>
      <c r="K72" s="306">
        <v>289.39999999999998</v>
      </c>
      <c r="L72" s="168">
        <f>SUM(M72:U72)</f>
        <v>0</v>
      </c>
      <c r="M72" s="211"/>
      <c r="N72" s="169"/>
      <c r="O72" s="170"/>
      <c r="P72" s="171"/>
      <c r="Q72" s="172"/>
      <c r="R72" s="173"/>
      <c r="S72" s="174"/>
      <c r="T72" s="175"/>
      <c r="U72" s="176"/>
      <c r="V72" s="168">
        <f>L72*H72</f>
        <v>0</v>
      </c>
      <c r="W72" s="177">
        <f>L72*K72</f>
        <v>0</v>
      </c>
      <c r="X72" s="178">
        <v>12.9</v>
      </c>
      <c r="Y72" s="179">
        <f>X72*L72</f>
        <v>0</v>
      </c>
      <c r="AA72" s="180"/>
      <c r="AD72" s="1"/>
      <c r="AE72" s="1"/>
      <c r="AF72" s="1"/>
      <c r="AG72" s="1"/>
    </row>
    <row r="73" spans="1:33" ht="15.75" customHeight="1">
      <c r="A73" s="87"/>
      <c r="B73" s="185"/>
      <c r="C73" s="165"/>
      <c r="D73" s="165"/>
      <c r="E73" s="165"/>
      <c r="F73" s="165"/>
      <c r="G73" s="165"/>
      <c r="H73" s="166"/>
      <c r="I73" s="166"/>
      <c r="J73" s="307"/>
      <c r="K73" s="308"/>
      <c r="L73" s="186"/>
      <c r="M73" s="187"/>
      <c r="N73" s="187"/>
      <c r="O73" s="188"/>
      <c r="P73" s="187"/>
      <c r="Q73" s="187"/>
      <c r="R73" s="187"/>
      <c r="S73" s="187"/>
      <c r="T73" s="187"/>
      <c r="U73" s="188"/>
      <c r="V73" s="186"/>
      <c r="W73" s="189"/>
      <c r="X73" s="190"/>
      <c r="Y73" s="191"/>
      <c r="AA73" s="180"/>
      <c r="AD73" s="1"/>
      <c r="AE73" s="1"/>
      <c r="AF73" s="1"/>
      <c r="AG73" s="1"/>
    </row>
    <row r="74" spans="1:33" ht="15.75" customHeight="1">
      <c r="A74" s="328" t="s">
        <v>1336</v>
      </c>
      <c r="B74" s="182" t="s">
        <v>1337</v>
      </c>
      <c r="C74" s="183" t="s">
        <v>56</v>
      </c>
      <c r="D74" s="183" t="s">
        <v>60</v>
      </c>
      <c r="E74" s="183" t="s">
        <v>121</v>
      </c>
      <c r="F74" s="183" t="s">
        <v>28</v>
      </c>
      <c r="G74" s="183" t="s">
        <v>47</v>
      </c>
      <c r="H74" s="184">
        <v>3</v>
      </c>
      <c r="I74" s="184" t="s">
        <v>1338</v>
      </c>
      <c r="J74" s="305">
        <f>K74*(1-Bolts!$E$1179)</f>
        <v>423</v>
      </c>
      <c r="K74" s="306">
        <v>423</v>
      </c>
      <c r="L74" s="168">
        <f>SUM(M74:U74)</f>
        <v>0</v>
      </c>
      <c r="M74" s="211"/>
      <c r="N74" s="169"/>
      <c r="O74" s="170"/>
      <c r="P74" s="171"/>
      <c r="Q74" s="172"/>
      <c r="R74" s="173"/>
      <c r="S74" s="174"/>
      <c r="T74" s="175"/>
      <c r="U74" s="176"/>
      <c r="V74" s="168">
        <f>L74*H74</f>
        <v>0</v>
      </c>
      <c r="W74" s="177">
        <f>L74*K74</f>
        <v>0</v>
      </c>
      <c r="X74" s="178">
        <v>23.55</v>
      </c>
      <c r="Y74" s="179">
        <f>X74*L74</f>
        <v>0</v>
      </c>
      <c r="AA74" s="180"/>
      <c r="AD74" s="1"/>
      <c r="AE74" s="1"/>
      <c r="AF74" s="1"/>
      <c r="AG74" s="1"/>
    </row>
    <row r="75" spans="1:33" ht="15.75" customHeight="1">
      <c r="A75" s="87"/>
      <c r="B75" s="185"/>
      <c r="C75" s="165"/>
      <c r="D75" s="165"/>
      <c r="E75" s="165"/>
      <c r="F75" s="165"/>
      <c r="G75" s="165"/>
      <c r="H75" s="166"/>
      <c r="I75" s="166"/>
      <c r="J75" s="307"/>
      <c r="K75" s="308"/>
      <c r="L75" s="186"/>
      <c r="M75" s="187"/>
      <c r="N75" s="187"/>
      <c r="O75" s="188"/>
      <c r="P75" s="187"/>
      <c r="Q75" s="187"/>
      <c r="R75" s="187"/>
      <c r="S75" s="187"/>
      <c r="T75" s="187"/>
      <c r="U75" s="188"/>
      <c r="V75" s="186"/>
      <c r="W75" s="189"/>
      <c r="X75" s="190"/>
      <c r="Y75" s="191"/>
      <c r="AA75" s="180"/>
      <c r="AD75" s="1"/>
      <c r="AE75" s="1"/>
      <c r="AF75" s="1"/>
      <c r="AG75" s="1"/>
    </row>
    <row r="76" spans="1:33" ht="15.75" customHeight="1">
      <c r="A76" s="181"/>
      <c r="B76" s="192" t="s">
        <v>1339</v>
      </c>
      <c r="C76" s="193" t="s">
        <v>56</v>
      </c>
      <c r="D76" s="193" t="s">
        <v>61</v>
      </c>
      <c r="E76" s="193" t="s">
        <v>121</v>
      </c>
      <c r="F76" s="193" t="s">
        <v>29</v>
      </c>
      <c r="G76" s="193" t="s">
        <v>47</v>
      </c>
      <c r="H76" s="194">
        <v>1</v>
      </c>
      <c r="I76" s="194" t="s">
        <v>1340</v>
      </c>
      <c r="J76" s="305">
        <f>K76*(1-Bolts!$E$1179)</f>
        <v>108.9</v>
      </c>
      <c r="K76" s="306">
        <v>108.9</v>
      </c>
      <c r="L76" s="168">
        <f t="shared" ref="L76:L80" si="24">SUM(M76:U76)</f>
        <v>0</v>
      </c>
      <c r="M76" s="211"/>
      <c r="N76" s="169"/>
      <c r="O76" s="170"/>
      <c r="P76" s="171"/>
      <c r="Q76" s="172"/>
      <c r="R76" s="173"/>
      <c r="S76" s="174"/>
      <c r="T76" s="175"/>
      <c r="U76" s="176"/>
      <c r="V76" s="168">
        <f t="shared" ref="V76:V80" si="25">L76*H76</f>
        <v>0</v>
      </c>
      <c r="W76" s="177">
        <f t="shared" ref="W76:W80" si="26">L76*K76</f>
        <v>0</v>
      </c>
      <c r="X76" s="178" t="s">
        <v>1341</v>
      </c>
      <c r="Y76" s="179">
        <f t="shared" ref="Y76:Y80" si="27">X76*L76</f>
        <v>0</v>
      </c>
      <c r="AA76" s="180"/>
      <c r="AD76" s="1"/>
      <c r="AE76" s="1"/>
      <c r="AF76" s="1"/>
      <c r="AG76" s="1"/>
    </row>
    <row r="77" spans="1:33" ht="15.75" customHeight="1">
      <c r="A77" s="181"/>
      <c r="B77" s="182" t="s">
        <v>1342</v>
      </c>
      <c r="C77" s="183" t="s">
        <v>56</v>
      </c>
      <c r="D77" s="183" t="s">
        <v>61</v>
      </c>
      <c r="E77" s="183" t="s">
        <v>121</v>
      </c>
      <c r="F77" s="183" t="s">
        <v>29</v>
      </c>
      <c r="G77" s="183" t="s">
        <v>47</v>
      </c>
      <c r="H77" s="184">
        <v>2</v>
      </c>
      <c r="I77" s="184" t="s">
        <v>1343</v>
      </c>
      <c r="J77" s="305">
        <f>K77*(1-Bolts!$E$1179)</f>
        <v>265.8</v>
      </c>
      <c r="K77" s="306">
        <v>265.8</v>
      </c>
      <c r="L77" s="168">
        <f t="shared" si="24"/>
        <v>0</v>
      </c>
      <c r="M77" s="211"/>
      <c r="N77" s="169"/>
      <c r="O77" s="170"/>
      <c r="P77" s="171"/>
      <c r="Q77" s="172"/>
      <c r="R77" s="173"/>
      <c r="S77" s="174"/>
      <c r="T77" s="175"/>
      <c r="U77" s="176"/>
      <c r="V77" s="168">
        <f t="shared" si="25"/>
        <v>0</v>
      </c>
      <c r="W77" s="177">
        <f t="shared" si="26"/>
        <v>0</v>
      </c>
      <c r="X77" s="178">
        <v>11.45</v>
      </c>
      <c r="Y77" s="179">
        <f t="shared" si="27"/>
        <v>0</v>
      </c>
      <c r="AA77" s="180"/>
      <c r="AD77" s="1"/>
      <c r="AE77" s="1"/>
      <c r="AF77" s="1"/>
      <c r="AG77" s="1"/>
    </row>
    <row r="78" spans="1:33" ht="15.75" customHeight="1">
      <c r="A78" s="181" t="s">
        <v>769</v>
      </c>
      <c r="B78" s="245" t="s">
        <v>1344</v>
      </c>
      <c r="C78" s="183" t="s">
        <v>56</v>
      </c>
      <c r="D78" s="183" t="s">
        <v>61</v>
      </c>
      <c r="E78" s="183" t="s">
        <v>121</v>
      </c>
      <c r="F78" s="183" t="s">
        <v>29</v>
      </c>
      <c r="G78" s="183" t="s">
        <v>47</v>
      </c>
      <c r="H78" s="184">
        <v>2</v>
      </c>
      <c r="I78" s="184" t="s">
        <v>1345</v>
      </c>
      <c r="J78" s="305">
        <f>K78*(1-Bolts!$E$1179)</f>
        <v>252</v>
      </c>
      <c r="K78" s="306">
        <v>252</v>
      </c>
      <c r="L78" s="168">
        <f t="shared" si="24"/>
        <v>0</v>
      </c>
      <c r="M78" s="211"/>
      <c r="N78" s="169"/>
      <c r="O78" s="170"/>
      <c r="P78" s="171"/>
      <c r="Q78" s="172"/>
      <c r="R78" s="173"/>
      <c r="S78" s="174"/>
      <c r="T78" s="175"/>
      <c r="U78" s="176"/>
      <c r="V78" s="168">
        <f t="shared" si="25"/>
        <v>0</v>
      </c>
      <c r="W78" s="177">
        <f t="shared" si="26"/>
        <v>0</v>
      </c>
      <c r="X78" s="178">
        <v>9.15</v>
      </c>
      <c r="Y78" s="179">
        <f t="shared" si="27"/>
        <v>0</v>
      </c>
      <c r="AA78" s="180"/>
      <c r="AD78" s="1"/>
      <c r="AE78" s="1"/>
      <c r="AF78" s="1"/>
      <c r="AG78" s="1"/>
    </row>
    <row r="79" spans="1:33" ht="15.75" customHeight="1">
      <c r="A79" s="181" t="s">
        <v>769</v>
      </c>
      <c r="B79" s="245" t="s">
        <v>1346</v>
      </c>
      <c r="C79" s="183" t="s">
        <v>56</v>
      </c>
      <c r="D79" s="183" t="s">
        <v>61</v>
      </c>
      <c r="E79" s="183" t="s">
        <v>121</v>
      </c>
      <c r="F79" s="183" t="s">
        <v>35</v>
      </c>
      <c r="G79" s="183" t="s">
        <v>48</v>
      </c>
      <c r="H79" s="184">
        <v>3</v>
      </c>
      <c r="I79" s="184" t="s">
        <v>1347</v>
      </c>
      <c r="J79" s="305">
        <f>K79*(1-Bolts!$E$1179)</f>
        <v>363.2</v>
      </c>
      <c r="K79" s="306">
        <v>363.2</v>
      </c>
      <c r="L79" s="168">
        <f t="shared" si="24"/>
        <v>0</v>
      </c>
      <c r="M79" s="211"/>
      <c r="N79" s="169"/>
      <c r="O79" s="170"/>
      <c r="P79" s="171"/>
      <c r="Q79" s="172"/>
      <c r="R79" s="173"/>
      <c r="S79" s="174"/>
      <c r="T79" s="175"/>
      <c r="U79" s="176"/>
      <c r="V79" s="168">
        <f t="shared" si="25"/>
        <v>0</v>
      </c>
      <c r="W79" s="177">
        <f t="shared" si="26"/>
        <v>0</v>
      </c>
      <c r="X79" s="178">
        <v>15.3</v>
      </c>
      <c r="Y79" s="179">
        <f t="shared" si="27"/>
        <v>0</v>
      </c>
      <c r="AA79" s="180"/>
      <c r="AD79" s="1"/>
      <c r="AE79" s="1"/>
      <c r="AF79" s="1"/>
      <c r="AG79" s="1"/>
    </row>
    <row r="80" spans="1:33" ht="15.75" customHeight="1">
      <c r="A80" s="181"/>
      <c r="B80" s="329" t="s">
        <v>1348</v>
      </c>
      <c r="C80" s="330" t="s">
        <v>56</v>
      </c>
      <c r="D80" s="330" t="s">
        <v>61</v>
      </c>
      <c r="E80" s="330" t="s">
        <v>121</v>
      </c>
      <c r="F80" s="330" t="s">
        <v>29</v>
      </c>
      <c r="G80" s="330" t="s">
        <v>47</v>
      </c>
      <c r="H80" s="331">
        <v>1</v>
      </c>
      <c r="I80" s="331" t="s">
        <v>1349</v>
      </c>
      <c r="J80" s="305">
        <f>K80*(1-Bolts!$E$1179)</f>
        <v>179.6</v>
      </c>
      <c r="K80" s="306">
        <v>179.6</v>
      </c>
      <c r="L80" s="168">
        <f t="shared" si="24"/>
        <v>0</v>
      </c>
      <c r="M80" s="211"/>
      <c r="N80" s="169"/>
      <c r="O80" s="170"/>
      <c r="P80" s="171"/>
      <c r="Q80" s="172"/>
      <c r="R80" s="173"/>
      <c r="S80" s="174"/>
      <c r="T80" s="175"/>
      <c r="U80" s="176"/>
      <c r="V80" s="168">
        <f t="shared" si="25"/>
        <v>0</v>
      </c>
      <c r="W80" s="177">
        <f t="shared" si="26"/>
        <v>0</v>
      </c>
      <c r="X80" s="178">
        <v>7.35</v>
      </c>
      <c r="Y80" s="179">
        <f t="shared" si="27"/>
        <v>0</v>
      </c>
      <c r="AA80" s="180"/>
      <c r="AD80" s="1"/>
      <c r="AE80" s="1"/>
      <c r="AF80" s="1"/>
      <c r="AG80" s="1"/>
    </row>
    <row r="81" spans="1:33" ht="15.75" customHeight="1">
      <c r="A81" s="87"/>
      <c r="B81" s="185"/>
      <c r="C81" s="165"/>
      <c r="D81" s="165"/>
      <c r="E81" s="165"/>
      <c r="F81" s="165"/>
      <c r="G81" s="165"/>
      <c r="H81" s="166"/>
      <c r="I81" s="166"/>
      <c r="J81" s="307"/>
      <c r="K81" s="308"/>
      <c r="L81" s="186"/>
      <c r="M81" s="187"/>
      <c r="N81" s="187"/>
      <c r="O81" s="188"/>
      <c r="P81" s="187"/>
      <c r="Q81" s="187"/>
      <c r="R81" s="187"/>
      <c r="S81" s="187"/>
      <c r="T81" s="187"/>
      <c r="U81" s="188"/>
      <c r="V81" s="186"/>
      <c r="W81" s="189"/>
      <c r="X81" s="190"/>
      <c r="Y81" s="191"/>
      <c r="AA81" s="180"/>
      <c r="AD81" s="1"/>
      <c r="AE81" s="1"/>
      <c r="AF81" s="1"/>
      <c r="AG81" s="1"/>
    </row>
    <row r="82" spans="1:33" ht="15.75" customHeight="1">
      <c r="A82" s="87"/>
      <c r="B82" s="192" t="s">
        <v>1350</v>
      </c>
      <c r="C82" s="193" t="s">
        <v>56</v>
      </c>
      <c r="D82" s="193" t="s">
        <v>62</v>
      </c>
      <c r="E82" s="193" t="s">
        <v>121</v>
      </c>
      <c r="F82" s="193" t="s">
        <v>37</v>
      </c>
      <c r="G82" s="193" t="s">
        <v>49</v>
      </c>
      <c r="H82" s="194">
        <v>3</v>
      </c>
      <c r="I82" s="194" t="s">
        <v>1351</v>
      </c>
      <c r="J82" s="305">
        <f>K82*(1-Bolts!$E$1179)</f>
        <v>132.5</v>
      </c>
      <c r="K82" s="306">
        <v>132.5</v>
      </c>
      <c r="L82" s="168">
        <f t="shared" ref="L82:L90" si="28">SUM(M82:U82)</f>
        <v>0</v>
      </c>
      <c r="M82" s="211"/>
      <c r="N82" s="169"/>
      <c r="O82" s="170"/>
      <c r="P82" s="171"/>
      <c r="Q82" s="172"/>
      <c r="R82" s="173"/>
      <c r="S82" s="174"/>
      <c r="T82" s="175"/>
      <c r="U82" s="176"/>
      <c r="V82" s="168">
        <f t="shared" ref="V82:V90" si="29">L82*H82</f>
        <v>0</v>
      </c>
      <c r="W82" s="177">
        <f t="shared" ref="W82:W90" si="30">L82*K82</f>
        <v>0</v>
      </c>
      <c r="X82" s="178" t="s">
        <v>1352</v>
      </c>
      <c r="Y82" s="179">
        <f t="shared" ref="Y82:Y90" si="31">X82*L82</f>
        <v>0</v>
      </c>
      <c r="AA82" s="180"/>
      <c r="AD82" s="1"/>
      <c r="AE82" s="1"/>
      <c r="AF82" s="1"/>
      <c r="AG82" s="1"/>
    </row>
    <row r="83" spans="1:33" ht="15.75" customHeight="1">
      <c r="A83" s="87"/>
      <c r="B83" s="192" t="s">
        <v>1353</v>
      </c>
      <c r="C83" s="193" t="s">
        <v>56</v>
      </c>
      <c r="D83" s="193" t="s">
        <v>62</v>
      </c>
      <c r="E83" s="193" t="s">
        <v>121</v>
      </c>
      <c r="F83" s="193" t="s">
        <v>29</v>
      </c>
      <c r="G83" s="193" t="s">
        <v>47</v>
      </c>
      <c r="H83" s="194">
        <v>5</v>
      </c>
      <c r="I83" s="194" t="s">
        <v>1354</v>
      </c>
      <c r="J83" s="305">
        <f>K83*(1-Bolts!$E$1179)</f>
        <v>154.5</v>
      </c>
      <c r="K83" s="306">
        <v>154.5</v>
      </c>
      <c r="L83" s="168">
        <f t="shared" si="28"/>
        <v>0</v>
      </c>
      <c r="M83" s="211"/>
      <c r="N83" s="169"/>
      <c r="O83" s="170"/>
      <c r="P83" s="171"/>
      <c r="Q83" s="172"/>
      <c r="R83" s="173"/>
      <c r="S83" s="174"/>
      <c r="T83" s="175"/>
      <c r="U83" s="176"/>
      <c r="V83" s="168">
        <f t="shared" si="29"/>
        <v>0</v>
      </c>
      <c r="W83" s="177">
        <f t="shared" si="30"/>
        <v>0</v>
      </c>
      <c r="X83" s="178" t="s">
        <v>1355</v>
      </c>
      <c r="Y83" s="179">
        <f t="shared" si="31"/>
        <v>0</v>
      </c>
      <c r="AA83" s="180"/>
      <c r="AD83" s="1"/>
      <c r="AE83" s="1"/>
      <c r="AF83" s="1"/>
      <c r="AG83" s="1"/>
    </row>
    <row r="84" spans="1:33" ht="15.75" customHeight="1">
      <c r="A84" s="181"/>
      <c r="B84" s="332" t="s">
        <v>1356</v>
      </c>
      <c r="C84" s="183" t="s">
        <v>56</v>
      </c>
      <c r="D84" s="183" t="s">
        <v>62</v>
      </c>
      <c r="E84" s="183" t="s">
        <v>121</v>
      </c>
      <c r="F84" s="183" t="s">
        <v>35</v>
      </c>
      <c r="G84" s="183" t="s">
        <v>48</v>
      </c>
      <c r="H84" s="184">
        <v>3</v>
      </c>
      <c r="I84" s="184" t="s">
        <v>1357</v>
      </c>
      <c r="J84" s="305">
        <f>K84*(1-Bolts!$E$1179)</f>
        <v>200.3</v>
      </c>
      <c r="K84" s="306">
        <v>200.3</v>
      </c>
      <c r="L84" s="168">
        <f t="shared" si="28"/>
        <v>0</v>
      </c>
      <c r="M84" s="211"/>
      <c r="N84" s="169"/>
      <c r="O84" s="170"/>
      <c r="P84" s="171"/>
      <c r="Q84" s="172"/>
      <c r="R84" s="173"/>
      <c r="S84" s="174"/>
      <c r="T84" s="175"/>
      <c r="U84" s="176"/>
      <c r="V84" s="168">
        <f t="shared" si="29"/>
        <v>0</v>
      </c>
      <c r="W84" s="177">
        <f t="shared" si="30"/>
        <v>0</v>
      </c>
      <c r="X84" s="178">
        <v>7.7</v>
      </c>
      <c r="Y84" s="179">
        <f t="shared" si="31"/>
        <v>0</v>
      </c>
      <c r="AA84" s="180"/>
      <c r="AD84" s="1"/>
      <c r="AE84" s="1"/>
      <c r="AF84" s="1"/>
      <c r="AG84" s="1"/>
    </row>
    <row r="85" spans="1:33" ht="15.75" customHeight="1">
      <c r="A85" s="181"/>
      <c r="B85" s="182" t="s">
        <v>1358</v>
      </c>
      <c r="C85" s="183" t="s">
        <v>56</v>
      </c>
      <c r="D85" s="183" t="s">
        <v>62</v>
      </c>
      <c r="E85" s="183" t="s">
        <v>121</v>
      </c>
      <c r="F85" s="183" t="s">
        <v>29</v>
      </c>
      <c r="G85" s="183" t="s">
        <v>47</v>
      </c>
      <c r="H85" s="184">
        <v>3</v>
      </c>
      <c r="I85" s="184" t="s">
        <v>1359</v>
      </c>
      <c r="J85" s="305">
        <f>K85*(1-Bolts!$E$1179)</f>
        <v>134.30000000000001</v>
      </c>
      <c r="K85" s="306">
        <v>134.30000000000001</v>
      </c>
      <c r="L85" s="168">
        <f t="shared" si="28"/>
        <v>0</v>
      </c>
      <c r="M85" s="211"/>
      <c r="N85" s="169"/>
      <c r="O85" s="170"/>
      <c r="P85" s="171"/>
      <c r="Q85" s="172"/>
      <c r="R85" s="173"/>
      <c r="S85" s="174"/>
      <c r="T85" s="175"/>
      <c r="U85" s="176"/>
      <c r="V85" s="168">
        <f t="shared" si="29"/>
        <v>0</v>
      </c>
      <c r="W85" s="177">
        <f t="shared" si="30"/>
        <v>0</v>
      </c>
      <c r="X85" s="178">
        <v>5.0999999999999996</v>
      </c>
      <c r="Y85" s="179">
        <f t="shared" si="31"/>
        <v>0</v>
      </c>
      <c r="AA85" s="180"/>
      <c r="AD85" s="1"/>
      <c r="AE85" s="1"/>
      <c r="AF85" s="1"/>
      <c r="AG85" s="1"/>
    </row>
    <row r="86" spans="1:33" ht="15.75" customHeight="1">
      <c r="A86" s="181"/>
      <c r="B86" s="182" t="s">
        <v>1360</v>
      </c>
      <c r="C86" s="183" t="s">
        <v>56</v>
      </c>
      <c r="D86" s="183" t="s">
        <v>62</v>
      </c>
      <c r="E86" s="183" t="s">
        <v>121</v>
      </c>
      <c r="F86" s="183" t="s">
        <v>29</v>
      </c>
      <c r="G86" s="183" t="s">
        <v>47</v>
      </c>
      <c r="H86" s="184">
        <v>2</v>
      </c>
      <c r="I86" s="184" t="s">
        <v>1361</v>
      </c>
      <c r="J86" s="305">
        <f>K86*(1-Bolts!$E$1179)</f>
        <v>148.6</v>
      </c>
      <c r="K86" s="306">
        <v>148.6</v>
      </c>
      <c r="L86" s="168">
        <f t="shared" si="28"/>
        <v>0</v>
      </c>
      <c r="M86" s="211"/>
      <c r="N86" s="169"/>
      <c r="O86" s="170"/>
      <c r="P86" s="171"/>
      <c r="Q86" s="172"/>
      <c r="R86" s="173"/>
      <c r="S86" s="174"/>
      <c r="T86" s="175"/>
      <c r="U86" s="176"/>
      <c r="V86" s="168">
        <f t="shared" si="29"/>
        <v>0</v>
      </c>
      <c r="W86" s="177">
        <f t="shared" si="30"/>
        <v>0</v>
      </c>
      <c r="X86" s="178">
        <v>4.8499999999999996</v>
      </c>
      <c r="Y86" s="179">
        <f t="shared" si="31"/>
        <v>0</v>
      </c>
      <c r="AA86" s="180"/>
      <c r="AD86" s="1"/>
      <c r="AE86" s="1"/>
      <c r="AF86" s="1"/>
      <c r="AG86" s="1"/>
    </row>
    <row r="87" spans="1:33" ht="15.75" customHeight="1">
      <c r="A87" s="181" t="s">
        <v>769</v>
      </c>
      <c r="B87" s="245" t="s">
        <v>1362</v>
      </c>
      <c r="C87" s="183" t="s">
        <v>56</v>
      </c>
      <c r="D87" s="183" t="s">
        <v>62</v>
      </c>
      <c r="E87" s="183" t="s">
        <v>121</v>
      </c>
      <c r="F87" s="183" t="s">
        <v>29</v>
      </c>
      <c r="G87" s="183" t="s">
        <v>47</v>
      </c>
      <c r="H87" s="184">
        <v>3</v>
      </c>
      <c r="I87" s="184" t="s">
        <v>1363</v>
      </c>
      <c r="J87" s="305">
        <f>K87*(1-Bolts!$E$1179)</f>
        <v>249.8</v>
      </c>
      <c r="K87" s="306">
        <v>249.8</v>
      </c>
      <c r="L87" s="168">
        <f t="shared" si="28"/>
        <v>0</v>
      </c>
      <c r="M87" s="211"/>
      <c r="N87" s="169"/>
      <c r="O87" s="170"/>
      <c r="P87" s="171"/>
      <c r="Q87" s="172"/>
      <c r="R87" s="173"/>
      <c r="S87" s="174"/>
      <c r="T87" s="175"/>
      <c r="U87" s="176"/>
      <c r="V87" s="168">
        <f t="shared" si="29"/>
        <v>0</v>
      </c>
      <c r="W87" s="177">
        <f t="shared" si="30"/>
        <v>0</v>
      </c>
      <c r="X87" s="178">
        <v>9.15</v>
      </c>
      <c r="Y87" s="179">
        <f t="shared" si="31"/>
        <v>0</v>
      </c>
      <c r="AA87" s="180"/>
      <c r="AD87" s="1"/>
      <c r="AE87" s="1"/>
      <c r="AF87" s="1"/>
      <c r="AG87" s="1"/>
    </row>
    <row r="88" spans="1:33" ht="15.75" customHeight="1">
      <c r="A88" s="181" t="s">
        <v>769</v>
      </c>
      <c r="B88" s="245" t="s">
        <v>1364</v>
      </c>
      <c r="C88" s="183" t="s">
        <v>56</v>
      </c>
      <c r="D88" s="183" t="s">
        <v>62</v>
      </c>
      <c r="E88" s="183" t="s">
        <v>121</v>
      </c>
      <c r="F88" s="183" t="s">
        <v>37</v>
      </c>
      <c r="G88" s="183" t="s">
        <v>49</v>
      </c>
      <c r="H88" s="184">
        <v>3</v>
      </c>
      <c r="I88" s="184" t="s">
        <v>1365</v>
      </c>
      <c r="J88" s="305">
        <f>K88*(1-Bolts!$E$1179)</f>
        <v>209.1</v>
      </c>
      <c r="K88" s="306">
        <v>209.1</v>
      </c>
      <c r="L88" s="168">
        <f t="shared" si="28"/>
        <v>0</v>
      </c>
      <c r="M88" s="211"/>
      <c r="N88" s="169"/>
      <c r="O88" s="170"/>
      <c r="P88" s="171"/>
      <c r="Q88" s="172"/>
      <c r="R88" s="173"/>
      <c r="S88" s="174"/>
      <c r="T88" s="175"/>
      <c r="U88" s="176"/>
      <c r="V88" s="168">
        <f t="shared" si="29"/>
        <v>0</v>
      </c>
      <c r="W88" s="177">
        <f t="shared" si="30"/>
        <v>0</v>
      </c>
      <c r="X88" s="178">
        <v>6.65</v>
      </c>
      <c r="Y88" s="179">
        <f t="shared" si="31"/>
        <v>0</v>
      </c>
      <c r="AA88" s="180"/>
      <c r="AD88" s="1"/>
      <c r="AE88" s="1"/>
      <c r="AF88" s="1"/>
      <c r="AG88" s="1"/>
    </row>
    <row r="89" spans="1:33" ht="15.75" customHeight="1">
      <c r="A89" s="181"/>
      <c r="B89" s="182" t="s">
        <v>1366</v>
      </c>
      <c r="C89" s="183" t="s">
        <v>56</v>
      </c>
      <c r="D89" s="183" t="s">
        <v>62</v>
      </c>
      <c r="E89" s="183" t="s">
        <v>121</v>
      </c>
      <c r="F89" s="183" t="s">
        <v>29</v>
      </c>
      <c r="G89" s="183" t="s">
        <v>47</v>
      </c>
      <c r="H89" s="184">
        <v>3</v>
      </c>
      <c r="I89" s="184" t="s">
        <v>1367</v>
      </c>
      <c r="J89" s="305">
        <f>K89*(1-Bolts!$E$1179)</f>
        <v>287.10000000000002</v>
      </c>
      <c r="K89" s="306">
        <v>287.10000000000002</v>
      </c>
      <c r="L89" s="168">
        <f t="shared" si="28"/>
        <v>0</v>
      </c>
      <c r="M89" s="211"/>
      <c r="N89" s="169"/>
      <c r="O89" s="170"/>
      <c r="P89" s="171"/>
      <c r="Q89" s="172"/>
      <c r="R89" s="173"/>
      <c r="S89" s="174"/>
      <c r="T89" s="175"/>
      <c r="U89" s="176"/>
      <c r="V89" s="168">
        <f t="shared" si="29"/>
        <v>0</v>
      </c>
      <c r="W89" s="177">
        <f t="shared" si="30"/>
        <v>0</v>
      </c>
      <c r="X89" s="178">
        <v>11.3</v>
      </c>
      <c r="Y89" s="179">
        <f t="shared" si="31"/>
        <v>0</v>
      </c>
      <c r="AA89" s="180"/>
      <c r="AD89" s="1"/>
      <c r="AE89" s="1"/>
      <c r="AF89" s="1"/>
      <c r="AG89" s="1"/>
    </row>
    <row r="90" spans="1:33" ht="15.75" customHeight="1">
      <c r="A90" s="181"/>
      <c r="B90" s="182" t="s">
        <v>1368</v>
      </c>
      <c r="C90" s="183" t="s">
        <v>56</v>
      </c>
      <c r="D90" s="183" t="s">
        <v>62</v>
      </c>
      <c r="E90" s="183" t="s">
        <v>121</v>
      </c>
      <c r="F90" s="183" t="s">
        <v>35</v>
      </c>
      <c r="G90" s="183" t="s">
        <v>48</v>
      </c>
      <c r="H90" s="184">
        <v>3</v>
      </c>
      <c r="I90" s="184" t="s">
        <v>1369</v>
      </c>
      <c r="J90" s="305">
        <f>K90*(1-Bolts!$E$1179)</f>
        <v>194.3</v>
      </c>
      <c r="K90" s="306">
        <v>194.3</v>
      </c>
      <c r="L90" s="168">
        <f t="shared" si="28"/>
        <v>0</v>
      </c>
      <c r="M90" s="211"/>
      <c r="N90" s="169"/>
      <c r="O90" s="170"/>
      <c r="P90" s="171"/>
      <c r="Q90" s="172"/>
      <c r="R90" s="173"/>
      <c r="S90" s="174"/>
      <c r="T90" s="175"/>
      <c r="U90" s="176"/>
      <c r="V90" s="168">
        <f t="shared" si="29"/>
        <v>0</v>
      </c>
      <c r="W90" s="177">
        <f t="shared" si="30"/>
        <v>0</v>
      </c>
      <c r="X90" s="178">
        <v>7.05</v>
      </c>
      <c r="Y90" s="179">
        <f t="shared" si="31"/>
        <v>0</v>
      </c>
      <c r="AA90" s="180"/>
      <c r="AD90" s="1"/>
      <c r="AE90" s="1"/>
      <c r="AF90" s="1"/>
      <c r="AG90" s="1"/>
    </row>
    <row r="91" spans="1:33" ht="15.75" customHeight="1">
      <c r="A91" s="87"/>
      <c r="B91" s="185"/>
      <c r="C91" s="165"/>
      <c r="D91" s="165"/>
      <c r="E91" s="165"/>
      <c r="F91" s="165"/>
      <c r="G91" s="165"/>
      <c r="H91" s="166"/>
      <c r="I91" s="166"/>
      <c r="J91" s="307"/>
      <c r="K91" s="308"/>
      <c r="L91" s="186"/>
      <c r="M91" s="187"/>
      <c r="N91" s="187"/>
      <c r="O91" s="188"/>
      <c r="P91" s="187"/>
      <c r="Q91" s="187"/>
      <c r="R91" s="187"/>
      <c r="S91" s="187"/>
      <c r="T91" s="187"/>
      <c r="U91" s="188"/>
      <c r="V91" s="186"/>
      <c r="W91" s="189"/>
      <c r="X91" s="190"/>
      <c r="Y91" s="191"/>
      <c r="AA91" s="180"/>
      <c r="AD91" s="1"/>
      <c r="AE91" s="1"/>
      <c r="AF91" s="1"/>
      <c r="AG91" s="1"/>
    </row>
    <row r="92" spans="1:33" ht="15.75" customHeight="1">
      <c r="A92" s="181"/>
      <c r="B92" s="182" t="s">
        <v>1370</v>
      </c>
      <c r="C92" s="183" t="s">
        <v>56</v>
      </c>
      <c r="D92" s="183" t="s">
        <v>63</v>
      </c>
      <c r="E92" s="183" t="s">
        <v>121</v>
      </c>
      <c r="F92" s="183" t="s">
        <v>33</v>
      </c>
      <c r="G92" s="183" t="s">
        <v>49</v>
      </c>
      <c r="H92" s="184">
        <v>5</v>
      </c>
      <c r="I92" s="184" t="s">
        <v>1371</v>
      </c>
      <c r="J92" s="305">
        <f>K92*(1-Bolts!$E$1179)</f>
        <v>268.2</v>
      </c>
      <c r="K92" s="306">
        <v>268.2</v>
      </c>
      <c r="L92" s="168">
        <f t="shared" ref="L92:L96" si="32">SUM(M92:U92)</f>
        <v>0</v>
      </c>
      <c r="M92" s="211"/>
      <c r="N92" s="169"/>
      <c r="O92" s="170"/>
      <c r="P92" s="171"/>
      <c r="Q92" s="172"/>
      <c r="R92" s="173"/>
      <c r="S92" s="174"/>
      <c r="T92" s="175"/>
      <c r="U92" s="176"/>
      <c r="V92" s="168">
        <f t="shared" ref="V92:V96" si="33">L92*H92</f>
        <v>0</v>
      </c>
      <c r="W92" s="177">
        <f t="shared" ref="W92:W96" si="34">L92*K92</f>
        <v>0</v>
      </c>
      <c r="X92" s="178">
        <v>11.35</v>
      </c>
      <c r="Y92" s="179">
        <f t="shared" ref="Y92:Y96" si="35">X92*L92</f>
        <v>0</v>
      </c>
      <c r="AA92" s="180"/>
      <c r="AD92" s="1"/>
      <c r="AE92" s="1"/>
      <c r="AF92" s="1"/>
      <c r="AG92" s="1"/>
    </row>
    <row r="93" spans="1:33" ht="15.75" customHeight="1">
      <c r="A93" s="181"/>
      <c r="B93" s="182" t="s">
        <v>1372</v>
      </c>
      <c r="C93" s="183" t="s">
        <v>56</v>
      </c>
      <c r="D93" s="183" t="s">
        <v>63</v>
      </c>
      <c r="E93" s="183" t="s">
        <v>121</v>
      </c>
      <c r="F93" s="183" t="s">
        <v>35</v>
      </c>
      <c r="G93" s="183" t="s">
        <v>48</v>
      </c>
      <c r="H93" s="184">
        <v>5</v>
      </c>
      <c r="I93" s="184" t="s">
        <v>1373</v>
      </c>
      <c r="J93" s="305">
        <f>K93*(1-Bolts!$E$1179)</f>
        <v>246.1</v>
      </c>
      <c r="K93" s="306">
        <v>246.1</v>
      </c>
      <c r="L93" s="168">
        <f t="shared" si="32"/>
        <v>0</v>
      </c>
      <c r="M93" s="211"/>
      <c r="N93" s="169"/>
      <c r="O93" s="170"/>
      <c r="P93" s="171"/>
      <c r="Q93" s="172"/>
      <c r="R93" s="173"/>
      <c r="S93" s="174"/>
      <c r="T93" s="175"/>
      <c r="U93" s="176"/>
      <c r="V93" s="168">
        <f t="shared" si="33"/>
        <v>0</v>
      </c>
      <c r="W93" s="177">
        <f t="shared" si="34"/>
        <v>0</v>
      </c>
      <c r="X93" s="178">
        <v>9.3000000000000007</v>
      </c>
      <c r="Y93" s="179">
        <f t="shared" si="35"/>
        <v>0</v>
      </c>
      <c r="AA93" s="180"/>
      <c r="AD93" s="1"/>
      <c r="AE93" s="1"/>
      <c r="AF93" s="1"/>
      <c r="AG93" s="1"/>
    </row>
    <row r="94" spans="1:33" ht="15.75" customHeight="1">
      <c r="A94" s="181"/>
      <c r="B94" s="182" t="s">
        <v>1374</v>
      </c>
      <c r="C94" s="183" t="s">
        <v>56</v>
      </c>
      <c r="D94" s="183" t="s">
        <v>63</v>
      </c>
      <c r="E94" s="183" t="s">
        <v>121</v>
      </c>
      <c r="F94" s="183" t="s">
        <v>37</v>
      </c>
      <c r="G94" s="183" t="s">
        <v>49</v>
      </c>
      <c r="H94" s="184">
        <v>3</v>
      </c>
      <c r="I94" s="184" t="s">
        <v>1375</v>
      </c>
      <c r="J94" s="305">
        <f>K94*(1-Bolts!$E$1179)</f>
        <v>163</v>
      </c>
      <c r="K94" s="306">
        <v>163</v>
      </c>
      <c r="L94" s="168">
        <f t="shared" si="32"/>
        <v>0</v>
      </c>
      <c r="M94" s="211"/>
      <c r="N94" s="169"/>
      <c r="O94" s="170"/>
      <c r="P94" s="171"/>
      <c r="Q94" s="172"/>
      <c r="R94" s="173"/>
      <c r="S94" s="174"/>
      <c r="T94" s="175"/>
      <c r="U94" s="176"/>
      <c r="V94" s="168">
        <f t="shared" si="33"/>
        <v>0</v>
      </c>
      <c r="W94" s="177">
        <f t="shared" si="34"/>
        <v>0</v>
      </c>
      <c r="X94" s="178">
        <v>5.35</v>
      </c>
      <c r="Y94" s="179">
        <f t="shared" si="35"/>
        <v>0</v>
      </c>
      <c r="AA94" s="180"/>
      <c r="AD94" s="1"/>
      <c r="AE94" s="1"/>
      <c r="AF94" s="1"/>
      <c r="AG94" s="1"/>
    </row>
    <row r="95" spans="1:33" ht="15.75" customHeight="1">
      <c r="A95" s="181"/>
      <c r="B95" s="182" t="s">
        <v>1376</v>
      </c>
      <c r="C95" s="183" t="s">
        <v>56</v>
      </c>
      <c r="D95" s="183" t="s">
        <v>63</v>
      </c>
      <c r="E95" s="183" t="s">
        <v>121</v>
      </c>
      <c r="F95" s="183" t="s">
        <v>33</v>
      </c>
      <c r="G95" s="183" t="s">
        <v>48</v>
      </c>
      <c r="H95" s="184">
        <v>3</v>
      </c>
      <c r="I95" s="184" t="s">
        <v>1377</v>
      </c>
      <c r="J95" s="305">
        <f>K95*(1-Bolts!$E$1179)</f>
        <v>145</v>
      </c>
      <c r="K95" s="306">
        <v>145</v>
      </c>
      <c r="L95" s="168">
        <f t="shared" si="32"/>
        <v>0</v>
      </c>
      <c r="M95" s="211"/>
      <c r="N95" s="169"/>
      <c r="O95" s="170"/>
      <c r="P95" s="171"/>
      <c r="Q95" s="172"/>
      <c r="R95" s="173"/>
      <c r="S95" s="174"/>
      <c r="T95" s="175"/>
      <c r="U95" s="176"/>
      <c r="V95" s="168">
        <f t="shared" si="33"/>
        <v>0</v>
      </c>
      <c r="W95" s="177">
        <f t="shared" si="34"/>
        <v>0</v>
      </c>
      <c r="X95" s="178">
        <v>4.75</v>
      </c>
      <c r="Y95" s="179">
        <f t="shared" si="35"/>
        <v>0</v>
      </c>
      <c r="AA95" s="180"/>
      <c r="AD95" s="1"/>
      <c r="AE95" s="1"/>
      <c r="AF95" s="1"/>
      <c r="AG95" s="1"/>
    </row>
    <row r="96" spans="1:33" ht="15.75" customHeight="1">
      <c r="A96" s="181"/>
      <c r="B96" s="182" t="s">
        <v>1378</v>
      </c>
      <c r="C96" s="183" t="s">
        <v>56</v>
      </c>
      <c r="D96" s="183" t="s">
        <v>63</v>
      </c>
      <c r="E96" s="183" t="s">
        <v>121</v>
      </c>
      <c r="F96" s="183" t="s">
        <v>29</v>
      </c>
      <c r="G96" s="183" t="s">
        <v>47</v>
      </c>
      <c r="H96" s="184">
        <v>4</v>
      </c>
      <c r="I96" s="184" t="s">
        <v>1379</v>
      </c>
      <c r="J96" s="305">
        <f>K96*(1-Bolts!$E$1179)</f>
        <v>215.9</v>
      </c>
      <c r="K96" s="306">
        <v>215.9</v>
      </c>
      <c r="L96" s="168">
        <f t="shared" si="32"/>
        <v>0</v>
      </c>
      <c r="M96" s="211"/>
      <c r="N96" s="169"/>
      <c r="O96" s="170"/>
      <c r="P96" s="171"/>
      <c r="Q96" s="172"/>
      <c r="R96" s="173"/>
      <c r="S96" s="174"/>
      <c r="T96" s="175"/>
      <c r="U96" s="176"/>
      <c r="V96" s="168">
        <f t="shared" si="33"/>
        <v>0</v>
      </c>
      <c r="W96" s="177">
        <f t="shared" si="34"/>
        <v>0</v>
      </c>
      <c r="X96" s="178">
        <v>8.4499999999999993</v>
      </c>
      <c r="Y96" s="179">
        <f t="shared" si="35"/>
        <v>0</v>
      </c>
      <c r="AA96" s="180"/>
      <c r="AD96" s="1"/>
      <c r="AE96" s="1"/>
      <c r="AF96" s="1"/>
      <c r="AG96" s="1"/>
    </row>
    <row r="97" spans="1:33" ht="15.75" customHeight="1">
      <c r="A97" s="87"/>
      <c r="B97" s="185"/>
      <c r="C97" s="165"/>
      <c r="D97" s="165"/>
      <c r="E97" s="165"/>
      <c r="F97" s="165"/>
      <c r="G97" s="165"/>
      <c r="H97" s="166"/>
      <c r="I97" s="166"/>
      <c r="J97" s="307"/>
      <c r="K97" s="308"/>
      <c r="L97" s="186"/>
      <c r="M97" s="187"/>
      <c r="N97" s="187"/>
      <c r="O97" s="188"/>
      <c r="P97" s="187"/>
      <c r="Q97" s="187"/>
      <c r="R97" s="187"/>
      <c r="S97" s="187"/>
      <c r="T97" s="187"/>
      <c r="U97" s="188"/>
      <c r="V97" s="186"/>
      <c r="W97" s="189"/>
      <c r="X97" s="190"/>
      <c r="Y97" s="191"/>
      <c r="AA97" s="180"/>
      <c r="AD97" s="1"/>
      <c r="AE97" s="1"/>
      <c r="AF97" s="1"/>
      <c r="AG97" s="1"/>
    </row>
    <row r="98" spans="1:33" ht="15.75" customHeight="1">
      <c r="A98" s="87"/>
      <c r="B98" s="192" t="s">
        <v>1380</v>
      </c>
      <c r="C98" s="193" t="s">
        <v>56</v>
      </c>
      <c r="D98" s="193" t="s">
        <v>48</v>
      </c>
      <c r="E98" s="193" t="s">
        <v>121</v>
      </c>
      <c r="F98" s="193" t="s">
        <v>33</v>
      </c>
      <c r="G98" s="193" t="s">
        <v>49</v>
      </c>
      <c r="H98" s="194">
        <v>5</v>
      </c>
      <c r="I98" s="194" t="s">
        <v>1381</v>
      </c>
      <c r="J98" s="305">
        <f>K98*(1-Bolts!$E$1179)</f>
        <v>79.099999999999994</v>
      </c>
      <c r="K98" s="306">
        <v>79.099999999999994</v>
      </c>
      <c r="L98" s="168">
        <f t="shared" ref="L98:L107" si="36">SUM(M98:U98)</f>
        <v>0</v>
      </c>
      <c r="M98" s="211"/>
      <c r="N98" s="169"/>
      <c r="O98" s="170"/>
      <c r="P98" s="171"/>
      <c r="Q98" s="172"/>
      <c r="R98" s="173"/>
      <c r="S98" s="174"/>
      <c r="T98" s="175"/>
      <c r="U98" s="176"/>
      <c r="V98" s="168">
        <f t="shared" ref="V98:V107" si="37">L98*H98</f>
        <v>0</v>
      </c>
      <c r="W98" s="177">
        <f t="shared" ref="W98:W107" si="38">L98*K98</f>
        <v>0</v>
      </c>
      <c r="X98" s="178" t="s">
        <v>1382</v>
      </c>
      <c r="Y98" s="179">
        <f t="shared" ref="Y98:Y107" si="39">X98*L98</f>
        <v>0</v>
      </c>
      <c r="AA98" s="180"/>
      <c r="AD98" s="1"/>
      <c r="AE98" s="1"/>
      <c r="AF98" s="1"/>
      <c r="AG98" s="1"/>
    </row>
    <row r="99" spans="1:33" ht="15.75" customHeight="1">
      <c r="A99" s="87"/>
      <c r="B99" s="192" t="s">
        <v>1383</v>
      </c>
      <c r="C99" s="193" t="s">
        <v>56</v>
      </c>
      <c r="D99" s="193" t="s">
        <v>48</v>
      </c>
      <c r="E99" s="193" t="s">
        <v>121</v>
      </c>
      <c r="F99" s="193" t="s">
        <v>32</v>
      </c>
      <c r="G99" s="193" t="s">
        <v>49</v>
      </c>
      <c r="H99" s="194">
        <v>5</v>
      </c>
      <c r="I99" s="194" t="s">
        <v>1384</v>
      </c>
      <c r="J99" s="305">
        <f>K99*(1-Bolts!$E$1179)</f>
        <v>79.5</v>
      </c>
      <c r="K99" s="306">
        <v>79.5</v>
      </c>
      <c r="L99" s="168">
        <f t="shared" si="36"/>
        <v>0</v>
      </c>
      <c r="M99" s="211"/>
      <c r="N99" s="169"/>
      <c r="O99" s="170"/>
      <c r="P99" s="171"/>
      <c r="Q99" s="172"/>
      <c r="R99" s="173"/>
      <c r="S99" s="174"/>
      <c r="T99" s="175"/>
      <c r="U99" s="176"/>
      <c r="V99" s="168">
        <f t="shared" si="37"/>
        <v>0</v>
      </c>
      <c r="W99" s="177">
        <f t="shared" si="38"/>
        <v>0</v>
      </c>
      <c r="X99" s="178" t="s">
        <v>1385</v>
      </c>
      <c r="Y99" s="179">
        <f t="shared" si="39"/>
        <v>0</v>
      </c>
      <c r="AA99" s="180"/>
      <c r="AD99" s="1"/>
      <c r="AE99" s="1"/>
      <c r="AF99" s="1"/>
      <c r="AG99" s="1"/>
    </row>
    <row r="100" spans="1:33" ht="15.75" customHeight="1">
      <c r="A100" s="181"/>
      <c r="B100" s="182" t="s">
        <v>1386</v>
      </c>
      <c r="C100" s="183" t="s">
        <v>56</v>
      </c>
      <c r="D100" s="183" t="s">
        <v>48</v>
      </c>
      <c r="E100" s="183" t="s">
        <v>121</v>
      </c>
      <c r="F100" s="183" t="s">
        <v>37</v>
      </c>
      <c r="G100" s="183" t="s">
        <v>49</v>
      </c>
      <c r="H100" s="184">
        <v>5</v>
      </c>
      <c r="I100" s="184" t="s">
        <v>1387</v>
      </c>
      <c r="J100" s="305">
        <f>K100*(1-Bolts!$E$1179)</f>
        <v>126.2</v>
      </c>
      <c r="K100" s="306">
        <v>126.2</v>
      </c>
      <c r="L100" s="168">
        <f t="shared" si="36"/>
        <v>0</v>
      </c>
      <c r="M100" s="211"/>
      <c r="N100" s="169"/>
      <c r="O100" s="170"/>
      <c r="P100" s="171"/>
      <c r="Q100" s="172"/>
      <c r="R100" s="173"/>
      <c r="S100" s="174"/>
      <c r="T100" s="175"/>
      <c r="U100" s="176"/>
      <c r="V100" s="168">
        <f t="shared" si="37"/>
        <v>0</v>
      </c>
      <c r="W100" s="177">
        <f t="shared" si="38"/>
        <v>0</v>
      </c>
      <c r="X100" s="178">
        <v>3.15</v>
      </c>
      <c r="Y100" s="179">
        <f t="shared" si="39"/>
        <v>0</v>
      </c>
      <c r="AA100" s="180"/>
      <c r="AD100" s="1"/>
      <c r="AE100" s="1"/>
      <c r="AF100" s="1"/>
      <c r="AG100" s="1"/>
    </row>
    <row r="101" spans="1:33" ht="15.75" customHeight="1">
      <c r="A101" s="181"/>
      <c r="B101" s="332" t="s">
        <v>1388</v>
      </c>
      <c r="C101" s="183" t="s">
        <v>56</v>
      </c>
      <c r="D101" s="183" t="s">
        <v>48</v>
      </c>
      <c r="E101" s="183" t="s">
        <v>121</v>
      </c>
      <c r="F101" s="183" t="s">
        <v>35</v>
      </c>
      <c r="G101" s="183" t="s">
        <v>48</v>
      </c>
      <c r="H101" s="184">
        <v>5</v>
      </c>
      <c r="I101" s="184" t="s">
        <v>1389</v>
      </c>
      <c r="J101" s="305">
        <f>K101*(1-Bolts!$E$1179)</f>
        <v>147.1</v>
      </c>
      <c r="K101" s="306">
        <v>147.1</v>
      </c>
      <c r="L101" s="168">
        <f t="shared" si="36"/>
        <v>0</v>
      </c>
      <c r="M101" s="211"/>
      <c r="N101" s="169"/>
      <c r="O101" s="170"/>
      <c r="P101" s="171"/>
      <c r="Q101" s="172"/>
      <c r="R101" s="173"/>
      <c r="S101" s="174"/>
      <c r="T101" s="175"/>
      <c r="U101" s="176"/>
      <c r="V101" s="168">
        <f t="shared" si="37"/>
        <v>0</v>
      </c>
      <c r="W101" s="177">
        <f t="shared" si="38"/>
        <v>0</v>
      </c>
      <c r="X101" s="178">
        <v>4.3</v>
      </c>
      <c r="Y101" s="179">
        <f t="shared" si="39"/>
        <v>0</v>
      </c>
      <c r="AA101" s="180"/>
      <c r="AD101" s="1"/>
      <c r="AE101" s="1"/>
      <c r="AF101" s="1"/>
      <c r="AG101" s="1"/>
    </row>
    <row r="102" spans="1:33" ht="15.75" customHeight="1">
      <c r="A102" s="181"/>
      <c r="B102" s="182" t="s">
        <v>1390</v>
      </c>
      <c r="C102" s="183" t="s">
        <v>56</v>
      </c>
      <c r="D102" s="183" t="s">
        <v>48</v>
      </c>
      <c r="E102" s="183" t="s">
        <v>121</v>
      </c>
      <c r="F102" s="183" t="s">
        <v>29</v>
      </c>
      <c r="G102" s="183" t="s">
        <v>47</v>
      </c>
      <c r="H102" s="184">
        <v>5</v>
      </c>
      <c r="I102" s="184" t="s">
        <v>1391</v>
      </c>
      <c r="J102" s="305">
        <f>K102*(1-Bolts!$E$1179)</f>
        <v>183.6</v>
      </c>
      <c r="K102" s="306">
        <v>183.6</v>
      </c>
      <c r="L102" s="168">
        <f t="shared" si="36"/>
        <v>0</v>
      </c>
      <c r="M102" s="211"/>
      <c r="N102" s="169"/>
      <c r="O102" s="170"/>
      <c r="P102" s="171"/>
      <c r="Q102" s="172"/>
      <c r="R102" s="173"/>
      <c r="S102" s="174"/>
      <c r="T102" s="175"/>
      <c r="U102" s="176"/>
      <c r="V102" s="168">
        <f t="shared" si="37"/>
        <v>0</v>
      </c>
      <c r="W102" s="177">
        <f t="shared" si="38"/>
        <v>0</v>
      </c>
      <c r="X102" s="178">
        <v>6.35</v>
      </c>
      <c r="Y102" s="179">
        <f t="shared" si="39"/>
        <v>0</v>
      </c>
      <c r="AA102" s="180"/>
      <c r="AD102" s="1"/>
      <c r="AE102" s="1"/>
      <c r="AF102" s="1"/>
      <c r="AG102" s="1"/>
    </row>
    <row r="103" spans="1:33" ht="15.75" customHeight="1">
      <c r="A103" s="181"/>
      <c r="B103" s="182" t="s">
        <v>1392</v>
      </c>
      <c r="C103" s="183" t="s">
        <v>56</v>
      </c>
      <c r="D103" s="183" t="s">
        <v>48</v>
      </c>
      <c r="E103" s="183" t="s">
        <v>121</v>
      </c>
      <c r="F103" s="183" t="s">
        <v>29</v>
      </c>
      <c r="G103" s="183" t="s">
        <v>47</v>
      </c>
      <c r="H103" s="184">
        <v>5</v>
      </c>
      <c r="I103" s="184" t="s">
        <v>1393</v>
      </c>
      <c r="J103" s="305">
        <f>K103*(1-Bolts!$E$1179)</f>
        <v>106.2</v>
      </c>
      <c r="K103" s="306">
        <v>106.2</v>
      </c>
      <c r="L103" s="168">
        <f t="shared" si="36"/>
        <v>0</v>
      </c>
      <c r="M103" s="211"/>
      <c r="N103" s="169"/>
      <c r="O103" s="170"/>
      <c r="P103" s="171"/>
      <c r="Q103" s="172"/>
      <c r="R103" s="173"/>
      <c r="S103" s="174"/>
      <c r="T103" s="175"/>
      <c r="U103" s="176"/>
      <c r="V103" s="168">
        <f t="shared" si="37"/>
        <v>0</v>
      </c>
      <c r="W103" s="177">
        <f t="shared" si="38"/>
        <v>0</v>
      </c>
      <c r="X103" s="178">
        <v>3.7</v>
      </c>
      <c r="Y103" s="179">
        <f t="shared" si="39"/>
        <v>0</v>
      </c>
      <c r="AA103" s="180"/>
      <c r="AD103" s="1"/>
      <c r="AE103" s="1"/>
      <c r="AF103" s="1"/>
      <c r="AG103" s="1"/>
    </row>
    <row r="104" spans="1:33" ht="15.75" customHeight="1">
      <c r="A104" s="181"/>
      <c r="B104" s="182" t="s">
        <v>1394</v>
      </c>
      <c r="C104" s="183" t="s">
        <v>56</v>
      </c>
      <c r="D104" s="183" t="s">
        <v>48</v>
      </c>
      <c r="E104" s="183" t="s">
        <v>121</v>
      </c>
      <c r="F104" s="183" t="s">
        <v>29</v>
      </c>
      <c r="G104" s="183" t="s">
        <v>47</v>
      </c>
      <c r="H104" s="184">
        <v>5</v>
      </c>
      <c r="I104" s="184" t="s">
        <v>1395</v>
      </c>
      <c r="J104" s="305">
        <f>K104*(1-Bolts!$E$1179)</f>
        <v>118.6</v>
      </c>
      <c r="K104" s="306">
        <v>118.6</v>
      </c>
      <c r="L104" s="168">
        <f t="shared" si="36"/>
        <v>0</v>
      </c>
      <c r="M104" s="211"/>
      <c r="N104" s="169"/>
      <c r="O104" s="170"/>
      <c r="P104" s="171"/>
      <c r="Q104" s="172"/>
      <c r="R104" s="173"/>
      <c r="S104" s="174"/>
      <c r="T104" s="175"/>
      <c r="U104" s="176"/>
      <c r="V104" s="168">
        <f t="shared" si="37"/>
        <v>0</v>
      </c>
      <c r="W104" s="177">
        <f t="shared" si="38"/>
        <v>0</v>
      </c>
      <c r="X104" s="178">
        <v>4.3499999999999996</v>
      </c>
      <c r="Y104" s="179">
        <f t="shared" si="39"/>
        <v>0</v>
      </c>
      <c r="AA104" s="180"/>
      <c r="AD104" s="1"/>
      <c r="AE104" s="1"/>
      <c r="AF104" s="1"/>
      <c r="AG104" s="1"/>
    </row>
    <row r="105" spans="1:33" ht="15.75" customHeight="1">
      <c r="A105" s="181"/>
      <c r="B105" s="182" t="s">
        <v>1396</v>
      </c>
      <c r="C105" s="183" t="s">
        <v>56</v>
      </c>
      <c r="D105" s="183" t="s">
        <v>48</v>
      </c>
      <c r="E105" s="183" t="s">
        <v>121</v>
      </c>
      <c r="F105" s="183" t="s">
        <v>29</v>
      </c>
      <c r="G105" s="183" t="s">
        <v>47</v>
      </c>
      <c r="H105" s="184">
        <v>5</v>
      </c>
      <c r="I105" s="184" t="s">
        <v>1397</v>
      </c>
      <c r="J105" s="305">
        <f>K105*(1-Bolts!$E$1179)</f>
        <v>154.69999999999999</v>
      </c>
      <c r="K105" s="306">
        <v>154.69999999999999</v>
      </c>
      <c r="L105" s="168">
        <f t="shared" si="36"/>
        <v>0</v>
      </c>
      <c r="M105" s="211"/>
      <c r="N105" s="169"/>
      <c r="O105" s="170"/>
      <c r="P105" s="171"/>
      <c r="Q105" s="172"/>
      <c r="R105" s="173"/>
      <c r="S105" s="174"/>
      <c r="T105" s="175"/>
      <c r="U105" s="176"/>
      <c r="V105" s="168">
        <f t="shared" si="37"/>
        <v>0</v>
      </c>
      <c r="W105" s="177">
        <f t="shared" si="38"/>
        <v>0</v>
      </c>
      <c r="X105" s="178">
        <v>5.55</v>
      </c>
      <c r="Y105" s="179">
        <f t="shared" si="39"/>
        <v>0</v>
      </c>
      <c r="AA105" s="180"/>
      <c r="AD105" s="1"/>
      <c r="AE105" s="1"/>
      <c r="AF105" s="1"/>
      <c r="AG105" s="1"/>
    </row>
    <row r="106" spans="1:33" ht="15.75" customHeight="1">
      <c r="A106" s="181"/>
      <c r="B106" s="329" t="s">
        <v>1398</v>
      </c>
      <c r="C106" s="330" t="s">
        <v>56</v>
      </c>
      <c r="D106" s="330" t="s">
        <v>48</v>
      </c>
      <c r="E106" s="330" t="s">
        <v>121</v>
      </c>
      <c r="F106" s="330" t="s">
        <v>35</v>
      </c>
      <c r="G106" s="330" t="s">
        <v>48</v>
      </c>
      <c r="H106" s="331">
        <v>5</v>
      </c>
      <c r="I106" s="331" t="s">
        <v>1399</v>
      </c>
      <c r="J106" s="305">
        <f>K106*(1-Bolts!$E$1179)</f>
        <v>157.80000000000001</v>
      </c>
      <c r="K106" s="306">
        <v>157.80000000000001</v>
      </c>
      <c r="L106" s="168">
        <f t="shared" si="36"/>
        <v>0</v>
      </c>
      <c r="M106" s="211"/>
      <c r="N106" s="169"/>
      <c r="O106" s="170"/>
      <c r="P106" s="171"/>
      <c r="Q106" s="172"/>
      <c r="R106" s="173"/>
      <c r="S106" s="174"/>
      <c r="T106" s="175"/>
      <c r="U106" s="176"/>
      <c r="V106" s="168">
        <f t="shared" si="37"/>
        <v>0</v>
      </c>
      <c r="W106" s="177">
        <f t="shared" si="38"/>
        <v>0</v>
      </c>
      <c r="X106" s="178">
        <v>6.4</v>
      </c>
      <c r="Y106" s="179">
        <f t="shared" si="39"/>
        <v>0</v>
      </c>
      <c r="AA106" s="180"/>
      <c r="AD106" s="1"/>
      <c r="AE106" s="1"/>
      <c r="AF106" s="1"/>
      <c r="AG106" s="1"/>
    </row>
    <row r="107" spans="1:33" ht="15.75" customHeight="1">
      <c r="A107" s="328" t="s">
        <v>1336</v>
      </c>
      <c r="B107" s="329" t="s">
        <v>1400</v>
      </c>
      <c r="C107" s="330" t="s">
        <v>56</v>
      </c>
      <c r="D107" s="330" t="s">
        <v>48</v>
      </c>
      <c r="E107" s="330" t="s">
        <v>121</v>
      </c>
      <c r="F107" s="330" t="s">
        <v>36</v>
      </c>
      <c r="G107" s="330" t="s">
        <v>49</v>
      </c>
      <c r="H107" s="331">
        <v>5</v>
      </c>
      <c r="I107" s="331" t="s">
        <v>1401</v>
      </c>
      <c r="J107" s="305">
        <f>K107*(1-Bolts!$E$1179)</f>
        <v>114.3</v>
      </c>
      <c r="K107" s="306">
        <v>114.3</v>
      </c>
      <c r="L107" s="168">
        <f t="shared" si="36"/>
        <v>0</v>
      </c>
      <c r="M107" s="211"/>
      <c r="N107" s="169"/>
      <c r="O107" s="170"/>
      <c r="P107" s="171"/>
      <c r="Q107" s="172"/>
      <c r="R107" s="173"/>
      <c r="S107" s="174"/>
      <c r="T107" s="175"/>
      <c r="U107" s="176"/>
      <c r="V107" s="168">
        <f t="shared" si="37"/>
        <v>0</v>
      </c>
      <c r="W107" s="177">
        <f t="shared" si="38"/>
        <v>0</v>
      </c>
      <c r="X107" s="178">
        <v>4.05</v>
      </c>
      <c r="Y107" s="179">
        <f t="shared" si="39"/>
        <v>0</v>
      </c>
      <c r="AA107" s="180"/>
      <c r="AD107" s="1"/>
      <c r="AE107" s="1"/>
      <c r="AF107" s="1"/>
      <c r="AG107" s="1"/>
    </row>
    <row r="108" spans="1:33" ht="15.75" customHeight="1">
      <c r="A108" s="87"/>
      <c r="B108" s="185"/>
      <c r="C108" s="165"/>
      <c r="D108" s="165"/>
      <c r="E108" s="165"/>
      <c r="F108" s="165"/>
      <c r="G108" s="165"/>
      <c r="H108" s="166"/>
      <c r="I108" s="166"/>
      <c r="J108" s="307"/>
      <c r="K108" s="308"/>
      <c r="L108" s="186"/>
      <c r="M108" s="187"/>
      <c r="N108" s="187"/>
      <c r="O108" s="188"/>
      <c r="P108" s="187"/>
      <c r="Q108" s="187"/>
      <c r="R108" s="187"/>
      <c r="S108" s="187"/>
      <c r="T108" s="187"/>
      <c r="U108" s="188"/>
      <c r="V108" s="186"/>
      <c r="W108" s="189"/>
      <c r="X108" s="190"/>
      <c r="Y108" s="191"/>
      <c r="AA108" s="180"/>
      <c r="AD108" s="1"/>
      <c r="AE108" s="1"/>
      <c r="AF108" s="1"/>
      <c r="AG108" s="1"/>
    </row>
    <row r="109" spans="1:33" ht="15.75" customHeight="1">
      <c r="A109" s="87"/>
      <c r="B109" s="192" t="s">
        <v>1402</v>
      </c>
      <c r="C109" s="193" t="s">
        <v>56</v>
      </c>
      <c r="D109" s="193" t="s">
        <v>64</v>
      </c>
      <c r="E109" s="193" t="s">
        <v>121</v>
      </c>
      <c r="F109" s="193" t="s">
        <v>32</v>
      </c>
      <c r="G109" s="193" t="s">
        <v>48</v>
      </c>
      <c r="H109" s="194">
        <v>10</v>
      </c>
      <c r="I109" s="194" t="s">
        <v>1403</v>
      </c>
      <c r="J109" s="305">
        <f>K109*(1-Bolts!$E$1179)</f>
        <v>83.3</v>
      </c>
      <c r="K109" s="306">
        <v>83.3</v>
      </c>
      <c r="L109" s="168">
        <f t="shared" ref="L109:L120" si="40">SUM(M109:U109)</f>
        <v>0</v>
      </c>
      <c r="M109" s="211"/>
      <c r="N109" s="169"/>
      <c r="O109" s="170"/>
      <c r="P109" s="171"/>
      <c r="Q109" s="172"/>
      <c r="R109" s="173"/>
      <c r="S109" s="174"/>
      <c r="T109" s="175"/>
      <c r="U109" s="176"/>
      <c r="V109" s="168">
        <f t="shared" ref="V109:V120" si="41">L109*H109</f>
        <v>0</v>
      </c>
      <c r="W109" s="177">
        <f t="shared" ref="W109:W120" si="42">L109*K109</f>
        <v>0</v>
      </c>
      <c r="X109" s="178" t="s">
        <v>1404</v>
      </c>
      <c r="Y109" s="179">
        <f t="shared" ref="Y109:Y120" si="43">X109*L109</f>
        <v>0</v>
      </c>
      <c r="AA109" s="180"/>
      <c r="AD109" s="1"/>
      <c r="AE109" s="1"/>
      <c r="AF109" s="1"/>
      <c r="AG109" s="1"/>
    </row>
    <row r="110" spans="1:33" ht="15.75" customHeight="1">
      <c r="A110" s="181"/>
      <c r="B110" s="182" t="s">
        <v>1405</v>
      </c>
      <c r="C110" s="183" t="s">
        <v>56</v>
      </c>
      <c r="D110" s="183" t="s">
        <v>64</v>
      </c>
      <c r="E110" s="183" t="s">
        <v>121</v>
      </c>
      <c r="F110" s="183" t="s">
        <v>32</v>
      </c>
      <c r="G110" s="183" t="s">
        <v>48</v>
      </c>
      <c r="H110" s="184">
        <v>5</v>
      </c>
      <c r="I110" s="184" t="s">
        <v>1406</v>
      </c>
      <c r="J110" s="305">
        <f>K110*(1-Bolts!$E$1179)</f>
        <v>99.7</v>
      </c>
      <c r="K110" s="306">
        <v>99.7</v>
      </c>
      <c r="L110" s="168">
        <f t="shared" si="40"/>
        <v>0</v>
      </c>
      <c r="M110" s="211"/>
      <c r="N110" s="169"/>
      <c r="O110" s="170"/>
      <c r="P110" s="171"/>
      <c r="Q110" s="172"/>
      <c r="R110" s="173"/>
      <c r="S110" s="174"/>
      <c r="T110" s="175"/>
      <c r="U110" s="176"/>
      <c r="V110" s="168">
        <f t="shared" si="41"/>
        <v>0</v>
      </c>
      <c r="W110" s="177">
        <f t="shared" si="42"/>
        <v>0</v>
      </c>
      <c r="X110" s="178">
        <v>2.65</v>
      </c>
      <c r="Y110" s="179">
        <f t="shared" si="43"/>
        <v>0</v>
      </c>
      <c r="AA110" s="180"/>
      <c r="AD110" s="1"/>
      <c r="AE110" s="1"/>
      <c r="AF110" s="1"/>
      <c r="AG110" s="1"/>
    </row>
    <row r="111" spans="1:33" ht="15.75" customHeight="1">
      <c r="A111" s="181"/>
      <c r="B111" s="182" t="s">
        <v>1407</v>
      </c>
      <c r="C111" s="183" t="s">
        <v>56</v>
      </c>
      <c r="D111" s="183" t="s">
        <v>64</v>
      </c>
      <c r="E111" s="183" t="s">
        <v>121</v>
      </c>
      <c r="F111" s="183" t="s">
        <v>35</v>
      </c>
      <c r="G111" s="183" t="s">
        <v>48</v>
      </c>
      <c r="H111" s="184">
        <v>5</v>
      </c>
      <c r="I111" s="184" t="s">
        <v>1408</v>
      </c>
      <c r="J111" s="305">
        <f>K111*(1-Bolts!$E$1179)</f>
        <v>99.5</v>
      </c>
      <c r="K111" s="306">
        <v>99.5</v>
      </c>
      <c r="L111" s="168">
        <f t="shared" si="40"/>
        <v>0</v>
      </c>
      <c r="M111" s="211"/>
      <c r="N111" s="169"/>
      <c r="O111" s="170"/>
      <c r="P111" s="171"/>
      <c r="Q111" s="172"/>
      <c r="R111" s="173"/>
      <c r="S111" s="174"/>
      <c r="T111" s="175"/>
      <c r="U111" s="176"/>
      <c r="V111" s="168">
        <f t="shared" si="41"/>
        <v>0</v>
      </c>
      <c r="W111" s="177">
        <f t="shared" si="42"/>
        <v>0</v>
      </c>
      <c r="X111" s="178">
        <v>3.2</v>
      </c>
      <c r="Y111" s="179">
        <f t="shared" si="43"/>
        <v>0</v>
      </c>
      <c r="AA111" s="180"/>
      <c r="AD111" s="1"/>
      <c r="AE111" s="1"/>
      <c r="AF111" s="1"/>
      <c r="AG111" s="1"/>
    </row>
    <row r="112" spans="1:33" ht="15.75" customHeight="1">
      <c r="A112" s="181"/>
      <c r="B112" s="182" t="s">
        <v>1409</v>
      </c>
      <c r="C112" s="183" t="s">
        <v>56</v>
      </c>
      <c r="D112" s="183" t="s">
        <v>64</v>
      </c>
      <c r="E112" s="183" t="s">
        <v>121</v>
      </c>
      <c r="F112" s="183" t="s">
        <v>31</v>
      </c>
      <c r="G112" s="183" t="s">
        <v>47</v>
      </c>
      <c r="H112" s="184">
        <v>5</v>
      </c>
      <c r="I112" s="184" t="s">
        <v>1410</v>
      </c>
      <c r="J112" s="305">
        <f>K112*(1-Bolts!$E$1179)</f>
        <v>80.400000000000006</v>
      </c>
      <c r="K112" s="306">
        <v>80.400000000000006</v>
      </c>
      <c r="L112" s="168">
        <f t="shared" si="40"/>
        <v>0</v>
      </c>
      <c r="M112" s="211"/>
      <c r="N112" s="169"/>
      <c r="O112" s="170"/>
      <c r="P112" s="171"/>
      <c r="Q112" s="172"/>
      <c r="R112" s="173"/>
      <c r="S112" s="174"/>
      <c r="T112" s="175"/>
      <c r="U112" s="176"/>
      <c r="V112" s="168">
        <f t="shared" si="41"/>
        <v>0</v>
      </c>
      <c r="W112" s="177">
        <f t="shared" si="42"/>
        <v>0</v>
      </c>
      <c r="X112" s="178">
        <v>1.4</v>
      </c>
      <c r="Y112" s="179">
        <f t="shared" si="43"/>
        <v>0</v>
      </c>
      <c r="AA112" s="180"/>
      <c r="AD112" s="1"/>
      <c r="AE112" s="1"/>
      <c r="AF112" s="1"/>
      <c r="AG112" s="1"/>
    </row>
    <row r="113" spans="1:33" ht="15.75" customHeight="1">
      <c r="A113" s="181" t="s">
        <v>445</v>
      </c>
      <c r="B113" s="245" t="s">
        <v>1411</v>
      </c>
      <c r="C113" s="183" t="s">
        <v>56</v>
      </c>
      <c r="D113" s="183" t="s">
        <v>64</v>
      </c>
      <c r="E113" s="183" t="s">
        <v>121</v>
      </c>
      <c r="F113" s="183" t="s">
        <v>30</v>
      </c>
      <c r="G113" s="183" t="s">
        <v>47</v>
      </c>
      <c r="H113" s="184">
        <v>5</v>
      </c>
      <c r="I113" s="184" t="s">
        <v>1412</v>
      </c>
      <c r="J113" s="305">
        <f>K113*(1-Bolts!$E$1179)</f>
        <v>131.30000000000001</v>
      </c>
      <c r="K113" s="306">
        <v>131.30000000000001</v>
      </c>
      <c r="L113" s="168">
        <f t="shared" si="40"/>
        <v>0</v>
      </c>
      <c r="M113" s="211"/>
      <c r="N113" s="169"/>
      <c r="O113" s="170"/>
      <c r="P113" s="171"/>
      <c r="Q113" s="172"/>
      <c r="R113" s="173"/>
      <c r="S113" s="174"/>
      <c r="T113" s="175"/>
      <c r="U113" s="176"/>
      <c r="V113" s="168">
        <f t="shared" si="41"/>
        <v>0</v>
      </c>
      <c r="W113" s="177">
        <f t="shared" si="42"/>
        <v>0</v>
      </c>
      <c r="X113" s="178">
        <v>3.45</v>
      </c>
      <c r="Y113" s="179">
        <f t="shared" si="43"/>
        <v>0</v>
      </c>
      <c r="AA113" s="180"/>
      <c r="AD113" s="1"/>
      <c r="AE113" s="1"/>
      <c r="AF113" s="1"/>
      <c r="AG113" s="1"/>
    </row>
    <row r="114" spans="1:33" ht="15.75" customHeight="1">
      <c r="A114" s="181"/>
      <c r="B114" s="182" t="s">
        <v>1413</v>
      </c>
      <c r="C114" s="183" t="s">
        <v>56</v>
      </c>
      <c r="D114" s="183" t="s">
        <v>64</v>
      </c>
      <c r="E114" s="183" t="s">
        <v>121</v>
      </c>
      <c r="F114" s="183" t="s">
        <v>30</v>
      </c>
      <c r="G114" s="183" t="s">
        <v>47</v>
      </c>
      <c r="H114" s="184">
        <v>5</v>
      </c>
      <c r="I114" s="184" t="s">
        <v>1414</v>
      </c>
      <c r="J114" s="305">
        <f>K114*(1-Bolts!$E$1179)</f>
        <v>134</v>
      </c>
      <c r="K114" s="306">
        <v>134</v>
      </c>
      <c r="L114" s="168">
        <f t="shared" si="40"/>
        <v>0</v>
      </c>
      <c r="M114" s="211"/>
      <c r="N114" s="169"/>
      <c r="O114" s="170"/>
      <c r="P114" s="171"/>
      <c r="Q114" s="172"/>
      <c r="R114" s="173"/>
      <c r="S114" s="174"/>
      <c r="T114" s="175"/>
      <c r="U114" s="176"/>
      <c r="V114" s="168">
        <f t="shared" si="41"/>
        <v>0</v>
      </c>
      <c r="W114" s="177">
        <f t="shared" si="42"/>
        <v>0</v>
      </c>
      <c r="X114" s="178">
        <v>3.6</v>
      </c>
      <c r="Y114" s="179">
        <f t="shared" si="43"/>
        <v>0</v>
      </c>
      <c r="AA114" s="180"/>
      <c r="AD114" s="1"/>
      <c r="AE114" s="1"/>
      <c r="AF114" s="1"/>
      <c r="AG114" s="1"/>
    </row>
    <row r="115" spans="1:33" ht="15.75" customHeight="1">
      <c r="A115" s="181"/>
      <c r="B115" s="182" t="s">
        <v>1415</v>
      </c>
      <c r="C115" s="183" t="s">
        <v>56</v>
      </c>
      <c r="D115" s="183" t="s">
        <v>64</v>
      </c>
      <c r="E115" s="183" t="s">
        <v>121</v>
      </c>
      <c r="F115" s="183" t="s">
        <v>30</v>
      </c>
      <c r="G115" s="183" t="s">
        <v>47</v>
      </c>
      <c r="H115" s="184">
        <v>5</v>
      </c>
      <c r="I115" s="184" t="s">
        <v>1416</v>
      </c>
      <c r="J115" s="305">
        <f>K115*(1-Bolts!$E$1179)</f>
        <v>80.599999999999994</v>
      </c>
      <c r="K115" s="306">
        <v>80.599999999999994</v>
      </c>
      <c r="L115" s="168">
        <f t="shared" si="40"/>
        <v>0</v>
      </c>
      <c r="M115" s="211"/>
      <c r="N115" s="169"/>
      <c r="O115" s="170"/>
      <c r="P115" s="171"/>
      <c r="Q115" s="172"/>
      <c r="R115" s="173"/>
      <c r="S115" s="174"/>
      <c r="T115" s="175"/>
      <c r="U115" s="176"/>
      <c r="V115" s="168">
        <f t="shared" si="41"/>
        <v>0</v>
      </c>
      <c r="W115" s="177">
        <f t="shared" si="42"/>
        <v>0</v>
      </c>
      <c r="X115" s="178">
        <v>2.35</v>
      </c>
      <c r="Y115" s="179">
        <f t="shared" si="43"/>
        <v>0</v>
      </c>
      <c r="AA115" s="180"/>
      <c r="AD115" s="1"/>
      <c r="AE115" s="1"/>
      <c r="AF115" s="1"/>
      <c r="AG115" s="1"/>
    </row>
    <row r="116" spans="1:33" ht="15.75" customHeight="1">
      <c r="A116" s="181"/>
      <c r="B116" s="182" t="s">
        <v>1417</v>
      </c>
      <c r="C116" s="183" t="s">
        <v>56</v>
      </c>
      <c r="D116" s="183" t="s">
        <v>64</v>
      </c>
      <c r="E116" s="183" t="s">
        <v>121</v>
      </c>
      <c r="F116" s="183" t="s">
        <v>30</v>
      </c>
      <c r="G116" s="183" t="s">
        <v>47</v>
      </c>
      <c r="H116" s="184">
        <v>5</v>
      </c>
      <c r="I116" s="184" t="s">
        <v>1418</v>
      </c>
      <c r="J116" s="305">
        <f>K116*(1-Bolts!$E$1179)</f>
        <v>74.900000000000006</v>
      </c>
      <c r="K116" s="306">
        <v>74.900000000000006</v>
      </c>
      <c r="L116" s="168">
        <f t="shared" si="40"/>
        <v>0</v>
      </c>
      <c r="M116" s="211"/>
      <c r="N116" s="169"/>
      <c r="O116" s="170"/>
      <c r="P116" s="171"/>
      <c r="Q116" s="172"/>
      <c r="R116" s="173"/>
      <c r="S116" s="174"/>
      <c r="T116" s="175"/>
      <c r="U116" s="176"/>
      <c r="V116" s="168">
        <f t="shared" si="41"/>
        <v>0</v>
      </c>
      <c r="W116" s="177">
        <f t="shared" si="42"/>
        <v>0</v>
      </c>
      <c r="X116" s="178">
        <v>2.0499999999999998</v>
      </c>
      <c r="Y116" s="179">
        <f t="shared" si="43"/>
        <v>0</v>
      </c>
      <c r="AA116" s="180"/>
      <c r="AD116" s="1"/>
      <c r="AE116" s="1"/>
      <c r="AF116" s="1"/>
      <c r="AG116" s="1"/>
    </row>
    <row r="117" spans="1:33" ht="15.75" customHeight="1">
      <c r="A117" s="181"/>
      <c r="B117" s="182" t="s">
        <v>1419</v>
      </c>
      <c r="C117" s="183" t="s">
        <v>56</v>
      </c>
      <c r="D117" s="183" t="s">
        <v>64</v>
      </c>
      <c r="E117" s="183" t="s">
        <v>121</v>
      </c>
      <c r="F117" s="183" t="s">
        <v>31</v>
      </c>
      <c r="G117" s="183" t="s">
        <v>47</v>
      </c>
      <c r="H117" s="184">
        <v>5</v>
      </c>
      <c r="I117" s="184" t="s">
        <v>1420</v>
      </c>
      <c r="J117" s="305">
        <f>K117*(1-Bolts!$E$1179)</f>
        <v>80.900000000000006</v>
      </c>
      <c r="K117" s="306">
        <v>80.900000000000006</v>
      </c>
      <c r="L117" s="168">
        <f t="shared" si="40"/>
        <v>0</v>
      </c>
      <c r="M117" s="211"/>
      <c r="N117" s="169"/>
      <c r="O117" s="170"/>
      <c r="P117" s="171"/>
      <c r="Q117" s="172"/>
      <c r="R117" s="173"/>
      <c r="S117" s="174"/>
      <c r="T117" s="175"/>
      <c r="U117" s="176"/>
      <c r="V117" s="168">
        <f t="shared" si="41"/>
        <v>0</v>
      </c>
      <c r="W117" s="177">
        <f t="shared" si="42"/>
        <v>0</v>
      </c>
      <c r="X117" s="178">
        <v>1.45</v>
      </c>
      <c r="Y117" s="179">
        <f t="shared" si="43"/>
        <v>0</v>
      </c>
      <c r="AA117" s="180"/>
      <c r="AD117" s="1"/>
      <c r="AE117" s="1"/>
      <c r="AF117" s="1"/>
      <c r="AG117" s="1"/>
    </row>
    <row r="118" spans="1:33" ht="15.75" customHeight="1">
      <c r="A118" s="181"/>
      <c r="B118" s="182" t="s">
        <v>1421</v>
      </c>
      <c r="C118" s="183" t="s">
        <v>56</v>
      </c>
      <c r="D118" s="183" t="s">
        <v>64</v>
      </c>
      <c r="E118" s="183" t="s">
        <v>121</v>
      </c>
      <c r="F118" s="183" t="s">
        <v>31</v>
      </c>
      <c r="G118" s="183" t="s">
        <v>47</v>
      </c>
      <c r="H118" s="184">
        <v>5</v>
      </c>
      <c r="I118" s="184" t="s">
        <v>1422</v>
      </c>
      <c r="J118" s="305">
        <f>K118*(1-Bolts!$E$1179)</f>
        <v>78.2</v>
      </c>
      <c r="K118" s="306">
        <v>78.2</v>
      </c>
      <c r="L118" s="168">
        <f t="shared" si="40"/>
        <v>0</v>
      </c>
      <c r="M118" s="211"/>
      <c r="N118" s="169"/>
      <c r="O118" s="170"/>
      <c r="P118" s="171"/>
      <c r="Q118" s="172"/>
      <c r="R118" s="173"/>
      <c r="S118" s="174"/>
      <c r="T118" s="175"/>
      <c r="U118" s="176"/>
      <c r="V118" s="168">
        <f t="shared" si="41"/>
        <v>0</v>
      </c>
      <c r="W118" s="177">
        <f t="shared" si="42"/>
        <v>0</v>
      </c>
      <c r="X118" s="178">
        <v>1.3</v>
      </c>
      <c r="Y118" s="179">
        <f t="shared" si="43"/>
        <v>0</v>
      </c>
      <c r="AA118" s="180"/>
      <c r="AD118" s="1"/>
      <c r="AE118" s="1"/>
      <c r="AF118" s="1"/>
      <c r="AG118" s="1"/>
    </row>
    <row r="119" spans="1:33" ht="15.75" customHeight="1">
      <c r="A119" s="181" t="s">
        <v>445</v>
      </c>
      <c r="B119" s="245" t="s">
        <v>1423</v>
      </c>
      <c r="C119" s="183" t="s">
        <v>56</v>
      </c>
      <c r="D119" s="183" t="s">
        <v>64</v>
      </c>
      <c r="E119" s="183" t="s">
        <v>121</v>
      </c>
      <c r="F119" s="183" t="s">
        <v>30</v>
      </c>
      <c r="G119" s="183" t="s">
        <v>47</v>
      </c>
      <c r="H119" s="184">
        <v>5</v>
      </c>
      <c r="I119" s="184" t="s">
        <v>1424</v>
      </c>
      <c r="J119" s="305">
        <f>K119*(1-Bolts!$E$1179)</f>
        <v>94.4</v>
      </c>
      <c r="K119" s="306">
        <v>94.4</v>
      </c>
      <c r="L119" s="168">
        <f t="shared" si="40"/>
        <v>0</v>
      </c>
      <c r="M119" s="211"/>
      <c r="N119" s="169"/>
      <c r="O119" s="170"/>
      <c r="P119" s="171"/>
      <c r="Q119" s="172"/>
      <c r="R119" s="173"/>
      <c r="S119" s="174"/>
      <c r="T119" s="175"/>
      <c r="U119" s="176"/>
      <c r="V119" s="168">
        <f t="shared" si="41"/>
        <v>0</v>
      </c>
      <c r="W119" s="177">
        <f t="shared" si="42"/>
        <v>0</v>
      </c>
      <c r="X119" s="178">
        <v>2.2000000000000002</v>
      </c>
      <c r="Y119" s="179">
        <f t="shared" si="43"/>
        <v>0</v>
      </c>
      <c r="AA119" s="180"/>
      <c r="AD119" s="1"/>
      <c r="AE119" s="1"/>
      <c r="AF119" s="1"/>
      <c r="AG119" s="1"/>
    </row>
    <row r="120" spans="1:33" ht="15.75" customHeight="1">
      <c r="A120" s="181"/>
      <c r="B120" s="182" t="s">
        <v>1425</v>
      </c>
      <c r="C120" s="183" t="s">
        <v>56</v>
      </c>
      <c r="D120" s="183" t="s">
        <v>64</v>
      </c>
      <c r="E120" s="183" t="s">
        <v>121</v>
      </c>
      <c r="F120" s="183" t="s">
        <v>30</v>
      </c>
      <c r="G120" s="183" t="s">
        <v>47</v>
      </c>
      <c r="H120" s="184">
        <v>5</v>
      </c>
      <c r="I120" s="184" t="s">
        <v>1426</v>
      </c>
      <c r="J120" s="305">
        <f>K120*(1-Bolts!$E$1179)</f>
        <v>96.2</v>
      </c>
      <c r="K120" s="306">
        <v>96.2</v>
      </c>
      <c r="L120" s="168">
        <f t="shared" si="40"/>
        <v>0</v>
      </c>
      <c r="M120" s="211"/>
      <c r="N120" s="169"/>
      <c r="O120" s="170"/>
      <c r="P120" s="171"/>
      <c r="Q120" s="172"/>
      <c r="R120" s="173"/>
      <c r="S120" s="174"/>
      <c r="T120" s="175"/>
      <c r="U120" s="176"/>
      <c r="V120" s="168">
        <f t="shared" si="41"/>
        <v>0</v>
      </c>
      <c r="W120" s="177">
        <f t="shared" si="42"/>
        <v>0</v>
      </c>
      <c r="X120" s="178">
        <v>2.2999999999999998</v>
      </c>
      <c r="Y120" s="179">
        <f t="shared" si="43"/>
        <v>0</v>
      </c>
      <c r="AA120" s="180"/>
      <c r="AD120" s="1"/>
      <c r="AE120" s="1"/>
      <c r="AF120" s="1"/>
      <c r="AG120" s="1"/>
    </row>
    <row r="121" spans="1:33" ht="15.75" customHeight="1">
      <c r="A121" s="87"/>
      <c r="B121" s="185"/>
      <c r="C121" s="165"/>
      <c r="D121" s="165"/>
      <c r="E121" s="165"/>
      <c r="F121" s="165"/>
      <c r="G121" s="165"/>
      <c r="H121" s="166"/>
      <c r="I121" s="166"/>
      <c r="J121" s="307"/>
      <c r="K121" s="308"/>
      <c r="L121" s="186"/>
      <c r="M121" s="187"/>
      <c r="N121" s="187"/>
      <c r="O121" s="188"/>
      <c r="P121" s="187"/>
      <c r="Q121" s="187"/>
      <c r="R121" s="187"/>
      <c r="S121" s="187"/>
      <c r="T121" s="187"/>
      <c r="U121" s="188"/>
      <c r="V121" s="186"/>
      <c r="W121" s="189"/>
      <c r="X121" s="190"/>
      <c r="Y121" s="191"/>
      <c r="AA121" s="180"/>
      <c r="AD121" s="1"/>
      <c r="AE121" s="1"/>
      <c r="AF121" s="1"/>
      <c r="AG121" s="1"/>
    </row>
    <row r="122" spans="1:33" ht="15.75" customHeight="1">
      <c r="A122" s="87"/>
      <c r="B122" s="192" t="s">
        <v>1427</v>
      </c>
      <c r="C122" s="193" t="s">
        <v>56</v>
      </c>
      <c r="D122" s="193" t="s">
        <v>65</v>
      </c>
      <c r="E122" s="193" t="s">
        <v>121</v>
      </c>
      <c r="F122" s="193" t="s">
        <v>39</v>
      </c>
      <c r="G122" s="193" t="s">
        <v>49</v>
      </c>
      <c r="H122" s="194">
        <v>10</v>
      </c>
      <c r="I122" s="194" t="s">
        <v>1428</v>
      </c>
      <c r="J122" s="305">
        <f>K122*(1-Bolts!$E$1179)</f>
        <v>78.8</v>
      </c>
      <c r="K122" s="306">
        <v>78.8</v>
      </c>
      <c r="L122" s="168">
        <f t="shared" ref="L122:L126" si="44">SUM(M122:U122)</f>
        <v>0</v>
      </c>
      <c r="M122" s="211"/>
      <c r="N122" s="169"/>
      <c r="O122" s="170"/>
      <c r="P122" s="171"/>
      <c r="Q122" s="172"/>
      <c r="R122" s="173"/>
      <c r="S122" s="174"/>
      <c r="T122" s="175"/>
      <c r="U122" s="176"/>
      <c r="V122" s="168">
        <f t="shared" ref="V122:V126" si="45">L122*H122</f>
        <v>0</v>
      </c>
      <c r="W122" s="177">
        <f t="shared" ref="W122:W126" si="46">L122*K122</f>
        <v>0</v>
      </c>
      <c r="X122" s="178" t="s">
        <v>1429</v>
      </c>
      <c r="Y122" s="179">
        <f t="shared" ref="Y122:Y126" si="47">X122*L122</f>
        <v>0</v>
      </c>
      <c r="AA122" s="180"/>
      <c r="AD122" s="1"/>
      <c r="AE122" s="1"/>
      <c r="AF122" s="1"/>
      <c r="AG122" s="1"/>
    </row>
    <row r="123" spans="1:33" ht="15.75" customHeight="1">
      <c r="A123" s="87"/>
      <c r="B123" s="192" t="s">
        <v>1430</v>
      </c>
      <c r="C123" s="193" t="s">
        <v>56</v>
      </c>
      <c r="D123" s="193" t="s">
        <v>65</v>
      </c>
      <c r="E123" s="193" t="s">
        <v>121</v>
      </c>
      <c r="F123" s="193" t="s">
        <v>39</v>
      </c>
      <c r="G123" s="193" t="s">
        <v>48</v>
      </c>
      <c r="H123" s="194">
        <v>10</v>
      </c>
      <c r="I123" s="194" t="s">
        <v>1431</v>
      </c>
      <c r="J123" s="305">
        <f>K123*(1-Bolts!$E$1179)</f>
        <v>59.7</v>
      </c>
      <c r="K123" s="306">
        <v>59.7</v>
      </c>
      <c r="L123" s="168">
        <f t="shared" si="44"/>
        <v>0</v>
      </c>
      <c r="M123" s="211"/>
      <c r="N123" s="169"/>
      <c r="O123" s="170"/>
      <c r="P123" s="171"/>
      <c r="Q123" s="172"/>
      <c r="R123" s="173"/>
      <c r="S123" s="174"/>
      <c r="T123" s="175"/>
      <c r="U123" s="176"/>
      <c r="V123" s="168">
        <f t="shared" si="45"/>
        <v>0</v>
      </c>
      <c r="W123" s="177">
        <f t="shared" si="46"/>
        <v>0</v>
      </c>
      <c r="X123" s="178" t="s">
        <v>1432</v>
      </c>
      <c r="Y123" s="179">
        <f t="shared" si="47"/>
        <v>0</v>
      </c>
      <c r="AA123" s="180"/>
      <c r="AD123" s="1"/>
      <c r="AE123" s="1"/>
      <c r="AF123" s="1"/>
      <c r="AG123" s="1"/>
    </row>
    <row r="124" spans="1:33" ht="15.75" customHeight="1">
      <c r="A124" s="87"/>
      <c r="B124" s="192" t="s">
        <v>1433</v>
      </c>
      <c r="C124" s="193" t="s">
        <v>56</v>
      </c>
      <c r="D124" s="193" t="s">
        <v>65</v>
      </c>
      <c r="E124" s="193" t="s">
        <v>121</v>
      </c>
      <c r="F124" s="193" t="s">
        <v>39</v>
      </c>
      <c r="G124" s="193" t="s">
        <v>49</v>
      </c>
      <c r="H124" s="194">
        <v>10</v>
      </c>
      <c r="I124" s="194" t="s">
        <v>1434</v>
      </c>
      <c r="J124" s="305">
        <f>K124*(1-Bolts!$E$1179)</f>
        <v>70.599999999999994</v>
      </c>
      <c r="K124" s="306">
        <v>70.599999999999994</v>
      </c>
      <c r="L124" s="168">
        <f t="shared" si="44"/>
        <v>0</v>
      </c>
      <c r="M124" s="211"/>
      <c r="N124" s="169"/>
      <c r="O124" s="170"/>
      <c r="P124" s="171"/>
      <c r="Q124" s="172"/>
      <c r="R124" s="173"/>
      <c r="S124" s="174"/>
      <c r="T124" s="175"/>
      <c r="U124" s="176"/>
      <c r="V124" s="168">
        <f t="shared" si="45"/>
        <v>0</v>
      </c>
      <c r="W124" s="177">
        <f t="shared" si="46"/>
        <v>0</v>
      </c>
      <c r="X124" s="178" t="s">
        <v>1435</v>
      </c>
      <c r="Y124" s="179">
        <f t="shared" si="47"/>
        <v>0</v>
      </c>
      <c r="AA124" s="180"/>
      <c r="AD124" s="1"/>
      <c r="AE124" s="1"/>
      <c r="AF124" s="1"/>
      <c r="AG124" s="1"/>
    </row>
    <row r="125" spans="1:33" ht="15.75" customHeight="1">
      <c r="A125" s="181"/>
      <c r="B125" s="182" t="s">
        <v>1436</v>
      </c>
      <c r="C125" s="183" t="s">
        <v>56</v>
      </c>
      <c r="D125" s="183" t="s">
        <v>65</v>
      </c>
      <c r="E125" s="183" t="s">
        <v>121</v>
      </c>
      <c r="F125" s="183" t="s">
        <v>39</v>
      </c>
      <c r="G125" s="183" t="s">
        <v>49</v>
      </c>
      <c r="H125" s="184">
        <v>10</v>
      </c>
      <c r="I125" s="184" t="s">
        <v>1437</v>
      </c>
      <c r="J125" s="305">
        <f>K125*(1-Bolts!$E$1179)</f>
        <v>129.19999999999999</v>
      </c>
      <c r="K125" s="306">
        <v>129.19999999999999</v>
      </c>
      <c r="L125" s="168">
        <f t="shared" si="44"/>
        <v>0</v>
      </c>
      <c r="M125" s="211"/>
      <c r="N125" s="169"/>
      <c r="O125" s="170"/>
      <c r="P125" s="171"/>
      <c r="Q125" s="172"/>
      <c r="R125" s="173"/>
      <c r="S125" s="174"/>
      <c r="T125" s="175"/>
      <c r="U125" s="176"/>
      <c r="V125" s="168">
        <f t="shared" si="45"/>
        <v>0</v>
      </c>
      <c r="W125" s="177">
        <f t="shared" si="46"/>
        <v>0</v>
      </c>
      <c r="X125" s="178">
        <v>3.6</v>
      </c>
      <c r="Y125" s="179">
        <f t="shared" si="47"/>
        <v>0</v>
      </c>
      <c r="AA125" s="180"/>
      <c r="AD125" s="1"/>
      <c r="AE125" s="1"/>
      <c r="AF125" s="1"/>
      <c r="AG125" s="1"/>
    </row>
    <row r="126" spans="1:33" ht="15.75" customHeight="1">
      <c r="A126" s="181"/>
      <c r="B126" s="182" t="s">
        <v>1438</v>
      </c>
      <c r="C126" s="183" t="s">
        <v>56</v>
      </c>
      <c r="D126" s="183" t="s">
        <v>65</v>
      </c>
      <c r="E126" s="183" t="s">
        <v>121</v>
      </c>
      <c r="F126" s="183" t="s">
        <v>39</v>
      </c>
      <c r="G126" s="183" t="s">
        <v>49</v>
      </c>
      <c r="H126" s="184">
        <v>10</v>
      </c>
      <c r="I126" s="184" t="s">
        <v>1439</v>
      </c>
      <c r="J126" s="305">
        <f>K126*(1-Bolts!$E$1179)</f>
        <v>98.4</v>
      </c>
      <c r="K126" s="306">
        <v>98.4</v>
      </c>
      <c r="L126" s="168">
        <f t="shared" si="44"/>
        <v>0</v>
      </c>
      <c r="M126" s="211"/>
      <c r="N126" s="169"/>
      <c r="O126" s="170"/>
      <c r="P126" s="171"/>
      <c r="Q126" s="172"/>
      <c r="R126" s="173"/>
      <c r="S126" s="174"/>
      <c r="T126" s="175"/>
      <c r="U126" s="176"/>
      <c r="V126" s="168">
        <f t="shared" si="45"/>
        <v>0</v>
      </c>
      <c r="W126" s="177">
        <f t="shared" si="46"/>
        <v>0</v>
      </c>
      <c r="X126" s="178">
        <v>1.85</v>
      </c>
      <c r="Y126" s="179">
        <f t="shared" si="47"/>
        <v>0</v>
      </c>
      <c r="AA126" s="180"/>
      <c r="AD126" s="1"/>
      <c r="AE126" s="1"/>
      <c r="AF126" s="1"/>
      <c r="AG126" s="1"/>
    </row>
    <row r="127" spans="1:33" ht="15.75" customHeight="1">
      <c r="A127" s="87"/>
      <c r="B127" s="185"/>
      <c r="C127" s="165"/>
      <c r="D127" s="165"/>
      <c r="E127" s="165"/>
      <c r="F127" s="165"/>
      <c r="G127" s="165"/>
      <c r="H127" s="166"/>
      <c r="I127" s="166"/>
      <c r="J127" s="307"/>
      <c r="K127" s="308"/>
      <c r="L127" s="186"/>
      <c r="M127" s="187"/>
      <c r="N127" s="187"/>
      <c r="O127" s="188"/>
      <c r="P127" s="187"/>
      <c r="Q127" s="187"/>
      <c r="R127" s="187"/>
      <c r="S127" s="187"/>
      <c r="T127" s="187"/>
      <c r="U127" s="188"/>
      <c r="V127" s="186"/>
      <c r="W127" s="189"/>
      <c r="X127" s="190"/>
      <c r="Y127" s="191"/>
      <c r="AA127" s="180"/>
      <c r="AD127" s="1"/>
      <c r="AE127" s="1"/>
      <c r="AF127" s="1"/>
      <c r="AG127" s="1"/>
    </row>
    <row r="128" spans="1:33" ht="15.75" customHeight="1">
      <c r="A128" s="181"/>
      <c r="B128" s="182" t="s">
        <v>1440</v>
      </c>
      <c r="C128" s="183" t="s">
        <v>56</v>
      </c>
      <c r="D128" s="183" t="s">
        <v>38</v>
      </c>
      <c r="E128" s="183" t="s">
        <v>121</v>
      </c>
      <c r="F128" s="183" t="s">
        <v>38</v>
      </c>
      <c r="G128" s="183" t="s">
        <v>49</v>
      </c>
      <c r="H128" s="184">
        <v>4</v>
      </c>
      <c r="I128" s="184" t="s">
        <v>1441</v>
      </c>
      <c r="J128" s="305">
        <f>K128*(1-Bolts!$E$1179)</f>
        <v>145.1</v>
      </c>
      <c r="K128" s="306">
        <v>145.1</v>
      </c>
      <c r="L128" s="168">
        <f t="shared" ref="L128:L130" si="48">SUM(M128:U128)</f>
        <v>0</v>
      </c>
      <c r="M128" s="211"/>
      <c r="N128" s="169"/>
      <c r="O128" s="170"/>
      <c r="P128" s="171"/>
      <c r="Q128" s="172"/>
      <c r="R128" s="173"/>
      <c r="S128" s="174"/>
      <c r="T128" s="175"/>
      <c r="U128" s="176"/>
      <c r="V128" s="168">
        <f t="shared" ref="V128:V130" si="49">L128*H128</f>
        <v>0</v>
      </c>
      <c r="W128" s="177">
        <f t="shared" ref="W128:W130" si="50">L128*K128</f>
        <v>0</v>
      </c>
      <c r="X128" s="178">
        <v>4.55</v>
      </c>
      <c r="Y128" s="179">
        <f t="shared" ref="Y128:Y130" si="51">X128*L128</f>
        <v>0</v>
      </c>
      <c r="AA128" s="180"/>
      <c r="AD128" s="1"/>
      <c r="AE128" s="1"/>
      <c r="AF128" s="1"/>
      <c r="AG128" s="1"/>
    </row>
    <row r="129" spans="1:33" ht="15.75" customHeight="1">
      <c r="A129" s="181"/>
      <c r="B129" s="182" t="s">
        <v>1442</v>
      </c>
      <c r="C129" s="183" t="s">
        <v>56</v>
      </c>
      <c r="D129" s="183" t="s">
        <v>38</v>
      </c>
      <c r="E129" s="183" t="s">
        <v>121</v>
      </c>
      <c r="F129" s="183" t="s">
        <v>38</v>
      </c>
      <c r="G129" s="183" t="s">
        <v>48</v>
      </c>
      <c r="H129" s="184">
        <v>5</v>
      </c>
      <c r="I129" s="184" t="s">
        <v>1443</v>
      </c>
      <c r="J129" s="305">
        <f>K129*(1-Bolts!$E$1179)</f>
        <v>58.2</v>
      </c>
      <c r="K129" s="306">
        <v>58.2</v>
      </c>
      <c r="L129" s="168">
        <f t="shared" si="48"/>
        <v>0</v>
      </c>
      <c r="M129" s="211"/>
      <c r="N129" s="169"/>
      <c r="O129" s="170"/>
      <c r="P129" s="171"/>
      <c r="Q129" s="172"/>
      <c r="R129" s="173"/>
      <c r="S129" s="174"/>
      <c r="T129" s="175"/>
      <c r="U129" s="176"/>
      <c r="V129" s="168">
        <f t="shared" si="49"/>
        <v>0</v>
      </c>
      <c r="W129" s="177">
        <f t="shared" si="50"/>
        <v>0</v>
      </c>
      <c r="X129" s="178">
        <v>0.9</v>
      </c>
      <c r="Y129" s="179">
        <f t="shared" si="51"/>
        <v>0</v>
      </c>
      <c r="AA129" s="212"/>
      <c r="AD129" s="1"/>
      <c r="AE129" s="1"/>
      <c r="AF129" s="1"/>
      <c r="AG129" s="1"/>
    </row>
    <row r="130" spans="1:33" ht="15.75" customHeight="1">
      <c r="A130" s="181"/>
      <c r="B130" s="329" t="s">
        <v>1444</v>
      </c>
      <c r="C130" s="330" t="s">
        <v>56</v>
      </c>
      <c r="D130" s="330" t="s">
        <v>64</v>
      </c>
      <c r="E130" s="330" t="s">
        <v>121</v>
      </c>
      <c r="F130" s="330" t="s">
        <v>38</v>
      </c>
      <c r="G130" s="330" t="s">
        <v>49</v>
      </c>
      <c r="H130" s="331">
        <v>5</v>
      </c>
      <c r="I130" s="331" t="s">
        <v>1445</v>
      </c>
      <c r="J130" s="305">
        <f>K130*(1-Bolts!$E$1179)</f>
        <v>92</v>
      </c>
      <c r="K130" s="306">
        <v>92</v>
      </c>
      <c r="L130" s="168">
        <f t="shared" si="48"/>
        <v>0</v>
      </c>
      <c r="M130" s="211"/>
      <c r="N130" s="169"/>
      <c r="O130" s="170"/>
      <c r="P130" s="171"/>
      <c r="Q130" s="172"/>
      <c r="R130" s="173"/>
      <c r="S130" s="174"/>
      <c r="T130" s="175"/>
      <c r="U130" s="176"/>
      <c r="V130" s="168">
        <f t="shared" si="49"/>
        <v>0</v>
      </c>
      <c r="W130" s="177">
        <f t="shared" si="50"/>
        <v>0</v>
      </c>
      <c r="X130" s="178">
        <v>1.95</v>
      </c>
      <c r="Y130" s="179">
        <f t="shared" si="51"/>
        <v>0</v>
      </c>
      <c r="AA130" s="180"/>
      <c r="AD130" s="1"/>
      <c r="AE130" s="1"/>
      <c r="AF130" s="1"/>
      <c r="AG130" s="1"/>
    </row>
    <row r="131" spans="1:33" ht="15.75" customHeight="1">
      <c r="A131" s="139" t="s">
        <v>1446</v>
      </c>
      <c r="B131" s="333"/>
      <c r="C131" s="243"/>
      <c r="D131" s="243"/>
      <c r="E131" s="243" t="s">
        <v>121</v>
      </c>
      <c r="F131" s="243"/>
      <c r="G131" s="243"/>
      <c r="H131" s="243"/>
      <c r="I131" s="243"/>
      <c r="J131" s="334"/>
      <c r="K131" s="308"/>
      <c r="L131" s="243"/>
      <c r="M131" s="243"/>
      <c r="N131" s="243"/>
      <c r="O131" s="243"/>
      <c r="P131" s="243"/>
      <c r="Q131" s="243"/>
      <c r="R131" s="243"/>
      <c r="S131" s="243"/>
      <c r="T131" s="243"/>
      <c r="U131" s="243"/>
      <c r="V131" s="243"/>
      <c r="W131" s="243"/>
      <c r="X131" s="243"/>
      <c r="Y131" s="244"/>
      <c r="AA131" s="180"/>
      <c r="AD131" s="1"/>
      <c r="AE131" s="1"/>
      <c r="AF131" s="1"/>
      <c r="AG131" s="1"/>
    </row>
    <row r="132" spans="1:33" ht="15.75" customHeight="1">
      <c r="A132" s="87"/>
      <c r="B132" s="192" t="s">
        <v>1447</v>
      </c>
      <c r="C132" s="193" t="s">
        <v>58</v>
      </c>
      <c r="D132" s="193" t="s">
        <v>61</v>
      </c>
      <c r="E132" s="193" t="s">
        <v>121</v>
      </c>
      <c r="F132" s="193" t="s">
        <v>37</v>
      </c>
      <c r="G132" s="193" t="s">
        <v>49</v>
      </c>
      <c r="H132" s="194">
        <v>1</v>
      </c>
      <c r="I132" s="194" t="s">
        <v>1448</v>
      </c>
      <c r="J132" s="305">
        <f>K132*(1-Bolts!$E$1179)</f>
        <v>72.5</v>
      </c>
      <c r="K132" s="306">
        <v>72.5</v>
      </c>
      <c r="L132" s="168">
        <f t="shared" ref="L132:L134" si="52">SUM(M132:U132)</f>
        <v>0</v>
      </c>
      <c r="M132" s="211"/>
      <c r="N132" s="169"/>
      <c r="O132" s="170"/>
      <c r="P132" s="171"/>
      <c r="Q132" s="172"/>
      <c r="R132" s="173"/>
      <c r="S132" s="174"/>
      <c r="T132" s="175"/>
      <c r="U132" s="176"/>
      <c r="V132" s="168">
        <f t="shared" ref="V132:V134" si="53">L132*H132</f>
        <v>0</v>
      </c>
      <c r="W132" s="177">
        <f t="shared" ref="W132:W134" si="54">L132*K132</f>
        <v>0</v>
      </c>
      <c r="X132" s="178" t="s">
        <v>1449</v>
      </c>
      <c r="Y132" s="179">
        <f t="shared" ref="Y132:Y134" si="55">X132*L132</f>
        <v>0</v>
      </c>
      <c r="AA132" s="180"/>
      <c r="AD132" s="1"/>
      <c r="AE132" s="1"/>
      <c r="AF132" s="1"/>
      <c r="AG132" s="1"/>
    </row>
    <row r="133" spans="1:33" ht="15.75" customHeight="1">
      <c r="A133" s="87"/>
      <c r="B133" s="192" t="s">
        <v>1450</v>
      </c>
      <c r="C133" s="193" t="s">
        <v>58</v>
      </c>
      <c r="D133" s="193" t="s">
        <v>61</v>
      </c>
      <c r="E133" s="193" t="s">
        <v>121</v>
      </c>
      <c r="F133" s="193" t="s">
        <v>37</v>
      </c>
      <c r="G133" s="193" t="s">
        <v>49</v>
      </c>
      <c r="H133" s="194">
        <v>1</v>
      </c>
      <c r="I133" s="194" t="s">
        <v>1451</v>
      </c>
      <c r="J133" s="305">
        <f>K133*(1-Bolts!$E$1179)</f>
        <v>54.7</v>
      </c>
      <c r="K133" s="306">
        <v>54.7</v>
      </c>
      <c r="L133" s="168">
        <f t="shared" si="52"/>
        <v>0</v>
      </c>
      <c r="M133" s="211"/>
      <c r="N133" s="169"/>
      <c r="O133" s="170"/>
      <c r="P133" s="171"/>
      <c r="Q133" s="172"/>
      <c r="R133" s="173"/>
      <c r="S133" s="174"/>
      <c r="T133" s="175"/>
      <c r="U133" s="176"/>
      <c r="V133" s="168">
        <f t="shared" si="53"/>
        <v>0</v>
      </c>
      <c r="W133" s="177">
        <f t="shared" si="54"/>
        <v>0</v>
      </c>
      <c r="X133" s="178" t="s">
        <v>1452</v>
      </c>
      <c r="Y133" s="179">
        <f t="shared" si="55"/>
        <v>0</v>
      </c>
      <c r="AA133" s="180"/>
      <c r="AD133" s="1"/>
      <c r="AE133" s="1"/>
      <c r="AF133" s="1"/>
      <c r="AG133" s="1"/>
    </row>
    <row r="134" spans="1:33" ht="15.75" customHeight="1">
      <c r="A134" s="87"/>
      <c r="B134" s="192" t="s">
        <v>1453</v>
      </c>
      <c r="C134" s="193" t="s">
        <v>58</v>
      </c>
      <c r="D134" s="193" t="s">
        <v>61</v>
      </c>
      <c r="E134" s="193" t="s">
        <v>121</v>
      </c>
      <c r="F134" s="193" t="s">
        <v>37</v>
      </c>
      <c r="G134" s="193" t="s">
        <v>49</v>
      </c>
      <c r="H134" s="194">
        <v>1</v>
      </c>
      <c r="I134" s="194" t="s">
        <v>1454</v>
      </c>
      <c r="J134" s="305">
        <f>K134*(1-Bolts!$E$1179)</f>
        <v>69</v>
      </c>
      <c r="K134" s="306">
        <v>69</v>
      </c>
      <c r="L134" s="168">
        <f t="shared" si="52"/>
        <v>0</v>
      </c>
      <c r="M134" s="211"/>
      <c r="N134" s="169"/>
      <c r="O134" s="170"/>
      <c r="P134" s="171"/>
      <c r="Q134" s="172"/>
      <c r="R134" s="173"/>
      <c r="S134" s="174"/>
      <c r="T134" s="175"/>
      <c r="U134" s="176"/>
      <c r="V134" s="168">
        <f t="shared" si="53"/>
        <v>0</v>
      </c>
      <c r="W134" s="177">
        <f t="shared" si="54"/>
        <v>0</v>
      </c>
      <c r="X134" s="178" t="s">
        <v>1455</v>
      </c>
      <c r="Y134" s="179">
        <f t="shared" si="55"/>
        <v>0</v>
      </c>
      <c r="AA134" s="180"/>
      <c r="AD134" s="1"/>
      <c r="AE134" s="1"/>
      <c r="AF134" s="1"/>
      <c r="AG134" s="1"/>
    </row>
    <row r="135" spans="1:33" ht="15.75" customHeight="1">
      <c r="A135" s="87"/>
      <c r="B135" s="185"/>
      <c r="C135" s="165"/>
      <c r="D135" s="165"/>
      <c r="E135" s="165"/>
      <c r="F135" s="165"/>
      <c r="G135" s="165"/>
      <c r="H135" s="166"/>
      <c r="I135" s="166"/>
      <c r="J135" s="307"/>
      <c r="K135" s="308"/>
      <c r="L135" s="186"/>
      <c r="M135" s="187"/>
      <c r="N135" s="187"/>
      <c r="O135" s="188"/>
      <c r="P135" s="187"/>
      <c r="Q135" s="187"/>
      <c r="R135" s="187"/>
      <c r="S135" s="187"/>
      <c r="T135" s="187"/>
      <c r="U135" s="188"/>
      <c r="V135" s="186"/>
      <c r="W135" s="189"/>
      <c r="X135" s="190"/>
      <c r="Y135" s="191"/>
      <c r="AA135" s="180"/>
      <c r="AD135" s="1"/>
      <c r="AE135" s="1"/>
      <c r="AF135" s="1"/>
      <c r="AG135" s="1"/>
    </row>
    <row r="136" spans="1:33" ht="15.75" customHeight="1">
      <c r="A136" s="87"/>
      <c r="B136" s="192" t="s">
        <v>1456</v>
      </c>
      <c r="C136" s="193" t="s">
        <v>58</v>
      </c>
      <c r="D136" s="193" t="s">
        <v>62</v>
      </c>
      <c r="E136" s="193" t="s">
        <v>121</v>
      </c>
      <c r="F136" s="193" t="s">
        <v>33</v>
      </c>
      <c r="G136" s="193" t="s">
        <v>48</v>
      </c>
      <c r="H136" s="194">
        <v>3</v>
      </c>
      <c r="I136" s="194" t="s">
        <v>1457</v>
      </c>
      <c r="J136" s="305">
        <f>K136*(1-Bolts!$E$1179)</f>
        <v>159.1</v>
      </c>
      <c r="K136" s="306">
        <v>159.1</v>
      </c>
      <c r="L136" s="168">
        <f>SUM(M136:U136)</f>
        <v>0</v>
      </c>
      <c r="M136" s="211"/>
      <c r="N136" s="169"/>
      <c r="O136" s="170"/>
      <c r="P136" s="171"/>
      <c r="Q136" s="172"/>
      <c r="R136" s="173"/>
      <c r="S136" s="174"/>
      <c r="T136" s="175"/>
      <c r="U136" s="176"/>
      <c r="V136" s="168">
        <f>L136*H136</f>
        <v>0</v>
      </c>
      <c r="W136" s="177">
        <f>L136*K136</f>
        <v>0</v>
      </c>
      <c r="X136" s="178" t="s">
        <v>1458</v>
      </c>
      <c r="Y136" s="179">
        <f>X136*L136</f>
        <v>0</v>
      </c>
      <c r="AA136" s="180"/>
      <c r="AD136" s="1"/>
      <c r="AE136" s="1"/>
      <c r="AF136" s="1"/>
      <c r="AG136" s="1"/>
    </row>
    <row r="137" spans="1:33" ht="15.75" customHeight="1">
      <c r="A137" s="87"/>
      <c r="B137" s="185"/>
      <c r="C137" s="165"/>
      <c r="D137" s="165"/>
      <c r="E137" s="165"/>
      <c r="F137" s="165"/>
      <c r="G137" s="165"/>
      <c r="H137" s="166"/>
      <c r="I137" s="166"/>
      <c r="J137" s="307"/>
      <c r="K137" s="308"/>
      <c r="L137" s="186"/>
      <c r="M137" s="187"/>
      <c r="N137" s="187"/>
      <c r="O137" s="188"/>
      <c r="P137" s="187"/>
      <c r="Q137" s="187"/>
      <c r="R137" s="187"/>
      <c r="S137" s="187"/>
      <c r="T137" s="187"/>
      <c r="U137" s="188"/>
      <c r="V137" s="186"/>
      <c r="W137" s="189"/>
      <c r="X137" s="190"/>
      <c r="Y137" s="191"/>
      <c r="AA137" s="180"/>
      <c r="AD137" s="1"/>
      <c r="AE137" s="1"/>
      <c r="AF137" s="1"/>
      <c r="AG137" s="1"/>
    </row>
    <row r="138" spans="1:33" ht="15.75" customHeight="1">
      <c r="A138" s="87"/>
      <c r="B138" s="192" t="s">
        <v>1459</v>
      </c>
      <c r="C138" s="193" t="s">
        <v>58</v>
      </c>
      <c r="D138" s="193" t="s">
        <v>63</v>
      </c>
      <c r="E138" s="193" t="s">
        <v>121</v>
      </c>
      <c r="F138" s="193" t="s">
        <v>37</v>
      </c>
      <c r="G138" s="193" t="s">
        <v>49</v>
      </c>
      <c r="H138" s="194">
        <v>7</v>
      </c>
      <c r="I138" s="194" t="s">
        <v>1460</v>
      </c>
      <c r="J138" s="305">
        <f>K138*(1-Bolts!$E$1179)</f>
        <v>112.7</v>
      </c>
      <c r="K138" s="306">
        <v>112.7</v>
      </c>
      <c r="L138" s="168">
        <f t="shared" ref="L138:L139" si="56">SUM(M138:U138)</f>
        <v>0</v>
      </c>
      <c r="M138" s="211"/>
      <c r="N138" s="169"/>
      <c r="O138" s="170"/>
      <c r="P138" s="171"/>
      <c r="Q138" s="172"/>
      <c r="R138" s="173"/>
      <c r="S138" s="174"/>
      <c r="T138" s="175"/>
      <c r="U138" s="176"/>
      <c r="V138" s="168">
        <f t="shared" ref="V138:V139" si="57">L138*H138</f>
        <v>0</v>
      </c>
      <c r="W138" s="177">
        <f t="shared" ref="W138:W139" si="58">L138*K138</f>
        <v>0</v>
      </c>
      <c r="X138" s="178" t="s">
        <v>1461</v>
      </c>
      <c r="Y138" s="179">
        <f t="shared" ref="Y138:Y139" si="59">X138*L138</f>
        <v>0</v>
      </c>
      <c r="AA138" s="180"/>
      <c r="AD138" s="1"/>
      <c r="AE138" s="1"/>
      <c r="AF138" s="1"/>
      <c r="AG138" s="1"/>
    </row>
    <row r="139" spans="1:33" ht="15.75" customHeight="1">
      <c r="A139" s="87"/>
      <c r="B139" s="192" t="s">
        <v>1462</v>
      </c>
      <c r="C139" s="193" t="s">
        <v>58</v>
      </c>
      <c r="D139" s="193" t="s">
        <v>63</v>
      </c>
      <c r="E139" s="193" t="s">
        <v>121</v>
      </c>
      <c r="F139" s="193" t="s">
        <v>31</v>
      </c>
      <c r="G139" s="193" t="s">
        <v>47</v>
      </c>
      <c r="H139" s="194">
        <v>7</v>
      </c>
      <c r="I139" s="194" t="s">
        <v>1463</v>
      </c>
      <c r="J139" s="305">
        <f>K139*(1-Bolts!$E$1179)</f>
        <v>195.6</v>
      </c>
      <c r="K139" s="306">
        <v>195.6</v>
      </c>
      <c r="L139" s="168">
        <f t="shared" si="56"/>
        <v>0</v>
      </c>
      <c r="M139" s="211"/>
      <c r="N139" s="169"/>
      <c r="O139" s="170"/>
      <c r="P139" s="171"/>
      <c r="Q139" s="172"/>
      <c r="R139" s="173"/>
      <c r="S139" s="174"/>
      <c r="T139" s="175"/>
      <c r="U139" s="176"/>
      <c r="V139" s="168">
        <f t="shared" si="57"/>
        <v>0</v>
      </c>
      <c r="W139" s="177">
        <f t="shared" si="58"/>
        <v>0</v>
      </c>
      <c r="X139" s="178" t="s">
        <v>1464</v>
      </c>
      <c r="Y139" s="179">
        <f t="shared" si="59"/>
        <v>0</v>
      </c>
      <c r="AA139" s="180"/>
      <c r="AD139" s="1"/>
      <c r="AE139" s="1"/>
      <c r="AF139" s="1"/>
      <c r="AG139" s="1"/>
    </row>
    <row r="140" spans="1:33" ht="15.75" customHeight="1">
      <c r="A140" s="87"/>
      <c r="B140" s="185"/>
      <c r="C140" s="165"/>
      <c r="D140" s="165"/>
      <c r="E140" s="165"/>
      <c r="F140" s="165"/>
      <c r="G140" s="165"/>
      <c r="H140" s="166"/>
      <c r="I140" s="166"/>
      <c r="J140" s="307"/>
      <c r="K140" s="308"/>
      <c r="L140" s="186"/>
      <c r="M140" s="187"/>
      <c r="N140" s="187"/>
      <c r="O140" s="188"/>
      <c r="P140" s="187"/>
      <c r="Q140" s="187"/>
      <c r="R140" s="187"/>
      <c r="S140" s="187"/>
      <c r="T140" s="187"/>
      <c r="U140" s="188"/>
      <c r="V140" s="186"/>
      <c r="W140" s="189"/>
      <c r="X140" s="190"/>
      <c r="Y140" s="191"/>
      <c r="AA140" s="180"/>
      <c r="AD140" s="1"/>
      <c r="AE140" s="1"/>
      <c r="AF140" s="1"/>
      <c r="AG140" s="1"/>
    </row>
    <row r="141" spans="1:33" ht="15.75" customHeight="1">
      <c r="A141" s="87"/>
      <c r="B141" s="192" t="s">
        <v>1465</v>
      </c>
      <c r="C141" s="193" t="s">
        <v>58</v>
      </c>
      <c r="D141" s="193" t="s">
        <v>48</v>
      </c>
      <c r="E141" s="193" t="s">
        <v>121</v>
      </c>
      <c r="F141" s="193" t="s">
        <v>30</v>
      </c>
      <c r="G141" s="193" t="s">
        <v>48</v>
      </c>
      <c r="H141" s="194">
        <v>7</v>
      </c>
      <c r="I141" s="194" t="s">
        <v>1466</v>
      </c>
      <c r="J141" s="305">
        <f>K141*(1-Bolts!$E$1179)</f>
        <v>64.599999999999994</v>
      </c>
      <c r="K141" s="306">
        <v>64.599999999999994</v>
      </c>
      <c r="L141" s="168">
        <f t="shared" ref="L141:L142" si="60">SUM(M141:U141)</f>
        <v>0</v>
      </c>
      <c r="M141" s="211"/>
      <c r="N141" s="169"/>
      <c r="O141" s="170"/>
      <c r="P141" s="171"/>
      <c r="Q141" s="172"/>
      <c r="R141" s="173"/>
      <c r="S141" s="174"/>
      <c r="T141" s="175"/>
      <c r="U141" s="176"/>
      <c r="V141" s="168">
        <f t="shared" ref="V141:V142" si="61">L141*H141</f>
        <v>0</v>
      </c>
      <c r="W141" s="177">
        <f t="shared" ref="W141:W142" si="62">L141*K141</f>
        <v>0</v>
      </c>
      <c r="X141" s="178" t="s">
        <v>1404</v>
      </c>
      <c r="Y141" s="179">
        <f t="shared" ref="Y141:Y142" si="63">X141*L141</f>
        <v>0</v>
      </c>
      <c r="AA141" s="180"/>
      <c r="AD141" s="1"/>
      <c r="AE141" s="1"/>
      <c r="AF141" s="1"/>
      <c r="AG141" s="1"/>
    </row>
    <row r="142" spans="1:33" ht="15.75" customHeight="1">
      <c r="A142" s="87"/>
      <c r="B142" s="192" t="s">
        <v>1467</v>
      </c>
      <c r="C142" s="193" t="s">
        <v>58</v>
      </c>
      <c r="D142" s="193" t="s">
        <v>48</v>
      </c>
      <c r="E142" s="193" t="s">
        <v>121</v>
      </c>
      <c r="F142" s="193" t="s">
        <v>35</v>
      </c>
      <c r="G142" s="193" t="s">
        <v>49</v>
      </c>
      <c r="H142" s="194">
        <v>5</v>
      </c>
      <c r="I142" s="194" t="s">
        <v>1468</v>
      </c>
      <c r="J142" s="305">
        <f>K142*(1-Bolts!$E$1179)</f>
        <v>95.2</v>
      </c>
      <c r="K142" s="306">
        <v>95.2</v>
      </c>
      <c r="L142" s="168">
        <f t="shared" si="60"/>
        <v>0</v>
      </c>
      <c r="M142" s="211"/>
      <c r="N142" s="169"/>
      <c r="O142" s="170"/>
      <c r="P142" s="171"/>
      <c r="Q142" s="172"/>
      <c r="R142" s="173"/>
      <c r="S142" s="174"/>
      <c r="T142" s="175"/>
      <c r="U142" s="176"/>
      <c r="V142" s="168">
        <f t="shared" si="61"/>
        <v>0</v>
      </c>
      <c r="W142" s="177">
        <f t="shared" si="62"/>
        <v>0</v>
      </c>
      <c r="X142" s="178" t="s">
        <v>1469</v>
      </c>
      <c r="Y142" s="179">
        <f t="shared" si="63"/>
        <v>0</v>
      </c>
      <c r="AA142" s="180"/>
      <c r="AD142" s="1"/>
      <c r="AE142" s="1"/>
      <c r="AF142" s="1"/>
      <c r="AG142" s="1"/>
    </row>
    <row r="143" spans="1:33" ht="15.75" customHeight="1">
      <c r="A143" s="87"/>
      <c r="B143" s="185"/>
      <c r="C143" s="165"/>
      <c r="D143" s="165"/>
      <c r="E143" s="165"/>
      <c r="F143" s="165"/>
      <c r="G143" s="165"/>
      <c r="H143" s="166"/>
      <c r="I143" s="166"/>
      <c r="J143" s="307"/>
      <c r="K143" s="308"/>
      <c r="L143" s="186"/>
      <c r="M143" s="187"/>
      <c r="N143" s="187"/>
      <c r="O143" s="188"/>
      <c r="P143" s="187"/>
      <c r="Q143" s="187"/>
      <c r="R143" s="187"/>
      <c r="S143" s="187"/>
      <c r="T143" s="187"/>
      <c r="U143" s="188"/>
      <c r="V143" s="186"/>
      <c r="W143" s="189"/>
      <c r="X143" s="190"/>
      <c r="Y143" s="191"/>
      <c r="AA143" s="180"/>
      <c r="AD143" s="1"/>
      <c r="AE143" s="1"/>
      <c r="AF143" s="1"/>
      <c r="AG143" s="1"/>
    </row>
    <row r="144" spans="1:33" ht="15.75" customHeight="1">
      <c r="A144" s="87"/>
      <c r="B144" s="192" t="s">
        <v>1470</v>
      </c>
      <c r="C144" s="193" t="s">
        <v>58</v>
      </c>
      <c r="D144" s="193" t="s">
        <v>64</v>
      </c>
      <c r="E144" s="193" t="s">
        <v>121</v>
      </c>
      <c r="F144" s="193" t="s">
        <v>33</v>
      </c>
      <c r="G144" s="193" t="s">
        <v>49</v>
      </c>
      <c r="H144" s="194">
        <v>5</v>
      </c>
      <c r="I144" s="194" t="s">
        <v>1471</v>
      </c>
      <c r="J144" s="305">
        <f>K144*(1-Bolts!$E$1179)</f>
        <v>47.9</v>
      </c>
      <c r="K144" s="306">
        <v>47.9</v>
      </c>
      <c r="L144" s="168">
        <f t="shared" ref="L144:L145" si="64">SUM(M144:U144)</f>
        <v>0</v>
      </c>
      <c r="M144" s="211"/>
      <c r="N144" s="169"/>
      <c r="O144" s="170"/>
      <c r="P144" s="171"/>
      <c r="Q144" s="172"/>
      <c r="R144" s="173"/>
      <c r="S144" s="174"/>
      <c r="T144" s="175"/>
      <c r="U144" s="176"/>
      <c r="V144" s="168">
        <f t="shared" ref="V144:V145" si="65">L144*H144</f>
        <v>0</v>
      </c>
      <c r="W144" s="177">
        <f t="shared" ref="W144:W145" si="66">L144*K144</f>
        <v>0</v>
      </c>
      <c r="X144" s="178" t="s">
        <v>1472</v>
      </c>
      <c r="Y144" s="179">
        <f t="shared" ref="Y144:Y145" si="67">X144*L144</f>
        <v>0</v>
      </c>
      <c r="AA144" s="212"/>
      <c r="AD144" s="1"/>
      <c r="AE144" s="1"/>
      <c r="AF144" s="1"/>
      <c r="AG144" s="1"/>
    </row>
    <row r="145" spans="1:33" ht="15.75" customHeight="1">
      <c r="A145" s="87"/>
      <c r="B145" s="192" t="s">
        <v>1473</v>
      </c>
      <c r="C145" s="193" t="s">
        <v>58</v>
      </c>
      <c r="D145" s="193" t="s">
        <v>64</v>
      </c>
      <c r="E145" s="193" t="s">
        <v>121</v>
      </c>
      <c r="F145" s="193" t="s">
        <v>32</v>
      </c>
      <c r="G145" s="193" t="s">
        <v>49</v>
      </c>
      <c r="H145" s="194">
        <v>6</v>
      </c>
      <c r="I145" s="194" t="s">
        <v>1474</v>
      </c>
      <c r="J145" s="305">
        <f>K145*(1-Bolts!$E$1179)</f>
        <v>50.4</v>
      </c>
      <c r="K145" s="306">
        <v>50.4</v>
      </c>
      <c r="L145" s="168">
        <f t="shared" si="64"/>
        <v>0</v>
      </c>
      <c r="M145" s="211"/>
      <c r="N145" s="169"/>
      <c r="O145" s="170"/>
      <c r="P145" s="171"/>
      <c r="Q145" s="172"/>
      <c r="R145" s="173"/>
      <c r="S145" s="174"/>
      <c r="T145" s="175"/>
      <c r="U145" s="176"/>
      <c r="V145" s="168">
        <f t="shared" si="65"/>
        <v>0</v>
      </c>
      <c r="W145" s="177">
        <f t="shared" si="66"/>
        <v>0</v>
      </c>
      <c r="X145" s="178" t="s">
        <v>1472</v>
      </c>
      <c r="Y145" s="179">
        <f t="shared" si="67"/>
        <v>0</v>
      </c>
      <c r="AA145" s="180"/>
      <c r="AD145" s="1"/>
      <c r="AE145" s="1"/>
      <c r="AF145" s="1"/>
      <c r="AG145" s="1"/>
    </row>
    <row r="146" spans="1:33" ht="15.75" customHeight="1">
      <c r="A146" s="139" t="s">
        <v>1475</v>
      </c>
      <c r="B146" s="335"/>
      <c r="C146" s="207"/>
      <c r="D146" s="207"/>
      <c r="E146" s="207" t="s">
        <v>121</v>
      </c>
      <c r="F146" s="207"/>
      <c r="G146" s="207"/>
      <c r="H146" s="207"/>
      <c r="I146" s="207"/>
      <c r="J146" s="336"/>
      <c r="K146" s="308"/>
      <c r="L146" s="207"/>
      <c r="M146" s="207"/>
      <c r="N146" s="207"/>
      <c r="O146" s="207"/>
      <c r="P146" s="207"/>
      <c r="Q146" s="207"/>
      <c r="R146" s="207"/>
      <c r="S146" s="207"/>
      <c r="T146" s="207"/>
      <c r="U146" s="207"/>
      <c r="V146" s="207"/>
      <c r="W146" s="207"/>
      <c r="X146" s="207"/>
      <c r="Y146" s="208"/>
      <c r="AA146" s="180"/>
      <c r="AD146" s="1"/>
      <c r="AE146" s="1"/>
      <c r="AF146" s="1"/>
      <c r="AG146" s="1"/>
    </row>
    <row r="147" spans="1:33" ht="15.75" customHeight="1">
      <c r="A147" s="87"/>
      <c r="B147" s="192" t="s">
        <v>1476</v>
      </c>
      <c r="C147" s="193" t="s">
        <v>55</v>
      </c>
      <c r="D147" s="193" t="s">
        <v>60</v>
      </c>
      <c r="E147" s="193" t="s">
        <v>121</v>
      </c>
      <c r="F147" s="193" t="s">
        <v>28</v>
      </c>
      <c r="G147" s="193" t="s">
        <v>48</v>
      </c>
      <c r="H147" s="194">
        <v>1</v>
      </c>
      <c r="I147" s="194" t="s">
        <v>1477</v>
      </c>
      <c r="J147" s="305">
        <f>K147*(1-Bolts!$E$1179)</f>
        <v>103.4</v>
      </c>
      <c r="K147" s="306">
        <v>103.4</v>
      </c>
      <c r="L147" s="168">
        <f t="shared" ref="L147:L149" si="68">SUM(M147:U147)</f>
        <v>0</v>
      </c>
      <c r="M147" s="211"/>
      <c r="N147" s="169"/>
      <c r="O147" s="170"/>
      <c r="P147" s="171"/>
      <c r="Q147" s="172"/>
      <c r="R147" s="173"/>
      <c r="S147" s="174"/>
      <c r="T147" s="175"/>
      <c r="U147" s="176"/>
      <c r="V147" s="168">
        <f t="shared" ref="V147:V149" si="69">L147*H147</f>
        <v>0</v>
      </c>
      <c r="W147" s="177">
        <f t="shared" ref="W147:W149" si="70">L147*K147</f>
        <v>0</v>
      </c>
      <c r="X147" s="178" t="s">
        <v>1461</v>
      </c>
      <c r="Y147" s="179">
        <f t="shared" ref="Y147:Y149" si="71">X147*L147</f>
        <v>0</v>
      </c>
      <c r="AA147" s="180"/>
      <c r="AD147" s="1"/>
      <c r="AE147" s="1"/>
      <c r="AF147" s="1"/>
      <c r="AG147" s="1"/>
    </row>
    <row r="148" spans="1:33" ht="15.75" customHeight="1">
      <c r="A148" s="87"/>
      <c r="B148" s="192" t="s">
        <v>1478</v>
      </c>
      <c r="C148" s="193" t="s">
        <v>55</v>
      </c>
      <c r="D148" s="193" t="s">
        <v>61</v>
      </c>
      <c r="E148" s="193" t="s">
        <v>121</v>
      </c>
      <c r="F148" s="193" t="s">
        <v>29</v>
      </c>
      <c r="G148" s="193" t="s">
        <v>47</v>
      </c>
      <c r="H148" s="194">
        <v>3</v>
      </c>
      <c r="I148" s="194" t="s">
        <v>1479</v>
      </c>
      <c r="J148" s="305">
        <f>K148*(1-Bolts!$E$1179)</f>
        <v>237.7</v>
      </c>
      <c r="K148" s="306">
        <v>237.7</v>
      </c>
      <c r="L148" s="168">
        <f t="shared" si="68"/>
        <v>0</v>
      </c>
      <c r="M148" s="211"/>
      <c r="N148" s="169"/>
      <c r="O148" s="170"/>
      <c r="P148" s="171"/>
      <c r="Q148" s="172"/>
      <c r="R148" s="173"/>
      <c r="S148" s="174"/>
      <c r="T148" s="175"/>
      <c r="U148" s="176"/>
      <c r="V148" s="168">
        <f t="shared" si="69"/>
        <v>0</v>
      </c>
      <c r="W148" s="177">
        <f t="shared" si="70"/>
        <v>0</v>
      </c>
      <c r="X148" s="178" t="s">
        <v>1480</v>
      </c>
      <c r="Y148" s="179">
        <f t="shared" si="71"/>
        <v>0</v>
      </c>
      <c r="AA148" s="212"/>
      <c r="AD148" s="1"/>
      <c r="AE148" s="1"/>
      <c r="AF148" s="1"/>
      <c r="AG148" s="1"/>
    </row>
    <row r="149" spans="1:33" ht="15.75" customHeight="1">
      <c r="A149" s="87"/>
      <c r="B149" s="192" t="s">
        <v>1481</v>
      </c>
      <c r="C149" s="193" t="s">
        <v>55</v>
      </c>
      <c r="D149" s="193" t="s">
        <v>61</v>
      </c>
      <c r="E149" s="193" t="s">
        <v>121</v>
      </c>
      <c r="F149" s="193" t="s">
        <v>35</v>
      </c>
      <c r="G149" s="193" t="s">
        <v>48</v>
      </c>
      <c r="H149" s="194">
        <v>5</v>
      </c>
      <c r="I149" s="194" t="s">
        <v>1482</v>
      </c>
      <c r="J149" s="305">
        <f>K149*(1-Bolts!$E$1179)</f>
        <v>292</v>
      </c>
      <c r="K149" s="306">
        <v>292</v>
      </c>
      <c r="L149" s="168">
        <f t="shared" si="68"/>
        <v>0</v>
      </c>
      <c r="M149" s="211"/>
      <c r="N149" s="169"/>
      <c r="O149" s="170"/>
      <c r="P149" s="171"/>
      <c r="Q149" s="172"/>
      <c r="R149" s="173"/>
      <c r="S149" s="174"/>
      <c r="T149" s="175"/>
      <c r="U149" s="176"/>
      <c r="V149" s="168">
        <f t="shared" si="69"/>
        <v>0</v>
      </c>
      <c r="W149" s="177">
        <f t="shared" si="70"/>
        <v>0</v>
      </c>
      <c r="X149" s="178" t="s">
        <v>1483</v>
      </c>
      <c r="Y149" s="179">
        <f t="shared" si="71"/>
        <v>0</v>
      </c>
      <c r="AA149" s="180"/>
      <c r="AD149" s="1"/>
      <c r="AE149" s="1"/>
      <c r="AF149" s="1"/>
      <c r="AG149" s="1"/>
    </row>
    <row r="150" spans="1:33" ht="15.75" customHeight="1">
      <c r="A150" s="139" t="s">
        <v>1484</v>
      </c>
      <c r="B150" s="335"/>
      <c r="C150" s="207"/>
      <c r="D150" s="207"/>
      <c r="E150" s="207" t="s">
        <v>121</v>
      </c>
      <c r="F150" s="207"/>
      <c r="G150" s="207"/>
      <c r="H150" s="207"/>
      <c r="I150" s="207"/>
      <c r="J150" s="336"/>
      <c r="K150" s="308"/>
      <c r="L150" s="207"/>
      <c r="M150" s="207"/>
      <c r="N150" s="207"/>
      <c r="O150" s="207"/>
      <c r="P150" s="207"/>
      <c r="Q150" s="207"/>
      <c r="R150" s="207"/>
      <c r="S150" s="207"/>
      <c r="T150" s="207"/>
      <c r="U150" s="207"/>
      <c r="V150" s="207"/>
      <c r="W150" s="207"/>
      <c r="X150" s="207"/>
      <c r="Y150" s="208"/>
      <c r="AA150" s="180"/>
      <c r="AD150" s="1"/>
      <c r="AE150" s="1"/>
      <c r="AF150" s="1"/>
      <c r="AG150" s="1"/>
    </row>
    <row r="151" spans="1:33" ht="15.75" customHeight="1">
      <c r="A151" s="181"/>
      <c r="B151" s="182" t="s">
        <v>1485</v>
      </c>
      <c r="C151" s="183" t="s">
        <v>57</v>
      </c>
      <c r="D151" s="183" t="s">
        <v>60</v>
      </c>
      <c r="E151" s="183" t="s">
        <v>121</v>
      </c>
      <c r="F151" s="183" t="s">
        <v>37</v>
      </c>
      <c r="G151" s="183" t="s">
        <v>49</v>
      </c>
      <c r="H151" s="184">
        <v>1</v>
      </c>
      <c r="I151" s="184" t="s">
        <v>1486</v>
      </c>
      <c r="J151" s="305">
        <f>K151*(1-Bolts!$E$1179)</f>
        <v>149.30000000000001</v>
      </c>
      <c r="K151" s="306">
        <v>149.30000000000001</v>
      </c>
      <c r="L151" s="168">
        <f>SUM(M151:U151)</f>
        <v>0</v>
      </c>
      <c r="M151" s="211"/>
      <c r="N151" s="169"/>
      <c r="O151" s="170"/>
      <c r="P151" s="171"/>
      <c r="Q151" s="172"/>
      <c r="R151" s="173"/>
      <c r="S151" s="174"/>
      <c r="T151" s="175"/>
      <c r="U151" s="176"/>
      <c r="V151" s="168">
        <f>L151*H151</f>
        <v>0</v>
      </c>
      <c r="W151" s="177">
        <f>L151*K151</f>
        <v>0</v>
      </c>
      <c r="X151" s="178">
        <v>6.4</v>
      </c>
      <c r="Y151" s="179">
        <f>X151*L151</f>
        <v>0</v>
      </c>
      <c r="AA151" s="180"/>
      <c r="AD151" s="1"/>
      <c r="AE151" s="1"/>
      <c r="AF151" s="1"/>
      <c r="AG151" s="1"/>
    </row>
    <row r="152" spans="1:33" ht="15.75" customHeight="1">
      <c r="A152" s="87"/>
      <c r="B152" s="185"/>
      <c r="C152" s="165"/>
      <c r="D152" s="165"/>
      <c r="E152" s="165"/>
      <c r="F152" s="165"/>
      <c r="G152" s="165"/>
      <c r="H152" s="166"/>
      <c r="I152" s="166"/>
      <c r="J152" s="307"/>
      <c r="K152" s="308"/>
      <c r="L152" s="186"/>
      <c r="M152" s="187"/>
      <c r="N152" s="187"/>
      <c r="O152" s="188"/>
      <c r="P152" s="187"/>
      <c r="Q152" s="187"/>
      <c r="R152" s="187"/>
      <c r="S152" s="187"/>
      <c r="T152" s="187"/>
      <c r="U152" s="188"/>
      <c r="V152" s="186"/>
      <c r="W152" s="189"/>
      <c r="X152" s="190"/>
      <c r="Y152" s="191"/>
      <c r="AA152" s="180"/>
      <c r="AD152" s="1"/>
      <c r="AE152" s="1"/>
      <c r="AF152" s="1"/>
      <c r="AG152" s="1"/>
    </row>
    <row r="153" spans="1:33" ht="15.75" customHeight="1">
      <c r="A153" s="181"/>
      <c r="B153" s="182" t="s">
        <v>1487</v>
      </c>
      <c r="C153" s="183" t="s">
        <v>57</v>
      </c>
      <c r="D153" s="183" t="s">
        <v>61</v>
      </c>
      <c r="E153" s="183" t="s">
        <v>121</v>
      </c>
      <c r="F153" s="183" t="s">
        <v>33</v>
      </c>
      <c r="G153" s="183" t="s">
        <v>48</v>
      </c>
      <c r="H153" s="184">
        <v>2</v>
      </c>
      <c r="I153" s="184" t="s">
        <v>1488</v>
      </c>
      <c r="J153" s="305">
        <f>K153*(1-Bolts!$E$1179)</f>
        <v>148.80000000000001</v>
      </c>
      <c r="K153" s="306">
        <v>148.80000000000001</v>
      </c>
      <c r="L153" s="168">
        <f t="shared" ref="L153:L154" si="72">SUM(M153:U153)</f>
        <v>0</v>
      </c>
      <c r="M153" s="211"/>
      <c r="N153" s="169"/>
      <c r="O153" s="170"/>
      <c r="P153" s="171"/>
      <c r="Q153" s="172"/>
      <c r="R153" s="173"/>
      <c r="S153" s="174"/>
      <c r="T153" s="175"/>
      <c r="U153" s="176"/>
      <c r="V153" s="168">
        <f t="shared" ref="V153:V154" si="73">L153*H153</f>
        <v>0</v>
      </c>
      <c r="W153" s="177">
        <f t="shared" ref="W153:W154" si="74">L153*K153</f>
        <v>0</v>
      </c>
      <c r="X153" s="178">
        <v>5.9</v>
      </c>
      <c r="Y153" s="179">
        <f t="shared" ref="Y153:Y154" si="75">X153*L153</f>
        <v>0</v>
      </c>
      <c r="AA153" s="180"/>
      <c r="AD153" s="1"/>
      <c r="AE153" s="1"/>
      <c r="AF153" s="1"/>
      <c r="AG153" s="1"/>
    </row>
    <row r="154" spans="1:33" ht="15.75" customHeight="1">
      <c r="A154" s="181"/>
      <c r="B154" s="182" t="s">
        <v>1489</v>
      </c>
      <c r="C154" s="183" t="s">
        <v>57</v>
      </c>
      <c r="D154" s="183" t="s">
        <v>61</v>
      </c>
      <c r="E154" s="183" t="s">
        <v>121</v>
      </c>
      <c r="F154" s="183" t="s">
        <v>33</v>
      </c>
      <c r="G154" s="183" t="s">
        <v>48</v>
      </c>
      <c r="H154" s="184">
        <v>3</v>
      </c>
      <c r="I154" s="184" t="s">
        <v>1490</v>
      </c>
      <c r="J154" s="305">
        <f>K154*(1-Bolts!$E$1179)</f>
        <v>275</v>
      </c>
      <c r="K154" s="306">
        <v>275</v>
      </c>
      <c r="L154" s="168">
        <f t="shared" si="72"/>
        <v>0</v>
      </c>
      <c r="M154" s="211"/>
      <c r="N154" s="169"/>
      <c r="O154" s="170"/>
      <c r="P154" s="171"/>
      <c r="Q154" s="172"/>
      <c r="R154" s="173"/>
      <c r="S154" s="174"/>
      <c r="T154" s="175"/>
      <c r="U154" s="176"/>
      <c r="V154" s="168">
        <f t="shared" si="73"/>
        <v>0</v>
      </c>
      <c r="W154" s="177">
        <f t="shared" si="74"/>
        <v>0</v>
      </c>
      <c r="X154" s="178">
        <v>12.3</v>
      </c>
      <c r="Y154" s="179">
        <f t="shared" si="75"/>
        <v>0</v>
      </c>
      <c r="AA154" s="180"/>
      <c r="AD154" s="1"/>
      <c r="AE154" s="1"/>
      <c r="AF154" s="1"/>
      <c r="AG154" s="1"/>
    </row>
    <row r="155" spans="1:33" ht="15.75" customHeight="1">
      <c r="A155" s="87"/>
      <c r="B155" s="185"/>
      <c r="C155" s="165"/>
      <c r="D155" s="165"/>
      <c r="E155" s="165"/>
      <c r="F155" s="165"/>
      <c r="G155" s="165"/>
      <c r="H155" s="166"/>
      <c r="I155" s="166"/>
      <c r="J155" s="307"/>
      <c r="K155" s="308"/>
      <c r="L155" s="186"/>
      <c r="M155" s="187"/>
      <c r="N155" s="187"/>
      <c r="O155" s="188"/>
      <c r="P155" s="187"/>
      <c r="Q155" s="187"/>
      <c r="R155" s="187"/>
      <c r="S155" s="187"/>
      <c r="T155" s="187"/>
      <c r="U155" s="188"/>
      <c r="V155" s="186"/>
      <c r="W155" s="189"/>
      <c r="X155" s="190"/>
      <c r="Y155" s="191"/>
      <c r="AA155" s="180"/>
      <c r="AD155" s="1"/>
      <c r="AE155" s="1"/>
      <c r="AF155" s="1"/>
      <c r="AG155" s="1"/>
    </row>
    <row r="156" spans="1:33" ht="15.75" customHeight="1">
      <c r="A156" s="181"/>
      <c r="B156" s="182" t="s">
        <v>1491</v>
      </c>
      <c r="C156" s="183" t="s">
        <v>57</v>
      </c>
      <c r="D156" s="183" t="s">
        <v>62</v>
      </c>
      <c r="E156" s="183" t="s">
        <v>121</v>
      </c>
      <c r="F156" s="183" t="s">
        <v>33</v>
      </c>
      <c r="G156" s="183" t="s">
        <v>48</v>
      </c>
      <c r="H156" s="184">
        <v>3</v>
      </c>
      <c r="I156" s="184" t="s">
        <v>1492</v>
      </c>
      <c r="J156" s="305">
        <f>K156*(1-Bolts!$E$1179)</f>
        <v>236</v>
      </c>
      <c r="K156" s="306">
        <v>236</v>
      </c>
      <c r="L156" s="168">
        <f t="shared" ref="L156:L160" si="76">SUM(M156:U156)</f>
        <v>0</v>
      </c>
      <c r="M156" s="211"/>
      <c r="N156" s="169"/>
      <c r="O156" s="170"/>
      <c r="P156" s="171"/>
      <c r="Q156" s="172"/>
      <c r="R156" s="173"/>
      <c r="S156" s="174"/>
      <c r="T156" s="175"/>
      <c r="U156" s="176"/>
      <c r="V156" s="168">
        <f t="shared" ref="V156:V160" si="77">L156*H156</f>
        <v>0</v>
      </c>
      <c r="W156" s="177">
        <f t="shared" ref="W156:W160" si="78">L156*K156</f>
        <v>0</v>
      </c>
      <c r="X156" s="178">
        <v>10.25</v>
      </c>
      <c r="Y156" s="179">
        <f t="shared" ref="Y156:Y160" si="79">X156*L156</f>
        <v>0</v>
      </c>
      <c r="AA156" s="180"/>
      <c r="AD156" s="1"/>
      <c r="AE156" s="1"/>
      <c r="AF156" s="1"/>
      <c r="AG156" s="1"/>
    </row>
    <row r="157" spans="1:33" ht="15.75" customHeight="1">
      <c r="A157" s="181"/>
      <c r="B157" s="182" t="s">
        <v>1493</v>
      </c>
      <c r="C157" s="183" t="s">
        <v>57</v>
      </c>
      <c r="D157" s="183" t="s">
        <v>62</v>
      </c>
      <c r="E157" s="183" t="s">
        <v>121</v>
      </c>
      <c r="F157" s="183" t="s">
        <v>35</v>
      </c>
      <c r="G157" s="183" t="s">
        <v>48</v>
      </c>
      <c r="H157" s="184">
        <v>3</v>
      </c>
      <c r="I157" s="184" t="s">
        <v>1494</v>
      </c>
      <c r="J157" s="305">
        <f>K157*(1-Bolts!$E$1179)</f>
        <v>191.7</v>
      </c>
      <c r="K157" s="306">
        <v>191.7</v>
      </c>
      <c r="L157" s="168">
        <f t="shared" si="76"/>
        <v>0</v>
      </c>
      <c r="M157" s="211"/>
      <c r="N157" s="169"/>
      <c r="O157" s="170"/>
      <c r="P157" s="171"/>
      <c r="Q157" s="172"/>
      <c r="R157" s="173"/>
      <c r="S157" s="174"/>
      <c r="T157" s="175"/>
      <c r="U157" s="176"/>
      <c r="V157" s="168">
        <f t="shared" si="77"/>
        <v>0</v>
      </c>
      <c r="W157" s="177">
        <f t="shared" si="78"/>
        <v>0</v>
      </c>
      <c r="X157" s="178">
        <v>7.8</v>
      </c>
      <c r="Y157" s="179">
        <f t="shared" si="79"/>
        <v>0</v>
      </c>
      <c r="AA157" s="180"/>
      <c r="AD157" s="1"/>
      <c r="AE157" s="1"/>
      <c r="AF157" s="1"/>
      <c r="AG157" s="1"/>
    </row>
    <row r="158" spans="1:33" ht="15.75" customHeight="1">
      <c r="A158" s="181"/>
      <c r="B158" s="182" t="s">
        <v>1495</v>
      </c>
      <c r="C158" s="183" t="s">
        <v>57</v>
      </c>
      <c r="D158" s="183" t="s">
        <v>62</v>
      </c>
      <c r="E158" s="183" t="s">
        <v>121</v>
      </c>
      <c r="F158" s="183" t="s">
        <v>33</v>
      </c>
      <c r="G158" s="183" t="s">
        <v>48</v>
      </c>
      <c r="H158" s="184">
        <v>3</v>
      </c>
      <c r="I158" s="184" t="s">
        <v>1496</v>
      </c>
      <c r="J158" s="305">
        <f>K158*(1-Bolts!$E$1179)</f>
        <v>140.30000000000001</v>
      </c>
      <c r="K158" s="306">
        <v>140.30000000000001</v>
      </c>
      <c r="L158" s="168">
        <f t="shared" si="76"/>
        <v>0</v>
      </c>
      <c r="M158" s="211"/>
      <c r="N158" s="169"/>
      <c r="O158" s="170"/>
      <c r="P158" s="171"/>
      <c r="Q158" s="172"/>
      <c r="R158" s="173"/>
      <c r="S158" s="174"/>
      <c r="T158" s="175"/>
      <c r="U158" s="176"/>
      <c r="V158" s="168">
        <f t="shared" si="77"/>
        <v>0</v>
      </c>
      <c r="W158" s="177">
        <f t="shared" si="78"/>
        <v>0</v>
      </c>
      <c r="X158" s="178">
        <v>4.8499999999999996</v>
      </c>
      <c r="Y158" s="179">
        <f t="shared" si="79"/>
        <v>0</v>
      </c>
      <c r="AA158" s="180"/>
      <c r="AD158" s="1"/>
      <c r="AE158" s="1"/>
      <c r="AF158" s="1"/>
      <c r="AG158" s="1"/>
    </row>
    <row r="159" spans="1:33" ht="15.75" customHeight="1">
      <c r="A159" s="181"/>
      <c r="B159" s="182" t="s">
        <v>1497</v>
      </c>
      <c r="C159" s="183" t="s">
        <v>57</v>
      </c>
      <c r="D159" s="183" t="s">
        <v>62</v>
      </c>
      <c r="E159" s="183" t="s">
        <v>121</v>
      </c>
      <c r="F159" s="183" t="s">
        <v>35</v>
      </c>
      <c r="G159" s="183" t="s">
        <v>48</v>
      </c>
      <c r="H159" s="184">
        <v>3</v>
      </c>
      <c r="I159" s="184" t="s">
        <v>1498</v>
      </c>
      <c r="J159" s="305">
        <f>K159*(1-Bolts!$E$1179)</f>
        <v>191.9</v>
      </c>
      <c r="K159" s="306">
        <v>191.9</v>
      </c>
      <c r="L159" s="168">
        <f t="shared" si="76"/>
        <v>0</v>
      </c>
      <c r="M159" s="211"/>
      <c r="N159" s="169"/>
      <c r="O159" s="170"/>
      <c r="P159" s="171"/>
      <c r="Q159" s="172"/>
      <c r="R159" s="173"/>
      <c r="S159" s="174"/>
      <c r="T159" s="175"/>
      <c r="U159" s="176"/>
      <c r="V159" s="168">
        <f t="shared" si="77"/>
        <v>0</v>
      </c>
      <c r="W159" s="177">
        <f t="shared" si="78"/>
        <v>0</v>
      </c>
      <c r="X159" s="178">
        <v>7.7</v>
      </c>
      <c r="Y159" s="179">
        <f t="shared" si="79"/>
        <v>0</v>
      </c>
      <c r="AA159" s="180"/>
      <c r="AD159" s="1"/>
      <c r="AE159" s="1"/>
      <c r="AF159" s="1"/>
      <c r="AG159" s="1"/>
    </row>
    <row r="160" spans="1:33" ht="15.75" customHeight="1">
      <c r="A160" s="181"/>
      <c r="B160" s="182" t="s">
        <v>1499</v>
      </c>
      <c r="C160" s="183" t="s">
        <v>57</v>
      </c>
      <c r="D160" s="183" t="s">
        <v>62</v>
      </c>
      <c r="E160" s="183" t="s">
        <v>121</v>
      </c>
      <c r="F160" s="183" t="s">
        <v>29</v>
      </c>
      <c r="G160" s="183" t="s">
        <v>47</v>
      </c>
      <c r="H160" s="184">
        <v>4</v>
      </c>
      <c r="I160" s="184" t="s">
        <v>1500</v>
      </c>
      <c r="J160" s="305">
        <f>K160*(1-Bolts!$E$1179)</f>
        <v>274.10000000000002</v>
      </c>
      <c r="K160" s="306">
        <v>274.10000000000002</v>
      </c>
      <c r="L160" s="168">
        <f t="shared" si="76"/>
        <v>0</v>
      </c>
      <c r="M160" s="211"/>
      <c r="N160" s="169"/>
      <c r="O160" s="170"/>
      <c r="P160" s="171"/>
      <c r="Q160" s="172"/>
      <c r="R160" s="173"/>
      <c r="S160" s="174"/>
      <c r="T160" s="175"/>
      <c r="U160" s="176"/>
      <c r="V160" s="168">
        <f t="shared" si="77"/>
        <v>0</v>
      </c>
      <c r="W160" s="177">
        <f t="shared" si="78"/>
        <v>0</v>
      </c>
      <c r="X160" s="178">
        <v>5.26</v>
      </c>
      <c r="Y160" s="179">
        <f t="shared" si="79"/>
        <v>0</v>
      </c>
      <c r="AA160" s="180"/>
      <c r="AD160" s="1"/>
      <c r="AE160" s="1"/>
      <c r="AF160" s="1"/>
      <c r="AG160" s="1"/>
    </row>
    <row r="161" spans="1:33" ht="15.75" customHeight="1">
      <c r="A161" s="87"/>
      <c r="B161" s="185"/>
      <c r="C161" s="165"/>
      <c r="D161" s="165"/>
      <c r="E161" s="165"/>
      <c r="F161" s="165"/>
      <c r="G161" s="165"/>
      <c r="H161" s="166"/>
      <c r="I161" s="166"/>
      <c r="J161" s="307"/>
      <c r="K161" s="308"/>
      <c r="L161" s="186"/>
      <c r="M161" s="187"/>
      <c r="N161" s="187"/>
      <c r="O161" s="188"/>
      <c r="P161" s="187"/>
      <c r="Q161" s="187"/>
      <c r="R161" s="187"/>
      <c r="S161" s="187"/>
      <c r="T161" s="187"/>
      <c r="U161" s="188"/>
      <c r="V161" s="186"/>
      <c r="W161" s="189"/>
      <c r="X161" s="190"/>
      <c r="Y161" s="191"/>
      <c r="AA161" s="180"/>
      <c r="AD161" s="1"/>
      <c r="AE161" s="1"/>
      <c r="AF161" s="1"/>
      <c r="AG161" s="1"/>
    </row>
    <row r="162" spans="1:33" ht="15.75" customHeight="1">
      <c r="A162" s="87"/>
      <c r="B162" s="192" t="s">
        <v>1501</v>
      </c>
      <c r="C162" s="193" t="s">
        <v>57</v>
      </c>
      <c r="D162" s="193" t="s">
        <v>63</v>
      </c>
      <c r="E162" s="193" t="s">
        <v>121</v>
      </c>
      <c r="F162" s="193" t="s">
        <v>32</v>
      </c>
      <c r="G162" s="193" t="s">
        <v>49</v>
      </c>
      <c r="H162" s="194">
        <v>5</v>
      </c>
      <c r="I162" s="194" t="s">
        <v>1502</v>
      </c>
      <c r="J162" s="305">
        <f>K162*(1-Bolts!$E$1179)</f>
        <v>114</v>
      </c>
      <c r="K162" s="306">
        <v>114</v>
      </c>
      <c r="L162" s="168">
        <f t="shared" ref="L162:L166" si="80">SUM(M162:U162)</f>
        <v>0</v>
      </c>
      <c r="M162" s="211"/>
      <c r="N162" s="169"/>
      <c r="O162" s="170"/>
      <c r="P162" s="171"/>
      <c r="Q162" s="172"/>
      <c r="R162" s="173"/>
      <c r="S162" s="174"/>
      <c r="T162" s="175"/>
      <c r="U162" s="176"/>
      <c r="V162" s="168">
        <f t="shared" ref="V162:V166" si="81">L162*H162</f>
        <v>0</v>
      </c>
      <c r="W162" s="177">
        <f t="shared" ref="W162:W166" si="82">L162*K162</f>
        <v>0</v>
      </c>
      <c r="X162" s="178" t="s">
        <v>1503</v>
      </c>
      <c r="Y162" s="179">
        <f t="shared" ref="Y162:Y166" si="83">X162*L162</f>
        <v>0</v>
      </c>
      <c r="AA162" s="180"/>
      <c r="AD162" s="1"/>
      <c r="AE162" s="1"/>
      <c r="AF162" s="1"/>
      <c r="AG162" s="1"/>
    </row>
    <row r="163" spans="1:33" ht="15.75" customHeight="1">
      <c r="A163" s="87"/>
      <c r="B163" s="192" t="s">
        <v>1504</v>
      </c>
      <c r="C163" s="193" t="s">
        <v>57</v>
      </c>
      <c r="D163" s="193" t="s">
        <v>63</v>
      </c>
      <c r="E163" s="193" t="s">
        <v>121</v>
      </c>
      <c r="F163" s="193" t="s">
        <v>32</v>
      </c>
      <c r="G163" s="193" t="s">
        <v>49</v>
      </c>
      <c r="H163" s="194">
        <v>5</v>
      </c>
      <c r="I163" s="194" t="s">
        <v>1505</v>
      </c>
      <c r="J163" s="305">
        <f>K163*(1-Bolts!$E$1179)</f>
        <v>119.3</v>
      </c>
      <c r="K163" s="306">
        <v>119.3</v>
      </c>
      <c r="L163" s="168">
        <f t="shared" si="80"/>
        <v>0</v>
      </c>
      <c r="M163" s="211"/>
      <c r="N163" s="169"/>
      <c r="O163" s="170"/>
      <c r="P163" s="171"/>
      <c r="Q163" s="172"/>
      <c r="R163" s="173"/>
      <c r="S163" s="174"/>
      <c r="T163" s="175"/>
      <c r="U163" s="176"/>
      <c r="V163" s="168">
        <f t="shared" si="81"/>
        <v>0</v>
      </c>
      <c r="W163" s="177">
        <f t="shared" si="82"/>
        <v>0</v>
      </c>
      <c r="X163" s="178" t="s">
        <v>1506</v>
      </c>
      <c r="Y163" s="179">
        <f t="shared" si="83"/>
        <v>0</v>
      </c>
      <c r="AA163" s="180"/>
      <c r="AD163" s="1"/>
      <c r="AE163" s="1"/>
      <c r="AF163" s="1"/>
      <c r="AG163" s="1"/>
    </row>
    <row r="164" spans="1:33" ht="15.75" customHeight="1">
      <c r="A164" s="181"/>
      <c r="B164" s="182" t="s">
        <v>1507</v>
      </c>
      <c r="C164" s="183" t="s">
        <v>57</v>
      </c>
      <c r="D164" s="183" t="s">
        <v>63</v>
      </c>
      <c r="E164" s="183" t="s">
        <v>121</v>
      </c>
      <c r="F164" s="183" t="s">
        <v>33</v>
      </c>
      <c r="G164" s="183" t="s">
        <v>48</v>
      </c>
      <c r="H164" s="184">
        <v>5</v>
      </c>
      <c r="I164" s="184" t="s">
        <v>1508</v>
      </c>
      <c r="J164" s="305">
        <f>K164*(1-Bolts!$E$1179)</f>
        <v>233.3</v>
      </c>
      <c r="K164" s="306">
        <v>233.3</v>
      </c>
      <c r="L164" s="168">
        <f t="shared" si="80"/>
        <v>0</v>
      </c>
      <c r="M164" s="211"/>
      <c r="N164" s="169"/>
      <c r="O164" s="170"/>
      <c r="P164" s="171"/>
      <c r="Q164" s="172"/>
      <c r="R164" s="173"/>
      <c r="S164" s="174"/>
      <c r="T164" s="175"/>
      <c r="U164" s="176"/>
      <c r="V164" s="168">
        <f t="shared" si="81"/>
        <v>0</v>
      </c>
      <c r="W164" s="177">
        <f t="shared" si="82"/>
        <v>0</v>
      </c>
      <c r="X164" s="178">
        <v>9.15</v>
      </c>
      <c r="Y164" s="179">
        <f t="shared" si="83"/>
        <v>0</v>
      </c>
      <c r="AA164" s="180"/>
      <c r="AD164" s="1"/>
      <c r="AE164" s="1"/>
      <c r="AF164" s="1"/>
      <c r="AG164" s="1"/>
    </row>
    <row r="165" spans="1:33" ht="15.75" customHeight="1">
      <c r="A165" s="181"/>
      <c r="B165" s="182" t="s">
        <v>1509</v>
      </c>
      <c r="C165" s="183" t="s">
        <v>57</v>
      </c>
      <c r="D165" s="183" t="s">
        <v>63</v>
      </c>
      <c r="E165" s="183" t="s">
        <v>121</v>
      </c>
      <c r="F165" s="183" t="s">
        <v>35</v>
      </c>
      <c r="G165" s="183" t="s">
        <v>48</v>
      </c>
      <c r="H165" s="184">
        <v>5</v>
      </c>
      <c r="I165" s="184" t="s">
        <v>1510</v>
      </c>
      <c r="J165" s="305">
        <f>K165*(1-Bolts!$E$1179)</f>
        <v>164.9</v>
      </c>
      <c r="K165" s="306">
        <v>164.9</v>
      </c>
      <c r="L165" s="168">
        <f t="shared" si="80"/>
        <v>0</v>
      </c>
      <c r="M165" s="211"/>
      <c r="N165" s="169"/>
      <c r="O165" s="170"/>
      <c r="P165" s="171"/>
      <c r="Q165" s="172"/>
      <c r="R165" s="173"/>
      <c r="S165" s="174"/>
      <c r="T165" s="175"/>
      <c r="U165" s="176"/>
      <c r="V165" s="168">
        <f t="shared" si="81"/>
        <v>0</v>
      </c>
      <c r="W165" s="177">
        <f t="shared" si="82"/>
        <v>0</v>
      </c>
      <c r="X165" s="178">
        <v>6.15</v>
      </c>
      <c r="Y165" s="179">
        <f t="shared" si="83"/>
        <v>0</v>
      </c>
      <c r="AA165" s="180"/>
      <c r="AD165" s="1"/>
      <c r="AE165" s="1"/>
      <c r="AF165" s="1"/>
      <c r="AG165" s="1"/>
    </row>
    <row r="166" spans="1:33" ht="15.75" customHeight="1">
      <c r="A166" s="181"/>
      <c r="B166" s="182" t="s">
        <v>1511</v>
      </c>
      <c r="C166" s="183" t="s">
        <v>57</v>
      </c>
      <c r="D166" s="183" t="s">
        <v>63</v>
      </c>
      <c r="E166" s="183" t="s">
        <v>121</v>
      </c>
      <c r="F166" s="183" t="s">
        <v>33</v>
      </c>
      <c r="G166" s="183" t="s">
        <v>48</v>
      </c>
      <c r="H166" s="184">
        <v>4</v>
      </c>
      <c r="I166" s="184" t="s">
        <v>1512</v>
      </c>
      <c r="J166" s="305">
        <f>K166*(1-Bolts!$E$1179)</f>
        <v>124.8</v>
      </c>
      <c r="K166" s="306">
        <v>124.8</v>
      </c>
      <c r="L166" s="168">
        <f t="shared" si="80"/>
        <v>0</v>
      </c>
      <c r="M166" s="211"/>
      <c r="N166" s="169"/>
      <c r="O166" s="170"/>
      <c r="P166" s="171"/>
      <c r="Q166" s="172"/>
      <c r="R166" s="173"/>
      <c r="S166" s="174"/>
      <c r="T166" s="175"/>
      <c r="U166" s="176"/>
      <c r="V166" s="168">
        <f t="shared" si="81"/>
        <v>0</v>
      </c>
      <c r="W166" s="177">
        <f t="shared" si="82"/>
        <v>0</v>
      </c>
      <c r="X166" s="178">
        <v>4.1500000000000004</v>
      </c>
      <c r="Y166" s="179">
        <f t="shared" si="83"/>
        <v>0</v>
      </c>
      <c r="AA166" s="180"/>
      <c r="AD166" s="1"/>
      <c r="AE166" s="1"/>
      <c r="AF166" s="1"/>
      <c r="AG166" s="1"/>
    </row>
    <row r="167" spans="1:33" ht="15.75" customHeight="1">
      <c r="A167" s="87"/>
      <c r="B167" s="185"/>
      <c r="C167" s="165"/>
      <c r="D167" s="165"/>
      <c r="E167" s="165"/>
      <c r="F167" s="165"/>
      <c r="G167" s="165"/>
      <c r="H167" s="166"/>
      <c r="I167" s="166"/>
      <c r="J167" s="307"/>
      <c r="K167" s="308"/>
      <c r="L167" s="186"/>
      <c r="M167" s="187"/>
      <c r="N167" s="187"/>
      <c r="O167" s="188"/>
      <c r="P167" s="187"/>
      <c r="Q167" s="187"/>
      <c r="R167" s="187"/>
      <c r="S167" s="187"/>
      <c r="T167" s="187"/>
      <c r="U167" s="188"/>
      <c r="V167" s="186"/>
      <c r="W167" s="189"/>
      <c r="X167" s="190"/>
      <c r="Y167" s="191"/>
      <c r="AA167" s="180"/>
      <c r="AD167" s="1"/>
      <c r="AE167" s="1"/>
      <c r="AF167" s="1"/>
      <c r="AG167" s="1"/>
    </row>
    <row r="168" spans="1:33" ht="15.75" customHeight="1">
      <c r="A168" s="87"/>
      <c r="B168" s="192" t="s">
        <v>1513</v>
      </c>
      <c r="C168" s="193" t="s">
        <v>57</v>
      </c>
      <c r="D168" s="193" t="s">
        <v>48</v>
      </c>
      <c r="E168" s="193" t="s">
        <v>121</v>
      </c>
      <c r="F168" s="193" t="s">
        <v>32</v>
      </c>
      <c r="G168" s="193" t="s">
        <v>48</v>
      </c>
      <c r="H168" s="194">
        <v>5</v>
      </c>
      <c r="I168" s="194" t="s">
        <v>1514</v>
      </c>
      <c r="J168" s="305">
        <f>K168*(1-Bolts!$E$1179)</f>
        <v>126.7</v>
      </c>
      <c r="K168" s="306">
        <v>126.7</v>
      </c>
      <c r="L168" s="168">
        <f t="shared" ref="L168:L170" si="84">SUM(M168:U168)</f>
        <v>0</v>
      </c>
      <c r="M168" s="211"/>
      <c r="N168" s="169"/>
      <c r="O168" s="170"/>
      <c r="P168" s="171"/>
      <c r="Q168" s="172"/>
      <c r="R168" s="173"/>
      <c r="S168" s="174"/>
      <c r="T168" s="175"/>
      <c r="U168" s="176"/>
      <c r="V168" s="168">
        <f t="shared" ref="V168:V170" si="85">L168*H168</f>
        <v>0</v>
      </c>
      <c r="W168" s="177">
        <f t="shared" ref="W168:W170" si="86">L168*K168</f>
        <v>0</v>
      </c>
      <c r="X168" s="178" t="s">
        <v>1515</v>
      </c>
      <c r="Y168" s="179">
        <f t="shared" ref="Y168:Y170" si="87">X168*L168</f>
        <v>0</v>
      </c>
      <c r="AA168" s="180"/>
      <c r="AD168" s="1"/>
      <c r="AE168" s="1"/>
      <c r="AF168" s="1"/>
      <c r="AG168" s="1"/>
    </row>
    <row r="169" spans="1:33" ht="15.75" customHeight="1">
      <c r="A169" s="181"/>
      <c r="B169" s="182" t="s">
        <v>1516</v>
      </c>
      <c r="C169" s="183" t="s">
        <v>57</v>
      </c>
      <c r="D169" s="183" t="s">
        <v>48</v>
      </c>
      <c r="E169" s="183" t="s">
        <v>121</v>
      </c>
      <c r="F169" s="183" t="s">
        <v>35</v>
      </c>
      <c r="G169" s="183" t="s">
        <v>48</v>
      </c>
      <c r="H169" s="184">
        <v>5</v>
      </c>
      <c r="I169" s="184" t="s">
        <v>1517</v>
      </c>
      <c r="J169" s="305">
        <f>K169*(1-Bolts!$E$1179)</f>
        <v>106.8</v>
      </c>
      <c r="K169" s="306">
        <v>106.8</v>
      </c>
      <c r="L169" s="168">
        <f t="shared" si="84"/>
        <v>0</v>
      </c>
      <c r="M169" s="211"/>
      <c r="N169" s="169"/>
      <c r="O169" s="170"/>
      <c r="P169" s="171"/>
      <c r="Q169" s="172"/>
      <c r="R169" s="173"/>
      <c r="S169" s="174"/>
      <c r="T169" s="175"/>
      <c r="U169" s="176"/>
      <c r="V169" s="168">
        <f t="shared" si="85"/>
        <v>0</v>
      </c>
      <c r="W169" s="177">
        <f t="shared" si="86"/>
        <v>0</v>
      </c>
      <c r="X169" s="178">
        <v>3.7</v>
      </c>
      <c r="Y169" s="179">
        <f t="shared" si="87"/>
        <v>0</v>
      </c>
      <c r="AA169" s="180"/>
      <c r="AD169" s="1"/>
      <c r="AE169" s="1"/>
      <c r="AF169" s="1"/>
      <c r="AG169" s="1"/>
    </row>
    <row r="170" spans="1:33" ht="15.75" customHeight="1">
      <c r="A170" s="181"/>
      <c r="B170" s="182" t="s">
        <v>1518</v>
      </c>
      <c r="C170" s="183" t="s">
        <v>57</v>
      </c>
      <c r="D170" s="183" t="s">
        <v>48</v>
      </c>
      <c r="E170" s="183" t="s">
        <v>121</v>
      </c>
      <c r="F170" s="183" t="s">
        <v>37</v>
      </c>
      <c r="G170" s="183" t="s">
        <v>49</v>
      </c>
      <c r="H170" s="184">
        <v>5</v>
      </c>
      <c r="I170" s="184" t="s">
        <v>1519</v>
      </c>
      <c r="J170" s="305">
        <f>K170*(1-Bolts!$E$1179)</f>
        <v>120.8</v>
      </c>
      <c r="K170" s="306">
        <v>120.8</v>
      </c>
      <c r="L170" s="168">
        <f t="shared" si="84"/>
        <v>0</v>
      </c>
      <c r="M170" s="211"/>
      <c r="N170" s="169"/>
      <c r="O170" s="170"/>
      <c r="P170" s="171"/>
      <c r="Q170" s="172"/>
      <c r="R170" s="173"/>
      <c r="S170" s="174"/>
      <c r="T170" s="175"/>
      <c r="U170" s="176"/>
      <c r="V170" s="168">
        <f t="shared" si="85"/>
        <v>0</v>
      </c>
      <c r="W170" s="177">
        <f t="shared" si="86"/>
        <v>0</v>
      </c>
      <c r="X170" s="178">
        <v>2.85</v>
      </c>
      <c r="Y170" s="179">
        <f t="shared" si="87"/>
        <v>0</v>
      </c>
      <c r="AA170" s="180"/>
      <c r="AD170" s="1"/>
      <c r="AE170" s="1"/>
      <c r="AF170" s="1"/>
      <c r="AG170" s="1"/>
    </row>
    <row r="171" spans="1:33" ht="15.75" customHeight="1">
      <c r="A171" s="87"/>
      <c r="B171" s="185"/>
      <c r="C171" s="165"/>
      <c r="D171" s="165"/>
      <c r="E171" s="165"/>
      <c r="F171" s="165"/>
      <c r="G171" s="165"/>
      <c r="H171" s="166"/>
      <c r="I171" s="166"/>
      <c r="J171" s="307"/>
      <c r="K171" s="308"/>
      <c r="L171" s="186"/>
      <c r="M171" s="187"/>
      <c r="N171" s="187"/>
      <c r="O171" s="188"/>
      <c r="P171" s="187"/>
      <c r="Q171" s="187"/>
      <c r="R171" s="187"/>
      <c r="S171" s="187"/>
      <c r="T171" s="187"/>
      <c r="U171" s="188"/>
      <c r="V171" s="186"/>
      <c r="W171" s="189"/>
      <c r="X171" s="190"/>
      <c r="Y171" s="191"/>
      <c r="AA171" s="180"/>
      <c r="AD171" s="1"/>
      <c r="AE171" s="1"/>
      <c r="AF171" s="1"/>
      <c r="AG171" s="1"/>
    </row>
    <row r="172" spans="1:33" ht="15.75" customHeight="1">
      <c r="A172" s="87"/>
      <c r="B172" s="192" t="s">
        <v>1520</v>
      </c>
      <c r="C172" s="193" t="s">
        <v>57</v>
      </c>
      <c r="D172" s="193" t="s">
        <v>64</v>
      </c>
      <c r="E172" s="193" t="s">
        <v>121</v>
      </c>
      <c r="F172" s="193" t="s">
        <v>32</v>
      </c>
      <c r="G172" s="193" t="s">
        <v>49</v>
      </c>
      <c r="H172" s="194">
        <v>10</v>
      </c>
      <c r="I172" s="194" t="s">
        <v>1521</v>
      </c>
      <c r="J172" s="305">
        <f>K172*(1-Bolts!$E$1179)</f>
        <v>139</v>
      </c>
      <c r="K172" s="306">
        <v>139</v>
      </c>
      <c r="L172" s="168">
        <f>SUM(M172:U172)</f>
        <v>0</v>
      </c>
      <c r="M172" s="211"/>
      <c r="N172" s="169"/>
      <c r="O172" s="170"/>
      <c r="P172" s="171"/>
      <c r="Q172" s="172"/>
      <c r="R172" s="173"/>
      <c r="S172" s="174"/>
      <c r="T172" s="175"/>
      <c r="U172" s="176"/>
      <c r="V172" s="168">
        <f>L172*H172</f>
        <v>0</v>
      </c>
      <c r="W172" s="177">
        <f>L172*K172</f>
        <v>0</v>
      </c>
      <c r="X172" s="178" t="s">
        <v>1515</v>
      </c>
      <c r="Y172" s="179">
        <f>X172*L172</f>
        <v>0</v>
      </c>
      <c r="AA172" s="180"/>
      <c r="AD172" s="1"/>
      <c r="AE172" s="1"/>
      <c r="AF172" s="1"/>
      <c r="AG172" s="1"/>
    </row>
    <row r="173" spans="1:33" ht="15.75" customHeight="1">
      <c r="A173" s="87"/>
      <c r="B173" s="185"/>
      <c r="C173" s="165"/>
      <c r="D173" s="165"/>
      <c r="E173" s="165"/>
      <c r="F173" s="165"/>
      <c r="G173" s="165"/>
      <c r="H173" s="166"/>
      <c r="I173" s="166"/>
      <c r="J173" s="307"/>
      <c r="K173" s="308"/>
      <c r="L173" s="186"/>
      <c r="M173" s="187"/>
      <c r="N173" s="187"/>
      <c r="O173" s="188"/>
      <c r="P173" s="187"/>
      <c r="Q173" s="187"/>
      <c r="R173" s="187"/>
      <c r="S173" s="187"/>
      <c r="T173" s="187"/>
      <c r="U173" s="188"/>
      <c r="V173" s="186"/>
      <c r="W173" s="189"/>
      <c r="X173" s="190"/>
      <c r="Y173" s="191"/>
      <c r="AA173" s="212"/>
      <c r="AD173" s="1"/>
      <c r="AE173" s="1"/>
      <c r="AF173" s="1"/>
      <c r="AG173" s="1"/>
    </row>
    <row r="174" spans="1:33" ht="15.75" customHeight="1">
      <c r="A174" s="181"/>
      <c r="B174" s="182" t="s">
        <v>1522</v>
      </c>
      <c r="C174" s="183" t="s">
        <v>57</v>
      </c>
      <c r="D174" s="183" t="s">
        <v>62</v>
      </c>
      <c r="E174" s="183" t="s">
        <v>121</v>
      </c>
      <c r="F174" s="183" t="s">
        <v>39</v>
      </c>
      <c r="G174" s="183" t="s">
        <v>48</v>
      </c>
      <c r="H174" s="184">
        <v>10</v>
      </c>
      <c r="I174" s="184" t="s">
        <v>1523</v>
      </c>
      <c r="J174" s="305">
        <f>K174*(1-Bolts!$E$1179)</f>
        <v>130.6</v>
      </c>
      <c r="K174" s="306">
        <v>130.6</v>
      </c>
      <c r="L174" s="168">
        <f>SUM(M174:U174)</f>
        <v>0</v>
      </c>
      <c r="M174" s="211"/>
      <c r="N174" s="169"/>
      <c r="O174" s="170"/>
      <c r="P174" s="171"/>
      <c r="Q174" s="172"/>
      <c r="R174" s="173"/>
      <c r="S174" s="174"/>
      <c r="T174" s="175"/>
      <c r="U174" s="176"/>
      <c r="V174" s="168">
        <f>L174*H174</f>
        <v>0</v>
      </c>
      <c r="W174" s="177">
        <f>L174*K174</f>
        <v>0</v>
      </c>
      <c r="X174" s="178">
        <v>4.4000000000000004</v>
      </c>
      <c r="Y174" s="179">
        <f>X174*L174</f>
        <v>0</v>
      </c>
      <c r="AA174" s="180"/>
      <c r="AD174" s="1"/>
      <c r="AE174" s="1"/>
      <c r="AF174" s="1"/>
      <c r="AG174" s="1"/>
    </row>
    <row r="175" spans="1:33" ht="15.75" customHeight="1">
      <c r="A175" s="139" t="s">
        <v>1524</v>
      </c>
      <c r="B175" s="335"/>
      <c r="C175" s="207"/>
      <c r="D175" s="207"/>
      <c r="E175" s="207" t="s">
        <v>121</v>
      </c>
      <c r="F175" s="207"/>
      <c r="G175" s="207"/>
      <c r="H175" s="207"/>
      <c r="I175" s="207"/>
      <c r="J175" s="336"/>
      <c r="K175" s="308"/>
      <c r="L175" s="207"/>
      <c r="M175" s="207"/>
      <c r="N175" s="207"/>
      <c r="O175" s="207"/>
      <c r="P175" s="207"/>
      <c r="Q175" s="207"/>
      <c r="R175" s="207"/>
      <c r="S175" s="207"/>
      <c r="T175" s="207"/>
      <c r="U175" s="207"/>
      <c r="V175" s="207"/>
      <c r="W175" s="207"/>
      <c r="X175" s="207"/>
      <c r="Y175" s="208"/>
      <c r="AA175" s="180"/>
      <c r="AD175" s="1"/>
      <c r="AE175" s="1"/>
      <c r="AF175" s="1"/>
      <c r="AG175" s="1"/>
    </row>
    <row r="176" spans="1:33" ht="15.75" customHeight="1">
      <c r="A176" s="87"/>
      <c r="B176" s="164" t="s">
        <v>1525</v>
      </c>
      <c r="C176" s="165" t="s">
        <v>57</v>
      </c>
      <c r="D176" s="165" t="s">
        <v>62</v>
      </c>
      <c r="E176" s="165" t="s">
        <v>121</v>
      </c>
      <c r="F176" s="165" t="s">
        <v>29</v>
      </c>
      <c r="G176" s="165" t="s">
        <v>47</v>
      </c>
      <c r="H176" s="166">
        <v>3</v>
      </c>
      <c r="I176" s="166" t="s">
        <v>1526</v>
      </c>
      <c r="J176" s="305">
        <f>K176*(1-Bolts!$E$1179)</f>
        <v>433.9</v>
      </c>
      <c r="K176" s="306">
        <v>433.9</v>
      </c>
      <c r="L176" s="168">
        <f>SUM(M176:U176)</f>
        <v>0</v>
      </c>
      <c r="M176" s="211"/>
      <c r="N176" s="169"/>
      <c r="O176" s="170"/>
      <c r="P176" s="171"/>
      <c r="Q176" s="172"/>
      <c r="R176" s="173"/>
      <c r="S176" s="174"/>
      <c r="T176" s="175"/>
      <c r="U176" s="176"/>
      <c r="V176" s="168">
        <f>L176*H176</f>
        <v>0</v>
      </c>
      <c r="W176" s="177">
        <f>L176*K176</f>
        <v>0</v>
      </c>
      <c r="X176" s="178">
        <v>20.85</v>
      </c>
      <c r="Y176" s="179">
        <f>X176*L176</f>
        <v>0</v>
      </c>
      <c r="AA176" s="180"/>
      <c r="AD176" s="1"/>
      <c r="AE176" s="1"/>
      <c r="AF176" s="1"/>
      <c r="AG176" s="1"/>
    </row>
    <row r="177" spans="1:33" ht="15.75" customHeight="1">
      <c r="A177" s="87"/>
      <c r="B177" s="185"/>
      <c r="C177" s="165"/>
      <c r="D177" s="165"/>
      <c r="E177" s="165"/>
      <c r="F177" s="165"/>
      <c r="G177" s="165"/>
      <c r="H177" s="166"/>
      <c r="I177" s="166"/>
      <c r="J177" s="307"/>
      <c r="K177" s="308"/>
      <c r="L177" s="186"/>
      <c r="M177" s="187"/>
      <c r="N177" s="187"/>
      <c r="O177" s="188"/>
      <c r="P177" s="187"/>
      <c r="Q177" s="187"/>
      <c r="R177" s="187"/>
      <c r="S177" s="187"/>
      <c r="T177" s="187"/>
      <c r="U177" s="188"/>
      <c r="V177" s="186"/>
      <c r="W177" s="189"/>
      <c r="X177" s="190"/>
      <c r="Y177" s="191"/>
      <c r="AA177" s="180"/>
      <c r="AD177" s="1"/>
      <c r="AE177" s="1"/>
      <c r="AF177" s="1"/>
      <c r="AG177" s="1"/>
    </row>
    <row r="178" spans="1:33" ht="15.75" customHeight="1">
      <c r="A178" s="181"/>
      <c r="B178" s="164" t="s">
        <v>1527</v>
      </c>
      <c r="C178" s="165" t="s">
        <v>57</v>
      </c>
      <c r="D178" s="165" t="s">
        <v>61</v>
      </c>
      <c r="E178" s="165" t="s">
        <v>121</v>
      </c>
      <c r="F178" s="165" t="s">
        <v>34</v>
      </c>
      <c r="G178" s="165" t="s">
        <v>48</v>
      </c>
      <c r="H178" s="166">
        <v>3</v>
      </c>
      <c r="I178" s="166" t="s">
        <v>1528</v>
      </c>
      <c r="J178" s="305">
        <f>K178*(1-Bolts!$E$1179)</f>
        <v>321</v>
      </c>
      <c r="K178" s="306">
        <v>321</v>
      </c>
      <c r="L178" s="168">
        <f>SUM(M178:U178)</f>
        <v>0</v>
      </c>
      <c r="M178" s="211"/>
      <c r="N178" s="169"/>
      <c r="O178" s="170"/>
      <c r="P178" s="171"/>
      <c r="Q178" s="172"/>
      <c r="R178" s="173"/>
      <c r="S178" s="174"/>
      <c r="T178" s="175"/>
      <c r="U178" s="176"/>
      <c r="V178" s="168">
        <f>L178*H178</f>
        <v>0</v>
      </c>
      <c r="W178" s="177">
        <f>L178*K178</f>
        <v>0</v>
      </c>
      <c r="X178" s="178">
        <v>15.4</v>
      </c>
      <c r="Y178" s="179">
        <f>X178*L178</f>
        <v>0</v>
      </c>
      <c r="AA178" s="180"/>
      <c r="AD178" s="1"/>
      <c r="AE178" s="1"/>
      <c r="AF178" s="1"/>
      <c r="AG178" s="1"/>
    </row>
    <row r="179" spans="1:33" ht="15.75" customHeight="1">
      <c r="A179" s="87"/>
      <c r="B179" s="185"/>
      <c r="C179" s="165"/>
      <c r="D179" s="165"/>
      <c r="E179" s="165"/>
      <c r="F179" s="165"/>
      <c r="G179" s="165"/>
      <c r="H179" s="166"/>
      <c r="I179" s="166"/>
      <c r="J179" s="307"/>
      <c r="K179" s="308"/>
      <c r="L179" s="186"/>
      <c r="M179" s="187"/>
      <c r="N179" s="187"/>
      <c r="O179" s="188"/>
      <c r="P179" s="187"/>
      <c r="Q179" s="187"/>
      <c r="R179" s="187"/>
      <c r="S179" s="187"/>
      <c r="T179" s="187"/>
      <c r="U179" s="188"/>
      <c r="V179" s="186"/>
      <c r="W179" s="189"/>
      <c r="X179" s="190"/>
      <c r="Y179" s="191"/>
      <c r="AA179" s="180"/>
      <c r="AD179" s="1"/>
      <c r="AE179" s="1"/>
      <c r="AF179" s="1"/>
      <c r="AG179" s="1"/>
    </row>
    <row r="180" spans="1:33" ht="15.75" customHeight="1">
      <c r="A180" s="87"/>
      <c r="B180" s="164" t="s">
        <v>1529</v>
      </c>
      <c r="C180" s="165" t="s">
        <v>57</v>
      </c>
      <c r="D180" s="165" t="s">
        <v>62</v>
      </c>
      <c r="E180" s="165" t="s">
        <v>121</v>
      </c>
      <c r="F180" s="165" t="s">
        <v>34</v>
      </c>
      <c r="G180" s="165" t="s">
        <v>48</v>
      </c>
      <c r="H180" s="166">
        <v>3</v>
      </c>
      <c r="I180" s="166" t="s">
        <v>1530</v>
      </c>
      <c r="J180" s="305">
        <f>K180*(1-Bolts!$E$1179)</f>
        <v>206.6</v>
      </c>
      <c r="K180" s="306">
        <v>206.6</v>
      </c>
      <c r="L180" s="168">
        <f t="shared" ref="L180:L181" si="88">SUM(M180:U180)</f>
        <v>0</v>
      </c>
      <c r="M180" s="211"/>
      <c r="N180" s="169"/>
      <c r="O180" s="170"/>
      <c r="P180" s="171"/>
      <c r="Q180" s="172"/>
      <c r="R180" s="173"/>
      <c r="S180" s="174"/>
      <c r="T180" s="175"/>
      <c r="U180" s="176"/>
      <c r="V180" s="168">
        <f t="shared" ref="V180:V181" si="89">L180*H180</f>
        <v>0</v>
      </c>
      <c r="W180" s="177">
        <f t="shared" ref="W180:W181" si="90">L180*K180</f>
        <v>0</v>
      </c>
      <c r="X180" s="178">
        <v>9.9</v>
      </c>
      <c r="Y180" s="179">
        <f t="shared" ref="Y180:Y181" si="91">X180*L180</f>
        <v>0</v>
      </c>
      <c r="AA180" s="180"/>
      <c r="AD180" s="1"/>
      <c r="AE180" s="1"/>
      <c r="AF180" s="1"/>
      <c r="AG180" s="1"/>
    </row>
    <row r="181" spans="1:33" ht="15.75" customHeight="1">
      <c r="A181" s="87"/>
      <c r="B181" s="164" t="s">
        <v>1531</v>
      </c>
      <c r="C181" s="165" t="s">
        <v>57</v>
      </c>
      <c r="D181" s="165" t="s">
        <v>62</v>
      </c>
      <c r="E181" s="165" t="s">
        <v>121</v>
      </c>
      <c r="F181" s="165" t="s">
        <v>34</v>
      </c>
      <c r="G181" s="165" t="s">
        <v>48</v>
      </c>
      <c r="H181" s="166">
        <v>5</v>
      </c>
      <c r="I181" s="166" t="s">
        <v>1532</v>
      </c>
      <c r="J181" s="305">
        <f>K181*(1-Bolts!$E$1179)</f>
        <v>410.1</v>
      </c>
      <c r="K181" s="306">
        <v>410.1</v>
      </c>
      <c r="L181" s="168">
        <f t="shared" si="88"/>
        <v>0</v>
      </c>
      <c r="M181" s="211"/>
      <c r="N181" s="169"/>
      <c r="O181" s="170"/>
      <c r="P181" s="171"/>
      <c r="Q181" s="172"/>
      <c r="R181" s="173"/>
      <c r="S181" s="174"/>
      <c r="T181" s="175"/>
      <c r="U181" s="176"/>
      <c r="V181" s="168">
        <f t="shared" si="89"/>
        <v>0</v>
      </c>
      <c r="W181" s="177">
        <f t="shared" si="90"/>
        <v>0</v>
      </c>
      <c r="X181" s="178">
        <v>17.850000000000001</v>
      </c>
      <c r="Y181" s="179">
        <f t="shared" si="91"/>
        <v>0</v>
      </c>
      <c r="AA181" s="180"/>
      <c r="AD181" s="1"/>
      <c r="AE181" s="1"/>
      <c r="AF181" s="1"/>
      <c r="AG181" s="1"/>
    </row>
    <row r="182" spans="1:33" ht="15.75" customHeight="1">
      <c r="A182" s="87"/>
      <c r="B182" s="185"/>
      <c r="C182" s="165"/>
      <c r="D182" s="165"/>
      <c r="E182" s="165"/>
      <c r="F182" s="165"/>
      <c r="G182" s="165"/>
      <c r="H182" s="166"/>
      <c r="I182" s="166"/>
      <c r="J182" s="307"/>
      <c r="K182" s="308"/>
      <c r="L182" s="186"/>
      <c r="M182" s="187"/>
      <c r="N182" s="187"/>
      <c r="O182" s="188"/>
      <c r="P182" s="187"/>
      <c r="Q182" s="187"/>
      <c r="R182" s="187"/>
      <c r="S182" s="187"/>
      <c r="T182" s="187"/>
      <c r="U182" s="188"/>
      <c r="V182" s="186"/>
      <c r="W182" s="189"/>
      <c r="X182" s="190"/>
      <c r="Y182" s="191"/>
      <c r="AA182" s="180"/>
      <c r="AD182" s="1"/>
      <c r="AE182" s="1"/>
      <c r="AF182" s="1"/>
      <c r="AG182" s="1"/>
    </row>
    <row r="183" spans="1:33" ht="15.75" customHeight="1">
      <c r="A183" s="87"/>
      <c r="B183" s="164" t="s">
        <v>1533</v>
      </c>
      <c r="C183" s="165" t="s">
        <v>57</v>
      </c>
      <c r="D183" s="165" t="s">
        <v>63</v>
      </c>
      <c r="E183" s="165" t="s">
        <v>121</v>
      </c>
      <c r="F183" s="165" t="s">
        <v>34</v>
      </c>
      <c r="G183" s="165" t="s">
        <v>48</v>
      </c>
      <c r="H183" s="166">
        <v>5</v>
      </c>
      <c r="I183" s="166" t="s">
        <v>1534</v>
      </c>
      <c r="J183" s="305">
        <f>K183*(1-Bolts!$E$1179)</f>
        <v>133.4</v>
      </c>
      <c r="K183" s="306">
        <v>133.4</v>
      </c>
      <c r="L183" s="168">
        <f t="shared" ref="L183:L186" si="92">SUM(M183:U183)</f>
        <v>0</v>
      </c>
      <c r="M183" s="211"/>
      <c r="N183" s="169"/>
      <c r="O183" s="170"/>
      <c r="P183" s="171"/>
      <c r="Q183" s="172"/>
      <c r="R183" s="173"/>
      <c r="S183" s="174"/>
      <c r="T183" s="175"/>
      <c r="U183" s="176"/>
      <c r="V183" s="168">
        <f t="shared" ref="V183:V186" si="93">L183*H183</f>
        <v>0</v>
      </c>
      <c r="W183" s="177">
        <f t="shared" ref="W183:W186" si="94">L183*K183</f>
        <v>0</v>
      </c>
      <c r="X183" s="178">
        <v>5.45</v>
      </c>
      <c r="Y183" s="179">
        <f t="shared" ref="Y183:Y186" si="95">X183*L183</f>
        <v>0</v>
      </c>
      <c r="AA183" s="180"/>
      <c r="AD183" s="1"/>
      <c r="AE183" s="1"/>
      <c r="AF183" s="1"/>
      <c r="AG183" s="1"/>
    </row>
    <row r="184" spans="1:33" ht="15.75" customHeight="1">
      <c r="A184" s="87"/>
      <c r="B184" s="164" t="s">
        <v>1535</v>
      </c>
      <c r="C184" s="165" t="s">
        <v>57</v>
      </c>
      <c r="D184" s="165" t="s">
        <v>63</v>
      </c>
      <c r="E184" s="165" t="s">
        <v>121</v>
      </c>
      <c r="F184" s="165" t="s">
        <v>35</v>
      </c>
      <c r="G184" s="165" t="s">
        <v>48</v>
      </c>
      <c r="H184" s="166">
        <v>5</v>
      </c>
      <c r="I184" s="166" t="s">
        <v>1536</v>
      </c>
      <c r="J184" s="305">
        <f>K184*(1-Bolts!$E$1179)</f>
        <v>180</v>
      </c>
      <c r="K184" s="306">
        <v>180</v>
      </c>
      <c r="L184" s="168">
        <f t="shared" si="92"/>
        <v>0</v>
      </c>
      <c r="M184" s="211"/>
      <c r="N184" s="169"/>
      <c r="O184" s="170"/>
      <c r="P184" s="171"/>
      <c r="Q184" s="172"/>
      <c r="R184" s="173"/>
      <c r="S184" s="174"/>
      <c r="T184" s="175"/>
      <c r="U184" s="176"/>
      <c r="V184" s="168">
        <f t="shared" si="93"/>
        <v>0</v>
      </c>
      <c r="W184" s="177">
        <f t="shared" si="94"/>
        <v>0</v>
      </c>
      <c r="X184" s="178">
        <v>8.1</v>
      </c>
      <c r="Y184" s="179">
        <f t="shared" si="95"/>
        <v>0</v>
      </c>
      <c r="AA184" s="180"/>
      <c r="AD184" s="1"/>
      <c r="AE184" s="1"/>
      <c r="AF184" s="1"/>
      <c r="AG184" s="1"/>
    </row>
    <row r="185" spans="1:33" ht="15.75" customHeight="1">
      <c r="A185" s="87"/>
      <c r="B185" s="164" t="s">
        <v>1537</v>
      </c>
      <c r="C185" s="165" t="s">
        <v>57</v>
      </c>
      <c r="D185" s="165" t="s">
        <v>63</v>
      </c>
      <c r="E185" s="165" t="s">
        <v>121</v>
      </c>
      <c r="F185" s="165" t="s">
        <v>35</v>
      </c>
      <c r="G185" s="165" t="s">
        <v>48</v>
      </c>
      <c r="H185" s="166">
        <v>5</v>
      </c>
      <c r="I185" s="166" t="s">
        <v>1538</v>
      </c>
      <c r="J185" s="305">
        <f>K185*(1-Bolts!$E$1179)</f>
        <v>134.19999999999999</v>
      </c>
      <c r="K185" s="306">
        <v>134.19999999999999</v>
      </c>
      <c r="L185" s="168">
        <f t="shared" si="92"/>
        <v>0</v>
      </c>
      <c r="M185" s="211"/>
      <c r="N185" s="169"/>
      <c r="O185" s="170"/>
      <c r="P185" s="171"/>
      <c r="Q185" s="172"/>
      <c r="R185" s="173"/>
      <c r="S185" s="174"/>
      <c r="T185" s="175"/>
      <c r="U185" s="176"/>
      <c r="V185" s="168">
        <f t="shared" si="93"/>
        <v>0</v>
      </c>
      <c r="W185" s="177">
        <f t="shared" si="94"/>
        <v>0</v>
      </c>
      <c r="X185" s="178">
        <v>5.5</v>
      </c>
      <c r="Y185" s="179">
        <f t="shared" si="95"/>
        <v>0</v>
      </c>
      <c r="AA185" s="180"/>
      <c r="AD185" s="1"/>
      <c r="AE185" s="1"/>
      <c r="AF185" s="1"/>
      <c r="AG185" s="1"/>
    </row>
    <row r="186" spans="1:33" ht="15.75" customHeight="1">
      <c r="A186" s="87"/>
      <c r="B186" s="164" t="s">
        <v>1539</v>
      </c>
      <c r="C186" s="165" t="s">
        <v>57</v>
      </c>
      <c r="D186" s="165" t="s">
        <v>63</v>
      </c>
      <c r="E186" s="165" t="s">
        <v>121</v>
      </c>
      <c r="F186" s="165" t="s">
        <v>35</v>
      </c>
      <c r="G186" s="165" t="s">
        <v>48</v>
      </c>
      <c r="H186" s="166">
        <v>5</v>
      </c>
      <c r="I186" s="166" t="s">
        <v>1540</v>
      </c>
      <c r="J186" s="305">
        <f>K186*(1-Bolts!$E$1179)</f>
        <v>129.80000000000001</v>
      </c>
      <c r="K186" s="306">
        <v>129.80000000000001</v>
      </c>
      <c r="L186" s="168">
        <f t="shared" si="92"/>
        <v>0</v>
      </c>
      <c r="M186" s="211"/>
      <c r="N186" s="169"/>
      <c r="O186" s="170"/>
      <c r="P186" s="171"/>
      <c r="Q186" s="172"/>
      <c r="R186" s="173"/>
      <c r="S186" s="174"/>
      <c r="T186" s="175"/>
      <c r="U186" s="176"/>
      <c r="V186" s="168">
        <f t="shared" si="93"/>
        <v>0</v>
      </c>
      <c r="W186" s="177">
        <f t="shared" si="94"/>
        <v>0</v>
      </c>
      <c r="X186" s="178">
        <v>5.25</v>
      </c>
      <c r="Y186" s="179">
        <f t="shared" si="95"/>
        <v>0</v>
      </c>
      <c r="AA186" s="180"/>
      <c r="AD186" s="1"/>
      <c r="AE186" s="1"/>
      <c r="AF186" s="1"/>
      <c r="AG186" s="1"/>
    </row>
    <row r="187" spans="1:33" ht="15.75" customHeight="1">
      <c r="A187" s="87"/>
      <c r="B187" s="185"/>
      <c r="C187" s="165"/>
      <c r="D187" s="165"/>
      <c r="E187" s="165"/>
      <c r="F187" s="165"/>
      <c r="G187" s="165"/>
      <c r="H187" s="166"/>
      <c r="I187" s="166"/>
      <c r="J187" s="307"/>
      <c r="K187" s="308"/>
      <c r="L187" s="186"/>
      <c r="M187" s="187"/>
      <c r="N187" s="187"/>
      <c r="O187" s="188"/>
      <c r="P187" s="187"/>
      <c r="Q187" s="187"/>
      <c r="R187" s="187"/>
      <c r="S187" s="187"/>
      <c r="T187" s="187"/>
      <c r="U187" s="188"/>
      <c r="V187" s="186"/>
      <c r="W187" s="189"/>
      <c r="X187" s="190"/>
      <c r="Y187" s="191"/>
      <c r="AA187" s="180"/>
      <c r="AD187" s="1"/>
      <c r="AE187" s="1"/>
      <c r="AF187" s="1"/>
      <c r="AG187" s="1"/>
    </row>
    <row r="188" spans="1:33" ht="15.75" customHeight="1">
      <c r="A188" s="87"/>
      <c r="B188" s="164" t="s">
        <v>1541</v>
      </c>
      <c r="C188" s="165" t="s">
        <v>57</v>
      </c>
      <c r="D188" s="165" t="s">
        <v>48</v>
      </c>
      <c r="E188" s="165" t="s">
        <v>121</v>
      </c>
      <c r="F188" s="165" t="s">
        <v>34</v>
      </c>
      <c r="G188" s="165" t="s">
        <v>49</v>
      </c>
      <c r="H188" s="166">
        <v>5</v>
      </c>
      <c r="I188" s="166" t="s">
        <v>1542</v>
      </c>
      <c r="J188" s="305">
        <f>K188*(1-Bolts!$E$1179)</f>
        <v>85.9</v>
      </c>
      <c r="K188" s="306">
        <v>85.9</v>
      </c>
      <c r="L188" s="168">
        <f t="shared" ref="L188:L192" si="96">SUM(M188:U188)</f>
        <v>0</v>
      </c>
      <c r="M188" s="211"/>
      <c r="N188" s="169"/>
      <c r="O188" s="170"/>
      <c r="P188" s="171"/>
      <c r="Q188" s="172"/>
      <c r="R188" s="173"/>
      <c r="S188" s="174"/>
      <c r="T188" s="175"/>
      <c r="U188" s="176"/>
      <c r="V188" s="168">
        <f t="shared" ref="V188:V192" si="97">L188*H188</f>
        <v>0</v>
      </c>
      <c r="W188" s="177">
        <f t="shared" ref="W188:W192" si="98">L188*K188</f>
        <v>0</v>
      </c>
      <c r="X188" s="178" t="s">
        <v>1543</v>
      </c>
      <c r="Y188" s="179">
        <f t="shared" ref="Y188:Y192" si="99">X188*L188</f>
        <v>0</v>
      </c>
      <c r="AA188" s="180"/>
      <c r="AD188" s="1"/>
      <c r="AE188" s="1"/>
      <c r="AF188" s="1"/>
      <c r="AG188" s="1"/>
    </row>
    <row r="189" spans="1:33" ht="15.75" customHeight="1">
      <c r="A189" s="87"/>
      <c r="B189" s="164" t="s">
        <v>1544</v>
      </c>
      <c r="C189" s="165" t="s">
        <v>57</v>
      </c>
      <c r="D189" s="165" t="s">
        <v>48</v>
      </c>
      <c r="E189" s="165" t="s">
        <v>121</v>
      </c>
      <c r="F189" s="165" t="s">
        <v>34</v>
      </c>
      <c r="G189" s="165" t="s">
        <v>49</v>
      </c>
      <c r="H189" s="166">
        <v>5</v>
      </c>
      <c r="I189" s="166" t="s">
        <v>1545</v>
      </c>
      <c r="J189" s="305">
        <f>K189*(1-Bolts!$E$1179)</f>
        <v>85.8</v>
      </c>
      <c r="K189" s="306">
        <v>85.8</v>
      </c>
      <c r="L189" s="168">
        <f t="shared" si="96"/>
        <v>0</v>
      </c>
      <c r="M189" s="211"/>
      <c r="N189" s="169"/>
      <c r="O189" s="170"/>
      <c r="P189" s="171"/>
      <c r="Q189" s="172"/>
      <c r="R189" s="173"/>
      <c r="S189" s="174"/>
      <c r="T189" s="175"/>
      <c r="U189" s="176"/>
      <c r="V189" s="168">
        <f t="shared" si="97"/>
        <v>0</v>
      </c>
      <c r="W189" s="177">
        <f t="shared" si="98"/>
        <v>0</v>
      </c>
      <c r="X189" s="178" t="s">
        <v>1546</v>
      </c>
      <c r="Y189" s="179">
        <f t="shared" si="99"/>
        <v>0</v>
      </c>
      <c r="AA189" s="180"/>
      <c r="AD189" s="1"/>
      <c r="AE189" s="1"/>
      <c r="AF189" s="1"/>
      <c r="AG189" s="1"/>
    </row>
    <row r="190" spans="1:33" ht="15.75" customHeight="1">
      <c r="A190" s="181"/>
      <c r="B190" s="164" t="s">
        <v>1547</v>
      </c>
      <c r="C190" s="165" t="s">
        <v>57</v>
      </c>
      <c r="D190" s="165" t="s">
        <v>48</v>
      </c>
      <c r="E190" s="165" t="s">
        <v>121</v>
      </c>
      <c r="F190" s="165" t="s">
        <v>35</v>
      </c>
      <c r="G190" s="165" t="s">
        <v>48</v>
      </c>
      <c r="H190" s="166">
        <v>5</v>
      </c>
      <c r="I190" s="166" t="s">
        <v>1548</v>
      </c>
      <c r="J190" s="305">
        <f>K190*(1-Bolts!$E$1179)</f>
        <v>123.7</v>
      </c>
      <c r="K190" s="306">
        <v>123.7</v>
      </c>
      <c r="L190" s="168">
        <f t="shared" si="96"/>
        <v>0</v>
      </c>
      <c r="M190" s="211"/>
      <c r="N190" s="169"/>
      <c r="O190" s="170"/>
      <c r="P190" s="171"/>
      <c r="Q190" s="172"/>
      <c r="R190" s="173"/>
      <c r="S190" s="174"/>
      <c r="T190" s="175"/>
      <c r="U190" s="176"/>
      <c r="V190" s="168">
        <f t="shared" si="97"/>
        <v>0</v>
      </c>
      <c r="W190" s="177">
        <f t="shared" si="98"/>
        <v>0</v>
      </c>
      <c r="X190" s="178">
        <v>4.9000000000000004</v>
      </c>
      <c r="Y190" s="179">
        <f t="shared" si="99"/>
        <v>0</v>
      </c>
      <c r="AA190" s="180"/>
      <c r="AD190" s="1"/>
      <c r="AE190" s="1"/>
      <c r="AF190" s="1"/>
      <c r="AG190" s="1"/>
    </row>
    <row r="191" spans="1:33" ht="15.75" customHeight="1">
      <c r="A191" s="181"/>
      <c r="B191" s="164" t="s">
        <v>1549</v>
      </c>
      <c r="C191" s="165" t="s">
        <v>57</v>
      </c>
      <c r="D191" s="165" t="s">
        <v>48</v>
      </c>
      <c r="E191" s="165" t="s">
        <v>121</v>
      </c>
      <c r="F191" s="165" t="s">
        <v>35</v>
      </c>
      <c r="G191" s="165" t="s">
        <v>49</v>
      </c>
      <c r="H191" s="166">
        <v>5</v>
      </c>
      <c r="I191" s="166" t="s">
        <v>1550</v>
      </c>
      <c r="J191" s="305">
        <f>K191*(1-Bolts!$E$1179)</f>
        <v>158.9</v>
      </c>
      <c r="K191" s="306">
        <v>158.9</v>
      </c>
      <c r="L191" s="168">
        <f t="shared" si="96"/>
        <v>0</v>
      </c>
      <c r="M191" s="211"/>
      <c r="N191" s="169"/>
      <c r="O191" s="170"/>
      <c r="P191" s="171"/>
      <c r="Q191" s="172"/>
      <c r="R191" s="173"/>
      <c r="S191" s="174"/>
      <c r="T191" s="175"/>
      <c r="U191" s="176"/>
      <c r="V191" s="168">
        <f t="shared" si="97"/>
        <v>0</v>
      </c>
      <c r="W191" s="177">
        <f t="shared" si="98"/>
        <v>0</v>
      </c>
      <c r="X191" s="178">
        <v>6.9</v>
      </c>
      <c r="Y191" s="179">
        <f t="shared" si="99"/>
        <v>0</v>
      </c>
      <c r="AA191" s="180"/>
      <c r="AD191" s="1"/>
      <c r="AE191" s="1"/>
      <c r="AF191" s="1"/>
      <c r="AG191" s="1"/>
    </row>
    <row r="192" spans="1:33" ht="15.75" customHeight="1">
      <c r="A192" s="181"/>
      <c r="B192" s="164" t="s">
        <v>1551</v>
      </c>
      <c r="C192" s="165" t="s">
        <v>57</v>
      </c>
      <c r="D192" s="165" t="s">
        <v>48</v>
      </c>
      <c r="E192" s="165" t="s">
        <v>121</v>
      </c>
      <c r="F192" s="165" t="s">
        <v>34</v>
      </c>
      <c r="G192" s="165" t="s">
        <v>49</v>
      </c>
      <c r="H192" s="166">
        <v>5</v>
      </c>
      <c r="I192" s="166" t="s">
        <v>1552</v>
      </c>
      <c r="J192" s="305">
        <f>K192*(1-Bolts!$E$1179)</f>
        <v>127.2</v>
      </c>
      <c r="K192" s="306">
        <v>127.2</v>
      </c>
      <c r="L192" s="168">
        <f t="shared" si="96"/>
        <v>0</v>
      </c>
      <c r="M192" s="211"/>
      <c r="N192" s="169"/>
      <c r="O192" s="170"/>
      <c r="P192" s="171"/>
      <c r="Q192" s="172"/>
      <c r="R192" s="173"/>
      <c r="S192" s="174"/>
      <c r="T192" s="175"/>
      <c r="U192" s="176"/>
      <c r="V192" s="168">
        <f t="shared" si="97"/>
        <v>0</v>
      </c>
      <c r="W192" s="177">
        <f t="shared" si="98"/>
        <v>0</v>
      </c>
      <c r="X192" s="178">
        <v>5.0999999999999996</v>
      </c>
      <c r="Y192" s="179">
        <f t="shared" si="99"/>
        <v>0</v>
      </c>
      <c r="AA192" s="180"/>
      <c r="AD192" s="1"/>
      <c r="AE192" s="1"/>
      <c r="AF192" s="1"/>
      <c r="AG192" s="1"/>
    </row>
    <row r="193" spans="1:33" ht="15.75" customHeight="1">
      <c r="A193" s="87"/>
      <c r="B193" s="185"/>
      <c r="C193" s="165"/>
      <c r="D193" s="165"/>
      <c r="E193" s="165"/>
      <c r="F193" s="165"/>
      <c r="G193" s="165"/>
      <c r="H193" s="166"/>
      <c r="I193" s="166"/>
      <c r="J193" s="307"/>
      <c r="K193" s="308"/>
      <c r="L193" s="186"/>
      <c r="M193" s="187"/>
      <c r="N193" s="187"/>
      <c r="O193" s="188"/>
      <c r="P193" s="187"/>
      <c r="Q193" s="187"/>
      <c r="R193" s="187"/>
      <c r="S193" s="187"/>
      <c r="T193" s="187"/>
      <c r="U193" s="188"/>
      <c r="V193" s="186"/>
      <c r="W193" s="189"/>
      <c r="X193" s="190"/>
      <c r="Y193" s="191"/>
      <c r="AA193" s="180"/>
      <c r="AD193" s="1"/>
      <c r="AE193" s="1"/>
      <c r="AF193" s="1"/>
      <c r="AG193" s="1"/>
    </row>
    <row r="194" spans="1:33" ht="15.75" customHeight="1">
      <c r="A194" s="87"/>
      <c r="B194" s="164" t="s">
        <v>1553</v>
      </c>
      <c r="C194" s="165" t="s">
        <v>57</v>
      </c>
      <c r="D194" s="165" t="s">
        <v>65</v>
      </c>
      <c r="E194" s="165" t="s">
        <v>121</v>
      </c>
      <c r="F194" s="165" t="s">
        <v>39</v>
      </c>
      <c r="G194" s="165" t="s">
        <v>49</v>
      </c>
      <c r="H194" s="166">
        <v>20</v>
      </c>
      <c r="I194" s="166" t="s">
        <v>1554</v>
      </c>
      <c r="J194" s="305">
        <f>K194*(1-Bolts!$E$1179)</f>
        <v>187.7</v>
      </c>
      <c r="K194" s="306">
        <v>187.7</v>
      </c>
      <c r="L194" s="168">
        <f t="shared" ref="L194:L195" si="100">SUM(M194:U194)</f>
        <v>0</v>
      </c>
      <c r="M194" s="211"/>
      <c r="N194" s="169"/>
      <c r="O194" s="170"/>
      <c r="P194" s="171"/>
      <c r="Q194" s="172"/>
      <c r="R194" s="173"/>
      <c r="S194" s="174"/>
      <c r="T194" s="175"/>
      <c r="U194" s="176"/>
      <c r="V194" s="168">
        <f t="shared" ref="V194:V195" si="101">L194*H194</f>
        <v>0</v>
      </c>
      <c r="W194" s="177">
        <f t="shared" ref="W194:W195" si="102">L194*K194</f>
        <v>0</v>
      </c>
      <c r="X194" s="178">
        <v>6.35</v>
      </c>
      <c r="Y194" s="179">
        <f t="shared" ref="Y194:Y195" si="103">X194*L194</f>
        <v>0</v>
      </c>
      <c r="AA194" s="180"/>
      <c r="AD194" s="1"/>
      <c r="AE194" s="1"/>
      <c r="AF194" s="1"/>
      <c r="AG194" s="1"/>
    </row>
    <row r="195" spans="1:33" ht="15.75" customHeight="1">
      <c r="A195" s="87"/>
      <c r="B195" s="164" t="s">
        <v>1555</v>
      </c>
      <c r="C195" s="165" t="s">
        <v>57</v>
      </c>
      <c r="D195" s="165" t="s">
        <v>65</v>
      </c>
      <c r="E195" s="165" t="s">
        <v>121</v>
      </c>
      <c r="F195" s="165" t="s">
        <v>39</v>
      </c>
      <c r="G195" s="165" t="s">
        <v>49</v>
      </c>
      <c r="H195" s="166">
        <v>20</v>
      </c>
      <c r="I195" s="166" t="s">
        <v>1556</v>
      </c>
      <c r="J195" s="305">
        <f>K195*(1-Bolts!$E$1179)</f>
        <v>161.19999999999999</v>
      </c>
      <c r="K195" s="306">
        <v>161.19999999999999</v>
      </c>
      <c r="L195" s="168">
        <f t="shared" si="100"/>
        <v>0</v>
      </c>
      <c r="M195" s="211"/>
      <c r="N195" s="169"/>
      <c r="O195" s="170"/>
      <c r="P195" s="171"/>
      <c r="Q195" s="172"/>
      <c r="R195" s="173"/>
      <c r="S195" s="174"/>
      <c r="T195" s="175"/>
      <c r="U195" s="176"/>
      <c r="V195" s="168">
        <f t="shared" si="101"/>
        <v>0</v>
      </c>
      <c r="W195" s="177">
        <f t="shared" si="102"/>
        <v>0</v>
      </c>
      <c r="X195" s="178">
        <v>4.8499999999999996</v>
      </c>
      <c r="Y195" s="179">
        <f t="shared" si="103"/>
        <v>0</v>
      </c>
      <c r="AA195" s="180"/>
      <c r="AD195" s="1"/>
      <c r="AE195" s="1"/>
      <c r="AF195" s="1"/>
      <c r="AG195" s="1"/>
    </row>
    <row r="196" spans="1:33" ht="15.75" customHeight="1">
      <c r="A196" s="87"/>
      <c r="B196" s="185"/>
      <c r="C196" s="165"/>
      <c r="D196" s="165"/>
      <c r="E196" s="165"/>
      <c r="F196" s="165"/>
      <c r="G196" s="165"/>
      <c r="H196" s="166"/>
      <c r="I196" s="166"/>
      <c r="J196" s="307"/>
      <c r="K196" s="308"/>
      <c r="L196" s="186"/>
      <c r="M196" s="187"/>
      <c r="N196" s="187"/>
      <c r="O196" s="188"/>
      <c r="P196" s="187"/>
      <c r="Q196" s="187"/>
      <c r="R196" s="187"/>
      <c r="S196" s="187"/>
      <c r="T196" s="187"/>
      <c r="U196" s="188"/>
      <c r="V196" s="186"/>
      <c r="W196" s="189"/>
      <c r="X196" s="190"/>
      <c r="Y196" s="191"/>
      <c r="AA196" s="212"/>
      <c r="AD196" s="1"/>
      <c r="AE196" s="1"/>
      <c r="AF196" s="1"/>
      <c r="AG196" s="1"/>
    </row>
    <row r="197" spans="1:33" ht="15.75" customHeight="1">
      <c r="A197" s="181"/>
      <c r="B197" s="182" t="s">
        <v>1557</v>
      </c>
      <c r="C197" s="183" t="s">
        <v>57</v>
      </c>
      <c r="D197" s="183" t="s">
        <v>38</v>
      </c>
      <c r="E197" s="183" t="s">
        <v>121</v>
      </c>
      <c r="F197" s="183" t="s">
        <v>38</v>
      </c>
      <c r="G197" s="183" t="s">
        <v>48</v>
      </c>
      <c r="H197" s="184">
        <v>1</v>
      </c>
      <c r="I197" s="184" t="s">
        <v>1558</v>
      </c>
      <c r="J197" s="305">
        <f>K197*(1-Bolts!$E$1179)</f>
        <v>82.8</v>
      </c>
      <c r="K197" s="306">
        <v>82.8</v>
      </c>
      <c r="L197" s="168">
        <f>SUM(M197:U197)</f>
        <v>0</v>
      </c>
      <c r="M197" s="211"/>
      <c r="N197" s="169"/>
      <c r="O197" s="170"/>
      <c r="P197" s="171"/>
      <c r="Q197" s="172"/>
      <c r="R197" s="173"/>
      <c r="S197" s="174"/>
      <c r="T197" s="175"/>
      <c r="U197" s="176"/>
      <c r="V197" s="168">
        <f>L197*H197</f>
        <v>0</v>
      </c>
      <c r="W197" s="177">
        <f>L197*K197</f>
        <v>0</v>
      </c>
      <c r="X197" s="178">
        <v>2.2999999999999998</v>
      </c>
      <c r="Y197" s="179">
        <f>X197*L197</f>
        <v>0</v>
      </c>
      <c r="AA197" s="180"/>
      <c r="AD197" s="1"/>
      <c r="AE197" s="1"/>
      <c r="AF197" s="1"/>
      <c r="AG197" s="1"/>
    </row>
    <row r="198" spans="1:33" ht="15.75" customHeight="1">
      <c r="A198" s="139" t="s">
        <v>1559</v>
      </c>
      <c r="B198" s="326"/>
      <c r="C198" s="142"/>
      <c r="D198" s="142"/>
      <c r="E198" s="142" t="s">
        <v>121</v>
      </c>
      <c r="F198" s="142"/>
      <c r="G198" s="142"/>
      <c r="H198" s="142"/>
      <c r="I198" s="142"/>
      <c r="J198" s="327"/>
      <c r="K198" s="308"/>
      <c r="L198" s="142"/>
      <c r="M198" s="142"/>
      <c r="N198" s="142"/>
      <c r="O198" s="142"/>
      <c r="P198" s="142"/>
      <c r="Q198" s="142"/>
      <c r="R198" s="142"/>
      <c r="S198" s="142"/>
      <c r="T198" s="142"/>
      <c r="U198" s="142"/>
      <c r="V198" s="142"/>
      <c r="W198" s="142"/>
      <c r="X198" s="142"/>
      <c r="Y198" s="217"/>
      <c r="AA198" s="180"/>
      <c r="AD198" s="1"/>
      <c r="AE198" s="1"/>
      <c r="AF198" s="1"/>
      <c r="AG198" s="1"/>
    </row>
    <row r="199" spans="1:33" ht="15.75" customHeight="1">
      <c r="A199" s="181" t="s">
        <v>769</v>
      </c>
      <c r="B199" s="337" t="s">
        <v>1560</v>
      </c>
      <c r="C199" s="330" t="s">
        <v>57</v>
      </c>
      <c r="D199" s="330" t="s">
        <v>60</v>
      </c>
      <c r="E199" s="330" t="s">
        <v>121</v>
      </c>
      <c r="F199" s="330" t="s">
        <v>29</v>
      </c>
      <c r="G199" s="330" t="s">
        <v>47</v>
      </c>
      <c r="H199" s="331">
        <v>3</v>
      </c>
      <c r="I199" s="331" t="s">
        <v>1561</v>
      </c>
      <c r="J199" s="338">
        <f>K199*(1-Bolts!$E$1179)</f>
        <v>460</v>
      </c>
      <c r="K199" s="306">
        <v>460</v>
      </c>
      <c r="L199" s="168">
        <f>SUM(M199:U199)</f>
        <v>0</v>
      </c>
      <c r="M199" s="211"/>
      <c r="N199" s="169"/>
      <c r="O199" s="170"/>
      <c r="P199" s="171"/>
      <c r="Q199" s="172"/>
      <c r="R199" s="173"/>
      <c r="S199" s="174"/>
      <c r="T199" s="175"/>
      <c r="U199" s="176"/>
      <c r="V199" s="168">
        <f>L199*H199</f>
        <v>0</v>
      </c>
      <c r="W199" s="177">
        <f>L199*K199</f>
        <v>0</v>
      </c>
      <c r="X199" s="178">
        <v>20.55</v>
      </c>
      <c r="Y199" s="179">
        <f>X199*L199</f>
        <v>0</v>
      </c>
      <c r="AA199" s="180"/>
      <c r="AD199" s="1"/>
      <c r="AE199" s="1"/>
      <c r="AF199" s="1"/>
      <c r="AG199" s="1"/>
    </row>
    <row r="200" spans="1:33" ht="15.75" customHeight="1">
      <c r="A200" s="87"/>
      <c r="B200" s="339"/>
      <c r="C200" s="340"/>
      <c r="D200" s="340"/>
      <c r="E200" s="340"/>
      <c r="F200" s="340"/>
      <c r="G200" s="340"/>
      <c r="H200" s="341"/>
      <c r="I200" s="341"/>
      <c r="J200" s="342"/>
      <c r="K200" s="308"/>
      <c r="L200" s="343"/>
      <c r="M200" s="344"/>
      <c r="N200" s="344"/>
      <c r="O200" s="345"/>
      <c r="P200" s="344"/>
      <c r="Q200" s="344"/>
      <c r="R200" s="344"/>
      <c r="S200" s="344"/>
      <c r="T200" s="344"/>
      <c r="U200" s="345"/>
      <c r="V200" s="343"/>
      <c r="W200" s="346"/>
      <c r="X200" s="347"/>
      <c r="Y200" s="348"/>
      <c r="Z200" s="1"/>
      <c r="AA200" s="247"/>
      <c r="AB200" s="1"/>
      <c r="AC200" s="1"/>
      <c r="AD200" s="1"/>
      <c r="AE200" s="1"/>
      <c r="AF200" s="1"/>
      <c r="AG200" s="1"/>
    </row>
    <row r="201" spans="1:33" ht="15.75" customHeight="1">
      <c r="A201" s="181"/>
      <c r="B201" s="192" t="s">
        <v>1562</v>
      </c>
      <c r="C201" s="193" t="s">
        <v>57</v>
      </c>
      <c r="D201" s="193" t="s">
        <v>62</v>
      </c>
      <c r="E201" s="193" t="s">
        <v>121</v>
      </c>
      <c r="F201" s="193" t="s">
        <v>29</v>
      </c>
      <c r="G201" s="193" t="s">
        <v>47</v>
      </c>
      <c r="H201" s="194">
        <v>5</v>
      </c>
      <c r="I201" s="194" t="s">
        <v>1563</v>
      </c>
      <c r="J201" s="305">
        <f>K201*(1-Bolts!$E$1179)</f>
        <v>410.8</v>
      </c>
      <c r="K201" s="306">
        <v>410.8</v>
      </c>
      <c r="L201" s="168">
        <f t="shared" ref="L201:L202" si="104">SUM(M201:U201)</f>
        <v>0</v>
      </c>
      <c r="M201" s="211"/>
      <c r="N201" s="169"/>
      <c r="O201" s="170"/>
      <c r="P201" s="171"/>
      <c r="Q201" s="172"/>
      <c r="R201" s="173"/>
      <c r="S201" s="174"/>
      <c r="T201" s="175"/>
      <c r="U201" s="176"/>
      <c r="V201" s="168">
        <f t="shared" ref="V201:V202" si="105">L201*H201</f>
        <v>0</v>
      </c>
      <c r="W201" s="177">
        <f t="shared" ref="W201:W202" si="106">L201*K201</f>
        <v>0</v>
      </c>
      <c r="X201" s="178">
        <v>19.55</v>
      </c>
      <c r="Y201" s="179">
        <f t="shared" ref="Y201:Y202" si="107">X201*L201</f>
        <v>0</v>
      </c>
      <c r="Z201" s="349"/>
      <c r="AA201" s="350"/>
      <c r="AB201" s="349"/>
      <c r="AC201" s="349"/>
      <c r="AD201" s="349"/>
      <c r="AE201" s="349"/>
      <c r="AF201" s="349"/>
      <c r="AG201" s="349"/>
    </row>
    <row r="202" spans="1:33" ht="15.75" customHeight="1">
      <c r="A202" s="181"/>
      <c r="B202" s="351" t="s">
        <v>1564</v>
      </c>
      <c r="C202" s="330" t="s">
        <v>57</v>
      </c>
      <c r="D202" s="330" t="s">
        <v>61</v>
      </c>
      <c r="E202" s="330" t="s">
        <v>121</v>
      </c>
      <c r="F202" s="330" t="s">
        <v>37</v>
      </c>
      <c r="G202" s="330" t="s">
        <v>49</v>
      </c>
      <c r="H202" s="331">
        <v>3</v>
      </c>
      <c r="I202" s="331" t="s">
        <v>1565</v>
      </c>
      <c r="J202" s="305">
        <f>K202*(1-Bolts!$E$1179)</f>
        <v>435.1</v>
      </c>
      <c r="K202" s="306">
        <v>435.1</v>
      </c>
      <c r="L202" s="168">
        <f t="shared" si="104"/>
        <v>0</v>
      </c>
      <c r="M202" s="211"/>
      <c r="N202" s="169"/>
      <c r="O202" s="170"/>
      <c r="P202" s="171"/>
      <c r="Q202" s="172"/>
      <c r="R202" s="173"/>
      <c r="S202" s="174"/>
      <c r="T202" s="175"/>
      <c r="U202" s="176"/>
      <c r="V202" s="168">
        <f t="shared" si="105"/>
        <v>0</v>
      </c>
      <c r="W202" s="177">
        <f t="shared" si="106"/>
        <v>0</v>
      </c>
      <c r="X202" s="178">
        <v>21</v>
      </c>
      <c r="Y202" s="179">
        <f t="shared" si="107"/>
        <v>0</v>
      </c>
      <c r="AA202" s="180"/>
      <c r="AD202" s="1"/>
      <c r="AE202" s="1"/>
      <c r="AF202" s="1"/>
      <c r="AG202" s="1"/>
    </row>
    <row r="203" spans="1:33" ht="15.75" customHeight="1">
      <c r="A203" s="87"/>
      <c r="B203" s="185"/>
      <c r="C203" s="165"/>
      <c r="D203" s="165"/>
      <c r="E203" s="165"/>
      <c r="F203" s="165"/>
      <c r="G203" s="165"/>
      <c r="H203" s="166"/>
      <c r="I203" s="166"/>
      <c r="J203" s="307"/>
      <c r="K203" s="308"/>
      <c r="L203" s="186"/>
      <c r="M203" s="187"/>
      <c r="N203" s="187"/>
      <c r="O203" s="188"/>
      <c r="P203" s="187"/>
      <c r="Q203" s="187"/>
      <c r="R203" s="187"/>
      <c r="S203" s="187"/>
      <c r="T203" s="187"/>
      <c r="U203" s="188"/>
      <c r="V203" s="186"/>
      <c r="W203" s="189"/>
      <c r="X203" s="190"/>
      <c r="Y203" s="191"/>
      <c r="AA203" s="180"/>
      <c r="AD203" s="1"/>
      <c r="AE203" s="1"/>
      <c r="AF203" s="1"/>
      <c r="AG203" s="1"/>
    </row>
    <row r="204" spans="1:33" ht="15.75" customHeight="1">
      <c r="A204" s="87"/>
      <c r="B204" s="192" t="s">
        <v>1566</v>
      </c>
      <c r="C204" s="193" t="s">
        <v>57</v>
      </c>
      <c r="D204" s="193" t="s">
        <v>62</v>
      </c>
      <c r="E204" s="193" t="s">
        <v>121</v>
      </c>
      <c r="F204" s="193" t="s">
        <v>29</v>
      </c>
      <c r="G204" s="193" t="s">
        <v>47</v>
      </c>
      <c r="H204" s="194">
        <v>3</v>
      </c>
      <c r="I204" s="194" t="s">
        <v>1567</v>
      </c>
      <c r="J204" s="305">
        <f>K204*(1-Bolts!$E$1179)</f>
        <v>275</v>
      </c>
      <c r="K204" s="306">
        <v>275</v>
      </c>
      <c r="L204" s="168">
        <f t="shared" ref="L204:L205" si="108">SUM(M204:U204)</f>
        <v>0</v>
      </c>
      <c r="M204" s="211"/>
      <c r="N204" s="169"/>
      <c r="O204" s="170"/>
      <c r="P204" s="171"/>
      <c r="Q204" s="172"/>
      <c r="R204" s="173"/>
      <c r="S204" s="174"/>
      <c r="T204" s="175"/>
      <c r="U204" s="176"/>
      <c r="V204" s="168">
        <f t="shared" ref="V204:V205" si="109">L204*H204</f>
        <v>0</v>
      </c>
      <c r="W204" s="177">
        <f t="shared" ref="W204:W205" si="110">L204*K204</f>
        <v>0</v>
      </c>
      <c r="X204" s="178" t="s">
        <v>1568</v>
      </c>
      <c r="Y204" s="179">
        <f t="shared" ref="Y204:Y205" si="111">X204*L204</f>
        <v>0</v>
      </c>
      <c r="AA204" s="180"/>
      <c r="AD204" s="1"/>
      <c r="AE204" s="1"/>
      <c r="AF204" s="1"/>
      <c r="AG204" s="1"/>
    </row>
    <row r="205" spans="1:33" ht="15.75" customHeight="1">
      <c r="A205" s="87"/>
      <c r="B205" s="192" t="s">
        <v>1569</v>
      </c>
      <c r="C205" s="193" t="s">
        <v>57</v>
      </c>
      <c r="D205" s="193" t="s">
        <v>62</v>
      </c>
      <c r="E205" s="193" t="s">
        <v>121</v>
      </c>
      <c r="F205" s="193" t="s">
        <v>37</v>
      </c>
      <c r="G205" s="193" t="s">
        <v>49</v>
      </c>
      <c r="H205" s="194">
        <v>5</v>
      </c>
      <c r="I205" s="194" t="s">
        <v>1570</v>
      </c>
      <c r="J205" s="305">
        <f>K205*(1-Bolts!$E$1179)</f>
        <v>92.1</v>
      </c>
      <c r="K205" s="306">
        <v>92.1</v>
      </c>
      <c r="L205" s="168">
        <f t="shared" si="108"/>
        <v>0</v>
      </c>
      <c r="M205" s="211"/>
      <c r="N205" s="169"/>
      <c r="O205" s="170"/>
      <c r="P205" s="171"/>
      <c r="Q205" s="172"/>
      <c r="R205" s="173"/>
      <c r="S205" s="174"/>
      <c r="T205" s="175"/>
      <c r="U205" s="176"/>
      <c r="V205" s="168">
        <f t="shared" si="109"/>
        <v>0</v>
      </c>
      <c r="W205" s="177">
        <f t="shared" si="110"/>
        <v>0</v>
      </c>
      <c r="X205" s="178" t="s">
        <v>1571</v>
      </c>
      <c r="Y205" s="179">
        <f t="shared" si="111"/>
        <v>0</v>
      </c>
      <c r="AA205" s="180"/>
      <c r="AD205" s="1"/>
      <c r="AE205" s="1"/>
      <c r="AF205" s="1"/>
      <c r="AG205" s="1"/>
    </row>
    <row r="206" spans="1:33" ht="15.75" customHeight="1">
      <c r="A206" s="87"/>
      <c r="B206" s="185"/>
      <c r="C206" s="165"/>
      <c r="D206" s="165"/>
      <c r="E206" s="165"/>
      <c r="F206" s="165"/>
      <c r="G206" s="165"/>
      <c r="H206" s="166"/>
      <c r="I206" s="166"/>
      <c r="J206" s="307"/>
      <c r="K206" s="308"/>
      <c r="L206" s="186"/>
      <c r="M206" s="187"/>
      <c r="N206" s="187"/>
      <c r="O206" s="188"/>
      <c r="P206" s="187"/>
      <c r="Q206" s="187"/>
      <c r="R206" s="187"/>
      <c r="S206" s="187"/>
      <c r="T206" s="187"/>
      <c r="U206" s="188"/>
      <c r="V206" s="186"/>
      <c r="W206" s="189"/>
      <c r="X206" s="190"/>
      <c r="Y206" s="191"/>
      <c r="AA206" s="180"/>
      <c r="AD206" s="1"/>
      <c r="AE206" s="1"/>
      <c r="AF206" s="1"/>
      <c r="AG206" s="1"/>
    </row>
    <row r="207" spans="1:33" ht="15.75" customHeight="1">
      <c r="A207" s="87"/>
      <c r="B207" s="192" t="s">
        <v>1572</v>
      </c>
      <c r="C207" s="193" t="s">
        <v>57</v>
      </c>
      <c r="D207" s="193" t="s">
        <v>63</v>
      </c>
      <c r="E207" s="193" t="s">
        <v>121</v>
      </c>
      <c r="F207" s="193" t="s">
        <v>29</v>
      </c>
      <c r="G207" s="193" t="s">
        <v>47</v>
      </c>
      <c r="H207" s="194">
        <v>3</v>
      </c>
      <c r="I207" s="194" t="s">
        <v>1573</v>
      </c>
      <c r="J207" s="305">
        <f>K207*(1-Bolts!$E$1179)</f>
        <v>122.9</v>
      </c>
      <c r="K207" s="306">
        <v>122.9</v>
      </c>
      <c r="L207" s="168">
        <f t="shared" ref="L207:L219" si="112">SUM(M207:U207)</f>
        <v>0</v>
      </c>
      <c r="M207" s="211"/>
      <c r="N207" s="169"/>
      <c r="O207" s="170"/>
      <c r="P207" s="171"/>
      <c r="Q207" s="172"/>
      <c r="R207" s="173"/>
      <c r="S207" s="174"/>
      <c r="T207" s="175"/>
      <c r="U207" s="176"/>
      <c r="V207" s="168">
        <f t="shared" ref="V207:V219" si="113">L207*H207</f>
        <v>0</v>
      </c>
      <c r="W207" s="177">
        <f t="shared" ref="W207:W219" si="114">L207*K207</f>
        <v>0</v>
      </c>
      <c r="X207" s="178" t="s">
        <v>1291</v>
      </c>
      <c r="Y207" s="179">
        <f t="shared" ref="Y207:Y219" si="115">X207*L207</f>
        <v>0</v>
      </c>
      <c r="AA207" s="180"/>
      <c r="AD207" s="1"/>
      <c r="AE207" s="1"/>
      <c r="AF207" s="1"/>
      <c r="AG207" s="1"/>
    </row>
    <row r="208" spans="1:33" ht="15.75" customHeight="1">
      <c r="A208" s="181"/>
      <c r="B208" s="164" t="s">
        <v>1574</v>
      </c>
      <c r="C208" s="165" t="s">
        <v>57</v>
      </c>
      <c r="D208" s="165" t="s">
        <v>63</v>
      </c>
      <c r="E208" s="165" t="s">
        <v>121</v>
      </c>
      <c r="F208" s="165" t="s">
        <v>36</v>
      </c>
      <c r="G208" s="165" t="s">
        <v>49</v>
      </c>
      <c r="H208" s="166">
        <v>5</v>
      </c>
      <c r="I208" s="166" t="s">
        <v>1575</v>
      </c>
      <c r="J208" s="305">
        <f>K208*(1-Bolts!$E$1179)</f>
        <v>206.2</v>
      </c>
      <c r="K208" s="306">
        <v>206.2</v>
      </c>
      <c r="L208" s="168">
        <f t="shared" si="112"/>
        <v>0</v>
      </c>
      <c r="M208" s="211"/>
      <c r="N208" s="169"/>
      <c r="O208" s="170"/>
      <c r="P208" s="171"/>
      <c r="Q208" s="172"/>
      <c r="R208" s="173"/>
      <c r="S208" s="174"/>
      <c r="T208" s="175"/>
      <c r="U208" s="176"/>
      <c r="V208" s="168">
        <f t="shared" si="113"/>
        <v>0</v>
      </c>
      <c r="W208" s="177">
        <f t="shared" si="114"/>
        <v>0</v>
      </c>
      <c r="X208" s="178">
        <v>9.5</v>
      </c>
      <c r="Y208" s="179">
        <f t="shared" si="115"/>
        <v>0</v>
      </c>
      <c r="AA208" s="180"/>
      <c r="AD208" s="1"/>
      <c r="AE208" s="1"/>
      <c r="AF208" s="1"/>
      <c r="AG208" s="1"/>
    </row>
    <row r="209" spans="1:33" ht="15.75" customHeight="1">
      <c r="A209" s="181"/>
      <c r="B209" s="164" t="s">
        <v>1576</v>
      </c>
      <c r="C209" s="165" t="s">
        <v>57</v>
      </c>
      <c r="D209" s="165" t="s">
        <v>63</v>
      </c>
      <c r="E209" s="165" t="s">
        <v>121</v>
      </c>
      <c r="F209" s="165" t="s">
        <v>36</v>
      </c>
      <c r="G209" s="165" t="s">
        <v>49</v>
      </c>
      <c r="H209" s="166">
        <v>5</v>
      </c>
      <c r="I209" s="166" t="s">
        <v>1577</v>
      </c>
      <c r="J209" s="305">
        <f>K209*(1-Bolts!$E$1179)</f>
        <v>228.4</v>
      </c>
      <c r="K209" s="306">
        <v>228.4</v>
      </c>
      <c r="L209" s="168">
        <f t="shared" si="112"/>
        <v>0</v>
      </c>
      <c r="M209" s="211"/>
      <c r="N209" s="169"/>
      <c r="O209" s="170"/>
      <c r="P209" s="171"/>
      <c r="Q209" s="172"/>
      <c r="R209" s="173"/>
      <c r="S209" s="174"/>
      <c r="T209" s="175"/>
      <c r="U209" s="176"/>
      <c r="V209" s="168">
        <f t="shared" si="113"/>
        <v>0</v>
      </c>
      <c r="W209" s="177">
        <f t="shared" si="114"/>
        <v>0</v>
      </c>
      <c r="X209" s="178">
        <v>10.85</v>
      </c>
      <c r="Y209" s="179">
        <f t="shared" si="115"/>
        <v>0</v>
      </c>
      <c r="AA209" s="180"/>
      <c r="AD209" s="1"/>
      <c r="AE209" s="1"/>
      <c r="AF209" s="1"/>
      <c r="AG209" s="1"/>
    </row>
    <row r="210" spans="1:33" ht="15.75" customHeight="1">
      <c r="A210" s="181"/>
      <c r="B210" s="164" t="s">
        <v>1578</v>
      </c>
      <c r="C210" s="165" t="s">
        <v>57</v>
      </c>
      <c r="D210" s="165" t="s">
        <v>63</v>
      </c>
      <c r="E210" s="165" t="s">
        <v>121</v>
      </c>
      <c r="F210" s="165" t="s">
        <v>36</v>
      </c>
      <c r="G210" s="165" t="s">
        <v>49</v>
      </c>
      <c r="H210" s="166">
        <v>5</v>
      </c>
      <c r="I210" s="166" t="s">
        <v>1579</v>
      </c>
      <c r="J210" s="305">
        <f>K210*(1-Bolts!$E$1179)</f>
        <v>254.8</v>
      </c>
      <c r="K210" s="306">
        <v>254.8</v>
      </c>
      <c r="L210" s="168">
        <f t="shared" si="112"/>
        <v>0</v>
      </c>
      <c r="M210" s="211"/>
      <c r="N210" s="169"/>
      <c r="O210" s="170"/>
      <c r="P210" s="171"/>
      <c r="Q210" s="172"/>
      <c r="R210" s="173"/>
      <c r="S210" s="174"/>
      <c r="T210" s="175"/>
      <c r="U210" s="176"/>
      <c r="V210" s="168">
        <f t="shared" si="113"/>
        <v>0</v>
      </c>
      <c r="W210" s="177">
        <f t="shared" si="114"/>
        <v>0</v>
      </c>
      <c r="X210" s="178">
        <v>12.35</v>
      </c>
      <c r="Y210" s="179">
        <f t="shared" si="115"/>
        <v>0</v>
      </c>
      <c r="AA210" s="180"/>
      <c r="AD210" s="1"/>
      <c r="AE210" s="1"/>
      <c r="AF210" s="1"/>
      <c r="AG210" s="1"/>
    </row>
    <row r="211" spans="1:33" ht="15.75" customHeight="1">
      <c r="A211" s="181"/>
      <c r="B211" s="182" t="s">
        <v>1580</v>
      </c>
      <c r="C211" s="183" t="s">
        <v>57</v>
      </c>
      <c r="D211" s="183" t="s">
        <v>63</v>
      </c>
      <c r="E211" s="183" t="s">
        <v>121</v>
      </c>
      <c r="F211" s="183" t="s">
        <v>29</v>
      </c>
      <c r="G211" s="183" t="s">
        <v>47</v>
      </c>
      <c r="H211" s="184">
        <v>5</v>
      </c>
      <c r="I211" s="184" t="s">
        <v>1581</v>
      </c>
      <c r="J211" s="305">
        <f>K211*(1-Bolts!$E$1179)</f>
        <v>171.5</v>
      </c>
      <c r="K211" s="306">
        <v>171.5</v>
      </c>
      <c r="L211" s="168">
        <f t="shared" si="112"/>
        <v>0</v>
      </c>
      <c r="M211" s="211"/>
      <c r="N211" s="169"/>
      <c r="O211" s="170"/>
      <c r="P211" s="171"/>
      <c r="Q211" s="172"/>
      <c r="R211" s="173"/>
      <c r="S211" s="174"/>
      <c r="T211" s="175"/>
      <c r="U211" s="176"/>
      <c r="V211" s="168">
        <f t="shared" si="113"/>
        <v>0</v>
      </c>
      <c r="W211" s="177">
        <f t="shared" si="114"/>
        <v>0</v>
      </c>
      <c r="X211" s="178">
        <v>8.8000000000000007</v>
      </c>
      <c r="Y211" s="179">
        <f t="shared" si="115"/>
        <v>0</v>
      </c>
      <c r="AA211" s="180"/>
      <c r="AD211" s="1"/>
      <c r="AE211" s="1"/>
      <c r="AF211" s="1"/>
      <c r="AG211" s="1"/>
    </row>
    <row r="212" spans="1:33" ht="15.75" customHeight="1">
      <c r="A212" s="181"/>
      <c r="B212" s="182" t="s">
        <v>1582</v>
      </c>
      <c r="C212" s="183" t="s">
        <v>57</v>
      </c>
      <c r="D212" s="183" t="s">
        <v>63</v>
      </c>
      <c r="E212" s="183" t="s">
        <v>121</v>
      </c>
      <c r="F212" s="183" t="s">
        <v>35</v>
      </c>
      <c r="G212" s="183" t="s">
        <v>48</v>
      </c>
      <c r="H212" s="184">
        <v>5</v>
      </c>
      <c r="I212" s="184" t="s">
        <v>1583</v>
      </c>
      <c r="J212" s="305">
        <f>K212*(1-Bolts!$E$1179)</f>
        <v>153.80000000000001</v>
      </c>
      <c r="K212" s="306">
        <v>153.80000000000001</v>
      </c>
      <c r="L212" s="168">
        <f t="shared" si="112"/>
        <v>0</v>
      </c>
      <c r="M212" s="211"/>
      <c r="N212" s="169"/>
      <c r="O212" s="170"/>
      <c r="P212" s="171"/>
      <c r="Q212" s="172"/>
      <c r="R212" s="173"/>
      <c r="S212" s="174"/>
      <c r="T212" s="175"/>
      <c r="U212" s="176"/>
      <c r="V212" s="168">
        <f t="shared" si="113"/>
        <v>0</v>
      </c>
      <c r="W212" s="177">
        <f t="shared" si="114"/>
        <v>0</v>
      </c>
      <c r="X212" s="178">
        <v>5.4</v>
      </c>
      <c r="Y212" s="179">
        <f t="shared" si="115"/>
        <v>0</v>
      </c>
      <c r="AA212" s="180"/>
      <c r="AD212" s="1"/>
      <c r="AE212" s="1"/>
      <c r="AF212" s="1"/>
      <c r="AG212" s="1"/>
    </row>
    <row r="213" spans="1:33" ht="15.75" customHeight="1">
      <c r="A213" s="181"/>
      <c r="B213" s="182" t="s">
        <v>1584</v>
      </c>
      <c r="C213" s="183" t="s">
        <v>57</v>
      </c>
      <c r="D213" s="183" t="s">
        <v>63</v>
      </c>
      <c r="E213" s="183" t="s">
        <v>121</v>
      </c>
      <c r="F213" s="183" t="s">
        <v>35</v>
      </c>
      <c r="G213" s="183" t="s">
        <v>48</v>
      </c>
      <c r="H213" s="184">
        <v>5</v>
      </c>
      <c r="I213" s="184" t="s">
        <v>1585</v>
      </c>
      <c r="J213" s="305">
        <f>K213*(1-Bolts!$E$1179)</f>
        <v>211.6</v>
      </c>
      <c r="K213" s="306">
        <v>211.6</v>
      </c>
      <c r="L213" s="168">
        <f t="shared" si="112"/>
        <v>0</v>
      </c>
      <c r="M213" s="211"/>
      <c r="N213" s="169"/>
      <c r="O213" s="170"/>
      <c r="P213" s="171"/>
      <c r="Q213" s="172"/>
      <c r="R213" s="173"/>
      <c r="S213" s="174"/>
      <c r="T213" s="175"/>
      <c r="U213" s="176"/>
      <c r="V213" s="168">
        <f t="shared" si="113"/>
        <v>0</v>
      </c>
      <c r="W213" s="177">
        <f t="shared" si="114"/>
        <v>0</v>
      </c>
      <c r="X213" s="178">
        <v>8.6</v>
      </c>
      <c r="Y213" s="179">
        <f t="shared" si="115"/>
        <v>0</v>
      </c>
      <c r="AA213" s="180"/>
      <c r="AD213" s="1"/>
      <c r="AE213" s="1"/>
      <c r="AF213" s="1"/>
      <c r="AG213" s="1"/>
    </row>
    <row r="214" spans="1:33" ht="15.75" customHeight="1">
      <c r="A214" s="181"/>
      <c r="B214" s="182" t="s">
        <v>1586</v>
      </c>
      <c r="C214" s="183" t="s">
        <v>57</v>
      </c>
      <c r="D214" s="183" t="s">
        <v>63</v>
      </c>
      <c r="E214" s="183" t="s">
        <v>121</v>
      </c>
      <c r="F214" s="183" t="s">
        <v>29</v>
      </c>
      <c r="G214" s="183" t="s">
        <v>47</v>
      </c>
      <c r="H214" s="184">
        <v>5</v>
      </c>
      <c r="I214" s="184" t="s">
        <v>1587</v>
      </c>
      <c r="J214" s="305">
        <f>K214*(1-Bolts!$E$1179)</f>
        <v>190.9</v>
      </c>
      <c r="K214" s="306">
        <v>190.9</v>
      </c>
      <c r="L214" s="168">
        <f t="shared" si="112"/>
        <v>0</v>
      </c>
      <c r="M214" s="211"/>
      <c r="N214" s="169"/>
      <c r="O214" s="170"/>
      <c r="P214" s="171"/>
      <c r="Q214" s="172"/>
      <c r="R214" s="173"/>
      <c r="S214" s="174"/>
      <c r="T214" s="175"/>
      <c r="U214" s="176"/>
      <c r="V214" s="168">
        <f t="shared" si="113"/>
        <v>0</v>
      </c>
      <c r="W214" s="177">
        <f t="shared" si="114"/>
        <v>0</v>
      </c>
      <c r="X214" s="178">
        <v>7.5</v>
      </c>
      <c r="Y214" s="179">
        <f t="shared" si="115"/>
        <v>0</v>
      </c>
      <c r="AA214" s="180"/>
      <c r="AD214" s="1"/>
      <c r="AE214" s="1"/>
      <c r="AF214" s="1"/>
      <c r="AG214" s="1"/>
    </row>
    <row r="215" spans="1:33" ht="15.75" customHeight="1">
      <c r="A215" s="181"/>
      <c r="B215" s="182" t="s">
        <v>1588</v>
      </c>
      <c r="C215" s="183" t="s">
        <v>57</v>
      </c>
      <c r="D215" s="183" t="s">
        <v>63</v>
      </c>
      <c r="E215" s="183" t="s">
        <v>121</v>
      </c>
      <c r="F215" s="183" t="s">
        <v>37</v>
      </c>
      <c r="G215" s="183" t="s">
        <v>49</v>
      </c>
      <c r="H215" s="184">
        <v>5</v>
      </c>
      <c r="I215" s="184" t="s">
        <v>1589</v>
      </c>
      <c r="J215" s="305">
        <f>K215*(1-Bolts!$E$1179)</f>
        <v>160.1</v>
      </c>
      <c r="K215" s="306">
        <v>160.1</v>
      </c>
      <c r="L215" s="168">
        <f t="shared" si="112"/>
        <v>0</v>
      </c>
      <c r="M215" s="211"/>
      <c r="N215" s="169"/>
      <c r="O215" s="170"/>
      <c r="P215" s="171"/>
      <c r="Q215" s="172"/>
      <c r="R215" s="173"/>
      <c r="S215" s="174"/>
      <c r="T215" s="175"/>
      <c r="U215" s="176"/>
      <c r="V215" s="168">
        <f t="shared" si="113"/>
        <v>0</v>
      </c>
      <c r="W215" s="177">
        <f t="shared" si="114"/>
        <v>0</v>
      </c>
      <c r="X215" s="178">
        <v>5.8</v>
      </c>
      <c r="Y215" s="179">
        <f t="shared" si="115"/>
        <v>0</v>
      </c>
      <c r="AA215" s="180"/>
      <c r="AD215" s="1"/>
      <c r="AE215" s="1"/>
      <c r="AF215" s="1"/>
      <c r="AG215" s="1"/>
    </row>
    <row r="216" spans="1:33" ht="15.75" customHeight="1">
      <c r="A216" s="181"/>
      <c r="B216" s="182" t="s">
        <v>1590</v>
      </c>
      <c r="C216" s="183" t="s">
        <v>57</v>
      </c>
      <c r="D216" s="183" t="s">
        <v>63</v>
      </c>
      <c r="E216" s="183" t="s">
        <v>121</v>
      </c>
      <c r="F216" s="183" t="s">
        <v>33</v>
      </c>
      <c r="G216" s="183" t="s">
        <v>48</v>
      </c>
      <c r="H216" s="184">
        <v>5</v>
      </c>
      <c r="I216" s="184" t="s">
        <v>1591</v>
      </c>
      <c r="J216" s="305">
        <f>K216*(1-Bolts!$E$1179)</f>
        <v>198.7</v>
      </c>
      <c r="K216" s="306">
        <v>198.7</v>
      </c>
      <c r="L216" s="168">
        <f t="shared" si="112"/>
        <v>0</v>
      </c>
      <c r="M216" s="211"/>
      <c r="N216" s="169"/>
      <c r="O216" s="170"/>
      <c r="P216" s="171"/>
      <c r="Q216" s="172"/>
      <c r="R216" s="173"/>
      <c r="S216" s="174"/>
      <c r="T216" s="175"/>
      <c r="U216" s="176"/>
      <c r="V216" s="168">
        <f t="shared" si="113"/>
        <v>0</v>
      </c>
      <c r="W216" s="177">
        <f t="shared" si="114"/>
        <v>0</v>
      </c>
      <c r="X216" s="178">
        <v>8.8000000000000007</v>
      </c>
      <c r="Y216" s="179">
        <f t="shared" si="115"/>
        <v>0</v>
      </c>
      <c r="AA216" s="180"/>
      <c r="AD216" s="1"/>
      <c r="AE216" s="1"/>
      <c r="AF216" s="1"/>
      <c r="AG216" s="1"/>
    </row>
    <row r="217" spans="1:33" ht="15.75" customHeight="1">
      <c r="A217" s="181"/>
      <c r="B217" s="332" t="s">
        <v>1592</v>
      </c>
      <c r="C217" s="183" t="s">
        <v>57</v>
      </c>
      <c r="D217" s="183" t="s">
        <v>63</v>
      </c>
      <c r="E217" s="183" t="s">
        <v>121</v>
      </c>
      <c r="F217" s="183" t="s">
        <v>29</v>
      </c>
      <c r="G217" s="183" t="s">
        <v>47</v>
      </c>
      <c r="H217" s="184">
        <v>4</v>
      </c>
      <c r="I217" s="184" t="s">
        <v>1593</v>
      </c>
      <c r="J217" s="305">
        <f>K217*(1-Bolts!$E$1179)</f>
        <v>229</v>
      </c>
      <c r="K217" s="306">
        <v>229</v>
      </c>
      <c r="L217" s="168">
        <f t="shared" si="112"/>
        <v>0</v>
      </c>
      <c r="M217" s="211"/>
      <c r="N217" s="169"/>
      <c r="O217" s="170"/>
      <c r="P217" s="171"/>
      <c r="Q217" s="172"/>
      <c r="R217" s="173"/>
      <c r="S217" s="174"/>
      <c r="T217" s="175"/>
      <c r="U217" s="176"/>
      <c r="V217" s="168">
        <f t="shared" si="113"/>
        <v>0</v>
      </c>
      <c r="W217" s="177">
        <f t="shared" si="114"/>
        <v>0</v>
      </c>
      <c r="X217" s="178">
        <v>9.5</v>
      </c>
      <c r="Y217" s="179">
        <f t="shared" si="115"/>
        <v>0</v>
      </c>
      <c r="AA217" s="180"/>
      <c r="AD217" s="1"/>
      <c r="AE217" s="1"/>
      <c r="AF217" s="1"/>
      <c r="AG217" s="1"/>
    </row>
    <row r="218" spans="1:33" ht="15.75" customHeight="1">
      <c r="A218" s="181"/>
      <c r="B218" s="352" t="s">
        <v>1594</v>
      </c>
      <c r="C218" s="183" t="s">
        <v>57</v>
      </c>
      <c r="D218" s="183" t="s">
        <v>63</v>
      </c>
      <c r="E218" s="183" t="s">
        <v>121</v>
      </c>
      <c r="F218" s="183" t="s">
        <v>35</v>
      </c>
      <c r="G218" s="183" t="s">
        <v>48</v>
      </c>
      <c r="H218" s="184">
        <v>5</v>
      </c>
      <c r="I218" s="184" t="s">
        <v>1595</v>
      </c>
      <c r="J218" s="305">
        <f>K218*(1-Bolts!$E$1179)</f>
        <v>248</v>
      </c>
      <c r="K218" s="306">
        <v>248</v>
      </c>
      <c r="L218" s="168">
        <f t="shared" si="112"/>
        <v>0</v>
      </c>
      <c r="M218" s="211"/>
      <c r="N218" s="169"/>
      <c r="O218" s="170"/>
      <c r="P218" s="171"/>
      <c r="Q218" s="172"/>
      <c r="R218" s="173"/>
      <c r="S218" s="174"/>
      <c r="T218" s="175"/>
      <c r="U218" s="176"/>
      <c r="V218" s="168">
        <f t="shared" si="113"/>
        <v>0</v>
      </c>
      <c r="W218" s="177">
        <f t="shared" si="114"/>
        <v>0</v>
      </c>
      <c r="X218" s="178">
        <v>9.5500000000000007</v>
      </c>
      <c r="Y218" s="179">
        <f t="shared" si="115"/>
        <v>0</v>
      </c>
      <c r="AA218" s="180"/>
      <c r="AD218" s="1"/>
      <c r="AE218" s="1"/>
      <c r="AF218" s="1"/>
      <c r="AG218" s="1"/>
    </row>
    <row r="219" spans="1:33" ht="15.75" customHeight="1">
      <c r="A219" s="181"/>
      <c r="B219" s="302" t="s">
        <v>1596</v>
      </c>
      <c r="C219" s="303" t="s">
        <v>57</v>
      </c>
      <c r="D219" s="303" t="s">
        <v>63</v>
      </c>
      <c r="E219" s="303" t="s">
        <v>121</v>
      </c>
      <c r="F219" s="303" t="s">
        <v>35</v>
      </c>
      <c r="G219" s="303" t="s">
        <v>49</v>
      </c>
      <c r="H219" s="304">
        <v>5</v>
      </c>
      <c r="I219" s="304" t="s">
        <v>1597</v>
      </c>
      <c r="J219" s="305">
        <f>K219*(1-Bolts!$E$1179)</f>
        <v>307.7</v>
      </c>
      <c r="K219" s="306">
        <v>307.7</v>
      </c>
      <c r="L219" s="168">
        <f t="shared" si="112"/>
        <v>0</v>
      </c>
      <c r="M219" s="211"/>
      <c r="N219" s="169"/>
      <c r="O219" s="170"/>
      <c r="P219" s="171"/>
      <c r="Q219" s="172"/>
      <c r="R219" s="173"/>
      <c r="S219" s="174"/>
      <c r="T219" s="175"/>
      <c r="U219" s="176"/>
      <c r="V219" s="168">
        <f t="shared" si="113"/>
        <v>0</v>
      </c>
      <c r="W219" s="177">
        <f t="shared" si="114"/>
        <v>0</v>
      </c>
      <c r="X219" s="178">
        <v>12.9</v>
      </c>
      <c r="Y219" s="179">
        <f t="shared" si="115"/>
        <v>0</v>
      </c>
      <c r="AA219" s="180"/>
      <c r="AD219" s="1"/>
      <c r="AE219" s="1"/>
      <c r="AF219" s="1"/>
      <c r="AG219" s="1"/>
    </row>
    <row r="220" spans="1:33" ht="15.75" customHeight="1">
      <c r="A220" s="87"/>
      <c r="B220" s="185"/>
      <c r="C220" s="165"/>
      <c r="D220" s="165"/>
      <c r="E220" s="165"/>
      <c r="F220" s="165"/>
      <c r="G220" s="165"/>
      <c r="H220" s="166"/>
      <c r="I220" s="166"/>
      <c r="J220" s="307"/>
      <c r="K220" s="308"/>
      <c r="L220" s="186"/>
      <c r="M220" s="187"/>
      <c r="N220" s="187"/>
      <c r="O220" s="188"/>
      <c r="P220" s="187"/>
      <c r="Q220" s="187"/>
      <c r="R220" s="187"/>
      <c r="S220" s="187"/>
      <c r="T220" s="187"/>
      <c r="U220" s="188"/>
      <c r="V220" s="186"/>
      <c r="W220" s="189"/>
      <c r="X220" s="190"/>
      <c r="Y220" s="191"/>
      <c r="AA220" s="180"/>
      <c r="AD220" s="1"/>
      <c r="AE220" s="1"/>
      <c r="AF220" s="1"/>
      <c r="AG220" s="1"/>
    </row>
    <row r="221" spans="1:33" ht="15.75" customHeight="1">
      <c r="A221" s="87"/>
      <c r="B221" s="164" t="s">
        <v>1598</v>
      </c>
      <c r="C221" s="165" t="s">
        <v>57</v>
      </c>
      <c r="D221" s="165" t="s">
        <v>48</v>
      </c>
      <c r="E221" s="165" t="s">
        <v>121</v>
      </c>
      <c r="F221" s="165" t="s">
        <v>29</v>
      </c>
      <c r="G221" s="165" t="s">
        <v>47</v>
      </c>
      <c r="H221" s="166">
        <v>5</v>
      </c>
      <c r="I221" s="166" t="s">
        <v>1599</v>
      </c>
      <c r="J221" s="305">
        <f>K221*(1-Bolts!$E$1179)</f>
        <v>171.9</v>
      </c>
      <c r="K221" s="306">
        <v>171.9</v>
      </c>
      <c r="L221" s="168">
        <f t="shared" ref="L221:L240" si="116">SUM(M221:U221)</f>
        <v>0</v>
      </c>
      <c r="M221" s="211"/>
      <c r="N221" s="169"/>
      <c r="O221" s="170"/>
      <c r="P221" s="171"/>
      <c r="Q221" s="172"/>
      <c r="R221" s="173"/>
      <c r="S221" s="174"/>
      <c r="T221" s="175"/>
      <c r="U221" s="176"/>
      <c r="V221" s="168">
        <f t="shared" ref="V221:V240" si="117">L221*H221</f>
        <v>0</v>
      </c>
      <c r="W221" s="177">
        <f t="shared" ref="W221:W240" si="118">L221*K221</f>
        <v>0</v>
      </c>
      <c r="X221" s="178" t="s">
        <v>1600</v>
      </c>
      <c r="Y221" s="179">
        <f t="shared" ref="Y221:Y240" si="119">X221*L221</f>
        <v>0</v>
      </c>
      <c r="AA221" s="180"/>
      <c r="AD221" s="1"/>
      <c r="AE221" s="1"/>
      <c r="AF221" s="1"/>
      <c r="AG221" s="1"/>
    </row>
    <row r="222" spans="1:33" ht="15.75" customHeight="1">
      <c r="A222" s="87"/>
      <c r="B222" s="164" t="s">
        <v>1601</v>
      </c>
      <c r="C222" s="165" t="s">
        <v>57</v>
      </c>
      <c r="D222" s="165" t="s">
        <v>48</v>
      </c>
      <c r="E222" s="165" t="s">
        <v>121</v>
      </c>
      <c r="F222" s="165" t="s">
        <v>35</v>
      </c>
      <c r="G222" s="165" t="s">
        <v>49</v>
      </c>
      <c r="H222" s="166">
        <v>5</v>
      </c>
      <c r="I222" s="166" t="s">
        <v>1602</v>
      </c>
      <c r="J222" s="305">
        <f>K222*(1-Bolts!$E$1179)</f>
        <v>77.2</v>
      </c>
      <c r="K222" s="306">
        <v>77.2</v>
      </c>
      <c r="L222" s="168">
        <f t="shared" si="116"/>
        <v>0</v>
      </c>
      <c r="M222" s="211"/>
      <c r="N222" s="169"/>
      <c r="O222" s="170"/>
      <c r="P222" s="171"/>
      <c r="Q222" s="172"/>
      <c r="R222" s="173"/>
      <c r="S222" s="174"/>
      <c r="T222" s="175"/>
      <c r="U222" s="176"/>
      <c r="V222" s="168">
        <f t="shared" si="117"/>
        <v>0</v>
      </c>
      <c r="W222" s="177">
        <f t="shared" si="118"/>
        <v>0</v>
      </c>
      <c r="X222" s="178" t="s">
        <v>1385</v>
      </c>
      <c r="Y222" s="179">
        <f t="shared" si="119"/>
        <v>0</v>
      </c>
      <c r="AA222" s="180"/>
      <c r="AD222" s="1"/>
      <c r="AE222" s="1"/>
      <c r="AF222" s="1"/>
      <c r="AG222" s="1"/>
    </row>
    <row r="223" spans="1:33" ht="15.75" customHeight="1">
      <c r="A223" s="87"/>
      <c r="B223" s="164" t="s">
        <v>1603</v>
      </c>
      <c r="C223" s="165" t="s">
        <v>58</v>
      </c>
      <c r="D223" s="165" t="s">
        <v>48</v>
      </c>
      <c r="E223" s="165" t="s">
        <v>121</v>
      </c>
      <c r="F223" s="165" t="s">
        <v>35</v>
      </c>
      <c r="G223" s="165" t="s">
        <v>48</v>
      </c>
      <c r="H223" s="166">
        <v>5</v>
      </c>
      <c r="I223" s="166" t="s">
        <v>1604</v>
      </c>
      <c r="J223" s="305">
        <f>K223*(1-Bolts!$E$1179)</f>
        <v>123.9</v>
      </c>
      <c r="K223" s="306">
        <v>123.9</v>
      </c>
      <c r="L223" s="168">
        <f t="shared" si="116"/>
        <v>0</v>
      </c>
      <c r="M223" s="211"/>
      <c r="N223" s="169"/>
      <c r="O223" s="170"/>
      <c r="P223" s="171"/>
      <c r="Q223" s="172"/>
      <c r="R223" s="173"/>
      <c r="S223" s="174"/>
      <c r="T223" s="175"/>
      <c r="U223" s="176"/>
      <c r="V223" s="168">
        <f t="shared" si="117"/>
        <v>0</v>
      </c>
      <c r="W223" s="177">
        <f t="shared" si="118"/>
        <v>0</v>
      </c>
      <c r="X223" s="178" t="s">
        <v>1605</v>
      </c>
      <c r="Y223" s="179">
        <f t="shared" si="119"/>
        <v>0</v>
      </c>
      <c r="AA223" s="180"/>
      <c r="AD223" s="1"/>
      <c r="AE223" s="1"/>
      <c r="AF223" s="1"/>
      <c r="AG223" s="1"/>
    </row>
    <row r="224" spans="1:33" ht="15.75" customHeight="1">
      <c r="A224" s="87"/>
      <c r="B224" s="164" t="s">
        <v>1606</v>
      </c>
      <c r="C224" s="165" t="s">
        <v>58</v>
      </c>
      <c r="D224" s="165" t="s">
        <v>48</v>
      </c>
      <c r="E224" s="165" t="s">
        <v>121</v>
      </c>
      <c r="F224" s="165" t="s">
        <v>35</v>
      </c>
      <c r="G224" s="165" t="s">
        <v>49</v>
      </c>
      <c r="H224" s="166">
        <v>5</v>
      </c>
      <c r="I224" s="166" t="s">
        <v>1607</v>
      </c>
      <c r="J224" s="305">
        <f>K224*(1-Bolts!$E$1179)</f>
        <v>123.9</v>
      </c>
      <c r="K224" s="306">
        <v>123.9</v>
      </c>
      <c r="L224" s="168">
        <f t="shared" si="116"/>
        <v>0</v>
      </c>
      <c r="M224" s="211"/>
      <c r="N224" s="169"/>
      <c r="O224" s="170"/>
      <c r="P224" s="171"/>
      <c r="Q224" s="172"/>
      <c r="R224" s="173"/>
      <c r="S224" s="174"/>
      <c r="T224" s="175"/>
      <c r="U224" s="176"/>
      <c r="V224" s="168">
        <f t="shared" si="117"/>
        <v>0</v>
      </c>
      <c r="W224" s="177">
        <f t="shared" si="118"/>
        <v>0</v>
      </c>
      <c r="X224" s="178" t="s">
        <v>1605</v>
      </c>
      <c r="Y224" s="179">
        <f t="shared" si="119"/>
        <v>0</v>
      </c>
      <c r="AA224" s="180"/>
      <c r="AD224" s="1"/>
      <c r="AE224" s="1"/>
      <c r="AF224" s="1"/>
      <c r="AG224" s="1"/>
    </row>
    <row r="225" spans="1:33" ht="15.75" customHeight="1">
      <c r="A225" s="87"/>
      <c r="B225" s="164" t="s">
        <v>1608</v>
      </c>
      <c r="C225" s="165" t="s">
        <v>58</v>
      </c>
      <c r="D225" s="165" t="s">
        <v>48</v>
      </c>
      <c r="E225" s="165" t="s">
        <v>121</v>
      </c>
      <c r="F225" s="165" t="s">
        <v>35</v>
      </c>
      <c r="G225" s="165" t="s">
        <v>48</v>
      </c>
      <c r="H225" s="166">
        <v>5</v>
      </c>
      <c r="I225" s="166" t="s">
        <v>1609</v>
      </c>
      <c r="J225" s="305">
        <f>K225*(1-Bolts!$E$1179)</f>
        <v>136.30000000000001</v>
      </c>
      <c r="K225" s="306">
        <v>136.30000000000001</v>
      </c>
      <c r="L225" s="168">
        <f t="shared" si="116"/>
        <v>0</v>
      </c>
      <c r="M225" s="211"/>
      <c r="N225" s="169"/>
      <c r="O225" s="170"/>
      <c r="P225" s="171"/>
      <c r="Q225" s="172"/>
      <c r="R225" s="173"/>
      <c r="S225" s="174"/>
      <c r="T225" s="175"/>
      <c r="U225" s="176"/>
      <c r="V225" s="168">
        <f t="shared" si="117"/>
        <v>0</v>
      </c>
      <c r="W225" s="177">
        <f t="shared" si="118"/>
        <v>0</v>
      </c>
      <c r="X225" s="178" t="s">
        <v>1610</v>
      </c>
      <c r="Y225" s="179">
        <f t="shared" si="119"/>
        <v>0</v>
      </c>
      <c r="AA225" s="180"/>
      <c r="AD225" s="1"/>
      <c r="AE225" s="1"/>
      <c r="AF225" s="1"/>
      <c r="AG225" s="1"/>
    </row>
    <row r="226" spans="1:33" ht="15.75" customHeight="1">
      <c r="A226" s="87"/>
      <c r="B226" s="164" t="s">
        <v>1611</v>
      </c>
      <c r="C226" s="165" t="s">
        <v>55</v>
      </c>
      <c r="D226" s="165" t="s">
        <v>48</v>
      </c>
      <c r="E226" s="165" t="s">
        <v>121</v>
      </c>
      <c r="F226" s="165" t="s">
        <v>35</v>
      </c>
      <c r="G226" s="165" t="s">
        <v>49</v>
      </c>
      <c r="H226" s="166">
        <v>5</v>
      </c>
      <c r="I226" s="166" t="s">
        <v>1612</v>
      </c>
      <c r="J226" s="305">
        <f>K226*(1-Bolts!$E$1179)</f>
        <v>123.1</v>
      </c>
      <c r="K226" s="306">
        <v>123.1</v>
      </c>
      <c r="L226" s="168">
        <f t="shared" si="116"/>
        <v>0</v>
      </c>
      <c r="M226" s="211"/>
      <c r="N226" s="169"/>
      <c r="O226" s="170"/>
      <c r="P226" s="171"/>
      <c r="Q226" s="172"/>
      <c r="R226" s="173"/>
      <c r="S226" s="174"/>
      <c r="T226" s="175"/>
      <c r="U226" s="176"/>
      <c r="V226" s="168">
        <f t="shared" si="117"/>
        <v>0</v>
      </c>
      <c r="W226" s="177">
        <f t="shared" si="118"/>
        <v>0</v>
      </c>
      <c r="X226" s="178" t="s">
        <v>1613</v>
      </c>
      <c r="Y226" s="179">
        <f t="shared" si="119"/>
        <v>0</v>
      </c>
      <c r="AA226" s="180"/>
      <c r="AD226" s="1"/>
      <c r="AE226" s="1"/>
      <c r="AF226" s="1"/>
      <c r="AG226" s="1"/>
    </row>
    <row r="227" spans="1:33" ht="15.75" customHeight="1">
      <c r="A227" s="87"/>
      <c r="B227" s="164" t="s">
        <v>1614</v>
      </c>
      <c r="C227" s="165" t="s">
        <v>55</v>
      </c>
      <c r="D227" s="165" t="s">
        <v>48</v>
      </c>
      <c r="E227" s="165" t="s">
        <v>121</v>
      </c>
      <c r="F227" s="165" t="s">
        <v>35</v>
      </c>
      <c r="G227" s="165" t="s">
        <v>49</v>
      </c>
      <c r="H227" s="166">
        <v>5</v>
      </c>
      <c r="I227" s="166" t="s">
        <v>1615</v>
      </c>
      <c r="J227" s="305">
        <f>K227*(1-Bolts!$E$1179)</f>
        <v>106</v>
      </c>
      <c r="K227" s="306">
        <v>106</v>
      </c>
      <c r="L227" s="168">
        <f t="shared" si="116"/>
        <v>0</v>
      </c>
      <c r="M227" s="211"/>
      <c r="N227" s="169"/>
      <c r="O227" s="170"/>
      <c r="P227" s="171"/>
      <c r="Q227" s="172"/>
      <c r="R227" s="173"/>
      <c r="S227" s="174"/>
      <c r="T227" s="175"/>
      <c r="U227" s="176"/>
      <c r="V227" s="168">
        <f t="shared" si="117"/>
        <v>0</v>
      </c>
      <c r="W227" s="177">
        <f t="shared" si="118"/>
        <v>0</v>
      </c>
      <c r="X227" s="178" t="s">
        <v>1616</v>
      </c>
      <c r="Y227" s="179">
        <f t="shared" si="119"/>
        <v>0</v>
      </c>
      <c r="AA227" s="180"/>
      <c r="AD227" s="1"/>
      <c r="AE227" s="1"/>
      <c r="AF227" s="1"/>
      <c r="AG227" s="1"/>
    </row>
    <row r="228" spans="1:33" ht="15.75" customHeight="1">
      <c r="A228" s="181"/>
      <c r="B228" s="164" t="s">
        <v>1617</v>
      </c>
      <c r="C228" s="165" t="s">
        <v>57</v>
      </c>
      <c r="D228" s="165" t="s">
        <v>48</v>
      </c>
      <c r="E228" s="165" t="s">
        <v>121</v>
      </c>
      <c r="F228" s="165" t="s">
        <v>33</v>
      </c>
      <c r="G228" s="165" t="s">
        <v>48</v>
      </c>
      <c r="H228" s="166">
        <v>5</v>
      </c>
      <c r="I228" s="166" t="s">
        <v>1618</v>
      </c>
      <c r="J228" s="305">
        <f>K228*(1-Bolts!$E$1179)</f>
        <v>91.2</v>
      </c>
      <c r="K228" s="306">
        <v>91.2</v>
      </c>
      <c r="L228" s="168">
        <f t="shared" si="116"/>
        <v>0</v>
      </c>
      <c r="M228" s="211"/>
      <c r="N228" s="169"/>
      <c r="O228" s="170"/>
      <c r="P228" s="171"/>
      <c r="Q228" s="172"/>
      <c r="R228" s="173"/>
      <c r="S228" s="174"/>
      <c r="T228" s="175"/>
      <c r="U228" s="176"/>
      <c r="V228" s="168">
        <f t="shared" si="117"/>
        <v>0</v>
      </c>
      <c r="W228" s="177">
        <f t="shared" si="118"/>
        <v>0</v>
      </c>
      <c r="X228" s="178">
        <v>3.05</v>
      </c>
      <c r="Y228" s="179">
        <f t="shared" si="119"/>
        <v>0</v>
      </c>
      <c r="AA228" s="180"/>
      <c r="AD228" s="1"/>
      <c r="AE228" s="1"/>
      <c r="AF228" s="1"/>
      <c r="AG228" s="1"/>
    </row>
    <row r="229" spans="1:33" ht="15.75" customHeight="1">
      <c r="A229" s="181"/>
      <c r="B229" s="164" t="s">
        <v>1619</v>
      </c>
      <c r="C229" s="165" t="s">
        <v>57</v>
      </c>
      <c r="D229" s="165" t="s">
        <v>48</v>
      </c>
      <c r="E229" s="165" t="s">
        <v>121</v>
      </c>
      <c r="F229" s="165" t="s">
        <v>33</v>
      </c>
      <c r="G229" s="165" t="s">
        <v>48</v>
      </c>
      <c r="H229" s="166">
        <v>5</v>
      </c>
      <c r="I229" s="166" t="s">
        <v>1620</v>
      </c>
      <c r="J229" s="305">
        <f>K229*(1-Bolts!$E$1179)</f>
        <v>103.4</v>
      </c>
      <c r="K229" s="306">
        <v>103.4</v>
      </c>
      <c r="L229" s="168">
        <f t="shared" si="116"/>
        <v>0</v>
      </c>
      <c r="M229" s="211"/>
      <c r="N229" s="169"/>
      <c r="O229" s="170"/>
      <c r="P229" s="171"/>
      <c r="Q229" s="172"/>
      <c r="R229" s="173"/>
      <c r="S229" s="174"/>
      <c r="T229" s="175"/>
      <c r="U229" s="176"/>
      <c r="V229" s="168">
        <f t="shared" si="117"/>
        <v>0</v>
      </c>
      <c r="W229" s="177">
        <f t="shared" si="118"/>
        <v>0</v>
      </c>
      <c r="X229" s="178">
        <v>3.75</v>
      </c>
      <c r="Y229" s="179">
        <f t="shared" si="119"/>
        <v>0</v>
      </c>
      <c r="AA229" s="180"/>
      <c r="AD229" s="1"/>
      <c r="AE229" s="1"/>
      <c r="AF229" s="1"/>
      <c r="AG229" s="1"/>
    </row>
    <row r="230" spans="1:33" ht="15.75" customHeight="1">
      <c r="A230" s="181"/>
      <c r="B230" s="164" t="s">
        <v>1621</v>
      </c>
      <c r="C230" s="165" t="s">
        <v>57</v>
      </c>
      <c r="D230" s="165" t="s">
        <v>48</v>
      </c>
      <c r="E230" s="165" t="s">
        <v>121</v>
      </c>
      <c r="F230" s="165" t="s">
        <v>35</v>
      </c>
      <c r="G230" s="165" t="s">
        <v>48</v>
      </c>
      <c r="H230" s="166">
        <v>10</v>
      </c>
      <c r="I230" s="166" t="s">
        <v>1622</v>
      </c>
      <c r="J230" s="305">
        <f>K230*(1-Bolts!$E$1179)</f>
        <v>187.5</v>
      </c>
      <c r="K230" s="306">
        <v>187.5</v>
      </c>
      <c r="L230" s="168">
        <f t="shared" si="116"/>
        <v>0</v>
      </c>
      <c r="M230" s="211"/>
      <c r="N230" s="169"/>
      <c r="O230" s="170"/>
      <c r="P230" s="171"/>
      <c r="Q230" s="172"/>
      <c r="R230" s="173"/>
      <c r="S230" s="174"/>
      <c r="T230" s="175"/>
      <c r="U230" s="176"/>
      <c r="V230" s="168">
        <f t="shared" si="117"/>
        <v>0</v>
      </c>
      <c r="W230" s="177">
        <f t="shared" si="118"/>
        <v>0</v>
      </c>
      <c r="X230" s="178">
        <v>7.8</v>
      </c>
      <c r="Y230" s="179">
        <f t="shared" si="119"/>
        <v>0</v>
      </c>
      <c r="AA230" s="180"/>
      <c r="AD230" s="1"/>
      <c r="AE230" s="1"/>
      <c r="AF230" s="1"/>
      <c r="AG230" s="1"/>
    </row>
    <row r="231" spans="1:33" ht="15.75" customHeight="1">
      <c r="A231" s="181"/>
      <c r="B231" s="164" t="s">
        <v>1623</v>
      </c>
      <c r="C231" s="165" t="s">
        <v>57</v>
      </c>
      <c r="D231" s="165" t="s">
        <v>48</v>
      </c>
      <c r="E231" s="165" t="s">
        <v>121</v>
      </c>
      <c r="F231" s="165" t="s">
        <v>29</v>
      </c>
      <c r="G231" s="165" t="s">
        <v>47</v>
      </c>
      <c r="H231" s="166">
        <v>5</v>
      </c>
      <c r="I231" s="166" t="s">
        <v>1624</v>
      </c>
      <c r="J231" s="305">
        <f>K231*(1-Bolts!$E$1179)</f>
        <v>129.80000000000001</v>
      </c>
      <c r="K231" s="306">
        <v>129.80000000000001</v>
      </c>
      <c r="L231" s="168">
        <f t="shared" si="116"/>
        <v>0</v>
      </c>
      <c r="M231" s="211"/>
      <c r="N231" s="169"/>
      <c r="O231" s="170"/>
      <c r="P231" s="171"/>
      <c r="Q231" s="172"/>
      <c r="R231" s="173"/>
      <c r="S231" s="174"/>
      <c r="T231" s="175"/>
      <c r="U231" s="176"/>
      <c r="V231" s="168">
        <f t="shared" si="117"/>
        <v>0</v>
      </c>
      <c r="W231" s="177">
        <f t="shared" si="118"/>
        <v>0</v>
      </c>
      <c r="X231" s="178">
        <v>5.25</v>
      </c>
      <c r="Y231" s="179">
        <f t="shared" si="119"/>
        <v>0</v>
      </c>
      <c r="AA231" s="180"/>
      <c r="AD231" s="1"/>
      <c r="AE231" s="1"/>
      <c r="AF231" s="1"/>
      <c r="AG231" s="1"/>
    </row>
    <row r="232" spans="1:33" ht="15.75" customHeight="1">
      <c r="A232" s="181"/>
      <c r="B232" s="182" t="s">
        <v>1625</v>
      </c>
      <c r="C232" s="183" t="s">
        <v>57</v>
      </c>
      <c r="D232" s="183" t="s">
        <v>48</v>
      </c>
      <c r="E232" s="183" t="s">
        <v>121</v>
      </c>
      <c r="F232" s="183" t="s">
        <v>35</v>
      </c>
      <c r="G232" s="183" t="s">
        <v>48</v>
      </c>
      <c r="H232" s="184">
        <v>5</v>
      </c>
      <c r="I232" s="184" t="s">
        <v>1626</v>
      </c>
      <c r="J232" s="305">
        <f>K232*(1-Bolts!$E$1179)</f>
        <v>121</v>
      </c>
      <c r="K232" s="306">
        <v>121</v>
      </c>
      <c r="L232" s="168">
        <f t="shared" si="116"/>
        <v>0</v>
      </c>
      <c r="M232" s="211"/>
      <c r="N232" s="169"/>
      <c r="O232" s="170"/>
      <c r="P232" s="171"/>
      <c r="Q232" s="172"/>
      <c r="R232" s="173"/>
      <c r="S232" s="174"/>
      <c r="T232" s="175"/>
      <c r="U232" s="176"/>
      <c r="V232" s="168">
        <f t="shared" si="117"/>
        <v>0</v>
      </c>
      <c r="W232" s="177">
        <f t="shared" si="118"/>
        <v>0</v>
      </c>
      <c r="X232" s="178">
        <v>4.45</v>
      </c>
      <c r="Y232" s="179">
        <f t="shared" si="119"/>
        <v>0</v>
      </c>
      <c r="AA232" s="180"/>
      <c r="AD232" s="1"/>
      <c r="AE232" s="1"/>
      <c r="AF232" s="1"/>
      <c r="AG232" s="1"/>
    </row>
    <row r="233" spans="1:33" ht="15.75" customHeight="1">
      <c r="A233" s="181"/>
      <c r="B233" s="182" t="s">
        <v>1627</v>
      </c>
      <c r="C233" s="183" t="s">
        <v>57</v>
      </c>
      <c r="D233" s="183" t="s">
        <v>48</v>
      </c>
      <c r="E233" s="183" t="s">
        <v>121</v>
      </c>
      <c r="F233" s="183" t="s">
        <v>31</v>
      </c>
      <c r="G233" s="183" t="s">
        <v>47</v>
      </c>
      <c r="H233" s="184">
        <v>10</v>
      </c>
      <c r="I233" s="184" t="s">
        <v>1628</v>
      </c>
      <c r="J233" s="305">
        <f>K233*(1-Bolts!$E$1179)</f>
        <v>160.30000000000001</v>
      </c>
      <c r="K233" s="306">
        <v>160.30000000000001</v>
      </c>
      <c r="L233" s="168">
        <f t="shared" si="116"/>
        <v>0</v>
      </c>
      <c r="M233" s="211"/>
      <c r="N233" s="169"/>
      <c r="O233" s="170"/>
      <c r="P233" s="171"/>
      <c r="Q233" s="172"/>
      <c r="R233" s="173"/>
      <c r="S233" s="174"/>
      <c r="T233" s="175"/>
      <c r="U233" s="176"/>
      <c r="V233" s="168">
        <f t="shared" si="117"/>
        <v>0</v>
      </c>
      <c r="W233" s="177">
        <f t="shared" si="118"/>
        <v>0</v>
      </c>
      <c r="X233" s="178">
        <v>5.9</v>
      </c>
      <c r="Y233" s="179">
        <f t="shared" si="119"/>
        <v>0</v>
      </c>
      <c r="AA233" s="180"/>
      <c r="AD233" s="1"/>
      <c r="AE233" s="1"/>
      <c r="AF233" s="1"/>
      <c r="AG233" s="1"/>
    </row>
    <row r="234" spans="1:33" ht="15.75" customHeight="1">
      <c r="A234" s="181"/>
      <c r="B234" s="182" t="s">
        <v>1629</v>
      </c>
      <c r="C234" s="183" t="s">
        <v>57</v>
      </c>
      <c r="D234" s="183" t="s">
        <v>48</v>
      </c>
      <c r="E234" s="183" t="s">
        <v>121</v>
      </c>
      <c r="F234" s="183" t="s">
        <v>32</v>
      </c>
      <c r="G234" s="183" t="s">
        <v>48</v>
      </c>
      <c r="H234" s="184">
        <v>10</v>
      </c>
      <c r="I234" s="184" t="s">
        <v>1630</v>
      </c>
      <c r="J234" s="305">
        <f>K234*(1-Bolts!$E$1179)</f>
        <v>125.8</v>
      </c>
      <c r="K234" s="306">
        <v>125.8</v>
      </c>
      <c r="L234" s="168">
        <f t="shared" si="116"/>
        <v>0</v>
      </c>
      <c r="M234" s="211"/>
      <c r="N234" s="169"/>
      <c r="O234" s="170"/>
      <c r="P234" s="171"/>
      <c r="Q234" s="172"/>
      <c r="R234" s="173"/>
      <c r="S234" s="174"/>
      <c r="T234" s="175"/>
      <c r="U234" s="176"/>
      <c r="V234" s="168">
        <f t="shared" si="117"/>
        <v>0</v>
      </c>
      <c r="W234" s="177">
        <f t="shared" si="118"/>
        <v>0</v>
      </c>
      <c r="X234" s="178">
        <v>4</v>
      </c>
      <c r="Y234" s="179">
        <f t="shared" si="119"/>
        <v>0</v>
      </c>
      <c r="AA234" s="180"/>
      <c r="AD234" s="1"/>
      <c r="AE234" s="1"/>
      <c r="AF234" s="1"/>
      <c r="AG234" s="1"/>
    </row>
    <row r="235" spans="1:33" ht="15.75" customHeight="1">
      <c r="A235" s="181"/>
      <c r="B235" s="182" t="s">
        <v>1631</v>
      </c>
      <c r="C235" s="183" t="s">
        <v>57</v>
      </c>
      <c r="D235" s="183" t="s">
        <v>48</v>
      </c>
      <c r="E235" s="183" t="s">
        <v>121</v>
      </c>
      <c r="F235" s="183" t="s">
        <v>35</v>
      </c>
      <c r="G235" s="183" t="s">
        <v>49</v>
      </c>
      <c r="H235" s="184">
        <v>5</v>
      </c>
      <c r="I235" s="184" t="s">
        <v>1632</v>
      </c>
      <c r="J235" s="305">
        <f>K235*(1-Bolts!$E$1179)</f>
        <v>122.8</v>
      </c>
      <c r="K235" s="306">
        <v>122.8</v>
      </c>
      <c r="L235" s="168">
        <f t="shared" si="116"/>
        <v>0</v>
      </c>
      <c r="M235" s="211"/>
      <c r="N235" s="169"/>
      <c r="O235" s="170"/>
      <c r="P235" s="171"/>
      <c r="Q235" s="172"/>
      <c r="R235" s="173"/>
      <c r="S235" s="174"/>
      <c r="T235" s="175"/>
      <c r="U235" s="176"/>
      <c r="V235" s="168">
        <f t="shared" si="117"/>
        <v>0</v>
      </c>
      <c r="W235" s="177">
        <f t="shared" si="118"/>
        <v>0</v>
      </c>
      <c r="X235" s="178">
        <v>4.55</v>
      </c>
      <c r="Y235" s="179">
        <f t="shared" si="119"/>
        <v>0</v>
      </c>
      <c r="AA235" s="180"/>
      <c r="AD235" s="1"/>
      <c r="AE235" s="1"/>
      <c r="AF235" s="1"/>
      <c r="AG235" s="1"/>
    </row>
    <row r="236" spans="1:33" ht="15.75" customHeight="1">
      <c r="A236" s="181"/>
      <c r="B236" s="182" t="s">
        <v>1633</v>
      </c>
      <c r="C236" s="183" t="s">
        <v>57</v>
      </c>
      <c r="D236" s="183" t="s">
        <v>48</v>
      </c>
      <c r="E236" s="183" t="s">
        <v>121</v>
      </c>
      <c r="F236" s="183" t="s">
        <v>34</v>
      </c>
      <c r="G236" s="183" t="s">
        <v>48</v>
      </c>
      <c r="H236" s="184">
        <v>10</v>
      </c>
      <c r="I236" s="184" t="s">
        <v>1634</v>
      </c>
      <c r="J236" s="305">
        <f>K236*(1-Bolts!$E$1179)</f>
        <v>179.2</v>
      </c>
      <c r="K236" s="306">
        <v>179.2</v>
      </c>
      <c r="L236" s="168">
        <f t="shared" si="116"/>
        <v>0</v>
      </c>
      <c r="M236" s="211"/>
      <c r="N236" s="169"/>
      <c r="O236" s="170"/>
      <c r="P236" s="171"/>
      <c r="Q236" s="172"/>
      <c r="R236" s="173"/>
      <c r="S236" s="174"/>
      <c r="T236" s="175"/>
      <c r="U236" s="176"/>
      <c r="V236" s="168">
        <f t="shared" si="117"/>
        <v>0</v>
      </c>
      <c r="W236" s="177">
        <f t="shared" si="118"/>
        <v>0</v>
      </c>
      <c r="X236" s="178">
        <v>6.95</v>
      </c>
      <c r="Y236" s="179">
        <f t="shared" si="119"/>
        <v>0</v>
      </c>
      <c r="AA236" s="180"/>
      <c r="AD236" s="1"/>
      <c r="AE236" s="1"/>
      <c r="AF236" s="1"/>
      <c r="AG236" s="1"/>
    </row>
    <row r="237" spans="1:33" ht="15.75" customHeight="1">
      <c r="A237" s="181"/>
      <c r="B237" s="182" t="s">
        <v>1635</v>
      </c>
      <c r="C237" s="183" t="s">
        <v>57</v>
      </c>
      <c r="D237" s="183" t="s">
        <v>48</v>
      </c>
      <c r="E237" s="183" t="s">
        <v>121</v>
      </c>
      <c r="F237" s="183" t="s">
        <v>33</v>
      </c>
      <c r="G237" s="183" t="s">
        <v>48</v>
      </c>
      <c r="H237" s="184">
        <v>10</v>
      </c>
      <c r="I237" s="184" t="s">
        <v>1636</v>
      </c>
      <c r="J237" s="305">
        <f>K237*(1-Bolts!$E$1179)</f>
        <v>154.80000000000001</v>
      </c>
      <c r="K237" s="306">
        <v>154.80000000000001</v>
      </c>
      <c r="L237" s="168">
        <f t="shared" si="116"/>
        <v>0</v>
      </c>
      <c r="M237" s="211"/>
      <c r="N237" s="169"/>
      <c r="O237" s="170"/>
      <c r="P237" s="171"/>
      <c r="Q237" s="172"/>
      <c r="R237" s="173"/>
      <c r="S237" s="174"/>
      <c r="T237" s="175"/>
      <c r="U237" s="176"/>
      <c r="V237" s="168">
        <f t="shared" si="117"/>
        <v>0</v>
      </c>
      <c r="W237" s="177">
        <f t="shared" si="118"/>
        <v>0</v>
      </c>
      <c r="X237" s="178">
        <v>5.6</v>
      </c>
      <c r="Y237" s="179">
        <f t="shared" si="119"/>
        <v>0</v>
      </c>
      <c r="AA237" s="180"/>
      <c r="AD237" s="1"/>
      <c r="AE237" s="1"/>
      <c r="AF237" s="1"/>
      <c r="AG237" s="1"/>
    </row>
    <row r="238" spans="1:33" ht="15.75" customHeight="1">
      <c r="A238" s="181"/>
      <c r="B238" s="182" t="s">
        <v>1637</v>
      </c>
      <c r="C238" s="183" t="s">
        <v>57</v>
      </c>
      <c r="D238" s="183" t="s">
        <v>48</v>
      </c>
      <c r="E238" s="183" t="s">
        <v>121</v>
      </c>
      <c r="F238" s="183" t="s">
        <v>35</v>
      </c>
      <c r="G238" s="183" t="s">
        <v>49</v>
      </c>
      <c r="H238" s="184">
        <v>5</v>
      </c>
      <c r="I238" s="184" t="s">
        <v>1638</v>
      </c>
      <c r="J238" s="305">
        <f>K238*(1-Bolts!$E$1179)</f>
        <v>135.30000000000001</v>
      </c>
      <c r="K238" s="306">
        <v>135.30000000000001</v>
      </c>
      <c r="L238" s="168">
        <f t="shared" si="116"/>
        <v>0</v>
      </c>
      <c r="M238" s="211"/>
      <c r="N238" s="169"/>
      <c r="O238" s="170"/>
      <c r="P238" s="171"/>
      <c r="Q238" s="172"/>
      <c r="R238" s="173"/>
      <c r="S238" s="174"/>
      <c r="T238" s="175"/>
      <c r="U238" s="176"/>
      <c r="V238" s="168">
        <f t="shared" si="117"/>
        <v>0</v>
      </c>
      <c r="W238" s="177">
        <f t="shared" si="118"/>
        <v>0</v>
      </c>
      <c r="X238" s="178">
        <v>4.45</v>
      </c>
      <c r="Y238" s="179">
        <f t="shared" si="119"/>
        <v>0</v>
      </c>
      <c r="AA238" s="180"/>
      <c r="AD238" s="1"/>
      <c r="AE238" s="1"/>
      <c r="AF238" s="1"/>
      <c r="AG238" s="1"/>
    </row>
    <row r="239" spans="1:33" ht="15.75" customHeight="1">
      <c r="A239" s="181"/>
      <c r="B239" s="182" t="s">
        <v>1639</v>
      </c>
      <c r="C239" s="183" t="s">
        <v>57</v>
      </c>
      <c r="D239" s="183" t="s">
        <v>48</v>
      </c>
      <c r="E239" s="183" t="s">
        <v>121</v>
      </c>
      <c r="F239" s="183" t="s">
        <v>29</v>
      </c>
      <c r="G239" s="183" t="s">
        <v>47</v>
      </c>
      <c r="H239" s="184">
        <v>5</v>
      </c>
      <c r="I239" s="184" t="s">
        <v>1640</v>
      </c>
      <c r="J239" s="305">
        <f>K239*(1-Bolts!$E$1179)</f>
        <v>121.5</v>
      </c>
      <c r="K239" s="306">
        <v>121.5</v>
      </c>
      <c r="L239" s="168">
        <f t="shared" si="116"/>
        <v>0</v>
      </c>
      <c r="M239" s="211"/>
      <c r="N239" s="169"/>
      <c r="O239" s="170"/>
      <c r="P239" s="171"/>
      <c r="Q239" s="172"/>
      <c r="R239" s="173"/>
      <c r="S239" s="174"/>
      <c r="T239" s="175"/>
      <c r="U239" s="176"/>
      <c r="V239" s="168">
        <f t="shared" si="117"/>
        <v>0</v>
      </c>
      <c r="W239" s="177">
        <f t="shared" si="118"/>
        <v>0</v>
      </c>
      <c r="X239" s="178">
        <v>4.55</v>
      </c>
      <c r="Y239" s="179">
        <f t="shared" si="119"/>
        <v>0</v>
      </c>
      <c r="AA239" s="180"/>
      <c r="AD239" s="1"/>
      <c r="AE239" s="1"/>
      <c r="AF239" s="1"/>
      <c r="AG239" s="1"/>
    </row>
    <row r="240" spans="1:33" ht="15.75" customHeight="1">
      <c r="A240" s="181"/>
      <c r="B240" s="332" t="s">
        <v>1641</v>
      </c>
      <c r="C240" s="183" t="s">
        <v>57</v>
      </c>
      <c r="D240" s="183" t="s">
        <v>48</v>
      </c>
      <c r="E240" s="183" t="s">
        <v>121</v>
      </c>
      <c r="F240" s="183" t="s">
        <v>35</v>
      </c>
      <c r="G240" s="183" t="s">
        <v>48</v>
      </c>
      <c r="H240" s="184">
        <v>5</v>
      </c>
      <c r="I240" s="184" t="s">
        <v>1642</v>
      </c>
      <c r="J240" s="305">
        <f>K240*(1-Bolts!$E$1179)</f>
        <v>151.6</v>
      </c>
      <c r="K240" s="306">
        <v>151.6</v>
      </c>
      <c r="L240" s="168">
        <f t="shared" si="116"/>
        <v>0</v>
      </c>
      <c r="M240" s="211"/>
      <c r="N240" s="169"/>
      <c r="O240" s="170"/>
      <c r="P240" s="171"/>
      <c r="Q240" s="172"/>
      <c r="R240" s="173"/>
      <c r="S240" s="174"/>
      <c r="T240" s="175"/>
      <c r="U240" s="176"/>
      <c r="V240" s="168">
        <f t="shared" si="117"/>
        <v>0</v>
      </c>
      <c r="W240" s="177">
        <f t="shared" si="118"/>
        <v>0</v>
      </c>
      <c r="X240" s="178">
        <v>6.4</v>
      </c>
      <c r="Y240" s="179">
        <f t="shared" si="119"/>
        <v>0</v>
      </c>
      <c r="AA240" s="180"/>
      <c r="AD240" s="1"/>
      <c r="AE240" s="1"/>
      <c r="AF240" s="1"/>
      <c r="AG240" s="1"/>
    </row>
    <row r="241" spans="1:33" ht="15.75" customHeight="1">
      <c r="A241" s="87"/>
      <c r="B241" s="185"/>
      <c r="C241" s="165"/>
      <c r="D241" s="165"/>
      <c r="E241" s="165"/>
      <c r="F241" s="165"/>
      <c r="G241" s="165"/>
      <c r="H241" s="166"/>
      <c r="I241" s="166"/>
      <c r="J241" s="307"/>
      <c r="K241" s="308"/>
      <c r="L241" s="186"/>
      <c r="M241" s="187"/>
      <c r="N241" s="187"/>
      <c r="O241" s="188"/>
      <c r="P241" s="187"/>
      <c r="Q241" s="187"/>
      <c r="R241" s="187"/>
      <c r="S241" s="187"/>
      <c r="T241" s="187"/>
      <c r="U241" s="188"/>
      <c r="V241" s="186"/>
      <c r="W241" s="189"/>
      <c r="X241" s="190"/>
      <c r="Y241" s="191"/>
      <c r="AA241" s="180"/>
      <c r="AD241" s="1"/>
      <c r="AE241" s="1"/>
      <c r="AF241" s="1"/>
      <c r="AG241" s="1"/>
    </row>
    <row r="242" spans="1:33" ht="15.75" customHeight="1">
      <c r="A242" s="87"/>
      <c r="B242" s="164" t="s">
        <v>1643</v>
      </c>
      <c r="C242" s="165" t="s">
        <v>57</v>
      </c>
      <c r="D242" s="165" t="s">
        <v>64</v>
      </c>
      <c r="E242" s="165" t="s">
        <v>121</v>
      </c>
      <c r="F242" s="165" t="s">
        <v>30</v>
      </c>
      <c r="G242" s="165" t="s">
        <v>47</v>
      </c>
      <c r="H242" s="166">
        <v>10</v>
      </c>
      <c r="I242" s="166" t="s">
        <v>1644</v>
      </c>
      <c r="J242" s="305">
        <f>K242*(1-Bolts!$E$1179)</f>
        <v>109.2</v>
      </c>
      <c r="K242" s="306">
        <v>109.2</v>
      </c>
      <c r="L242" s="168">
        <f t="shared" ref="L242:L256" si="120">SUM(M242:U242)</f>
        <v>0</v>
      </c>
      <c r="M242" s="211"/>
      <c r="N242" s="169"/>
      <c r="O242" s="170"/>
      <c r="P242" s="171"/>
      <c r="Q242" s="172"/>
      <c r="R242" s="173"/>
      <c r="S242" s="174"/>
      <c r="T242" s="175"/>
      <c r="U242" s="176"/>
      <c r="V242" s="168">
        <f t="shared" ref="V242:V256" si="121">L242*H242</f>
        <v>0</v>
      </c>
      <c r="W242" s="177">
        <f t="shared" ref="W242:W256" si="122">L242*K242</f>
        <v>0</v>
      </c>
      <c r="X242" s="178" t="s">
        <v>1645</v>
      </c>
      <c r="Y242" s="179">
        <f t="shared" ref="Y242:Y256" si="123">X242*L242</f>
        <v>0</v>
      </c>
      <c r="AA242" s="180"/>
      <c r="AD242" s="1"/>
      <c r="AE242" s="1"/>
      <c r="AF242" s="1"/>
      <c r="AG242" s="1"/>
    </row>
    <row r="243" spans="1:33" ht="15.75" customHeight="1">
      <c r="A243" s="87"/>
      <c r="B243" s="164" t="s">
        <v>1646</v>
      </c>
      <c r="C243" s="165" t="s">
        <v>55</v>
      </c>
      <c r="D243" s="165" t="s">
        <v>64</v>
      </c>
      <c r="E243" s="165" t="s">
        <v>121</v>
      </c>
      <c r="F243" s="165" t="s">
        <v>35</v>
      </c>
      <c r="G243" s="165" t="s">
        <v>49</v>
      </c>
      <c r="H243" s="166">
        <v>5</v>
      </c>
      <c r="I243" s="166" t="s">
        <v>1647</v>
      </c>
      <c r="J243" s="305">
        <f>K243*(1-Bolts!$E$1179)</f>
        <v>67.3</v>
      </c>
      <c r="K243" s="306">
        <v>67.3</v>
      </c>
      <c r="L243" s="168">
        <f t="shared" si="120"/>
        <v>0</v>
      </c>
      <c r="M243" s="211"/>
      <c r="N243" s="169"/>
      <c r="O243" s="170"/>
      <c r="P243" s="171"/>
      <c r="Q243" s="172"/>
      <c r="R243" s="173"/>
      <c r="S243" s="174"/>
      <c r="T243" s="175"/>
      <c r="U243" s="176"/>
      <c r="V243" s="168">
        <f t="shared" si="121"/>
        <v>0</v>
      </c>
      <c r="W243" s="177">
        <f t="shared" si="122"/>
        <v>0</v>
      </c>
      <c r="X243" s="178" t="s">
        <v>1648</v>
      </c>
      <c r="Y243" s="179">
        <f t="shared" si="123"/>
        <v>0</v>
      </c>
      <c r="AA243" s="180"/>
      <c r="AD243" s="1"/>
      <c r="AE243" s="1"/>
      <c r="AF243" s="1"/>
      <c r="AG243" s="1"/>
    </row>
    <row r="244" spans="1:33" ht="15.75" customHeight="1">
      <c r="A244" s="87"/>
      <c r="B244" s="164" t="s">
        <v>1649</v>
      </c>
      <c r="C244" s="165" t="s">
        <v>57</v>
      </c>
      <c r="D244" s="165" t="s">
        <v>64</v>
      </c>
      <c r="E244" s="165" t="s">
        <v>121</v>
      </c>
      <c r="F244" s="165" t="s">
        <v>32</v>
      </c>
      <c r="G244" s="165" t="s">
        <v>48</v>
      </c>
      <c r="H244" s="166">
        <v>5</v>
      </c>
      <c r="I244" s="166" t="s">
        <v>1650</v>
      </c>
      <c r="J244" s="305">
        <f>K244*(1-Bolts!$E$1179)</f>
        <v>59.2</v>
      </c>
      <c r="K244" s="306">
        <v>59.2</v>
      </c>
      <c r="L244" s="168">
        <f t="shared" si="120"/>
        <v>0</v>
      </c>
      <c r="M244" s="211"/>
      <c r="N244" s="169"/>
      <c r="O244" s="170"/>
      <c r="P244" s="171"/>
      <c r="Q244" s="172"/>
      <c r="R244" s="173"/>
      <c r="S244" s="174"/>
      <c r="T244" s="175"/>
      <c r="U244" s="176"/>
      <c r="V244" s="168">
        <f t="shared" si="121"/>
        <v>0</v>
      </c>
      <c r="W244" s="177">
        <f t="shared" si="122"/>
        <v>0</v>
      </c>
      <c r="X244" s="178" t="s">
        <v>1651</v>
      </c>
      <c r="Y244" s="179">
        <f t="shared" si="123"/>
        <v>0</v>
      </c>
      <c r="AA244" s="180"/>
      <c r="AD244" s="1"/>
      <c r="AE244" s="1"/>
      <c r="AF244" s="1"/>
      <c r="AG244" s="1"/>
    </row>
    <row r="245" spans="1:33" ht="15.75" customHeight="1">
      <c r="A245" s="181"/>
      <c r="B245" s="164" t="s">
        <v>1652</v>
      </c>
      <c r="C245" s="165" t="s">
        <v>57</v>
      </c>
      <c r="D245" s="165" t="s">
        <v>64</v>
      </c>
      <c r="E245" s="165" t="s">
        <v>121</v>
      </c>
      <c r="F245" s="165" t="s">
        <v>35</v>
      </c>
      <c r="G245" s="165" t="s">
        <v>49</v>
      </c>
      <c r="H245" s="166">
        <v>10</v>
      </c>
      <c r="I245" s="166" t="s">
        <v>1653</v>
      </c>
      <c r="J245" s="305">
        <f>K245*(1-Bolts!$E$1179)</f>
        <v>102.2</v>
      </c>
      <c r="K245" s="306">
        <v>102.2</v>
      </c>
      <c r="L245" s="168">
        <f t="shared" si="120"/>
        <v>0</v>
      </c>
      <c r="M245" s="211"/>
      <c r="N245" s="169"/>
      <c r="O245" s="170"/>
      <c r="P245" s="171"/>
      <c r="Q245" s="172"/>
      <c r="R245" s="173"/>
      <c r="S245" s="174"/>
      <c r="T245" s="175"/>
      <c r="U245" s="176"/>
      <c r="V245" s="168">
        <f t="shared" si="121"/>
        <v>0</v>
      </c>
      <c r="W245" s="177">
        <f t="shared" si="122"/>
        <v>0</v>
      </c>
      <c r="X245" s="178">
        <v>2.95</v>
      </c>
      <c r="Y245" s="179">
        <f t="shared" si="123"/>
        <v>0</v>
      </c>
      <c r="AA245" s="180"/>
      <c r="AD245" s="1"/>
      <c r="AE245" s="1"/>
      <c r="AF245" s="1"/>
      <c r="AG245" s="1"/>
    </row>
    <row r="246" spans="1:33" ht="15.75" customHeight="1">
      <c r="A246" s="181"/>
      <c r="B246" s="164" t="s">
        <v>1654</v>
      </c>
      <c r="C246" s="165" t="s">
        <v>57</v>
      </c>
      <c r="D246" s="165" t="s">
        <v>64</v>
      </c>
      <c r="E246" s="165" t="s">
        <v>121</v>
      </c>
      <c r="F246" s="165" t="s">
        <v>32</v>
      </c>
      <c r="G246" s="165" t="s">
        <v>49</v>
      </c>
      <c r="H246" s="166">
        <v>10</v>
      </c>
      <c r="I246" s="166" t="s">
        <v>1655</v>
      </c>
      <c r="J246" s="305">
        <f>K246*(1-Bolts!$E$1179)</f>
        <v>112.8</v>
      </c>
      <c r="K246" s="306">
        <v>112.8</v>
      </c>
      <c r="L246" s="168">
        <f t="shared" si="120"/>
        <v>0</v>
      </c>
      <c r="M246" s="211"/>
      <c r="N246" s="169"/>
      <c r="O246" s="170"/>
      <c r="P246" s="171"/>
      <c r="Q246" s="172"/>
      <c r="R246" s="173"/>
      <c r="S246" s="174"/>
      <c r="T246" s="175"/>
      <c r="U246" s="176"/>
      <c r="V246" s="168">
        <f t="shared" si="121"/>
        <v>0</v>
      </c>
      <c r="W246" s="177">
        <f t="shared" si="122"/>
        <v>0</v>
      </c>
      <c r="X246" s="178">
        <v>3.55</v>
      </c>
      <c r="Y246" s="179">
        <f t="shared" si="123"/>
        <v>0</v>
      </c>
      <c r="AA246" s="180"/>
      <c r="AD246" s="1"/>
      <c r="AE246" s="1"/>
      <c r="AF246" s="1"/>
      <c r="AG246" s="1"/>
    </row>
    <row r="247" spans="1:33" ht="15.75" customHeight="1">
      <c r="A247" s="181"/>
      <c r="B247" s="164" t="s">
        <v>1656</v>
      </c>
      <c r="C247" s="165" t="s">
        <v>57</v>
      </c>
      <c r="D247" s="165" t="s">
        <v>64</v>
      </c>
      <c r="E247" s="165" t="s">
        <v>121</v>
      </c>
      <c r="F247" s="165" t="s">
        <v>29</v>
      </c>
      <c r="G247" s="165" t="s">
        <v>47</v>
      </c>
      <c r="H247" s="166">
        <v>10</v>
      </c>
      <c r="I247" s="166" t="s">
        <v>1657</v>
      </c>
      <c r="J247" s="305">
        <f>K247*(1-Bolts!$E$1179)</f>
        <v>175.3</v>
      </c>
      <c r="K247" s="306">
        <v>175.3</v>
      </c>
      <c r="L247" s="168">
        <f t="shared" si="120"/>
        <v>0</v>
      </c>
      <c r="M247" s="211"/>
      <c r="N247" s="169"/>
      <c r="O247" s="170"/>
      <c r="P247" s="171"/>
      <c r="Q247" s="172"/>
      <c r="R247" s="173"/>
      <c r="S247" s="174"/>
      <c r="T247" s="175"/>
      <c r="U247" s="176"/>
      <c r="V247" s="168">
        <f t="shared" si="121"/>
        <v>0</v>
      </c>
      <c r="W247" s="177">
        <f t="shared" si="122"/>
        <v>0</v>
      </c>
      <c r="X247" s="178">
        <v>7.1</v>
      </c>
      <c r="Y247" s="179">
        <f t="shared" si="123"/>
        <v>0</v>
      </c>
      <c r="AA247" s="180"/>
      <c r="AD247" s="1"/>
      <c r="AE247" s="1"/>
      <c r="AF247" s="1"/>
      <c r="AG247" s="1"/>
    </row>
    <row r="248" spans="1:33" ht="15.75" customHeight="1">
      <c r="A248" s="181"/>
      <c r="B248" s="182" t="s">
        <v>1658</v>
      </c>
      <c r="C248" s="183" t="s">
        <v>57</v>
      </c>
      <c r="D248" s="183" t="s">
        <v>64</v>
      </c>
      <c r="E248" s="183" t="s">
        <v>121</v>
      </c>
      <c r="F248" s="183" t="s">
        <v>31</v>
      </c>
      <c r="G248" s="183" t="s">
        <v>47</v>
      </c>
      <c r="H248" s="184">
        <v>10</v>
      </c>
      <c r="I248" s="184" t="s">
        <v>1659</v>
      </c>
      <c r="J248" s="305">
        <f>K248*(1-Bolts!$E$1179)</f>
        <v>125.8</v>
      </c>
      <c r="K248" s="306">
        <v>125.8</v>
      </c>
      <c r="L248" s="168">
        <f t="shared" si="120"/>
        <v>0</v>
      </c>
      <c r="M248" s="211"/>
      <c r="N248" s="169"/>
      <c r="O248" s="170"/>
      <c r="P248" s="171"/>
      <c r="Q248" s="172"/>
      <c r="R248" s="173"/>
      <c r="S248" s="174"/>
      <c r="T248" s="175"/>
      <c r="U248" s="176"/>
      <c r="V248" s="168">
        <f t="shared" si="121"/>
        <v>0</v>
      </c>
      <c r="W248" s="177">
        <f t="shared" si="122"/>
        <v>0</v>
      </c>
      <c r="X248" s="178">
        <v>4</v>
      </c>
      <c r="Y248" s="179">
        <f t="shared" si="123"/>
        <v>0</v>
      </c>
      <c r="AA248" s="180"/>
      <c r="AD248" s="1"/>
      <c r="AE248" s="1"/>
      <c r="AF248" s="1"/>
      <c r="AG248" s="1"/>
    </row>
    <row r="249" spans="1:33" ht="15.75" customHeight="1">
      <c r="A249" s="181"/>
      <c r="B249" s="182" t="s">
        <v>1660</v>
      </c>
      <c r="C249" s="183" t="s">
        <v>57</v>
      </c>
      <c r="D249" s="183" t="s">
        <v>64</v>
      </c>
      <c r="E249" s="183" t="s">
        <v>121</v>
      </c>
      <c r="F249" s="183" t="s">
        <v>39</v>
      </c>
      <c r="G249" s="183" t="s">
        <v>48</v>
      </c>
      <c r="H249" s="184">
        <v>10</v>
      </c>
      <c r="I249" s="184" t="s">
        <v>1661</v>
      </c>
      <c r="J249" s="305">
        <f>K249*(1-Bolts!$E$1179)</f>
        <v>115</v>
      </c>
      <c r="K249" s="306">
        <v>115</v>
      </c>
      <c r="L249" s="168">
        <f t="shared" si="120"/>
        <v>0</v>
      </c>
      <c r="M249" s="211"/>
      <c r="N249" s="169"/>
      <c r="O249" s="170"/>
      <c r="P249" s="171"/>
      <c r="Q249" s="172"/>
      <c r="R249" s="173"/>
      <c r="S249" s="174"/>
      <c r="T249" s="175"/>
      <c r="U249" s="176"/>
      <c r="V249" s="168">
        <f t="shared" si="121"/>
        <v>0</v>
      </c>
      <c r="W249" s="177">
        <f t="shared" si="122"/>
        <v>0</v>
      </c>
      <c r="X249" s="178">
        <v>3.4</v>
      </c>
      <c r="Y249" s="179">
        <f t="shared" si="123"/>
        <v>0</v>
      </c>
      <c r="AA249" s="180"/>
      <c r="AD249" s="1"/>
      <c r="AE249" s="1"/>
      <c r="AF249" s="1"/>
      <c r="AG249" s="1"/>
    </row>
    <row r="250" spans="1:33" ht="15.75" customHeight="1">
      <c r="A250" s="181"/>
      <c r="B250" s="182" t="s">
        <v>1662</v>
      </c>
      <c r="C250" s="183" t="s">
        <v>57</v>
      </c>
      <c r="D250" s="183" t="s">
        <v>64</v>
      </c>
      <c r="E250" s="183" t="s">
        <v>121</v>
      </c>
      <c r="F250" s="183" t="s">
        <v>32</v>
      </c>
      <c r="G250" s="183" t="s">
        <v>48</v>
      </c>
      <c r="H250" s="184">
        <v>10</v>
      </c>
      <c r="I250" s="184" t="s">
        <v>1663</v>
      </c>
      <c r="J250" s="305">
        <f>K250*(1-Bolts!$E$1179)</f>
        <v>115</v>
      </c>
      <c r="K250" s="306">
        <v>115</v>
      </c>
      <c r="L250" s="168">
        <f t="shared" si="120"/>
        <v>0</v>
      </c>
      <c r="M250" s="211"/>
      <c r="N250" s="169"/>
      <c r="O250" s="170"/>
      <c r="P250" s="171"/>
      <c r="Q250" s="172"/>
      <c r="R250" s="173"/>
      <c r="S250" s="174"/>
      <c r="T250" s="175"/>
      <c r="U250" s="176"/>
      <c r="V250" s="168">
        <f t="shared" si="121"/>
        <v>0</v>
      </c>
      <c r="W250" s="177">
        <f t="shared" si="122"/>
        <v>0</v>
      </c>
      <c r="X250" s="178">
        <v>3.4</v>
      </c>
      <c r="Y250" s="179">
        <f t="shared" si="123"/>
        <v>0</v>
      </c>
      <c r="AA250" s="180"/>
      <c r="AD250" s="1"/>
      <c r="AE250" s="1"/>
      <c r="AF250" s="1"/>
      <c r="AG250" s="1"/>
    </row>
    <row r="251" spans="1:33" ht="15.75" customHeight="1">
      <c r="A251" s="181"/>
      <c r="B251" s="182" t="s">
        <v>1664</v>
      </c>
      <c r="C251" s="183" t="s">
        <v>57</v>
      </c>
      <c r="D251" s="183" t="s">
        <v>64</v>
      </c>
      <c r="E251" s="183" t="s">
        <v>121</v>
      </c>
      <c r="F251" s="183" t="s">
        <v>31</v>
      </c>
      <c r="G251" s="183" t="s">
        <v>48</v>
      </c>
      <c r="H251" s="184">
        <v>10</v>
      </c>
      <c r="I251" s="184" t="s">
        <v>1665</v>
      </c>
      <c r="J251" s="305">
        <f>K251*(1-Bolts!$E$1179)</f>
        <v>136.69999999999999</v>
      </c>
      <c r="K251" s="306">
        <v>136.69999999999999</v>
      </c>
      <c r="L251" s="168">
        <f t="shared" si="120"/>
        <v>0</v>
      </c>
      <c r="M251" s="211"/>
      <c r="N251" s="169"/>
      <c r="O251" s="170"/>
      <c r="P251" s="171"/>
      <c r="Q251" s="172"/>
      <c r="R251" s="173"/>
      <c r="S251" s="174"/>
      <c r="T251" s="175"/>
      <c r="U251" s="176"/>
      <c r="V251" s="168">
        <f t="shared" si="121"/>
        <v>0</v>
      </c>
      <c r="W251" s="177">
        <f t="shared" si="122"/>
        <v>0</v>
      </c>
      <c r="X251" s="178">
        <v>4.5999999999999996</v>
      </c>
      <c r="Y251" s="179">
        <f t="shared" si="123"/>
        <v>0</v>
      </c>
      <c r="AA251" s="180"/>
      <c r="AD251" s="1"/>
      <c r="AE251" s="1"/>
      <c r="AF251" s="1"/>
      <c r="AG251" s="1"/>
    </row>
    <row r="252" spans="1:33" ht="15.75" customHeight="1">
      <c r="A252" s="181"/>
      <c r="B252" s="182" t="s">
        <v>1666</v>
      </c>
      <c r="C252" s="183" t="s">
        <v>57</v>
      </c>
      <c r="D252" s="183" t="s">
        <v>64</v>
      </c>
      <c r="E252" s="183" t="s">
        <v>121</v>
      </c>
      <c r="F252" s="183" t="s">
        <v>31</v>
      </c>
      <c r="G252" s="183" t="s">
        <v>48</v>
      </c>
      <c r="H252" s="184">
        <v>10</v>
      </c>
      <c r="I252" s="184" t="s">
        <v>1667</v>
      </c>
      <c r="J252" s="305">
        <f>K252*(1-Bolts!$E$1179)</f>
        <v>96.1</v>
      </c>
      <c r="K252" s="306">
        <v>96.1</v>
      </c>
      <c r="L252" s="168">
        <f t="shared" si="120"/>
        <v>0</v>
      </c>
      <c r="M252" s="211"/>
      <c r="N252" s="169"/>
      <c r="O252" s="170"/>
      <c r="P252" s="171"/>
      <c r="Q252" s="172"/>
      <c r="R252" s="173"/>
      <c r="S252" s="174"/>
      <c r="T252" s="175"/>
      <c r="U252" s="176"/>
      <c r="V252" s="168">
        <f t="shared" si="121"/>
        <v>0</v>
      </c>
      <c r="W252" s="177">
        <f t="shared" si="122"/>
        <v>0</v>
      </c>
      <c r="X252" s="178">
        <v>2.35</v>
      </c>
      <c r="Y252" s="179">
        <f t="shared" si="123"/>
        <v>0</v>
      </c>
      <c r="AA252" s="180"/>
      <c r="AD252" s="1"/>
      <c r="AE252" s="1"/>
      <c r="AF252" s="1"/>
      <c r="AG252" s="1"/>
    </row>
    <row r="253" spans="1:33" ht="15.75" customHeight="1">
      <c r="A253" s="181"/>
      <c r="B253" s="182" t="s">
        <v>1668</v>
      </c>
      <c r="C253" s="183" t="s">
        <v>57</v>
      </c>
      <c r="D253" s="183" t="s">
        <v>64</v>
      </c>
      <c r="E253" s="183" t="s">
        <v>121</v>
      </c>
      <c r="F253" s="183" t="s">
        <v>31</v>
      </c>
      <c r="G253" s="183" t="s">
        <v>48</v>
      </c>
      <c r="H253" s="184">
        <v>10</v>
      </c>
      <c r="I253" s="184" t="s">
        <v>1669</v>
      </c>
      <c r="J253" s="305">
        <f>K253*(1-Bolts!$E$1179)</f>
        <v>119.5</v>
      </c>
      <c r="K253" s="306">
        <v>119.5</v>
      </c>
      <c r="L253" s="168">
        <f t="shared" si="120"/>
        <v>0</v>
      </c>
      <c r="M253" s="211"/>
      <c r="N253" s="169"/>
      <c r="O253" s="170"/>
      <c r="P253" s="171"/>
      <c r="Q253" s="172"/>
      <c r="R253" s="173"/>
      <c r="S253" s="174"/>
      <c r="T253" s="175"/>
      <c r="U253" s="176"/>
      <c r="V253" s="168">
        <f t="shared" si="121"/>
        <v>0</v>
      </c>
      <c r="W253" s="177">
        <f t="shared" si="122"/>
        <v>0</v>
      </c>
      <c r="X253" s="178">
        <v>3.7</v>
      </c>
      <c r="Y253" s="179">
        <f t="shared" si="123"/>
        <v>0</v>
      </c>
      <c r="AA253" s="180"/>
      <c r="AD253" s="1"/>
      <c r="AE253" s="1"/>
      <c r="AF253" s="1"/>
      <c r="AG253" s="1"/>
    </row>
    <row r="254" spans="1:33" ht="15.75" customHeight="1">
      <c r="A254" s="181"/>
      <c r="B254" s="182" t="s">
        <v>1670</v>
      </c>
      <c r="C254" s="183" t="s">
        <v>57</v>
      </c>
      <c r="D254" s="183" t="s">
        <v>64</v>
      </c>
      <c r="E254" s="183" t="s">
        <v>121</v>
      </c>
      <c r="F254" s="183" t="s">
        <v>30</v>
      </c>
      <c r="G254" s="183" t="s">
        <v>47</v>
      </c>
      <c r="H254" s="184">
        <v>5</v>
      </c>
      <c r="I254" s="184" t="s">
        <v>1671</v>
      </c>
      <c r="J254" s="305">
        <f>K254*(1-Bolts!$E$1179)</f>
        <v>89.6</v>
      </c>
      <c r="K254" s="306">
        <v>89.6</v>
      </c>
      <c r="L254" s="168">
        <f t="shared" si="120"/>
        <v>0</v>
      </c>
      <c r="M254" s="211"/>
      <c r="N254" s="169"/>
      <c r="O254" s="170"/>
      <c r="P254" s="171"/>
      <c r="Q254" s="172"/>
      <c r="R254" s="173"/>
      <c r="S254" s="174"/>
      <c r="T254" s="175"/>
      <c r="U254" s="176"/>
      <c r="V254" s="168">
        <f t="shared" si="121"/>
        <v>0</v>
      </c>
      <c r="W254" s="177">
        <f t="shared" si="122"/>
        <v>0</v>
      </c>
      <c r="X254" s="178">
        <v>2.2000000000000002</v>
      </c>
      <c r="Y254" s="179">
        <f t="shared" si="123"/>
        <v>0</v>
      </c>
      <c r="AA254" s="180"/>
      <c r="AD254" s="1"/>
      <c r="AE254" s="1"/>
      <c r="AF254" s="1"/>
      <c r="AG254" s="1"/>
    </row>
    <row r="255" spans="1:33" ht="15.75" customHeight="1">
      <c r="A255" s="181"/>
      <c r="B255" s="332" t="s">
        <v>1672</v>
      </c>
      <c r="C255" s="183" t="s">
        <v>57</v>
      </c>
      <c r="D255" s="183" t="s">
        <v>64</v>
      </c>
      <c r="E255" s="183" t="s">
        <v>121</v>
      </c>
      <c r="F255" s="183" t="s">
        <v>35</v>
      </c>
      <c r="G255" s="183" t="s">
        <v>48</v>
      </c>
      <c r="H255" s="184">
        <v>5</v>
      </c>
      <c r="I255" s="184" t="s">
        <v>1673</v>
      </c>
      <c r="J255" s="305">
        <f>K255*(1-Bolts!$E$1179)</f>
        <v>105.8</v>
      </c>
      <c r="K255" s="306">
        <v>105.8</v>
      </c>
      <c r="L255" s="168">
        <f t="shared" si="120"/>
        <v>0</v>
      </c>
      <c r="M255" s="211"/>
      <c r="N255" s="169"/>
      <c r="O255" s="170"/>
      <c r="P255" s="171"/>
      <c r="Q255" s="172"/>
      <c r="R255" s="173"/>
      <c r="S255" s="174"/>
      <c r="T255" s="175"/>
      <c r="U255" s="176"/>
      <c r="V255" s="168">
        <f t="shared" si="121"/>
        <v>0</v>
      </c>
      <c r="W255" s="177">
        <f t="shared" si="122"/>
        <v>0</v>
      </c>
      <c r="X255" s="178">
        <v>3.8</v>
      </c>
      <c r="Y255" s="179">
        <f t="shared" si="123"/>
        <v>0</v>
      </c>
      <c r="AA255" s="180"/>
      <c r="AD255" s="1"/>
      <c r="AE255" s="1"/>
      <c r="AF255" s="1"/>
      <c r="AG255" s="1"/>
    </row>
    <row r="256" spans="1:33" ht="15.75" customHeight="1">
      <c r="A256" s="181"/>
      <c r="B256" s="353" t="s">
        <v>1674</v>
      </c>
      <c r="C256" s="330" t="s">
        <v>57</v>
      </c>
      <c r="D256" s="330" t="s">
        <v>64</v>
      </c>
      <c r="E256" s="330" t="s">
        <v>121</v>
      </c>
      <c r="F256" s="330" t="s">
        <v>37</v>
      </c>
      <c r="G256" s="330" t="s">
        <v>49</v>
      </c>
      <c r="H256" s="331">
        <v>10</v>
      </c>
      <c r="I256" s="331" t="s">
        <v>1675</v>
      </c>
      <c r="J256" s="305">
        <f>K256*(1-Bolts!$E$1179)</f>
        <v>191.5</v>
      </c>
      <c r="K256" s="306">
        <v>191.5</v>
      </c>
      <c r="L256" s="168">
        <f t="shared" si="120"/>
        <v>0</v>
      </c>
      <c r="M256" s="211"/>
      <c r="N256" s="169"/>
      <c r="O256" s="170"/>
      <c r="P256" s="171"/>
      <c r="Q256" s="172"/>
      <c r="R256" s="173"/>
      <c r="S256" s="174"/>
      <c r="T256" s="175"/>
      <c r="U256" s="176"/>
      <c r="V256" s="168">
        <f t="shared" si="121"/>
        <v>0</v>
      </c>
      <c r="W256" s="177">
        <f t="shared" si="122"/>
        <v>0</v>
      </c>
      <c r="X256" s="178">
        <v>7.45</v>
      </c>
      <c r="Y256" s="179">
        <f t="shared" si="123"/>
        <v>0</v>
      </c>
      <c r="AA256" s="180"/>
      <c r="AD256" s="1"/>
      <c r="AE256" s="1"/>
      <c r="AF256" s="1"/>
      <c r="AG256" s="1"/>
    </row>
    <row r="257" spans="1:33" ht="15.75" customHeight="1">
      <c r="A257" s="87"/>
      <c r="B257" s="185"/>
      <c r="C257" s="165"/>
      <c r="D257" s="165"/>
      <c r="E257" s="165"/>
      <c r="F257" s="165"/>
      <c r="G257" s="165"/>
      <c r="H257" s="166"/>
      <c r="I257" s="166"/>
      <c r="J257" s="307"/>
      <c r="K257" s="308"/>
      <c r="L257" s="186"/>
      <c r="M257" s="187"/>
      <c r="N257" s="187"/>
      <c r="O257" s="188"/>
      <c r="P257" s="187"/>
      <c r="Q257" s="187"/>
      <c r="R257" s="187"/>
      <c r="S257" s="187"/>
      <c r="T257" s="187"/>
      <c r="U257" s="188"/>
      <c r="V257" s="186"/>
      <c r="W257" s="189"/>
      <c r="X257" s="190"/>
      <c r="Y257" s="191"/>
      <c r="AA257" s="180"/>
      <c r="AD257" s="1"/>
      <c r="AE257" s="1"/>
      <c r="AF257" s="1"/>
      <c r="AG257" s="1"/>
    </row>
    <row r="258" spans="1:33" ht="15.75" customHeight="1">
      <c r="A258" s="87"/>
      <c r="B258" s="164" t="s">
        <v>1676</v>
      </c>
      <c r="C258" s="165" t="s">
        <v>57</v>
      </c>
      <c r="D258" s="165" t="s">
        <v>65</v>
      </c>
      <c r="E258" s="165" t="s">
        <v>121</v>
      </c>
      <c r="F258" s="165" t="s">
        <v>39</v>
      </c>
      <c r="G258" s="165" t="s">
        <v>49</v>
      </c>
      <c r="H258" s="166">
        <v>9</v>
      </c>
      <c r="I258" s="166" t="s">
        <v>1677</v>
      </c>
      <c r="J258" s="305">
        <f>K258*(1-Bolts!$E$1179)</f>
        <v>66.5</v>
      </c>
      <c r="K258" s="306">
        <v>66.5</v>
      </c>
      <c r="L258" s="168">
        <f t="shared" ref="L258:L264" si="124">SUM(M258:U258)</f>
        <v>0</v>
      </c>
      <c r="M258" s="211"/>
      <c r="N258" s="169"/>
      <c r="O258" s="170"/>
      <c r="P258" s="171"/>
      <c r="Q258" s="172"/>
      <c r="R258" s="173"/>
      <c r="S258" s="174"/>
      <c r="T258" s="175"/>
      <c r="U258" s="176"/>
      <c r="V258" s="168">
        <f t="shared" ref="V258:V264" si="125">L258*H258</f>
        <v>0</v>
      </c>
      <c r="W258" s="177">
        <f t="shared" ref="W258:W264" si="126">L258*K258</f>
        <v>0</v>
      </c>
      <c r="X258" s="178" t="s">
        <v>1678</v>
      </c>
      <c r="Y258" s="179">
        <f t="shared" ref="Y258:Y264" si="127">X258*L258</f>
        <v>0</v>
      </c>
      <c r="AA258" s="180"/>
      <c r="AD258" s="1"/>
      <c r="AE258" s="1"/>
      <c r="AF258" s="1"/>
      <c r="AG258" s="1"/>
    </row>
    <row r="259" spans="1:33" ht="15.75" customHeight="1">
      <c r="A259" s="87"/>
      <c r="B259" s="164" t="s">
        <v>1679</v>
      </c>
      <c r="C259" s="165" t="s">
        <v>57</v>
      </c>
      <c r="D259" s="165" t="s">
        <v>65</v>
      </c>
      <c r="E259" s="165" t="s">
        <v>121</v>
      </c>
      <c r="F259" s="165" t="s">
        <v>39</v>
      </c>
      <c r="G259" s="165" t="s">
        <v>48</v>
      </c>
      <c r="H259" s="166">
        <v>25</v>
      </c>
      <c r="I259" s="166" t="s">
        <v>1680</v>
      </c>
      <c r="J259" s="305">
        <f>K259*(1-Bolts!$E$1179)</f>
        <v>123.5</v>
      </c>
      <c r="K259" s="306">
        <v>123.5</v>
      </c>
      <c r="L259" s="168">
        <f t="shared" si="124"/>
        <v>0</v>
      </c>
      <c r="M259" s="211"/>
      <c r="N259" s="169"/>
      <c r="O259" s="170"/>
      <c r="P259" s="171"/>
      <c r="Q259" s="172"/>
      <c r="R259" s="173"/>
      <c r="S259" s="174"/>
      <c r="T259" s="175"/>
      <c r="U259" s="176"/>
      <c r="V259" s="168">
        <f t="shared" si="125"/>
        <v>0</v>
      </c>
      <c r="W259" s="177">
        <f t="shared" si="126"/>
        <v>0</v>
      </c>
      <c r="X259" s="178" t="s">
        <v>1681</v>
      </c>
      <c r="Y259" s="179">
        <f t="shared" si="127"/>
        <v>0</v>
      </c>
      <c r="AA259" s="180"/>
      <c r="AD259" s="1"/>
      <c r="AE259" s="1"/>
      <c r="AF259" s="1"/>
      <c r="AG259" s="1"/>
    </row>
    <row r="260" spans="1:33" ht="15.75" customHeight="1">
      <c r="A260" s="87"/>
      <c r="B260" s="164" t="s">
        <v>1682</v>
      </c>
      <c r="C260" s="165" t="s">
        <v>57</v>
      </c>
      <c r="D260" s="165" t="s">
        <v>65</v>
      </c>
      <c r="E260" s="165" t="s">
        <v>121</v>
      </c>
      <c r="F260" s="165" t="s">
        <v>39</v>
      </c>
      <c r="G260" s="165" t="s">
        <v>47</v>
      </c>
      <c r="H260" s="166">
        <v>9</v>
      </c>
      <c r="I260" s="166" t="s">
        <v>1683</v>
      </c>
      <c r="J260" s="305">
        <f>K260*(1-Bolts!$E$1179)</f>
        <v>70.400000000000006</v>
      </c>
      <c r="K260" s="306">
        <v>70.400000000000006</v>
      </c>
      <c r="L260" s="168">
        <f t="shared" si="124"/>
        <v>0</v>
      </c>
      <c r="M260" s="211"/>
      <c r="N260" s="169"/>
      <c r="O260" s="170"/>
      <c r="P260" s="171"/>
      <c r="Q260" s="172"/>
      <c r="R260" s="173"/>
      <c r="S260" s="174"/>
      <c r="T260" s="175"/>
      <c r="U260" s="176"/>
      <c r="V260" s="168">
        <f t="shared" si="125"/>
        <v>0</v>
      </c>
      <c r="W260" s="177">
        <f t="shared" si="126"/>
        <v>0</v>
      </c>
      <c r="X260" s="178" t="s">
        <v>1684</v>
      </c>
      <c r="Y260" s="179">
        <f t="shared" si="127"/>
        <v>0</v>
      </c>
      <c r="AA260" s="180"/>
      <c r="AD260" s="1"/>
      <c r="AE260" s="1"/>
      <c r="AF260" s="1"/>
      <c r="AG260" s="1"/>
    </row>
    <row r="261" spans="1:33" ht="15.75" customHeight="1">
      <c r="A261" s="181"/>
      <c r="B261" s="164" t="s">
        <v>1685</v>
      </c>
      <c r="C261" s="165" t="s">
        <v>57</v>
      </c>
      <c r="D261" s="165" t="s">
        <v>65</v>
      </c>
      <c r="E261" s="165" t="s">
        <v>121</v>
      </c>
      <c r="F261" s="165" t="s">
        <v>39</v>
      </c>
      <c r="G261" s="165" t="s">
        <v>47</v>
      </c>
      <c r="H261" s="166">
        <v>16</v>
      </c>
      <c r="I261" s="166" t="s">
        <v>1686</v>
      </c>
      <c r="J261" s="305">
        <f>K261*(1-Bolts!$E$1179)</f>
        <v>112.3</v>
      </c>
      <c r="K261" s="306">
        <v>112.3</v>
      </c>
      <c r="L261" s="168">
        <f t="shared" si="124"/>
        <v>0</v>
      </c>
      <c r="M261" s="211"/>
      <c r="N261" s="169"/>
      <c r="O261" s="170"/>
      <c r="P261" s="171"/>
      <c r="Q261" s="172"/>
      <c r="R261" s="173"/>
      <c r="S261" s="174"/>
      <c r="T261" s="175"/>
      <c r="U261" s="176"/>
      <c r="V261" s="168">
        <f t="shared" si="125"/>
        <v>0</v>
      </c>
      <c r="W261" s="177">
        <f t="shared" si="126"/>
        <v>0</v>
      </c>
      <c r="X261" s="178">
        <v>2.65</v>
      </c>
      <c r="Y261" s="179">
        <f t="shared" si="127"/>
        <v>0</v>
      </c>
      <c r="AA261" s="180"/>
      <c r="AD261" s="1"/>
      <c r="AE261" s="1"/>
      <c r="AF261" s="1"/>
      <c r="AG261" s="1"/>
    </row>
    <row r="262" spans="1:33" ht="15.75" customHeight="1">
      <c r="A262" s="181"/>
      <c r="B262" s="182" t="s">
        <v>1687</v>
      </c>
      <c r="C262" s="183" t="s">
        <v>57</v>
      </c>
      <c r="D262" s="183" t="s">
        <v>65</v>
      </c>
      <c r="E262" s="183" t="s">
        <v>121</v>
      </c>
      <c r="F262" s="183" t="s">
        <v>39</v>
      </c>
      <c r="G262" s="183" t="s">
        <v>47</v>
      </c>
      <c r="H262" s="184">
        <v>10</v>
      </c>
      <c r="I262" s="184" t="s">
        <v>1688</v>
      </c>
      <c r="J262" s="305">
        <f>K262*(1-Bolts!$E$1179)</f>
        <v>97.8</v>
      </c>
      <c r="K262" s="306">
        <v>97.8</v>
      </c>
      <c r="L262" s="168">
        <f t="shared" si="124"/>
        <v>0</v>
      </c>
      <c r="M262" s="211"/>
      <c r="N262" s="169"/>
      <c r="O262" s="170"/>
      <c r="P262" s="171"/>
      <c r="Q262" s="172"/>
      <c r="R262" s="173"/>
      <c r="S262" s="174"/>
      <c r="T262" s="175"/>
      <c r="U262" s="176"/>
      <c r="V262" s="168">
        <f t="shared" si="125"/>
        <v>0</v>
      </c>
      <c r="W262" s="177">
        <f t="shared" si="126"/>
        <v>0</v>
      </c>
      <c r="X262" s="178">
        <v>2.4500000000000002</v>
      </c>
      <c r="Y262" s="179">
        <f t="shared" si="127"/>
        <v>0</v>
      </c>
      <c r="AA262" s="180"/>
      <c r="AD262" s="1"/>
      <c r="AE262" s="1"/>
      <c r="AF262" s="1"/>
      <c r="AG262" s="1"/>
    </row>
    <row r="263" spans="1:33" ht="15.75" customHeight="1">
      <c r="A263" s="181"/>
      <c r="B263" s="332" t="s">
        <v>1689</v>
      </c>
      <c r="C263" s="183" t="s">
        <v>57</v>
      </c>
      <c r="D263" s="183" t="s">
        <v>65</v>
      </c>
      <c r="E263" s="183" t="s">
        <v>121</v>
      </c>
      <c r="F263" s="183" t="s">
        <v>39</v>
      </c>
      <c r="G263" s="183" t="s">
        <v>48</v>
      </c>
      <c r="H263" s="184">
        <v>10</v>
      </c>
      <c r="I263" s="184" t="s">
        <v>1690</v>
      </c>
      <c r="J263" s="305">
        <f>K263*(1-Bolts!$E$1179)</f>
        <v>95.7</v>
      </c>
      <c r="K263" s="306">
        <v>95.7</v>
      </c>
      <c r="L263" s="168">
        <f t="shared" si="124"/>
        <v>0</v>
      </c>
      <c r="M263" s="211"/>
      <c r="N263" s="169"/>
      <c r="O263" s="170"/>
      <c r="P263" s="171"/>
      <c r="Q263" s="172"/>
      <c r="R263" s="173"/>
      <c r="S263" s="174"/>
      <c r="T263" s="175"/>
      <c r="U263" s="176"/>
      <c r="V263" s="168">
        <f t="shared" si="125"/>
        <v>0</v>
      </c>
      <c r="W263" s="177">
        <f t="shared" si="126"/>
        <v>0</v>
      </c>
      <c r="X263" s="178">
        <v>2.2000000000000002</v>
      </c>
      <c r="Y263" s="179">
        <f t="shared" si="127"/>
        <v>0</v>
      </c>
      <c r="AA263" s="180"/>
      <c r="AD263" s="1"/>
      <c r="AE263" s="1"/>
      <c r="AF263" s="1"/>
      <c r="AG263" s="1"/>
    </row>
    <row r="264" spans="1:33" ht="15.75" customHeight="1">
      <c r="A264" s="181"/>
      <c r="B264" s="353" t="s">
        <v>1691</v>
      </c>
      <c r="C264" s="330" t="s">
        <v>57</v>
      </c>
      <c r="D264" s="330" t="s">
        <v>65</v>
      </c>
      <c r="E264" s="330" t="s">
        <v>121</v>
      </c>
      <c r="F264" s="330" t="s">
        <v>39</v>
      </c>
      <c r="G264" s="330" t="s">
        <v>49</v>
      </c>
      <c r="H264" s="331">
        <v>10</v>
      </c>
      <c r="I264" s="331" t="s">
        <v>1692</v>
      </c>
      <c r="J264" s="305">
        <f>K264*(1-Bolts!$E$1179)</f>
        <v>109.2</v>
      </c>
      <c r="K264" s="306">
        <v>109.2</v>
      </c>
      <c r="L264" s="168">
        <f t="shared" si="124"/>
        <v>0</v>
      </c>
      <c r="M264" s="211"/>
      <c r="N264" s="169"/>
      <c r="O264" s="170"/>
      <c r="P264" s="171"/>
      <c r="Q264" s="172"/>
      <c r="R264" s="173"/>
      <c r="S264" s="174"/>
      <c r="T264" s="175"/>
      <c r="U264" s="176"/>
      <c r="V264" s="168">
        <f t="shared" si="125"/>
        <v>0</v>
      </c>
      <c r="W264" s="177">
        <f t="shared" si="126"/>
        <v>0</v>
      </c>
      <c r="X264" s="178">
        <v>3</v>
      </c>
      <c r="Y264" s="179">
        <f t="shared" si="127"/>
        <v>0</v>
      </c>
      <c r="AA264" s="180"/>
      <c r="AD264" s="1"/>
      <c r="AE264" s="1"/>
      <c r="AF264" s="1"/>
      <c r="AG264" s="1"/>
    </row>
    <row r="265" spans="1:33" ht="15.75" customHeight="1">
      <c r="A265" s="87"/>
      <c r="B265" s="185"/>
      <c r="C265" s="165"/>
      <c r="D265" s="165"/>
      <c r="E265" s="165"/>
      <c r="F265" s="165"/>
      <c r="G265" s="165"/>
      <c r="H265" s="166"/>
      <c r="I265" s="166"/>
      <c r="J265" s="307"/>
      <c r="K265" s="308"/>
      <c r="L265" s="186"/>
      <c r="M265" s="187"/>
      <c r="N265" s="187"/>
      <c r="O265" s="188"/>
      <c r="P265" s="187"/>
      <c r="Q265" s="187"/>
      <c r="R265" s="187"/>
      <c r="S265" s="187"/>
      <c r="T265" s="187"/>
      <c r="U265" s="188"/>
      <c r="V265" s="186"/>
      <c r="W265" s="189"/>
      <c r="X265" s="190"/>
      <c r="Y265" s="191"/>
      <c r="AA265" s="180"/>
      <c r="AD265" s="1"/>
      <c r="AE265" s="1"/>
      <c r="AF265" s="1"/>
      <c r="AG265" s="1"/>
    </row>
    <row r="266" spans="1:33" ht="15.75" customHeight="1">
      <c r="A266" s="181"/>
      <c r="B266" s="182" t="s">
        <v>1693</v>
      </c>
      <c r="C266" s="183" t="s">
        <v>57</v>
      </c>
      <c r="D266" s="183" t="s">
        <v>38</v>
      </c>
      <c r="E266" s="183" t="s">
        <v>121</v>
      </c>
      <c r="F266" s="183" t="s">
        <v>38</v>
      </c>
      <c r="G266" s="183" t="s">
        <v>48</v>
      </c>
      <c r="H266" s="184">
        <v>10</v>
      </c>
      <c r="I266" s="184" t="s">
        <v>1694</v>
      </c>
      <c r="J266" s="305">
        <f>K266*(1-Bolts!$E$1179)</f>
        <v>98.1</v>
      </c>
      <c r="K266" s="306">
        <v>98.1</v>
      </c>
      <c r="L266" s="168">
        <f t="shared" ref="L266:L268" si="128">SUM(M266:U266)</f>
        <v>0</v>
      </c>
      <c r="M266" s="211"/>
      <c r="N266" s="169"/>
      <c r="O266" s="170"/>
      <c r="P266" s="171"/>
      <c r="Q266" s="172"/>
      <c r="R266" s="173"/>
      <c r="S266" s="174"/>
      <c r="T266" s="175"/>
      <c r="U266" s="176"/>
      <c r="V266" s="168">
        <f t="shared" ref="V266:V268" si="129">L266*H266</f>
        <v>0</v>
      </c>
      <c r="W266" s="177">
        <f t="shared" ref="W266:W268" si="130">L266*K266</f>
        <v>0</v>
      </c>
      <c r="X266" s="178">
        <v>2.4</v>
      </c>
      <c r="Y266" s="179">
        <f t="shared" ref="Y266:Y268" si="131">X266*L266</f>
        <v>0</v>
      </c>
      <c r="AA266" s="180"/>
      <c r="AD266" s="1"/>
      <c r="AE266" s="1"/>
      <c r="AF266" s="1"/>
      <c r="AG266" s="1"/>
    </row>
    <row r="267" spans="1:33" ht="15.75" customHeight="1">
      <c r="A267" s="181"/>
      <c r="B267" s="182" t="s">
        <v>1695</v>
      </c>
      <c r="C267" s="183" t="s">
        <v>57</v>
      </c>
      <c r="D267" s="183" t="s">
        <v>38</v>
      </c>
      <c r="E267" s="183" t="s">
        <v>121</v>
      </c>
      <c r="F267" s="183" t="s">
        <v>38</v>
      </c>
      <c r="G267" s="183" t="s">
        <v>48</v>
      </c>
      <c r="H267" s="184">
        <v>10</v>
      </c>
      <c r="I267" s="184" t="s">
        <v>1696</v>
      </c>
      <c r="J267" s="305">
        <f>K267*(1-Bolts!$E$1179)</f>
        <v>88.6</v>
      </c>
      <c r="K267" s="306">
        <v>88.6</v>
      </c>
      <c r="L267" s="168">
        <f t="shared" si="128"/>
        <v>0</v>
      </c>
      <c r="M267" s="211"/>
      <c r="N267" s="169"/>
      <c r="O267" s="170"/>
      <c r="P267" s="171"/>
      <c r="Q267" s="172"/>
      <c r="R267" s="173"/>
      <c r="S267" s="174"/>
      <c r="T267" s="175"/>
      <c r="U267" s="176"/>
      <c r="V267" s="168">
        <f t="shared" si="129"/>
        <v>0</v>
      </c>
      <c r="W267" s="177">
        <f t="shared" si="130"/>
        <v>0</v>
      </c>
      <c r="X267" s="178">
        <v>1.75</v>
      </c>
      <c r="Y267" s="179">
        <f t="shared" si="131"/>
        <v>0</v>
      </c>
      <c r="AA267" s="212"/>
      <c r="AD267" s="1"/>
      <c r="AE267" s="1"/>
      <c r="AF267" s="1"/>
      <c r="AG267" s="1"/>
    </row>
    <row r="268" spans="1:33" ht="15.75" customHeight="1">
      <c r="A268" s="181"/>
      <c r="B268" s="353" t="s">
        <v>1697</v>
      </c>
      <c r="C268" s="330" t="s">
        <v>57</v>
      </c>
      <c r="D268" s="330" t="s">
        <v>38</v>
      </c>
      <c r="E268" s="330" t="s">
        <v>121</v>
      </c>
      <c r="F268" s="330" t="s">
        <v>38</v>
      </c>
      <c r="G268" s="330" t="s">
        <v>48</v>
      </c>
      <c r="H268" s="331">
        <v>10</v>
      </c>
      <c r="I268" s="331" t="s">
        <v>1698</v>
      </c>
      <c r="J268" s="305">
        <f>K268*(1-Bolts!$E$1179)</f>
        <v>77.900000000000006</v>
      </c>
      <c r="K268" s="306">
        <v>77.900000000000006</v>
      </c>
      <c r="L268" s="168">
        <f t="shared" si="128"/>
        <v>0</v>
      </c>
      <c r="M268" s="211"/>
      <c r="N268" s="169"/>
      <c r="O268" s="170"/>
      <c r="P268" s="171"/>
      <c r="Q268" s="172"/>
      <c r="R268" s="173"/>
      <c r="S268" s="174"/>
      <c r="T268" s="175"/>
      <c r="U268" s="176"/>
      <c r="V268" s="168">
        <f t="shared" si="129"/>
        <v>0</v>
      </c>
      <c r="W268" s="177">
        <f t="shared" si="130"/>
        <v>0</v>
      </c>
      <c r="X268" s="178">
        <v>1.1499999999999999</v>
      </c>
      <c r="Y268" s="179">
        <f t="shared" si="131"/>
        <v>0</v>
      </c>
      <c r="AA268" s="180"/>
      <c r="AD268" s="1"/>
      <c r="AE268" s="1"/>
      <c r="AF268" s="1"/>
      <c r="AG268" s="1"/>
    </row>
    <row r="269" spans="1:33" ht="15.75" customHeight="1">
      <c r="A269" s="139" t="s">
        <v>1699</v>
      </c>
      <c r="B269" s="333"/>
      <c r="C269" s="243"/>
      <c r="D269" s="243"/>
      <c r="E269" s="243" t="s">
        <v>121</v>
      </c>
      <c r="F269" s="243"/>
      <c r="G269" s="243"/>
      <c r="H269" s="243"/>
      <c r="I269" s="243"/>
      <c r="J269" s="334"/>
      <c r="K269" s="308"/>
      <c r="L269" s="243"/>
      <c r="M269" s="243"/>
      <c r="N269" s="243"/>
      <c r="O269" s="243"/>
      <c r="P269" s="243"/>
      <c r="Q269" s="243"/>
      <c r="R269" s="243"/>
      <c r="S269" s="243"/>
      <c r="T269" s="243"/>
      <c r="U269" s="243"/>
      <c r="V269" s="243"/>
      <c r="W269" s="243"/>
      <c r="X269" s="243"/>
      <c r="Y269" s="244"/>
      <c r="AA269" s="180"/>
      <c r="AD269" s="1"/>
      <c r="AE269" s="1"/>
      <c r="AF269" s="1"/>
      <c r="AG269" s="1"/>
    </row>
    <row r="270" spans="1:33" ht="15.75" customHeight="1">
      <c r="A270" s="181"/>
      <c r="B270" s="182" t="s">
        <v>1700</v>
      </c>
      <c r="C270" s="183" t="s">
        <v>58</v>
      </c>
      <c r="D270" s="183" t="s">
        <v>60</v>
      </c>
      <c r="E270" s="183" t="s">
        <v>121</v>
      </c>
      <c r="F270" s="183" t="s">
        <v>28</v>
      </c>
      <c r="G270" s="183" t="s">
        <v>48</v>
      </c>
      <c r="H270" s="184">
        <v>1</v>
      </c>
      <c r="I270" s="184" t="s">
        <v>1701</v>
      </c>
      <c r="J270" s="305">
        <f>K270*(1-Bolts!$E$1179)</f>
        <v>173</v>
      </c>
      <c r="K270" s="306">
        <v>173</v>
      </c>
      <c r="L270" s="168">
        <f t="shared" ref="L270:L272" si="132">SUM(M270:U270)</f>
        <v>0</v>
      </c>
      <c r="M270" s="211"/>
      <c r="N270" s="169"/>
      <c r="O270" s="170"/>
      <c r="P270" s="171"/>
      <c r="Q270" s="172"/>
      <c r="R270" s="173"/>
      <c r="S270" s="174"/>
      <c r="T270" s="175"/>
      <c r="U270" s="176"/>
      <c r="V270" s="168">
        <f t="shared" ref="V270:V272" si="133">L270*H270</f>
        <v>0</v>
      </c>
      <c r="W270" s="177">
        <f t="shared" ref="W270:W272" si="134">L270*K270</f>
        <v>0</v>
      </c>
      <c r="X270" s="178">
        <v>7.95</v>
      </c>
      <c r="Y270" s="179">
        <f t="shared" ref="Y270:Y272" si="135">X270*L270</f>
        <v>0</v>
      </c>
      <c r="AA270" s="180"/>
      <c r="AD270" s="1"/>
      <c r="AE270" s="1"/>
      <c r="AF270" s="1"/>
      <c r="AG270" s="1"/>
    </row>
    <row r="271" spans="1:33" ht="15.75" customHeight="1">
      <c r="A271" s="181"/>
      <c r="B271" s="182" t="s">
        <v>1702</v>
      </c>
      <c r="C271" s="183" t="s">
        <v>58</v>
      </c>
      <c r="D271" s="183" t="s">
        <v>60</v>
      </c>
      <c r="E271" s="183" t="s">
        <v>121</v>
      </c>
      <c r="F271" s="183" t="s">
        <v>28</v>
      </c>
      <c r="G271" s="183" t="s">
        <v>47</v>
      </c>
      <c r="H271" s="184">
        <v>1</v>
      </c>
      <c r="I271" s="184" t="s">
        <v>1703</v>
      </c>
      <c r="J271" s="305">
        <f>K271*(1-Bolts!$E$1179)</f>
        <v>252.2</v>
      </c>
      <c r="K271" s="306">
        <v>252.2</v>
      </c>
      <c r="L271" s="168">
        <f t="shared" si="132"/>
        <v>0</v>
      </c>
      <c r="M271" s="211"/>
      <c r="N271" s="169"/>
      <c r="O271" s="170"/>
      <c r="P271" s="171"/>
      <c r="Q271" s="172"/>
      <c r="R271" s="173"/>
      <c r="S271" s="174"/>
      <c r="T271" s="175"/>
      <c r="U271" s="176"/>
      <c r="V271" s="168">
        <f t="shared" si="133"/>
        <v>0</v>
      </c>
      <c r="W271" s="177">
        <f t="shared" si="134"/>
        <v>0</v>
      </c>
      <c r="X271" s="178">
        <v>12.45</v>
      </c>
      <c r="Y271" s="179">
        <f t="shared" si="135"/>
        <v>0</v>
      </c>
      <c r="AA271" s="180"/>
      <c r="AD271" s="1"/>
      <c r="AE271" s="1"/>
      <c r="AF271" s="1"/>
      <c r="AG271" s="1"/>
    </row>
    <row r="272" spans="1:33" ht="15.75" customHeight="1">
      <c r="A272" s="181"/>
      <c r="B272" s="182" t="s">
        <v>1704</v>
      </c>
      <c r="C272" s="183" t="s">
        <v>58</v>
      </c>
      <c r="D272" s="183" t="s">
        <v>60</v>
      </c>
      <c r="E272" s="183" t="s">
        <v>121</v>
      </c>
      <c r="F272" s="183" t="s">
        <v>28</v>
      </c>
      <c r="G272" s="183" t="s">
        <v>49</v>
      </c>
      <c r="H272" s="184">
        <v>1</v>
      </c>
      <c r="I272" s="184" t="s">
        <v>1705</v>
      </c>
      <c r="J272" s="305">
        <f>K272*(1-Bolts!$E$1179)</f>
        <v>212.6</v>
      </c>
      <c r="K272" s="306">
        <v>212.6</v>
      </c>
      <c r="L272" s="168">
        <f t="shared" si="132"/>
        <v>0</v>
      </c>
      <c r="M272" s="211"/>
      <c r="N272" s="169"/>
      <c r="O272" s="170"/>
      <c r="P272" s="171"/>
      <c r="Q272" s="172"/>
      <c r="R272" s="173"/>
      <c r="S272" s="174"/>
      <c r="T272" s="175"/>
      <c r="U272" s="176"/>
      <c r="V272" s="168">
        <f t="shared" si="133"/>
        <v>0</v>
      </c>
      <c r="W272" s="177">
        <f t="shared" si="134"/>
        <v>0</v>
      </c>
      <c r="X272" s="178">
        <v>10.199999999999999</v>
      </c>
      <c r="Y272" s="179">
        <f t="shared" si="135"/>
        <v>0</v>
      </c>
      <c r="AA272" s="180"/>
      <c r="AD272" s="1"/>
      <c r="AE272" s="1"/>
      <c r="AF272" s="1"/>
      <c r="AG272" s="1"/>
    </row>
    <row r="273" spans="1:33" ht="15.75" customHeight="1">
      <c r="A273" s="87"/>
      <c r="B273" s="185"/>
      <c r="C273" s="165"/>
      <c r="D273" s="165"/>
      <c r="E273" s="165"/>
      <c r="F273" s="165"/>
      <c r="G273" s="165"/>
      <c r="H273" s="166"/>
      <c r="I273" s="166"/>
      <c r="J273" s="307"/>
      <c r="K273" s="308"/>
      <c r="L273" s="186"/>
      <c r="M273" s="187"/>
      <c r="N273" s="187"/>
      <c r="O273" s="188"/>
      <c r="P273" s="187"/>
      <c r="Q273" s="187"/>
      <c r="R273" s="187"/>
      <c r="S273" s="187"/>
      <c r="T273" s="187"/>
      <c r="U273" s="188"/>
      <c r="V273" s="186"/>
      <c r="W273" s="189"/>
      <c r="X273" s="190"/>
      <c r="Y273" s="191"/>
      <c r="AA273" s="180"/>
      <c r="AD273" s="1"/>
      <c r="AE273" s="1"/>
      <c r="AF273" s="1"/>
      <c r="AG273" s="1"/>
    </row>
    <row r="274" spans="1:33" ht="15.75" customHeight="1">
      <c r="A274" s="181"/>
      <c r="B274" s="182" t="s">
        <v>1706</v>
      </c>
      <c r="C274" s="183" t="s">
        <v>58</v>
      </c>
      <c r="D274" s="183" t="s">
        <v>61</v>
      </c>
      <c r="E274" s="183" t="s">
        <v>121</v>
      </c>
      <c r="F274" s="183" t="s">
        <v>29</v>
      </c>
      <c r="G274" s="183" t="s">
        <v>47</v>
      </c>
      <c r="H274" s="184">
        <v>3</v>
      </c>
      <c r="I274" s="184" t="s">
        <v>1707</v>
      </c>
      <c r="J274" s="305">
        <f>K274*(1-Bolts!$E$1179)</f>
        <v>293.60000000000002</v>
      </c>
      <c r="K274" s="306">
        <v>293.60000000000002</v>
      </c>
      <c r="L274" s="168">
        <f t="shared" ref="L274:L276" si="136">SUM(M274:U274)</f>
        <v>0</v>
      </c>
      <c r="M274" s="211"/>
      <c r="N274" s="169"/>
      <c r="O274" s="170"/>
      <c r="P274" s="171"/>
      <c r="Q274" s="172"/>
      <c r="R274" s="173"/>
      <c r="S274" s="174"/>
      <c r="T274" s="175"/>
      <c r="U274" s="176"/>
      <c r="V274" s="168">
        <f t="shared" ref="V274:V276" si="137">L274*H274</f>
        <v>0</v>
      </c>
      <c r="W274" s="177">
        <f t="shared" ref="W274:W276" si="138">L274*K274</f>
        <v>0</v>
      </c>
      <c r="X274" s="178">
        <v>13.85</v>
      </c>
      <c r="Y274" s="179">
        <f t="shared" ref="Y274:Y276" si="139">X274*L274</f>
        <v>0</v>
      </c>
      <c r="AA274" s="180"/>
      <c r="AD274" s="1"/>
      <c r="AE274" s="1"/>
      <c r="AF274" s="1"/>
      <c r="AG274" s="1"/>
    </row>
    <row r="275" spans="1:33" ht="15.75" customHeight="1">
      <c r="A275" s="181"/>
      <c r="B275" s="182" t="s">
        <v>1708</v>
      </c>
      <c r="C275" s="183" t="s">
        <v>58</v>
      </c>
      <c r="D275" s="183" t="s">
        <v>61</v>
      </c>
      <c r="E275" s="183" t="s">
        <v>121</v>
      </c>
      <c r="F275" s="183" t="s">
        <v>37</v>
      </c>
      <c r="G275" s="183" t="s">
        <v>49</v>
      </c>
      <c r="H275" s="184">
        <v>3</v>
      </c>
      <c r="I275" s="184" t="s">
        <v>1709</v>
      </c>
      <c r="J275" s="305">
        <f>K275*(1-Bolts!$E$1179)</f>
        <v>254.1</v>
      </c>
      <c r="K275" s="306">
        <v>254.1</v>
      </c>
      <c r="L275" s="168">
        <f t="shared" si="136"/>
        <v>0</v>
      </c>
      <c r="M275" s="211"/>
      <c r="N275" s="169"/>
      <c r="O275" s="170"/>
      <c r="P275" s="171"/>
      <c r="Q275" s="172"/>
      <c r="R275" s="173"/>
      <c r="S275" s="174"/>
      <c r="T275" s="175"/>
      <c r="U275" s="176"/>
      <c r="V275" s="168">
        <f t="shared" si="137"/>
        <v>0</v>
      </c>
      <c r="W275" s="177">
        <f t="shared" si="138"/>
        <v>0</v>
      </c>
      <c r="X275" s="178">
        <v>11.6</v>
      </c>
      <c r="Y275" s="179">
        <f t="shared" si="139"/>
        <v>0</v>
      </c>
      <c r="AA275" s="180"/>
      <c r="AD275" s="1"/>
      <c r="AE275" s="1"/>
      <c r="AF275" s="1"/>
      <c r="AG275" s="1"/>
    </row>
    <row r="276" spans="1:33" ht="15.75" customHeight="1">
      <c r="A276" s="181"/>
      <c r="B276" s="182" t="s">
        <v>1710</v>
      </c>
      <c r="C276" s="183" t="s">
        <v>58</v>
      </c>
      <c r="D276" s="183" t="s">
        <v>61</v>
      </c>
      <c r="E276" s="183" t="s">
        <v>121</v>
      </c>
      <c r="F276" s="183" t="s">
        <v>29</v>
      </c>
      <c r="G276" s="183" t="s">
        <v>47</v>
      </c>
      <c r="H276" s="184">
        <v>1</v>
      </c>
      <c r="I276" s="184" t="s">
        <v>1711</v>
      </c>
      <c r="J276" s="305">
        <f>K276*(1-Bolts!$E$1179)</f>
        <v>185.4</v>
      </c>
      <c r="K276" s="306">
        <v>185.4</v>
      </c>
      <c r="L276" s="168">
        <f t="shared" si="136"/>
        <v>0</v>
      </c>
      <c r="M276" s="211"/>
      <c r="N276" s="169"/>
      <c r="O276" s="170"/>
      <c r="P276" s="171"/>
      <c r="Q276" s="172"/>
      <c r="R276" s="173"/>
      <c r="S276" s="174"/>
      <c r="T276" s="175"/>
      <c r="U276" s="176"/>
      <c r="V276" s="168">
        <f t="shared" si="137"/>
        <v>0</v>
      </c>
      <c r="W276" s="177">
        <f t="shared" si="138"/>
        <v>0</v>
      </c>
      <c r="X276" s="178">
        <v>8.4</v>
      </c>
      <c r="Y276" s="179">
        <f t="shared" si="139"/>
        <v>0</v>
      </c>
      <c r="AA276" s="180"/>
      <c r="AD276" s="1"/>
      <c r="AE276" s="1"/>
      <c r="AF276" s="1"/>
      <c r="AG276" s="1"/>
    </row>
    <row r="277" spans="1:33" ht="15.75" customHeight="1">
      <c r="A277" s="87"/>
      <c r="B277" s="185"/>
      <c r="C277" s="165"/>
      <c r="D277" s="165"/>
      <c r="E277" s="165"/>
      <c r="F277" s="165"/>
      <c r="G277" s="165"/>
      <c r="H277" s="166"/>
      <c r="I277" s="166"/>
      <c r="J277" s="307"/>
      <c r="K277" s="308"/>
      <c r="L277" s="186"/>
      <c r="M277" s="187"/>
      <c r="N277" s="187"/>
      <c r="O277" s="188"/>
      <c r="P277" s="187"/>
      <c r="Q277" s="187"/>
      <c r="R277" s="187"/>
      <c r="S277" s="187"/>
      <c r="T277" s="187"/>
      <c r="U277" s="188"/>
      <c r="V277" s="186"/>
      <c r="W277" s="189"/>
      <c r="X277" s="190"/>
      <c r="Y277" s="191"/>
      <c r="AA277" s="180"/>
      <c r="AD277" s="1"/>
      <c r="AE277" s="1"/>
      <c r="AF277" s="1"/>
      <c r="AG277" s="1"/>
    </row>
    <row r="278" spans="1:33" ht="15.75" customHeight="1">
      <c r="A278" s="181"/>
      <c r="B278" s="182" t="s">
        <v>1712</v>
      </c>
      <c r="C278" s="183" t="s">
        <v>58</v>
      </c>
      <c r="D278" s="183" t="s">
        <v>62</v>
      </c>
      <c r="E278" s="183" t="s">
        <v>121</v>
      </c>
      <c r="F278" s="183" t="s">
        <v>35</v>
      </c>
      <c r="G278" s="183" t="s">
        <v>48</v>
      </c>
      <c r="H278" s="184">
        <v>5</v>
      </c>
      <c r="I278" s="184" t="s">
        <v>1713</v>
      </c>
      <c r="J278" s="305">
        <f>K278*(1-Bolts!$E$1179)</f>
        <v>362.1</v>
      </c>
      <c r="K278" s="306">
        <v>362.1</v>
      </c>
      <c r="L278" s="168">
        <f t="shared" ref="L278:L283" si="140">SUM(M278:U278)</f>
        <v>0</v>
      </c>
      <c r="M278" s="211"/>
      <c r="N278" s="169"/>
      <c r="O278" s="170"/>
      <c r="P278" s="171"/>
      <c r="Q278" s="172"/>
      <c r="R278" s="173"/>
      <c r="S278" s="174"/>
      <c r="T278" s="175"/>
      <c r="U278" s="176"/>
      <c r="V278" s="168">
        <f t="shared" ref="V278:V283" si="141">L278*H278</f>
        <v>0</v>
      </c>
      <c r="W278" s="177">
        <f t="shared" ref="W278:W283" si="142">L278*K278</f>
        <v>0</v>
      </c>
      <c r="X278" s="178">
        <v>16.78</v>
      </c>
      <c r="Y278" s="179">
        <f t="shared" ref="Y278:Y283" si="143">X278*L278</f>
        <v>0</v>
      </c>
      <c r="AA278" s="180"/>
      <c r="AD278" s="1"/>
      <c r="AE278" s="1"/>
      <c r="AF278" s="1"/>
      <c r="AG278" s="1"/>
    </row>
    <row r="279" spans="1:33" ht="15.75" customHeight="1">
      <c r="A279" s="181"/>
      <c r="B279" s="182" t="s">
        <v>1714</v>
      </c>
      <c r="C279" s="183" t="s">
        <v>58</v>
      </c>
      <c r="D279" s="183" t="s">
        <v>62</v>
      </c>
      <c r="E279" s="183" t="s">
        <v>121</v>
      </c>
      <c r="F279" s="183" t="s">
        <v>37</v>
      </c>
      <c r="G279" s="183" t="s">
        <v>48</v>
      </c>
      <c r="H279" s="184">
        <v>3</v>
      </c>
      <c r="I279" s="184" t="s">
        <v>1715</v>
      </c>
      <c r="J279" s="305">
        <f>K279*(1-Bolts!$E$1179)</f>
        <v>192.4</v>
      </c>
      <c r="K279" s="306">
        <v>192.4</v>
      </c>
      <c r="L279" s="168">
        <f t="shared" si="140"/>
        <v>0</v>
      </c>
      <c r="M279" s="211"/>
      <c r="N279" s="169"/>
      <c r="O279" s="170"/>
      <c r="P279" s="171"/>
      <c r="Q279" s="172"/>
      <c r="R279" s="173"/>
      <c r="S279" s="174"/>
      <c r="T279" s="175"/>
      <c r="U279" s="176"/>
      <c r="V279" s="168">
        <f t="shared" si="141"/>
        <v>0</v>
      </c>
      <c r="W279" s="177">
        <f t="shared" si="142"/>
        <v>0</v>
      </c>
      <c r="X279" s="178">
        <v>8.1</v>
      </c>
      <c r="Y279" s="179">
        <f t="shared" si="143"/>
        <v>0</v>
      </c>
      <c r="AA279" s="180"/>
      <c r="AD279" s="1"/>
      <c r="AE279" s="1"/>
      <c r="AF279" s="1"/>
      <c r="AG279" s="1"/>
    </row>
    <row r="280" spans="1:33" ht="15.75" customHeight="1">
      <c r="A280" s="181"/>
      <c r="B280" s="182" t="s">
        <v>1716</v>
      </c>
      <c r="C280" s="183" t="s">
        <v>58</v>
      </c>
      <c r="D280" s="183" t="s">
        <v>62</v>
      </c>
      <c r="E280" s="183" t="s">
        <v>121</v>
      </c>
      <c r="F280" s="183" t="s">
        <v>29</v>
      </c>
      <c r="G280" s="183" t="s">
        <v>47</v>
      </c>
      <c r="H280" s="184">
        <v>5</v>
      </c>
      <c r="I280" s="184" t="s">
        <v>1717</v>
      </c>
      <c r="J280" s="305">
        <f>K280*(1-Bolts!$E$1179)</f>
        <v>307</v>
      </c>
      <c r="K280" s="306">
        <v>307</v>
      </c>
      <c r="L280" s="168">
        <f t="shared" si="140"/>
        <v>0</v>
      </c>
      <c r="M280" s="211"/>
      <c r="N280" s="169"/>
      <c r="O280" s="170"/>
      <c r="P280" s="171"/>
      <c r="Q280" s="172"/>
      <c r="R280" s="173"/>
      <c r="S280" s="174"/>
      <c r="T280" s="175"/>
      <c r="U280" s="176"/>
      <c r="V280" s="168">
        <f t="shared" si="141"/>
        <v>0</v>
      </c>
      <c r="W280" s="177">
        <f t="shared" si="142"/>
        <v>0</v>
      </c>
      <c r="X280" s="178">
        <v>13.65</v>
      </c>
      <c r="Y280" s="179">
        <f t="shared" si="143"/>
        <v>0</v>
      </c>
      <c r="AA280" s="180"/>
      <c r="AD280" s="1"/>
      <c r="AE280" s="1"/>
      <c r="AF280" s="1"/>
      <c r="AG280" s="1"/>
    </row>
    <row r="281" spans="1:33" ht="15.75" customHeight="1">
      <c r="A281" s="181"/>
      <c r="B281" s="182" t="s">
        <v>1718</v>
      </c>
      <c r="C281" s="183" t="s">
        <v>58</v>
      </c>
      <c r="D281" s="183" t="s">
        <v>62</v>
      </c>
      <c r="E281" s="183" t="s">
        <v>121</v>
      </c>
      <c r="F281" s="183" t="s">
        <v>37</v>
      </c>
      <c r="G281" s="183" t="s">
        <v>49</v>
      </c>
      <c r="H281" s="184">
        <v>3</v>
      </c>
      <c r="I281" s="184" t="s">
        <v>1719</v>
      </c>
      <c r="J281" s="305">
        <f>K281*(1-Bolts!$E$1179)</f>
        <v>193.3</v>
      </c>
      <c r="K281" s="306">
        <v>193.3</v>
      </c>
      <c r="L281" s="168">
        <f t="shared" si="140"/>
        <v>0</v>
      </c>
      <c r="M281" s="211"/>
      <c r="N281" s="169"/>
      <c r="O281" s="170"/>
      <c r="P281" s="171"/>
      <c r="Q281" s="172"/>
      <c r="R281" s="173"/>
      <c r="S281" s="174"/>
      <c r="T281" s="175"/>
      <c r="U281" s="176"/>
      <c r="V281" s="168">
        <f t="shared" si="141"/>
        <v>0</v>
      </c>
      <c r="W281" s="177">
        <f t="shared" si="142"/>
        <v>0</v>
      </c>
      <c r="X281" s="178">
        <v>8.15</v>
      </c>
      <c r="Y281" s="179">
        <f t="shared" si="143"/>
        <v>0</v>
      </c>
      <c r="AA281" s="180"/>
      <c r="AD281" s="1"/>
      <c r="AE281" s="1"/>
      <c r="AF281" s="1"/>
      <c r="AG281" s="1"/>
    </row>
    <row r="282" spans="1:33" ht="15.75" customHeight="1">
      <c r="A282" s="181"/>
      <c r="B282" s="182" t="s">
        <v>1720</v>
      </c>
      <c r="C282" s="183" t="s">
        <v>58</v>
      </c>
      <c r="D282" s="183" t="s">
        <v>62</v>
      </c>
      <c r="E282" s="183" t="s">
        <v>121</v>
      </c>
      <c r="F282" s="183" t="s">
        <v>32</v>
      </c>
      <c r="G282" s="183" t="s">
        <v>49</v>
      </c>
      <c r="H282" s="184">
        <v>3</v>
      </c>
      <c r="I282" s="184" t="s">
        <v>1721</v>
      </c>
      <c r="J282" s="305">
        <f>K282*(1-Bolts!$E$1179)</f>
        <v>177.5</v>
      </c>
      <c r="K282" s="306">
        <v>177.5</v>
      </c>
      <c r="L282" s="168">
        <f t="shared" si="140"/>
        <v>0</v>
      </c>
      <c r="M282" s="211"/>
      <c r="N282" s="169"/>
      <c r="O282" s="170"/>
      <c r="P282" s="171"/>
      <c r="Q282" s="172"/>
      <c r="R282" s="173"/>
      <c r="S282" s="174"/>
      <c r="T282" s="175"/>
      <c r="U282" s="176"/>
      <c r="V282" s="168">
        <f t="shared" si="141"/>
        <v>0</v>
      </c>
      <c r="W282" s="177">
        <f t="shared" si="142"/>
        <v>0</v>
      </c>
      <c r="X282" s="178">
        <v>7.25</v>
      </c>
      <c r="Y282" s="179">
        <f t="shared" si="143"/>
        <v>0</v>
      </c>
      <c r="AA282" s="180"/>
      <c r="AD282" s="1"/>
      <c r="AE282" s="1"/>
      <c r="AF282" s="1"/>
      <c r="AG282" s="1"/>
    </row>
    <row r="283" spans="1:33" ht="15.75" customHeight="1">
      <c r="A283" s="181"/>
      <c r="B283" s="351" t="s">
        <v>1722</v>
      </c>
      <c r="C283" s="330" t="s">
        <v>58</v>
      </c>
      <c r="D283" s="330" t="s">
        <v>62</v>
      </c>
      <c r="E283" s="330" t="s">
        <v>121</v>
      </c>
      <c r="F283" s="330" t="s">
        <v>29</v>
      </c>
      <c r="G283" s="330" t="s">
        <v>47</v>
      </c>
      <c r="H283" s="331">
        <v>5</v>
      </c>
      <c r="I283" s="331" t="s">
        <v>1723</v>
      </c>
      <c r="J283" s="305">
        <f>K283*(1-Bolts!$E$1179)</f>
        <v>308.7</v>
      </c>
      <c r="K283" s="306">
        <v>308.7</v>
      </c>
      <c r="L283" s="168">
        <f t="shared" si="140"/>
        <v>0</v>
      </c>
      <c r="M283" s="211"/>
      <c r="N283" s="169"/>
      <c r="O283" s="170"/>
      <c r="P283" s="171"/>
      <c r="Q283" s="172"/>
      <c r="R283" s="173"/>
      <c r="S283" s="174"/>
      <c r="T283" s="175"/>
      <c r="U283" s="176"/>
      <c r="V283" s="168">
        <f t="shared" si="141"/>
        <v>0</v>
      </c>
      <c r="W283" s="177">
        <f t="shared" si="142"/>
        <v>0</v>
      </c>
      <c r="X283" s="178">
        <v>12.9</v>
      </c>
      <c r="Y283" s="179">
        <f t="shared" si="143"/>
        <v>0</v>
      </c>
      <c r="AA283" s="180"/>
      <c r="AD283" s="1"/>
      <c r="AE283" s="1"/>
      <c r="AF283" s="1"/>
      <c r="AG283" s="1"/>
    </row>
    <row r="284" spans="1:33" ht="15.75" customHeight="1">
      <c r="A284" s="87"/>
      <c r="B284" s="185"/>
      <c r="C284" s="165"/>
      <c r="D284" s="165"/>
      <c r="E284" s="165"/>
      <c r="F284" s="165"/>
      <c r="G284" s="165"/>
      <c r="H284" s="166"/>
      <c r="I284" s="166"/>
      <c r="J284" s="307"/>
      <c r="K284" s="308"/>
      <c r="L284" s="186"/>
      <c r="M284" s="187"/>
      <c r="N284" s="187"/>
      <c r="O284" s="188"/>
      <c r="P284" s="187"/>
      <c r="Q284" s="187"/>
      <c r="R284" s="187"/>
      <c r="S284" s="187"/>
      <c r="T284" s="187"/>
      <c r="U284" s="188"/>
      <c r="V284" s="186"/>
      <c r="W284" s="189"/>
      <c r="X284" s="190"/>
      <c r="Y284" s="191"/>
      <c r="AA284" s="180"/>
      <c r="AD284" s="1"/>
      <c r="AE284" s="1"/>
      <c r="AF284" s="1"/>
      <c r="AG284" s="1"/>
    </row>
    <row r="285" spans="1:33" ht="15.75" customHeight="1">
      <c r="A285" s="181"/>
      <c r="B285" s="182" t="s">
        <v>1724</v>
      </c>
      <c r="C285" s="183" t="s">
        <v>58</v>
      </c>
      <c r="D285" s="183" t="s">
        <v>63</v>
      </c>
      <c r="E285" s="183" t="s">
        <v>121</v>
      </c>
      <c r="F285" s="183" t="s">
        <v>29</v>
      </c>
      <c r="G285" s="183" t="s">
        <v>47</v>
      </c>
      <c r="H285" s="184">
        <v>5</v>
      </c>
      <c r="I285" s="184" t="s">
        <v>1725</v>
      </c>
      <c r="J285" s="305">
        <f>K285*(1-Bolts!$E$1179)</f>
        <v>171.6</v>
      </c>
      <c r="K285" s="306">
        <v>171.6</v>
      </c>
      <c r="L285" s="168">
        <f t="shared" ref="L285:L288" si="144">SUM(M285:U285)</f>
        <v>0</v>
      </c>
      <c r="M285" s="211"/>
      <c r="N285" s="169"/>
      <c r="O285" s="170"/>
      <c r="P285" s="171"/>
      <c r="Q285" s="172"/>
      <c r="R285" s="173"/>
      <c r="S285" s="174"/>
      <c r="T285" s="175"/>
      <c r="U285" s="176"/>
      <c r="V285" s="168">
        <f t="shared" ref="V285:V288" si="145">L285*H285</f>
        <v>0</v>
      </c>
      <c r="W285" s="177">
        <f t="shared" ref="W285:W288" si="146">L285*K285</f>
        <v>0</v>
      </c>
      <c r="X285" s="178">
        <v>6.75</v>
      </c>
      <c r="Y285" s="179">
        <f t="shared" ref="Y285:Y288" si="147">X285*L285</f>
        <v>0</v>
      </c>
      <c r="AA285" s="180"/>
      <c r="AD285" s="1"/>
      <c r="AE285" s="1"/>
      <c r="AF285" s="1"/>
      <c r="AG285" s="1"/>
    </row>
    <row r="286" spans="1:33" ht="15.75" customHeight="1">
      <c r="A286" s="181"/>
      <c r="B286" s="182" t="s">
        <v>1726</v>
      </c>
      <c r="C286" s="183" t="s">
        <v>58</v>
      </c>
      <c r="D286" s="183" t="s">
        <v>63</v>
      </c>
      <c r="E286" s="183" t="s">
        <v>121</v>
      </c>
      <c r="F286" s="183" t="s">
        <v>35</v>
      </c>
      <c r="G286" s="183" t="s">
        <v>48</v>
      </c>
      <c r="H286" s="184">
        <v>5</v>
      </c>
      <c r="I286" s="184" t="s">
        <v>1727</v>
      </c>
      <c r="J286" s="305">
        <f>K286*(1-Bolts!$E$1179)</f>
        <v>285.8</v>
      </c>
      <c r="K286" s="306">
        <v>285.8</v>
      </c>
      <c r="L286" s="168">
        <f t="shared" si="144"/>
        <v>0</v>
      </c>
      <c r="M286" s="211"/>
      <c r="N286" s="169"/>
      <c r="O286" s="170"/>
      <c r="P286" s="171"/>
      <c r="Q286" s="172"/>
      <c r="R286" s="173"/>
      <c r="S286" s="174"/>
      <c r="T286" s="175"/>
      <c r="U286" s="176"/>
      <c r="V286" s="168">
        <f t="shared" si="145"/>
        <v>0</v>
      </c>
      <c r="W286" s="177">
        <f t="shared" si="146"/>
        <v>0</v>
      </c>
      <c r="X286" s="178">
        <v>12.45</v>
      </c>
      <c r="Y286" s="179">
        <f t="shared" si="147"/>
        <v>0</v>
      </c>
      <c r="AA286" s="180"/>
      <c r="AD286" s="1"/>
      <c r="AE286" s="1"/>
      <c r="AF286" s="1"/>
      <c r="AG286" s="1"/>
    </row>
    <row r="287" spans="1:33" ht="15.75" customHeight="1">
      <c r="A287" s="181"/>
      <c r="B287" s="182" t="s">
        <v>1728</v>
      </c>
      <c r="C287" s="183" t="s">
        <v>58</v>
      </c>
      <c r="D287" s="183" t="s">
        <v>63</v>
      </c>
      <c r="E287" s="183" t="s">
        <v>121</v>
      </c>
      <c r="F287" s="183" t="s">
        <v>29</v>
      </c>
      <c r="G287" s="183" t="s">
        <v>47</v>
      </c>
      <c r="H287" s="184">
        <v>5</v>
      </c>
      <c r="I287" s="184" t="s">
        <v>1729</v>
      </c>
      <c r="J287" s="305">
        <f>K287*(1-Bolts!$E$1179)</f>
        <v>185.6</v>
      </c>
      <c r="K287" s="306">
        <v>185.6</v>
      </c>
      <c r="L287" s="168">
        <f t="shared" si="144"/>
        <v>0</v>
      </c>
      <c r="M287" s="211"/>
      <c r="N287" s="169"/>
      <c r="O287" s="170"/>
      <c r="P287" s="171"/>
      <c r="Q287" s="172"/>
      <c r="R287" s="173"/>
      <c r="S287" s="174"/>
      <c r="T287" s="175"/>
      <c r="U287" s="176"/>
      <c r="V287" s="168">
        <f t="shared" si="145"/>
        <v>0</v>
      </c>
      <c r="W287" s="177">
        <f t="shared" si="146"/>
        <v>0</v>
      </c>
      <c r="X287" s="178">
        <v>7.55</v>
      </c>
      <c r="Y287" s="179">
        <f t="shared" si="147"/>
        <v>0</v>
      </c>
      <c r="AA287" s="180"/>
      <c r="AD287" s="1"/>
      <c r="AE287" s="1"/>
      <c r="AF287" s="1"/>
      <c r="AG287" s="1"/>
    </row>
    <row r="288" spans="1:33" ht="15.75" customHeight="1">
      <c r="A288" s="181"/>
      <c r="B288" s="182" t="s">
        <v>1730</v>
      </c>
      <c r="C288" s="183" t="s">
        <v>58</v>
      </c>
      <c r="D288" s="183" t="s">
        <v>63</v>
      </c>
      <c r="E288" s="183" t="s">
        <v>121</v>
      </c>
      <c r="F288" s="183" t="s">
        <v>35</v>
      </c>
      <c r="G288" s="183" t="s">
        <v>48</v>
      </c>
      <c r="H288" s="184">
        <v>5</v>
      </c>
      <c r="I288" s="184" t="s">
        <v>1731</v>
      </c>
      <c r="J288" s="305">
        <f>K288*(1-Bolts!$E$1179)</f>
        <v>151.1</v>
      </c>
      <c r="K288" s="306">
        <v>151.1</v>
      </c>
      <c r="L288" s="168">
        <f t="shared" si="144"/>
        <v>0</v>
      </c>
      <c r="M288" s="211"/>
      <c r="N288" s="169"/>
      <c r="O288" s="170"/>
      <c r="P288" s="171"/>
      <c r="Q288" s="172"/>
      <c r="R288" s="173"/>
      <c r="S288" s="174"/>
      <c r="T288" s="175"/>
      <c r="U288" s="176"/>
      <c r="V288" s="168">
        <f t="shared" si="145"/>
        <v>0</v>
      </c>
      <c r="W288" s="177">
        <f t="shared" si="146"/>
        <v>0</v>
      </c>
      <c r="X288" s="178">
        <v>4.7</v>
      </c>
      <c r="Y288" s="179">
        <f t="shared" si="147"/>
        <v>0</v>
      </c>
      <c r="AA288" s="180"/>
      <c r="AD288" s="1"/>
      <c r="AE288" s="1"/>
      <c r="AF288" s="1"/>
      <c r="AG288" s="1"/>
    </row>
    <row r="289" spans="1:33" ht="15.75" customHeight="1">
      <c r="A289" s="87"/>
      <c r="B289" s="185"/>
      <c r="C289" s="165"/>
      <c r="D289" s="165"/>
      <c r="E289" s="165"/>
      <c r="F289" s="165"/>
      <c r="G289" s="165"/>
      <c r="H289" s="166"/>
      <c r="I289" s="166"/>
      <c r="J289" s="307"/>
      <c r="K289" s="308"/>
      <c r="L289" s="186"/>
      <c r="M289" s="187"/>
      <c r="N289" s="187"/>
      <c r="O289" s="188"/>
      <c r="P289" s="187"/>
      <c r="Q289" s="187"/>
      <c r="R289" s="187"/>
      <c r="S289" s="187"/>
      <c r="T289" s="187"/>
      <c r="U289" s="188"/>
      <c r="V289" s="186"/>
      <c r="W289" s="189"/>
      <c r="X289" s="190"/>
      <c r="Y289" s="191"/>
      <c r="AA289" s="180"/>
      <c r="AD289" s="1"/>
      <c r="AE289" s="1"/>
      <c r="AF289" s="1"/>
      <c r="AG289" s="1"/>
    </row>
    <row r="290" spans="1:33" ht="15.75" customHeight="1">
      <c r="A290" s="87"/>
      <c r="B290" s="192" t="s">
        <v>1732</v>
      </c>
      <c r="C290" s="193" t="s">
        <v>58</v>
      </c>
      <c r="D290" s="193" t="s">
        <v>48</v>
      </c>
      <c r="E290" s="193" t="s">
        <v>121</v>
      </c>
      <c r="F290" s="193" t="s">
        <v>30</v>
      </c>
      <c r="G290" s="193" t="s">
        <v>47</v>
      </c>
      <c r="H290" s="194">
        <v>10</v>
      </c>
      <c r="I290" s="194" t="s">
        <v>1733</v>
      </c>
      <c r="J290" s="305">
        <f>K290*(1-Bolts!$E$1179)</f>
        <v>93.1</v>
      </c>
      <c r="K290" s="306">
        <v>93.1</v>
      </c>
      <c r="L290" s="168">
        <f>SUM(M290:U290)</f>
        <v>0</v>
      </c>
      <c r="M290" s="211"/>
      <c r="N290" s="169"/>
      <c r="O290" s="170"/>
      <c r="P290" s="171"/>
      <c r="Q290" s="172"/>
      <c r="R290" s="173"/>
      <c r="S290" s="174"/>
      <c r="T290" s="175"/>
      <c r="U290" s="176"/>
      <c r="V290" s="168">
        <f>L290*H290</f>
        <v>0</v>
      </c>
      <c r="W290" s="177">
        <f>L290*K290</f>
        <v>0</v>
      </c>
      <c r="X290" s="178" t="s">
        <v>1734</v>
      </c>
      <c r="Y290" s="179">
        <f>X290*L290</f>
        <v>0</v>
      </c>
      <c r="AA290" s="180"/>
      <c r="AD290" s="1"/>
      <c r="AE290" s="1"/>
      <c r="AF290" s="1"/>
      <c r="AG290" s="1"/>
    </row>
    <row r="291" spans="1:33" ht="15.75" customHeight="1">
      <c r="A291" s="87"/>
      <c r="B291" s="185"/>
      <c r="C291" s="165"/>
      <c r="D291" s="165"/>
      <c r="E291" s="165"/>
      <c r="F291" s="165"/>
      <c r="G291" s="165"/>
      <c r="H291" s="166"/>
      <c r="I291" s="166"/>
      <c r="J291" s="307"/>
      <c r="K291" s="308"/>
      <c r="L291" s="186"/>
      <c r="M291" s="187"/>
      <c r="N291" s="187"/>
      <c r="O291" s="188"/>
      <c r="P291" s="187"/>
      <c r="Q291" s="187"/>
      <c r="R291" s="187"/>
      <c r="S291" s="187"/>
      <c r="T291" s="187"/>
      <c r="U291" s="188"/>
      <c r="V291" s="186"/>
      <c r="W291" s="189"/>
      <c r="X291" s="190"/>
      <c r="Y291" s="191"/>
      <c r="AA291" s="180"/>
      <c r="AD291" s="1"/>
      <c r="AE291" s="1"/>
      <c r="AF291" s="1"/>
      <c r="AG291" s="1"/>
    </row>
    <row r="292" spans="1:33" ht="15.75" customHeight="1">
      <c r="A292" s="181"/>
      <c r="B292" s="182" t="s">
        <v>1735</v>
      </c>
      <c r="C292" s="183" t="s">
        <v>58</v>
      </c>
      <c r="D292" s="183" t="s">
        <v>64</v>
      </c>
      <c r="E292" s="183" t="s">
        <v>121</v>
      </c>
      <c r="F292" s="183" t="s">
        <v>32</v>
      </c>
      <c r="G292" s="183" t="s">
        <v>48</v>
      </c>
      <c r="H292" s="184">
        <v>10</v>
      </c>
      <c r="I292" s="184" t="s">
        <v>1736</v>
      </c>
      <c r="J292" s="305">
        <f>K292*(1-Bolts!$E$1179)</f>
        <v>126.8</v>
      </c>
      <c r="K292" s="306">
        <v>126.8</v>
      </c>
      <c r="L292" s="168">
        <f t="shared" ref="L292:L294" si="148">SUM(M292:U292)</f>
        <v>0</v>
      </c>
      <c r="M292" s="211"/>
      <c r="N292" s="169"/>
      <c r="O292" s="170"/>
      <c r="P292" s="171"/>
      <c r="Q292" s="172"/>
      <c r="R292" s="173"/>
      <c r="S292" s="174"/>
      <c r="T292" s="175"/>
      <c r="U292" s="176"/>
      <c r="V292" s="168">
        <f t="shared" ref="V292:V294" si="149">L292*H292</f>
        <v>0</v>
      </c>
      <c r="W292" s="177">
        <f t="shared" ref="W292:W294" si="150">L292*K292</f>
        <v>0</v>
      </c>
      <c r="X292" s="178">
        <v>4.3499999999999996</v>
      </c>
      <c r="Y292" s="179">
        <f t="shared" ref="Y292:Y294" si="151">X292*L292</f>
        <v>0</v>
      </c>
      <c r="AA292" s="180"/>
      <c r="AD292" s="1"/>
      <c r="AE292" s="1"/>
      <c r="AF292" s="1"/>
      <c r="AG292" s="1"/>
    </row>
    <row r="293" spans="1:33" ht="15.75" customHeight="1">
      <c r="A293" s="181"/>
      <c r="B293" s="182" t="s">
        <v>1737</v>
      </c>
      <c r="C293" s="183" t="s">
        <v>58</v>
      </c>
      <c r="D293" s="183" t="s">
        <v>64</v>
      </c>
      <c r="E293" s="183" t="s">
        <v>121</v>
      </c>
      <c r="F293" s="183" t="s">
        <v>32</v>
      </c>
      <c r="G293" s="183" t="s">
        <v>48</v>
      </c>
      <c r="H293" s="184">
        <v>10</v>
      </c>
      <c r="I293" s="184" t="s">
        <v>1738</v>
      </c>
      <c r="J293" s="305">
        <f>K293*(1-Bolts!$E$1179)</f>
        <v>144.4</v>
      </c>
      <c r="K293" s="306">
        <v>144.4</v>
      </c>
      <c r="L293" s="168">
        <f t="shared" si="148"/>
        <v>0</v>
      </c>
      <c r="M293" s="211"/>
      <c r="N293" s="169"/>
      <c r="O293" s="170"/>
      <c r="P293" s="171"/>
      <c r="Q293" s="172"/>
      <c r="R293" s="173"/>
      <c r="S293" s="174"/>
      <c r="T293" s="175"/>
      <c r="U293" s="176"/>
      <c r="V293" s="168">
        <f t="shared" si="149"/>
        <v>0</v>
      </c>
      <c r="W293" s="177">
        <f t="shared" si="150"/>
        <v>0</v>
      </c>
      <c r="X293" s="178">
        <v>5.4</v>
      </c>
      <c r="Y293" s="179">
        <f t="shared" si="151"/>
        <v>0</v>
      </c>
      <c r="AA293" s="212"/>
      <c r="AD293" s="1"/>
      <c r="AE293" s="1"/>
      <c r="AF293" s="1"/>
      <c r="AG293" s="1"/>
    </row>
    <row r="294" spans="1:33" ht="15.75" customHeight="1">
      <c r="A294" s="181"/>
      <c r="B294" s="182" t="s">
        <v>1739</v>
      </c>
      <c r="C294" s="183" t="s">
        <v>58</v>
      </c>
      <c r="D294" s="183" t="s">
        <v>64</v>
      </c>
      <c r="E294" s="183" t="s">
        <v>121</v>
      </c>
      <c r="F294" s="183" t="s">
        <v>32</v>
      </c>
      <c r="G294" s="183" t="s">
        <v>48</v>
      </c>
      <c r="H294" s="184">
        <v>10</v>
      </c>
      <c r="I294" s="184" t="s">
        <v>1740</v>
      </c>
      <c r="J294" s="305">
        <f>K294*(1-Bolts!$E$1179)</f>
        <v>119.8</v>
      </c>
      <c r="K294" s="306">
        <v>119.8</v>
      </c>
      <c r="L294" s="168">
        <f t="shared" si="148"/>
        <v>0</v>
      </c>
      <c r="M294" s="211"/>
      <c r="N294" s="169"/>
      <c r="O294" s="170"/>
      <c r="P294" s="171"/>
      <c r="Q294" s="172"/>
      <c r="R294" s="173"/>
      <c r="S294" s="174"/>
      <c r="T294" s="175"/>
      <c r="U294" s="176"/>
      <c r="V294" s="168">
        <f t="shared" si="149"/>
        <v>0</v>
      </c>
      <c r="W294" s="177">
        <f t="shared" si="150"/>
        <v>0</v>
      </c>
      <c r="X294" s="178">
        <v>3.95</v>
      </c>
      <c r="Y294" s="179">
        <f t="shared" si="151"/>
        <v>0</v>
      </c>
      <c r="AA294" s="180"/>
      <c r="AD294" s="1"/>
      <c r="AE294" s="1"/>
      <c r="AF294" s="1"/>
      <c r="AG294" s="1"/>
    </row>
    <row r="295" spans="1:33" ht="15.75" customHeight="1">
      <c r="A295" s="139" t="s">
        <v>1741</v>
      </c>
      <c r="B295" s="335"/>
      <c r="C295" s="207"/>
      <c r="D295" s="207"/>
      <c r="E295" s="207" t="s">
        <v>121</v>
      </c>
      <c r="F295" s="207"/>
      <c r="G295" s="207"/>
      <c r="H295" s="207"/>
      <c r="I295" s="207"/>
      <c r="J295" s="336"/>
      <c r="K295" s="308"/>
      <c r="L295" s="207"/>
      <c r="M295" s="207"/>
      <c r="N295" s="207"/>
      <c r="O295" s="207"/>
      <c r="P295" s="207"/>
      <c r="Q295" s="207"/>
      <c r="R295" s="207"/>
      <c r="S295" s="207"/>
      <c r="T295" s="207"/>
      <c r="U295" s="207"/>
      <c r="V295" s="207"/>
      <c r="W295" s="207"/>
      <c r="X295" s="207"/>
      <c r="Y295" s="208"/>
      <c r="AA295" s="180"/>
      <c r="AD295" s="1"/>
      <c r="AE295" s="1"/>
      <c r="AF295" s="1"/>
      <c r="AG295" s="1"/>
    </row>
    <row r="296" spans="1:33" ht="15.75" customHeight="1">
      <c r="A296" s="87"/>
      <c r="B296" s="192" t="s">
        <v>1742</v>
      </c>
      <c r="C296" s="193" t="s">
        <v>52</v>
      </c>
      <c r="D296" s="193" t="s">
        <v>62</v>
      </c>
      <c r="E296" s="193" t="s">
        <v>121</v>
      </c>
      <c r="F296" s="193" t="s">
        <v>29</v>
      </c>
      <c r="G296" s="193" t="s">
        <v>47</v>
      </c>
      <c r="H296" s="194">
        <v>4</v>
      </c>
      <c r="I296" s="194" t="s">
        <v>1743</v>
      </c>
      <c r="J296" s="305">
        <f>K296*(1-Bolts!$E$1179)</f>
        <v>167.9</v>
      </c>
      <c r="K296" s="306">
        <v>167.9</v>
      </c>
      <c r="L296" s="168">
        <f t="shared" ref="L296:L297" si="152">SUM(M296:U296)</f>
        <v>0</v>
      </c>
      <c r="M296" s="211"/>
      <c r="N296" s="169"/>
      <c r="O296" s="170"/>
      <c r="P296" s="171"/>
      <c r="Q296" s="172"/>
      <c r="R296" s="173"/>
      <c r="S296" s="174"/>
      <c r="T296" s="175"/>
      <c r="U296" s="176"/>
      <c r="V296" s="168">
        <f t="shared" ref="V296:V297" si="153">L296*H296</f>
        <v>0</v>
      </c>
      <c r="W296" s="177">
        <f t="shared" ref="W296:W297" si="154">L296*K296</f>
        <v>0</v>
      </c>
      <c r="X296" s="178" t="s">
        <v>1744</v>
      </c>
      <c r="Y296" s="179">
        <f t="shared" ref="Y296:Y297" si="155">X296*L296</f>
        <v>0</v>
      </c>
      <c r="AA296" s="180"/>
      <c r="AD296" s="1"/>
      <c r="AE296" s="1"/>
      <c r="AF296" s="1"/>
      <c r="AG296" s="1"/>
    </row>
    <row r="297" spans="1:33" ht="15.75" customHeight="1">
      <c r="A297" s="87"/>
      <c r="B297" s="192" t="s">
        <v>1745</v>
      </c>
      <c r="C297" s="193" t="s">
        <v>52</v>
      </c>
      <c r="D297" s="193" t="s">
        <v>62</v>
      </c>
      <c r="E297" s="193" t="s">
        <v>121</v>
      </c>
      <c r="F297" s="193" t="s">
        <v>37</v>
      </c>
      <c r="G297" s="193" t="s">
        <v>48</v>
      </c>
      <c r="H297" s="194">
        <v>1</v>
      </c>
      <c r="I297" s="194" t="s">
        <v>1746</v>
      </c>
      <c r="J297" s="305">
        <f>K297*(1-Bolts!$E$1179)</f>
        <v>135.5</v>
      </c>
      <c r="K297" s="306">
        <v>135.5</v>
      </c>
      <c r="L297" s="168">
        <f t="shared" si="152"/>
        <v>0</v>
      </c>
      <c r="M297" s="211"/>
      <c r="N297" s="169"/>
      <c r="O297" s="170"/>
      <c r="P297" s="171"/>
      <c r="Q297" s="172"/>
      <c r="R297" s="173"/>
      <c r="S297" s="174"/>
      <c r="T297" s="175"/>
      <c r="U297" s="176"/>
      <c r="V297" s="168">
        <f t="shared" si="153"/>
        <v>0</v>
      </c>
      <c r="W297" s="177">
        <f t="shared" si="154"/>
        <v>0</v>
      </c>
      <c r="X297" s="178" t="s">
        <v>1747</v>
      </c>
      <c r="Y297" s="179">
        <f t="shared" si="155"/>
        <v>0</v>
      </c>
      <c r="AA297" s="180"/>
      <c r="AD297" s="1"/>
      <c r="AE297" s="1"/>
      <c r="AF297" s="1"/>
      <c r="AG297" s="1"/>
    </row>
    <row r="298" spans="1:33" ht="15.75" customHeight="1">
      <c r="A298" s="87"/>
      <c r="B298" s="185"/>
      <c r="C298" s="165"/>
      <c r="D298" s="165"/>
      <c r="E298" s="165"/>
      <c r="F298" s="165"/>
      <c r="G298" s="165"/>
      <c r="H298" s="166"/>
      <c r="I298" s="166"/>
      <c r="J298" s="307"/>
      <c r="K298" s="308"/>
      <c r="L298" s="186"/>
      <c r="M298" s="187"/>
      <c r="N298" s="187"/>
      <c r="O298" s="188"/>
      <c r="P298" s="187"/>
      <c r="Q298" s="187"/>
      <c r="R298" s="187"/>
      <c r="S298" s="187"/>
      <c r="T298" s="187"/>
      <c r="U298" s="188"/>
      <c r="V298" s="186"/>
      <c r="W298" s="189"/>
      <c r="X298" s="190"/>
      <c r="Y298" s="191"/>
      <c r="AA298" s="180"/>
      <c r="AD298" s="1"/>
      <c r="AE298" s="1"/>
      <c r="AF298" s="1"/>
      <c r="AG298" s="1"/>
    </row>
    <row r="299" spans="1:33" ht="15.75" customHeight="1">
      <c r="A299" s="87"/>
      <c r="B299" s="192" t="s">
        <v>1748</v>
      </c>
      <c r="C299" s="193" t="s">
        <v>52</v>
      </c>
      <c r="D299" s="193" t="s">
        <v>61</v>
      </c>
      <c r="E299" s="193" t="s">
        <v>121</v>
      </c>
      <c r="F299" s="193" t="s">
        <v>28</v>
      </c>
      <c r="G299" s="193" t="s">
        <v>48</v>
      </c>
      <c r="H299" s="194">
        <v>1</v>
      </c>
      <c r="I299" s="194" t="s">
        <v>1749</v>
      </c>
      <c r="J299" s="305">
        <f>K299*(1-Bolts!$E$1179)</f>
        <v>108</v>
      </c>
      <c r="K299" s="306">
        <v>108</v>
      </c>
      <c r="L299" s="168">
        <f t="shared" ref="L299:L300" si="156">SUM(M299:U299)</f>
        <v>0</v>
      </c>
      <c r="M299" s="211"/>
      <c r="N299" s="169"/>
      <c r="O299" s="170"/>
      <c r="P299" s="171"/>
      <c r="Q299" s="172"/>
      <c r="R299" s="173"/>
      <c r="S299" s="174"/>
      <c r="T299" s="175"/>
      <c r="U299" s="176"/>
      <c r="V299" s="168">
        <f t="shared" ref="V299:V300" si="157">L299*H299</f>
        <v>0</v>
      </c>
      <c r="W299" s="177">
        <f t="shared" ref="W299:W300" si="158">L299*K299</f>
        <v>0</v>
      </c>
      <c r="X299" s="178" t="s">
        <v>1750</v>
      </c>
      <c r="Y299" s="179">
        <f t="shared" ref="Y299:Y300" si="159">X299*L299</f>
        <v>0</v>
      </c>
      <c r="AA299" s="212"/>
      <c r="AD299" s="1"/>
      <c r="AE299" s="1"/>
      <c r="AF299" s="1"/>
      <c r="AG299" s="1"/>
    </row>
    <row r="300" spans="1:33" ht="15.75" customHeight="1">
      <c r="A300" s="87"/>
      <c r="B300" s="192" t="s">
        <v>1751</v>
      </c>
      <c r="C300" s="193" t="s">
        <v>52</v>
      </c>
      <c r="D300" s="193" t="s">
        <v>48</v>
      </c>
      <c r="E300" s="193" t="s">
        <v>121</v>
      </c>
      <c r="F300" s="193" t="s">
        <v>35</v>
      </c>
      <c r="G300" s="193" t="s">
        <v>49</v>
      </c>
      <c r="H300" s="194">
        <v>7</v>
      </c>
      <c r="I300" s="194" t="s">
        <v>1752</v>
      </c>
      <c r="J300" s="305">
        <f>K300*(1-Bolts!$E$1179)</f>
        <v>155.30000000000001</v>
      </c>
      <c r="K300" s="306">
        <v>155.30000000000001</v>
      </c>
      <c r="L300" s="168">
        <f t="shared" si="156"/>
        <v>0</v>
      </c>
      <c r="M300" s="211"/>
      <c r="N300" s="169"/>
      <c r="O300" s="170"/>
      <c r="P300" s="171"/>
      <c r="Q300" s="172"/>
      <c r="R300" s="173"/>
      <c r="S300" s="174"/>
      <c r="T300" s="175"/>
      <c r="U300" s="176"/>
      <c r="V300" s="168">
        <f t="shared" si="157"/>
        <v>0</v>
      </c>
      <c r="W300" s="177">
        <f t="shared" si="158"/>
        <v>0</v>
      </c>
      <c r="X300" s="178" t="s">
        <v>1753</v>
      </c>
      <c r="Y300" s="179">
        <f t="shared" si="159"/>
        <v>0</v>
      </c>
      <c r="AA300" s="180"/>
      <c r="AD300" s="1"/>
      <c r="AE300" s="1"/>
      <c r="AF300" s="1"/>
      <c r="AG300" s="1"/>
    </row>
    <row r="301" spans="1:33" ht="15.75" customHeight="1">
      <c r="A301" s="139" t="s">
        <v>1754</v>
      </c>
      <c r="B301" s="335"/>
      <c r="C301" s="207"/>
      <c r="D301" s="207"/>
      <c r="E301" s="207" t="s">
        <v>121</v>
      </c>
      <c r="F301" s="207"/>
      <c r="G301" s="207"/>
      <c r="H301" s="207"/>
      <c r="I301" s="207"/>
      <c r="J301" s="336"/>
      <c r="K301" s="308"/>
      <c r="L301" s="207"/>
      <c r="M301" s="207"/>
      <c r="N301" s="207"/>
      <c r="O301" s="207"/>
      <c r="P301" s="207"/>
      <c r="Q301" s="207"/>
      <c r="R301" s="207"/>
      <c r="S301" s="207"/>
      <c r="T301" s="207"/>
      <c r="U301" s="207"/>
      <c r="V301" s="207"/>
      <c r="W301" s="207"/>
      <c r="X301" s="207"/>
      <c r="Y301" s="208"/>
      <c r="AA301" s="180"/>
      <c r="AD301" s="1"/>
      <c r="AE301" s="1"/>
      <c r="AF301" s="1"/>
      <c r="AG301" s="1"/>
    </row>
    <row r="302" spans="1:33" ht="15.75" customHeight="1">
      <c r="A302" s="87"/>
      <c r="B302" s="192" t="s">
        <v>1755</v>
      </c>
      <c r="C302" s="193" t="s">
        <v>58</v>
      </c>
      <c r="D302" s="193" t="s">
        <v>61</v>
      </c>
      <c r="E302" s="193" t="s">
        <v>121</v>
      </c>
      <c r="F302" s="193" t="s">
        <v>33</v>
      </c>
      <c r="G302" s="193" t="s">
        <v>48</v>
      </c>
      <c r="H302" s="194">
        <v>1</v>
      </c>
      <c r="I302" s="194" t="s">
        <v>1756</v>
      </c>
      <c r="J302" s="305">
        <f>K302*(1-Bolts!$E$1179)</f>
        <v>66.8</v>
      </c>
      <c r="K302" s="306">
        <v>66.8</v>
      </c>
      <c r="L302" s="168">
        <f t="shared" ref="L302:L303" si="160">SUM(M302:U302)</f>
        <v>0</v>
      </c>
      <c r="M302" s="211"/>
      <c r="N302" s="169"/>
      <c r="O302" s="170"/>
      <c r="P302" s="171"/>
      <c r="Q302" s="172"/>
      <c r="R302" s="173"/>
      <c r="S302" s="174"/>
      <c r="T302" s="175"/>
      <c r="U302" s="176"/>
      <c r="V302" s="168">
        <f t="shared" ref="V302:V303" si="161">L302*H302</f>
        <v>0</v>
      </c>
      <c r="W302" s="177">
        <f t="shared" ref="W302:W303" si="162">L302*K302</f>
        <v>0</v>
      </c>
      <c r="X302" s="178" t="s">
        <v>1757</v>
      </c>
      <c r="Y302" s="179">
        <f t="shared" ref="Y302:Y303" si="163">X302*L302</f>
        <v>0</v>
      </c>
      <c r="AA302" s="212"/>
      <c r="AD302" s="1"/>
      <c r="AE302" s="1"/>
      <c r="AF302" s="1"/>
      <c r="AG302" s="1"/>
    </row>
    <row r="303" spans="1:33" ht="15.75" customHeight="1">
      <c r="A303" s="87"/>
      <c r="B303" s="192" t="s">
        <v>1758</v>
      </c>
      <c r="C303" s="193" t="s">
        <v>58</v>
      </c>
      <c r="D303" s="193" t="s">
        <v>63</v>
      </c>
      <c r="E303" s="193" t="s">
        <v>121</v>
      </c>
      <c r="F303" s="193" t="s">
        <v>33</v>
      </c>
      <c r="G303" s="193" t="s">
        <v>49</v>
      </c>
      <c r="H303" s="194">
        <v>5</v>
      </c>
      <c r="I303" s="194" t="s">
        <v>1759</v>
      </c>
      <c r="J303" s="305">
        <f>K303*(1-Bolts!$E$1179)</f>
        <v>130.69999999999999</v>
      </c>
      <c r="K303" s="306">
        <v>130.69999999999999</v>
      </c>
      <c r="L303" s="168">
        <f t="shared" si="160"/>
        <v>0</v>
      </c>
      <c r="M303" s="211"/>
      <c r="N303" s="169"/>
      <c r="O303" s="170"/>
      <c r="P303" s="171"/>
      <c r="Q303" s="172"/>
      <c r="R303" s="173"/>
      <c r="S303" s="174"/>
      <c r="T303" s="175"/>
      <c r="U303" s="176"/>
      <c r="V303" s="168">
        <f t="shared" si="161"/>
        <v>0</v>
      </c>
      <c r="W303" s="177">
        <f t="shared" si="162"/>
        <v>0</v>
      </c>
      <c r="X303" s="178" t="s">
        <v>1760</v>
      </c>
      <c r="Y303" s="179">
        <f t="shared" si="163"/>
        <v>0</v>
      </c>
      <c r="AA303" s="180"/>
      <c r="AD303" s="1"/>
      <c r="AE303" s="1"/>
      <c r="AF303" s="1"/>
      <c r="AG303" s="1"/>
    </row>
    <row r="304" spans="1:33" ht="15.75" customHeight="1">
      <c r="A304" s="139" t="s">
        <v>1761</v>
      </c>
      <c r="B304" s="335"/>
      <c r="C304" s="207"/>
      <c r="D304" s="207"/>
      <c r="E304" s="207" t="s">
        <v>121</v>
      </c>
      <c r="F304" s="207"/>
      <c r="G304" s="207"/>
      <c r="H304" s="207"/>
      <c r="I304" s="207"/>
      <c r="J304" s="336"/>
      <c r="K304" s="308"/>
      <c r="L304" s="207"/>
      <c r="M304" s="207"/>
      <c r="N304" s="207"/>
      <c r="O304" s="207"/>
      <c r="P304" s="207"/>
      <c r="Q304" s="207"/>
      <c r="R304" s="207"/>
      <c r="S304" s="207"/>
      <c r="T304" s="207"/>
      <c r="U304" s="207"/>
      <c r="V304" s="207"/>
      <c r="W304" s="207"/>
      <c r="X304" s="207"/>
      <c r="Y304" s="208"/>
      <c r="AA304" s="180"/>
      <c r="AD304" s="1"/>
      <c r="AE304" s="1"/>
      <c r="AF304" s="1"/>
      <c r="AG304" s="1"/>
    </row>
    <row r="305" spans="1:33" ht="15.75" customHeight="1">
      <c r="A305" s="87"/>
      <c r="B305" s="192" t="s">
        <v>1762</v>
      </c>
      <c r="C305" s="193" t="s">
        <v>58</v>
      </c>
      <c r="D305" s="193" t="s">
        <v>48</v>
      </c>
      <c r="E305" s="193" t="s">
        <v>121</v>
      </c>
      <c r="F305" s="193" t="s">
        <v>35</v>
      </c>
      <c r="G305" s="193" t="s">
        <v>48</v>
      </c>
      <c r="H305" s="194">
        <v>10</v>
      </c>
      <c r="I305" s="194" t="s">
        <v>1763</v>
      </c>
      <c r="J305" s="305">
        <f>K305*(1-Bolts!$E$1179)</f>
        <v>135.4</v>
      </c>
      <c r="K305" s="306">
        <v>135.4</v>
      </c>
      <c r="L305" s="168">
        <f t="shared" ref="L305:L306" si="164">SUM(M305:U305)</f>
        <v>0</v>
      </c>
      <c r="M305" s="211"/>
      <c r="N305" s="169"/>
      <c r="O305" s="170"/>
      <c r="P305" s="171"/>
      <c r="Q305" s="172"/>
      <c r="R305" s="173"/>
      <c r="S305" s="174"/>
      <c r="T305" s="175"/>
      <c r="U305" s="176"/>
      <c r="V305" s="168">
        <f t="shared" ref="V305:V306" si="165">L305*H305</f>
        <v>0</v>
      </c>
      <c r="W305" s="177">
        <f t="shared" ref="W305:W306" si="166">L305*K305</f>
        <v>0</v>
      </c>
      <c r="X305" s="178" t="s">
        <v>1764</v>
      </c>
      <c r="Y305" s="179">
        <f t="shared" ref="Y305:Y306" si="167">X305*L305</f>
        <v>0</v>
      </c>
      <c r="AA305" s="212"/>
      <c r="AD305" s="1"/>
      <c r="AE305" s="1"/>
      <c r="AF305" s="1"/>
      <c r="AG305" s="1"/>
    </row>
    <row r="306" spans="1:33" ht="15.75" customHeight="1">
      <c r="A306" s="87"/>
      <c r="B306" s="192" t="s">
        <v>1765</v>
      </c>
      <c r="C306" s="193" t="s">
        <v>58</v>
      </c>
      <c r="D306" s="193" t="s">
        <v>48</v>
      </c>
      <c r="E306" s="193" t="s">
        <v>121</v>
      </c>
      <c r="F306" s="193" t="s">
        <v>32</v>
      </c>
      <c r="G306" s="193" t="s">
        <v>49</v>
      </c>
      <c r="H306" s="194">
        <v>10</v>
      </c>
      <c r="I306" s="194" t="s">
        <v>1766</v>
      </c>
      <c r="J306" s="305">
        <f>K306*(1-Bolts!$E$1179)</f>
        <v>78.2</v>
      </c>
      <c r="K306" s="306">
        <v>78.2</v>
      </c>
      <c r="L306" s="168">
        <f t="shared" si="164"/>
        <v>0</v>
      </c>
      <c r="M306" s="211"/>
      <c r="N306" s="169"/>
      <c r="O306" s="170"/>
      <c r="P306" s="171"/>
      <c r="Q306" s="172"/>
      <c r="R306" s="173"/>
      <c r="S306" s="174"/>
      <c r="T306" s="175"/>
      <c r="U306" s="176"/>
      <c r="V306" s="168">
        <f t="shared" si="165"/>
        <v>0</v>
      </c>
      <c r="W306" s="177">
        <f t="shared" si="166"/>
        <v>0</v>
      </c>
      <c r="X306" s="178" t="s">
        <v>1767</v>
      </c>
      <c r="Y306" s="179">
        <f t="shared" si="167"/>
        <v>0</v>
      </c>
      <c r="AA306" s="180"/>
      <c r="AD306" s="1"/>
      <c r="AE306" s="1"/>
      <c r="AF306" s="1"/>
      <c r="AG306" s="1"/>
    </row>
    <row r="307" spans="1:33" ht="15.75" customHeight="1">
      <c r="A307" s="139" t="s">
        <v>1768</v>
      </c>
      <c r="B307" s="335"/>
      <c r="C307" s="207"/>
      <c r="D307" s="207"/>
      <c r="E307" s="207" t="s">
        <v>121</v>
      </c>
      <c r="F307" s="207"/>
      <c r="G307" s="207"/>
      <c r="H307" s="207"/>
      <c r="I307" s="207"/>
      <c r="J307" s="336"/>
      <c r="K307" s="308"/>
      <c r="L307" s="207"/>
      <c r="M307" s="207"/>
      <c r="N307" s="207"/>
      <c r="O307" s="207"/>
      <c r="P307" s="207"/>
      <c r="Q307" s="207"/>
      <c r="R307" s="207"/>
      <c r="S307" s="207"/>
      <c r="T307" s="207"/>
      <c r="U307" s="207"/>
      <c r="V307" s="207"/>
      <c r="W307" s="207"/>
      <c r="X307" s="207"/>
      <c r="Y307" s="208"/>
      <c r="AA307" s="212"/>
      <c r="AD307" s="1"/>
      <c r="AE307" s="1"/>
      <c r="AF307" s="1"/>
      <c r="AG307" s="1"/>
    </row>
    <row r="308" spans="1:33" ht="15.75" customHeight="1">
      <c r="A308" s="87"/>
      <c r="B308" s="192" t="s">
        <v>1769</v>
      </c>
      <c r="C308" s="193" t="s">
        <v>55</v>
      </c>
      <c r="D308" s="193" t="s">
        <v>48</v>
      </c>
      <c r="E308" s="193" t="s">
        <v>121</v>
      </c>
      <c r="F308" s="193" t="s">
        <v>32</v>
      </c>
      <c r="G308" s="193" t="s">
        <v>49</v>
      </c>
      <c r="H308" s="194">
        <v>5</v>
      </c>
      <c r="I308" s="194" t="s">
        <v>1770</v>
      </c>
      <c r="J308" s="305">
        <f>K308*(1-Bolts!$E$1179)</f>
        <v>110.3</v>
      </c>
      <c r="K308" s="306">
        <v>110.3</v>
      </c>
      <c r="L308" s="168">
        <f>SUM(M308:U308)</f>
        <v>0</v>
      </c>
      <c r="M308" s="211"/>
      <c r="N308" s="169"/>
      <c r="O308" s="170"/>
      <c r="P308" s="171"/>
      <c r="Q308" s="172"/>
      <c r="R308" s="173"/>
      <c r="S308" s="174"/>
      <c r="T308" s="175"/>
      <c r="U308" s="176"/>
      <c r="V308" s="168">
        <f>L308*H308</f>
        <v>0</v>
      </c>
      <c r="W308" s="177">
        <f>L308*K308</f>
        <v>0</v>
      </c>
      <c r="X308" s="178" t="s">
        <v>1771</v>
      </c>
      <c r="Y308" s="179">
        <f>X308*L308</f>
        <v>0</v>
      </c>
      <c r="AA308" s="180"/>
      <c r="AD308" s="1"/>
      <c r="AE308" s="1"/>
      <c r="AF308" s="1"/>
      <c r="AG308" s="1"/>
    </row>
    <row r="309" spans="1:33" ht="15.75" customHeight="1">
      <c r="A309" s="139" t="s">
        <v>1772</v>
      </c>
      <c r="B309" s="335"/>
      <c r="C309" s="207"/>
      <c r="D309" s="207"/>
      <c r="E309" s="207" t="s">
        <v>121</v>
      </c>
      <c r="F309" s="207"/>
      <c r="G309" s="207"/>
      <c r="H309" s="207"/>
      <c r="I309" s="207"/>
      <c r="J309" s="336"/>
      <c r="K309" s="308"/>
      <c r="L309" s="207"/>
      <c r="M309" s="207"/>
      <c r="N309" s="207"/>
      <c r="O309" s="207"/>
      <c r="P309" s="207"/>
      <c r="Q309" s="207"/>
      <c r="R309" s="207"/>
      <c r="S309" s="207"/>
      <c r="T309" s="207"/>
      <c r="U309" s="207"/>
      <c r="V309" s="207"/>
      <c r="W309" s="207"/>
      <c r="X309" s="207"/>
      <c r="Y309" s="208"/>
      <c r="AA309" s="180"/>
      <c r="AD309" s="1"/>
      <c r="AE309" s="1"/>
      <c r="AF309" s="1"/>
      <c r="AG309" s="1"/>
    </row>
    <row r="310" spans="1:33" ht="15.75" customHeight="1">
      <c r="A310" s="87"/>
      <c r="B310" s="192" t="s">
        <v>1773</v>
      </c>
      <c r="C310" s="193" t="s">
        <v>58</v>
      </c>
      <c r="D310" s="193" t="s">
        <v>61</v>
      </c>
      <c r="E310" s="193" t="s">
        <v>121</v>
      </c>
      <c r="F310" s="193" t="s">
        <v>33</v>
      </c>
      <c r="G310" s="193" t="s">
        <v>49</v>
      </c>
      <c r="H310" s="194">
        <v>1</v>
      </c>
      <c r="I310" s="194" t="s">
        <v>1774</v>
      </c>
      <c r="J310" s="305">
        <f>K310*(1-Bolts!$E$1179)</f>
        <v>83.6</v>
      </c>
      <c r="K310" s="306">
        <v>83.6</v>
      </c>
      <c r="L310" s="168">
        <f t="shared" ref="L310:L311" si="168">SUM(M310:U310)</f>
        <v>0</v>
      </c>
      <c r="M310" s="211"/>
      <c r="N310" s="169"/>
      <c r="O310" s="170"/>
      <c r="P310" s="171"/>
      <c r="Q310" s="172"/>
      <c r="R310" s="173"/>
      <c r="S310" s="174"/>
      <c r="T310" s="175"/>
      <c r="U310" s="176"/>
      <c r="V310" s="168">
        <f t="shared" ref="V310:V311" si="169">L310*H310</f>
        <v>0</v>
      </c>
      <c r="W310" s="177">
        <f t="shared" ref="W310:W311" si="170">L310*K310</f>
        <v>0</v>
      </c>
      <c r="X310" s="178" t="s">
        <v>1775</v>
      </c>
      <c r="Y310" s="179">
        <f t="shared" ref="Y310:Y311" si="171">X310*L310</f>
        <v>0</v>
      </c>
      <c r="AA310" s="212"/>
      <c r="AD310" s="1"/>
      <c r="AE310" s="1"/>
      <c r="AF310" s="1"/>
      <c r="AG310" s="1"/>
    </row>
    <row r="311" spans="1:33" ht="15.75" customHeight="1">
      <c r="A311" s="87"/>
      <c r="B311" s="192" t="s">
        <v>1776</v>
      </c>
      <c r="C311" s="193" t="s">
        <v>58</v>
      </c>
      <c r="D311" s="193" t="s">
        <v>48</v>
      </c>
      <c r="E311" s="193" t="s">
        <v>121</v>
      </c>
      <c r="F311" s="193" t="s">
        <v>33</v>
      </c>
      <c r="G311" s="193" t="s">
        <v>49</v>
      </c>
      <c r="H311" s="194">
        <v>7</v>
      </c>
      <c r="I311" s="194" t="s">
        <v>1777</v>
      </c>
      <c r="J311" s="305">
        <f>K311*(1-Bolts!$E$1179)</f>
        <v>94.1</v>
      </c>
      <c r="K311" s="306">
        <v>94.1</v>
      </c>
      <c r="L311" s="168">
        <f t="shared" si="168"/>
        <v>0</v>
      </c>
      <c r="M311" s="211"/>
      <c r="N311" s="169"/>
      <c r="O311" s="170"/>
      <c r="P311" s="171"/>
      <c r="Q311" s="172"/>
      <c r="R311" s="173"/>
      <c r="S311" s="174"/>
      <c r="T311" s="175"/>
      <c r="U311" s="176"/>
      <c r="V311" s="168">
        <f t="shared" si="169"/>
        <v>0</v>
      </c>
      <c r="W311" s="177">
        <f t="shared" si="170"/>
        <v>0</v>
      </c>
      <c r="X311" s="178" t="s">
        <v>1778</v>
      </c>
      <c r="Y311" s="179">
        <f t="shared" si="171"/>
        <v>0</v>
      </c>
      <c r="AA311" s="180"/>
      <c r="AD311" s="1"/>
      <c r="AE311" s="1"/>
      <c r="AF311" s="1"/>
      <c r="AG311" s="1"/>
    </row>
    <row r="312" spans="1:33" ht="15.75" hidden="1" customHeight="1">
      <c r="A312" s="139" t="s">
        <v>1779</v>
      </c>
      <c r="B312" s="335"/>
      <c r="C312" s="207"/>
      <c r="D312" s="207"/>
      <c r="E312" s="207" t="s">
        <v>121</v>
      </c>
      <c r="F312" s="207"/>
      <c r="G312" s="207"/>
      <c r="H312" s="207"/>
      <c r="I312" s="207"/>
      <c r="J312" s="336"/>
      <c r="K312" s="308"/>
      <c r="L312" s="207"/>
      <c r="M312" s="207"/>
      <c r="N312" s="207"/>
      <c r="O312" s="207"/>
      <c r="P312" s="207"/>
      <c r="Q312" s="207"/>
      <c r="R312" s="207"/>
      <c r="S312" s="207"/>
      <c r="T312" s="207"/>
      <c r="U312" s="207"/>
      <c r="V312" s="207"/>
      <c r="W312" s="207"/>
      <c r="X312" s="207"/>
      <c r="Y312" s="208"/>
      <c r="AA312" s="180"/>
      <c r="AD312" s="1"/>
      <c r="AE312" s="1"/>
      <c r="AF312" s="1"/>
      <c r="AG312" s="1"/>
    </row>
    <row r="313" spans="1:33" ht="15.75" hidden="1" customHeight="1">
      <c r="A313" s="87" t="s">
        <v>262</v>
      </c>
      <c r="B313" s="192" t="s">
        <v>1780</v>
      </c>
      <c r="C313" s="193" t="s">
        <v>58</v>
      </c>
      <c r="D313" s="193" t="s">
        <v>61</v>
      </c>
      <c r="E313" s="193" t="s">
        <v>121</v>
      </c>
      <c r="F313" s="193" t="s">
        <v>28</v>
      </c>
      <c r="G313" s="193" t="s">
        <v>48</v>
      </c>
      <c r="H313" s="194">
        <v>1</v>
      </c>
      <c r="I313" s="194" t="s">
        <v>1781</v>
      </c>
      <c r="J313" s="305">
        <f>K313*(1-Bolts!$E$1179)</f>
        <v>0</v>
      </c>
      <c r="K313" s="308"/>
      <c r="L313" s="168">
        <f t="shared" ref="L313:L314" si="172">SUM(M313:U313)</f>
        <v>0</v>
      </c>
      <c r="M313" s="211"/>
      <c r="N313" s="169"/>
      <c r="O313" s="170"/>
      <c r="P313" s="171"/>
      <c r="Q313" s="172"/>
      <c r="R313" s="173"/>
      <c r="S313" s="174"/>
      <c r="T313" s="175"/>
      <c r="U313" s="176"/>
      <c r="V313" s="168">
        <f t="shared" ref="V313:V314" si="173">L313*H313</f>
        <v>0</v>
      </c>
      <c r="W313" s="177">
        <f t="shared" ref="W313:W314" si="174">L313*K313</f>
        <v>0</v>
      </c>
      <c r="X313" s="178" t="s">
        <v>1750</v>
      </c>
      <c r="Y313" s="179">
        <f t="shared" ref="Y313:Y314" si="175">X313*L313</f>
        <v>0</v>
      </c>
      <c r="AA313" s="212"/>
      <c r="AD313" s="1"/>
      <c r="AE313" s="1"/>
      <c r="AF313" s="1"/>
      <c r="AG313" s="1"/>
    </row>
    <row r="314" spans="1:33" ht="15.75" hidden="1" customHeight="1">
      <c r="A314" s="87" t="s">
        <v>262</v>
      </c>
      <c r="B314" s="192" t="s">
        <v>1782</v>
      </c>
      <c r="C314" s="193" t="s">
        <v>58</v>
      </c>
      <c r="D314" s="193" t="s">
        <v>63</v>
      </c>
      <c r="E314" s="193" t="s">
        <v>121</v>
      </c>
      <c r="F314" s="193" t="s">
        <v>29</v>
      </c>
      <c r="G314" s="193" t="s">
        <v>47</v>
      </c>
      <c r="H314" s="194">
        <v>5</v>
      </c>
      <c r="I314" s="194" t="s">
        <v>1783</v>
      </c>
      <c r="J314" s="305">
        <f>K314*(1-Bolts!$E$1179)</f>
        <v>0</v>
      </c>
      <c r="K314" s="308"/>
      <c r="L314" s="168">
        <f t="shared" si="172"/>
        <v>0</v>
      </c>
      <c r="M314" s="211"/>
      <c r="N314" s="169"/>
      <c r="O314" s="170"/>
      <c r="P314" s="171"/>
      <c r="Q314" s="172"/>
      <c r="R314" s="173"/>
      <c r="S314" s="174"/>
      <c r="T314" s="175"/>
      <c r="U314" s="176"/>
      <c r="V314" s="168">
        <f t="shared" si="173"/>
        <v>0</v>
      </c>
      <c r="W314" s="177">
        <f t="shared" si="174"/>
        <v>0</v>
      </c>
      <c r="X314" s="178" t="s">
        <v>1784</v>
      </c>
      <c r="Y314" s="179">
        <f t="shared" si="175"/>
        <v>0</v>
      </c>
      <c r="AA314" s="180"/>
      <c r="AD314" s="1"/>
      <c r="AE314" s="1"/>
      <c r="AF314" s="1"/>
      <c r="AG314" s="1"/>
    </row>
    <row r="315" spans="1:33" ht="15.75" customHeight="1">
      <c r="A315" s="139" t="s">
        <v>1785</v>
      </c>
      <c r="B315" s="335"/>
      <c r="C315" s="207"/>
      <c r="D315" s="207"/>
      <c r="E315" s="207" t="s">
        <v>121</v>
      </c>
      <c r="F315" s="207"/>
      <c r="G315" s="207"/>
      <c r="H315" s="207"/>
      <c r="I315" s="207"/>
      <c r="J315" s="336"/>
      <c r="K315" s="308"/>
      <c r="L315" s="207"/>
      <c r="M315" s="207"/>
      <c r="N315" s="207"/>
      <c r="O315" s="207"/>
      <c r="P315" s="207"/>
      <c r="Q315" s="207"/>
      <c r="R315" s="207"/>
      <c r="S315" s="207"/>
      <c r="T315" s="207"/>
      <c r="U315" s="207"/>
      <c r="V315" s="207"/>
      <c r="W315" s="207"/>
      <c r="X315" s="207"/>
      <c r="Y315" s="208"/>
      <c r="AA315" s="180"/>
      <c r="AD315" s="1"/>
      <c r="AE315" s="1"/>
      <c r="AF315" s="1"/>
      <c r="AG315" s="1"/>
    </row>
    <row r="316" spans="1:33" ht="15.75" hidden="1" customHeight="1">
      <c r="A316" s="87" t="s">
        <v>262</v>
      </c>
      <c r="B316" s="192" t="s">
        <v>1786</v>
      </c>
      <c r="C316" s="193" t="s">
        <v>58</v>
      </c>
      <c r="D316" s="193" t="s">
        <v>60</v>
      </c>
      <c r="E316" s="193" t="s">
        <v>121</v>
      </c>
      <c r="F316" s="193" t="s">
        <v>28</v>
      </c>
      <c r="G316" s="193" t="s">
        <v>48</v>
      </c>
      <c r="H316" s="194">
        <v>1</v>
      </c>
      <c r="I316" s="194" t="s">
        <v>1787</v>
      </c>
      <c r="J316" s="305">
        <f>K316*(1-Bolts!$E$1179)</f>
        <v>0</v>
      </c>
      <c r="K316" s="308"/>
      <c r="L316" s="168">
        <f>SUM(M316:U316)</f>
        <v>0</v>
      </c>
      <c r="M316" s="211"/>
      <c r="N316" s="169"/>
      <c r="O316" s="170"/>
      <c r="P316" s="171"/>
      <c r="Q316" s="172"/>
      <c r="R316" s="173"/>
      <c r="S316" s="174"/>
      <c r="T316" s="175"/>
      <c r="U316" s="176"/>
      <c r="V316" s="168">
        <f>L316*H316</f>
        <v>0</v>
      </c>
      <c r="W316" s="177">
        <f>L316*K316</f>
        <v>0</v>
      </c>
      <c r="X316" s="178" t="s">
        <v>1788</v>
      </c>
      <c r="Y316" s="179">
        <f>X316*L316</f>
        <v>0</v>
      </c>
      <c r="AA316" s="180"/>
      <c r="AD316" s="1"/>
      <c r="AE316" s="1"/>
      <c r="AF316" s="1"/>
      <c r="AG316" s="1"/>
    </row>
    <row r="317" spans="1:33" ht="15.75" hidden="1" customHeight="1">
      <c r="A317" s="87"/>
      <c r="B317" s="185"/>
      <c r="C317" s="165"/>
      <c r="D317" s="165"/>
      <c r="E317" s="165"/>
      <c r="F317" s="165"/>
      <c r="G317" s="165"/>
      <c r="H317" s="166"/>
      <c r="I317" s="166"/>
      <c r="J317" s="307"/>
      <c r="K317" s="308"/>
      <c r="L317" s="186"/>
      <c r="M317" s="187"/>
      <c r="N317" s="187"/>
      <c r="O317" s="188"/>
      <c r="P317" s="187"/>
      <c r="Q317" s="187"/>
      <c r="R317" s="187"/>
      <c r="S317" s="187"/>
      <c r="T317" s="187"/>
      <c r="U317" s="188"/>
      <c r="V317" s="186"/>
      <c r="W317" s="189"/>
      <c r="X317" s="190"/>
      <c r="Y317" s="191"/>
      <c r="AA317" s="180"/>
      <c r="AD317" s="1"/>
      <c r="AE317" s="1"/>
      <c r="AF317" s="1"/>
      <c r="AG317" s="1"/>
    </row>
    <row r="318" spans="1:33" ht="15.75" customHeight="1">
      <c r="A318" s="87"/>
      <c r="B318" s="192" t="s">
        <v>1789</v>
      </c>
      <c r="C318" s="193" t="s">
        <v>58</v>
      </c>
      <c r="D318" s="193" t="s">
        <v>61</v>
      </c>
      <c r="E318" s="193" t="s">
        <v>121</v>
      </c>
      <c r="F318" s="193" t="s">
        <v>28</v>
      </c>
      <c r="G318" s="193" t="s">
        <v>47</v>
      </c>
      <c r="H318" s="194">
        <v>1</v>
      </c>
      <c r="I318" s="194" t="s">
        <v>1790</v>
      </c>
      <c r="J318" s="305">
        <f>K318*(1-Bolts!$E$1179)</f>
        <v>82.6</v>
      </c>
      <c r="K318" s="306">
        <v>82.6</v>
      </c>
      <c r="L318" s="168">
        <f t="shared" ref="L318:L321" si="176">SUM(M318:U318)</f>
        <v>0</v>
      </c>
      <c r="M318" s="211"/>
      <c r="N318" s="169"/>
      <c r="O318" s="170"/>
      <c r="P318" s="171"/>
      <c r="Q318" s="172"/>
      <c r="R318" s="173"/>
      <c r="S318" s="174"/>
      <c r="T318" s="175"/>
      <c r="U318" s="176"/>
      <c r="V318" s="168">
        <f t="shared" ref="V318:V321" si="177">L318*H318</f>
        <v>0</v>
      </c>
      <c r="W318" s="177">
        <f t="shared" ref="W318:W321" si="178">L318*K318</f>
        <v>0</v>
      </c>
      <c r="X318" s="178" t="s">
        <v>1791</v>
      </c>
      <c r="Y318" s="179">
        <f t="shared" ref="Y318:Y321" si="179">X318*L318</f>
        <v>0</v>
      </c>
      <c r="AA318" s="180"/>
      <c r="AD318" s="1"/>
      <c r="AE318" s="1"/>
      <c r="AF318" s="1"/>
      <c r="AG318" s="1"/>
    </row>
    <row r="319" spans="1:33" ht="15.75" customHeight="1">
      <c r="A319" s="87"/>
      <c r="B319" s="192" t="s">
        <v>1792</v>
      </c>
      <c r="C319" s="193" t="s">
        <v>58</v>
      </c>
      <c r="D319" s="193" t="s">
        <v>61</v>
      </c>
      <c r="E319" s="193" t="s">
        <v>121</v>
      </c>
      <c r="F319" s="193" t="s">
        <v>28</v>
      </c>
      <c r="G319" s="193" t="s">
        <v>48</v>
      </c>
      <c r="H319" s="194">
        <v>1</v>
      </c>
      <c r="I319" s="194" t="s">
        <v>1793</v>
      </c>
      <c r="J319" s="305">
        <f>K319*(1-Bolts!$E$1179)</f>
        <v>87.6</v>
      </c>
      <c r="K319" s="306">
        <v>87.6</v>
      </c>
      <c r="L319" s="168">
        <f t="shared" si="176"/>
        <v>0</v>
      </c>
      <c r="M319" s="211"/>
      <c r="N319" s="169"/>
      <c r="O319" s="170"/>
      <c r="P319" s="171"/>
      <c r="Q319" s="172"/>
      <c r="R319" s="173"/>
      <c r="S319" s="174"/>
      <c r="T319" s="175"/>
      <c r="U319" s="176"/>
      <c r="V319" s="168">
        <f t="shared" si="177"/>
        <v>0</v>
      </c>
      <c r="W319" s="177">
        <f t="shared" si="178"/>
        <v>0</v>
      </c>
      <c r="X319" s="178" t="s">
        <v>1794</v>
      </c>
      <c r="Y319" s="179">
        <f t="shared" si="179"/>
        <v>0</v>
      </c>
      <c r="AA319" s="180"/>
      <c r="AD319" s="1"/>
      <c r="AE319" s="1"/>
      <c r="AF319" s="1"/>
      <c r="AG319" s="1"/>
    </row>
    <row r="320" spans="1:33" ht="15.75" customHeight="1">
      <c r="A320" s="87"/>
      <c r="B320" s="192" t="s">
        <v>1795</v>
      </c>
      <c r="C320" s="193" t="s">
        <v>58</v>
      </c>
      <c r="D320" s="193" t="s">
        <v>61</v>
      </c>
      <c r="E320" s="193" t="s">
        <v>121</v>
      </c>
      <c r="F320" s="193" t="s">
        <v>28</v>
      </c>
      <c r="G320" s="193" t="s">
        <v>48</v>
      </c>
      <c r="H320" s="194">
        <v>1</v>
      </c>
      <c r="I320" s="194" t="s">
        <v>1796</v>
      </c>
      <c r="J320" s="305">
        <f>K320*(1-Bolts!$E$1179)</f>
        <v>129</v>
      </c>
      <c r="K320" s="306">
        <v>129</v>
      </c>
      <c r="L320" s="168">
        <f t="shared" si="176"/>
        <v>0</v>
      </c>
      <c r="M320" s="211"/>
      <c r="N320" s="169"/>
      <c r="O320" s="170"/>
      <c r="P320" s="171"/>
      <c r="Q320" s="172"/>
      <c r="R320" s="173"/>
      <c r="S320" s="174"/>
      <c r="T320" s="175"/>
      <c r="U320" s="176"/>
      <c r="V320" s="168">
        <f t="shared" si="177"/>
        <v>0</v>
      </c>
      <c r="W320" s="177">
        <f t="shared" si="178"/>
        <v>0</v>
      </c>
      <c r="X320" s="178" t="s">
        <v>1797</v>
      </c>
      <c r="Y320" s="179">
        <f t="shared" si="179"/>
        <v>0</v>
      </c>
      <c r="AA320" s="180"/>
      <c r="AD320" s="1"/>
      <c r="AE320" s="1"/>
      <c r="AF320" s="1"/>
      <c r="AG320" s="1"/>
    </row>
    <row r="321" spans="1:33" ht="15.75" hidden="1" customHeight="1">
      <c r="A321" s="87" t="s">
        <v>262</v>
      </c>
      <c r="B321" s="192" t="s">
        <v>1798</v>
      </c>
      <c r="C321" s="193" t="s">
        <v>58</v>
      </c>
      <c r="D321" s="193" t="s">
        <v>61</v>
      </c>
      <c r="E321" s="193" t="s">
        <v>121</v>
      </c>
      <c r="F321" s="193" t="s">
        <v>28</v>
      </c>
      <c r="G321" s="193" t="s">
        <v>48</v>
      </c>
      <c r="H321" s="194">
        <v>1</v>
      </c>
      <c r="I321" s="194" t="s">
        <v>1799</v>
      </c>
      <c r="J321" s="305">
        <f>K321*(1-Bolts!$E$1179)</f>
        <v>0</v>
      </c>
      <c r="K321" s="308"/>
      <c r="L321" s="168">
        <f t="shared" si="176"/>
        <v>0</v>
      </c>
      <c r="M321" s="211"/>
      <c r="N321" s="169"/>
      <c r="O321" s="170"/>
      <c r="P321" s="171"/>
      <c r="Q321" s="172"/>
      <c r="R321" s="173"/>
      <c r="S321" s="174"/>
      <c r="T321" s="175"/>
      <c r="U321" s="176"/>
      <c r="V321" s="168">
        <f t="shared" si="177"/>
        <v>0</v>
      </c>
      <c r="W321" s="177">
        <f t="shared" si="178"/>
        <v>0</v>
      </c>
      <c r="X321" s="178" t="s">
        <v>1800</v>
      </c>
      <c r="Y321" s="179">
        <f t="shared" si="179"/>
        <v>0</v>
      </c>
      <c r="AA321" s="180"/>
      <c r="AD321" s="1"/>
      <c r="AE321" s="1"/>
      <c r="AF321" s="1"/>
      <c r="AG321" s="1"/>
    </row>
    <row r="322" spans="1:33" ht="15.75" customHeight="1">
      <c r="A322" s="87"/>
      <c r="B322" s="185"/>
      <c r="C322" s="165"/>
      <c r="D322" s="165"/>
      <c r="E322" s="165"/>
      <c r="F322" s="165"/>
      <c r="G322" s="165"/>
      <c r="H322" s="166"/>
      <c r="I322" s="166"/>
      <c r="J322" s="307"/>
      <c r="K322" s="308"/>
      <c r="L322" s="186"/>
      <c r="M322" s="187"/>
      <c r="N322" s="187"/>
      <c r="O322" s="188"/>
      <c r="P322" s="187"/>
      <c r="Q322" s="187"/>
      <c r="R322" s="187"/>
      <c r="S322" s="187"/>
      <c r="T322" s="187"/>
      <c r="U322" s="188"/>
      <c r="V322" s="186"/>
      <c r="W322" s="189"/>
      <c r="X322" s="190"/>
      <c r="Y322" s="191"/>
      <c r="AA322" s="180"/>
      <c r="AD322" s="1"/>
      <c r="AE322" s="1"/>
      <c r="AF322" s="1"/>
      <c r="AG322" s="1"/>
    </row>
    <row r="323" spans="1:33" ht="15.75" customHeight="1">
      <c r="A323" s="87"/>
      <c r="B323" s="192" t="s">
        <v>1801</v>
      </c>
      <c r="C323" s="193" t="s">
        <v>58</v>
      </c>
      <c r="D323" s="193" t="s">
        <v>63</v>
      </c>
      <c r="E323" s="193" t="s">
        <v>121</v>
      </c>
      <c r="F323" s="193" t="s">
        <v>30</v>
      </c>
      <c r="G323" s="193" t="s">
        <v>47</v>
      </c>
      <c r="H323" s="194">
        <v>4</v>
      </c>
      <c r="I323" s="194" t="s">
        <v>1802</v>
      </c>
      <c r="J323" s="305">
        <f>K323*(1-Bolts!$E$1179)</f>
        <v>164.7</v>
      </c>
      <c r="K323" s="306">
        <v>164.7</v>
      </c>
      <c r="L323" s="168">
        <f t="shared" ref="L323:L331" si="180">SUM(M323:U323)</f>
        <v>0</v>
      </c>
      <c r="M323" s="211"/>
      <c r="N323" s="169"/>
      <c r="O323" s="170"/>
      <c r="P323" s="171"/>
      <c r="Q323" s="172"/>
      <c r="R323" s="173"/>
      <c r="S323" s="174"/>
      <c r="T323" s="175"/>
      <c r="U323" s="176"/>
      <c r="V323" s="168">
        <f t="shared" ref="V323:V331" si="181">L323*H323</f>
        <v>0</v>
      </c>
      <c r="W323" s="177">
        <f t="shared" ref="W323:W331" si="182">L323*K323</f>
        <v>0</v>
      </c>
      <c r="X323" s="178" t="s">
        <v>1803</v>
      </c>
      <c r="Y323" s="179">
        <f t="shared" ref="Y323:Y331" si="183">X323*L323</f>
        <v>0</v>
      </c>
      <c r="AA323" s="180"/>
      <c r="AD323" s="1"/>
      <c r="AE323" s="1"/>
      <c r="AF323" s="1"/>
      <c r="AG323" s="1"/>
    </row>
    <row r="324" spans="1:33" ht="15.75" customHeight="1">
      <c r="A324" s="87"/>
      <c r="B324" s="192" t="s">
        <v>1804</v>
      </c>
      <c r="C324" s="193" t="s">
        <v>58</v>
      </c>
      <c r="D324" s="193" t="s">
        <v>63</v>
      </c>
      <c r="E324" s="193" t="s">
        <v>121</v>
      </c>
      <c r="F324" s="193" t="s">
        <v>29</v>
      </c>
      <c r="G324" s="193" t="s">
        <v>47</v>
      </c>
      <c r="H324" s="194">
        <v>5</v>
      </c>
      <c r="I324" s="194" t="s">
        <v>1805</v>
      </c>
      <c r="J324" s="305">
        <f>K324*(1-Bolts!$E$1179)</f>
        <v>135.19999999999999</v>
      </c>
      <c r="K324" s="306">
        <v>135.19999999999999</v>
      </c>
      <c r="L324" s="168">
        <f t="shared" si="180"/>
        <v>0</v>
      </c>
      <c r="M324" s="211"/>
      <c r="N324" s="169"/>
      <c r="O324" s="170"/>
      <c r="P324" s="171"/>
      <c r="Q324" s="172"/>
      <c r="R324" s="173"/>
      <c r="S324" s="174"/>
      <c r="T324" s="175"/>
      <c r="U324" s="176"/>
      <c r="V324" s="168">
        <f t="shared" si="181"/>
        <v>0</v>
      </c>
      <c r="W324" s="177">
        <f t="shared" si="182"/>
        <v>0</v>
      </c>
      <c r="X324" s="178" t="s">
        <v>1605</v>
      </c>
      <c r="Y324" s="179">
        <f t="shared" si="183"/>
        <v>0</v>
      </c>
      <c r="AA324" s="180"/>
      <c r="AD324" s="1"/>
      <c r="AE324" s="1"/>
      <c r="AF324" s="1"/>
      <c r="AG324" s="1"/>
    </row>
    <row r="325" spans="1:33" ht="15.75" customHeight="1">
      <c r="A325" s="87"/>
      <c r="B325" s="192" t="s">
        <v>1806</v>
      </c>
      <c r="C325" s="193" t="s">
        <v>58</v>
      </c>
      <c r="D325" s="193" t="s">
        <v>63</v>
      </c>
      <c r="E325" s="193" t="s">
        <v>121</v>
      </c>
      <c r="F325" s="193" t="s">
        <v>29</v>
      </c>
      <c r="G325" s="193" t="s">
        <v>47</v>
      </c>
      <c r="H325" s="194">
        <v>5</v>
      </c>
      <c r="I325" s="194" t="s">
        <v>1807</v>
      </c>
      <c r="J325" s="305">
        <f>K325*(1-Bolts!$E$1179)</f>
        <v>103.9</v>
      </c>
      <c r="K325" s="306">
        <v>103.9</v>
      </c>
      <c r="L325" s="168">
        <f t="shared" si="180"/>
        <v>0</v>
      </c>
      <c r="M325" s="211"/>
      <c r="N325" s="169"/>
      <c r="O325" s="170"/>
      <c r="P325" s="171"/>
      <c r="Q325" s="172"/>
      <c r="R325" s="173"/>
      <c r="S325" s="174"/>
      <c r="T325" s="175"/>
      <c r="U325" s="176"/>
      <c r="V325" s="168">
        <f t="shared" si="181"/>
        <v>0</v>
      </c>
      <c r="W325" s="177">
        <f t="shared" si="182"/>
        <v>0</v>
      </c>
      <c r="X325" s="178" t="s">
        <v>1469</v>
      </c>
      <c r="Y325" s="179">
        <f t="shared" si="183"/>
        <v>0</v>
      </c>
      <c r="AA325" s="180"/>
      <c r="AD325" s="1"/>
      <c r="AE325" s="1"/>
      <c r="AF325" s="1"/>
      <c r="AG325" s="1"/>
    </row>
    <row r="326" spans="1:33" ht="15.75" customHeight="1">
      <c r="A326" s="87"/>
      <c r="B326" s="192" t="s">
        <v>1808</v>
      </c>
      <c r="C326" s="193" t="s">
        <v>58</v>
      </c>
      <c r="D326" s="193" t="s">
        <v>63</v>
      </c>
      <c r="E326" s="193" t="s">
        <v>121</v>
      </c>
      <c r="F326" s="193" t="s">
        <v>35</v>
      </c>
      <c r="G326" s="193" t="s">
        <v>48</v>
      </c>
      <c r="H326" s="194">
        <v>3</v>
      </c>
      <c r="I326" s="194" t="s">
        <v>1809</v>
      </c>
      <c r="J326" s="305">
        <f>K326*(1-Bolts!$E$1179)</f>
        <v>170.8</v>
      </c>
      <c r="K326" s="306">
        <v>170.8</v>
      </c>
      <c r="L326" s="168">
        <f t="shared" si="180"/>
        <v>0</v>
      </c>
      <c r="M326" s="211"/>
      <c r="N326" s="169"/>
      <c r="O326" s="170"/>
      <c r="P326" s="171"/>
      <c r="Q326" s="172"/>
      <c r="R326" s="173"/>
      <c r="S326" s="174"/>
      <c r="T326" s="175"/>
      <c r="U326" s="176"/>
      <c r="V326" s="168">
        <f t="shared" si="181"/>
        <v>0</v>
      </c>
      <c r="W326" s="177">
        <f t="shared" si="182"/>
        <v>0</v>
      </c>
      <c r="X326" s="178" t="s">
        <v>1810</v>
      </c>
      <c r="Y326" s="179">
        <f t="shared" si="183"/>
        <v>0</v>
      </c>
      <c r="AA326" s="180"/>
      <c r="AD326" s="1"/>
      <c r="AE326" s="1"/>
      <c r="AF326" s="1"/>
      <c r="AG326" s="1"/>
    </row>
    <row r="327" spans="1:33" ht="15.75" customHeight="1">
      <c r="A327" s="87"/>
      <c r="B327" s="192" t="s">
        <v>1811</v>
      </c>
      <c r="C327" s="193" t="s">
        <v>58</v>
      </c>
      <c r="D327" s="193" t="s">
        <v>63</v>
      </c>
      <c r="E327" s="193" t="s">
        <v>121</v>
      </c>
      <c r="F327" s="193" t="s">
        <v>35</v>
      </c>
      <c r="G327" s="193" t="s">
        <v>48</v>
      </c>
      <c r="H327" s="194">
        <v>2</v>
      </c>
      <c r="I327" s="194" t="s">
        <v>1812</v>
      </c>
      <c r="J327" s="305">
        <f>K327*(1-Bolts!$E$1179)</f>
        <v>91.2</v>
      </c>
      <c r="K327" s="306">
        <v>91.2</v>
      </c>
      <c r="L327" s="168">
        <f t="shared" si="180"/>
        <v>0</v>
      </c>
      <c r="M327" s="211"/>
      <c r="N327" s="169"/>
      <c r="O327" s="170"/>
      <c r="P327" s="171"/>
      <c r="Q327" s="172"/>
      <c r="R327" s="173"/>
      <c r="S327" s="174"/>
      <c r="T327" s="175"/>
      <c r="U327" s="176"/>
      <c r="V327" s="168">
        <f t="shared" si="181"/>
        <v>0</v>
      </c>
      <c r="W327" s="177">
        <f t="shared" si="182"/>
        <v>0</v>
      </c>
      <c r="X327" s="178" t="s">
        <v>1791</v>
      </c>
      <c r="Y327" s="179">
        <f t="shared" si="183"/>
        <v>0</v>
      </c>
      <c r="AA327" s="180"/>
      <c r="AD327" s="1"/>
      <c r="AE327" s="1"/>
      <c r="AF327" s="1"/>
      <c r="AG327" s="1"/>
    </row>
    <row r="328" spans="1:33" ht="15.75" customHeight="1">
      <c r="A328" s="87"/>
      <c r="B328" s="192" t="s">
        <v>1813</v>
      </c>
      <c r="C328" s="193" t="s">
        <v>58</v>
      </c>
      <c r="D328" s="193" t="s">
        <v>63</v>
      </c>
      <c r="E328" s="193" t="s">
        <v>121</v>
      </c>
      <c r="F328" s="193" t="s">
        <v>35</v>
      </c>
      <c r="G328" s="193" t="s">
        <v>49</v>
      </c>
      <c r="H328" s="194">
        <v>5</v>
      </c>
      <c r="I328" s="194" t="s">
        <v>1814</v>
      </c>
      <c r="J328" s="305">
        <f>K328*(1-Bolts!$E$1179)</f>
        <v>144</v>
      </c>
      <c r="K328" s="306">
        <v>144</v>
      </c>
      <c r="L328" s="168">
        <f t="shared" si="180"/>
        <v>0</v>
      </c>
      <c r="M328" s="211"/>
      <c r="N328" s="169"/>
      <c r="O328" s="170"/>
      <c r="P328" s="171"/>
      <c r="Q328" s="172"/>
      <c r="R328" s="173"/>
      <c r="S328" s="174"/>
      <c r="T328" s="175"/>
      <c r="U328" s="176"/>
      <c r="V328" s="168">
        <f t="shared" si="181"/>
        <v>0</v>
      </c>
      <c r="W328" s="177">
        <f t="shared" si="182"/>
        <v>0</v>
      </c>
      <c r="X328" s="178" t="s">
        <v>1815</v>
      </c>
      <c r="Y328" s="179">
        <f t="shared" si="183"/>
        <v>0</v>
      </c>
      <c r="AA328" s="180"/>
      <c r="AD328" s="1"/>
      <c r="AE328" s="1"/>
      <c r="AF328" s="1"/>
      <c r="AG328" s="1"/>
    </row>
    <row r="329" spans="1:33" ht="15.75" customHeight="1">
      <c r="A329" s="87"/>
      <c r="B329" s="192" t="s">
        <v>1816</v>
      </c>
      <c r="C329" s="193" t="s">
        <v>58</v>
      </c>
      <c r="D329" s="193" t="s">
        <v>63</v>
      </c>
      <c r="E329" s="193" t="s">
        <v>121</v>
      </c>
      <c r="F329" s="193" t="s">
        <v>35</v>
      </c>
      <c r="G329" s="193" t="s">
        <v>47</v>
      </c>
      <c r="H329" s="194">
        <v>5</v>
      </c>
      <c r="I329" s="194" t="s">
        <v>1817</v>
      </c>
      <c r="J329" s="305">
        <f>K329*(1-Bolts!$E$1179)</f>
        <v>198.9</v>
      </c>
      <c r="K329" s="306">
        <v>198.9</v>
      </c>
      <c r="L329" s="168">
        <f t="shared" si="180"/>
        <v>0</v>
      </c>
      <c r="M329" s="211"/>
      <c r="N329" s="169"/>
      <c r="O329" s="170"/>
      <c r="P329" s="171"/>
      <c r="Q329" s="172"/>
      <c r="R329" s="173"/>
      <c r="S329" s="174"/>
      <c r="T329" s="175"/>
      <c r="U329" s="176"/>
      <c r="V329" s="168">
        <f t="shared" si="181"/>
        <v>0</v>
      </c>
      <c r="W329" s="177">
        <f t="shared" si="182"/>
        <v>0</v>
      </c>
      <c r="X329" s="178" t="s">
        <v>1818</v>
      </c>
      <c r="Y329" s="179">
        <f t="shared" si="183"/>
        <v>0</v>
      </c>
      <c r="AA329" s="180"/>
      <c r="AD329" s="1"/>
      <c r="AE329" s="1"/>
      <c r="AF329" s="1"/>
      <c r="AG329" s="1"/>
    </row>
    <row r="330" spans="1:33" ht="15.75" customHeight="1">
      <c r="A330" s="87"/>
      <c r="B330" s="192" t="s">
        <v>1819</v>
      </c>
      <c r="C330" s="193" t="s">
        <v>55</v>
      </c>
      <c r="D330" s="193" t="s">
        <v>63</v>
      </c>
      <c r="E330" s="193" t="s">
        <v>121</v>
      </c>
      <c r="F330" s="193" t="s">
        <v>35</v>
      </c>
      <c r="G330" s="193" t="s">
        <v>49</v>
      </c>
      <c r="H330" s="194">
        <v>6</v>
      </c>
      <c r="I330" s="194" t="s">
        <v>1820</v>
      </c>
      <c r="J330" s="305">
        <f>K330*(1-Bolts!$E$1179)</f>
        <v>158.69999999999999</v>
      </c>
      <c r="K330" s="306">
        <v>158.69999999999999</v>
      </c>
      <c r="L330" s="168">
        <f t="shared" si="180"/>
        <v>0</v>
      </c>
      <c r="M330" s="211"/>
      <c r="N330" s="169"/>
      <c r="O330" s="170"/>
      <c r="P330" s="171"/>
      <c r="Q330" s="172"/>
      <c r="R330" s="173"/>
      <c r="S330" s="174"/>
      <c r="T330" s="175"/>
      <c r="U330" s="176"/>
      <c r="V330" s="168">
        <f t="shared" si="181"/>
        <v>0</v>
      </c>
      <c r="W330" s="177">
        <f t="shared" si="182"/>
        <v>0</v>
      </c>
      <c r="X330" s="178" t="s">
        <v>1821</v>
      </c>
      <c r="Y330" s="179">
        <f t="shared" si="183"/>
        <v>0</v>
      </c>
      <c r="AA330" s="180"/>
      <c r="AD330" s="1"/>
      <c r="AE330" s="1"/>
      <c r="AF330" s="1"/>
      <c r="AG330" s="1"/>
    </row>
    <row r="331" spans="1:33" ht="15.75" hidden="1" customHeight="1">
      <c r="A331" s="87" t="s">
        <v>262</v>
      </c>
      <c r="B331" s="192" t="s">
        <v>1822</v>
      </c>
      <c r="C331" s="193" t="s">
        <v>58</v>
      </c>
      <c r="D331" s="193" t="s">
        <v>63</v>
      </c>
      <c r="E331" s="193" t="s">
        <v>121</v>
      </c>
      <c r="F331" s="193" t="s">
        <v>37</v>
      </c>
      <c r="G331" s="193" t="s">
        <v>49</v>
      </c>
      <c r="H331" s="194">
        <v>4</v>
      </c>
      <c r="I331" s="194" t="s">
        <v>1823</v>
      </c>
      <c r="J331" s="305">
        <f>K331*(1-Bolts!$E$1179)</f>
        <v>0</v>
      </c>
      <c r="K331" s="308"/>
      <c r="L331" s="168">
        <f t="shared" si="180"/>
        <v>0</v>
      </c>
      <c r="M331" s="211"/>
      <c r="N331" s="169"/>
      <c r="O331" s="170"/>
      <c r="P331" s="171"/>
      <c r="Q331" s="172"/>
      <c r="R331" s="173"/>
      <c r="S331" s="174"/>
      <c r="T331" s="175"/>
      <c r="U331" s="176"/>
      <c r="V331" s="168">
        <f t="shared" si="181"/>
        <v>0</v>
      </c>
      <c r="W331" s="177">
        <f t="shared" si="182"/>
        <v>0</v>
      </c>
      <c r="X331" s="178" t="s">
        <v>1824</v>
      </c>
      <c r="Y331" s="179">
        <f t="shared" si="183"/>
        <v>0</v>
      </c>
      <c r="AA331" s="180"/>
      <c r="AD331" s="1"/>
      <c r="AE331" s="1"/>
      <c r="AF331" s="1"/>
      <c r="AG331" s="1"/>
    </row>
    <row r="332" spans="1:33" ht="15.75" customHeight="1">
      <c r="A332" s="87"/>
      <c r="B332" s="185"/>
      <c r="C332" s="165"/>
      <c r="D332" s="165"/>
      <c r="E332" s="165"/>
      <c r="F332" s="165"/>
      <c r="G332" s="165"/>
      <c r="H332" s="166"/>
      <c r="I332" s="166"/>
      <c r="J332" s="307"/>
      <c r="K332" s="308"/>
      <c r="L332" s="186"/>
      <c r="M332" s="187"/>
      <c r="N332" s="187"/>
      <c r="O332" s="188"/>
      <c r="P332" s="187"/>
      <c r="Q332" s="187"/>
      <c r="R332" s="187"/>
      <c r="S332" s="187"/>
      <c r="T332" s="187"/>
      <c r="U332" s="188"/>
      <c r="V332" s="186"/>
      <c r="W332" s="189"/>
      <c r="X332" s="190"/>
      <c r="Y332" s="191"/>
      <c r="AA332" s="180"/>
      <c r="AD332" s="1"/>
      <c r="AE332" s="1"/>
      <c r="AF332" s="1"/>
      <c r="AG332" s="1"/>
    </row>
    <row r="333" spans="1:33" ht="15.75" customHeight="1">
      <c r="A333" s="87"/>
      <c r="B333" s="192" t="s">
        <v>1825</v>
      </c>
      <c r="C333" s="193" t="s">
        <v>58</v>
      </c>
      <c r="D333" s="193" t="s">
        <v>48</v>
      </c>
      <c r="E333" s="193" t="s">
        <v>121</v>
      </c>
      <c r="F333" s="193" t="s">
        <v>29</v>
      </c>
      <c r="G333" s="193" t="s">
        <v>47</v>
      </c>
      <c r="H333" s="194">
        <v>5</v>
      </c>
      <c r="I333" s="194" t="s">
        <v>1826</v>
      </c>
      <c r="J333" s="305">
        <f>K333*(1-Bolts!$E$1179)</f>
        <v>71.7</v>
      </c>
      <c r="K333" s="306">
        <v>71.7</v>
      </c>
      <c r="L333" s="168">
        <f t="shared" ref="L333:L342" si="184">SUM(M333:U333)</f>
        <v>0</v>
      </c>
      <c r="M333" s="211"/>
      <c r="N333" s="169"/>
      <c r="O333" s="170"/>
      <c r="P333" s="171"/>
      <c r="Q333" s="172"/>
      <c r="R333" s="173"/>
      <c r="S333" s="174"/>
      <c r="T333" s="175"/>
      <c r="U333" s="176"/>
      <c r="V333" s="168">
        <f t="shared" ref="V333:V342" si="185">L333*H333</f>
        <v>0</v>
      </c>
      <c r="W333" s="177">
        <f t="shared" ref="W333:W342" si="186">L333*K333</f>
        <v>0</v>
      </c>
      <c r="X333" s="178" t="s">
        <v>1827</v>
      </c>
      <c r="Y333" s="179">
        <f t="shared" ref="Y333:Y342" si="187">X333*L333</f>
        <v>0</v>
      </c>
      <c r="AA333" s="180"/>
      <c r="AD333" s="1"/>
      <c r="AE333" s="1"/>
      <c r="AF333" s="1"/>
      <c r="AG333" s="1"/>
    </row>
    <row r="334" spans="1:33" ht="15.75" customHeight="1">
      <c r="A334" s="87"/>
      <c r="B334" s="192" t="s">
        <v>1828</v>
      </c>
      <c r="C334" s="193" t="s">
        <v>58</v>
      </c>
      <c r="D334" s="193" t="s">
        <v>48</v>
      </c>
      <c r="E334" s="193" t="s">
        <v>121</v>
      </c>
      <c r="F334" s="193" t="s">
        <v>30</v>
      </c>
      <c r="G334" s="193" t="s">
        <v>48</v>
      </c>
      <c r="H334" s="194">
        <v>5</v>
      </c>
      <c r="I334" s="194" t="s">
        <v>1829</v>
      </c>
      <c r="J334" s="305">
        <f>K334*(1-Bolts!$E$1179)</f>
        <v>51</v>
      </c>
      <c r="K334" s="306">
        <v>51</v>
      </c>
      <c r="L334" s="168">
        <f t="shared" si="184"/>
        <v>0</v>
      </c>
      <c r="M334" s="211"/>
      <c r="N334" s="169"/>
      <c r="O334" s="170"/>
      <c r="P334" s="171"/>
      <c r="Q334" s="172"/>
      <c r="R334" s="173"/>
      <c r="S334" s="174"/>
      <c r="T334" s="175"/>
      <c r="U334" s="176"/>
      <c r="V334" s="168">
        <f t="shared" si="185"/>
        <v>0</v>
      </c>
      <c r="W334" s="177">
        <f t="shared" si="186"/>
        <v>0</v>
      </c>
      <c r="X334" s="178" t="s">
        <v>1830</v>
      </c>
      <c r="Y334" s="179">
        <f t="shared" si="187"/>
        <v>0</v>
      </c>
      <c r="AA334" s="180"/>
      <c r="AD334" s="1"/>
      <c r="AE334" s="1"/>
      <c r="AF334" s="1"/>
      <c r="AG334" s="1"/>
    </row>
    <row r="335" spans="1:33" ht="15.75" hidden="1" customHeight="1">
      <c r="A335" s="87" t="s">
        <v>262</v>
      </c>
      <c r="B335" s="192" t="s">
        <v>1831</v>
      </c>
      <c r="C335" s="193" t="s">
        <v>52</v>
      </c>
      <c r="D335" s="193" t="s">
        <v>48</v>
      </c>
      <c r="E335" s="193" t="s">
        <v>121</v>
      </c>
      <c r="F335" s="193" t="s">
        <v>33</v>
      </c>
      <c r="G335" s="193" t="s">
        <v>49</v>
      </c>
      <c r="H335" s="194">
        <v>5</v>
      </c>
      <c r="I335" s="194" t="s">
        <v>1832</v>
      </c>
      <c r="J335" s="305">
        <f>K335*(1-Bolts!$E$1179)</f>
        <v>0</v>
      </c>
      <c r="K335" s="308"/>
      <c r="L335" s="168">
        <f t="shared" si="184"/>
        <v>0</v>
      </c>
      <c r="M335" s="211"/>
      <c r="N335" s="169"/>
      <c r="O335" s="170"/>
      <c r="P335" s="171"/>
      <c r="Q335" s="172"/>
      <c r="R335" s="173"/>
      <c r="S335" s="174"/>
      <c r="T335" s="175"/>
      <c r="U335" s="176"/>
      <c r="V335" s="168">
        <f t="shared" si="185"/>
        <v>0</v>
      </c>
      <c r="W335" s="177">
        <f t="shared" si="186"/>
        <v>0</v>
      </c>
      <c r="X335" s="178" t="s">
        <v>1833</v>
      </c>
      <c r="Y335" s="179">
        <f t="shared" si="187"/>
        <v>0</v>
      </c>
      <c r="AA335" s="180"/>
      <c r="AD335" s="1"/>
      <c r="AE335" s="1"/>
      <c r="AF335" s="1"/>
      <c r="AG335" s="1"/>
    </row>
    <row r="336" spans="1:33" ht="15.75" customHeight="1">
      <c r="A336" s="87"/>
      <c r="B336" s="192" t="s">
        <v>1834</v>
      </c>
      <c r="C336" s="193" t="s">
        <v>57</v>
      </c>
      <c r="D336" s="193" t="s">
        <v>48</v>
      </c>
      <c r="E336" s="193" t="s">
        <v>121</v>
      </c>
      <c r="F336" s="193" t="s">
        <v>33</v>
      </c>
      <c r="G336" s="193" t="s">
        <v>49</v>
      </c>
      <c r="H336" s="194">
        <v>5</v>
      </c>
      <c r="I336" s="194" t="s">
        <v>1835</v>
      </c>
      <c r="J336" s="305">
        <f>K336*(1-Bolts!$E$1179)</f>
        <v>124.2</v>
      </c>
      <c r="K336" s="306">
        <v>124.2</v>
      </c>
      <c r="L336" s="168">
        <f t="shared" si="184"/>
        <v>0</v>
      </c>
      <c r="M336" s="211"/>
      <c r="N336" s="169"/>
      <c r="O336" s="170"/>
      <c r="P336" s="171"/>
      <c r="Q336" s="172"/>
      <c r="R336" s="173"/>
      <c r="S336" s="174"/>
      <c r="T336" s="175"/>
      <c r="U336" s="176"/>
      <c r="V336" s="168">
        <f t="shared" si="185"/>
        <v>0</v>
      </c>
      <c r="W336" s="177">
        <f t="shared" si="186"/>
        <v>0</v>
      </c>
      <c r="X336" s="178" t="s">
        <v>1836</v>
      </c>
      <c r="Y336" s="179">
        <f t="shared" si="187"/>
        <v>0</v>
      </c>
      <c r="AA336" s="180"/>
      <c r="AD336" s="1"/>
      <c r="AE336" s="1"/>
      <c r="AF336" s="1"/>
      <c r="AG336" s="1"/>
    </row>
    <row r="337" spans="1:33" ht="15.75" hidden="1" customHeight="1">
      <c r="A337" s="87" t="s">
        <v>262</v>
      </c>
      <c r="B337" s="192" t="s">
        <v>1837</v>
      </c>
      <c r="C337" s="193" t="s">
        <v>57</v>
      </c>
      <c r="D337" s="193" t="s">
        <v>48</v>
      </c>
      <c r="E337" s="193" t="s">
        <v>121</v>
      </c>
      <c r="F337" s="193" t="s">
        <v>33</v>
      </c>
      <c r="G337" s="193" t="s">
        <v>49</v>
      </c>
      <c r="H337" s="194">
        <v>5</v>
      </c>
      <c r="I337" s="194" t="s">
        <v>1838</v>
      </c>
      <c r="J337" s="305">
        <f>K337*(1-Bolts!$E$1179)</f>
        <v>0</v>
      </c>
      <c r="K337" s="308"/>
      <c r="L337" s="168">
        <f t="shared" si="184"/>
        <v>0</v>
      </c>
      <c r="M337" s="211"/>
      <c r="N337" s="169"/>
      <c r="O337" s="170"/>
      <c r="P337" s="171"/>
      <c r="Q337" s="172"/>
      <c r="R337" s="173"/>
      <c r="S337" s="174"/>
      <c r="T337" s="175"/>
      <c r="U337" s="176"/>
      <c r="V337" s="168">
        <f t="shared" si="185"/>
        <v>0</v>
      </c>
      <c r="W337" s="177">
        <f t="shared" si="186"/>
        <v>0</v>
      </c>
      <c r="X337" s="178" t="s">
        <v>1827</v>
      </c>
      <c r="Y337" s="179">
        <f t="shared" si="187"/>
        <v>0</v>
      </c>
      <c r="AA337" s="180"/>
      <c r="AD337" s="1"/>
      <c r="AE337" s="1"/>
      <c r="AF337" s="1"/>
      <c r="AG337" s="1"/>
    </row>
    <row r="338" spans="1:33" ht="15.75" hidden="1" customHeight="1">
      <c r="A338" s="87" t="s">
        <v>262</v>
      </c>
      <c r="B338" s="192" t="s">
        <v>1839</v>
      </c>
      <c r="C338" s="193" t="s">
        <v>58</v>
      </c>
      <c r="D338" s="193" t="s">
        <v>48</v>
      </c>
      <c r="E338" s="193" t="s">
        <v>121</v>
      </c>
      <c r="F338" s="193" t="s">
        <v>33</v>
      </c>
      <c r="G338" s="193" t="s">
        <v>49</v>
      </c>
      <c r="H338" s="194">
        <v>5</v>
      </c>
      <c r="I338" s="194" t="s">
        <v>1840</v>
      </c>
      <c r="J338" s="305">
        <f>K338*(1-Bolts!$E$1179)</f>
        <v>0</v>
      </c>
      <c r="K338" s="308"/>
      <c r="L338" s="168">
        <f t="shared" si="184"/>
        <v>0</v>
      </c>
      <c r="M338" s="211"/>
      <c r="N338" s="169"/>
      <c r="O338" s="170"/>
      <c r="P338" s="171"/>
      <c r="Q338" s="172"/>
      <c r="R338" s="173"/>
      <c r="S338" s="174"/>
      <c r="T338" s="175"/>
      <c r="U338" s="176"/>
      <c r="V338" s="168">
        <f t="shared" si="185"/>
        <v>0</v>
      </c>
      <c r="W338" s="177">
        <f t="shared" si="186"/>
        <v>0</v>
      </c>
      <c r="X338" s="178" t="s">
        <v>1841</v>
      </c>
      <c r="Y338" s="179">
        <f t="shared" si="187"/>
        <v>0</v>
      </c>
      <c r="AA338" s="180"/>
      <c r="AD338" s="1"/>
      <c r="AE338" s="1"/>
      <c r="AF338" s="1"/>
      <c r="AG338" s="1"/>
    </row>
    <row r="339" spans="1:33" ht="15.75" customHeight="1">
      <c r="A339" s="87"/>
      <c r="B339" s="192" t="s">
        <v>1842</v>
      </c>
      <c r="C339" s="193" t="s">
        <v>55</v>
      </c>
      <c r="D339" s="193" t="s">
        <v>48</v>
      </c>
      <c r="E339" s="193" t="s">
        <v>121</v>
      </c>
      <c r="F339" s="193" t="s">
        <v>35</v>
      </c>
      <c r="G339" s="193" t="s">
        <v>49</v>
      </c>
      <c r="H339" s="194">
        <v>5</v>
      </c>
      <c r="I339" s="194" t="s">
        <v>1843</v>
      </c>
      <c r="J339" s="305">
        <f>K339*(1-Bolts!$E$1179)</f>
        <v>111.5</v>
      </c>
      <c r="K339" s="306">
        <v>111.5</v>
      </c>
      <c r="L339" s="168">
        <f t="shared" si="184"/>
        <v>0</v>
      </c>
      <c r="M339" s="211"/>
      <c r="N339" s="169"/>
      <c r="O339" s="170"/>
      <c r="P339" s="171"/>
      <c r="Q339" s="172"/>
      <c r="R339" s="173"/>
      <c r="S339" s="174"/>
      <c r="T339" s="175"/>
      <c r="U339" s="176"/>
      <c r="V339" s="168">
        <f t="shared" si="185"/>
        <v>0</v>
      </c>
      <c r="W339" s="177">
        <f t="shared" si="186"/>
        <v>0</v>
      </c>
      <c r="X339" s="178" t="s">
        <v>1291</v>
      </c>
      <c r="Y339" s="179">
        <f t="shared" si="187"/>
        <v>0</v>
      </c>
      <c r="AA339" s="180"/>
      <c r="AD339" s="1"/>
      <c r="AE339" s="1"/>
      <c r="AF339" s="1"/>
      <c r="AG339" s="1"/>
    </row>
    <row r="340" spans="1:33" ht="15.75" customHeight="1">
      <c r="A340" s="87"/>
      <c r="B340" s="192" t="s">
        <v>1844</v>
      </c>
      <c r="C340" s="193" t="s">
        <v>57</v>
      </c>
      <c r="D340" s="193" t="s">
        <v>48</v>
      </c>
      <c r="E340" s="193" t="s">
        <v>121</v>
      </c>
      <c r="F340" s="193" t="s">
        <v>34</v>
      </c>
      <c r="G340" s="193" t="s">
        <v>48</v>
      </c>
      <c r="H340" s="194">
        <v>5</v>
      </c>
      <c r="I340" s="194" t="s">
        <v>1845</v>
      </c>
      <c r="J340" s="305">
        <f>K340*(1-Bolts!$E$1179)</f>
        <v>145.69999999999999</v>
      </c>
      <c r="K340" s="306">
        <v>145.69999999999999</v>
      </c>
      <c r="L340" s="168">
        <f t="shared" si="184"/>
        <v>0</v>
      </c>
      <c r="M340" s="211"/>
      <c r="N340" s="169"/>
      <c r="O340" s="170"/>
      <c r="P340" s="171"/>
      <c r="Q340" s="172"/>
      <c r="R340" s="173"/>
      <c r="S340" s="174"/>
      <c r="T340" s="175"/>
      <c r="U340" s="176"/>
      <c r="V340" s="168">
        <f t="shared" si="185"/>
        <v>0</v>
      </c>
      <c r="W340" s="177">
        <f t="shared" si="186"/>
        <v>0</v>
      </c>
      <c r="X340" s="178" t="s">
        <v>1747</v>
      </c>
      <c r="Y340" s="179">
        <f t="shared" si="187"/>
        <v>0</v>
      </c>
      <c r="AA340" s="180"/>
      <c r="AD340" s="1"/>
      <c r="AE340" s="1"/>
      <c r="AF340" s="1"/>
      <c r="AG340" s="1"/>
    </row>
    <row r="341" spans="1:33" ht="15.75" customHeight="1">
      <c r="A341" s="87"/>
      <c r="B341" s="192" t="s">
        <v>1846</v>
      </c>
      <c r="C341" s="193" t="s">
        <v>57</v>
      </c>
      <c r="D341" s="193" t="s">
        <v>48</v>
      </c>
      <c r="E341" s="193" t="s">
        <v>121</v>
      </c>
      <c r="F341" s="193" t="s">
        <v>36</v>
      </c>
      <c r="G341" s="193" t="s">
        <v>49</v>
      </c>
      <c r="H341" s="194">
        <v>5</v>
      </c>
      <c r="I341" s="194" t="s">
        <v>1847</v>
      </c>
      <c r="J341" s="305">
        <f>K341*(1-Bolts!$E$1179)</f>
        <v>106.8</v>
      </c>
      <c r="K341" s="306">
        <v>106.8</v>
      </c>
      <c r="L341" s="168">
        <f t="shared" si="184"/>
        <v>0</v>
      </c>
      <c r="M341" s="211"/>
      <c r="N341" s="169"/>
      <c r="O341" s="170"/>
      <c r="P341" s="171"/>
      <c r="Q341" s="172"/>
      <c r="R341" s="173"/>
      <c r="S341" s="174"/>
      <c r="T341" s="175"/>
      <c r="U341" s="176"/>
      <c r="V341" s="168">
        <f t="shared" si="185"/>
        <v>0</v>
      </c>
      <c r="W341" s="177">
        <f t="shared" si="186"/>
        <v>0</v>
      </c>
      <c r="X341" s="178" t="s">
        <v>1848</v>
      </c>
      <c r="Y341" s="179">
        <f t="shared" si="187"/>
        <v>0</v>
      </c>
      <c r="AA341" s="180"/>
      <c r="AD341" s="1"/>
      <c r="AE341" s="1"/>
      <c r="AF341" s="1"/>
      <c r="AG341" s="1"/>
    </row>
    <row r="342" spans="1:33" ht="15.75" customHeight="1">
      <c r="A342" s="181"/>
      <c r="B342" s="351" t="s">
        <v>1849</v>
      </c>
      <c r="C342" s="330" t="s">
        <v>57</v>
      </c>
      <c r="D342" s="330" t="s">
        <v>48</v>
      </c>
      <c r="E342" s="330" t="s">
        <v>121</v>
      </c>
      <c r="F342" s="330" t="s">
        <v>35</v>
      </c>
      <c r="G342" s="330" t="s">
        <v>48</v>
      </c>
      <c r="H342" s="331">
        <v>10</v>
      </c>
      <c r="I342" s="331" t="s">
        <v>1850</v>
      </c>
      <c r="J342" s="305">
        <f>K342*(1-Bolts!$E$1179)</f>
        <v>176.9</v>
      </c>
      <c r="K342" s="306">
        <v>176.9</v>
      </c>
      <c r="L342" s="168">
        <f t="shared" si="184"/>
        <v>0</v>
      </c>
      <c r="M342" s="211"/>
      <c r="N342" s="169"/>
      <c r="O342" s="170"/>
      <c r="P342" s="171"/>
      <c r="Q342" s="172"/>
      <c r="R342" s="173"/>
      <c r="S342" s="174"/>
      <c r="T342" s="175"/>
      <c r="U342" s="176"/>
      <c r="V342" s="168">
        <f t="shared" si="185"/>
        <v>0</v>
      </c>
      <c r="W342" s="177">
        <f t="shared" si="186"/>
        <v>0</v>
      </c>
      <c r="X342" s="178">
        <v>12.9</v>
      </c>
      <c r="Y342" s="179">
        <f t="shared" si="187"/>
        <v>0</v>
      </c>
      <c r="AA342" s="180"/>
      <c r="AD342" s="1"/>
      <c r="AE342" s="1"/>
      <c r="AF342" s="1"/>
      <c r="AG342" s="1"/>
    </row>
    <row r="343" spans="1:33" ht="15.75" customHeight="1">
      <c r="A343" s="87"/>
      <c r="B343" s="185"/>
      <c r="C343" s="165"/>
      <c r="D343" s="165"/>
      <c r="E343" s="165"/>
      <c r="F343" s="165"/>
      <c r="G343" s="165"/>
      <c r="H343" s="166"/>
      <c r="I343" s="166"/>
      <c r="J343" s="307"/>
      <c r="K343" s="308"/>
      <c r="L343" s="186"/>
      <c r="M343" s="187"/>
      <c r="N343" s="187"/>
      <c r="O343" s="188"/>
      <c r="P343" s="187"/>
      <c r="Q343" s="187"/>
      <c r="R343" s="187"/>
      <c r="S343" s="187"/>
      <c r="T343" s="187"/>
      <c r="U343" s="188"/>
      <c r="V343" s="186"/>
      <c r="W343" s="189"/>
      <c r="X343" s="190"/>
      <c r="Y343" s="191"/>
      <c r="AA343" s="180"/>
      <c r="AD343" s="1"/>
      <c r="AE343" s="1"/>
      <c r="AF343" s="1"/>
      <c r="AG343" s="1"/>
    </row>
    <row r="344" spans="1:33" ht="15.75" customHeight="1">
      <c r="A344" s="87"/>
      <c r="B344" s="192" t="s">
        <v>1851</v>
      </c>
      <c r="C344" s="193" t="s">
        <v>58</v>
      </c>
      <c r="D344" s="193" t="s">
        <v>64</v>
      </c>
      <c r="E344" s="193" t="s">
        <v>121</v>
      </c>
      <c r="F344" s="193" t="s">
        <v>32</v>
      </c>
      <c r="G344" s="193" t="s">
        <v>49</v>
      </c>
      <c r="H344" s="194">
        <v>5</v>
      </c>
      <c r="I344" s="194" t="s">
        <v>1852</v>
      </c>
      <c r="J344" s="305">
        <f>K344*(1-Bolts!$E$1179)</f>
        <v>64.7</v>
      </c>
      <c r="K344" s="306">
        <v>64.7</v>
      </c>
      <c r="L344" s="168">
        <f t="shared" ref="L344:L349" si="188">SUM(M344:U344)</f>
        <v>0</v>
      </c>
      <c r="M344" s="211"/>
      <c r="N344" s="169"/>
      <c r="O344" s="170"/>
      <c r="P344" s="171"/>
      <c r="Q344" s="172"/>
      <c r="R344" s="173"/>
      <c r="S344" s="174"/>
      <c r="T344" s="175"/>
      <c r="U344" s="176"/>
      <c r="V344" s="168">
        <f t="shared" ref="V344:V349" si="189">L344*H344</f>
        <v>0</v>
      </c>
      <c r="W344" s="177">
        <f t="shared" ref="W344:W349" si="190">L344*K344</f>
        <v>0</v>
      </c>
      <c r="X344" s="178" t="s">
        <v>1404</v>
      </c>
      <c r="Y344" s="179">
        <f t="shared" ref="Y344:Y349" si="191">X344*L344</f>
        <v>0</v>
      </c>
      <c r="AA344" s="180"/>
      <c r="AD344" s="1"/>
      <c r="AE344" s="1"/>
      <c r="AF344" s="1"/>
      <c r="AG344" s="1"/>
    </row>
    <row r="345" spans="1:33" ht="15.75" customHeight="1">
      <c r="A345" s="87"/>
      <c r="B345" s="192" t="s">
        <v>1853</v>
      </c>
      <c r="C345" s="193" t="s">
        <v>58</v>
      </c>
      <c r="D345" s="193" t="s">
        <v>64</v>
      </c>
      <c r="E345" s="193" t="s">
        <v>121</v>
      </c>
      <c r="F345" s="193" t="s">
        <v>32</v>
      </c>
      <c r="G345" s="193" t="s">
        <v>49</v>
      </c>
      <c r="H345" s="194">
        <v>5</v>
      </c>
      <c r="I345" s="194" t="s">
        <v>1854</v>
      </c>
      <c r="J345" s="305">
        <f>K345*(1-Bolts!$E$1179)</f>
        <v>57.3</v>
      </c>
      <c r="K345" s="306">
        <v>57.3</v>
      </c>
      <c r="L345" s="168">
        <f t="shared" si="188"/>
        <v>0</v>
      </c>
      <c r="M345" s="211"/>
      <c r="N345" s="169"/>
      <c r="O345" s="170"/>
      <c r="P345" s="171"/>
      <c r="Q345" s="172"/>
      <c r="R345" s="173"/>
      <c r="S345" s="174"/>
      <c r="T345" s="175"/>
      <c r="U345" s="176"/>
      <c r="V345" s="168">
        <f t="shared" si="189"/>
        <v>0</v>
      </c>
      <c r="W345" s="177">
        <f t="shared" si="190"/>
        <v>0</v>
      </c>
      <c r="X345" s="178" t="s">
        <v>1855</v>
      </c>
      <c r="Y345" s="179">
        <f t="shared" si="191"/>
        <v>0</v>
      </c>
      <c r="AA345" s="180"/>
      <c r="AD345" s="1"/>
      <c r="AE345" s="1"/>
      <c r="AF345" s="1"/>
      <c r="AG345" s="1"/>
    </row>
    <row r="346" spans="1:33" ht="15.75" customHeight="1">
      <c r="A346" s="87"/>
      <c r="B346" s="192" t="s">
        <v>1856</v>
      </c>
      <c r="C346" s="193" t="s">
        <v>58</v>
      </c>
      <c r="D346" s="193" t="s">
        <v>64</v>
      </c>
      <c r="E346" s="193" t="s">
        <v>121</v>
      </c>
      <c r="F346" s="193" t="s">
        <v>32</v>
      </c>
      <c r="G346" s="193" t="s">
        <v>49</v>
      </c>
      <c r="H346" s="194">
        <v>5</v>
      </c>
      <c r="I346" s="194" t="s">
        <v>1857</v>
      </c>
      <c r="J346" s="305">
        <f>K346*(1-Bolts!$E$1179)</f>
        <v>49.5</v>
      </c>
      <c r="K346" s="306">
        <v>49.5</v>
      </c>
      <c r="L346" s="168">
        <f t="shared" si="188"/>
        <v>0</v>
      </c>
      <c r="M346" s="211"/>
      <c r="N346" s="169"/>
      <c r="O346" s="170"/>
      <c r="P346" s="171"/>
      <c r="Q346" s="172"/>
      <c r="R346" s="173"/>
      <c r="S346" s="174"/>
      <c r="T346" s="175"/>
      <c r="U346" s="176"/>
      <c r="V346" s="168">
        <f t="shared" si="189"/>
        <v>0</v>
      </c>
      <c r="W346" s="177">
        <f t="shared" si="190"/>
        <v>0</v>
      </c>
      <c r="X346" s="178" t="s">
        <v>1858</v>
      </c>
      <c r="Y346" s="179">
        <f t="shared" si="191"/>
        <v>0</v>
      </c>
      <c r="AA346" s="180"/>
      <c r="AD346" s="1"/>
      <c r="AE346" s="1"/>
      <c r="AF346" s="1"/>
      <c r="AG346" s="1"/>
    </row>
    <row r="347" spans="1:33" ht="15.75" customHeight="1">
      <c r="A347" s="87"/>
      <c r="B347" s="192" t="s">
        <v>1859</v>
      </c>
      <c r="C347" s="193" t="s">
        <v>55</v>
      </c>
      <c r="D347" s="193" t="s">
        <v>64</v>
      </c>
      <c r="E347" s="193" t="s">
        <v>121</v>
      </c>
      <c r="F347" s="193" t="s">
        <v>32</v>
      </c>
      <c r="G347" s="193" t="s">
        <v>48</v>
      </c>
      <c r="H347" s="194">
        <v>10</v>
      </c>
      <c r="I347" s="194" t="s">
        <v>1860</v>
      </c>
      <c r="J347" s="305">
        <f>K347*(1-Bolts!$E$1179)</f>
        <v>102.8</v>
      </c>
      <c r="K347" s="306">
        <v>102.8</v>
      </c>
      <c r="L347" s="168">
        <f t="shared" si="188"/>
        <v>0</v>
      </c>
      <c r="M347" s="211"/>
      <c r="N347" s="169"/>
      <c r="O347" s="170"/>
      <c r="P347" s="171"/>
      <c r="Q347" s="172"/>
      <c r="R347" s="173"/>
      <c r="S347" s="174"/>
      <c r="T347" s="175"/>
      <c r="U347" s="176"/>
      <c r="V347" s="168">
        <f t="shared" si="189"/>
        <v>0</v>
      </c>
      <c r="W347" s="177">
        <f t="shared" si="190"/>
        <v>0</v>
      </c>
      <c r="X347" s="178" t="s">
        <v>1861</v>
      </c>
      <c r="Y347" s="179">
        <f t="shared" si="191"/>
        <v>0</v>
      </c>
      <c r="AA347" s="180"/>
      <c r="AD347" s="1"/>
      <c r="AE347" s="1"/>
      <c r="AF347" s="1"/>
      <c r="AG347" s="1"/>
    </row>
    <row r="348" spans="1:33" ht="15.75" customHeight="1">
      <c r="A348" s="87"/>
      <c r="B348" s="192" t="s">
        <v>1862</v>
      </c>
      <c r="C348" s="193" t="s">
        <v>57</v>
      </c>
      <c r="D348" s="193" t="s">
        <v>64</v>
      </c>
      <c r="E348" s="193" t="s">
        <v>121</v>
      </c>
      <c r="F348" s="193" t="s">
        <v>32</v>
      </c>
      <c r="G348" s="193" t="s">
        <v>49</v>
      </c>
      <c r="H348" s="194">
        <v>24</v>
      </c>
      <c r="I348" s="194" t="s">
        <v>1863</v>
      </c>
      <c r="J348" s="305">
        <f>K348*(1-Bolts!$E$1179)</f>
        <v>102.6</v>
      </c>
      <c r="K348" s="306">
        <v>102.6</v>
      </c>
      <c r="L348" s="168">
        <f t="shared" si="188"/>
        <v>0</v>
      </c>
      <c r="M348" s="211"/>
      <c r="N348" s="169"/>
      <c r="O348" s="170"/>
      <c r="P348" s="171"/>
      <c r="Q348" s="172"/>
      <c r="R348" s="173"/>
      <c r="S348" s="174"/>
      <c r="T348" s="175"/>
      <c r="U348" s="176"/>
      <c r="V348" s="168">
        <f t="shared" si="189"/>
        <v>0</v>
      </c>
      <c r="W348" s="177">
        <f t="shared" si="190"/>
        <v>0</v>
      </c>
      <c r="X348" s="178" t="s">
        <v>1469</v>
      </c>
      <c r="Y348" s="179">
        <f t="shared" si="191"/>
        <v>0</v>
      </c>
      <c r="AA348" s="212"/>
      <c r="AD348" s="1"/>
      <c r="AE348" s="1"/>
      <c r="AF348" s="1"/>
      <c r="AG348" s="1"/>
    </row>
    <row r="349" spans="1:33" ht="15.75" customHeight="1">
      <c r="A349" s="87"/>
      <c r="B349" s="192" t="s">
        <v>1864</v>
      </c>
      <c r="C349" s="193" t="s">
        <v>55</v>
      </c>
      <c r="D349" s="193" t="s">
        <v>64</v>
      </c>
      <c r="E349" s="193" t="s">
        <v>121</v>
      </c>
      <c r="F349" s="193" t="s">
        <v>35</v>
      </c>
      <c r="G349" s="193" t="s">
        <v>48</v>
      </c>
      <c r="H349" s="194">
        <v>10</v>
      </c>
      <c r="I349" s="194" t="s">
        <v>1865</v>
      </c>
      <c r="J349" s="305">
        <f>K349*(1-Bolts!$E$1179)</f>
        <v>88.9</v>
      </c>
      <c r="K349" s="306">
        <v>88.9</v>
      </c>
      <c r="L349" s="168">
        <f t="shared" si="188"/>
        <v>0</v>
      </c>
      <c r="M349" s="211"/>
      <c r="N349" s="169"/>
      <c r="O349" s="170"/>
      <c r="P349" s="171"/>
      <c r="Q349" s="172"/>
      <c r="R349" s="173"/>
      <c r="S349" s="174"/>
      <c r="T349" s="175"/>
      <c r="U349" s="176"/>
      <c r="V349" s="168">
        <f t="shared" si="189"/>
        <v>0</v>
      </c>
      <c r="W349" s="177">
        <f t="shared" si="190"/>
        <v>0</v>
      </c>
      <c r="X349" s="178" t="s">
        <v>1866</v>
      </c>
      <c r="Y349" s="179">
        <f t="shared" si="191"/>
        <v>0</v>
      </c>
      <c r="AA349" s="180"/>
      <c r="AD349" s="1"/>
      <c r="AE349" s="1"/>
      <c r="AF349" s="1"/>
      <c r="AG349" s="1"/>
    </row>
    <row r="350" spans="1:33" ht="15.75" customHeight="1">
      <c r="A350" s="139" t="s">
        <v>1227</v>
      </c>
      <c r="B350" s="335"/>
      <c r="C350" s="207">
        <f>B350</f>
        <v>0</v>
      </c>
      <c r="D350" s="207"/>
      <c r="E350" s="207" t="s">
        <v>121</v>
      </c>
      <c r="F350" s="207"/>
      <c r="G350" s="207"/>
      <c r="H350" s="207"/>
      <c r="I350" s="207"/>
      <c r="J350" s="336"/>
      <c r="K350" s="308"/>
      <c r="L350" s="207"/>
      <c r="M350" s="207"/>
      <c r="N350" s="207"/>
      <c r="O350" s="207"/>
      <c r="P350" s="207"/>
      <c r="Q350" s="207"/>
      <c r="R350" s="207"/>
      <c r="S350" s="207"/>
      <c r="T350" s="207"/>
      <c r="U350" s="207"/>
      <c r="V350" s="207"/>
      <c r="W350" s="207"/>
      <c r="X350" s="207"/>
      <c r="Y350" s="208"/>
      <c r="AA350" s="180"/>
      <c r="AD350" s="1"/>
      <c r="AE350" s="1"/>
      <c r="AF350" s="1"/>
      <c r="AG350" s="1"/>
    </row>
    <row r="351" spans="1:33" ht="15.75" customHeight="1">
      <c r="A351" s="87"/>
      <c r="B351" s="192" t="s">
        <v>1867</v>
      </c>
      <c r="C351" s="193" t="s">
        <v>41</v>
      </c>
      <c r="D351" s="193" t="s">
        <v>41</v>
      </c>
      <c r="E351" s="193" t="s">
        <v>121</v>
      </c>
      <c r="F351" s="193" t="s">
        <v>41</v>
      </c>
      <c r="G351" s="193" t="s">
        <v>48</v>
      </c>
      <c r="H351" s="194">
        <v>1</v>
      </c>
      <c r="I351" s="194" t="s">
        <v>1868</v>
      </c>
      <c r="J351" s="305">
        <f>K351*(1-Bolts!$E$1179)</f>
        <v>52.2</v>
      </c>
      <c r="K351" s="306">
        <v>52.2</v>
      </c>
      <c r="L351" s="168">
        <f t="shared" ref="L351:L353" si="192">SUM(M351:U351)</f>
        <v>0</v>
      </c>
      <c r="M351" s="211"/>
      <c r="N351" s="169"/>
      <c r="O351" s="170"/>
      <c r="P351" s="171"/>
      <c r="Q351" s="172"/>
      <c r="R351" s="173"/>
      <c r="S351" s="174"/>
      <c r="T351" s="175"/>
      <c r="U351" s="176"/>
      <c r="V351" s="168">
        <f t="shared" ref="V351:V353" si="193">L351*H351</f>
        <v>0</v>
      </c>
      <c r="W351" s="177">
        <f t="shared" ref="W351:W353" si="194">L351*K351</f>
        <v>0</v>
      </c>
      <c r="X351" s="178" t="s">
        <v>1678</v>
      </c>
      <c r="Y351" s="179">
        <f t="shared" ref="Y351:Y353" si="195">X351*L351</f>
        <v>0</v>
      </c>
      <c r="AA351" s="180"/>
      <c r="AD351" s="1"/>
      <c r="AE351" s="1"/>
      <c r="AF351" s="1"/>
      <c r="AG351" s="1"/>
    </row>
    <row r="352" spans="1:33" ht="15.75" hidden="1" customHeight="1">
      <c r="A352" s="87" t="s">
        <v>262</v>
      </c>
      <c r="B352" s="192" t="s">
        <v>1869</v>
      </c>
      <c r="C352" s="193" t="s">
        <v>41</v>
      </c>
      <c r="D352" s="193" t="s">
        <v>41</v>
      </c>
      <c r="E352" s="193" t="s">
        <v>121</v>
      </c>
      <c r="F352" s="193" t="s">
        <v>41</v>
      </c>
      <c r="G352" s="193" t="s">
        <v>48</v>
      </c>
      <c r="H352" s="194">
        <v>1</v>
      </c>
      <c r="I352" s="194" t="s">
        <v>1870</v>
      </c>
      <c r="J352" s="305">
        <f>K352*(1-Bolts!$E$1179)</f>
        <v>0</v>
      </c>
      <c r="K352" s="308"/>
      <c r="L352" s="168">
        <f t="shared" si="192"/>
        <v>0</v>
      </c>
      <c r="M352" s="211"/>
      <c r="N352" s="169"/>
      <c r="O352" s="170"/>
      <c r="P352" s="171"/>
      <c r="Q352" s="172"/>
      <c r="R352" s="173"/>
      <c r="S352" s="174"/>
      <c r="T352" s="175"/>
      <c r="U352" s="176"/>
      <c r="V352" s="168">
        <f t="shared" si="193"/>
        <v>0</v>
      </c>
      <c r="W352" s="177">
        <f t="shared" si="194"/>
        <v>0</v>
      </c>
      <c r="X352" s="178" t="s">
        <v>1871</v>
      </c>
      <c r="Y352" s="179">
        <f t="shared" si="195"/>
        <v>0</v>
      </c>
      <c r="AA352" s="180"/>
      <c r="AD352" s="1"/>
      <c r="AE352" s="1"/>
      <c r="AF352" s="1"/>
      <c r="AG352" s="1"/>
    </row>
    <row r="353" spans="1:33" ht="15.75" customHeight="1">
      <c r="A353" s="181"/>
      <c r="B353" s="164" t="s">
        <v>1872</v>
      </c>
      <c r="C353" s="165" t="s">
        <v>41</v>
      </c>
      <c r="D353" s="165" t="s">
        <v>41</v>
      </c>
      <c r="E353" s="165" t="s">
        <v>121</v>
      </c>
      <c r="F353" s="165" t="s">
        <v>41</v>
      </c>
      <c r="G353" s="165" t="s">
        <v>48</v>
      </c>
      <c r="H353" s="166">
        <v>1</v>
      </c>
      <c r="I353" s="166" t="s">
        <v>1873</v>
      </c>
      <c r="J353" s="305">
        <f>K353*(1-Bolts!$E$1179)</f>
        <v>88.7</v>
      </c>
      <c r="K353" s="306">
        <v>88.7</v>
      </c>
      <c r="L353" s="168">
        <f t="shared" si="192"/>
        <v>0</v>
      </c>
      <c r="M353" s="211"/>
      <c r="N353" s="169"/>
      <c r="O353" s="170"/>
      <c r="P353" s="171"/>
      <c r="Q353" s="172"/>
      <c r="R353" s="173"/>
      <c r="S353" s="174"/>
      <c r="T353" s="175"/>
      <c r="U353" s="176"/>
      <c r="V353" s="168">
        <f t="shared" si="193"/>
        <v>0</v>
      </c>
      <c r="W353" s="177">
        <f t="shared" si="194"/>
        <v>0</v>
      </c>
      <c r="X353" s="178">
        <v>3.5</v>
      </c>
      <c r="Y353" s="179">
        <f t="shared" si="195"/>
        <v>0</v>
      </c>
      <c r="AA353" s="180"/>
      <c r="AD353" s="1"/>
      <c r="AE353" s="1"/>
      <c r="AF353" s="1"/>
      <c r="AG353" s="1"/>
    </row>
    <row r="354" spans="1:33" ht="15.75" customHeight="1">
      <c r="A354" s="139" t="s">
        <v>1874</v>
      </c>
      <c r="B354" s="335"/>
      <c r="C354" s="207">
        <f>B354</f>
        <v>0</v>
      </c>
      <c r="D354" s="207"/>
      <c r="E354" s="207" t="s">
        <v>121</v>
      </c>
      <c r="F354" s="207"/>
      <c r="G354" s="207"/>
      <c r="H354" s="207"/>
      <c r="I354" s="207"/>
      <c r="J354" s="354"/>
      <c r="K354" s="308"/>
      <c r="L354" s="207"/>
      <c r="M354" s="207"/>
      <c r="N354" s="207"/>
      <c r="O354" s="207"/>
      <c r="P354" s="207"/>
      <c r="Q354" s="207"/>
      <c r="R354" s="207"/>
      <c r="S354" s="207"/>
      <c r="T354" s="207"/>
      <c r="U354" s="207"/>
      <c r="V354" s="207"/>
      <c r="W354" s="207"/>
      <c r="X354" s="207"/>
      <c r="Y354" s="208"/>
      <c r="AD354" s="1"/>
      <c r="AE354" s="1"/>
      <c r="AF354" s="1"/>
      <c r="AG354" s="1"/>
    </row>
    <row r="355" spans="1:33" ht="15.75" customHeight="1">
      <c r="A355" s="181"/>
      <c r="B355" s="182" t="s">
        <v>1875</v>
      </c>
      <c r="C355" s="183" t="s">
        <v>41</v>
      </c>
      <c r="D355" s="183" t="s">
        <v>41</v>
      </c>
      <c r="E355" s="183" t="s">
        <v>121</v>
      </c>
      <c r="F355" s="183" t="s">
        <v>40</v>
      </c>
      <c r="G355" s="183" t="s">
        <v>47</v>
      </c>
      <c r="H355" s="184">
        <v>1</v>
      </c>
      <c r="I355" s="184" t="s">
        <v>1876</v>
      </c>
      <c r="J355" s="305">
        <f>K355*(1-Bolts!$E$1179)</f>
        <v>26.7</v>
      </c>
      <c r="K355" s="306">
        <v>26.7</v>
      </c>
      <c r="L355" s="168">
        <f>SUM(M355:U355)</f>
        <v>0</v>
      </c>
      <c r="M355" s="211"/>
      <c r="N355" s="169"/>
      <c r="O355" s="170"/>
      <c r="P355" s="171"/>
      <c r="Q355" s="172"/>
      <c r="R355" s="173"/>
      <c r="S355" s="174"/>
      <c r="T355" s="175"/>
      <c r="U355" s="176"/>
      <c r="V355" s="168">
        <f>L355*H355</f>
        <v>0</v>
      </c>
      <c r="W355" s="177">
        <f>L355*K355</f>
        <v>0</v>
      </c>
      <c r="X355" s="178">
        <v>1.5</v>
      </c>
      <c r="Y355" s="179">
        <f>X355*L355</f>
        <v>0</v>
      </c>
      <c r="AD355" s="1"/>
      <c r="AE355" s="1"/>
      <c r="AF355" s="1"/>
      <c r="AG355" s="1"/>
    </row>
    <row r="356" spans="1:33" ht="15.75" customHeight="1">
      <c r="A356" s="249"/>
      <c r="B356" s="250"/>
      <c r="C356" s="250"/>
      <c r="D356" s="250"/>
      <c r="E356" s="250"/>
      <c r="F356" s="250"/>
      <c r="G356" s="250"/>
      <c r="H356" s="251"/>
      <c r="I356" s="252"/>
      <c r="J356" s="253" t="s">
        <v>132</v>
      </c>
      <c r="K356" s="253"/>
      <c r="L356" s="254">
        <f>SUM(L37:L355)</f>
        <v>0</v>
      </c>
      <c r="M356" s="255"/>
      <c r="N356" s="256"/>
      <c r="O356" s="255"/>
      <c r="P356" s="255"/>
      <c r="Q356" s="255"/>
      <c r="R356" s="255"/>
      <c r="S356" s="255"/>
      <c r="T356" s="256"/>
      <c r="U356" s="257"/>
      <c r="V356" s="258"/>
      <c r="W356" s="259"/>
      <c r="X356" s="260" t="s">
        <v>1246</v>
      </c>
      <c r="Y356" s="261">
        <f>SUM(Y37:Y355)</f>
        <v>0</v>
      </c>
      <c r="Z356" s="1"/>
      <c r="AA356" s="1"/>
      <c r="AB356" s="1"/>
      <c r="AC356" s="1"/>
      <c r="AD356" s="1"/>
      <c r="AE356" s="1"/>
      <c r="AF356" s="1"/>
      <c r="AG356" s="1"/>
    </row>
    <row r="357" spans="1:33" ht="15.75" customHeight="1">
      <c r="A357" s="1"/>
      <c r="B357" s="1"/>
      <c r="C357" s="1"/>
      <c r="D357" s="1"/>
      <c r="E357" s="1"/>
      <c r="F357" s="1"/>
      <c r="G357" s="1"/>
      <c r="H357" s="1"/>
      <c r="I357" s="262" t="s">
        <v>1247</v>
      </c>
      <c r="J357" s="263"/>
      <c r="K357" s="263"/>
      <c r="L357" s="264"/>
      <c r="M357" s="265">
        <f t="shared" ref="M357:U357" si="196">SUM(M37:M356)</f>
        <v>0</v>
      </c>
      <c r="N357" s="265">
        <f t="shared" si="196"/>
        <v>0</v>
      </c>
      <c r="O357" s="265">
        <f t="shared" si="196"/>
        <v>0</v>
      </c>
      <c r="P357" s="265">
        <f t="shared" si="196"/>
        <v>0</v>
      </c>
      <c r="Q357" s="265">
        <f t="shared" si="196"/>
        <v>0</v>
      </c>
      <c r="R357" s="265">
        <f t="shared" si="196"/>
        <v>0</v>
      </c>
      <c r="S357" s="265">
        <f t="shared" si="196"/>
        <v>0</v>
      </c>
      <c r="T357" s="265">
        <f t="shared" si="196"/>
        <v>0</v>
      </c>
      <c r="U357" s="265">
        <f t="shared" si="196"/>
        <v>0</v>
      </c>
      <c r="V357" s="266"/>
      <c r="W357" s="267"/>
      <c r="X357" s="268"/>
      <c r="Z357" s="1"/>
      <c r="AA357" s="1"/>
      <c r="AB357" s="1"/>
      <c r="AC357" s="1"/>
      <c r="AD357" s="1"/>
      <c r="AE357" s="1"/>
      <c r="AF357" s="1"/>
      <c r="AG357" s="1"/>
    </row>
    <row r="358" spans="1:33" ht="15.75" customHeight="1">
      <c r="A358" s="1"/>
      <c r="B358" s="1"/>
      <c r="C358" s="1"/>
      <c r="D358" s="1"/>
      <c r="E358" s="1"/>
      <c r="F358" s="1"/>
      <c r="G358" s="1"/>
      <c r="H358" s="1"/>
      <c r="I358" s="493" t="s">
        <v>1248</v>
      </c>
      <c r="J358" s="494"/>
      <c r="K358" s="494"/>
      <c r="L358" s="494"/>
      <c r="M358" s="494"/>
      <c r="N358" s="494"/>
      <c r="O358" s="494"/>
      <c r="P358" s="494"/>
      <c r="Q358" s="494"/>
      <c r="R358" s="494"/>
      <c r="S358" s="494"/>
      <c r="T358" s="495"/>
      <c r="U358" s="269">
        <f>SUM(V37:V355)</f>
        <v>0</v>
      </c>
      <c r="V358" s="270"/>
      <c r="X358" s="496" t="s">
        <v>1249</v>
      </c>
      <c r="Z358" s="1"/>
      <c r="AA358" s="1"/>
      <c r="AB358" s="1"/>
      <c r="AC358" s="1"/>
      <c r="AD358" s="1"/>
      <c r="AE358" s="1"/>
      <c r="AF358" s="1"/>
      <c r="AG358" s="1"/>
    </row>
    <row r="359" spans="1:33" ht="15.75" hidden="1" customHeight="1">
      <c r="A359" s="1"/>
      <c r="B359" s="1"/>
      <c r="C359" s="1"/>
      <c r="D359" s="1"/>
      <c r="E359" s="1"/>
      <c r="F359" s="1"/>
      <c r="G359" s="1"/>
      <c r="H359" s="1"/>
      <c r="I359" s="497" t="s">
        <v>1250</v>
      </c>
      <c r="J359" s="498"/>
      <c r="K359" s="498"/>
      <c r="L359" s="498"/>
      <c r="M359" s="498"/>
      <c r="N359" s="498"/>
      <c r="O359" s="498"/>
      <c r="P359" s="498"/>
      <c r="Q359" s="498"/>
      <c r="R359" s="498"/>
      <c r="S359" s="498"/>
      <c r="T359" s="499"/>
      <c r="U359" s="271"/>
      <c r="V359" s="272">
        <f>SUMIF(E37:E355,"Aragon",W37:W355)</f>
        <v>0</v>
      </c>
      <c r="X359" s="464"/>
      <c r="Z359" s="1"/>
      <c r="AA359" s="1"/>
      <c r="AB359" s="1"/>
      <c r="AC359" s="1"/>
      <c r="AD359" s="1"/>
      <c r="AE359" s="1"/>
      <c r="AF359" s="1"/>
      <c r="AG359" s="1"/>
    </row>
    <row r="360" spans="1:33" ht="15.75" hidden="1" customHeight="1">
      <c r="A360" s="273"/>
      <c r="B360" s="274"/>
      <c r="C360" s="274"/>
      <c r="D360" s="274"/>
      <c r="E360" s="274"/>
      <c r="F360" s="1"/>
      <c r="G360" s="1"/>
      <c r="H360" s="1"/>
      <c r="I360" s="490" t="s">
        <v>1251</v>
      </c>
      <c r="J360" s="460"/>
      <c r="K360" s="460"/>
      <c r="L360" s="460"/>
      <c r="M360" s="460"/>
      <c r="N360" s="460"/>
      <c r="O360" s="460"/>
      <c r="P360" s="460"/>
      <c r="Q360" s="460"/>
      <c r="R360" s="460"/>
      <c r="S360" s="460"/>
      <c r="T360" s="461"/>
      <c r="U360" s="275">
        <f>Bolts!E1179</f>
        <v>0</v>
      </c>
      <c r="V360" s="272">
        <f>-SUM(V359*U360)</f>
        <v>0</v>
      </c>
      <c r="X360" s="464"/>
      <c r="Z360" s="1"/>
      <c r="AA360" s="1"/>
      <c r="AB360" s="1"/>
      <c r="AC360" s="1"/>
      <c r="AD360" s="1"/>
      <c r="AE360" s="1"/>
      <c r="AF360" s="1"/>
      <c r="AG360" s="1"/>
    </row>
    <row r="361" spans="1:33" ht="15.75" customHeight="1">
      <c r="A361" s="273"/>
      <c r="B361" s="274"/>
      <c r="C361" s="274"/>
      <c r="D361" s="274"/>
      <c r="E361" s="274"/>
      <c r="F361" s="1"/>
      <c r="G361" s="1"/>
      <c r="H361" s="1"/>
      <c r="I361" s="489" t="s">
        <v>1252</v>
      </c>
      <c r="J361" s="460"/>
      <c r="K361" s="460"/>
      <c r="L361" s="460"/>
      <c r="M361" s="460"/>
      <c r="N361" s="460"/>
      <c r="O361" s="460"/>
      <c r="P361" s="460"/>
      <c r="Q361" s="460"/>
      <c r="R361" s="460"/>
      <c r="S361" s="460"/>
      <c r="T361" s="461"/>
      <c r="U361" s="271"/>
      <c r="V361" s="276">
        <f>SUM(V359:V360)</f>
        <v>0</v>
      </c>
      <c r="X361" s="464"/>
      <c r="Z361" s="1"/>
      <c r="AA361" s="1"/>
      <c r="AB361" s="1"/>
      <c r="AC361" s="1"/>
      <c r="AD361" s="1"/>
      <c r="AE361" s="1"/>
      <c r="AF361" s="1"/>
      <c r="AG361" s="1"/>
    </row>
    <row r="362" spans="1:33" ht="15.75" customHeight="1">
      <c r="A362" s="273"/>
      <c r="B362" s="274"/>
      <c r="C362" s="274"/>
      <c r="D362" s="274"/>
      <c r="E362" s="274"/>
      <c r="F362" s="1"/>
      <c r="G362" s="1"/>
      <c r="H362" s="1"/>
      <c r="I362" s="277"/>
      <c r="J362" s="277"/>
      <c r="K362" s="277"/>
      <c r="L362" s="277"/>
      <c r="M362" s="277"/>
      <c r="N362" s="277"/>
      <c r="O362" s="277"/>
      <c r="P362" s="277"/>
      <c r="Q362" s="277"/>
      <c r="R362" s="488" t="s">
        <v>1253</v>
      </c>
      <c r="S362" s="460"/>
      <c r="T362" s="461"/>
      <c r="U362" s="278"/>
      <c r="V362" s="279">
        <f>IF(P6="Yes",(Bolts!D1168*Bolts!K1174),0)</f>
        <v>0</v>
      </c>
      <c r="W362" s="280"/>
      <c r="X362" s="464"/>
      <c r="Z362" s="1"/>
      <c r="AA362" s="1"/>
      <c r="AB362" s="1"/>
      <c r="AC362" s="1"/>
      <c r="AD362" s="1"/>
      <c r="AE362" s="1"/>
      <c r="AF362" s="1"/>
      <c r="AG362" s="1"/>
    </row>
    <row r="363" spans="1:33" ht="15.75" customHeight="1">
      <c r="A363" s="273"/>
      <c r="B363" s="274"/>
      <c r="C363" s="274"/>
      <c r="D363" s="274"/>
      <c r="E363" s="274"/>
      <c r="F363" s="1"/>
      <c r="G363" s="273"/>
      <c r="H363" s="1"/>
      <c r="I363" s="488" t="s">
        <v>1254</v>
      </c>
      <c r="J363" s="460"/>
      <c r="K363" s="460"/>
      <c r="L363" s="460"/>
      <c r="M363" s="460"/>
      <c r="N363" s="460"/>
      <c r="O363" s="460"/>
      <c r="P363" s="460"/>
      <c r="Q363" s="460"/>
      <c r="R363" s="460"/>
      <c r="S363" s="460"/>
      <c r="T363" s="461"/>
      <c r="U363" s="275">
        <v>0.05</v>
      </c>
      <c r="V363" s="281">
        <v>0</v>
      </c>
      <c r="W363" s="280"/>
      <c r="X363" s="464"/>
      <c r="AA363" s="1"/>
      <c r="AB363" s="1"/>
      <c r="AC363" s="1"/>
      <c r="AD363" s="1"/>
      <c r="AE363" s="1"/>
      <c r="AF363" s="1"/>
      <c r="AG363" s="1"/>
    </row>
    <row r="364" spans="1:33" ht="15.75" customHeight="1">
      <c r="A364" s="282"/>
      <c r="B364" s="274"/>
      <c r="C364" s="274"/>
      <c r="D364" s="274"/>
      <c r="E364" s="274"/>
      <c r="F364" s="1"/>
      <c r="G364" s="273"/>
      <c r="H364" s="1"/>
      <c r="I364" s="283"/>
      <c r="J364" s="283"/>
      <c r="K364" s="283"/>
      <c r="L364" s="283"/>
      <c r="M364" s="283"/>
      <c r="N364" s="283"/>
      <c r="O364" s="283"/>
      <c r="P364" s="283"/>
      <c r="Q364" s="283"/>
      <c r="R364" s="488" t="s">
        <v>1255</v>
      </c>
      <c r="S364" s="460"/>
      <c r="T364" s="461"/>
      <c r="U364" s="275"/>
      <c r="V364" s="279"/>
      <c r="W364" s="280"/>
      <c r="X364" s="464"/>
      <c r="AA364" s="1"/>
      <c r="AB364" s="1"/>
      <c r="AC364" s="1"/>
      <c r="AD364" s="1"/>
      <c r="AE364" s="1"/>
      <c r="AF364" s="1"/>
      <c r="AG364" s="1"/>
    </row>
    <row r="365" spans="1:33" ht="15.75" customHeight="1">
      <c r="A365" s="282"/>
      <c r="B365" s="274"/>
      <c r="C365" s="274"/>
      <c r="D365" s="274"/>
      <c r="E365" s="274"/>
      <c r="F365" s="1"/>
      <c r="G365" s="273"/>
      <c r="H365" s="1"/>
      <c r="I365" s="489" t="s">
        <v>1256</v>
      </c>
      <c r="J365" s="460"/>
      <c r="K365" s="460"/>
      <c r="L365" s="460"/>
      <c r="M365" s="460"/>
      <c r="N365" s="460"/>
      <c r="O365" s="460"/>
      <c r="P365" s="460"/>
      <c r="Q365" s="460"/>
      <c r="R365" s="460"/>
      <c r="S365" s="460"/>
      <c r="T365" s="461"/>
      <c r="U365" s="275"/>
      <c r="V365" s="284">
        <f>SUM(V361:V364)</f>
        <v>0</v>
      </c>
      <c r="W365" s="280"/>
      <c r="X365" s="464"/>
      <c r="AA365" s="1"/>
      <c r="AB365" s="1"/>
      <c r="AC365" s="1"/>
      <c r="AD365" s="1"/>
      <c r="AE365" s="1"/>
      <c r="AF365" s="1"/>
      <c r="AG365" s="1"/>
    </row>
    <row r="366" spans="1:33" ht="15.75" customHeight="1">
      <c r="A366" s="282"/>
      <c r="B366" s="274"/>
      <c r="C366" s="274"/>
      <c r="D366" s="274"/>
      <c r="E366" s="274"/>
      <c r="F366" s="1"/>
      <c r="G366" s="273"/>
      <c r="H366" s="1"/>
      <c r="I366" s="490" t="s">
        <v>1257</v>
      </c>
      <c r="J366" s="460"/>
      <c r="K366" s="460"/>
      <c r="L366" s="460"/>
      <c r="M366" s="460"/>
      <c r="N366" s="460"/>
      <c r="O366" s="460"/>
      <c r="P366" s="460"/>
      <c r="Q366" s="460"/>
      <c r="R366" s="460"/>
      <c r="S366" s="460"/>
      <c r="T366" s="461"/>
      <c r="U366" s="285">
        <v>0</v>
      </c>
      <c r="V366" s="284">
        <f>V365*U366</f>
        <v>0</v>
      </c>
      <c r="W366" s="280"/>
      <c r="X366" s="464"/>
      <c r="AA366" s="1"/>
      <c r="AB366" s="1"/>
      <c r="AC366" s="1"/>
      <c r="AD366" s="1"/>
      <c r="AE366" s="1"/>
      <c r="AF366" s="1"/>
      <c r="AG366" s="1"/>
    </row>
    <row r="367" spans="1:33" ht="15.75" customHeight="1">
      <c r="A367" s="282"/>
      <c r="B367" s="274"/>
      <c r="C367" s="274"/>
      <c r="D367" s="274"/>
      <c r="E367" s="274"/>
      <c r="F367" s="1"/>
      <c r="G367" s="273"/>
      <c r="H367" s="1"/>
      <c r="I367" s="491" t="s">
        <v>1258</v>
      </c>
      <c r="J367" s="460"/>
      <c r="K367" s="460"/>
      <c r="L367" s="460"/>
      <c r="M367" s="460"/>
      <c r="N367" s="460"/>
      <c r="O367" s="460"/>
      <c r="P367" s="460"/>
      <c r="Q367" s="460"/>
      <c r="R367" s="460"/>
      <c r="S367" s="460"/>
      <c r="T367" s="461"/>
      <c r="U367" s="271"/>
      <c r="V367" s="279">
        <f>IF((Bolts!H1171+Bolts!H1174)&gt;0,Bolts!B1185*Bolts!J1174,0)</f>
        <v>0</v>
      </c>
      <c r="W367" s="286"/>
      <c r="X367" s="464"/>
      <c r="AA367" s="1"/>
      <c r="AB367" s="1"/>
      <c r="AC367" s="1"/>
      <c r="AD367" s="1"/>
      <c r="AE367" s="1"/>
      <c r="AF367" s="1"/>
      <c r="AG367" s="1"/>
    </row>
    <row r="368" spans="1:33" ht="15.75" customHeight="1">
      <c r="A368" s="282"/>
      <c r="B368" s="274"/>
      <c r="C368" s="274"/>
      <c r="D368" s="274"/>
      <c r="E368" s="274"/>
      <c r="F368" s="1"/>
      <c r="G368" s="273"/>
      <c r="H368" s="1"/>
      <c r="I368" s="287"/>
      <c r="J368" s="491" t="s">
        <v>1259</v>
      </c>
      <c r="K368" s="460"/>
      <c r="L368" s="460"/>
      <c r="M368" s="460"/>
      <c r="N368" s="460"/>
      <c r="O368" s="460"/>
      <c r="P368" s="460"/>
      <c r="Q368" s="460"/>
      <c r="R368" s="460"/>
      <c r="S368" s="460"/>
      <c r="T368" s="461"/>
      <c r="U368" s="271"/>
      <c r="V368" s="284">
        <v>0</v>
      </c>
      <c r="W368" s="280"/>
      <c r="X368" s="464"/>
      <c r="Y368" s="288" t="s">
        <v>1260</v>
      </c>
      <c r="Z368" s="289">
        <f>SUMIF(E37:E356,"Aragon",W37:W356)</f>
        <v>0</v>
      </c>
      <c r="AA368" s="1"/>
      <c r="AB368" s="1"/>
      <c r="AC368" s="1"/>
      <c r="AD368" s="1"/>
      <c r="AE368" s="1"/>
      <c r="AF368" s="1"/>
      <c r="AG368" s="1"/>
    </row>
    <row r="369" spans="1:33" ht="15.75" customHeight="1">
      <c r="A369" s="282"/>
      <c r="B369" s="274"/>
      <c r="C369" s="274"/>
      <c r="D369" s="274"/>
      <c r="E369" s="274"/>
      <c r="F369" s="1"/>
      <c r="G369" s="1"/>
      <c r="H369" s="1"/>
      <c r="I369" s="492" t="s">
        <v>1261</v>
      </c>
      <c r="J369" s="460"/>
      <c r="K369" s="460"/>
      <c r="L369" s="460"/>
      <c r="M369" s="460"/>
      <c r="N369" s="460"/>
      <c r="O369" s="460"/>
      <c r="P369" s="460"/>
      <c r="Q369" s="460"/>
      <c r="R369" s="460"/>
      <c r="S369" s="460"/>
      <c r="T369" s="461"/>
      <c r="U369" s="271"/>
      <c r="V369" s="279">
        <f>SUM(V365:V368)</f>
        <v>0</v>
      </c>
      <c r="W369" s="286"/>
      <c r="X369" s="464"/>
      <c r="Y369" s="288" t="s">
        <v>1262</v>
      </c>
      <c r="Z369" s="289">
        <f>Bolts!E1179*Z368</f>
        <v>0</v>
      </c>
      <c r="AA369" s="1"/>
      <c r="AB369" s="1"/>
      <c r="AC369" s="1"/>
      <c r="AD369" s="1"/>
      <c r="AE369" s="1"/>
      <c r="AF369" s="1"/>
      <c r="AG369" s="1"/>
    </row>
    <row r="370" spans="1:33" ht="15.75" customHeight="1">
      <c r="A370" s="282"/>
      <c r="B370" s="274"/>
      <c r="C370" s="274"/>
      <c r="D370" s="274"/>
      <c r="E370" s="274"/>
      <c r="F370" s="10"/>
      <c r="G370" s="10"/>
      <c r="H370" s="10"/>
      <c r="I370" s="491" t="s">
        <v>1263</v>
      </c>
      <c r="J370" s="460"/>
      <c r="K370" s="460"/>
      <c r="L370" s="460"/>
      <c r="M370" s="460"/>
      <c r="N370" s="460"/>
      <c r="O370" s="460"/>
      <c r="P370" s="460"/>
      <c r="Q370" s="460"/>
      <c r="R370" s="460"/>
      <c r="S370" s="460"/>
      <c r="T370" s="461"/>
      <c r="U370" s="271"/>
      <c r="V370" s="279">
        <v>0</v>
      </c>
      <c r="W370" s="286"/>
      <c r="X370" s="464"/>
      <c r="Y370" s="288" t="s">
        <v>1264</v>
      </c>
      <c r="Z370" s="290">
        <f>SUMIF(E37:E356,"Aragon",L37:L356)</f>
        <v>0</v>
      </c>
      <c r="AA370" s="1"/>
      <c r="AB370" s="1"/>
      <c r="AC370" s="1"/>
      <c r="AD370" s="1"/>
      <c r="AE370" s="1"/>
      <c r="AF370" s="1"/>
      <c r="AG370" s="1"/>
    </row>
    <row r="371" spans="1:33" ht="15.75" customHeight="1">
      <c r="A371" s="282"/>
      <c r="B371" s="274"/>
      <c r="C371" s="274"/>
      <c r="D371" s="274"/>
      <c r="E371" s="274"/>
      <c r="F371" s="10"/>
      <c r="G371" s="10"/>
      <c r="H371" s="10"/>
      <c r="I371" s="491"/>
      <c r="J371" s="460"/>
      <c r="K371" s="460"/>
      <c r="L371" s="460"/>
      <c r="M371" s="460"/>
      <c r="N371" s="460"/>
      <c r="O371" s="460"/>
      <c r="P371" s="460"/>
      <c r="Q371" s="460"/>
      <c r="R371" s="460"/>
      <c r="S371" s="460"/>
      <c r="T371" s="461"/>
      <c r="U371" s="271"/>
      <c r="V371" s="279"/>
      <c r="W371" s="10"/>
      <c r="X371" s="464"/>
      <c r="Y371" s="291" t="s">
        <v>1265</v>
      </c>
      <c r="Z371" s="292">
        <f>SUMIF(E37:E356,"Aragon",V37:V356)</f>
        <v>0</v>
      </c>
      <c r="AA371" s="1"/>
      <c r="AB371" s="1"/>
      <c r="AC371" s="1"/>
      <c r="AD371" s="1"/>
      <c r="AE371" s="1"/>
      <c r="AF371" s="1"/>
      <c r="AG371" s="1"/>
    </row>
    <row r="372" spans="1:33" ht="15.75" customHeight="1">
      <c r="A372" s="282"/>
      <c r="B372" s="274"/>
      <c r="C372" s="274"/>
      <c r="D372" s="274"/>
      <c r="E372" s="274"/>
      <c r="F372" s="10"/>
      <c r="G372" s="10"/>
      <c r="H372" s="10"/>
      <c r="I372" s="492" t="s">
        <v>1266</v>
      </c>
      <c r="J372" s="460"/>
      <c r="K372" s="460"/>
      <c r="L372" s="460"/>
      <c r="M372" s="460"/>
      <c r="N372" s="460"/>
      <c r="O372" s="460"/>
      <c r="P372" s="460"/>
      <c r="Q372" s="460"/>
      <c r="R372" s="460"/>
      <c r="S372" s="460"/>
      <c r="T372" s="461"/>
      <c r="U372" s="271"/>
      <c r="V372" s="279">
        <f>SUM(V369-V370)</f>
        <v>0</v>
      </c>
      <c r="W372" s="10"/>
      <c r="X372" s="465"/>
      <c r="Y372" s="293" t="s">
        <v>1246</v>
      </c>
      <c r="Z372" s="294">
        <f>SUMIF(E37:E356,"Aragon",Y37:Y356)</f>
        <v>0</v>
      </c>
      <c r="AA372" s="1"/>
      <c r="AB372" s="1"/>
      <c r="AC372" s="1"/>
      <c r="AD372" s="1"/>
      <c r="AE372" s="1"/>
      <c r="AF372" s="1"/>
      <c r="AG372" s="1"/>
    </row>
    <row r="373" spans="1:33" ht="15.75" hidden="1" customHeight="1">
      <c r="A373" s="282"/>
      <c r="B373" s="274"/>
      <c r="C373" s="274"/>
      <c r="D373" s="274"/>
      <c r="E373" s="274"/>
      <c r="F373" s="10"/>
      <c r="G373" s="10"/>
      <c r="H373" s="10"/>
      <c r="I373" s="10"/>
      <c r="J373" s="10"/>
      <c r="K373" s="10"/>
      <c r="L373" s="10"/>
      <c r="M373" s="10"/>
      <c r="N373" s="10"/>
      <c r="O373" s="10"/>
      <c r="P373" s="10"/>
      <c r="Q373" s="10"/>
      <c r="R373" s="10"/>
      <c r="S373" s="10"/>
      <c r="T373" s="10"/>
      <c r="U373" s="10"/>
      <c r="V373" s="10"/>
      <c r="W373" s="10"/>
      <c r="X373" s="295"/>
      <c r="AA373" s="1"/>
      <c r="AB373" s="1"/>
      <c r="AC373" s="1"/>
      <c r="AD373" s="1"/>
      <c r="AE373" s="1"/>
      <c r="AF373" s="1"/>
      <c r="AG373" s="1"/>
    </row>
    <row r="374" spans="1:33" ht="15.75" hidden="1" customHeight="1">
      <c r="A374" s="282"/>
      <c r="B374" s="274"/>
      <c r="C374" s="274"/>
      <c r="D374" s="274"/>
      <c r="E374" s="274"/>
      <c r="F374" s="10"/>
      <c r="G374" s="10"/>
      <c r="H374" s="10"/>
      <c r="I374" s="489" t="s">
        <v>1250</v>
      </c>
      <c r="J374" s="460"/>
      <c r="K374" s="460"/>
      <c r="L374" s="460"/>
      <c r="M374" s="460"/>
      <c r="N374" s="460"/>
      <c r="O374" s="460"/>
      <c r="P374" s="460"/>
      <c r="Q374" s="460"/>
      <c r="R374" s="460"/>
      <c r="S374" s="460"/>
      <c r="T374" s="461"/>
      <c r="U374" s="271"/>
      <c r="V374" s="272">
        <f>SUMIF(E37:E355,"Composite X",W37:W355)</f>
        <v>0</v>
      </c>
      <c r="W374" s="280"/>
      <c r="X374" s="496" t="s">
        <v>1267</v>
      </c>
      <c r="AA374" s="1"/>
      <c r="AB374" s="1"/>
      <c r="AC374" s="1"/>
      <c r="AD374" s="1"/>
      <c r="AE374" s="1"/>
      <c r="AF374" s="1"/>
      <c r="AG374" s="1"/>
    </row>
    <row r="375" spans="1:33" ht="15.75" hidden="1" customHeight="1">
      <c r="A375" s="10"/>
      <c r="B375" s="296"/>
      <c r="C375" s="296"/>
      <c r="D375" s="296"/>
      <c r="E375" s="296"/>
      <c r="F375" s="10"/>
      <c r="G375" s="10"/>
      <c r="H375" s="10"/>
      <c r="I375" s="490" t="s">
        <v>1251</v>
      </c>
      <c r="J375" s="460"/>
      <c r="K375" s="460"/>
      <c r="L375" s="460"/>
      <c r="M375" s="460"/>
      <c r="N375" s="460"/>
      <c r="O375" s="460"/>
      <c r="P375" s="460"/>
      <c r="Q375" s="460"/>
      <c r="R375" s="460"/>
      <c r="S375" s="460"/>
      <c r="T375" s="461"/>
      <c r="U375" s="275">
        <f>Bolts!E1179</f>
        <v>0</v>
      </c>
      <c r="V375" s="272">
        <f>-SUM(V374*U375)</f>
        <v>0</v>
      </c>
      <c r="W375" s="280"/>
      <c r="X375" s="464"/>
      <c r="AA375" s="1"/>
      <c r="AB375" s="1"/>
      <c r="AC375" s="1"/>
      <c r="AD375" s="1"/>
      <c r="AE375" s="1"/>
      <c r="AF375" s="1"/>
      <c r="AG375" s="1"/>
    </row>
    <row r="376" spans="1:33" ht="15.75" hidden="1" customHeight="1">
      <c r="A376" s="10"/>
      <c r="B376" s="296"/>
      <c r="C376" s="296"/>
      <c r="D376" s="296"/>
      <c r="E376" s="296"/>
      <c r="F376" s="10"/>
      <c r="G376" s="10"/>
      <c r="H376" s="10"/>
      <c r="I376" s="489" t="s">
        <v>1252</v>
      </c>
      <c r="J376" s="460"/>
      <c r="K376" s="460"/>
      <c r="L376" s="460"/>
      <c r="M376" s="460"/>
      <c r="N376" s="460"/>
      <c r="O376" s="460"/>
      <c r="P376" s="460"/>
      <c r="Q376" s="460"/>
      <c r="R376" s="460"/>
      <c r="S376" s="460"/>
      <c r="T376" s="461"/>
      <c r="U376" s="271"/>
      <c r="V376" s="272">
        <f>SUM(V374:V375)</f>
        <v>0</v>
      </c>
      <c r="W376" s="280"/>
      <c r="X376" s="464"/>
      <c r="AA376" s="1"/>
      <c r="AB376" s="1"/>
      <c r="AC376" s="1"/>
      <c r="AD376" s="1"/>
      <c r="AE376" s="1"/>
      <c r="AF376" s="1"/>
      <c r="AG376" s="1"/>
    </row>
    <row r="377" spans="1:33" ht="15.75" hidden="1" customHeight="1">
      <c r="A377" s="10"/>
      <c r="B377" s="10"/>
      <c r="C377" s="10"/>
      <c r="D377" s="10"/>
      <c r="E377" s="10"/>
      <c r="F377" s="10"/>
      <c r="G377" s="10"/>
      <c r="H377" s="10"/>
      <c r="I377" s="277"/>
      <c r="J377" s="277"/>
      <c r="K377" s="277"/>
      <c r="L377" s="277"/>
      <c r="M377" s="277"/>
      <c r="N377" s="277"/>
      <c r="O377" s="277"/>
      <c r="P377" s="277"/>
      <c r="Q377" s="277"/>
      <c r="R377" s="488" t="s">
        <v>1253</v>
      </c>
      <c r="S377" s="460"/>
      <c r="T377" s="461"/>
      <c r="U377" s="278"/>
      <c r="V377" s="297">
        <f>IF(P6="Yes",(Bolts!D1168*Bolts!K1175),0)</f>
        <v>0</v>
      </c>
      <c r="W377" s="10"/>
      <c r="X377" s="464"/>
      <c r="AA377" s="1"/>
      <c r="AB377" s="1"/>
      <c r="AC377" s="1"/>
      <c r="AD377" s="1"/>
      <c r="AE377" s="1"/>
      <c r="AF377" s="1"/>
      <c r="AG377" s="1"/>
    </row>
    <row r="378" spans="1:33" ht="15.75" hidden="1" customHeight="1">
      <c r="A378" s="10"/>
      <c r="B378" s="10"/>
      <c r="C378" s="10"/>
      <c r="D378" s="10"/>
      <c r="E378" s="10"/>
      <c r="F378" s="10"/>
      <c r="G378" s="10"/>
      <c r="H378" s="10"/>
      <c r="I378" s="283"/>
      <c r="J378" s="283"/>
      <c r="K378" s="283"/>
      <c r="L378" s="283"/>
      <c r="M378" s="283"/>
      <c r="N378" s="283"/>
      <c r="O378" s="283"/>
      <c r="P378" s="283"/>
      <c r="Q378" s="283"/>
      <c r="R378" s="488" t="s">
        <v>1255</v>
      </c>
      <c r="S378" s="460"/>
      <c r="T378" s="461"/>
      <c r="U378" s="275"/>
      <c r="V378" s="297"/>
      <c r="W378" s="10"/>
      <c r="X378" s="464"/>
      <c r="AA378" s="1"/>
      <c r="AB378" s="1"/>
      <c r="AC378" s="1"/>
      <c r="AD378" s="1"/>
      <c r="AE378" s="1"/>
      <c r="AF378" s="1"/>
      <c r="AG378" s="1"/>
    </row>
    <row r="379" spans="1:33" ht="15.75" hidden="1" customHeight="1">
      <c r="A379" s="10"/>
      <c r="B379" s="10"/>
      <c r="C379" s="10"/>
      <c r="D379" s="10"/>
      <c r="E379" s="10"/>
      <c r="F379" s="10"/>
      <c r="G379" s="10"/>
      <c r="H379" s="10"/>
      <c r="I379" s="489" t="s">
        <v>1256</v>
      </c>
      <c r="J379" s="460"/>
      <c r="K379" s="460"/>
      <c r="L379" s="460"/>
      <c r="M379" s="460"/>
      <c r="N379" s="460"/>
      <c r="O379" s="460"/>
      <c r="P379" s="460"/>
      <c r="Q379" s="460"/>
      <c r="R379" s="460"/>
      <c r="S379" s="460"/>
      <c r="T379" s="461"/>
      <c r="U379" s="275"/>
      <c r="V379" s="298">
        <f>SUM(V376:V378)</f>
        <v>0</v>
      </c>
      <c r="W379" s="10"/>
      <c r="X379" s="464"/>
      <c r="AA379" s="1"/>
      <c r="AB379" s="1"/>
      <c r="AC379" s="1"/>
      <c r="AD379" s="1"/>
      <c r="AE379" s="1"/>
      <c r="AF379" s="1"/>
      <c r="AG379" s="1"/>
    </row>
    <row r="380" spans="1:33" ht="15.75" hidden="1" customHeight="1">
      <c r="A380" s="10"/>
      <c r="B380" s="10"/>
      <c r="C380" s="10"/>
      <c r="D380" s="10"/>
      <c r="E380" s="10"/>
      <c r="F380" s="10"/>
      <c r="G380" s="10"/>
      <c r="H380" s="10"/>
      <c r="I380" s="490" t="s">
        <v>1257</v>
      </c>
      <c r="J380" s="460"/>
      <c r="K380" s="460"/>
      <c r="L380" s="460"/>
      <c r="M380" s="460"/>
      <c r="N380" s="460"/>
      <c r="O380" s="460"/>
      <c r="P380" s="460"/>
      <c r="Q380" s="460"/>
      <c r="R380" s="460"/>
      <c r="S380" s="460"/>
      <c r="T380" s="461"/>
      <c r="U380" s="285">
        <v>0</v>
      </c>
      <c r="V380" s="298">
        <f>V379*U380</f>
        <v>0</v>
      </c>
      <c r="W380" s="10"/>
      <c r="X380" s="464"/>
      <c r="AA380" s="1"/>
      <c r="AB380" s="1"/>
      <c r="AC380" s="1"/>
      <c r="AD380" s="1"/>
      <c r="AE380" s="1"/>
      <c r="AF380" s="1"/>
      <c r="AG380" s="1"/>
    </row>
    <row r="381" spans="1:33" ht="15.75" hidden="1" customHeight="1">
      <c r="A381" s="10"/>
      <c r="B381" s="10"/>
      <c r="C381" s="10"/>
      <c r="D381" s="10"/>
      <c r="E381" s="10"/>
      <c r="F381" s="10"/>
      <c r="G381" s="10"/>
      <c r="H381" s="10"/>
      <c r="I381" s="491" t="s">
        <v>1258</v>
      </c>
      <c r="J381" s="460"/>
      <c r="K381" s="460"/>
      <c r="L381" s="460"/>
      <c r="M381" s="460"/>
      <c r="N381" s="460"/>
      <c r="O381" s="460"/>
      <c r="P381" s="460"/>
      <c r="Q381" s="460"/>
      <c r="R381" s="460"/>
      <c r="S381" s="460"/>
      <c r="T381" s="461"/>
      <c r="U381" s="271"/>
      <c r="V381" s="297">
        <f>100*Bolts!J1175</f>
        <v>0</v>
      </c>
      <c r="W381" s="10"/>
      <c r="X381" s="464"/>
      <c r="AA381" s="1"/>
      <c r="AB381" s="1"/>
      <c r="AC381" s="1"/>
      <c r="AD381" s="1"/>
      <c r="AE381" s="1"/>
      <c r="AF381" s="1"/>
      <c r="AG381" s="1"/>
    </row>
    <row r="382" spans="1:33" ht="15.75" hidden="1" customHeight="1">
      <c r="A382" s="10"/>
      <c r="B382" s="10"/>
      <c r="C382" s="10"/>
      <c r="D382" s="10"/>
      <c r="E382" s="10"/>
      <c r="F382" s="10"/>
      <c r="G382" s="10"/>
      <c r="H382" s="10"/>
      <c r="I382" s="287"/>
      <c r="J382" s="491" t="s">
        <v>1259</v>
      </c>
      <c r="K382" s="460"/>
      <c r="L382" s="460"/>
      <c r="M382" s="460"/>
      <c r="N382" s="460"/>
      <c r="O382" s="460"/>
      <c r="P382" s="460"/>
      <c r="Q382" s="460"/>
      <c r="R382" s="460"/>
      <c r="S382" s="460"/>
      <c r="T382" s="461"/>
      <c r="U382" s="271"/>
      <c r="V382" s="298">
        <f>1.8*Z386</f>
        <v>0</v>
      </c>
      <c r="W382" s="10"/>
      <c r="X382" s="464"/>
      <c r="Y382" s="288" t="s">
        <v>1260</v>
      </c>
      <c r="Z382" s="299">
        <f>SUMIF(E37:E356,"Composite X",W37:W356)</f>
        <v>0</v>
      </c>
      <c r="AA382" s="1"/>
      <c r="AB382" s="1"/>
      <c r="AC382" s="1"/>
      <c r="AD382" s="1"/>
      <c r="AE382" s="1"/>
      <c r="AF382" s="1"/>
      <c r="AG382" s="1"/>
    </row>
    <row r="383" spans="1:33" ht="15.75" hidden="1" customHeight="1">
      <c r="A383" s="1"/>
      <c r="B383" s="1"/>
      <c r="C383" s="1"/>
      <c r="D383" s="1"/>
      <c r="E383" s="1"/>
      <c r="F383" s="1"/>
      <c r="G383" s="1"/>
      <c r="H383" s="1"/>
      <c r="I383" s="492" t="s">
        <v>1261</v>
      </c>
      <c r="J383" s="460"/>
      <c r="K383" s="460"/>
      <c r="L383" s="460"/>
      <c r="M383" s="460"/>
      <c r="N383" s="460"/>
      <c r="O383" s="460"/>
      <c r="P383" s="460"/>
      <c r="Q383" s="460"/>
      <c r="R383" s="460"/>
      <c r="S383" s="460"/>
      <c r="T383" s="461"/>
      <c r="U383" s="271"/>
      <c r="V383" s="297">
        <f>SUM(V379:V382)</f>
        <v>0</v>
      </c>
      <c r="X383" s="464"/>
      <c r="Y383" s="288" t="s">
        <v>1262</v>
      </c>
      <c r="Z383" s="299">
        <f>Z382*Bolts!E1179</f>
        <v>0</v>
      </c>
      <c r="AA383" s="1"/>
      <c r="AB383" s="1"/>
      <c r="AC383" s="1"/>
      <c r="AD383" s="1"/>
      <c r="AE383" s="1"/>
      <c r="AF383" s="1"/>
      <c r="AG383" s="1"/>
    </row>
    <row r="384" spans="1:33" ht="15.75" hidden="1" customHeight="1">
      <c r="A384" s="1"/>
      <c r="B384" s="1"/>
      <c r="C384" s="1"/>
      <c r="D384" s="1"/>
      <c r="E384" s="1"/>
      <c r="F384" s="1"/>
      <c r="G384" s="1"/>
      <c r="H384" s="1"/>
      <c r="I384" s="491" t="s">
        <v>1263</v>
      </c>
      <c r="J384" s="460"/>
      <c r="K384" s="460"/>
      <c r="L384" s="460"/>
      <c r="M384" s="460"/>
      <c r="N384" s="460"/>
      <c r="O384" s="460"/>
      <c r="P384" s="460"/>
      <c r="Q384" s="460"/>
      <c r="R384" s="460"/>
      <c r="S384" s="460"/>
      <c r="T384" s="461"/>
      <c r="U384" s="271"/>
      <c r="V384" s="297">
        <v>0</v>
      </c>
      <c r="X384" s="464"/>
      <c r="Y384" s="288" t="s">
        <v>1264</v>
      </c>
      <c r="Z384" s="290">
        <f>SUMIF(E37:E356,"Composite X",L37:L356)</f>
        <v>0</v>
      </c>
      <c r="AA384" s="1"/>
      <c r="AB384" s="1"/>
      <c r="AC384" s="1"/>
      <c r="AD384" s="1"/>
      <c r="AE384" s="1"/>
      <c r="AF384" s="1"/>
      <c r="AG384" s="1"/>
    </row>
    <row r="385" spans="1:33" ht="15.75" hidden="1" customHeight="1">
      <c r="A385" s="1"/>
      <c r="B385" s="1"/>
      <c r="C385" s="1"/>
      <c r="D385" s="1"/>
      <c r="E385" s="1"/>
      <c r="F385" s="1"/>
      <c r="G385" s="1"/>
      <c r="H385" s="1"/>
      <c r="I385" s="491"/>
      <c r="J385" s="460"/>
      <c r="K385" s="460"/>
      <c r="L385" s="460"/>
      <c r="M385" s="460"/>
      <c r="N385" s="460"/>
      <c r="O385" s="460"/>
      <c r="P385" s="460"/>
      <c r="Q385" s="460"/>
      <c r="R385" s="460"/>
      <c r="S385" s="460"/>
      <c r="T385" s="461"/>
      <c r="U385" s="271"/>
      <c r="V385" s="297"/>
      <c r="X385" s="464"/>
      <c r="Y385" s="291" t="s">
        <v>1265</v>
      </c>
      <c r="Z385" s="292">
        <f>SUMIF(E37:E356,"Composite X",V37:V356)</f>
        <v>0</v>
      </c>
      <c r="AA385" s="1"/>
      <c r="AB385" s="1"/>
      <c r="AC385" s="1"/>
      <c r="AD385" s="1"/>
      <c r="AE385" s="1"/>
      <c r="AF385" s="1"/>
      <c r="AG385" s="1"/>
    </row>
    <row r="386" spans="1:33" ht="15.75" hidden="1" customHeight="1">
      <c r="A386" s="1"/>
      <c r="B386" s="1"/>
      <c r="C386" s="1"/>
      <c r="D386" s="1"/>
      <c r="E386" s="1"/>
      <c r="F386" s="1"/>
      <c r="G386" s="1"/>
      <c r="H386" s="1"/>
      <c r="I386" s="492" t="s">
        <v>1266</v>
      </c>
      <c r="J386" s="460"/>
      <c r="K386" s="460"/>
      <c r="L386" s="460"/>
      <c r="M386" s="460"/>
      <c r="N386" s="460"/>
      <c r="O386" s="460"/>
      <c r="P386" s="460"/>
      <c r="Q386" s="460"/>
      <c r="R386" s="460"/>
      <c r="S386" s="460"/>
      <c r="T386" s="461"/>
      <c r="U386" s="271"/>
      <c r="V386" s="297">
        <f>SUM(V383-V384)</f>
        <v>0</v>
      </c>
      <c r="X386" s="465"/>
      <c r="Y386" s="293" t="s">
        <v>1246</v>
      </c>
      <c r="Z386" s="294">
        <f>SUMIF(E37:E356,"Composite X",Y37:Y356)</f>
        <v>0</v>
      </c>
      <c r="AA386" s="1"/>
      <c r="AB386" s="1"/>
      <c r="AC386" s="1"/>
      <c r="AD386" s="1"/>
      <c r="AE386" s="1"/>
      <c r="AF386" s="1"/>
      <c r="AG386" s="1"/>
    </row>
    <row r="387" spans="1:33" ht="15.75" hidden="1" customHeight="1">
      <c r="A387" s="1"/>
      <c r="B387" s="1"/>
      <c r="C387" s="1"/>
      <c r="D387" s="1"/>
      <c r="E387" s="274"/>
      <c r="F387" s="10"/>
      <c r="G387" s="10"/>
      <c r="H387" s="10"/>
      <c r="I387" s="10"/>
      <c r="J387" s="10"/>
      <c r="K387" s="10"/>
      <c r="L387" s="10"/>
      <c r="M387" s="10"/>
      <c r="N387" s="10"/>
      <c r="O387" s="10"/>
      <c r="P387" s="10"/>
      <c r="Q387" s="10"/>
      <c r="R387" s="10"/>
      <c r="S387" s="10"/>
      <c r="T387" s="10"/>
      <c r="U387" s="10"/>
      <c r="V387" s="10"/>
      <c r="W387" s="10"/>
      <c r="X387" s="295"/>
      <c r="AA387" s="1"/>
      <c r="AB387" s="1"/>
      <c r="AC387" s="1"/>
      <c r="AD387" s="1"/>
      <c r="AE387" s="1"/>
      <c r="AF387" s="1"/>
      <c r="AG387" s="1"/>
    </row>
    <row r="388" spans="1:33" ht="15.75" hidden="1" customHeight="1">
      <c r="A388" s="1"/>
      <c r="B388" s="1"/>
      <c r="C388" s="1"/>
      <c r="D388" s="1"/>
      <c r="E388" s="274"/>
      <c r="F388" s="10"/>
      <c r="G388" s="10"/>
      <c r="H388" s="10"/>
      <c r="I388" s="489" t="s">
        <v>1250</v>
      </c>
      <c r="J388" s="460"/>
      <c r="K388" s="460"/>
      <c r="L388" s="460"/>
      <c r="M388" s="460"/>
      <c r="N388" s="460"/>
      <c r="O388" s="460"/>
      <c r="P388" s="460"/>
      <c r="Q388" s="460"/>
      <c r="R388" s="460"/>
      <c r="S388" s="460"/>
      <c r="T388" s="461"/>
      <c r="U388" s="271"/>
      <c r="V388" s="272">
        <f>SUMIF(E37:E355,"Walltopia",W37:W355)</f>
        <v>0</v>
      </c>
      <c r="W388" s="280"/>
      <c r="X388" s="496" t="s">
        <v>1268</v>
      </c>
      <c r="AA388" s="1"/>
      <c r="AB388" s="1"/>
      <c r="AC388" s="1"/>
      <c r="AD388" s="1"/>
      <c r="AE388" s="1"/>
      <c r="AF388" s="1"/>
      <c r="AG388" s="1"/>
    </row>
    <row r="389" spans="1:33" ht="15.75" hidden="1" customHeight="1">
      <c r="A389" s="1"/>
      <c r="B389" s="1"/>
      <c r="C389" s="1"/>
      <c r="D389" s="1"/>
      <c r="E389" s="296"/>
      <c r="F389" s="10"/>
      <c r="G389" s="10"/>
      <c r="H389" s="10"/>
      <c r="I389" s="490" t="s">
        <v>1251</v>
      </c>
      <c r="J389" s="460"/>
      <c r="K389" s="460"/>
      <c r="L389" s="460"/>
      <c r="M389" s="460"/>
      <c r="N389" s="460"/>
      <c r="O389" s="460"/>
      <c r="P389" s="460"/>
      <c r="Q389" s="460"/>
      <c r="R389" s="460"/>
      <c r="S389" s="460"/>
      <c r="T389" s="461"/>
      <c r="U389" s="275">
        <f>Bolts!E1179</f>
        <v>0</v>
      </c>
      <c r="V389" s="272">
        <f>-SUM(V388*U389)</f>
        <v>0</v>
      </c>
      <c r="W389" s="280"/>
      <c r="X389" s="464"/>
      <c r="AA389" s="1"/>
      <c r="AB389" s="1"/>
      <c r="AC389" s="1"/>
      <c r="AD389" s="1"/>
      <c r="AE389" s="1"/>
      <c r="AF389" s="1"/>
      <c r="AG389" s="1"/>
    </row>
    <row r="390" spans="1:33" ht="15.75" hidden="1" customHeight="1">
      <c r="A390" s="1"/>
      <c r="B390" s="1"/>
      <c r="C390" s="1"/>
      <c r="D390" s="1"/>
      <c r="E390" s="296"/>
      <c r="F390" s="10"/>
      <c r="G390" s="10"/>
      <c r="H390" s="10"/>
      <c r="I390" s="489" t="s">
        <v>1252</v>
      </c>
      <c r="J390" s="460"/>
      <c r="K390" s="460"/>
      <c r="L390" s="460"/>
      <c r="M390" s="460"/>
      <c r="N390" s="460"/>
      <c r="O390" s="460"/>
      <c r="P390" s="460"/>
      <c r="Q390" s="460"/>
      <c r="R390" s="460"/>
      <c r="S390" s="460"/>
      <c r="T390" s="461"/>
      <c r="U390" s="271"/>
      <c r="V390" s="272">
        <f>SUM(V388:V389)</f>
        <v>0</v>
      </c>
      <c r="W390" s="280"/>
      <c r="X390" s="464"/>
      <c r="AA390" s="1"/>
      <c r="AB390" s="1"/>
      <c r="AC390" s="1"/>
      <c r="AD390" s="1"/>
      <c r="AE390" s="1"/>
      <c r="AF390" s="1"/>
      <c r="AG390" s="1"/>
    </row>
    <row r="391" spans="1:33" ht="15.75" hidden="1" customHeight="1">
      <c r="A391" s="1"/>
      <c r="B391" s="1"/>
      <c r="C391" s="1"/>
      <c r="D391" s="1"/>
      <c r="E391" s="10"/>
      <c r="F391" s="10"/>
      <c r="G391" s="10"/>
      <c r="H391" s="10"/>
      <c r="I391" s="277"/>
      <c r="J391" s="277"/>
      <c r="K391" s="277"/>
      <c r="L391" s="277"/>
      <c r="M391" s="277"/>
      <c r="N391" s="277"/>
      <c r="O391" s="277"/>
      <c r="P391" s="277"/>
      <c r="Q391" s="277"/>
      <c r="R391" s="488" t="s">
        <v>1253</v>
      </c>
      <c r="S391" s="460"/>
      <c r="T391" s="461"/>
      <c r="U391" s="278"/>
      <c r="V391" s="297">
        <f>IF(P20="Yes",(Bolts!D1182*Bolts!K1189),0)</f>
        <v>0</v>
      </c>
      <c r="W391" s="10"/>
      <c r="X391" s="464"/>
      <c r="AA391" s="1"/>
      <c r="AB391" s="1"/>
      <c r="AC391" s="1"/>
      <c r="AD391" s="1"/>
      <c r="AE391" s="1"/>
      <c r="AF391" s="1"/>
      <c r="AG391" s="1"/>
    </row>
    <row r="392" spans="1:33" ht="15.75" hidden="1" customHeight="1">
      <c r="A392" s="1"/>
      <c r="B392" s="1"/>
      <c r="C392" s="1"/>
      <c r="D392" s="1"/>
      <c r="E392" s="10"/>
      <c r="F392" s="10"/>
      <c r="G392" s="10"/>
      <c r="H392" s="10"/>
      <c r="I392" s="283"/>
      <c r="J392" s="283"/>
      <c r="K392" s="283"/>
      <c r="L392" s="283"/>
      <c r="M392" s="283"/>
      <c r="N392" s="283"/>
      <c r="O392" s="283"/>
      <c r="P392" s="283"/>
      <c r="Q392" s="283"/>
      <c r="R392" s="488" t="s">
        <v>1255</v>
      </c>
      <c r="S392" s="460"/>
      <c r="T392" s="461"/>
      <c r="U392" s="275"/>
      <c r="V392" s="297"/>
      <c r="W392" s="10"/>
      <c r="X392" s="464"/>
      <c r="AA392" s="1"/>
      <c r="AB392" s="1"/>
      <c r="AC392" s="1"/>
      <c r="AD392" s="1"/>
      <c r="AE392" s="1"/>
      <c r="AF392" s="1"/>
      <c r="AG392" s="1"/>
    </row>
    <row r="393" spans="1:33" ht="15.75" hidden="1" customHeight="1">
      <c r="A393" s="1"/>
      <c r="B393" s="1"/>
      <c r="C393" s="1"/>
      <c r="D393" s="1"/>
      <c r="E393" s="10"/>
      <c r="F393" s="10"/>
      <c r="G393" s="10"/>
      <c r="H393" s="10"/>
      <c r="I393" s="489" t="s">
        <v>1256</v>
      </c>
      <c r="J393" s="460"/>
      <c r="K393" s="460"/>
      <c r="L393" s="460"/>
      <c r="M393" s="460"/>
      <c r="N393" s="460"/>
      <c r="O393" s="460"/>
      <c r="P393" s="460"/>
      <c r="Q393" s="460"/>
      <c r="R393" s="460"/>
      <c r="S393" s="460"/>
      <c r="T393" s="461"/>
      <c r="U393" s="275"/>
      <c r="V393" s="298">
        <f>SUM(V390:V392)</f>
        <v>0</v>
      </c>
      <c r="W393" s="10"/>
      <c r="X393" s="464"/>
      <c r="AA393" s="1"/>
      <c r="AB393" s="1"/>
      <c r="AC393" s="1"/>
      <c r="AD393" s="1"/>
      <c r="AE393" s="1"/>
      <c r="AF393" s="1"/>
      <c r="AG393" s="1"/>
    </row>
    <row r="394" spans="1:33" ht="15.75" hidden="1" customHeight="1">
      <c r="A394" s="1"/>
      <c r="B394" s="1"/>
      <c r="C394" s="1"/>
      <c r="D394" s="1"/>
      <c r="E394" s="10"/>
      <c r="F394" s="10"/>
      <c r="G394" s="10"/>
      <c r="H394" s="10"/>
      <c r="I394" s="490" t="s">
        <v>1257</v>
      </c>
      <c r="J394" s="460"/>
      <c r="K394" s="460"/>
      <c r="L394" s="460"/>
      <c r="M394" s="460"/>
      <c r="N394" s="460"/>
      <c r="O394" s="460"/>
      <c r="P394" s="460"/>
      <c r="Q394" s="460"/>
      <c r="R394" s="460"/>
      <c r="S394" s="460"/>
      <c r="T394" s="461"/>
      <c r="U394" s="285">
        <v>0</v>
      </c>
      <c r="V394" s="298">
        <f>V393*U394</f>
        <v>0</v>
      </c>
      <c r="W394" s="10"/>
      <c r="X394" s="464"/>
      <c r="AA394" s="1"/>
      <c r="AB394" s="1"/>
      <c r="AC394" s="1"/>
      <c r="AD394" s="1"/>
      <c r="AE394" s="1"/>
      <c r="AF394" s="1"/>
      <c r="AG394" s="1"/>
    </row>
    <row r="395" spans="1:33" ht="15.75" hidden="1" customHeight="1">
      <c r="A395" s="1"/>
      <c r="B395" s="1"/>
      <c r="C395" s="1"/>
      <c r="D395" s="1"/>
      <c r="E395" s="10"/>
      <c r="F395" s="10"/>
      <c r="G395" s="10"/>
      <c r="H395" s="10"/>
      <c r="I395" s="491" t="s">
        <v>1258</v>
      </c>
      <c r="J395" s="460"/>
      <c r="K395" s="460"/>
      <c r="L395" s="460"/>
      <c r="M395" s="460"/>
      <c r="N395" s="460"/>
      <c r="O395" s="460"/>
      <c r="P395" s="460"/>
      <c r="Q395" s="460"/>
      <c r="R395" s="460"/>
      <c r="S395" s="460"/>
      <c r="T395" s="461"/>
      <c r="U395" s="271"/>
      <c r="V395" s="297">
        <f>100*Bolts!J1176</f>
        <v>0</v>
      </c>
      <c r="W395" s="10"/>
      <c r="X395" s="464"/>
      <c r="AA395" s="1"/>
      <c r="AB395" s="1"/>
      <c r="AC395" s="1"/>
      <c r="AD395" s="1"/>
      <c r="AE395" s="1"/>
      <c r="AF395" s="1"/>
      <c r="AG395" s="1"/>
    </row>
    <row r="396" spans="1:33" ht="15.75" hidden="1" customHeight="1">
      <c r="A396" s="1"/>
      <c r="B396" s="1"/>
      <c r="C396" s="1"/>
      <c r="D396" s="1"/>
      <c r="E396" s="10"/>
      <c r="F396" s="10"/>
      <c r="G396" s="10"/>
      <c r="H396" s="10"/>
      <c r="I396" s="287"/>
      <c r="J396" s="491" t="s">
        <v>1259</v>
      </c>
      <c r="K396" s="460"/>
      <c r="L396" s="460"/>
      <c r="M396" s="460"/>
      <c r="N396" s="460"/>
      <c r="O396" s="460"/>
      <c r="P396" s="460"/>
      <c r="Q396" s="460"/>
      <c r="R396" s="460"/>
      <c r="S396" s="460"/>
      <c r="T396" s="461"/>
      <c r="U396" s="271"/>
      <c r="V396" s="298">
        <v>0</v>
      </c>
      <c r="W396" s="10"/>
      <c r="X396" s="464"/>
      <c r="Y396" s="288" t="s">
        <v>1260</v>
      </c>
      <c r="Z396" s="299">
        <f>SUMIF(E37:E356,"Walltopia",W37:W356)</f>
        <v>0</v>
      </c>
      <c r="AA396" s="1"/>
      <c r="AB396" s="1"/>
      <c r="AC396" s="1"/>
      <c r="AD396" s="1"/>
      <c r="AE396" s="1"/>
      <c r="AF396" s="1"/>
      <c r="AG396" s="1"/>
    </row>
    <row r="397" spans="1:33" ht="15.75" hidden="1" customHeight="1">
      <c r="A397" s="1"/>
      <c r="B397" s="1"/>
      <c r="C397" s="1"/>
      <c r="D397" s="1"/>
      <c r="E397" s="1"/>
      <c r="F397" s="1"/>
      <c r="G397" s="1"/>
      <c r="H397" s="1"/>
      <c r="I397" s="492" t="s">
        <v>1261</v>
      </c>
      <c r="J397" s="460"/>
      <c r="K397" s="460"/>
      <c r="L397" s="460"/>
      <c r="M397" s="460"/>
      <c r="N397" s="460"/>
      <c r="O397" s="460"/>
      <c r="P397" s="460"/>
      <c r="Q397" s="460"/>
      <c r="R397" s="460"/>
      <c r="S397" s="460"/>
      <c r="T397" s="461"/>
      <c r="U397" s="271"/>
      <c r="V397" s="297">
        <f>SUM(V393:V396)</f>
        <v>0</v>
      </c>
      <c r="X397" s="464"/>
      <c r="Y397" s="288" t="s">
        <v>1262</v>
      </c>
      <c r="Z397" s="299">
        <f>Z396*Bolts!E1179</f>
        <v>0</v>
      </c>
      <c r="AA397" s="1"/>
      <c r="AB397" s="1"/>
      <c r="AC397" s="1"/>
      <c r="AD397" s="1"/>
      <c r="AE397" s="1"/>
      <c r="AF397" s="1"/>
      <c r="AG397" s="1"/>
    </row>
    <row r="398" spans="1:33" ht="15.75" hidden="1" customHeight="1">
      <c r="A398" s="1"/>
      <c r="B398" s="1"/>
      <c r="C398" s="1"/>
      <c r="D398" s="1"/>
      <c r="E398" s="1"/>
      <c r="F398" s="1"/>
      <c r="G398" s="1"/>
      <c r="H398" s="1"/>
      <c r="I398" s="491" t="s">
        <v>1263</v>
      </c>
      <c r="J398" s="460"/>
      <c r="K398" s="460"/>
      <c r="L398" s="460"/>
      <c r="M398" s="460"/>
      <c r="N398" s="460"/>
      <c r="O398" s="460"/>
      <c r="P398" s="460"/>
      <c r="Q398" s="460"/>
      <c r="R398" s="460"/>
      <c r="S398" s="460"/>
      <c r="T398" s="461"/>
      <c r="U398" s="271"/>
      <c r="V398" s="297">
        <v>0</v>
      </c>
      <c r="X398" s="464"/>
      <c r="Y398" s="288" t="s">
        <v>1264</v>
      </c>
      <c r="Z398" s="290">
        <f>SUMIF(E37:E356,"Walltopia",L37:L356)</f>
        <v>0</v>
      </c>
      <c r="AA398" s="1"/>
      <c r="AB398" s="1"/>
      <c r="AC398" s="1"/>
      <c r="AD398" s="1"/>
      <c r="AE398" s="1"/>
      <c r="AF398" s="1"/>
      <c r="AG398" s="1"/>
    </row>
    <row r="399" spans="1:33" ht="15.75" hidden="1" customHeight="1">
      <c r="A399" s="1"/>
      <c r="B399" s="1"/>
      <c r="C399" s="1"/>
      <c r="D399" s="1"/>
      <c r="E399" s="1"/>
      <c r="F399" s="1"/>
      <c r="G399" s="1"/>
      <c r="H399" s="1"/>
      <c r="I399" s="491"/>
      <c r="J399" s="460"/>
      <c r="K399" s="460"/>
      <c r="L399" s="460"/>
      <c r="M399" s="460"/>
      <c r="N399" s="460"/>
      <c r="O399" s="460"/>
      <c r="P399" s="460"/>
      <c r="Q399" s="460"/>
      <c r="R399" s="460"/>
      <c r="S399" s="460"/>
      <c r="T399" s="461"/>
      <c r="U399" s="271"/>
      <c r="V399" s="297"/>
      <c r="X399" s="464"/>
      <c r="Y399" s="291" t="s">
        <v>1265</v>
      </c>
      <c r="Z399" s="292">
        <f>SUMIF(E37:E356,"Walltopia",V37:V356)</f>
        <v>0</v>
      </c>
      <c r="AA399" s="1"/>
      <c r="AB399" s="1"/>
      <c r="AC399" s="1"/>
      <c r="AD399" s="1"/>
      <c r="AE399" s="1"/>
      <c r="AF399" s="1"/>
      <c r="AG399" s="1"/>
    </row>
    <row r="400" spans="1:33" ht="15.75" hidden="1" customHeight="1">
      <c r="A400" s="1"/>
      <c r="B400" s="1"/>
      <c r="C400" s="1"/>
      <c r="D400" s="1"/>
      <c r="E400" s="1"/>
      <c r="F400" s="1"/>
      <c r="G400" s="1"/>
      <c r="H400" s="1"/>
      <c r="I400" s="492" t="s">
        <v>1266</v>
      </c>
      <c r="J400" s="460"/>
      <c r="K400" s="460"/>
      <c r="L400" s="460"/>
      <c r="M400" s="460"/>
      <c r="N400" s="460"/>
      <c r="O400" s="460"/>
      <c r="P400" s="460"/>
      <c r="Q400" s="460"/>
      <c r="R400" s="460"/>
      <c r="S400" s="460"/>
      <c r="T400" s="461"/>
      <c r="U400" s="271"/>
      <c r="V400" s="297">
        <f>SUM(V397-V398)</f>
        <v>0</v>
      </c>
      <c r="X400" s="465"/>
      <c r="Y400" s="293" t="s">
        <v>1246</v>
      </c>
      <c r="Z400" s="294">
        <f>SUMIF(E37:E356,"Walltopia",Y37:Y356)</f>
        <v>0</v>
      </c>
      <c r="AA400" s="1"/>
      <c r="AB400" s="1"/>
      <c r="AC400" s="1"/>
      <c r="AD400" s="1"/>
      <c r="AE400" s="1"/>
      <c r="AF400" s="1"/>
      <c r="AG400" s="1"/>
    </row>
    <row r="401" spans="1:33" ht="15.75" hidden="1" customHeight="1">
      <c r="A401" s="1"/>
      <c r="B401" s="1"/>
      <c r="C401" s="1"/>
      <c r="D401" s="1"/>
      <c r="E401" s="1"/>
      <c r="F401" s="1"/>
      <c r="G401" s="1"/>
      <c r="H401" s="1"/>
      <c r="X401" s="355"/>
      <c r="AA401" s="1"/>
      <c r="AB401" s="1"/>
      <c r="AC401" s="1"/>
      <c r="AD401" s="1"/>
      <c r="AE401" s="1"/>
      <c r="AF401" s="1"/>
      <c r="AG401" s="1"/>
    </row>
    <row r="402" spans="1:33" ht="15.75" hidden="1" customHeight="1">
      <c r="A402" s="1"/>
      <c r="B402" s="1"/>
      <c r="C402" s="1"/>
      <c r="D402" s="1"/>
      <c r="E402" s="1"/>
      <c r="F402" s="1"/>
      <c r="G402" s="1"/>
      <c r="H402" s="1"/>
      <c r="I402" s="489" t="s">
        <v>1256</v>
      </c>
      <c r="J402" s="460"/>
      <c r="K402" s="460"/>
      <c r="L402" s="460"/>
      <c r="M402" s="460"/>
      <c r="N402" s="460"/>
      <c r="O402" s="460"/>
      <c r="P402" s="460"/>
      <c r="Q402" s="460"/>
      <c r="R402" s="460"/>
      <c r="S402" s="460"/>
      <c r="T402" s="461"/>
      <c r="U402" s="275"/>
      <c r="V402" s="297">
        <f t="shared" ref="V402:V405" si="197">V365+V379+V393</f>
        <v>0</v>
      </c>
      <c r="W402" s="300"/>
      <c r="X402" s="496" t="s">
        <v>1269</v>
      </c>
      <c r="AA402" s="1"/>
      <c r="AB402" s="1"/>
      <c r="AC402" s="1"/>
      <c r="AD402" s="1"/>
      <c r="AE402" s="1"/>
      <c r="AF402" s="1"/>
      <c r="AG402" s="1"/>
    </row>
    <row r="403" spans="1:33" ht="15.75" hidden="1" customHeight="1">
      <c r="A403" s="1"/>
      <c r="B403" s="1"/>
      <c r="C403" s="1"/>
      <c r="D403" s="1"/>
      <c r="E403" s="1"/>
      <c r="F403" s="1"/>
      <c r="G403" s="1"/>
      <c r="H403" s="1"/>
      <c r="I403" s="490" t="s">
        <v>1257</v>
      </c>
      <c r="J403" s="460"/>
      <c r="K403" s="460"/>
      <c r="L403" s="460"/>
      <c r="M403" s="460"/>
      <c r="N403" s="460"/>
      <c r="O403" s="460"/>
      <c r="P403" s="460"/>
      <c r="Q403" s="460"/>
      <c r="R403" s="460"/>
      <c r="S403" s="460"/>
      <c r="T403" s="461"/>
      <c r="U403" s="285">
        <v>0</v>
      </c>
      <c r="V403" s="297">
        <f t="shared" si="197"/>
        <v>0</v>
      </c>
      <c r="X403" s="464"/>
      <c r="AA403" s="1"/>
      <c r="AB403" s="1"/>
      <c r="AC403" s="1"/>
      <c r="AD403" s="1"/>
      <c r="AE403" s="1"/>
      <c r="AF403" s="1"/>
      <c r="AG403" s="1"/>
    </row>
    <row r="404" spans="1:33" ht="15.75" hidden="1" customHeight="1">
      <c r="A404" s="1"/>
      <c r="B404" s="1"/>
      <c r="C404" s="1"/>
      <c r="D404" s="1"/>
      <c r="E404" s="1"/>
      <c r="F404" s="1"/>
      <c r="G404" s="1"/>
      <c r="H404" s="1"/>
      <c r="I404" s="491" t="s">
        <v>1258</v>
      </c>
      <c r="J404" s="460"/>
      <c r="K404" s="460"/>
      <c r="L404" s="460"/>
      <c r="M404" s="460"/>
      <c r="N404" s="460"/>
      <c r="O404" s="460"/>
      <c r="P404" s="460"/>
      <c r="Q404" s="460"/>
      <c r="R404" s="460"/>
      <c r="S404" s="460"/>
      <c r="T404" s="461"/>
      <c r="U404" s="271"/>
      <c r="V404" s="297">
        <f t="shared" si="197"/>
        <v>0</v>
      </c>
      <c r="X404" s="464"/>
      <c r="Y404" s="1"/>
      <c r="Z404" s="1"/>
      <c r="AA404" s="1"/>
      <c r="AB404" s="1"/>
      <c r="AC404" s="1"/>
      <c r="AD404" s="1"/>
      <c r="AE404" s="1"/>
      <c r="AF404" s="1"/>
      <c r="AG404" s="1"/>
    </row>
    <row r="405" spans="1:33" ht="15.75" hidden="1" customHeight="1">
      <c r="A405" s="1"/>
      <c r="B405" s="1"/>
      <c r="C405" s="1"/>
      <c r="D405" s="1"/>
      <c r="E405" s="1"/>
      <c r="F405" s="1"/>
      <c r="G405" s="1"/>
      <c r="H405" s="1"/>
      <c r="I405" s="287"/>
      <c r="J405" s="491" t="s">
        <v>1259</v>
      </c>
      <c r="K405" s="460"/>
      <c r="L405" s="460"/>
      <c r="M405" s="460"/>
      <c r="N405" s="460"/>
      <c r="O405" s="460"/>
      <c r="P405" s="460"/>
      <c r="Q405" s="460"/>
      <c r="R405" s="460"/>
      <c r="S405" s="460"/>
      <c r="T405" s="461"/>
      <c r="U405" s="271"/>
      <c r="V405" s="297">
        <f t="shared" si="197"/>
        <v>0</v>
      </c>
      <c r="X405" s="464"/>
      <c r="Y405" s="288" t="s">
        <v>1260</v>
      </c>
      <c r="Z405" s="299">
        <f t="shared" ref="Z405:Z409" si="198">Z368+Z382+Z396</f>
        <v>0</v>
      </c>
      <c r="AA405" s="1"/>
      <c r="AB405" s="1"/>
      <c r="AC405" s="1"/>
      <c r="AD405" s="1"/>
      <c r="AE405" s="1"/>
      <c r="AF405" s="1"/>
      <c r="AG405" s="1"/>
    </row>
    <row r="406" spans="1:33" ht="15.75" hidden="1" customHeight="1">
      <c r="A406" s="1"/>
      <c r="B406" s="1"/>
      <c r="C406" s="1"/>
      <c r="D406" s="1"/>
      <c r="E406" s="1"/>
      <c r="F406" s="1"/>
      <c r="G406" s="1"/>
      <c r="H406" s="1"/>
      <c r="I406" s="492" t="s">
        <v>1261</v>
      </c>
      <c r="J406" s="460"/>
      <c r="K406" s="460"/>
      <c r="L406" s="460"/>
      <c r="M406" s="460"/>
      <c r="N406" s="460"/>
      <c r="O406" s="460"/>
      <c r="P406" s="460"/>
      <c r="Q406" s="460"/>
      <c r="R406" s="460"/>
      <c r="S406" s="460"/>
      <c r="T406" s="461"/>
      <c r="U406" s="271"/>
      <c r="V406" s="297">
        <f>SUM(V402:V405)</f>
        <v>0</v>
      </c>
      <c r="X406" s="464"/>
      <c r="Y406" s="288" t="s">
        <v>1262</v>
      </c>
      <c r="Z406" s="299">
        <f t="shared" si="198"/>
        <v>0</v>
      </c>
      <c r="AA406" s="1"/>
      <c r="AB406" s="1"/>
      <c r="AC406" s="1"/>
      <c r="AD406" s="1"/>
      <c r="AE406" s="1"/>
      <c r="AF406" s="1"/>
      <c r="AG406" s="1"/>
    </row>
    <row r="407" spans="1:33" ht="15.75" hidden="1" customHeight="1">
      <c r="A407" s="1"/>
      <c r="B407" s="1"/>
      <c r="C407" s="1"/>
      <c r="D407" s="1"/>
      <c r="E407" s="1"/>
      <c r="F407" s="1"/>
      <c r="G407" s="1"/>
      <c r="H407" s="1"/>
      <c r="I407" s="491" t="s">
        <v>1263</v>
      </c>
      <c r="J407" s="460"/>
      <c r="K407" s="460"/>
      <c r="L407" s="460"/>
      <c r="M407" s="460"/>
      <c r="N407" s="460"/>
      <c r="O407" s="460"/>
      <c r="P407" s="460"/>
      <c r="Q407" s="460"/>
      <c r="R407" s="460"/>
      <c r="S407" s="460"/>
      <c r="T407" s="461"/>
      <c r="U407" s="271"/>
      <c r="V407" s="297">
        <v>0</v>
      </c>
      <c r="X407" s="464"/>
      <c r="Y407" s="288" t="s">
        <v>1264</v>
      </c>
      <c r="Z407" s="290">
        <f t="shared" si="198"/>
        <v>0</v>
      </c>
      <c r="AA407" s="1"/>
      <c r="AB407" s="1"/>
      <c r="AC407" s="1"/>
      <c r="AD407" s="1"/>
      <c r="AE407" s="1"/>
      <c r="AF407" s="1"/>
      <c r="AG407" s="1"/>
    </row>
    <row r="408" spans="1:33" ht="15.75" hidden="1" customHeight="1">
      <c r="A408" s="1"/>
      <c r="B408" s="1"/>
      <c r="C408" s="1"/>
      <c r="D408" s="1"/>
      <c r="E408" s="1"/>
      <c r="F408" s="1"/>
      <c r="G408" s="1"/>
      <c r="H408" s="1"/>
      <c r="I408" s="491"/>
      <c r="J408" s="460"/>
      <c r="K408" s="460"/>
      <c r="L408" s="460"/>
      <c r="M408" s="460"/>
      <c r="N408" s="460"/>
      <c r="O408" s="460"/>
      <c r="P408" s="460"/>
      <c r="Q408" s="460"/>
      <c r="R408" s="460"/>
      <c r="S408" s="460"/>
      <c r="T408" s="461"/>
      <c r="U408" s="271"/>
      <c r="V408" s="297"/>
      <c r="X408" s="464"/>
      <c r="Y408" s="291" t="s">
        <v>1265</v>
      </c>
      <c r="Z408" s="292">
        <f t="shared" si="198"/>
        <v>0</v>
      </c>
      <c r="AA408" s="1"/>
      <c r="AB408" s="1"/>
      <c r="AC408" s="1"/>
      <c r="AD408" s="1"/>
      <c r="AE408" s="1"/>
      <c r="AF408" s="1"/>
      <c r="AG408" s="1"/>
    </row>
    <row r="409" spans="1:33" ht="15.75" hidden="1" customHeight="1">
      <c r="A409" s="1"/>
      <c r="B409" s="1"/>
      <c r="C409" s="1"/>
      <c r="D409" s="1"/>
      <c r="E409" s="1"/>
      <c r="F409" s="1"/>
      <c r="G409" s="1"/>
      <c r="H409" s="1"/>
      <c r="I409" s="492" t="s">
        <v>1266</v>
      </c>
      <c r="J409" s="460"/>
      <c r="K409" s="460"/>
      <c r="L409" s="460"/>
      <c r="M409" s="460"/>
      <c r="N409" s="460"/>
      <c r="O409" s="460"/>
      <c r="P409" s="460"/>
      <c r="Q409" s="460"/>
      <c r="R409" s="460"/>
      <c r="S409" s="460"/>
      <c r="T409" s="461"/>
      <c r="U409" s="271"/>
      <c r="V409" s="297">
        <f>SUM(V406-V407)</f>
        <v>0</v>
      </c>
      <c r="X409" s="465"/>
      <c r="Y409" s="293" t="s">
        <v>1246</v>
      </c>
      <c r="Z409" s="294">
        <f t="shared" si="198"/>
        <v>0</v>
      </c>
      <c r="AA409" s="1"/>
      <c r="AB409" s="1"/>
      <c r="AC409" s="1"/>
      <c r="AD409" s="1"/>
      <c r="AE409" s="1"/>
      <c r="AF409" s="1"/>
      <c r="AG409" s="1"/>
    </row>
    <row r="410" spans="1:33" ht="15.75" hidden="1"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row>
    <row r="411" spans="1:33"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row>
    <row r="412" spans="1:33"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row>
    <row r="413" spans="1:3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row>
    <row r="414" spans="1:33"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row>
    <row r="415" spans="1:33"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row>
    <row r="416" spans="1:33"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row>
    <row r="417" spans="1:33"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row>
    <row r="418" spans="1:33"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row>
    <row r="419" spans="1:33"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row>
    <row r="420" spans="1:33"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row>
    <row r="421" spans="1:33"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row>
    <row r="422" spans="1:33"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row>
    <row r="423" spans="1:3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row>
    <row r="424" spans="1:33"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row>
    <row r="425" spans="1:33"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row>
    <row r="426" spans="1:33"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row>
    <row r="427" spans="1:33"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row>
    <row r="428" spans="1:33"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row>
    <row r="429" spans="1:33"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row>
    <row r="430" spans="1:33"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row>
    <row r="431" spans="1:33"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row>
    <row r="432" spans="1:33"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row>
    <row r="433" spans="1: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row>
    <row r="434" spans="1:33"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row>
    <row r="435" spans="1:33"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row>
    <row r="436" spans="1:33"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row>
    <row r="437" spans="1:33"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row>
    <row r="438" spans="1:33"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row>
    <row r="439" spans="1:33"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row>
    <row r="440" spans="1:33"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row>
    <row r="441" spans="1:33"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row>
    <row r="442" spans="1:33"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row>
    <row r="443" spans="1:3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row>
    <row r="444" spans="1:33"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row>
    <row r="445" spans="1:33"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row>
    <row r="446" spans="1:33"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row>
    <row r="447" spans="1:33"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row>
    <row r="448" spans="1:33"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row>
    <row r="449" spans="1:33"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row>
    <row r="450" spans="1:33"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row>
    <row r="451" spans="1:33"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row>
    <row r="452" spans="1:33"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row>
    <row r="453" spans="1:3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row>
    <row r="454" spans="1:33"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row>
    <row r="455" spans="1:33"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row>
    <row r="456" spans="1:33"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row>
    <row r="457" spans="1:33"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row>
    <row r="458" spans="1:33"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row>
    <row r="459" spans="1:33"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row>
    <row r="460" spans="1:33"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row>
    <row r="461" spans="1:33"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row>
    <row r="462" spans="1:33"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row>
    <row r="463" spans="1:3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row>
    <row r="464" spans="1:33"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row>
    <row r="465" spans="1:33"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row>
    <row r="466" spans="1:33"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row>
    <row r="467" spans="1:33"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row>
    <row r="468" spans="1:33"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row>
    <row r="469" spans="1:33"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row>
    <row r="470" spans="1:33"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row>
    <row r="471" spans="1:33"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row>
    <row r="472" spans="1:33"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row>
    <row r="473" spans="1:3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row>
    <row r="474" spans="1:33"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row>
    <row r="475" spans="1:33"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row>
    <row r="476" spans="1:33"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row>
    <row r="477" spans="1:33"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row>
    <row r="478" spans="1:33"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row>
    <row r="479" spans="1:33"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row>
    <row r="480" spans="1:33"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row>
    <row r="481" spans="1:33"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row>
    <row r="482" spans="1:33"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row>
    <row r="483" spans="1:3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row>
    <row r="484" spans="1:33"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row>
    <row r="485" spans="1:33"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row>
    <row r="486" spans="1:33"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row>
    <row r="487" spans="1:33"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row>
    <row r="488" spans="1:33"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row>
    <row r="489" spans="1:33"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row>
    <row r="490" spans="1:33"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row>
    <row r="491" spans="1:33"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row>
    <row r="492" spans="1:33"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row>
    <row r="493" spans="1:3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row>
    <row r="494" spans="1:33"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row>
    <row r="495" spans="1:33"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row>
    <row r="496" spans="1:33"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row>
    <row r="497" spans="1:33"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row>
    <row r="498" spans="1:33"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row>
    <row r="499" spans="1:33"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row>
    <row r="500" spans="1:33"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row>
    <row r="501" spans="1:33"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row>
    <row r="502" spans="1:33"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row>
    <row r="503" spans="1:3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row>
    <row r="504" spans="1:33"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row>
    <row r="505" spans="1:33"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row>
    <row r="506" spans="1:33"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row>
    <row r="507" spans="1:33"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row>
    <row r="508" spans="1:33"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row>
    <row r="509" spans="1:33"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row>
    <row r="510" spans="1:33"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row>
    <row r="511" spans="1:33"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row>
    <row r="512" spans="1:33"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row>
    <row r="513" spans="1:3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row>
    <row r="514" spans="1:33"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row>
    <row r="515" spans="1:33"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row>
    <row r="516" spans="1:33"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row>
    <row r="517" spans="1:33"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row>
    <row r="518" spans="1:33"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row>
    <row r="519" spans="1:33"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row>
    <row r="520" spans="1:33"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row>
    <row r="521" spans="1:33"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row>
    <row r="522" spans="1:33"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row>
    <row r="523" spans="1:3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row>
    <row r="524" spans="1:33"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row>
    <row r="525" spans="1:33"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row>
    <row r="526" spans="1:33"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row>
    <row r="527" spans="1:33"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row>
    <row r="528" spans="1:33"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row>
    <row r="529" spans="1:33"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row>
    <row r="530" spans="1:33"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row>
    <row r="531" spans="1:33"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row>
    <row r="532" spans="1:33"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row>
    <row r="533" spans="1: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row>
    <row r="534" spans="1:33"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row>
    <row r="535" spans="1:33"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row>
    <row r="536" spans="1:33"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row>
    <row r="537" spans="1:33"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row>
    <row r="538" spans="1:33"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row>
    <row r="539" spans="1:33"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row>
    <row r="540" spans="1:33"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row>
    <row r="541" spans="1:33"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row>
    <row r="542" spans="1:33"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row>
    <row r="543" spans="1:3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row>
    <row r="544" spans="1:33"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row>
    <row r="545" spans="1:33"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row>
    <row r="546" spans="1:33"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row>
    <row r="547" spans="1:33"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row>
    <row r="548" spans="1:33"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row>
    <row r="549" spans="1:33"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row>
    <row r="550" spans="1:33"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row>
    <row r="551" spans="1:33"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row>
    <row r="552" spans="1:33"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row>
    <row r="553" spans="1:3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row>
    <row r="554" spans="1:33"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row>
    <row r="555" spans="1:33"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row>
    <row r="556" spans="1:33"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row>
    <row r="557" spans="1:33"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row>
    <row r="558" spans="1:33"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row>
    <row r="559" spans="1:33"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row>
    <row r="560" spans="1:33"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row>
    <row r="561" spans="1:33"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row>
    <row r="562" spans="1:33"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row>
    <row r="563" spans="1:3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row>
    <row r="564" spans="1:33"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row>
    <row r="565" spans="1:33"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row>
    <row r="566" spans="1:33"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row>
    <row r="567" spans="1:33"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row>
    <row r="568" spans="1:33"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row>
    <row r="569" spans="1:33"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row>
    <row r="570" spans="1:33"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row>
    <row r="571" spans="1:33"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row>
    <row r="572" spans="1:33"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row>
    <row r="573" spans="1:3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row>
    <row r="574" spans="1:33"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row>
    <row r="575" spans="1:33"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row>
    <row r="576" spans="1:33"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row>
    <row r="577" spans="1:33"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row>
    <row r="578" spans="1:33"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row>
    <row r="579" spans="1:33"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row>
    <row r="580" spans="1:33"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row>
    <row r="581" spans="1:33"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row>
    <row r="582" spans="1:33"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row>
    <row r="583" spans="1:3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row>
    <row r="584" spans="1:33"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row>
    <row r="585" spans="1:33"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row>
    <row r="586" spans="1:33"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row>
    <row r="587" spans="1:33"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row>
    <row r="588" spans="1:33"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row>
    <row r="589" spans="1:33"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row>
    <row r="590" spans="1:33"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row>
    <row r="591" spans="1:33"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row>
    <row r="592" spans="1:33"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row>
    <row r="593" spans="1:3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row>
    <row r="594" spans="1:33"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row>
    <row r="595" spans="1:33"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row>
    <row r="596" spans="1:33"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row>
    <row r="597" spans="1:33"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row>
    <row r="598" spans="1:33"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row>
    <row r="599" spans="1:33"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row>
    <row r="600" spans="1:33"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row>
    <row r="601" spans="1:33"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row>
    <row r="602" spans="1:33"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row>
    <row r="603" spans="1:3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row>
    <row r="604" spans="1:33"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row>
    <row r="605" spans="1:33"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row>
    <row r="606" spans="1:33"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row>
    <row r="607" spans="1:33"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row>
    <row r="608" spans="1:33"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row>
    <row r="609" spans="1:33"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row>
    <row r="610" spans="1:33"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355"/>
      <c r="Y610" s="1"/>
      <c r="Z610" s="1"/>
      <c r="AA610" s="1"/>
      <c r="AB610" s="1"/>
      <c r="AC610" s="1"/>
      <c r="AD610" s="1"/>
      <c r="AE610" s="1"/>
      <c r="AF610" s="1"/>
      <c r="AG610" s="1"/>
    </row>
    <row r="611" spans="1:33"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355"/>
      <c r="Y611" s="1"/>
      <c r="Z611" s="1"/>
      <c r="AA611" s="1"/>
      <c r="AB611" s="1"/>
      <c r="AC611" s="1"/>
      <c r="AD611" s="1"/>
      <c r="AE611" s="1"/>
      <c r="AF611" s="1"/>
      <c r="AG611" s="1"/>
    </row>
    <row r="612" spans="1:33"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355"/>
      <c r="Y612" s="1"/>
      <c r="Z612" s="1"/>
      <c r="AA612" s="1"/>
      <c r="AB612" s="1"/>
      <c r="AC612" s="1"/>
      <c r="AD612" s="1"/>
      <c r="AE612" s="1"/>
      <c r="AF612" s="1"/>
      <c r="AG612" s="1"/>
    </row>
    <row r="613" spans="1:3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355"/>
      <c r="Y613" s="1"/>
      <c r="Z613" s="1"/>
      <c r="AA613" s="1"/>
      <c r="AB613" s="1"/>
      <c r="AC613" s="1"/>
      <c r="AD613" s="1"/>
      <c r="AE613" s="1"/>
      <c r="AF613" s="1"/>
      <c r="AG613" s="1"/>
    </row>
    <row r="614" spans="1:33"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355"/>
      <c r="Y614" s="1"/>
      <c r="Z614" s="1"/>
      <c r="AA614" s="1"/>
      <c r="AB614" s="1"/>
      <c r="AC614" s="1"/>
      <c r="AD614" s="1"/>
      <c r="AE614" s="1"/>
      <c r="AF614" s="1"/>
      <c r="AG614" s="1"/>
    </row>
    <row r="615" spans="1:33"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355"/>
      <c r="Y615" s="1"/>
      <c r="Z615" s="1"/>
      <c r="AA615" s="1"/>
      <c r="AB615" s="1"/>
      <c r="AC615" s="1"/>
      <c r="AD615" s="1"/>
      <c r="AE615" s="1"/>
      <c r="AF615" s="1"/>
      <c r="AG615" s="1"/>
    </row>
    <row r="616" spans="1:33"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355"/>
      <c r="Y616" s="1"/>
      <c r="Z616" s="1"/>
      <c r="AA616" s="1"/>
      <c r="AB616" s="1"/>
      <c r="AC616" s="1"/>
      <c r="AD616" s="1"/>
      <c r="AE616" s="1"/>
      <c r="AF616" s="1"/>
      <c r="AG616" s="1"/>
    </row>
    <row r="617" spans="1:33"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355"/>
      <c r="Y617" s="1"/>
      <c r="Z617" s="1"/>
      <c r="AA617" s="1"/>
      <c r="AB617" s="1"/>
      <c r="AC617" s="1"/>
      <c r="AD617" s="1"/>
      <c r="AE617" s="1"/>
      <c r="AF617" s="1"/>
      <c r="AG617" s="1"/>
    </row>
    <row r="618" spans="1:33"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355"/>
      <c r="Y618" s="1"/>
      <c r="Z618" s="1"/>
      <c r="AA618" s="1"/>
      <c r="AB618" s="1"/>
      <c r="AC618" s="1"/>
      <c r="AD618" s="1"/>
      <c r="AE618" s="1"/>
      <c r="AF618" s="1"/>
      <c r="AG618" s="1"/>
    </row>
    <row r="619" spans="1:33"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355"/>
      <c r="Y619" s="1"/>
      <c r="Z619" s="1"/>
      <c r="AA619" s="1"/>
      <c r="AB619" s="1"/>
      <c r="AC619" s="1"/>
      <c r="AD619" s="1"/>
      <c r="AE619" s="1"/>
      <c r="AF619" s="1"/>
      <c r="AG619" s="1"/>
    </row>
    <row r="620" spans="1:33"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355"/>
      <c r="Y620" s="1"/>
      <c r="Z620" s="1"/>
      <c r="AA620" s="1"/>
      <c r="AB620" s="1"/>
      <c r="AC620" s="1"/>
      <c r="AD620" s="1"/>
      <c r="AE620" s="1"/>
      <c r="AF620" s="1"/>
      <c r="AG620" s="1"/>
    </row>
    <row r="621" spans="1:33"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355"/>
      <c r="Y621" s="1"/>
      <c r="Z621" s="1"/>
      <c r="AA621" s="1"/>
      <c r="AB621" s="1"/>
      <c r="AC621" s="1"/>
      <c r="AD621" s="1"/>
      <c r="AE621" s="1"/>
      <c r="AF621" s="1"/>
      <c r="AG621" s="1"/>
    </row>
    <row r="622" spans="1:33"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355"/>
      <c r="Y622" s="1"/>
      <c r="Z622" s="1"/>
      <c r="AA622" s="1"/>
      <c r="AB622" s="1"/>
      <c r="AC622" s="1"/>
      <c r="AD622" s="1"/>
      <c r="AE622" s="1"/>
      <c r="AF622" s="1"/>
      <c r="AG622" s="1"/>
    </row>
    <row r="623" spans="1:3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355"/>
      <c r="Y623" s="1"/>
      <c r="Z623" s="1"/>
      <c r="AA623" s="1"/>
      <c r="AB623" s="1"/>
      <c r="AC623" s="1"/>
      <c r="AD623" s="1"/>
      <c r="AE623" s="1"/>
      <c r="AF623" s="1"/>
      <c r="AG623" s="1"/>
    </row>
    <row r="624" spans="1:33"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355"/>
      <c r="Y624" s="1"/>
      <c r="Z624" s="1"/>
      <c r="AA624" s="1"/>
      <c r="AB624" s="1"/>
      <c r="AC624" s="1"/>
      <c r="AD624" s="1"/>
      <c r="AE624" s="1"/>
      <c r="AF624" s="1"/>
      <c r="AG624" s="1"/>
    </row>
    <row r="625" spans="1:33"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355"/>
      <c r="Y625" s="1"/>
      <c r="Z625" s="1"/>
      <c r="AA625" s="1"/>
      <c r="AB625" s="1"/>
      <c r="AC625" s="1"/>
      <c r="AD625" s="1"/>
      <c r="AE625" s="1"/>
      <c r="AF625" s="1"/>
      <c r="AG625" s="1"/>
    </row>
    <row r="626" spans="1:33"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355"/>
      <c r="Y626" s="1"/>
      <c r="Z626" s="1"/>
      <c r="AA626" s="1"/>
      <c r="AB626" s="1"/>
      <c r="AC626" s="1"/>
      <c r="AD626" s="1"/>
      <c r="AE626" s="1"/>
      <c r="AF626" s="1"/>
      <c r="AG626" s="1"/>
    </row>
    <row r="627" spans="1:33"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355"/>
      <c r="Y627" s="1"/>
      <c r="Z627" s="1"/>
      <c r="AA627" s="1"/>
      <c r="AB627" s="1"/>
      <c r="AC627" s="1"/>
      <c r="AD627" s="1"/>
      <c r="AE627" s="1"/>
      <c r="AF627" s="1"/>
      <c r="AG627" s="1"/>
    </row>
    <row r="628" spans="1:33"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355"/>
      <c r="Y628" s="1"/>
      <c r="Z628" s="1"/>
      <c r="AA628" s="1"/>
      <c r="AB628" s="1"/>
      <c r="AC628" s="1"/>
      <c r="AD628" s="1"/>
      <c r="AE628" s="1"/>
      <c r="AF628" s="1"/>
      <c r="AG628" s="1"/>
    </row>
    <row r="629" spans="1:33"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355"/>
      <c r="Y629" s="1"/>
      <c r="Z629" s="1"/>
      <c r="AA629" s="1"/>
      <c r="AB629" s="1"/>
      <c r="AC629" s="1"/>
      <c r="AD629" s="1"/>
      <c r="AE629" s="1"/>
      <c r="AF629" s="1"/>
      <c r="AG629" s="1"/>
    </row>
    <row r="630" spans="1:33"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355"/>
      <c r="Y630" s="1"/>
      <c r="Z630" s="1"/>
      <c r="AA630" s="1"/>
      <c r="AB630" s="1"/>
      <c r="AC630" s="1"/>
      <c r="AD630" s="1"/>
      <c r="AE630" s="1"/>
      <c r="AF630" s="1"/>
      <c r="AG630" s="1"/>
    </row>
    <row r="631" spans="1:33"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355"/>
      <c r="Y631" s="1"/>
      <c r="Z631" s="1"/>
      <c r="AA631" s="1"/>
      <c r="AB631" s="1"/>
      <c r="AC631" s="1"/>
      <c r="AD631" s="1"/>
      <c r="AE631" s="1"/>
      <c r="AF631" s="1"/>
      <c r="AG631" s="1"/>
    </row>
    <row r="632" spans="1:33"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355"/>
      <c r="Y632" s="1"/>
      <c r="Z632" s="1"/>
      <c r="AA632" s="1"/>
      <c r="AB632" s="1"/>
      <c r="AC632" s="1"/>
      <c r="AD632" s="1"/>
      <c r="AE632" s="1"/>
      <c r="AF632" s="1"/>
      <c r="AG632" s="1"/>
    </row>
    <row r="633" spans="1: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355"/>
      <c r="Y633" s="1"/>
      <c r="Z633" s="1"/>
      <c r="AA633" s="1"/>
      <c r="AB633" s="1"/>
      <c r="AC633" s="1"/>
      <c r="AD633" s="1"/>
      <c r="AE633" s="1"/>
      <c r="AF633" s="1"/>
      <c r="AG633" s="1"/>
    </row>
    <row r="634" spans="1:33"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355"/>
      <c r="Y634" s="1"/>
      <c r="Z634" s="1"/>
      <c r="AA634" s="1"/>
      <c r="AB634" s="1"/>
      <c r="AC634" s="1"/>
      <c r="AD634" s="1"/>
      <c r="AE634" s="1"/>
      <c r="AF634" s="1"/>
      <c r="AG634" s="1"/>
    </row>
    <row r="635" spans="1:33"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355"/>
      <c r="Y635" s="1"/>
      <c r="Z635" s="1"/>
      <c r="AA635" s="1"/>
      <c r="AB635" s="1"/>
      <c r="AC635" s="1"/>
      <c r="AD635" s="1"/>
      <c r="AE635" s="1"/>
      <c r="AF635" s="1"/>
      <c r="AG635" s="1"/>
    </row>
    <row r="636" spans="1:33"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355"/>
      <c r="Y636" s="1"/>
      <c r="Z636" s="1"/>
      <c r="AA636" s="1"/>
      <c r="AB636" s="1"/>
      <c r="AC636" s="1"/>
      <c r="AD636" s="1"/>
      <c r="AE636" s="1"/>
      <c r="AF636" s="1"/>
      <c r="AG636" s="1"/>
    </row>
    <row r="637" spans="1:33"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355"/>
      <c r="Y637" s="1"/>
      <c r="Z637" s="1"/>
      <c r="AA637" s="1"/>
      <c r="AB637" s="1"/>
      <c r="AC637" s="1"/>
      <c r="AD637" s="1"/>
      <c r="AE637" s="1"/>
      <c r="AF637" s="1"/>
      <c r="AG637" s="1"/>
    </row>
    <row r="638" spans="1:33"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355"/>
      <c r="Y638" s="1"/>
      <c r="Z638" s="1"/>
      <c r="AA638" s="1"/>
      <c r="AB638" s="1"/>
      <c r="AC638" s="1"/>
      <c r="AD638" s="1"/>
      <c r="AE638" s="1"/>
      <c r="AF638" s="1"/>
      <c r="AG638" s="1"/>
    </row>
    <row r="639" spans="1:33"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355"/>
      <c r="Y639" s="1"/>
      <c r="Z639" s="1"/>
      <c r="AA639" s="1"/>
      <c r="AB639" s="1"/>
      <c r="AC639" s="1"/>
      <c r="AD639" s="1"/>
      <c r="AE639" s="1"/>
      <c r="AF639" s="1"/>
      <c r="AG639" s="1"/>
    </row>
    <row r="640" spans="1:33"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355"/>
      <c r="Y640" s="1"/>
      <c r="Z640" s="1"/>
      <c r="AA640" s="1"/>
      <c r="AB640" s="1"/>
      <c r="AC640" s="1"/>
      <c r="AD640" s="1"/>
      <c r="AE640" s="1"/>
      <c r="AF640" s="1"/>
      <c r="AG640" s="1"/>
    </row>
    <row r="641" spans="1:33"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355"/>
      <c r="Y641" s="1"/>
      <c r="Z641" s="1"/>
      <c r="AA641" s="1"/>
      <c r="AB641" s="1"/>
      <c r="AC641" s="1"/>
      <c r="AD641" s="1"/>
      <c r="AE641" s="1"/>
      <c r="AF641" s="1"/>
      <c r="AG641" s="1"/>
    </row>
    <row r="642" spans="1:33"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355"/>
      <c r="Y642" s="1"/>
      <c r="Z642" s="1"/>
      <c r="AA642" s="1"/>
      <c r="AB642" s="1"/>
      <c r="AC642" s="1"/>
      <c r="AD642" s="1"/>
      <c r="AE642" s="1"/>
      <c r="AF642" s="1"/>
      <c r="AG642" s="1"/>
    </row>
    <row r="643" spans="1:3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355"/>
      <c r="Y643" s="1"/>
      <c r="Z643" s="1"/>
      <c r="AA643" s="1"/>
      <c r="AB643" s="1"/>
      <c r="AC643" s="1"/>
      <c r="AD643" s="1"/>
      <c r="AE643" s="1"/>
      <c r="AF643" s="1"/>
      <c r="AG643" s="1"/>
    </row>
    <row r="644" spans="1:33"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355"/>
      <c r="Y644" s="1"/>
      <c r="Z644" s="1"/>
      <c r="AA644" s="1"/>
      <c r="AB644" s="1"/>
      <c r="AC644" s="1"/>
      <c r="AD644" s="1"/>
      <c r="AE644" s="1"/>
      <c r="AF644" s="1"/>
      <c r="AG644" s="1"/>
    </row>
    <row r="645" spans="1:33"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355"/>
      <c r="Y645" s="1"/>
      <c r="Z645" s="1"/>
      <c r="AA645" s="1"/>
      <c r="AB645" s="1"/>
      <c r="AC645" s="1"/>
      <c r="AD645" s="1"/>
      <c r="AE645" s="1"/>
      <c r="AF645" s="1"/>
      <c r="AG645" s="1"/>
    </row>
    <row r="646" spans="1:33"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355"/>
      <c r="Y646" s="1"/>
      <c r="Z646" s="1"/>
      <c r="AA646" s="1"/>
      <c r="AB646" s="1"/>
      <c r="AC646" s="1"/>
      <c r="AD646" s="1"/>
      <c r="AE646" s="1"/>
      <c r="AF646" s="1"/>
      <c r="AG646" s="1"/>
    </row>
    <row r="647" spans="1:33"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355"/>
      <c r="Y647" s="1"/>
      <c r="Z647" s="1"/>
      <c r="AA647" s="1"/>
      <c r="AB647" s="1"/>
      <c r="AC647" s="1"/>
      <c r="AD647" s="1"/>
      <c r="AE647" s="1"/>
      <c r="AF647" s="1"/>
      <c r="AG647" s="1"/>
    </row>
    <row r="648" spans="1:33"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355"/>
      <c r="Y648" s="1"/>
      <c r="Z648" s="1"/>
      <c r="AA648" s="1"/>
      <c r="AB648" s="1"/>
      <c r="AC648" s="1"/>
      <c r="AD648" s="1"/>
      <c r="AE648" s="1"/>
      <c r="AF648" s="1"/>
      <c r="AG648" s="1"/>
    </row>
    <row r="649" spans="1:33"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355"/>
      <c r="Y649" s="1"/>
      <c r="Z649" s="1"/>
      <c r="AA649" s="1"/>
      <c r="AB649" s="1"/>
      <c r="AC649" s="1"/>
      <c r="AD649" s="1"/>
      <c r="AE649" s="1"/>
      <c r="AF649" s="1"/>
      <c r="AG649" s="1"/>
    </row>
    <row r="650" spans="1:33"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355"/>
      <c r="Y650" s="1"/>
      <c r="Z650" s="1"/>
      <c r="AA650" s="1"/>
      <c r="AB650" s="1"/>
      <c r="AC650" s="1"/>
      <c r="AD650" s="1"/>
      <c r="AE650" s="1"/>
      <c r="AF650" s="1"/>
      <c r="AG650" s="1"/>
    </row>
    <row r="651" spans="1:33"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355"/>
      <c r="Y651" s="1"/>
      <c r="Z651" s="1"/>
      <c r="AA651" s="1"/>
      <c r="AB651" s="1"/>
      <c r="AC651" s="1"/>
      <c r="AD651" s="1"/>
      <c r="AE651" s="1"/>
      <c r="AF651" s="1"/>
      <c r="AG651" s="1"/>
    </row>
    <row r="652" spans="1:33"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355"/>
      <c r="Y652" s="1"/>
      <c r="Z652" s="1"/>
      <c r="AA652" s="1"/>
      <c r="AB652" s="1"/>
      <c r="AC652" s="1"/>
      <c r="AD652" s="1"/>
      <c r="AE652" s="1"/>
      <c r="AF652" s="1"/>
      <c r="AG652" s="1"/>
    </row>
    <row r="653" spans="1:3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355"/>
      <c r="Y653" s="1"/>
      <c r="Z653" s="1"/>
      <c r="AA653" s="1"/>
      <c r="AB653" s="1"/>
      <c r="AC653" s="1"/>
      <c r="AD653" s="1"/>
      <c r="AE653" s="1"/>
      <c r="AF653" s="1"/>
      <c r="AG653" s="1"/>
    </row>
    <row r="654" spans="1:33"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355"/>
      <c r="Y654" s="1"/>
      <c r="Z654" s="1"/>
      <c r="AA654" s="1"/>
      <c r="AB654" s="1"/>
      <c r="AC654" s="1"/>
      <c r="AD654" s="1"/>
      <c r="AE654" s="1"/>
      <c r="AF654" s="1"/>
      <c r="AG654" s="1"/>
    </row>
    <row r="655" spans="1:33"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355"/>
      <c r="Y655" s="1"/>
      <c r="Z655" s="1"/>
      <c r="AA655" s="1"/>
      <c r="AB655" s="1"/>
      <c r="AC655" s="1"/>
      <c r="AD655" s="1"/>
      <c r="AE655" s="1"/>
      <c r="AF655" s="1"/>
      <c r="AG655" s="1"/>
    </row>
    <row r="656" spans="1:33"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355"/>
      <c r="Y656" s="1"/>
      <c r="Z656" s="1"/>
      <c r="AA656" s="1"/>
      <c r="AB656" s="1"/>
      <c r="AC656" s="1"/>
      <c r="AD656" s="1"/>
      <c r="AE656" s="1"/>
      <c r="AF656" s="1"/>
      <c r="AG656" s="1"/>
    </row>
    <row r="657" spans="1:33"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355"/>
      <c r="Y657" s="1"/>
      <c r="Z657" s="1"/>
      <c r="AA657" s="1"/>
      <c r="AB657" s="1"/>
      <c r="AC657" s="1"/>
      <c r="AD657" s="1"/>
      <c r="AE657" s="1"/>
      <c r="AF657" s="1"/>
      <c r="AG657" s="1"/>
    </row>
    <row r="658" spans="1:33"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355"/>
      <c r="Y658" s="1"/>
      <c r="Z658" s="1"/>
      <c r="AA658" s="1"/>
      <c r="AB658" s="1"/>
      <c r="AC658" s="1"/>
      <c r="AD658" s="1"/>
      <c r="AE658" s="1"/>
      <c r="AF658" s="1"/>
      <c r="AG658" s="1"/>
    </row>
    <row r="659" spans="1:33"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355"/>
      <c r="Y659" s="1"/>
      <c r="Z659" s="1"/>
      <c r="AA659" s="1"/>
      <c r="AB659" s="1"/>
      <c r="AC659" s="1"/>
      <c r="AD659" s="1"/>
      <c r="AE659" s="1"/>
      <c r="AF659" s="1"/>
      <c r="AG659" s="1"/>
    </row>
    <row r="660" spans="1:33"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355"/>
      <c r="Y660" s="1"/>
      <c r="Z660" s="1"/>
      <c r="AA660" s="1"/>
      <c r="AB660" s="1"/>
      <c r="AC660" s="1"/>
      <c r="AD660" s="1"/>
      <c r="AE660" s="1"/>
      <c r="AF660" s="1"/>
      <c r="AG660" s="1"/>
    </row>
    <row r="661" spans="1:33"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355"/>
      <c r="Y661" s="1"/>
      <c r="Z661" s="1"/>
      <c r="AA661" s="1"/>
      <c r="AB661" s="1"/>
      <c r="AC661" s="1"/>
      <c r="AD661" s="1"/>
      <c r="AE661" s="1"/>
      <c r="AF661" s="1"/>
      <c r="AG661" s="1"/>
    </row>
    <row r="662" spans="1:33"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355"/>
      <c r="Y662" s="1"/>
      <c r="Z662" s="1"/>
      <c r="AA662" s="1"/>
      <c r="AB662" s="1"/>
      <c r="AC662" s="1"/>
      <c r="AD662" s="1"/>
      <c r="AE662" s="1"/>
      <c r="AF662" s="1"/>
      <c r="AG662" s="1"/>
    </row>
    <row r="663" spans="1:3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355"/>
      <c r="Y663" s="1"/>
      <c r="Z663" s="1"/>
      <c r="AA663" s="1"/>
      <c r="AB663" s="1"/>
      <c r="AC663" s="1"/>
      <c r="AD663" s="1"/>
      <c r="AE663" s="1"/>
      <c r="AF663" s="1"/>
      <c r="AG663" s="1"/>
    </row>
    <row r="664" spans="1:33"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355"/>
      <c r="Y664" s="1"/>
      <c r="Z664" s="1"/>
      <c r="AA664" s="1"/>
      <c r="AB664" s="1"/>
      <c r="AC664" s="1"/>
      <c r="AD664" s="1"/>
      <c r="AE664" s="1"/>
      <c r="AF664" s="1"/>
      <c r="AG664" s="1"/>
    </row>
    <row r="665" spans="1:33"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355"/>
      <c r="Y665" s="1"/>
      <c r="Z665" s="1"/>
      <c r="AA665" s="1"/>
      <c r="AB665" s="1"/>
      <c r="AC665" s="1"/>
      <c r="AD665" s="1"/>
      <c r="AE665" s="1"/>
      <c r="AF665" s="1"/>
      <c r="AG665" s="1"/>
    </row>
    <row r="666" spans="1:33"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355"/>
      <c r="Y666" s="1"/>
      <c r="Z666" s="1"/>
      <c r="AA666" s="1"/>
      <c r="AB666" s="1"/>
      <c r="AC666" s="1"/>
      <c r="AD666" s="1"/>
      <c r="AE666" s="1"/>
      <c r="AF666" s="1"/>
      <c r="AG666" s="1"/>
    </row>
    <row r="667" spans="1:33"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355"/>
      <c r="Y667" s="1"/>
      <c r="Z667" s="1"/>
      <c r="AA667" s="1"/>
      <c r="AB667" s="1"/>
      <c r="AC667" s="1"/>
      <c r="AD667" s="1"/>
      <c r="AE667" s="1"/>
      <c r="AF667" s="1"/>
      <c r="AG667" s="1"/>
    </row>
    <row r="668" spans="1:33"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355"/>
      <c r="Y668" s="1"/>
      <c r="Z668" s="1"/>
      <c r="AA668" s="1"/>
      <c r="AB668" s="1"/>
      <c r="AC668" s="1"/>
      <c r="AD668" s="1"/>
      <c r="AE668" s="1"/>
      <c r="AF668" s="1"/>
      <c r="AG668" s="1"/>
    </row>
    <row r="669" spans="1:33"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355"/>
      <c r="Y669" s="1"/>
      <c r="Z669" s="1"/>
      <c r="AA669" s="1"/>
      <c r="AB669" s="1"/>
      <c r="AC669" s="1"/>
      <c r="AD669" s="1"/>
      <c r="AE669" s="1"/>
      <c r="AF669" s="1"/>
      <c r="AG669" s="1"/>
    </row>
    <row r="670" spans="1:33"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355"/>
      <c r="Y670" s="1"/>
      <c r="Z670" s="1"/>
      <c r="AA670" s="1"/>
      <c r="AB670" s="1"/>
      <c r="AC670" s="1"/>
      <c r="AD670" s="1"/>
      <c r="AE670" s="1"/>
      <c r="AF670" s="1"/>
      <c r="AG670" s="1"/>
    </row>
    <row r="671" spans="1:33"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355"/>
      <c r="Y671" s="1"/>
      <c r="Z671" s="1"/>
      <c r="AA671" s="1"/>
      <c r="AB671" s="1"/>
      <c r="AC671" s="1"/>
      <c r="AD671" s="1"/>
      <c r="AE671" s="1"/>
      <c r="AF671" s="1"/>
      <c r="AG671" s="1"/>
    </row>
    <row r="672" spans="1:33"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355"/>
      <c r="Y672" s="1"/>
      <c r="Z672" s="1"/>
      <c r="AA672" s="1"/>
      <c r="AB672" s="1"/>
      <c r="AC672" s="1"/>
      <c r="AD672" s="1"/>
      <c r="AE672" s="1"/>
      <c r="AF672" s="1"/>
      <c r="AG672" s="1"/>
    </row>
    <row r="673" spans="1:3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355"/>
      <c r="Y673" s="1"/>
      <c r="Z673" s="1"/>
      <c r="AA673" s="1"/>
      <c r="AB673" s="1"/>
      <c r="AC673" s="1"/>
      <c r="AD673" s="1"/>
      <c r="AE673" s="1"/>
      <c r="AF673" s="1"/>
      <c r="AG673" s="1"/>
    </row>
    <row r="674" spans="1:33"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355"/>
      <c r="Y674" s="1"/>
      <c r="Z674" s="1"/>
      <c r="AA674" s="1"/>
      <c r="AB674" s="1"/>
      <c r="AC674" s="1"/>
      <c r="AD674" s="1"/>
      <c r="AE674" s="1"/>
      <c r="AF674" s="1"/>
      <c r="AG674" s="1"/>
    </row>
    <row r="675" spans="1:33"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355"/>
      <c r="Y675" s="1"/>
      <c r="Z675" s="1"/>
      <c r="AA675" s="1"/>
      <c r="AB675" s="1"/>
      <c r="AC675" s="1"/>
      <c r="AD675" s="1"/>
      <c r="AE675" s="1"/>
      <c r="AF675" s="1"/>
      <c r="AG675" s="1"/>
    </row>
    <row r="676" spans="1:33"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355"/>
      <c r="Y676" s="1"/>
      <c r="Z676" s="1"/>
      <c r="AA676" s="1"/>
      <c r="AB676" s="1"/>
      <c r="AC676" s="1"/>
      <c r="AD676" s="1"/>
      <c r="AE676" s="1"/>
      <c r="AF676" s="1"/>
      <c r="AG676" s="1"/>
    </row>
    <row r="677" spans="1:33"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355"/>
      <c r="Y677" s="1"/>
      <c r="Z677" s="1"/>
      <c r="AA677" s="1"/>
      <c r="AB677" s="1"/>
      <c r="AC677" s="1"/>
      <c r="AD677" s="1"/>
      <c r="AE677" s="1"/>
      <c r="AF677" s="1"/>
      <c r="AG677" s="1"/>
    </row>
    <row r="678" spans="1:33"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355"/>
      <c r="Y678" s="1"/>
      <c r="Z678" s="1"/>
      <c r="AA678" s="1"/>
      <c r="AB678" s="1"/>
      <c r="AC678" s="1"/>
      <c r="AD678" s="1"/>
      <c r="AE678" s="1"/>
      <c r="AF678" s="1"/>
      <c r="AG678" s="1"/>
    </row>
    <row r="679" spans="1:33"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355"/>
      <c r="Y679" s="1"/>
      <c r="Z679" s="1"/>
      <c r="AA679" s="1"/>
      <c r="AB679" s="1"/>
      <c r="AC679" s="1"/>
      <c r="AD679" s="1"/>
      <c r="AE679" s="1"/>
      <c r="AF679" s="1"/>
      <c r="AG679" s="1"/>
    </row>
    <row r="680" spans="1:33"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355"/>
      <c r="Y680" s="1"/>
      <c r="Z680" s="1"/>
      <c r="AA680" s="1"/>
      <c r="AB680" s="1"/>
      <c r="AC680" s="1"/>
      <c r="AD680" s="1"/>
      <c r="AE680" s="1"/>
      <c r="AF680" s="1"/>
      <c r="AG680" s="1"/>
    </row>
    <row r="681" spans="1:33"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355"/>
      <c r="Y681" s="1"/>
      <c r="Z681" s="1"/>
      <c r="AA681" s="1"/>
      <c r="AB681" s="1"/>
      <c r="AC681" s="1"/>
      <c r="AD681" s="1"/>
      <c r="AE681" s="1"/>
      <c r="AF681" s="1"/>
      <c r="AG681" s="1"/>
    </row>
    <row r="682" spans="1:33"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355"/>
      <c r="Y682" s="1"/>
      <c r="Z682" s="1"/>
      <c r="AA682" s="1"/>
      <c r="AB682" s="1"/>
      <c r="AC682" s="1"/>
      <c r="AD682" s="1"/>
      <c r="AE682" s="1"/>
      <c r="AF682" s="1"/>
      <c r="AG682" s="1"/>
    </row>
    <row r="683" spans="1:3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355"/>
      <c r="Y683" s="1"/>
      <c r="Z683" s="1"/>
      <c r="AA683" s="1"/>
      <c r="AB683" s="1"/>
      <c r="AC683" s="1"/>
      <c r="AD683" s="1"/>
      <c r="AE683" s="1"/>
      <c r="AF683" s="1"/>
      <c r="AG683" s="1"/>
    </row>
    <row r="684" spans="1:33"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355"/>
      <c r="Y684" s="1"/>
      <c r="Z684" s="1"/>
      <c r="AA684" s="1"/>
      <c r="AB684" s="1"/>
      <c r="AC684" s="1"/>
      <c r="AD684" s="1"/>
      <c r="AE684" s="1"/>
      <c r="AF684" s="1"/>
      <c r="AG684" s="1"/>
    </row>
    <row r="685" spans="1:33"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355"/>
      <c r="Y685" s="1"/>
      <c r="Z685" s="1"/>
      <c r="AA685" s="1"/>
      <c r="AB685" s="1"/>
      <c r="AC685" s="1"/>
      <c r="AD685" s="1"/>
      <c r="AE685" s="1"/>
      <c r="AF685" s="1"/>
      <c r="AG685" s="1"/>
    </row>
    <row r="686" spans="1:33"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355"/>
      <c r="Y686" s="1"/>
      <c r="Z686" s="1"/>
      <c r="AA686" s="1"/>
      <c r="AB686" s="1"/>
      <c r="AC686" s="1"/>
      <c r="AD686" s="1"/>
      <c r="AE686" s="1"/>
      <c r="AF686" s="1"/>
      <c r="AG686" s="1"/>
    </row>
    <row r="687" spans="1:33"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355"/>
      <c r="Y687" s="1"/>
      <c r="Z687" s="1"/>
      <c r="AA687" s="1"/>
      <c r="AB687" s="1"/>
      <c r="AC687" s="1"/>
      <c r="AD687" s="1"/>
      <c r="AE687" s="1"/>
      <c r="AF687" s="1"/>
      <c r="AG687" s="1"/>
    </row>
    <row r="688" spans="1:33"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355"/>
      <c r="Y688" s="1"/>
      <c r="Z688" s="1"/>
      <c r="AA688" s="1"/>
      <c r="AB688" s="1"/>
      <c r="AC688" s="1"/>
      <c r="AD688" s="1"/>
      <c r="AE688" s="1"/>
      <c r="AF688" s="1"/>
      <c r="AG688" s="1"/>
    </row>
    <row r="689" spans="1:33"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355"/>
      <c r="Y689" s="1"/>
      <c r="Z689" s="1"/>
      <c r="AA689" s="1"/>
      <c r="AB689" s="1"/>
      <c r="AC689" s="1"/>
      <c r="AD689" s="1"/>
      <c r="AE689" s="1"/>
      <c r="AF689" s="1"/>
      <c r="AG689" s="1"/>
    </row>
    <row r="690" spans="1:33"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355"/>
      <c r="Y690" s="1"/>
      <c r="Z690" s="1"/>
      <c r="AA690" s="1"/>
      <c r="AB690" s="1"/>
      <c r="AC690" s="1"/>
      <c r="AD690" s="1"/>
      <c r="AE690" s="1"/>
      <c r="AF690" s="1"/>
      <c r="AG690" s="1"/>
    </row>
    <row r="691" spans="1:33"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355"/>
      <c r="Y691" s="1"/>
      <c r="Z691" s="1"/>
      <c r="AA691" s="1"/>
      <c r="AB691" s="1"/>
      <c r="AC691" s="1"/>
      <c r="AD691" s="1"/>
      <c r="AE691" s="1"/>
      <c r="AF691" s="1"/>
      <c r="AG691" s="1"/>
    </row>
    <row r="692" spans="1:33"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355"/>
      <c r="Y692" s="1"/>
      <c r="Z692" s="1"/>
      <c r="AA692" s="1"/>
      <c r="AB692" s="1"/>
      <c r="AC692" s="1"/>
      <c r="AD692" s="1"/>
      <c r="AE692" s="1"/>
      <c r="AF692" s="1"/>
      <c r="AG692" s="1"/>
    </row>
    <row r="693" spans="1:3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355"/>
      <c r="Y693" s="1"/>
      <c r="Z693" s="1"/>
      <c r="AA693" s="1"/>
      <c r="AB693" s="1"/>
      <c r="AC693" s="1"/>
      <c r="AD693" s="1"/>
      <c r="AE693" s="1"/>
      <c r="AF693" s="1"/>
      <c r="AG693" s="1"/>
    </row>
    <row r="694" spans="1:33"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355"/>
      <c r="Y694" s="1"/>
      <c r="Z694" s="1"/>
      <c r="AA694" s="1"/>
      <c r="AB694" s="1"/>
      <c r="AC694" s="1"/>
      <c r="AD694" s="1"/>
      <c r="AE694" s="1"/>
      <c r="AF694" s="1"/>
      <c r="AG694" s="1"/>
    </row>
    <row r="695" spans="1:33"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355"/>
      <c r="Y695" s="1"/>
      <c r="Z695" s="1"/>
      <c r="AA695" s="1"/>
      <c r="AB695" s="1"/>
      <c r="AC695" s="1"/>
      <c r="AD695" s="1"/>
      <c r="AE695" s="1"/>
      <c r="AF695" s="1"/>
      <c r="AG695" s="1"/>
    </row>
    <row r="696" spans="1:33"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355"/>
      <c r="Y696" s="1"/>
      <c r="Z696" s="1"/>
      <c r="AA696" s="1"/>
      <c r="AB696" s="1"/>
      <c r="AC696" s="1"/>
      <c r="AD696" s="1"/>
      <c r="AE696" s="1"/>
      <c r="AF696" s="1"/>
      <c r="AG696" s="1"/>
    </row>
    <row r="697" spans="1:33"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355"/>
      <c r="Y697" s="1"/>
      <c r="Z697" s="1"/>
      <c r="AA697" s="1"/>
      <c r="AB697" s="1"/>
      <c r="AC697" s="1"/>
      <c r="AD697" s="1"/>
      <c r="AE697" s="1"/>
      <c r="AF697" s="1"/>
      <c r="AG697" s="1"/>
    </row>
    <row r="698" spans="1:33"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355"/>
      <c r="Y698" s="1"/>
      <c r="Z698" s="1"/>
      <c r="AA698" s="1"/>
      <c r="AB698" s="1"/>
      <c r="AC698" s="1"/>
      <c r="AD698" s="1"/>
      <c r="AE698" s="1"/>
      <c r="AF698" s="1"/>
      <c r="AG698" s="1"/>
    </row>
    <row r="699" spans="1:33"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355"/>
      <c r="Y699" s="1"/>
      <c r="Z699" s="1"/>
      <c r="AA699" s="1"/>
      <c r="AB699" s="1"/>
      <c r="AC699" s="1"/>
      <c r="AD699" s="1"/>
      <c r="AE699" s="1"/>
      <c r="AF699" s="1"/>
      <c r="AG699" s="1"/>
    </row>
    <row r="700" spans="1:33"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355"/>
      <c r="Y700" s="1"/>
      <c r="Z700" s="1"/>
      <c r="AA700" s="1"/>
      <c r="AB700" s="1"/>
      <c r="AC700" s="1"/>
      <c r="AD700" s="1"/>
      <c r="AE700" s="1"/>
      <c r="AF700" s="1"/>
      <c r="AG700" s="1"/>
    </row>
    <row r="701" spans="1:33"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355"/>
      <c r="Y701" s="1"/>
      <c r="Z701" s="1"/>
      <c r="AA701" s="1"/>
      <c r="AB701" s="1"/>
      <c r="AC701" s="1"/>
      <c r="AD701" s="1"/>
      <c r="AE701" s="1"/>
      <c r="AF701" s="1"/>
      <c r="AG701" s="1"/>
    </row>
    <row r="702" spans="1:33"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355"/>
      <c r="Y702" s="1"/>
      <c r="Z702" s="1"/>
      <c r="AA702" s="1"/>
      <c r="AB702" s="1"/>
      <c r="AC702" s="1"/>
      <c r="AD702" s="1"/>
      <c r="AE702" s="1"/>
      <c r="AF702" s="1"/>
      <c r="AG702" s="1"/>
    </row>
    <row r="703" spans="1:3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355"/>
      <c r="Y703" s="1"/>
      <c r="Z703" s="1"/>
      <c r="AA703" s="1"/>
      <c r="AB703" s="1"/>
      <c r="AC703" s="1"/>
      <c r="AD703" s="1"/>
      <c r="AE703" s="1"/>
      <c r="AF703" s="1"/>
      <c r="AG703" s="1"/>
    </row>
    <row r="704" spans="1:33"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355"/>
      <c r="Y704" s="1"/>
      <c r="Z704" s="1"/>
      <c r="AA704" s="1"/>
      <c r="AB704" s="1"/>
      <c r="AC704" s="1"/>
      <c r="AD704" s="1"/>
      <c r="AE704" s="1"/>
      <c r="AF704" s="1"/>
      <c r="AG704" s="1"/>
    </row>
    <row r="705" spans="1:33"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355"/>
      <c r="Y705" s="1"/>
      <c r="Z705" s="1"/>
      <c r="AA705" s="1"/>
      <c r="AB705" s="1"/>
      <c r="AC705" s="1"/>
      <c r="AD705" s="1"/>
      <c r="AE705" s="1"/>
      <c r="AF705" s="1"/>
      <c r="AG705" s="1"/>
    </row>
    <row r="706" spans="1:33"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355"/>
      <c r="Y706" s="1"/>
      <c r="Z706" s="1"/>
      <c r="AA706" s="1"/>
      <c r="AB706" s="1"/>
      <c r="AC706" s="1"/>
      <c r="AD706" s="1"/>
      <c r="AE706" s="1"/>
      <c r="AF706" s="1"/>
      <c r="AG706" s="1"/>
    </row>
    <row r="707" spans="1:33"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355"/>
      <c r="Y707" s="1"/>
      <c r="Z707" s="1"/>
      <c r="AA707" s="1"/>
      <c r="AB707" s="1"/>
      <c r="AC707" s="1"/>
      <c r="AD707" s="1"/>
      <c r="AE707" s="1"/>
      <c r="AF707" s="1"/>
      <c r="AG707" s="1"/>
    </row>
    <row r="708" spans="1:33"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355"/>
      <c r="Y708" s="1"/>
      <c r="Z708" s="1"/>
      <c r="AA708" s="1"/>
      <c r="AB708" s="1"/>
      <c r="AC708" s="1"/>
      <c r="AD708" s="1"/>
      <c r="AE708" s="1"/>
      <c r="AF708" s="1"/>
      <c r="AG708" s="1"/>
    </row>
    <row r="709" spans="1:33"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355"/>
      <c r="Y709" s="1"/>
      <c r="Z709" s="1"/>
      <c r="AA709" s="1"/>
      <c r="AB709" s="1"/>
      <c r="AC709" s="1"/>
      <c r="AD709" s="1"/>
      <c r="AE709" s="1"/>
      <c r="AF709" s="1"/>
      <c r="AG709" s="1"/>
    </row>
    <row r="710" spans="1:33"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355"/>
      <c r="Y710" s="1"/>
      <c r="Z710" s="1"/>
      <c r="AA710" s="1"/>
      <c r="AB710" s="1"/>
      <c r="AC710" s="1"/>
      <c r="AD710" s="1"/>
      <c r="AE710" s="1"/>
      <c r="AF710" s="1"/>
      <c r="AG710" s="1"/>
    </row>
    <row r="711" spans="1:33"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355"/>
      <c r="Y711" s="1"/>
      <c r="Z711" s="1"/>
      <c r="AA711" s="1"/>
      <c r="AB711" s="1"/>
      <c r="AC711" s="1"/>
      <c r="AD711" s="1"/>
      <c r="AE711" s="1"/>
      <c r="AF711" s="1"/>
      <c r="AG711" s="1"/>
    </row>
    <row r="712" spans="1:33"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355"/>
      <c r="Y712" s="1"/>
      <c r="Z712" s="1"/>
      <c r="AA712" s="1"/>
      <c r="AB712" s="1"/>
      <c r="AC712" s="1"/>
      <c r="AD712" s="1"/>
      <c r="AE712" s="1"/>
      <c r="AF712" s="1"/>
      <c r="AG712" s="1"/>
    </row>
    <row r="713" spans="1:3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355"/>
      <c r="Y713" s="1"/>
      <c r="Z713" s="1"/>
      <c r="AA713" s="1"/>
      <c r="AB713" s="1"/>
      <c r="AC713" s="1"/>
      <c r="AD713" s="1"/>
      <c r="AE713" s="1"/>
      <c r="AF713" s="1"/>
      <c r="AG713" s="1"/>
    </row>
    <row r="714" spans="1:33"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355"/>
      <c r="Y714" s="1"/>
      <c r="Z714" s="1"/>
      <c r="AA714" s="1"/>
      <c r="AB714" s="1"/>
      <c r="AC714" s="1"/>
      <c r="AD714" s="1"/>
      <c r="AE714" s="1"/>
      <c r="AF714" s="1"/>
      <c r="AG714" s="1"/>
    </row>
    <row r="715" spans="1:33"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355"/>
      <c r="Y715" s="1"/>
      <c r="Z715" s="1"/>
      <c r="AA715" s="1"/>
      <c r="AB715" s="1"/>
      <c r="AC715" s="1"/>
      <c r="AD715" s="1"/>
      <c r="AE715" s="1"/>
      <c r="AF715" s="1"/>
      <c r="AG715" s="1"/>
    </row>
    <row r="716" spans="1:33"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355"/>
      <c r="Y716" s="1"/>
      <c r="Z716" s="1"/>
      <c r="AA716" s="1"/>
      <c r="AB716" s="1"/>
      <c r="AC716" s="1"/>
      <c r="AD716" s="1"/>
      <c r="AE716" s="1"/>
      <c r="AF716" s="1"/>
      <c r="AG716" s="1"/>
    </row>
    <row r="717" spans="1:33"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355"/>
      <c r="Y717" s="1"/>
      <c r="Z717" s="1"/>
      <c r="AA717" s="1"/>
      <c r="AB717" s="1"/>
      <c r="AC717" s="1"/>
      <c r="AD717" s="1"/>
      <c r="AE717" s="1"/>
      <c r="AF717" s="1"/>
      <c r="AG717" s="1"/>
    </row>
    <row r="718" spans="1:33"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355"/>
      <c r="Y718" s="1"/>
      <c r="Z718" s="1"/>
      <c r="AA718" s="1"/>
      <c r="AB718" s="1"/>
      <c r="AC718" s="1"/>
      <c r="AD718" s="1"/>
      <c r="AE718" s="1"/>
      <c r="AF718" s="1"/>
      <c r="AG718" s="1"/>
    </row>
    <row r="719" spans="1:33"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355"/>
      <c r="Y719" s="1"/>
      <c r="Z719" s="1"/>
      <c r="AA719" s="1"/>
      <c r="AB719" s="1"/>
      <c r="AC719" s="1"/>
      <c r="AD719" s="1"/>
      <c r="AE719" s="1"/>
      <c r="AF719" s="1"/>
      <c r="AG719" s="1"/>
    </row>
    <row r="720" spans="1:33"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355"/>
      <c r="Y720" s="1"/>
      <c r="Z720" s="1"/>
      <c r="AA720" s="1"/>
      <c r="AB720" s="1"/>
      <c r="AC720" s="1"/>
      <c r="AD720" s="1"/>
      <c r="AE720" s="1"/>
      <c r="AF720" s="1"/>
      <c r="AG720" s="1"/>
    </row>
    <row r="721" spans="1:33"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355"/>
      <c r="Y721" s="1"/>
      <c r="Z721" s="1"/>
      <c r="AA721" s="1"/>
      <c r="AB721" s="1"/>
      <c r="AC721" s="1"/>
      <c r="AD721" s="1"/>
      <c r="AE721" s="1"/>
      <c r="AF721" s="1"/>
      <c r="AG721" s="1"/>
    </row>
    <row r="722" spans="1:33"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355"/>
      <c r="Y722" s="1"/>
      <c r="Z722" s="1"/>
      <c r="AA722" s="1"/>
      <c r="AB722" s="1"/>
      <c r="AC722" s="1"/>
      <c r="AD722" s="1"/>
      <c r="AE722" s="1"/>
      <c r="AF722" s="1"/>
      <c r="AG722" s="1"/>
    </row>
    <row r="723" spans="1:3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355"/>
      <c r="Y723" s="1"/>
      <c r="Z723" s="1"/>
      <c r="AA723" s="1"/>
      <c r="AB723" s="1"/>
      <c r="AC723" s="1"/>
      <c r="AD723" s="1"/>
      <c r="AE723" s="1"/>
      <c r="AF723" s="1"/>
      <c r="AG723" s="1"/>
    </row>
    <row r="724" spans="1:33"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355"/>
      <c r="Y724" s="1"/>
      <c r="Z724" s="1"/>
      <c r="AA724" s="1"/>
      <c r="AB724" s="1"/>
      <c r="AC724" s="1"/>
      <c r="AD724" s="1"/>
      <c r="AE724" s="1"/>
      <c r="AF724" s="1"/>
      <c r="AG724" s="1"/>
    </row>
    <row r="725" spans="1:33"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355"/>
      <c r="Y725" s="1"/>
      <c r="Z725" s="1"/>
      <c r="AA725" s="1"/>
      <c r="AB725" s="1"/>
      <c r="AC725" s="1"/>
      <c r="AD725" s="1"/>
      <c r="AE725" s="1"/>
      <c r="AF725" s="1"/>
      <c r="AG725" s="1"/>
    </row>
    <row r="726" spans="1:33"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355"/>
      <c r="Y726" s="1"/>
      <c r="Z726" s="1"/>
      <c r="AA726" s="1"/>
      <c r="AB726" s="1"/>
      <c r="AC726" s="1"/>
      <c r="AD726" s="1"/>
      <c r="AE726" s="1"/>
      <c r="AF726" s="1"/>
      <c r="AG726" s="1"/>
    </row>
    <row r="727" spans="1:33"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355"/>
      <c r="Y727" s="1"/>
      <c r="Z727" s="1"/>
      <c r="AA727" s="1"/>
      <c r="AB727" s="1"/>
      <c r="AC727" s="1"/>
      <c r="AD727" s="1"/>
      <c r="AE727" s="1"/>
      <c r="AF727" s="1"/>
      <c r="AG727" s="1"/>
    </row>
    <row r="728" spans="1:33"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355"/>
      <c r="Y728" s="1"/>
      <c r="Z728" s="1"/>
      <c r="AA728" s="1"/>
      <c r="AB728" s="1"/>
      <c r="AC728" s="1"/>
      <c r="AD728" s="1"/>
      <c r="AE728" s="1"/>
      <c r="AF728" s="1"/>
      <c r="AG728" s="1"/>
    </row>
    <row r="729" spans="1:33"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355"/>
      <c r="Y729" s="1"/>
      <c r="Z729" s="1"/>
      <c r="AA729" s="1"/>
      <c r="AB729" s="1"/>
      <c r="AC729" s="1"/>
      <c r="AD729" s="1"/>
      <c r="AE729" s="1"/>
      <c r="AF729" s="1"/>
      <c r="AG729" s="1"/>
    </row>
    <row r="730" spans="1:33"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355"/>
      <c r="Y730" s="1"/>
      <c r="Z730" s="1"/>
      <c r="AA730" s="1"/>
      <c r="AB730" s="1"/>
      <c r="AC730" s="1"/>
      <c r="AD730" s="1"/>
      <c r="AE730" s="1"/>
      <c r="AF730" s="1"/>
      <c r="AG730" s="1"/>
    </row>
    <row r="731" spans="1:33"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355"/>
      <c r="Y731" s="1"/>
      <c r="Z731" s="1"/>
      <c r="AA731" s="1"/>
      <c r="AB731" s="1"/>
      <c r="AC731" s="1"/>
      <c r="AD731" s="1"/>
      <c r="AE731" s="1"/>
      <c r="AF731" s="1"/>
      <c r="AG731" s="1"/>
    </row>
    <row r="732" spans="1:33"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355"/>
      <c r="Y732" s="1"/>
      <c r="Z732" s="1"/>
      <c r="AA732" s="1"/>
      <c r="AB732" s="1"/>
      <c r="AC732" s="1"/>
      <c r="AD732" s="1"/>
      <c r="AE732" s="1"/>
      <c r="AF732" s="1"/>
      <c r="AG732" s="1"/>
    </row>
    <row r="733" spans="1: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355"/>
      <c r="Y733" s="1"/>
      <c r="Z733" s="1"/>
      <c r="AA733" s="1"/>
      <c r="AB733" s="1"/>
      <c r="AC733" s="1"/>
      <c r="AD733" s="1"/>
      <c r="AE733" s="1"/>
      <c r="AF733" s="1"/>
      <c r="AG733" s="1"/>
    </row>
    <row r="734" spans="1:33"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355"/>
      <c r="Y734" s="1"/>
      <c r="Z734" s="1"/>
      <c r="AA734" s="1"/>
      <c r="AB734" s="1"/>
      <c r="AC734" s="1"/>
      <c r="AD734" s="1"/>
      <c r="AE734" s="1"/>
      <c r="AF734" s="1"/>
      <c r="AG734" s="1"/>
    </row>
    <row r="735" spans="1:33"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355"/>
      <c r="Y735" s="1"/>
      <c r="Z735" s="1"/>
      <c r="AA735" s="1"/>
      <c r="AB735" s="1"/>
      <c r="AC735" s="1"/>
      <c r="AD735" s="1"/>
      <c r="AE735" s="1"/>
      <c r="AF735" s="1"/>
      <c r="AG735" s="1"/>
    </row>
    <row r="736" spans="1:33"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355"/>
      <c r="Y736" s="1"/>
      <c r="Z736" s="1"/>
      <c r="AA736" s="1"/>
      <c r="AB736" s="1"/>
      <c r="AC736" s="1"/>
      <c r="AD736" s="1"/>
      <c r="AE736" s="1"/>
      <c r="AF736" s="1"/>
      <c r="AG736" s="1"/>
    </row>
    <row r="737" spans="1:33"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355"/>
      <c r="Y737" s="1"/>
      <c r="Z737" s="1"/>
      <c r="AA737" s="1"/>
      <c r="AB737" s="1"/>
      <c r="AC737" s="1"/>
      <c r="AD737" s="1"/>
      <c r="AE737" s="1"/>
      <c r="AF737" s="1"/>
      <c r="AG737" s="1"/>
    </row>
    <row r="738" spans="1:33"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355"/>
      <c r="Y738" s="1"/>
      <c r="Z738" s="1"/>
      <c r="AA738" s="1"/>
      <c r="AB738" s="1"/>
      <c r="AC738" s="1"/>
      <c r="AD738" s="1"/>
      <c r="AE738" s="1"/>
      <c r="AF738" s="1"/>
      <c r="AG738" s="1"/>
    </row>
    <row r="739" spans="1:33"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355"/>
      <c r="Y739" s="1"/>
      <c r="Z739" s="1"/>
      <c r="AA739" s="1"/>
      <c r="AB739" s="1"/>
      <c r="AC739" s="1"/>
      <c r="AD739" s="1"/>
      <c r="AE739" s="1"/>
      <c r="AF739" s="1"/>
      <c r="AG739" s="1"/>
    </row>
    <row r="740" spans="1:33"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355"/>
      <c r="Y740" s="1"/>
      <c r="Z740" s="1"/>
      <c r="AA740" s="1"/>
      <c r="AB740" s="1"/>
      <c r="AC740" s="1"/>
      <c r="AD740" s="1"/>
      <c r="AE740" s="1"/>
      <c r="AF740" s="1"/>
      <c r="AG740" s="1"/>
    </row>
    <row r="741" spans="1:33"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355"/>
      <c r="Y741" s="1"/>
      <c r="Z741" s="1"/>
      <c r="AA741" s="1"/>
      <c r="AB741" s="1"/>
      <c r="AC741" s="1"/>
      <c r="AD741" s="1"/>
      <c r="AE741" s="1"/>
      <c r="AF741" s="1"/>
      <c r="AG741" s="1"/>
    </row>
    <row r="742" spans="1:33"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355"/>
      <c r="Y742" s="1"/>
      <c r="Z742" s="1"/>
      <c r="AA742" s="1"/>
      <c r="AB742" s="1"/>
      <c r="AC742" s="1"/>
      <c r="AD742" s="1"/>
      <c r="AE742" s="1"/>
      <c r="AF742" s="1"/>
      <c r="AG742" s="1"/>
    </row>
    <row r="743" spans="1:3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355"/>
      <c r="Y743" s="1"/>
      <c r="Z743" s="1"/>
      <c r="AA743" s="1"/>
      <c r="AB743" s="1"/>
      <c r="AC743" s="1"/>
      <c r="AD743" s="1"/>
      <c r="AE743" s="1"/>
      <c r="AF743" s="1"/>
      <c r="AG743" s="1"/>
    </row>
    <row r="744" spans="1:33"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355"/>
      <c r="Y744" s="1"/>
      <c r="Z744" s="1"/>
      <c r="AA744" s="1"/>
      <c r="AB744" s="1"/>
      <c r="AC744" s="1"/>
      <c r="AD744" s="1"/>
      <c r="AE744" s="1"/>
      <c r="AF744" s="1"/>
      <c r="AG744" s="1"/>
    </row>
    <row r="745" spans="1:33"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355"/>
      <c r="Y745" s="1"/>
      <c r="Z745" s="1"/>
      <c r="AA745" s="1"/>
      <c r="AB745" s="1"/>
      <c r="AC745" s="1"/>
      <c r="AD745" s="1"/>
      <c r="AE745" s="1"/>
      <c r="AF745" s="1"/>
      <c r="AG745" s="1"/>
    </row>
    <row r="746" spans="1:33"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355"/>
      <c r="Y746" s="1"/>
      <c r="Z746" s="1"/>
      <c r="AA746" s="1"/>
      <c r="AB746" s="1"/>
      <c r="AC746" s="1"/>
      <c r="AD746" s="1"/>
      <c r="AE746" s="1"/>
      <c r="AF746" s="1"/>
      <c r="AG746" s="1"/>
    </row>
    <row r="747" spans="1:33"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355"/>
      <c r="Y747" s="1"/>
      <c r="Z747" s="1"/>
      <c r="AA747" s="1"/>
      <c r="AB747" s="1"/>
      <c r="AC747" s="1"/>
      <c r="AD747" s="1"/>
      <c r="AE747" s="1"/>
      <c r="AF747" s="1"/>
      <c r="AG747" s="1"/>
    </row>
    <row r="748" spans="1:33"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355"/>
      <c r="Y748" s="1"/>
      <c r="Z748" s="1"/>
      <c r="AA748" s="1"/>
      <c r="AB748" s="1"/>
      <c r="AC748" s="1"/>
      <c r="AD748" s="1"/>
      <c r="AE748" s="1"/>
      <c r="AF748" s="1"/>
      <c r="AG748" s="1"/>
    </row>
    <row r="749" spans="1:33"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355"/>
      <c r="Y749" s="1"/>
      <c r="Z749" s="1"/>
      <c r="AA749" s="1"/>
      <c r="AB749" s="1"/>
      <c r="AC749" s="1"/>
      <c r="AD749" s="1"/>
      <c r="AE749" s="1"/>
      <c r="AF749" s="1"/>
      <c r="AG749" s="1"/>
    </row>
    <row r="750" spans="1:33"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355"/>
      <c r="Y750" s="1"/>
      <c r="Z750" s="1"/>
      <c r="AA750" s="1"/>
      <c r="AB750" s="1"/>
      <c r="AC750" s="1"/>
      <c r="AD750" s="1"/>
      <c r="AE750" s="1"/>
      <c r="AF750" s="1"/>
      <c r="AG750" s="1"/>
    </row>
    <row r="751" spans="1:33"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355"/>
      <c r="Y751" s="1"/>
      <c r="Z751" s="1"/>
      <c r="AA751" s="1"/>
      <c r="AB751" s="1"/>
      <c r="AC751" s="1"/>
      <c r="AD751" s="1"/>
      <c r="AE751" s="1"/>
      <c r="AF751" s="1"/>
      <c r="AG751" s="1"/>
    </row>
    <row r="752" spans="1:33"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355"/>
      <c r="Y752" s="1"/>
      <c r="Z752" s="1"/>
      <c r="AA752" s="1"/>
      <c r="AB752" s="1"/>
      <c r="AC752" s="1"/>
      <c r="AD752" s="1"/>
      <c r="AE752" s="1"/>
      <c r="AF752" s="1"/>
      <c r="AG752" s="1"/>
    </row>
    <row r="753" spans="1:3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355"/>
      <c r="Y753" s="1"/>
      <c r="Z753" s="1"/>
      <c r="AA753" s="1"/>
      <c r="AB753" s="1"/>
      <c r="AC753" s="1"/>
      <c r="AD753" s="1"/>
      <c r="AE753" s="1"/>
      <c r="AF753" s="1"/>
      <c r="AG753" s="1"/>
    </row>
    <row r="754" spans="1:33"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355"/>
      <c r="Y754" s="1"/>
      <c r="Z754" s="1"/>
      <c r="AA754" s="1"/>
      <c r="AB754" s="1"/>
      <c r="AC754" s="1"/>
      <c r="AD754" s="1"/>
      <c r="AE754" s="1"/>
      <c r="AF754" s="1"/>
      <c r="AG754" s="1"/>
    </row>
    <row r="755" spans="1:33"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355"/>
      <c r="Y755" s="1"/>
      <c r="Z755" s="1"/>
      <c r="AA755" s="1"/>
      <c r="AB755" s="1"/>
      <c r="AC755" s="1"/>
      <c r="AD755" s="1"/>
      <c r="AE755" s="1"/>
      <c r="AF755" s="1"/>
      <c r="AG755" s="1"/>
    </row>
    <row r="756" spans="1:33"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355"/>
      <c r="Y756" s="1"/>
      <c r="Z756" s="1"/>
      <c r="AA756" s="1"/>
      <c r="AB756" s="1"/>
      <c r="AC756" s="1"/>
      <c r="AD756" s="1"/>
      <c r="AE756" s="1"/>
      <c r="AF756" s="1"/>
      <c r="AG756" s="1"/>
    </row>
    <row r="757" spans="1:33"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355"/>
      <c r="Y757" s="1"/>
      <c r="Z757" s="1"/>
      <c r="AA757" s="1"/>
      <c r="AB757" s="1"/>
      <c r="AC757" s="1"/>
      <c r="AD757" s="1"/>
      <c r="AE757" s="1"/>
      <c r="AF757" s="1"/>
      <c r="AG757" s="1"/>
    </row>
    <row r="758" spans="1:33"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355"/>
      <c r="Y758" s="1"/>
      <c r="Z758" s="1"/>
      <c r="AA758" s="1"/>
      <c r="AB758" s="1"/>
      <c r="AC758" s="1"/>
      <c r="AD758" s="1"/>
      <c r="AE758" s="1"/>
      <c r="AF758" s="1"/>
      <c r="AG758" s="1"/>
    </row>
    <row r="759" spans="1:33"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355"/>
      <c r="Y759" s="1"/>
      <c r="Z759" s="1"/>
      <c r="AA759" s="1"/>
      <c r="AB759" s="1"/>
      <c r="AC759" s="1"/>
      <c r="AD759" s="1"/>
      <c r="AE759" s="1"/>
      <c r="AF759" s="1"/>
      <c r="AG759" s="1"/>
    </row>
    <row r="760" spans="1:33"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355"/>
      <c r="Y760" s="1"/>
      <c r="Z760" s="1"/>
      <c r="AA760" s="1"/>
      <c r="AB760" s="1"/>
      <c r="AC760" s="1"/>
      <c r="AD760" s="1"/>
      <c r="AE760" s="1"/>
      <c r="AF760" s="1"/>
      <c r="AG760" s="1"/>
    </row>
    <row r="761" spans="1:33"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355"/>
      <c r="Y761" s="1"/>
      <c r="Z761" s="1"/>
      <c r="AA761" s="1"/>
      <c r="AB761" s="1"/>
      <c r="AC761" s="1"/>
      <c r="AD761" s="1"/>
      <c r="AE761" s="1"/>
      <c r="AF761" s="1"/>
      <c r="AG761" s="1"/>
    </row>
    <row r="762" spans="1:33"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355"/>
      <c r="Y762" s="1"/>
      <c r="Z762" s="1"/>
      <c r="AA762" s="1"/>
      <c r="AB762" s="1"/>
      <c r="AC762" s="1"/>
      <c r="AD762" s="1"/>
      <c r="AE762" s="1"/>
      <c r="AF762" s="1"/>
      <c r="AG762" s="1"/>
    </row>
    <row r="763" spans="1:3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355"/>
      <c r="Y763" s="1"/>
      <c r="Z763" s="1"/>
      <c r="AA763" s="1"/>
      <c r="AB763" s="1"/>
      <c r="AC763" s="1"/>
      <c r="AD763" s="1"/>
      <c r="AE763" s="1"/>
      <c r="AF763" s="1"/>
      <c r="AG763" s="1"/>
    </row>
    <row r="764" spans="1:33"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355"/>
      <c r="Y764" s="1"/>
      <c r="Z764" s="1"/>
      <c r="AA764" s="1"/>
      <c r="AB764" s="1"/>
      <c r="AC764" s="1"/>
      <c r="AD764" s="1"/>
      <c r="AE764" s="1"/>
      <c r="AF764" s="1"/>
      <c r="AG764" s="1"/>
    </row>
    <row r="765" spans="1:33"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355"/>
      <c r="Y765" s="1"/>
      <c r="Z765" s="1"/>
      <c r="AA765" s="1"/>
      <c r="AB765" s="1"/>
      <c r="AC765" s="1"/>
      <c r="AD765" s="1"/>
      <c r="AE765" s="1"/>
      <c r="AF765" s="1"/>
      <c r="AG765" s="1"/>
    </row>
    <row r="766" spans="1:33"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355"/>
      <c r="Y766" s="1"/>
      <c r="Z766" s="1"/>
      <c r="AA766" s="1"/>
      <c r="AB766" s="1"/>
      <c r="AC766" s="1"/>
      <c r="AD766" s="1"/>
      <c r="AE766" s="1"/>
      <c r="AF766" s="1"/>
      <c r="AG766" s="1"/>
    </row>
    <row r="767" spans="1:33"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355"/>
      <c r="Y767" s="1"/>
      <c r="Z767" s="1"/>
      <c r="AA767" s="1"/>
      <c r="AB767" s="1"/>
      <c r="AC767" s="1"/>
      <c r="AD767" s="1"/>
      <c r="AE767" s="1"/>
      <c r="AF767" s="1"/>
      <c r="AG767" s="1"/>
    </row>
    <row r="768" spans="1:33"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355"/>
      <c r="Y768" s="1"/>
      <c r="Z768" s="1"/>
      <c r="AA768" s="1"/>
      <c r="AB768" s="1"/>
      <c r="AC768" s="1"/>
      <c r="AD768" s="1"/>
      <c r="AE768" s="1"/>
      <c r="AF768" s="1"/>
      <c r="AG768" s="1"/>
    </row>
    <row r="769" spans="1:33"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355"/>
      <c r="Y769" s="1"/>
      <c r="Z769" s="1"/>
      <c r="AA769" s="1"/>
      <c r="AB769" s="1"/>
      <c r="AC769" s="1"/>
      <c r="AD769" s="1"/>
      <c r="AE769" s="1"/>
      <c r="AF769" s="1"/>
      <c r="AG769" s="1"/>
    </row>
    <row r="770" spans="1:33"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355"/>
      <c r="Y770" s="1"/>
      <c r="Z770" s="1"/>
      <c r="AA770" s="1"/>
      <c r="AB770" s="1"/>
      <c r="AC770" s="1"/>
      <c r="AD770" s="1"/>
      <c r="AE770" s="1"/>
      <c r="AF770" s="1"/>
      <c r="AG770" s="1"/>
    </row>
    <row r="771" spans="1:33"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355"/>
      <c r="Y771" s="1"/>
      <c r="Z771" s="1"/>
      <c r="AA771" s="1"/>
      <c r="AB771" s="1"/>
      <c r="AC771" s="1"/>
      <c r="AD771" s="1"/>
      <c r="AE771" s="1"/>
      <c r="AF771" s="1"/>
      <c r="AG771" s="1"/>
    </row>
    <row r="772" spans="1:33"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355"/>
      <c r="Y772" s="1"/>
      <c r="Z772" s="1"/>
      <c r="AA772" s="1"/>
      <c r="AB772" s="1"/>
      <c r="AC772" s="1"/>
      <c r="AD772" s="1"/>
      <c r="AE772" s="1"/>
      <c r="AF772" s="1"/>
      <c r="AG772" s="1"/>
    </row>
    <row r="773" spans="1:3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355"/>
      <c r="Y773" s="1"/>
      <c r="Z773" s="1"/>
      <c r="AA773" s="1"/>
      <c r="AB773" s="1"/>
      <c r="AC773" s="1"/>
      <c r="AD773" s="1"/>
      <c r="AE773" s="1"/>
      <c r="AF773" s="1"/>
      <c r="AG773" s="1"/>
    </row>
    <row r="774" spans="1:33"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355"/>
      <c r="Y774" s="1"/>
      <c r="Z774" s="1"/>
      <c r="AA774" s="1"/>
      <c r="AB774" s="1"/>
      <c r="AC774" s="1"/>
      <c r="AD774" s="1"/>
      <c r="AE774" s="1"/>
      <c r="AF774" s="1"/>
      <c r="AG774" s="1"/>
    </row>
    <row r="775" spans="1:33"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355"/>
      <c r="Y775" s="1"/>
      <c r="Z775" s="1"/>
      <c r="AA775" s="1"/>
      <c r="AB775" s="1"/>
      <c r="AC775" s="1"/>
      <c r="AD775" s="1"/>
      <c r="AE775" s="1"/>
      <c r="AF775" s="1"/>
      <c r="AG775" s="1"/>
    </row>
    <row r="776" spans="1:33"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355"/>
      <c r="Y776" s="1"/>
      <c r="Z776" s="1"/>
      <c r="AA776" s="1"/>
      <c r="AB776" s="1"/>
      <c r="AC776" s="1"/>
      <c r="AD776" s="1"/>
      <c r="AE776" s="1"/>
      <c r="AF776" s="1"/>
      <c r="AG776" s="1"/>
    </row>
    <row r="777" spans="1:33"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355"/>
      <c r="Y777" s="1"/>
      <c r="Z777" s="1"/>
      <c r="AA777" s="1"/>
      <c r="AB777" s="1"/>
      <c r="AC777" s="1"/>
      <c r="AD777" s="1"/>
      <c r="AE777" s="1"/>
      <c r="AF777" s="1"/>
      <c r="AG777" s="1"/>
    </row>
    <row r="778" spans="1:33"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355"/>
      <c r="Y778" s="1"/>
      <c r="Z778" s="1"/>
      <c r="AA778" s="1"/>
      <c r="AB778" s="1"/>
      <c r="AC778" s="1"/>
      <c r="AD778" s="1"/>
      <c r="AE778" s="1"/>
      <c r="AF778" s="1"/>
      <c r="AG778" s="1"/>
    </row>
    <row r="779" spans="1:33"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355"/>
      <c r="Y779" s="1"/>
      <c r="Z779" s="1"/>
      <c r="AA779" s="1"/>
      <c r="AB779" s="1"/>
      <c r="AC779" s="1"/>
      <c r="AD779" s="1"/>
      <c r="AE779" s="1"/>
      <c r="AF779" s="1"/>
      <c r="AG779" s="1"/>
    </row>
    <row r="780" spans="1:33"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355"/>
      <c r="Y780" s="1"/>
      <c r="Z780" s="1"/>
      <c r="AA780" s="1"/>
      <c r="AB780" s="1"/>
      <c r="AC780" s="1"/>
      <c r="AD780" s="1"/>
      <c r="AE780" s="1"/>
      <c r="AF780" s="1"/>
      <c r="AG780" s="1"/>
    </row>
    <row r="781" spans="1:33"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355"/>
      <c r="Y781" s="1"/>
      <c r="Z781" s="1"/>
      <c r="AA781" s="1"/>
      <c r="AB781" s="1"/>
      <c r="AC781" s="1"/>
      <c r="AD781" s="1"/>
      <c r="AE781" s="1"/>
      <c r="AF781" s="1"/>
      <c r="AG781" s="1"/>
    </row>
    <row r="782" spans="1:33"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355"/>
      <c r="Y782" s="1"/>
      <c r="Z782" s="1"/>
      <c r="AA782" s="1"/>
      <c r="AB782" s="1"/>
      <c r="AC782" s="1"/>
      <c r="AD782" s="1"/>
      <c r="AE782" s="1"/>
      <c r="AF782" s="1"/>
      <c r="AG782" s="1"/>
    </row>
    <row r="783" spans="1:3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355"/>
      <c r="Y783" s="1"/>
      <c r="Z783" s="1"/>
      <c r="AA783" s="1"/>
      <c r="AB783" s="1"/>
      <c r="AC783" s="1"/>
      <c r="AD783" s="1"/>
      <c r="AE783" s="1"/>
      <c r="AF783" s="1"/>
      <c r="AG783" s="1"/>
    </row>
    <row r="784" spans="1:33"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355"/>
      <c r="Y784" s="1"/>
      <c r="Z784" s="1"/>
      <c r="AA784" s="1"/>
      <c r="AB784" s="1"/>
      <c r="AC784" s="1"/>
      <c r="AD784" s="1"/>
      <c r="AE784" s="1"/>
      <c r="AF784" s="1"/>
      <c r="AG784" s="1"/>
    </row>
    <row r="785" spans="1:33"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355"/>
      <c r="Y785" s="1"/>
      <c r="Z785" s="1"/>
      <c r="AA785" s="1"/>
      <c r="AB785" s="1"/>
      <c r="AC785" s="1"/>
      <c r="AD785" s="1"/>
      <c r="AE785" s="1"/>
      <c r="AF785" s="1"/>
      <c r="AG785" s="1"/>
    </row>
    <row r="786" spans="1:33"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355"/>
      <c r="Y786" s="1"/>
      <c r="Z786" s="1"/>
      <c r="AA786" s="1"/>
      <c r="AB786" s="1"/>
      <c r="AC786" s="1"/>
      <c r="AD786" s="1"/>
      <c r="AE786" s="1"/>
      <c r="AF786" s="1"/>
      <c r="AG786" s="1"/>
    </row>
    <row r="787" spans="1:33"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355"/>
      <c r="Y787" s="1"/>
      <c r="Z787" s="1"/>
      <c r="AA787" s="1"/>
      <c r="AB787" s="1"/>
      <c r="AC787" s="1"/>
      <c r="AD787" s="1"/>
      <c r="AE787" s="1"/>
      <c r="AF787" s="1"/>
      <c r="AG787" s="1"/>
    </row>
    <row r="788" spans="1:33"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355"/>
      <c r="Y788" s="1"/>
      <c r="Z788" s="1"/>
      <c r="AA788" s="1"/>
      <c r="AB788" s="1"/>
      <c r="AC788" s="1"/>
      <c r="AD788" s="1"/>
      <c r="AE788" s="1"/>
      <c r="AF788" s="1"/>
      <c r="AG788" s="1"/>
    </row>
    <row r="789" spans="1:33"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355"/>
      <c r="Y789" s="1"/>
      <c r="Z789" s="1"/>
      <c r="AA789" s="1"/>
      <c r="AB789" s="1"/>
      <c r="AC789" s="1"/>
      <c r="AD789" s="1"/>
      <c r="AE789" s="1"/>
      <c r="AF789" s="1"/>
      <c r="AG789" s="1"/>
    </row>
    <row r="790" spans="1:33"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355"/>
      <c r="Y790" s="1"/>
      <c r="Z790" s="1"/>
      <c r="AA790" s="1"/>
      <c r="AB790" s="1"/>
      <c r="AC790" s="1"/>
      <c r="AD790" s="1"/>
      <c r="AE790" s="1"/>
      <c r="AF790" s="1"/>
      <c r="AG790" s="1"/>
    </row>
    <row r="791" spans="1:33"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355"/>
      <c r="Y791" s="1"/>
      <c r="Z791" s="1"/>
      <c r="AA791" s="1"/>
      <c r="AB791" s="1"/>
      <c r="AC791" s="1"/>
      <c r="AD791" s="1"/>
      <c r="AE791" s="1"/>
      <c r="AF791" s="1"/>
      <c r="AG791" s="1"/>
    </row>
    <row r="792" spans="1:33"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355"/>
      <c r="Y792" s="1"/>
      <c r="Z792" s="1"/>
      <c r="AA792" s="1"/>
      <c r="AB792" s="1"/>
      <c r="AC792" s="1"/>
      <c r="AD792" s="1"/>
      <c r="AE792" s="1"/>
      <c r="AF792" s="1"/>
      <c r="AG792" s="1"/>
    </row>
    <row r="793" spans="1:3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355"/>
      <c r="Y793" s="1"/>
      <c r="Z793" s="1"/>
      <c r="AA793" s="1"/>
      <c r="AB793" s="1"/>
      <c r="AC793" s="1"/>
      <c r="AD793" s="1"/>
      <c r="AE793" s="1"/>
      <c r="AF793" s="1"/>
      <c r="AG793" s="1"/>
    </row>
    <row r="794" spans="1:33"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355"/>
      <c r="Y794" s="1"/>
      <c r="Z794" s="1"/>
      <c r="AA794" s="1"/>
      <c r="AB794" s="1"/>
      <c r="AC794" s="1"/>
      <c r="AD794" s="1"/>
      <c r="AE794" s="1"/>
      <c r="AF794" s="1"/>
      <c r="AG794" s="1"/>
    </row>
    <row r="795" spans="1:33"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355"/>
      <c r="Y795" s="1"/>
      <c r="Z795" s="1"/>
      <c r="AA795" s="1"/>
      <c r="AB795" s="1"/>
      <c r="AC795" s="1"/>
      <c r="AD795" s="1"/>
      <c r="AE795" s="1"/>
      <c r="AF795" s="1"/>
      <c r="AG795" s="1"/>
    </row>
    <row r="796" spans="1:33"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355"/>
      <c r="Y796" s="1"/>
      <c r="Z796" s="1"/>
      <c r="AA796" s="1"/>
      <c r="AB796" s="1"/>
      <c r="AC796" s="1"/>
      <c r="AD796" s="1"/>
      <c r="AE796" s="1"/>
      <c r="AF796" s="1"/>
      <c r="AG796" s="1"/>
    </row>
    <row r="797" spans="1:33"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355"/>
      <c r="Y797" s="1"/>
      <c r="Z797" s="1"/>
      <c r="AA797" s="1"/>
      <c r="AB797" s="1"/>
      <c r="AC797" s="1"/>
      <c r="AD797" s="1"/>
      <c r="AE797" s="1"/>
      <c r="AF797" s="1"/>
      <c r="AG797" s="1"/>
    </row>
    <row r="798" spans="1:33"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355"/>
      <c r="Y798" s="1"/>
      <c r="Z798" s="1"/>
      <c r="AA798" s="1"/>
      <c r="AB798" s="1"/>
      <c r="AC798" s="1"/>
      <c r="AD798" s="1"/>
      <c r="AE798" s="1"/>
      <c r="AF798" s="1"/>
      <c r="AG798" s="1"/>
    </row>
    <row r="799" spans="1:33"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355"/>
      <c r="Y799" s="1"/>
      <c r="Z799" s="1"/>
      <c r="AA799" s="1"/>
      <c r="AB799" s="1"/>
      <c r="AC799" s="1"/>
      <c r="AD799" s="1"/>
      <c r="AE799" s="1"/>
      <c r="AF799" s="1"/>
      <c r="AG799" s="1"/>
    </row>
    <row r="800" spans="1:33"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355"/>
      <c r="Y800" s="1"/>
      <c r="Z800" s="1"/>
      <c r="AA800" s="1"/>
      <c r="AB800" s="1"/>
      <c r="AC800" s="1"/>
      <c r="AD800" s="1"/>
      <c r="AE800" s="1"/>
      <c r="AF800" s="1"/>
      <c r="AG800" s="1"/>
    </row>
    <row r="801" spans="1:33"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355"/>
      <c r="Y801" s="1"/>
      <c r="Z801" s="1"/>
      <c r="AA801" s="1"/>
      <c r="AB801" s="1"/>
      <c r="AC801" s="1"/>
      <c r="AD801" s="1"/>
      <c r="AE801" s="1"/>
      <c r="AF801" s="1"/>
      <c r="AG801" s="1"/>
    </row>
    <row r="802" spans="1:33"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355"/>
      <c r="Y802" s="1"/>
      <c r="Z802" s="1"/>
      <c r="AA802" s="1"/>
      <c r="AB802" s="1"/>
      <c r="AC802" s="1"/>
      <c r="AD802" s="1"/>
      <c r="AE802" s="1"/>
      <c r="AF802" s="1"/>
      <c r="AG802" s="1"/>
    </row>
    <row r="803" spans="1:3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355"/>
      <c r="Y803" s="1"/>
      <c r="Z803" s="1"/>
      <c r="AA803" s="1"/>
      <c r="AB803" s="1"/>
      <c r="AC803" s="1"/>
      <c r="AD803" s="1"/>
      <c r="AE803" s="1"/>
      <c r="AF803" s="1"/>
      <c r="AG803" s="1"/>
    </row>
    <row r="804" spans="1:33"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355"/>
      <c r="Y804" s="1"/>
      <c r="Z804" s="1"/>
      <c r="AA804" s="1"/>
      <c r="AB804" s="1"/>
      <c r="AC804" s="1"/>
      <c r="AD804" s="1"/>
      <c r="AE804" s="1"/>
      <c r="AF804" s="1"/>
      <c r="AG804" s="1"/>
    </row>
    <row r="805" spans="1:33"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355"/>
      <c r="Y805" s="1"/>
      <c r="Z805" s="1"/>
      <c r="AA805" s="1"/>
      <c r="AB805" s="1"/>
      <c r="AC805" s="1"/>
      <c r="AD805" s="1"/>
      <c r="AE805" s="1"/>
      <c r="AF805" s="1"/>
      <c r="AG805" s="1"/>
    </row>
    <row r="806" spans="1:33"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355"/>
      <c r="Y806" s="1"/>
      <c r="Z806" s="1"/>
      <c r="AA806" s="1"/>
      <c r="AB806" s="1"/>
      <c r="AC806" s="1"/>
      <c r="AD806" s="1"/>
      <c r="AE806" s="1"/>
      <c r="AF806" s="1"/>
      <c r="AG806" s="1"/>
    </row>
    <row r="807" spans="1:33"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355"/>
      <c r="Y807" s="1"/>
      <c r="Z807" s="1"/>
      <c r="AA807" s="1"/>
      <c r="AB807" s="1"/>
      <c r="AC807" s="1"/>
      <c r="AD807" s="1"/>
      <c r="AE807" s="1"/>
      <c r="AF807" s="1"/>
      <c r="AG807" s="1"/>
    </row>
    <row r="808" spans="1:33"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355"/>
      <c r="Y808" s="1"/>
      <c r="Z808" s="1"/>
      <c r="AA808" s="1"/>
      <c r="AB808" s="1"/>
      <c r="AC808" s="1"/>
      <c r="AD808" s="1"/>
      <c r="AE808" s="1"/>
      <c r="AF808" s="1"/>
      <c r="AG808" s="1"/>
    </row>
    <row r="809" spans="1:33"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355"/>
      <c r="Y809" s="1"/>
      <c r="Z809" s="1"/>
      <c r="AA809" s="1"/>
      <c r="AB809" s="1"/>
      <c r="AC809" s="1"/>
      <c r="AD809" s="1"/>
      <c r="AE809" s="1"/>
      <c r="AF809" s="1"/>
      <c r="AG809" s="1"/>
    </row>
    <row r="810" spans="1:33"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355"/>
      <c r="Y810" s="1"/>
      <c r="Z810" s="1"/>
      <c r="AA810" s="1"/>
      <c r="AB810" s="1"/>
      <c r="AC810" s="1"/>
      <c r="AD810" s="1"/>
      <c r="AE810" s="1"/>
      <c r="AF810" s="1"/>
      <c r="AG810" s="1"/>
    </row>
    <row r="811" spans="1:33"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355"/>
      <c r="Y811" s="1"/>
      <c r="Z811" s="1"/>
      <c r="AA811" s="1"/>
      <c r="AB811" s="1"/>
      <c r="AC811" s="1"/>
      <c r="AD811" s="1"/>
      <c r="AE811" s="1"/>
      <c r="AF811" s="1"/>
      <c r="AG811" s="1"/>
    </row>
    <row r="812" spans="1:33"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355"/>
      <c r="Y812" s="1"/>
      <c r="Z812" s="1"/>
      <c r="AA812" s="1"/>
      <c r="AB812" s="1"/>
      <c r="AC812" s="1"/>
      <c r="AD812" s="1"/>
      <c r="AE812" s="1"/>
      <c r="AF812" s="1"/>
      <c r="AG812" s="1"/>
    </row>
    <row r="813" spans="1:3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355"/>
      <c r="Y813" s="1"/>
      <c r="Z813" s="1"/>
      <c r="AA813" s="1"/>
      <c r="AB813" s="1"/>
      <c r="AC813" s="1"/>
      <c r="AD813" s="1"/>
      <c r="AE813" s="1"/>
      <c r="AF813" s="1"/>
      <c r="AG813" s="1"/>
    </row>
    <row r="814" spans="1:33"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355"/>
      <c r="Y814" s="1"/>
      <c r="Z814" s="1"/>
      <c r="AA814" s="1"/>
      <c r="AB814" s="1"/>
      <c r="AC814" s="1"/>
      <c r="AD814" s="1"/>
      <c r="AE814" s="1"/>
      <c r="AF814" s="1"/>
      <c r="AG814" s="1"/>
    </row>
    <row r="815" spans="1:33"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355"/>
      <c r="Y815" s="1"/>
      <c r="Z815" s="1"/>
      <c r="AA815" s="1"/>
      <c r="AB815" s="1"/>
      <c r="AC815" s="1"/>
      <c r="AD815" s="1"/>
      <c r="AE815" s="1"/>
      <c r="AF815" s="1"/>
      <c r="AG815" s="1"/>
    </row>
    <row r="816" spans="1:33"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355"/>
      <c r="Y816" s="1"/>
      <c r="Z816" s="1"/>
      <c r="AA816" s="1"/>
      <c r="AB816" s="1"/>
      <c r="AC816" s="1"/>
      <c r="AD816" s="1"/>
      <c r="AE816" s="1"/>
      <c r="AF816" s="1"/>
      <c r="AG816" s="1"/>
    </row>
    <row r="817" spans="1:33"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355"/>
      <c r="Y817" s="1"/>
      <c r="Z817" s="1"/>
      <c r="AA817" s="1"/>
      <c r="AB817" s="1"/>
      <c r="AC817" s="1"/>
      <c r="AD817" s="1"/>
      <c r="AE817" s="1"/>
      <c r="AF817" s="1"/>
      <c r="AG817" s="1"/>
    </row>
    <row r="818" spans="1:33"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355"/>
      <c r="Y818" s="1"/>
      <c r="Z818" s="1"/>
      <c r="AA818" s="1"/>
      <c r="AB818" s="1"/>
      <c r="AC818" s="1"/>
      <c r="AD818" s="1"/>
      <c r="AE818" s="1"/>
      <c r="AF818" s="1"/>
      <c r="AG818" s="1"/>
    </row>
    <row r="819" spans="1:33"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355"/>
      <c r="Y819" s="1"/>
      <c r="Z819" s="1"/>
      <c r="AA819" s="1"/>
      <c r="AB819" s="1"/>
      <c r="AC819" s="1"/>
      <c r="AD819" s="1"/>
      <c r="AE819" s="1"/>
      <c r="AF819" s="1"/>
      <c r="AG819" s="1"/>
    </row>
    <row r="820" spans="1:33"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355"/>
      <c r="Y820" s="1"/>
      <c r="Z820" s="1"/>
      <c r="AA820" s="1"/>
      <c r="AB820" s="1"/>
      <c r="AC820" s="1"/>
      <c r="AD820" s="1"/>
      <c r="AE820" s="1"/>
      <c r="AF820" s="1"/>
      <c r="AG820" s="1"/>
    </row>
    <row r="821" spans="1:33"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355"/>
      <c r="Y821" s="1"/>
      <c r="Z821" s="1"/>
      <c r="AA821" s="1"/>
      <c r="AB821" s="1"/>
      <c r="AC821" s="1"/>
      <c r="AD821" s="1"/>
      <c r="AE821" s="1"/>
      <c r="AF821" s="1"/>
      <c r="AG821" s="1"/>
    </row>
    <row r="822" spans="1:33"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355"/>
      <c r="Y822" s="1"/>
      <c r="Z822" s="1"/>
      <c r="AA822" s="1"/>
      <c r="AB822" s="1"/>
      <c r="AC822" s="1"/>
      <c r="AD822" s="1"/>
      <c r="AE822" s="1"/>
      <c r="AF822" s="1"/>
      <c r="AG822" s="1"/>
    </row>
    <row r="823" spans="1:3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355"/>
      <c r="Y823" s="1"/>
      <c r="Z823" s="1"/>
      <c r="AA823" s="1"/>
      <c r="AB823" s="1"/>
      <c r="AC823" s="1"/>
      <c r="AD823" s="1"/>
      <c r="AE823" s="1"/>
      <c r="AF823" s="1"/>
      <c r="AG823" s="1"/>
    </row>
    <row r="824" spans="1:33"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355"/>
      <c r="Y824" s="1"/>
      <c r="Z824" s="1"/>
      <c r="AA824" s="1"/>
      <c r="AB824" s="1"/>
      <c r="AC824" s="1"/>
      <c r="AD824" s="1"/>
      <c r="AE824" s="1"/>
      <c r="AF824" s="1"/>
      <c r="AG824" s="1"/>
    </row>
    <row r="825" spans="1:33"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355"/>
      <c r="Y825" s="1"/>
      <c r="Z825" s="1"/>
      <c r="AA825" s="1"/>
      <c r="AB825" s="1"/>
      <c r="AC825" s="1"/>
      <c r="AD825" s="1"/>
      <c r="AE825" s="1"/>
      <c r="AF825" s="1"/>
      <c r="AG825" s="1"/>
    </row>
    <row r="826" spans="1:33"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355"/>
      <c r="Y826" s="1"/>
      <c r="Z826" s="1"/>
      <c r="AA826" s="1"/>
      <c r="AB826" s="1"/>
      <c r="AC826" s="1"/>
      <c r="AD826" s="1"/>
      <c r="AE826" s="1"/>
      <c r="AF826" s="1"/>
      <c r="AG826" s="1"/>
    </row>
    <row r="827" spans="1:33"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355"/>
      <c r="Y827" s="1"/>
      <c r="Z827" s="1"/>
      <c r="AA827" s="1"/>
      <c r="AB827" s="1"/>
      <c r="AC827" s="1"/>
      <c r="AD827" s="1"/>
      <c r="AE827" s="1"/>
      <c r="AF827" s="1"/>
      <c r="AG827" s="1"/>
    </row>
    <row r="828" spans="1:33"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355"/>
      <c r="Y828" s="1"/>
      <c r="Z828" s="1"/>
      <c r="AA828" s="1"/>
      <c r="AB828" s="1"/>
      <c r="AC828" s="1"/>
      <c r="AD828" s="1"/>
      <c r="AE828" s="1"/>
      <c r="AF828" s="1"/>
      <c r="AG828" s="1"/>
    </row>
    <row r="829" spans="1:33"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355"/>
      <c r="Y829" s="1"/>
      <c r="Z829" s="1"/>
      <c r="AA829" s="1"/>
      <c r="AB829" s="1"/>
      <c r="AC829" s="1"/>
      <c r="AD829" s="1"/>
      <c r="AE829" s="1"/>
      <c r="AF829" s="1"/>
      <c r="AG829" s="1"/>
    </row>
    <row r="830" spans="1:33"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355"/>
      <c r="Y830" s="1"/>
      <c r="Z830" s="1"/>
      <c r="AA830" s="1"/>
      <c r="AB830" s="1"/>
      <c r="AC830" s="1"/>
      <c r="AD830" s="1"/>
      <c r="AE830" s="1"/>
      <c r="AF830" s="1"/>
      <c r="AG830" s="1"/>
    </row>
    <row r="831" spans="1:33"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355"/>
      <c r="Y831" s="1"/>
      <c r="Z831" s="1"/>
      <c r="AA831" s="1"/>
      <c r="AB831" s="1"/>
      <c r="AC831" s="1"/>
      <c r="AD831" s="1"/>
      <c r="AE831" s="1"/>
      <c r="AF831" s="1"/>
      <c r="AG831" s="1"/>
    </row>
    <row r="832" spans="1:33"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355"/>
      <c r="Y832" s="1"/>
      <c r="Z832" s="1"/>
      <c r="AA832" s="1"/>
      <c r="AB832" s="1"/>
      <c r="AC832" s="1"/>
      <c r="AD832" s="1"/>
      <c r="AE832" s="1"/>
      <c r="AF832" s="1"/>
      <c r="AG832" s="1"/>
    </row>
    <row r="833" spans="1: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355"/>
      <c r="Y833" s="1"/>
      <c r="Z833" s="1"/>
      <c r="AA833" s="1"/>
      <c r="AB833" s="1"/>
      <c r="AC833" s="1"/>
      <c r="AD833" s="1"/>
      <c r="AE833" s="1"/>
      <c r="AF833" s="1"/>
      <c r="AG833" s="1"/>
    </row>
    <row r="834" spans="1:33"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355"/>
      <c r="Y834" s="1"/>
      <c r="Z834" s="1"/>
      <c r="AA834" s="1"/>
      <c r="AB834" s="1"/>
      <c r="AC834" s="1"/>
      <c r="AD834" s="1"/>
      <c r="AE834" s="1"/>
      <c r="AF834" s="1"/>
      <c r="AG834" s="1"/>
    </row>
    <row r="835" spans="1:33"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355"/>
      <c r="Y835" s="1"/>
      <c r="Z835" s="1"/>
      <c r="AA835" s="1"/>
      <c r="AB835" s="1"/>
      <c r="AC835" s="1"/>
      <c r="AD835" s="1"/>
      <c r="AE835" s="1"/>
      <c r="AF835" s="1"/>
      <c r="AG835" s="1"/>
    </row>
    <row r="836" spans="1:33"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355"/>
      <c r="Y836" s="1"/>
      <c r="Z836" s="1"/>
      <c r="AA836" s="1"/>
      <c r="AB836" s="1"/>
      <c r="AC836" s="1"/>
      <c r="AD836" s="1"/>
      <c r="AE836" s="1"/>
      <c r="AF836" s="1"/>
      <c r="AG836" s="1"/>
    </row>
    <row r="837" spans="1:33"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355"/>
      <c r="Y837" s="1"/>
      <c r="Z837" s="1"/>
      <c r="AA837" s="1"/>
      <c r="AB837" s="1"/>
      <c r="AC837" s="1"/>
      <c r="AD837" s="1"/>
      <c r="AE837" s="1"/>
      <c r="AF837" s="1"/>
      <c r="AG837" s="1"/>
    </row>
    <row r="838" spans="1:33"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355"/>
      <c r="Y838" s="1"/>
      <c r="Z838" s="1"/>
      <c r="AA838" s="1"/>
      <c r="AB838" s="1"/>
      <c r="AC838" s="1"/>
      <c r="AD838" s="1"/>
      <c r="AE838" s="1"/>
      <c r="AF838" s="1"/>
      <c r="AG838" s="1"/>
    </row>
    <row r="839" spans="1:33"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355"/>
      <c r="Y839" s="1"/>
      <c r="Z839" s="1"/>
      <c r="AA839" s="1"/>
      <c r="AB839" s="1"/>
      <c r="AC839" s="1"/>
      <c r="AD839" s="1"/>
      <c r="AE839" s="1"/>
      <c r="AF839" s="1"/>
      <c r="AG839" s="1"/>
    </row>
    <row r="840" spans="1:33"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355"/>
      <c r="Y840" s="1"/>
      <c r="Z840" s="1"/>
      <c r="AA840" s="1"/>
      <c r="AB840" s="1"/>
      <c r="AC840" s="1"/>
      <c r="AD840" s="1"/>
      <c r="AE840" s="1"/>
      <c r="AF840" s="1"/>
      <c r="AG840" s="1"/>
    </row>
    <row r="841" spans="1:33"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355"/>
      <c r="Y841" s="1"/>
      <c r="Z841" s="1"/>
      <c r="AA841" s="1"/>
      <c r="AB841" s="1"/>
      <c r="AC841" s="1"/>
      <c r="AD841" s="1"/>
      <c r="AE841" s="1"/>
      <c r="AF841" s="1"/>
      <c r="AG841" s="1"/>
    </row>
    <row r="842" spans="1:33"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355"/>
      <c r="Y842" s="1"/>
      <c r="Z842" s="1"/>
      <c r="AA842" s="1"/>
      <c r="AB842" s="1"/>
      <c r="AC842" s="1"/>
      <c r="AD842" s="1"/>
      <c r="AE842" s="1"/>
      <c r="AF842" s="1"/>
      <c r="AG842" s="1"/>
    </row>
    <row r="843" spans="1:3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355"/>
      <c r="Y843" s="1"/>
      <c r="Z843" s="1"/>
      <c r="AA843" s="1"/>
      <c r="AB843" s="1"/>
      <c r="AC843" s="1"/>
      <c r="AD843" s="1"/>
      <c r="AE843" s="1"/>
      <c r="AF843" s="1"/>
      <c r="AG843" s="1"/>
    </row>
    <row r="844" spans="1:33"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355"/>
      <c r="Y844" s="1"/>
      <c r="Z844" s="1"/>
      <c r="AA844" s="1"/>
      <c r="AB844" s="1"/>
      <c r="AC844" s="1"/>
      <c r="AD844" s="1"/>
      <c r="AE844" s="1"/>
      <c r="AF844" s="1"/>
      <c r="AG844" s="1"/>
    </row>
    <row r="845" spans="1:33"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355"/>
      <c r="Y845" s="1"/>
      <c r="Z845" s="1"/>
      <c r="AA845" s="1"/>
      <c r="AB845" s="1"/>
      <c r="AC845" s="1"/>
      <c r="AD845" s="1"/>
      <c r="AE845" s="1"/>
      <c r="AF845" s="1"/>
      <c r="AG845" s="1"/>
    </row>
    <row r="846" spans="1:33"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355"/>
      <c r="Y846" s="1"/>
      <c r="Z846" s="1"/>
      <c r="AA846" s="1"/>
      <c r="AB846" s="1"/>
      <c r="AC846" s="1"/>
      <c r="AD846" s="1"/>
      <c r="AE846" s="1"/>
      <c r="AF846" s="1"/>
      <c r="AG846" s="1"/>
    </row>
    <row r="847" spans="1:33"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355"/>
      <c r="Y847" s="1"/>
      <c r="Z847" s="1"/>
      <c r="AA847" s="1"/>
      <c r="AB847" s="1"/>
      <c r="AC847" s="1"/>
      <c r="AD847" s="1"/>
      <c r="AE847" s="1"/>
      <c r="AF847" s="1"/>
      <c r="AG847" s="1"/>
    </row>
    <row r="848" spans="1:33"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355"/>
      <c r="Y848" s="1"/>
      <c r="Z848" s="1"/>
      <c r="AA848" s="1"/>
      <c r="AB848" s="1"/>
      <c r="AC848" s="1"/>
      <c r="AD848" s="1"/>
      <c r="AE848" s="1"/>
      <c r="AF848" s="1"/>
      <c r="AG848" s="1"/>
    </row>
    <row r="849" spans="1:33"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355"/>
      <c r="Y849" s="1"/>
      <c r="Z849" s="1"/>
      <c r="AA849" s="1"/>
      <c r="AB849" s="1"/>
      <c r="AC849" s="1"/>
      <c r="AD849" s="1"/>
      <c r="AE849" s="1"/>
      <c r="AF849" s="1"/>
      <c r="AG849" s="1"/>
    </row>
    <row r="850" spans="1:33"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355"/>
      <c r="Y850" s="1"/>
      <c r="Z850" s="1"/>
      <c r="AA850" s="1"/>
      <c r="AB850" s="1"/>
      <c r="AC850" s="1"/>
      <c r="AD850" s="1"/>
      <c r="AE850" s="1"/>
      <c r="AF850" s="1"/>
      <c r="AG850" s="1"/>
    </row>
    <row r="851" spans="1:33"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355"/>
      <c r="Y851" s="1"/>
      <c r="Z851" s="1"/>
      <c r="AA851" s="1"/>
      <c r="AB851" s="1"/>
      <c r="AC851" s="1"/>
      <c r="AD851" s="1"/>
      <c r="AE851" s="1"/>
      <c r="AF851" s="1"/>
      <c r="AG851" s="1"/>
    </row>
    <row r="852" spans="1:33"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355"/>
      <c r="Y852" s="1"/>
      <c r="Z852" s="1"/>
      <c r="AA852" s="1"/>
      <c r="AB852" s="1"/>
      <c r="AC852" s="1"/>
      <c r="AD852" s="1"/>
      <c r="AE852" s="1"/>
      <c r="AF852" s="1"/>
      <c r="AG852" s="1"/>
    </row>
    <row r="853" spans="1:3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355"/>
      <c r="Y853" s="1"/>
      <c r="Z853" s="1"/>
      <c r="AA853" s="1"/>
      <c r="AB853" s="1"/>
      <c r="AC853" s="1"/>
      <c r="AD853" s="1"/>
      <c r="AE853" s="1"/>
      <c r="AF853" s="1"/>
      <c r="AG853" s="1"/>
    </row>
    <row r="854" spans="1:33"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355"/>
      <c r="Y854" s="1"/>
      <c r="Z854" s="1"/>
      <c r="AA854" s="1"/>
      <c r="AB854" s="1"/>
      <c r="AC854" s="1"/>
      <c r="AD854" s="1"/>
      <c r="AE854" s="1"/>
      <c r="AF854" s="1"/>
      <c r="AG854" s="1"/>
    </row>
    <row r="855" spans="1:33"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355"/>
      <c r="Y855" s="1"/>
      <c r="Z855" s="1"/>
      <c r="AA855" s="1"/>
      <c r="AB855" s="1"/>
      <c r="AC855" s="1"/>
      <c r="AD855" s="1"/>
      <c r="AE855" s="1"/>
      <c r="AF855" s="1"/>
      <c r="AG855" s="1"/>
    </row>
    <row r="856" spans="1:33"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355"/>
      <c r="Y856" s="1"/>
      <c r="Z856" s="1"/>
      <c r="AA856" s="1"/>
      <c r="AB856" s="1"/>
      <c r="AC856" s="1"/>
      <c r="AD856" s="1"/>
      <c r="AE856" s="1"/>
      <c r="AF856" s="1"/>
      <c r="AG856" s="1"/>
    </row>
    <row r="857" spans="1:33"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355"/>
      <c r="Y857" s="1"/>
      <c r="Z857" s="1"/>
      <c r="AA857" s="1"/>
      <c r="AB857" s="1"/>
      <c r="AC857" s="1"/>
      <c r="AD857" s="1"/>
      <c r="AE857" s="1"/>
      <c r="AF857" s="1"/>
      <c r="AG857" s="1"/>
    </row>
    <row r="858" spans="1:33"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355"/>
      <c r="Y858" s="1"/>
      <c r="Z858" s="1"/>
      <c r="AA858" s="1"/>
      <c r="AB858" s="1"/>
      <c r="AC858" s="1"/>
      <c r="AD858" s="1"/>
      <c r="AE858" s="1"/>
      <c r="AF858" s="1"/>
      <c r="AG858" s="1"/>
    </row>
    <row r="859" spans="1:33"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355"/>
      <c r="Y859" s="1"/>
      <c r="Z859" s="1"/>
      <c r="AA859" s="1"/>
      <c r="AB859" s="1"/>
      <c r="AC859" s="1"/>
      <c r="AD859" s="1"/>
      <c r="AE859" s="1"/>
      <c r="AF859" s="1"/>
      <c r="AG859" s="1"/>
    </row>
    <row r="860" spans="1:33"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355"/>
      <c r="Y860" s="1"/>
      <c r="Z860" s="1"/>
      <c r="AA860" s="1"/>
      <c r="AB860" s="1"/>
      <c r="AC860" s="1"/>
      <c r="AD860" s="1"/>
      <c r="AE860" s="1"/>
      <c r="AF860" s="1"/>
      <c r="AG860" s="1"/>
    </row>
    <row r="861" spans="1:33"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355"/>
      <c r="Y861" s="1"/>
      <c r="Z861" s="1"/>
      <c r="AA861" s="1"/>
      <c r="AB861" s="1"/>
      <c r="AC861" s="1"/>
      <c r="AD861" s="1"/>
      <c r="AE861" s="1"/>
      <c r="AF861" s="1"/>
      <c r="AG861" s="1"/>
    </row>
    <row r="862" spans="1:33"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355"/>
      <c r="Y862" s="1"/>
      <c r="Z862" s="1"/>
      <c r="AA862" s="1"/>
      <c r="AB862" s="1"/>
      <c r="AC862" s="1"/>
      <c r="AD862" s="1"/>
      <c r="AE862" s="1"/>
      <c r="AF862" s="1"/>
      <c r="AG862" s="1"/>
    </row>
    <row r="863" spans="1:3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355"/>
      <c r="Y863" s="1"/>
      <c r="Z863" s="1"/>
      <c r="AA863" s="1"/>
      <c r="AB863" s="1"/>
      <c r="AC863" s="1"/>
      <c r="AD863" s="1"/>
      <c r="AE863" s="1"/>
      <c r="AF863" s="1"/>
      <c r="AG863" s="1"/>
    </row>
    <row r="864" spans="1:33"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355"/>
      <c r="Y864" s="1"/>
      <c r="Z864" s="1"/>
      <c r="AA864" s="1"/>
      <c r="AB864" s="1"/>
      <c r="AC864" s="1"/>
      <c r="AD864" s="1"/>
      <c r="AE864" s="1"/>
      <c r="AF864" s="1"/>
      <c r="AG864" s="1"/>
    </row>
    <row r="865" spans="1:33"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355"/>
      <c r="Y865" s="1"/>
      <c r="Z865" s="1"/>
      <c r="AA865" s="1"/>
      <c r="AB865" s="1"/>
      <c r="AC865" s="1"/>
      <c r="AD865" s="1"/>
      <c r="AE865" s="1"/>
      <c r="AF865" s="1"/>
      <c r="AG865" s="1"/>
    </row>
    <row r="866" spans="1:33"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355"/>
      <c r="Y866" s="1"/>
      <c r="Z866" s="1"/>
      <c r="AA866" s="1"/>
      <c r="AB866" s="1"/>
      <c r="AC866" s="1"/>
      <c r="AD866" s="1"/>
      <c r="AE866" s="1"/>
      <c r="AF866" s="1"/>
      <c r="AG866" s="1"/>
    </row>
    <row r="867" spans="1:33"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355"/>
      <c r="Y867" s="1"/>
      <c r="Z867" s="1"/>
      <c r="AA867" s="1"/>
      <c r="AB867" s="1"/>
      <c r="AC867" s="1"/>
      <c r="AD867" s="1"/>
      <c r="AE867" s="1"/>
      <c r="AF867" s="1"/>
      <c r="AG867" s="1"/>
    </row>
    <row r="868" spans="1:33"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355"/>
      <c r="Y868" s="1"/>
      <c r="Z868" s="1"/>
      <c r="AA868" s="1"/>
      <c r="AB868" s="1"/>
      <c r="AC868" s="1"/>
      <c r="AD868" s="1"/>
      <c r="AE868" s="1"/>
      <c r="AF868" s="1"/>
      <c r="AG868" s="1"/>
    </row>
    <row r="869" spans="1:33"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355"/>
      <c r="Y869" s="1"/>
      <c r="Z869" s="1"/>
      <c r="AA869" s="1"/>
      <c r="AB869" s="1"/>
      <c r="AC869" s="1"/>
      <c r="AD869" s="1"/>
      <c r="AE869" s="1"/>
      <c r="AF869" s="1"/>
      <c r="AG869" s="1"/>
    </row>
    <row r="870" spans="1:33"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355"/>
      <c r="Y870" s="1"/>
      <c r="Z870" s="1"/>
      <c r="AA870" s="1"/>
      <c r="AB870" s="1"/>
      <c r="AC870" s="1"/>
      <c r="AD870" s="1"/>
      <c r="AE870" s="1"/>
      <c r="AF870" s="1"/>
      <c r="AG870" s="1"/>
    </row>
    <row r="871" spans="1:33"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355"/>
      <c r="Y871" s="1"/>
      <c r="Z871" s="1"/>
      <c r="AA871" s="1"/>
      <c r="AB871" s="1"/>
      <c r="AC871" s="1"/>
      <c r="AD871" s="1"/>
      <c r="AE871" s="1"/>
      <c r="AF871" s="1"/>
      <c r="AG871" s="1"/>
    </row>
    <row r="872" spans="1:33"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355"/>
      <c r="Y872" s="1"/>
      <c r="Z872" s="1"/>
      <c r="AA872" s="1"/>
      <c r="AB872" s="1"/>
      <c r="AC872" s="1"/>
      <c r="AD872" s="1"/>
      <c r="AE872" s="1"/>
      <c r="AF872" s="1"/>
      <c r="AG872" s="1"/>
    </row>
    <row r="873" spans="1:3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355"/>
      <c r="Y873" s="1"/>
      <c r="Z873" s="1"/>
      <c r="AA873" s="1"/>
      <c r="AB873" s="1"/>
      <c r="AC873" s="1"/>
      <c r="AD873" s="1"/>
      <c r="AE873" s="1"/>
      <c r="AF873" s="1"/>
      <c r="AG873" s="1"/>
    </row>
    <row r="874" spans="1:33"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355"/>
      <c r="Y874" s="1"/>
      <c r="Z874" s="1"/>
      <c r="AA874" s="1"/>
      <c r="AB874" s="1"/>
      <c r="AC874" s="1"/>
      <c r="AD874" s="1"/>
      <c r="AE874" s="1"/>
      <c r="AF874" s="1"/>
      <c r="AG874" s="1"/>
    </row>
    <row r="875" spans="1:33"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355"/>
      <c r="Y875" s="1"/>
      <c r="Z875" s="1"/>
      <c r="AA875" s="1"/>
      <c r="AB875" s="1"/>
      <c r="AC875" s="1"/>
      <c r="AD875" s="1"/>
      <c r="AE875" s="1"/>
      <c r="AF875" s="1"/>
      <c r="AG875" s="1"/>
    </row>
    <row r="876" spans="1:33"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355"/>
      <c r="Y876" s="1"/>
      <c r="Z876" s="1"/>
      <c r="AA876" s="1"/>
      <c r="AB876" s="1"/>
      <c r="AC876" s="1"/>
      <c r="AD876" s="1"/>
      <c r="AE876" s="1"/>
      <c r="AF876" s="1"/>
      <c r="AG876" s="1"/>
    </row>
    <row r="877" spans="1:33"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355"/>
      <c r="Y877" s="1"/>
      <c r="Z877" s="1"/>
      <c r="AA877" s="1"/>
      <c r="AB877" s="1"/>
      <c r="AC877" s="1"/>
      <c r="AD877" s="1"/>
      <c r="AE877" s="1"/>
      <c r="AF877" s="1"/>
      <c r="AG877" s="1"/>
    </row>
    <row r="878" spans="1:33"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355"/>
      <c r="Y878" s="1"/>
      <c r="Z878" s="1"/>
      <c r="AA878" s="1"/>
      <c r="AB878" s="1"/>
      <c r="AC878" s="1"/>
      <c r="AD878" s="1"/>
      <c r="AE878" s="1"/>
      <c r="AF878" s="1"/>
      <c r="AG878" s="1"/>
    </row>
    <row r="879" spans="1:33"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355"/>
      <c r="Y879" s="1"/>
      <c r="Z879" s="1"/>
      <c r="AA879" s="1"/>
      <c r="AB879" s="1"/>
      <c r="AC879" s="1"/>
      <c r="AD879" s="1"/>
      <c r="AE879" s="1"/>
      <c r="AF879" s="1"/>
      <c r="AG879" s="1"/>
    </row>
    <row r="880" spans="1:33"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355"/>
      <c r="Y880" s="1"/>
      <c r="Z880" s="1"/>
      <c r="AA880" s="1"/>
      <c r="AB880" s="1"/>
      <c r="AC880" s="1"/>
      <c r="AD880" s="1"/>
      <c r="AE880" s="1"/>
      <c r="AF880" s="1"/>
      <c r="AG880" s="1"/>
    </row>
    <row r="881" spans="1:33"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355"/>
      <c r="Y881" s="1"/>
      <c r="Z881" s="1"/>
      <c r="AA881" s="1"/>
      <c r="AB881" s="1"/>
      <c r="AC881" s="1"/>
      <c r="AD881" s="1"/>
      <c r="AE881" s="1"/>
      <c r="AF881" s="1"/>
      <c r="AG881" s="1"/>
    </row>
    <row r="882" spans="1:33"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355"/>
      <c r="Y882" s="1"/>
      <c r="Z882" s="1"/>
      <c r="AA882" s="1"/>
      <c r="AB882" s="1"/>
      <c r="AC882" s="1"/>
      <c r="AD882" s="1"/>
      <c r="AE882" s="1"/>
      <c r="AF882" s="1"/>
      <c r="AG882" s="1"/>
    </row>
    <row r="883" spans="1:3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355"/>
      <c r="Y883" s="1"/>
      <c r="Z883" s="1"/>
      <c r="AA883" s="1"/>
      <c r="AB883" s="1"/>
      <c r="AC883" s="1"/>
      <c r="AD883" s="1"/>
      <c r="AE883" s="1"/>
      <c r="AF883" s="1"/>
      <c r="AG883" s="1"/>
    </row>
    <row r="884" spans="1:33"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355"/>
      <c r="Y884" s="1"/>
      <c r="Z884" s="1"/>
      <c r="AA884" s="1"/>
      <c r="AB884" s="1"/>
      <c r="AC884" s="1"/>
      <c r="AD884" s="1"/>
      <c r="AE884" s="1"/>
      <c r="AF884" s="1"/>
      <c r="AG884" s="1"/>
    </row>
    <row r="885" spans="1:33"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355"/>
      <c r="Y885" s="1"/>
      <c r="Z885" s="1"/>
      <c r="AA885" s="1"/>
      <c r="AB885" s="1"/>
      <c r="AC885" s="1"/>
      <c r="AD885" s="1"/>
      <c r="AE885" s="1"/>
      <c r="AF885" s="1"/>
      <c r="AG885" s="1"/>
    </row>
    <row r="886" spans="1:33"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355"/>
      <c r="Y886" s="1"/>
      <c r="Z886" s="1"/>
      <c r="AA886" s="1"/>
      <c r="AB886" s="1"/>
      <c r="AC886" s="1"/>
      <c r="AD886" s="1"/>
      <c r="AE886" s="1"/>
      <c r="AF886" s="1"/>
      <c r="AG886" s="1"/>
    </row>
    <row r="887" spans="1:33"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355"/>
      <c r="Y887" s="1"/>
      <c r="Z887" s="1"/>
      <c r="AA887" s="1"/>
      <c r="AB887" s="1"/>
      <c r="AC887" s="1"/>
      <c r="AD887" s="1"/>
      <c r="AE887" s="1"/>
      <c r="AF887" s="1"/>
      <c r="AG887" s="1"/>
    </row>
    <row r="888" spans="1:33"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355"/>
      <c r="Y888" s="1"/>
      <c r="Z888" s="1"/>
      <c r="AA888" s="1"/>
      <c r="AB888" s="1"/>
      <c r="AC888" s="1"/>
      <c r="AD888" s="1"/>
      <c r="AE888" s="1"/>
      <c r="AF888" s="1"/>
      <c r="AG888" s="1"/>
    </row>
    <row r="889" spans="1:33"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355"/>
      <c r="Y889" s="1"/>
      <c r="Z889" s="1"/>
      <c r="AA889" s="1"/>
      <c r="AB889" s="1"/>
      <c r="AC889" s="1"/>
      <c r="AD889" s="1"/>
      <c r="AE889" s="1"/>
      <c r="AF889" s="1"/>
      <c r="AG889" s="1"/>
    </row>
    <row r="890" spans="1:33"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355"/>
      <c r="Y890" s="1"/>
      <c r="Z890" s="1"/>
      <c r="AA890" s="1"/>
      <c r="AB890" s="1"/>
      <c r="AC890" s="1"/>
      <c r="AD890" s="1"/>
      <c r="AE890" s="1"/>
      <c r="AF890" s="1"/>
      <c r="AG890" s="1"/>
    </row>
    <row r="891" spans="1:33"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355"/>
      <c r="Y891" s="1"/>
      <c r="Z891" s="1"/>
      <c r="AA891" s="1"/>
      <c r="AB891" s="1"/>
      <c r="AC891" s="1"/>
      <c r="AD891" s="1"/>
      <c r="AE891" s="1"/>
      <c r="AF891" s="1"/>
      <c r="AG891" s="1"/>
    </row>
    <row r="892" spans="1:33"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355"/>
      <c r="Y892" s="1"/>
      <c r="Z892" s="1"/>
      <c r="AA892" s="1"/>
      <c r="AB892" s="1"/>
      <c r="AC892" s="1"/>
      <c r="AD892" s="1"/>
      <c r="AE892" s="1"/>
      <c r="AF892" s="1"/>
      <c r="AG892" s="1"/>
    </row>
    <row r="893" spans="1:3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355"/>
      <c r="Y893" s="1"/>
      <c r="Z893" s="1"/>
      <c r="AA893" s="1"/>
      <c r="AB893" s="1"/>
      <c r="AC893" s="1"/>
      <c r="AD893" s="1"/>
      <c r="AE893" s="1"/>
      <c r="AF893" s="1"/>
      <c r="AG893" s="1"/>
    </row>
    <row r="894" spans="1:33"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355"/>
      <c r="Y894" s="1"/>
      <c r="Z894" s="1"/>
      <c r="AA894" s="1"/>
      <c r="AB894" s="1"/>
      <c r="AC894" s="1"/>
      <c r="AD894" s="1"/>
      <c r="AE894" s="1"/>
      <c r="AF894" s="1"/>
      <c r="AG894" s="1"/>
    </row>
    <row r="895" spans="1:33"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355"/>
      <c r="Y895" s="1"/>
      <c r="Z895" s="1"/>
      <c r="AA895" s="1"/>
      <c r="AB895" s="1"/>
      <c r="AC895" s="1"/>
      <c r="AD895" s="1"/>
      <c r="AE895" s="1"/>
      <c r="AF895" s="1"/>
      <c r="AG895" s="1"/>
    </row>
    <row r="896" spans="1:33"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355"/>
      <c r="Y896" s="1"/>
      <c r="Z896" s="1"/>
      <c r="AA896" s="1"/>
      <c r="AB896" s="1"/>
      <c r="AC896" s="1"/>
      <c r="AD896" s="1"/>
      <c r="AE896" s="1"/>
      <c r="AF896" s="1"/>
      <c r="AG896" s="1"/>
    </row>
    <row r="897" spans="1:33"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355"/>
      <c r="Y897" s="1"/>
      <c r="Z897" s="1"/>
      <c r="AA897" s="1"/>
      <c r="AB897" s="1"/>
      <c r="AC897" s="1"/>
      <c r="AD897" s="1"/>
      <c r="AE897" s="1"/>
      <c r="AF897" s="1"/>
      <c r="AG897" s="1"/>
    </row>
    <row r="898" spans="1:33"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355"/>
      <c r="Y898" s="1"/>
      <c r="Z898" s="1"/>
      <c r="AA898" s="1"/>
      <c r="AB898" s="1"/>
      <c r="AC898" s="1"/>
      <c r="AD898" s="1"/>
      <c r="AE898" s="1"/>
      <c r="AF898" s="1"/>
      <c r="AG898" s="1"/>
    </row>
    <row r="899" spans="1:33"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355"/>
      <c r="Y899" s="1"/>
      <c r="Z899" s="1"/>
      <c r="AA899" s="1"/>
      <c r="AB899" s="1"/>
      <c r="AC899" s="1"/>
      <c r="AD899" s="1"/>
      <c r="AE899" s="1"/>
      <c r="AF899" s="1"/>
      <c r="AG899" s="1"/>
    </row>
    <row r="900" spans="1:33"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355"/>
      <c r="Y900" s="1"/>
      <c r="Z900" s="1"/>
      <c r="AA900" s="1"/>
      <c r="AB900" s="1"/>
      <c r="AC900" s="1"/>
      <c r="AD900" s="1"/>
      <c r="AE900" s="1"/>
      <c r="AF900" s="1"/>
      <c r="AG900" s="1"/>
    </row>
    <row r="901" spans="1:33"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355"/>
      <c r="Y901" s="1"/>
      <c r="Z901" s="1"/>
      <c r="AA901" s="1"/>
      <c r="AB901" s="1"/>
      <c r="AC901" s="1"/>
      <c r="AD901" s="1"/>
      <c r="AE901" s="1"/>
      <c r="AF901" s="1"/>
      <c r="AG901" s="1"/>
    </row>
    <row r="902" spans="1:33"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355"/>
      <c r="Y902" s="1"/>
      <c r="Z902" s="1"/>
      <c r="AA902" s="1"/>
      <c r="AB902" s="1"/>
      <c r="AC902" s="1"/>
      <c r="AD902" s="1"/>
      <c r="AE902" s="1"/>
      <c r="AF902" s="1"/>
      <c r="AG902" s="1"/>
    </row>
    <row r="903" spans="1:3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355"/>
      <c r="Y903" s="1"/>
      <c r="Z903" s="1"/>
      <c r="AA903" s="1"/>
      <c r="AB903" s="1"/>
      <c r="AC903" s="1"/>
      <c r="AD903" s="1"/>
      <c r="AE903" s="1"/>
      <c r="AF903" s="1"/>
      <c r="AG903" s="1"/>
    </row>
    <row r="904" spans="1:33"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355"/>
      <c r="Y904" s="1"/>
      <c r="Z904" s="1"/>
      <c r="AA904" s="1"/>
      <c r="AB904" s="1"/>
      <c r="AC904" s="1"/>
      <c r="AD904" s="1"/>
      <c r="AE904" s="1"/>
      <c r="AF904" s="1"/>
      <c r="AG904" s="1"/>
    </row>
    <row r="905" spans="1:33"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355"/>
      <c r="Y905" s="1"/>
      <c r="Z905" s="1"/>
      <c r="AA905" s="1"/>
      <c r="AB905" s="1"/>
      <c r="AC905" s="1"/>
      <c r="AD905" s="1"/>
      <c r="AE905" s="1"/>
      <c r="AF905" s="1"/>
      <c r="AG905" s="1"/>
    </row>
    <row r="906" spans="1:33"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355"/>
      <c r="Y906" s="1"/>
      <c r="Z906" s="1"/>
      <c r="AA906" s="1"/>
      <c r="AB906" s="1"/>
      <c r="AC906" s="1"/>
      <c r="AD906" s="1"/>
      <c r="AE906" s="1"/>
      <c r="AF906" s="1"/>
      <c r="AG906" s="1"/>
    </row>
    <row r="907" spans="1:33"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355"/>
      <c r="Y907" s="1"/>
      <c r="Z907" s="1"/>
      <c r="AA907" s="1"/>
      <c r="AB907" s="1"/>
      <c r="AC907" s="1"/>
      <c r="AD907" s="1"/>
      <c r="AE907" s="1"/>
      <c r="AF907" s="1"/>
      <c r="AG907" s="1"/>
    </row>
    <row r="908" spans="1:33"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355"/>
      <c r="Y908" s="1"/>
      <c r="Z908" s="1"/>
      <c r="AA908" s="1"/>
      <c r="AB908" s="1"/>
      <c r="AC908" s="1"/>
      <c r="AD908" s="1"/>
      <c r="AE908" s="1"/>
      <c r="AF908" s="1"/>
      <c r="AG908" s="1"/>
    </row>
    <row r="909" spans="1:33"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355"/>
      <c r="Y909" s="1"/>
      <c r="Z909" s="1"/>
      <c r="AA909" s="1"/>
      <c r="AB909" s="1"/>
      <c r="AC909" s="1"/>
      <c r="AD909" s="1"/>
      <c r="AE909" s="1"/>
      <c r="AF909" s="1"/>
      <c r="AG909" s="1"/>
    </row>
    <row r="910" spans="1:33"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355"/>
      <c r="Y910" s="1"/>
      <c r="Z910" s="1"/>
      <c r="AA910" s="1"/>
      <c r="AB910" s="1"/>
      <c r="AC910" s="1"/>
      <c r="AD910" s="1"/>
      <c r="AE910" s="1"/>
      <c r="AF910" s="1"/>
      <c r="AG910" s="1"/>
    </row>
    <row r="911" spans="1:33"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355"/>
      <c r="Y911" s="1"/>
      <c r="Z911" s="1"/>
      <c r="AA911" s="1"/>
      <c r="AB911" s="1"/>
      <c r="AC911" s="1"/>
      <c r="AD911" s="1"/>
      <c r="AE911" s="1"/>
      <c r="AF911" s="1"/>
      <c r="AG911" s="1"/>
    </row>
    <row r="912" spans="1:33"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355"/>
      <c r="Y912" s="1"/>
      <c r="Z912" s="1"/>
      <c r="AA912" s="1"/>
      <c r="AB912" s="1"/>
      <c r="AC912" s="1"/>
      <c r="AD912" s="1"/>
      <c r="AE912" s="1"/>
      <c r="AF912" s="1"/>
      <c r="AG912" s="1"/>
    </row>
    <row r="913" spans="1:3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355"/>
      <c r="Y913" s="1"/>
      <c r="Z913" s="1"/>
      <c r="AA913" s="1"/>
      <c r="AB913" s="1"/>
      <c r="AC913" s="1"/>
      <c r="AD913" s="1"/>
      <c r="AE913" s="1"/>
      <c r="AF913" s="1"/>
      <c r="AG913" s="1"/>
    </row>
    <row r="914" spans="1:33"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355"/>
      <c r="Y914" s="1"/>
      <c r="Z914" s="1"/>
      <c r="AA914" s="1"/>
      <c r="AB914" s="1"/>
      <c r="AC914" s="1"/>
      <c r="AD914" s="1"/>
      <c r="AE914" s="1"/>
      <c r="AF914" s="1"/>
      <c r="AG914" s="1"/>
    </row>
    <row r="915" spans="1:33"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355"/>
      <c r="Y915" s="1"/>
      <c r="Z915" s="1"/>
      <c r="AA915" s="1"/>
      <c r="AB915" s="1"/>
      <c r="AC915" s="1"/>
      <c r="AD915" s="1"/>
      <c r="AE915" s="1"/>
      <c r="AF915" s="1"/>
      <c r="AG915" s="1"/>
    </row>
    <row r="916" spans="1:33"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355"/>
      <c r="Y916" s="1"/>
      <c r="Z916" s="1"/>
      <c r="AA916" s="1"/>
      <c r="AB916" s="1"/>
      <c r="AC916" s="1"/>
      <c r="AD916" s="1"/>
      <c r="AE916" s="1"/>
      <c r="AF916" s="1"/>
      <c r="AG916" s="1"/>
    </row>
    <row r="917" spans="1:33"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355"/>
      <c r="Y917" s="1"/>
      <c r="Z917" s="1"/>
      <c r="AA917" s="1"/>
      <c r="AB917" s="1"/>
      <c r="AC917" s="1"/>
      <c r="AD917" s="1"/>
      <c r="AE917" s="1"/>
      <c r="AF917" s="1"/>
      <c r="AG917" s="1"/>
    </row>
    <row r="918" spans="1:33"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355"/>
      <c r="Y918" s="1"/>
      <c r="Z918" s="1"/>
      <c r="AA918" s="1"/>
      <c r="AB918" s="1"/>
      <c r="AC918" s="1"/>
      <c r="AD918" s="1"/>
      <c r="AE918" s="1"/>
      <c r="AF918" s="1"/>
      <c r="AG918" s="1"/>
    </row>
    <row r="919" spans="1:33"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355"/>
      <c r="Y919" s="1"/>
      <c r="Z919" s="1"/>
      <c r="AA919" s="1"/>
      <c r="AB919" s="1"/>
      <c r="AC919" s="1"/>
      <c r="AD919" s="1"/>
      <c r="AE919" s="1"/>
      <c r="AF919" s="1"/>
      <c r="AG919" s="1"/>
    </row>
    <row r="920" spans="1:33"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355"/>
      <c r="Y920" s="1"/>
      <c r="Z920" s="1"/>
      <c r="AA920" s="1"/>
      <c r="AB920" s="1"/>
      <c r="AC920" s="1"/>
      <c r="AD920" s="1"/>
      <c r="AE920" s="1"/>
      <c r="AF920" s="1"/>
      <c r="AG920" s="1"/>
    </row>
    <row r="921" spans="1:33"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355"/>
      <c r="Y921" s="1"/>
      <c r="Z921" s="1"/>
      <c r="AA921" s="1"/>
      <c r="AB921" s="1"/>
      <c r="AC921" s="1"/>
      <c r="AD921" s="1"/>
      <c r="AE921" s="1"/>
      <c r="AF921" s="1"/>
      <c r="AG921" s="1"/>
    </row>
    <row r="922" spans="1:33"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355"/>
      <c r="Y922" s="1"/>
      <c r="Z922" s="1"/>
      <c r="AA922" s="1"/>
      <c r="AB922" s="1"/>
      <c r="AC922" s="1"/>
      <c r="AD922" s="1"/>
      <c r="AE922" s="1"/>
      <c r="AF922" s="1"/>
      <c r="AG922" s="1"/>
    </row>
    <row r="923" spans="1:3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355"/>
      <c r="Y923" s="1"/>
      <c r="Z923" s="1"/>
      <c r="AA923" s="1"/>
      <c r="AB923" s="1"/>
      <c r="AC923" s="1"/>
      <c r="AD923" s="1"/>
      <c r="AE923" s="1"/>
      <c r="AF923" s="1"/>
      <c r="AG923" s="1"/>
    </row>
    <row r="924" spans="1:33"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355"/>
      <c r="Y924" s="1"/>
      <c r="Z924" s="1"/>
      <c r="AA924" s="1"/>
      <c r="AB924" s="1"/>
      <c r="AC924" s="1"/>
      <c r="AD924" s="1"/>
      <c r="AE924" s="1"/>
      <c r="AF924" s="1"/>
      <c r="AG924" s="1"/>
    </row>
    <row r="925" spans="1:33"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355"/>
      <c r="Y925" s="1"/>
      <c r="Z925" s="1"/>
      <c r="AA925" s="1"/>
      <c r="AB925" s="1"/>
      <c r="AC925" s="1"/>
      <c r="AD925" s="1"/>
      <c r="AE925" s="1"/>
      <c r="AF925" s="1"/>
      <c r="AG925" s="1"/>
    </row>
    <row r="926" spans="1:33"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355"/>
      <c r="Y926" s="1"/>
      <c r="Z926" s="1"/>
      <c r="AA926" s="1"/>
      <c r="AB926" s="1"/>
      <c r="AC926" s="1"/>
      <c r="AD926" s="1"/>
      <c r="AE926" s="1"/>
      <c r="AF926" s="1"/>
      <c r="AG926" s="1"/>
    </row>
    <row r="927" spans="1:33"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355"/>
      <c r="Y927" s="1"/>
      <c r="Z927" s="1"/>
      <c r="AA927" s="1"/>
      <c r="AB927" s="1"/>
      <c r="AC927" s="1"/>
      <c r="AD927" s="1"/>
      <c r="AE927" s="1"/>
      <c r="AF927" s="1"/>
      <c r="AG927" s="1"/>
    </row>
    <row r="928" spans="1:33"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355"/>
      <c r="Y928" s="1"/>
      <c r="Z928" s="1"/>
      <c r="AA928" s="1"/>
      <c r="AB928" s="1"/>
      <c r="AC928" s="1"/>
      <c r="AD928" s="1"/>
      <c r="AE928" s="1"/>
      <c r="AF928" s="1"/>
      <c r="AG928" s="1"/>
    </row>
    <row r="929" spans="1:33"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355"/>
      <c r="Y929" s="1"/>
      <c r="Z929" s="1"/>
      <c r="AA929" s="1"/>
      <c r="AB929" s="1"/>
      <c r="AC929" s="1"/>
      <c r="AD929" s="1"/>
      <c r="AE929" s="1"/>
      <c r="AF929" s="1"/>
      <c r="AG929" s="1"/>
    </row>
    <row r="930" spans="1:33"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355"/>
      <c r="Y930" s="1"/>
      <c r="Z930" s="1"/>
      <c r="AA930" s="1"/>
      <c r="AB930" s="1"/>
      <c r="AC930" s="1"/>
      <c r="AD930" s="1"/>
      <c r="AE930" s="1"/>
      <c r="AF930" s="1"/>
      <c r="AG930" s="1"/>
    </row>
    <row r="931" spans="1:33"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355"/>
      <c r="Y931" s="1"/>
      <c r="Z931" s="1"/>
      <c r="AA931" s="1"/>
      <c r="AB931" s="1"/>
      <c r="AC931" s="1"/>
      <c r="AD931" s="1"/>
      <c r="AE931" s="1"/>
      <c r="AF931" s="1"/>
      <c r="AG931" s="1"/>
    </row>
    <row r="932" spans="1:33"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355"/>
      <c r="Y932" s="1"/>
      <c r="Z932" s="1"/>
      <c r="AA932" s="1"/>
      <c r="AB932" s="1"/>
      <c r="AC932" s="1"/>
      <c r="AD932" s="1"/>
      <c r="AE932" s="1"/>
      <c r="AF932" s="1"/>
      <c r="AG932" s="1"/>
    </row>
    <row r="933" spans="1: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355"/>
      <c r="Y933" s="1"/>
      <c r="Z933" s="1"/>
      <c r="AA933" s="1"/>
      <c r="AB933" s="1"/>
      <c r="AC933" s="1"/>
      <c r="AD933" s="1"/>
      <c r="AE933" s="1"/>
      <c r="AF933" s="1"/>
      <c r="AG933" s="1"/>
    </row>
    <row r="934" spans="1:33"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355"/>
      <c r="Y934" s="1"/>
      <c r="Z934" s="1"/>
      <c r="AA934" s="1"/>
      <c r="AB934" s="1"/>
      <c r="AC934" s="1"/>
      <c r="AD934" s="1"/>
      <c r="AE934" s="1"/>
      <c r="AF934" s="1"/>
      <c r="AG934" s="1"/>
    </row>
    <row r="935" spans="1:33"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355"/>
      <c r="Y935" s="1"/>
      <c r="Z935" s="1"/>
      <c r="AA935" s="1"/>
      <c r="AB935" s="1"/>
      <c r="AC935" s="1"/>
      <c r="AD935" s="1"/>
      <c r="AE935" s="1"/>
      <c r="AF935" s="1"/>
      <c r="AG935" s="1"/>
    </row>
    <row r="936" spans="1:33"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355"/>
      <c r="Y936" s="1"/>
      <c r="Z936" s="1"/>
      <c r="AA936" s="1"/>
      <c r="AB936" s="1"/>
      <c r="AC936" s="1"/>
      <c r="AD936" s="1"/>
      <c r="AE936" s="1"/>
      <c r="AF936" s="1"/>
      <c r="AG936" s="1"/>
    </row>
    <row r="937" spans="1:33"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355"/>
      <c r="Y937" s="1"/>
      <c r="Z937" s="1"/>
      <c r="AA937" s="1"/>
      <c r="AB937" s="1"/>
      <c r="AC937" s="1"/>
      <c r="AD937" s="1"/>
      <c r="AE937" s="1"/>
      <c r="AF937" s="1"/>
      <c r="AG937" s="1"/>
    </row>
    <row r="938" spans="1:33"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355"/>
      <c r="Y938" s="1"/>
      <c r="Z938" s="1"/>
      <c r="AA938" s="1"/>
      <c r="AB938" s="1"/>
      <c r="AC938" s="1"/>
      <c r="AD938" s="1"/>
      <c r="AE938" s="1"/>
      <c r="AF938" s="1"/>
      <c r="AG938" s="1"/>
    </row>
    <row r="939" spans="1:33"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355"/>
      <c r="Y939" s="1"/>
      <c r="Z939" s="1"/>
      <c r="AA939" s="1"/>
      <c r="AB939" s="1"/>
      <c r="AC939" s="1"/>
      <c r="AD939" s="1"/>
      <c r="AE939" s="1"/>
      <c r="AF939" s="1"/>
      <c r="AG939" s="1"/>
    </row>
    <row r="940" spans="1:33"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355"/>
      <c r="Y940" s="1"/>
      <c r="Z940" s="1"/>
      <c r="AA940" s="1"/>
      <c r="AB940" s="1"/>
      <c r="AC940" s="1"/>
      <c r="AD940" s="1"/>
      <c r="AE940" s="1"/>
      <c r="AF940" s="1"/>
      <c r="AG940" s="1"/>
    </row>
    <row r="941" spans="1:33"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355"/>
      <c r="Y941" s="1"/>
      <c r="Z941" s="1"/>
      <c r="AA941" s="1"/>
      <c r="AB941" s="1"/>
      <c r="AC941" s="1"/>
      <c r="AD941" s="1"/>
      <c r="AE941" s="1"/>
      <c r="AF941" s="1"/>
      <c r="AG941" s="1"/>
    </row>
    <row r="942" spans="1:33"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355"/>
      <c r="Y942" s="1"/>
      <c r="Z942" s="1"/>
      <c r="AA942" s="1"/>
      <c r="AB942" s="1"/>
      <c r="AC942" s="1"/>
      <c r="AD942" s="1"/>
      <c r="AE942" s="1"/>
      <c r="AF942" s="1"/>
      <c r="AG942" s="1"/>
    </row>
    <row r="943" spans="1:3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355"/>
      <c r="Y943" s="1"/>
      <c r="Z943" s="1"/>
      <c r="AA943" s="1"/>
      <c r="AB943" s="1"/>
      <c r="AC943" s="1"/>
      <c r="AD943" s="1"/>
      <c r="AE943" s="1"/>
      <c r="AF943" s="1"/>
      <c r="AG943" s="1"/>
    </row>
    <row r="944" spans="1:33"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355"/>
      <c r="Y944" s="1"/>
      <c r="Z944" s="1"/>
      <c r="AA944" s="1"/>
      <c r="AB944" s="1"/>
      <c r="AC944" s="1"/>
      <c r="AD944" s="1"/>
      <c r="AE944" s="1"/>
      <c r="AF944" s="1"/>
      <c r="AG944" s="1"/>
    </row>
    <row r="945" spans="1:33"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355"/>
      <c r="Y945" s="1"/>
      <c r="Z945" s="1"/>
      <c r="AA945" s="1"/>
      <c r="AB945" s="1"/>
      <c r="AC945" s="1"/>
      <c r="AD945" s="1"/>
      <c r="AE945" s="1"/>
      <c r="AF945" s="1"/>
      <c r="AG945" s="1"/>
    </row>
    <row r="946" spans="1:33"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355"/>
      <c r="Y946" s="1"/>
      <c r="Z946" s="1"/>
      <c r="AA946" s="1"/>
      <c r="AB946" s="1"/>
      <c r="AC946" s="1"/>
      <c r="AD946" s="1"/>
      <c r="AE946" s="1"/>
      <c r="AF946" s="1"/>
      <c r="AG946" s="1"/>
    </row>
    <row r="947" spans="1:33"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355"/>
      <c r="Y947" s="1"/>
      <c r="Z947" s="1"/>
      <c r="AA947" s="1"/>
      <c r="AB947" s="1"/>
      <c r="AC947" s="1"/>
      <c r="AD947" s="1"/>
      <c r="AE947" s="1"/>
      <c r="AF947" s="1"/>
      <c r="AG947" s="1"/>
    </row>
    <row r="948" spans="1:33"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355"/>
      <c r="Y948" s="1"/>
      <c r="Z948" s="1"/>
      <c r="AA948" s="1"/>
      <c r="AB948" s="1"/>
      <c r="AC948" s="1"/>
      <c r="AD948" s="1"/>
      <c r="AE948" s="1"/>
      <c r="AF948" s="1"/>
      <c r="AG948" s="1"/>
    </row>
    <row r="949" spans="1:33"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355"/>
      <c r="Y949" s="1"/>
      <c r="Z949" s="1"/>
      <c r="AA949" s="1"/>
      <c r="AB949" s="1"/>
      <c r="AC949" s="1"/>
      <c r="AD949" s="1"/>
      <c r="AE949" s="1"/>
      <c r="AF949" s="1"/>
      <c r="AG949" s="1"/>
    </row>
    <row r="950" spans="1:33"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355"/>
      <c r="Y950" s="1"/>
      <c r="Z950" s="1"/>
      <c r="AA950" s="1"/>
      <c r="AB950" s="1"/>
      <c r="AC950" s="1"/>
      <c r="AD950" s="1"/>
      <c r="AE950" s="1"/>
      <c r="AF950" s="1"/>
      <c r="AG950" s="1"/>
    </row>
    <row r="951" spans="1:33"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355"/>
      <c r="Y951" s="1"/>
      <c r="Z951" s="1"/>
      <c r="AA951" s="1"/>
      <c r="AB951" s="1"/>
      <c r="AC951" s="1"/>
      <c r="AD951" s="1"/>
      <c r="AE951" s="1"/>
      <c r="AF951" s="1"/>
      <c r="AG951" s="1"/>
    </row>
    <row r="952" spans="1:33"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355"/>
      <c r="Y952" s="1"/>
      <c r="Z952" s="1"/>
      <c r="AA952" s="1"/>
      <c r="AB952" s="1"/>
      <c r="AC952" s="1"/>
      <c r="AD952" s="1"/>
      <c r="AE952" s="1"/>
      <c r="AF952" s="1"/>
      <c r="AG952" s="1"/>
    </row>
    <row r="953" spans="1:3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355"/>
      <c r="Y953" s="1"/>
      <c r="Z953" s="1"/>
      <c r="AA953" s="1"/>
      <c r="AB953" s="1"/>
      <c r="AC953" s="1"/>
      <c r="AD953" s="1"/>
      <c r="AE953" s="1"/>
      <c r="AF953" s="1"/>
      <c r="AG953" s="1"/>
    </row>
    <row r="954" spans="1:33"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355"/>
      <c r="Y954" s="1"/>
      <c r="Z954" s="1"/>
      <c r="AA954" s="1"/>
      <c r="AB954" s="1"/>
      <c r="AC954" s="1"/>
      <c r="AD954" s="1"/>
      <c r="AE954" s="1"/>
      <c r="AF954" s="1"/>
      <c r="AG954" s="1"/>
    </row>
    <row r="955" spans="1:33"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355"/>
      <c r="Y955" s="1"/>
      <c r="Z955" s="1"/>
      <c r="AA955" s="1"/>
      <c r="AB955" s="1"/>
      <c r="AC955" s="1"/>
      <c r="AD955" s="1"/>
      <c r="AE955" s="1"/>
      <c r="AF955" s="1"/>
      <c r="AG955" s="1"/>
    </row>
    <row r="956" spans="1:33"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355"/>
      <c r="Y956" s="1"/>
      <c r="Z956" s="1"/>
      <c r="AA956" s="1"/>
      <c r="AB956" s="1"/>
      <c r="AC956" s="1"/>
      <c r="AD956" s="1"/>
      <c r="AE956" s="1"/>
      <c r="AF956" s="1"/>
      <c r="AG956" s="1"/>
    </row>
    <row r="957" spans="1:33"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355"/>
      <c r="Y957" s="1"/>
      <c r="Z957" s="1"/>
      <c r="AA957" s="1"/>
      <c r="AB957" s="1"/>
      <c r="AC957" s="1"/>
      <c r="AD957" s="1"/>
      <c r="AE957" s="1"/>
      <c r="AF957" s="1"/>
      <c r="AG957" s="1"/>
    </row>
    <row r="958" spans="1:33"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355"/>
      <c r="Y958" s="1"/>
      <c r="Z958" s="1"/>
      <c r="AA958" s="1"/>
      <c r="AB958" s="1"/>
      <c r="AC958" s="1"/>
      <c r="AD958" s="1"/>
      <c r="AE958" s="1"/>
      <c r="AF958" s="1"/>
      <c r="AG958" s="1"/>
    </row>
    <row r="959" spans="1:33"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355"/>
      <c r="Y959" s="1"/>
      <c r="Z959" s="1"/>
      <c r="AA959" s="1"/>
      <c r="AB959" s="1"/>
      <c r="AC959" s="1"/>
      <c r="AD959" s="1"/>
      <c r="AE959" s="1"/>
      <c r="AF959" s="1"/>
      <c r="AG959" s="1"/>
    </row>
    <row r="960" spans="1:33"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355"/>
      <c r="Y960" s="1"/>
      <c r="Z960" s="1"/>
      <c r="AA960" s="1"/>
      <c r="AB960" s="1"/>
      <c r="AC960" s="1"/>
      <c r="AD960" s="1"/>
      <c r="AE960" s="1"/>
      <c r="AF960" s="1"/>
      <c r="AG960" s="1"/>
    </row>
    <row r="961" spans="1:33"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355"/>
      <c r="Y961" s="1"/>
      <c r="Z961" s="1"/>
      <c r="AA961" s="1"/>
      <c r="AB961" s="1"/>
      <c r="AC961" s="1"/>
      <c r="AD961" s="1"/>
      <c r="AE961" s="1"/>
      <c r="AF961" s="1"/>
      <c r="AG961" s="1"/>
    </row>
    <row r="962" spans="1:33"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355"/>
      <c r="Y962" s="1"/>
      <c r="Z962" s="1"/>
      <c r="AA962" s="1"/>
      <c r="AB962" s="1"/>
      <c r="AC962" s="1"/>
      <c r="AD962" s="1"/>
      <c r="AE962" s="1"/>
      <c r="AF962" s="1"/>
      <c r="AG962" s="1"/>
    </row>
    <row r="963" spans="1:3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355"/>
      <c r="Y963" s="1"/>
      <c r="Z963" s="1"/>
      <c r="AA963" s="1"/>
      <c r="AB963" s="1"/>
      <c r="AC963" s="1"/>
      <c r="AD963" s="1"/>
      <c r="AE963" s="1"/>
      <c r="AF963" s="1"/>
      <c r="AG963" s="1"/>
    </row>
    <row r="964" spans="1:33"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355"/>
      <c r="Y964" s="1"/>
      <c r="Z964" s="1"/>
      <c r="AA964" s="1"/>
      <c r="AB964" s="1"/>
      <c r="AC964" s="1"/>
      <c r="AD964" s="1"/>
      <c r="AE964" s="1"/>
      <c r="AF964" s="1"/>
      <c r="AG964" s="1"/>
    </row>
    <row r="965" spans="1:33"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355"/>
      <c r="Y965" s="1"/>
      <c r="Z965" s="1"/>
      <c r="AA965" s="1"/>
      <c r="AB965" s="1"/>
      <c r="AC965" s="1"/>
      <c r="AD965" s="1"/>
      <c r="AE965" s="1"/>
      <c r="AF965" s="1"/>
      <c r="AG965" s="1"/>
    </row>
    <row r="966" spans="1:33"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355"/>
      <c r="Y966" s="1"/>
      <c r="Z966" s="1"/>
      <c r="AA966" s="1"/>
      <c r="AB966" s="1"/>
      <c r="AC966" s="1"/>
      <c r="AD966" s="1"/>
      <c r="AE966" s="1"/>
      <c r="AF966" s="1"/>
      <c r="AG966" s="1"/>
    </row>
    <row r="967" spans="1:33"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355"/>
      <c r="Y967" s="1"/>
      <c r="Z967" s="1"/>
      <c r="AA967" s="1"/>
      <c r="AB967" s="1"/>
      <c r="AC967" s="1"/>
      <c r="AD967" s="1"/>
      <c r="AE967" s="1"/>
      <c r="AF967" s="1"/>
      <c r="AG967" s="1"/>
    </row>
    <row r="968" spans="1:33"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355"/>
      <c r="Y968" s="1"/>
      <c r="Z968" s="1"/>
      <c r="AA968" s="1"/>
      <c r="AB968" s="1"/>
      <c r="AC968" s="1"/>
      <c r="AD968" s="1"/>
      <c r="AE968" s="1"/>
      <c r="AF968" s="1"/>
      <c r="AG968" s="1"/>
    </row>
    <row r="969" spans="1:33"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355"/>
      <c r="Y969" s="1"/>
      <c r="Z969" s="1"/>
      <c r="AA969" s="1"/>
      <c r="AB969" s="1"/>
      <c r="AC969" s="1"/>
      <c r="AD969" s="1"/>
      <c r="AE969" s="1"/>
      <c r="AF969" s="1"/>
      <c r="AG969" s="1"/>
    </row>
    <row r="970" spans="1:33"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355"/>
      <c r="Y970" s="1"/>
      <c r="Z970" s="1"/>
      <c r="AA970" s="1"/>
      <c r="AB970" s="1"/>
      <c r="AC970" s="1"/>
      <c r="AD970" s="1"/>
      <c r="AE970" s="1"/>
      <c r="AF970" s="1"/>
      <c r="AG970" s="1"/>
    </row>
    <row r="971" spans="1:33"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355"/>
      <c r="Y971" s="1"/>
      <c r="Z971" s="1"/>
      <c r="AA971" s="1"/>
      <c r="AB971" s="1"/>
      <c r="AC971" s="1"/>
      <c r="AD971" s="1"/>
      <c r="AE971" s="1"/>
      <c r="AF971" s="1"/>
      <c r="AG971" s="1"/>
    </row>
    <row r="972" spans="1:33"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355"/>
      <c r="Y972" s="1"/>
      <c r="Z972" s="1"/>
      <c r="AA972" s="1"/>
      <c r="AB972" s="1"/>
      <c r="AC972" s="1"/>
      <c r="AD972" s="1"/>
      <c r="AE972" s="1"/>
      <c r="AF972" s="1"/>
      <c r="AG972" s="1"/>
    </row>
    <row r="973" spans="1:3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355"/>
      <c r="Y973" s="1"/>
      <c r="Z973" s="1"/>
      <c r="AA973" s="1"/>
      <c r="AB973" s="1"/>
      <c r="AC973" s="1"/>
      <c r="AD973" s="1"/>
      <c r="AE973" s="1"/>
      <c r="AF973" s="1"/>
      <c r="AG973" s="1"/>
    </row>
    <row r="974" spans="1:33"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355"/>
      <c r="Y974" s="1"/>
      <c r="Z974" s="1"/>
      <c r="AA974" s="1"/>
      <c r="AB974" s="1"/>
      <c r="AC974" s="1"/>
      <c r="AD974" s="1"/>
      <c r="AE974" s="1"/>
      <c r="AF974" s="1"/>
      <c r="AG974" s="1"/>
    </row>
    <row r="975" spans="1:33"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355"/>
      <c r="Y975" s="1"/>
      <c r="Z975" s="1"/>
      <c r="AA975" s="1"/>
      <c r="AB975" s="1"/>
      <c r="AC975" s="1"/>
      <c r="AD975" s="1"/>
      <c r="AE975" s="1"/>
      <c r="AF975" s="1"/>
      <c r="AG975" s="1"/>
    </row>
    <row r="976" spans="1:33"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355"/>
      <c r="Y976" s="1"/>
      <c r="Z976" s="1"/>
      <c r="AA976" s="1"/>
      <c r="AB976" s="1"/>
      <c r="AC976" s="1"/>
      <c r="AD976" s="1"/>
      <c r="AE976" s="1"/>
      <c r="AF976" s="1"/>
      <c r="AG976" s="1"/>
    </row>
    <row r="977" spans="1:33"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355"/>
      <c r="Y977" s="1"/>
      <c r="Z977" s="1"/>
      <c r="AA977" s="1"/>
      <c r="AB977" s="1"/>
      <c r="AC977" s="1"/>
      <c r="AD977" s="1"/>
      <c r="AE977" s="1"/>
      <c r="AF977" s="1"/>
      <c r="AG977" s="1"/>
    </row>
    <row r="978" spans="1:33"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355"/>
      <c r="Y978" s="1"/>
      <c r="Z978" s="1"/>
      <c r="AA978" s="1"/>
      <c r="AB978" s="1"/>
      <c r="AC978" s="1"/>
      <c r="AD978" s="1"/>
      <c r="AE978" s="1"/>
      <c r="AF978" s="1"/>
      <c r="AG978" s="1"/>
    </row>
    <row r="979" spans="1:33"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355"/>
      <c r="Y979" s="1"/>
      <c r="Z979" s="1"/>
      <c r="AA979" s="1"/>
      <c r="AB979" s="1"/>
      <c r="AC979" s="1"/>
      <c r="AD979" s="1"/>
      <c r="AE979" s="1"/>
      <c r="AF979" s="1"/>
      <c r="AG979" s="1"/>
    </row>
    <row r="980" spans="1:33"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355"/>
      <c r="Y980" s="1"/>
      <c r="Z980" s="1"/>
      <c r="AA980" s="1"/>
      <c r="AB980" s="1"/>
      <c r="AC980" s="1"/>
      <c r="AD980" s="1"/>
      <c r="AE980" s="1"/>
      <c r="AF980" s="1"/>
      <c r="AG980" s="1"/>
    </row>
    <row r="981" spans="1:33"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355"/>
      <c r="Y981" s="1"/>
      <c r="Z981" s="1"/>
      <c r="AA981" s="1"/>
      <c r="AB981" s="1"/>
      <c r="AC981" s="1"/>
      <c r="AD981" s="1"/>
      <c r="AE981" s="1"/>
      <c r="AF981" s="1"/>
      <c r="AG981" s="1"/>
    </row>
    <row r="982" spans="1:33"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355"/>
      <c r="Y982" s="1"/>
      <c r="Z982" s="1"/>
      <c r="AA982" s="1"/>
      <c r="AB982" s="1"/>
      <c r="AC982" s="1"/>
      <c r="AD982" s="1"/>
      <c r="AE982" s="1"/>
      <c r="AF982" s="1"/>
      <c r="AG982" s="1"/>
    </row>
    <row r="983" spans="1:3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355"/>
      <c r="Y983" s="1"/>
      <c r="Z983" s="1"/>
      <c r="AA983" s="1"/>
      <c r="AB983" s="1"/>
      <c r="AC983" s="1"/>
      <c r="AD983" s="1"/>
      <c r="AE983" s="1"/>
      <c r="AF983" s="1"/>
      <c r="AG983" s="1"/>
    </row>
    <row r="984" spans="1:33"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355"/>
      <c r="Y984" s="1"/>
      <c r="Z984" s="1"/>
      <c r="AA984" s="1"/>
      <c r="AB984" s="1"/>
      <c r="AC984" s="1"/>
      <c r="AD984" s="1"/>
      <c r="AE984" s="1"/>
      <c r="AF984" s="1"/>
      <c r="AG984" s="1"/>
    </row>
    <row r="985" spans="1:33"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355"/>
      <c r="Y985" s="1"/>
      <c r="Z985" s="1"/>
      <c r="AA985" s="1"/>
      <c r="AB985" s="1"/>
      <c r="AC985" s="1"/>
      <c r="AD985" s="1"/>
      <c r="AE985" s="1"/>
      <c r="AF985" s="1"/>
      <c r="AG985" s="1"/>
    </row>
    <row r="986" spans="1:33"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355"/>
      <c r="Y986" s="1"/>
      <c r="Z986" s="1"/>
      <c r="AA986" s="1"/>
      <c r="AB986" s="1"/>
      <c r="AC986" s="1"/>
      <c r="AD986" s="1"/>
      <c r="AE986" s="1"/>
      <c r="AF986" s="1"/>
      <c r="AG986" s="1"/>
    </row>
    <row r="987" spans="1:33"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355"/>
      <c r="Y987" s="1"/>
      <c r="Z987" s="1"/>
      <c r="AA987" s="1"/>
      <c r="AB987" s="1"/>
      <c r="AC987" s="1"/>
      <c r="AD987" s="1"/>
      <c r="AE987" s="1"/>
      <c r="AF987" s="1"/>
      <c r="AG987" s="1"/>
    </row>
    <row r="988" spans="1:33"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355"/>
      <c r="Y988" s="1"/>
      <c r="Z988" s="1"/>
      <c r="AA988" s="1"/>
      <c r="AB988" s="1"/>
      <c r="AC988" s="1"/>
      <c r="AD988" s="1"/>
      <c r="AE988" s="1"/>
      <c r="AF988" s="1"/>
      <c r="AG988" s="1"/>
    </row>
    <row r="989" spans="1:33"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355"/>
      <c r="Y989" s="1"/>
      <c r="Z989" s="1"/>
      <c r="AA989" s="1"/>
      <c r="AB989" s="1"/>
      <c r="AC989" s="1"/>
      <c r="AD989" s="1"/>
      <c r="AE989" s="1"/>
      <c r="AF989" s="1"/>
      <c r="AG989" s="1"/>
    </row>
    <row r="990" spans="1:33"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355"/>
      <c r="Y990" s="1"/>
      <c r="Z990" s="1"/>
      <c r="AA990" s="1"/>
      <c r="AB990" s="1"/>
      <c r="AC990" s="1"/>
      <c r="AD990" s="1"/>
      <c r="AE990" s="1"/>
      <c r="AF990" s="1"/>
      <c r="AG990" s="1"/>
    </row>
    <row r="991" spans="1:33"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355"/>
      <c r="Y991" s="1"/>
      <c r="Z991" s="1"/>
      <c r="AA991" s="1"/>
      <c r="AB991" s="1"/>
      <c r="AC991" s="1"/>
      <c r="AD991" s="1"/>
      <c r="AE991" s="1"/>
      <c r="AF991" s="1"/>
      <c r="AG991" s="1"/>
    </row>
    <row r="992" spans="1:33"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355"/>
      <c r="Y992" s="1"/>
      <c r="Z992" s="1"/>
      <c r="AA992" s="1"/>
      <c r="AB992" s="1"/>
      <c r="AC992" s="1"/>
      <c r="AD992" s="1"/>
      <c r="AE992" s="1"/>
      <c r="AF992" s="1"/>
      <c r="AG992" s="1"/>
    </row>
    <row r="993" spans="1:3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355"/>
      <c r="Y993" s="1"/>
      <c r="Z993" s="1"/>
      <c r="AA993" s="1"/>
      <c r="AB993" s="1"/>
      <c r="AC993" s="1"/>
      <c r="AD993" s="1"/>
      <c r="AE993" s="1"/>
      <c r="AF993" s="1"/>
      <c r="AG993" s="1"/>
    </row>
    <row r="994" spans="1:33"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355"/>
      <c r="Y994" s="1"/>
      <c r="Z994" s="1"/>
      <c r="AA994" s="1"/>
      <c r="AB994" s="1"/>
      <c r="AC994" s="1"/>
      <c r="AD994" s="1"/>
      <c r="AE994" s="1"/>
      <c r="AF994" s="1"/>
      <c r="AG994" s="1"/>
    </row>
    <row r="995" spans="1:33"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355"/>
      <c r="Y995" s="1"/>
      <c r="Z995" s="1"/>
      <c r="AA995" s="1"/>
      <c r="AB995" s="1"/>
      <c r="AC995" s="1"/>
      <c r="AD995" s="1"/>
      <c r="AE995" s="1"/>
      <c r="AF995" s="1"/>
      <c r="AG995" s="1"/>
    </row>
    <row r="996" spans="1:33"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355"/>
      <c r="Y996" s="1"/>
      <c r="Z996" s="1"/>
      <c r="AA996" s="1"/>
      <c r="AB996" s="1"/>
      <c r="AC996" s="1"/>
      <c r="AD996" s="1"/>
      <c r="AE996" s="1"/>
      <c r="AF996" s="1"/>
      <c r="AG996" s="1"/>
    </row>
    <row r="997" spans="1:33"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355"/>
      <c r="Y997" s="1"/>
      <c r="Z997" s="1"/>
      <c r="AA997" s="1"/>
      <c r="AB997" s="1"/>
      <c r="AC997" s="1"/>
      <c r="AD997" s="1"/>
      <c r="AE997" s="1"/>
      <c r="AF997" s="1"/>
      <c r="AG997" s="1"/>
    </row>
    <row r="998" spans="1:33"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355"/>
      <c r="Y998" s="1"/>
      <c r="Z998" s="1"/>
      <c r="AA998" s="1"/>
      <c r="AB998" s="1"/>
      <c r="AC998" s="1"/>
      <c r="AD998" s="1"/>
      <c r="AE998" s="1"/>
      <c r="AF998" s="1"/>
      <c r="AG998" s="1"/>
    </row>
    <row r="999" spans="1:33"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355"/>
      <c r="Y999" s="1"/>
      <c r="Z999" s="1"/>
      <c r="AA999" s="1"/>
      <c r="AB999" s="1"/>
      <c r="AC999" s="1"/>
      <c r="AD999" s="1"/>
      <c r="AE999" s="1"/>
      <c r="AF999" s="1"/>
      <c r="AG999" s="1"/>
    </row>
    <row r="1000" spans="1:33"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355"/>
      <c r="Y1000" s="1"/>
      <c r="Z1000" s="1"/>
      <c r="AA1000" s="1"/>
      <c r="AB1000" s="1"/>
      <c r="AC1000" s="1"/>
      <c r="AD1000" s="1"/>
      <c r="AE1000" s="1"/>
      <c r="AF1000" s="1"/>
      <c r="AG1000" s="1"/>
    </row>
  </sheetData>
  <mergeCells count="64">
    <mergeCell ref="I407:T407"/>
    <mergeCell ref="I408:T408"/>
    <mergeCell ref="I400:T400"/>
    <mergeCell ref="I402:T402"/>
    <mergeCell ref="X402:X409"/>
    <mergeCell ref="I403:T403"/>
    <mergeCell ref="I404:T404"/>
    <mergeCell ref="J405:T405"/>
    <mergeCell ref="I406:T406"/>
    <mergeCell ref="I409:T409"/>
    <mergeCell ref="I388:T388"/>
    <mergeCell ref="X388:X400"/>
    <mergeCell ref="I389:T389"/>
    <mergeCell ref="I390:T390"/>
    <mergeCell ref="R391:T391"/>
    <mergeCell ref="R392:T392"/>
    <mergeCell ref="I393:T393"/>
    <mergeCell ref="I394:T394"/>
    <mergeCell ref="I395:T395"/>
    <mergeCell ref="J396:T396"/>
    <mergeCell ref="I397:T397"/>
    <mergeCell ref="I398:T398"/>
    <mergeCell ref="I399:T399"/>
    <mergeCell ref="I374:T374"/>
    <mergeCell ref="X374:X386"/>
    <mergeCell ref="I375:T375"/>
    <mergeCell ref="I376:T376"/>
    <mergeCell ref="R377:T377"/>
    <mergeCell ref="R378:T378"/>
    <mergeCell ref="I385:T385"/>
    <mergeCell ref="I386:T386"/>
    <mergeCell ref="I379:T379"/>
    <mergeCell ref="I380:T380"/>
    <mergeCell ref="I381:T381"/>
    <mergeCell ref="J382:T382"/>
    <mergeCell ref="I383:T383"/>
    <mergeCell ref="I384:T384"/>
    <mergeCell ref="I369:T369"/>
    <mergeCell ref="I370:T370"/>
    <mergeCell ref="I371:T371"/>
    <mergeCell ref="I358:T358"/>
    <mergeCell ref="X358:X372"/>
    <mergeCell ref="I359:T359"/>
    <mergeCell ref="I360:T360"/>
    <mergeCell ref="I361:T361"/>
    <mergeCell ref="R362:T362"/>
    <mergeCell ref="I363:T363"/>
    <mergeCell ref="I372:T372"/>
    <mergeCell ref="R364:T364"/>
    <mergeCell ref="I365:T365"/>
    <mergeCell ref="I366:T366"/>
    <mergeCell ref="I367:T367"/>
    <mergeCell ref="J368:T368"/>
    <mergeCell ref="H22:L22"/>
    <mergeCell ref="H23:L23"/>
    <mergeCell ref="B26:V31"/>
    <mergeCell ref="W34:X34"/>
    <mergeCell ref="B1:U1"/>
    <mergeCell ref="F2:M2"/>
    <mergeCell ref="O7:O8"/>
    <mergeCell ref="P7:P8"/>
    <mergeCell ref="M9:N9"/>
    <mergeCell ref="O9:P9"/>
    <mergeCell ref="J13:P20"/>
  </mergeCells>
  <conditionalFormatting sqref="T361">
    <cfRule type="cellIs" dxfId="30" priority="2" stopIfTrue="1" operator="equal">
      <formula>0</formula>
    </cfRule>
  </conditionalFormatting>
  <conditionalFormatting sqref="T374">
    <cfRule type="cellIs" dxfId="29" priority="3" stopIfTrue="1" operator="equal">
      <formula>0</formula>
    </cfRule>
  </conditionalFormatting>
  <conditionalFormatting sqref="T376">
    <cfRule type="cellIs" dxfId="28" priority="4" stopIfTrue="1" operator="equal">
      <formula>0</formula>
    </cfRule>
  </conditionalFormatting>
  <conditionalFormatting sqref="T388">
    <cfRule type="cellIs" dxfId="27" priority="5" stopIfTrue="1" operator="equal">
      <formula>0</formula>
    </cfRule>
  </conditionalFormatting>
  <conditionalFormatting sqref="T390">
    <cfRule type="cellIs" dxfId="26" priority="6" stopIfTrue="1" operator="equal">
      <formula>0</formula>
    </cfRule>
  </conditionalFormatting>
  <conditionalFormatting sqref="U38:U70">
    <cfRule type="cellIs" dxfId="25" priority="7" stopIfTrue="1" operator="equal">
      <formula>0</formula>
    </cfRule>
  </conditionalFormatting>
  <conditionalFormatting sqref="U72:U130">
    <cfRule type="cellIs" dxfId="24" priority="8" stopIfTrue="1" operator="equal">
      <formula>0</formula>
    </cfRule>
  </conditionalFormatting>
  <conditionalFormatting sqref="U132:U145">
    <cfRule type="cellIs" dxfId="23" priority="9" stopIfTrue="1" operator="equal">
      <formula>0</formula>
    </cfRule>
  </conditionalFormatting>
  <conditionalFormatting sqref="U147:U149">
    <cfRule type="cellIs" dxfId="22" priority="10" stopIfTrue="1" operator="equal">
      <formula>0</formula>
    </cfRule>
  </conditionalFormatting>
  <conditionalFormatting sqref="U151:U174">
    <cfRule type="cellIs" dxfId="21" priority="11" stopIfTrue="1" operator="equal">
      <formula>0</formula>
    </cfRule>
  </conditionalFormatting>
  <conditionalFormatting sqref="U176:U197">
    <cfRule type="cellIs" dxfId="20" priority="12" stopIfTrue="1" operator="equal">
      <formula>0</formula>
    </cfRule>
  </conditionalFormatting>
  <conditionalFormatting sqref="U199:U268">
    <cfRule type="cellIs" dxfId="19" priority="13" stopIfTrue="1" operator="equal">
      <formula>0</formula>
    </cfRule>
  </conditionalFormatting>
  <conditionalFormatting sqref="U270:U294">
    <cfRule type="cellIs" dxfId="18" priority="14" stopIfTrue="1" operator="equal">
      <formula>0</formula>
    </cfRule>
  </conditionalFormatting>
  <conditionalFormatting sqref="U296:U300">
    <cfRule type="cellIs" dxfId="17" priority="15" stopIfTrue="1" operator="equal">
      <formula>0</formula>
    </cfRule>
  </conditionalFormatting>
  <conditionalFormatting sqref="U302:U303">
    <cfRule type="cellIs" dxfId="16" priority="16" stopIfTrue="1" operator="equal">
      <formula>0</formula>
    </cfRule>
  </conditionalFormatting>
  <conditionalFormatting sqref="U305:U306">
    <cfRule type="cellIs" dxfId="15" priority="17" stopIfTrue="1" operator="equal">
      <formula>0</formula>
    </cfRule>
  </conditionalFormatting>
  <conditionalFormatting sqref="U308">
    <cfRule type="cellIs" dxfId="14" priority="18" stopIfTrue="1" operator="equal">
      <formula>0</formula>
    </cfRule>
  </conditionalFormatting>
  <conditionalFormatting sqref="U310:U311">
    <cfRule type="cellIs" dxfId="13" priority="19" stopIfTrue="1" operator="equal">
      <formula>0</formula>
    </cfRule>
  </conditionalFormatting>
  <conditionalFormatting sqref="U313:U314">
    <cfRule type="cellIs" dxfId="12" priority="20" stopIfTrue="1" operator="equal">
      <formula>0</formula>
    </cfRule>
  </conditionalFormatting>
  <conditionalFormatting sqref="U316:U349">
    <cfRule type="cellIs" dxfId="11" priority="21" stopIfTrue="1" operator="equal">
      <formula>0</formula>
    </cfRule>
  </conditionalFormatting>
  <conditionalFormatting sqref="U351:U353">
    <cfRule type="cellIs" dxfId="10" priority="22" stopIfTrue="1" operator="equal">
      <formula>0</formula>
    </cfRule>
  </conditionalFormatting>
  <conditionalFormatting sqref="U355:U356 T358:T359">
    <cfRule type="cellIs" dxfId="9" priority="1" stopIfTrue="1" operator="equal">
      <formula>0</formula>
    </cfRule>
  </conditionalFormatting>
  <conditionalFormatting sqref="V378">
    <cfRule type="cellIs" dxfId="8" priority="24" stopIfTrue="1" operator="greaterThan">
      <formula>0</formula>
    </cfRule>
  </conditionalFormatting>
  <conditionalFormatting sqref="V392">
    <cfRule type="cellIs" dxfId="7" priority="25" stopIfTrue="1" operator="greaterThan">
      <formula>0</formula>
    </cfRule>
  </conditionalFormatting>
  <conditionalFormatting sqref="V364:W364">
    <cfRule type="cellIs" dxfId="6" priority="26" stopIfTrue="1" operator="greaterThan">
      <formula>0</formula>
    </cfRule>
  </conditionalFormatting>
  <hyperlinks>
    <hyperlink ref="J7" r:id="rId1" xr:uid="{00000000-0004-0000-0300-000000000000}"/>
    <hyperlink ref="A37" r:id="rId2" xr:uid="{00000000-0004-0000-0300-000001000000}"/>
    <hyperlink ref="B38" r:id="rId3" xr:uid="{00000000-0004-0000-0300-000002000000}"/>
    <hyperlink ref="B40" r:id="rId4" xr:uid="{00000000-0004-0000-0300-000003000000}"/>
    <hyperlink ref="B41" r:id="rId5" xr:uid="{00000000-0004-0000-0300-000004000000}"/>
    <hyperlink ref="B42" r:id="rId6" xr:uid="{00000000-0004-0000-0300-000005000000}"/>
    <hyperlink ref="B44" r:id="rId7" xr:uid="{00000000-0004-0000-0300-000006000000}"/>
    <hyperlink ref="B45" r:id="rId8" xr:uid="{00000000-0004-0000-0300-000007000000}"/>
    <hyperlink ref="B46" r:id="rId9" xr:uid="{00000000-0004-0000-0300-000008000000}"/>
    <hyperlink ref="B47" r:id="rId10" xr:uid="{00000000-0004-0000-0300-000009000000}"/>
    <hyperlink ref="B48" r:id="rId11" xr:uid="{00000000-0004-0000-0300-00000A000000}"/>
    <hyperlink ref="B49" r:id="rId12" xr:uid="{00000000-0004-0000-0300-00000B000000}"/>
    <hyperlink ref="B50" r:id="rId13" xr:uid="{00000000-0004-0000-0300-00000C000000}"/>
    <hyperlink ref="B51" r:id="rId14" xr:uid="{00000000-0004-0000-0300-00000D000000}"/>
    <hyperlink ref="B52" r:id="rId15" xr:uid="{00000000-0004-0000-0300-00000E000000}"/>
    <hyperlink ref="B54" r:id="rId16" xr:uid="{00000000-0004-0000-0300-00000F000000}"/>
    <hyperlink ref="B55" r:id="rId17" xr:uid="{00000000-0004-0000-0300-000010000000}"/>
    <hyperlink ref="B56" r:id="rId18" xr:uid="{00000000-0004-0000-0300-000011000000}"/>
    <hyperlink ref="B57" r:id="rId19" xr:uid="{00000000-0004-0000-0300-000012000000}"/>
    <hyperlink ref="B59" r:id="rId20" xr:uid="{00000000-0004-0000-0300-000013000000}"/>
    <hyperlink ref="B61" r:id="rId21" xr:uid="{00000000-0004-0000-0300-000014000000}"/>
    <hyperlink ref="B62" r:id="rId22" xr:uid="{00000000-0004-0000-0300-000015000000}"/>
    <hyperlink ref="B64" r:id="rId23" xr:uid="{00000000-0004-0000-0300-000016000000}"/>
    <hyperlink ref="B65" r:id="rId24" xr:uid="{00000000-0004-0000-0300-000017000000}"/>
    <hyperlink ref="B66" r:id="rId25" xr:uid="{00000000-0004-0000-0300-000018000000}"/>
    <hyperlink ref="B67" r:id="rId26" xr:uid="{00000000-0004-0000-0300-000019000000}"/>
    <hyperlink ref="B69" r:id="rId27" xr:uid="{00000000-0004-0000-0300-00001A000000}"/>
    <hyperlink ref="B70" r:id="rId28" xr:uid="{00000000-0004-0000-0300-00001B000000}"/>
    <hyperlink ref="A71" r:id="rId29" xr:uid="{00000000-0004-0000-0300-00001C000000}"/>
    <hyperlink ref="B72" r:id="rId30" xr:uid="{00000000-0004-0000-0300-00001D000000}"/>
    <hyperlink ref="B74" r:id="rId31" xr:uid="{00000000-0004-0000-0300-00001E000000}"/>
    <hyperlink ref="B76" r:id="rId32" xr:uid="{00000000-0004-0000-0300-00001F000000}"/>
    <hyperlink ref="B77" r:id="rId33" xr:uid="{00000000-0004-0000-0300-000020000000}"/>
    <hyperlink ref="B80" r:id="rId34" xr:uid="{00000000-0004-0000-0300-000021000000}"/>
    <hyperlink ref="B82" r:id="rId35" xr:uid="{00000000-0004-0000-0300-000022000000}"/>
    <hyperlink ref="B83" r:id="rId36" xr:uid="{00000000-0004-0000-0300-000023000000}"/>
    <hyperlink ref="B84" r:id="rId37" xr:uid="{00000000-0004-0000-0300-000024000000}"/>
    <hyperlink ref="B85" r:id="rId38" xr:uid="{00000000-0004-0000-0300-000025000000}"/>
    <hyperlink ref="B86" r:id="rId39" xr:uid="{00000000-0004-0000-0300-000026000000}"/>
    <hyperlink ref="B89" r:id="rId40" xr:uid="{00000000-0004-0000-0300-000027000000}"/>
    <hyperlink ref="B90" r:id="rId41" xr:uid="{00000000-0004-0000-0300-000028000000}"/>
    <hyperlink ref="B92" r:id="rId42" xr:uid="{00000000-0004-0000-0300-000029000000}"/>
    <hyperlink ref="B93" r:id="rId43" xr:uid="{00000000-0004-0000-0300-00002A000000}"/>
    <hyperlink ref="B94" r:id="rId44" xr:uid="{00000000-0004-0000-0300-00002B000000}"/>
    <hyperlink ref="B95" r:id="rId45" xr:uid="{00000000-0004-0000-0300-00002C000000}"/>
    <hyperlink ref="B96" r:id="rId46" xr:uid="{00000000-0004-0000-0300-00002D000000}"/>
    <hyperlink ref="B98" r:id="rId47" xr:uid="{00000000-0004-0000-0300-00002E000000}"/>
    <hyperlink ref="B99" r:id="rId48" xr:uid="{00000000-0004-0000-0300-00002F000000}"/>
    <hyperlink ref="B100" r:id="rId49" xr:uid="{00000000-0004-0000-0300-000030000000}"/>
    <hyperlink ref="B101" r:id="rId50" xr:uid="{00000000-0004-0000-0300-000031000000}"/>
    <hyperlink ref="B102" r:id="rId51" xr:uid="{00000000-0004-0000-0300-000032000000}"/>
    <hyperlink ref="B103" r:id="rId52" xr:uid="{00000000-0004-0000-0300-000033000000}"/>
    <hyperlink ref="B104" r:id="rId53" xr:uid="{00000000-0004-0000-0300-000034000000}"/>
    <hyperlink ref="B105" r:id="rId54" xr:uid="{00000000-0004-0000-0300-000035000000}"/>
    <hyperlink ref="B106" r:id="rId55" xr:uid="{00000000-0004-0000-0300-000036000000}"/>
    <hyperlink ref="B107" r:id="rId56" xr:uid="{00000000-0004-0000-0300-000037000000}"/>
    <hyperlink ref="B109" r:id="rId57" xr:uid="{00000000-0004-0000-0300-000038000000}"/>
    <hyperlink ref="B110" r:id="rId58" xr:uid="{00000000-0004-0000-0300-000039000000}"/>
    <hyperlink ref="B111" r:id="rId59" xr:uid="{00000000-0004-0000-0300-00003A000000}"/>
    <hyperlink ref="B112" r:id="rId60" xr:uid="{00000000-0004-0000-0300-00003B000000}"/>
    <hyperlink ref="B114" r:id="rId61" xr:uid="{00000000-0004-0000-0300-00003C000000}"/>
    <hyperlink ref="B115" r:id="rId62" xr:uid="{00000000-0004-0000-0300-00003D000000}"/>
    <hyperlink ref="B116" r:id="rId63" xr:uid="{00000000-0004-0000-0300-00003E000000}"/>
    <hyperlink ref="B117" r:id="rId64" xr:uid="{00000000-0004-0000-0300-00003F000000}"/>
    <hyperlink ref="B118" r:id="rId65" xr:uid="{00000000-0004-0000-0300-000040000000}"/>
    <hyperlink ref="B120" r:id="rId66" xr:uid="{00000000-0004-0000-0300-000041000000}"/>
    <hyperlink ref="B122" r:id="rId67" xr:uid="{00000000-0004-0000-0300-000042000000}"/>
    <hyperlink ref="B123" r:id="rId68" xr:uid="{00000000-0004-0000-0300-000043000000}"/>
    <hyperlink ref="B124" r:id="rId69" xr:uid="{00000000-0004-0000-0300-000044000000}"/>
    <hyperlink ref="B125" r:id="rId70" xr:uid="{00000000-0004-0000-0300-000045000000}"/>
    <hyperlink ref="B126" r:id="rId71" xr:uid="{00000000-0004-0000-0300-000046000000}"/>
    <hyperlink ref="B128" r:id="rId72" xr:uid="{00000000-0004-0000-0300-000047000000}"/>
    <hyperlink ref="B129" r:id="rId73" xr:uid="{00000000-0004-0000-0300-000048000000}"/>
    <hyperlink ref="B130" r:id="rId74" xr:uid="{00000000-0004-0000-0300-000049000000}"/>
    <hyperlink ref="A131" r:id="rId75" xr:uid="{00000000-0004-0000-0300-00004A000000}"/>
    <hyperlink ref="B132" r:id="rId76" xr:uid="{00000000-0004-0000-0300-00004B000000}"/>
    <hyperlink ref="B133" r:id="rId77" xr:uid="{00000000-0004-0000-0300-00004C000000}"/>
    <hyperlink ref="B134" r:id="rId78" xr:uid="{00000000-0004-0000-0300-00004D000000}"/>
    <hyperlink ref="B136" r:id="rId79" xr:uid="{00000000-0004-0000-0300-00004E000000}"/>
    <hyperlink ref="B138" r:id="rId80" xr:uid="{00000000-0004-0000-0300-00004F000000}"/>
    <hyperlink ref="B139" r:id="rId81" xr:uid="{00000000-0004-0000-0300-000050000000}"/>
    <hyperlink ref="B141" r:id="rId82" xr:uid="{00000000-0004-0000-0300-000051000000}"/>
    <hyperlink ref="B142" r:id="rId83" xr:uid="{00000000-0004-0000-0300-000052000000}"/>
    <hyperlink ref="B144" r:id="rId84" xr:uid="{00000000-0004-0000-0300-000053000000}"/>
    <hyperlink ref="B145" r:id="rId85" xr:uid="{00000000-0004-0000-0300-000054000000}"/>
    <hyperlink ref="A146" r:id="rId86" xr:uid="{00000000-0004-0000-0300-000055000000}"/>
    <hyperlink ref="B147" r:id="rId87" xr:uid="{00000000-0004-0000-0300-000056000000}"/>
    <hyperlink ref="B148" r:id="rId88" xr:uid="{00000000-0004-0000-0300-000057000000}"/>
    <hyperlink ref="B149" r:id="rId89" xr:uid="{00000000-0004-0000-0300-000058000000}"/>
    <hyperlink ref="A150" r:id="rId90" xr:uid="{00000000-0004-0000-0300-000059000000}"/>
    <hyperlink ref="B151" r:id="rId91" xr:uid="{00000000-0004-0000-0300-00005A000000}"/>
    <hyperlink ref="B153" r:id="rId92" xr:uid="{00000000-0004-0000-0300-00005B000000}"/>
    <hyperlink ref="B154" r:id="rId93" xr:uid="{00000000-0004-0000-0300-00005C000000}"/>
    <hyperlink ref="B156" r:id="rId94" xr:uid="{00000000-0004-0000-0300-00005D000000}"/>
    <hyperlink ref="B157" r:id="rId95" xr:uid="{00000000-0004-0000-0300-00005E000000}"/>
    <hyperlink ref="B158" r:id="rId96" xr:uid="{00000000-0004-0000-0300-00005F000000}"/>
    <hyperlink ref="B159" r:id="rId97" xr:uid="{00000000-0004-0000-0300-000060000000}"/>
    <hyperlink ref="B160" r:id="rId98" xr:uid="{00000000-0004-0000-0300-000061000000}"/>
    <hyperlink ref="B162" r:id="rId99" xr:uid="{00000000-0004-0000-0300-000062000000}"/>
    <hyperlink ref="B163" r:id="rId100" xr:uid="{00000000-0004-0000-0300-000063000000}"/>
    <hyperlink ref="B164" r:id="rId101" xr:uid="{00000000-0004-0000-0300-000064000000}"/>
    <hyperlink ref="B165" r:id="rId102" xr:uid="{00000000-0004-0000-0300-000065000000}"/>
    <hyperlink ref="B166" r:id="rId103" xr:uid="{00000000-0004-0000-0300-000066000000}"/>
    <hyperlink ref="B168" r:id="rId104" xr:uid="{00000000-0004-0000-0300-000067000000}"/>
    <hyperlink ref="B169" r:id="rId105" xr:uid="{00000000-0004-0000-0300-000068000000}"/>
    <hyperlink ref="B170" r:id="rId106" xr:uid="{00000000-0004-0000-0300-000069000000}"/>
    <hyperlink ref="B172" r:id="rId107" xr:uid="{00000000-0004-0000-0300-00006A000000}"/>
    <hyperlink ref="B174" r:id="rId108" xr:uid="{00000000-0004-0000-0300-00006B000000}"/>
    <hyperlink ref="A175" r:id="rId109" xr:uid="{00000000-0004-0000-0300-00006C000000}"/>
    <hyperlink ref="B176" r:id="rId110" xr:uid="{00000000-0004-0000-0300-00006D000000}"/>
    <hyperlink ref="B178" r:id="rId111" xr:uid="{00000000-0004-0000-0300-00006E000000}"/>
    <hyperlink ref="B180" r:id="rId112" xr:uid="{00000000-0004-0000-0300-00006F000000}"/>
    <hyperlink ref="B181" r:id="rId113" xr:uid="{00000000-0004-0000-0300-000070000000}"/>
    <hyperlink ref="B183" r:id="rId114" xr:uid="{00000000-0004-0000-0300-000071000000}"/>
    <hyperlink ref="B184" r:id="rId115" xr:uid="{00000000-0004-0000-0300-000072000000}"/>
    <hyperlink ref="B185" r:id="rId116" xr:uid="{00000000-0004-0000-0300-000073000000}"/>
    <hyperlink ref="B186" r:id="rId117" xr:uid="{00000000-0004-0000-0300-000074000000}"/>
    <hyperlink ref="B188" r:id="rId118" xr:uid="{00000000-0004-0000-0300-000075000000}"/>
    <hyperlink ref="B189" r:id="rId119" xr:uid="{00000000-0004-0000-0300-000076000000}"/>
    <hyperlink ref="B190" r:id="rId120" xr:uid="{00000000-0004-0000-0300-000077000000}"/>
    <hyperlink ref="B191" r:id="rId121" xr:uid="{00000000-0004-0000-0300-000078000000}"/>
    <hyperlink ref="B192" r:id="rId122" xr:uid="{00000000-0004-0000-0300-000079000000}"/>
    <hyperlink ref="B194" r:id="rId123" xr:uid="{00000000-0004-0000-0300-00007A000000}"/>
    <hyperlink ref="B195" r:id="rId124" xr:uid="{00000000-0004-0000-0300-00007B000000}"/>
    <hyperlink ref="B197" r:id="rId125" xr:uid="{00000000-0004-0000-0300-00007C000000}"/>
    <hyperlink ref="A198" r:id="rId126" xr:uid="{00000000-0004-0000-0300-00007D000000}"/>
    <hyperlink ref="B201" r:id="rId127" xr:uid="{00000000-0004-0000-0300-00007E000000}"/>
    <hyperlink ref="B202" r:id="rId128" xr:uid="{00000000-0004-0000-0300-00007F000000}"/>
    <hyperlink ref="B204" r:id="rId129" xr:uid="{00000000-0004-0000-0300-000080000000}"/>
    <hyperlink ref="B205" r:id="rId130" xr:uid="{00000000-0004-0000-0300-000081000000}"/>
    <hyperlink ref="B207" r:id="rId131" xr:uid="{00000000-0004-0000-0300-000082000000}"/>
    <hyperlink ref="B208" r:id="rId132" xr:uid="{00000000-0004-0000-0300-000083000000}"/>
    <hyperlink ref="B209" r:id="rId133" xr:uid="{00000000-0004-0000-0300-000084000000}"/>
    <hyperlink ref="B210" r:id="rId134" xr:uid="{00000000-0004-0000-0300-000085000000}"/>
    <hyperlink ref="B211" r:id="rId135" xr:uid="{00000000-0004-0000-0300-000086000000}"/>
    <hyperlink ref="B212" r:id="rId136" xr:uid="{00000000-0004-0000-0300-000087000000}"/>
    <hyperlink ref="B213" r:id="rId137" xr:uid="{00000000-0004-0000-0300-000088000000}"/>
    <hyperlink ref="B214" r:id="rId138" xr:uid="{00000000-0004-0000-0300-000089000000}"/>
    <hyperlink ref="B215" r:id="rId139" xr:uid="{00000000-0004-0000-0300-00008A000000}"/>
    <hyperlink ref="B216" r:id="rId140" xr:uid="{00000000-0004-0000-0300-00008B000000}"/>
    <hyperlink ref="B217" r:id="rId141" xr:uid="{00000000-0004-0000-0300-00008C000000}"/>
    <hyperlink ref="B218" r:id="rId142" xr:uid="{00000000-0004-0000-0300-00008D000000}"/>
    <hyperlink ref="B219" r:id="rId143" xr:uid="{00000000-0004-0000-0300-00008E000000}"/>
    <hyperlink ref="B221" r:id="rId144" xr:uid="{00000000-0004-0000-0300-00008F000000}"/>
    <hyperlink ref="B222" r:id="rId145" xr:uid="{00000000-0004-0000-0300-000090000000}"/>
    <hyperlink ref="B223" r:id="rId146" xr:uid="{00000000-0004-0000-0300-000091000000}"/>
    <hyperlink ref="B224" r:id="rId147" xr:uid="{00000000-0004-0000-0300-000092000000}"/>
    <hyperlink ref="B225" r:id="rId148" xr:uid="{00000000-0004-0000-0300-000093000000}"/>
    <hyperlink ref="B226" r:id="rId149" xr:uid="{00000000-0004-0000-0300-000094000000}"/>
    <hyperlink ref="B227" r:id="rId150" xr:uid="{00000000-0004-0000-0300-000095000000}"/>
    <hyperlink ref="B228" r:id="rId151" xr:uid="{00000000-0004-0000-0300-000096000000}"/>
    <hyperlink ref="B229" r:id="rId152" xr:uid="{00000000-0004-0000-0300-000097000000}"/>
    <hyperlink ref="B230" r:id="rId153" xr:uid="{00000000-0004-0000-0300-000098000000}"/>
    <hyperlink ref="B231" r:id="rId154" xr:uid="{00000000-0004-0000-0300-000099000000}"/>
    <hyperlink ref="B232" r:id="rId155" xr:uid="{00000000-0004-0000-0300-00009A000000}"/>
    <hyperlink ref="B233" r:id="rId156" xr:uid="{00000000-0004-0000-0300-00009B000000}"/>
    <hyperlink ref="B234" r:id="rId157" xr:uid="{00000000-0004-0000-0300-00009C000000}"/>
    <hyperlink ref="B235" r:id="rId158" xr:uid="{00000000-0004-0000-0300-00009D000000}"/>
    <hyperlink ref="B236" r:id="rId159" xr:uid="{00000000-0004-0000-0300-00009E000000}"/>
    <hyperlink ref="B237" r:id="rId160" xr:uid="{00000000-0004-0000-0300-00009F000000}"/>
    <hyperlink ref="B238" r:id="rId161" xr:uid="{00000000-0004-0000-0300-0000A0000000}"/>
    <hyperlink ref="B239" r:id="rId162" xr:uid="{00000000-0004-0000-0300-0000A1000000}"/>
    <hyperlink ref="B240" r:id="rId163" xr:uid="{00000000-0004-0000-0300-0000A2000000}"/>
    <hyperlink ref="B242" r:id="rId164" xr:uid="{00000000-0004-0000-0300-0000A3000000}"/>
    <hyperlink ref="B243" r:id="rId165" xr:uid="{00000000-0004-0000-0300-0000A4000000}"/>
    <hyperlink ref="B244" r:id="rId166" xr:uid="{00000000-0004-0000-0300-0000A5000000}"/>
    <hyperlink ref="B245" r:id="rId167" xr:uid="{00000000-0004-0000-0300-0000A6000000}"/>
    <hyperlink ref="B246" r:id="rId168" xr:uid="{00000000-0004-0000-0300-0000A7000000}"/>
    <hyperlink ref="B247" r:id="rId169" xr:uid="{00000000-0004-0000-0300-0000A8000000}"/>
    <hyperlink ref="B248" r:id="rId170" xr:uid="{00000000-0004-0000-0300-0000A9000000}"/>
    <hyperlink ref="B249" r:id="rId171" xr:uid="{00000000-0004-0000-0300-0000AA000000}"/>
    <hyperlink ref="B250" r:id="rId172" xr:uid="{00000000-0004-0000-0300-0000AB000000}"/>
    <hyperlink ref="B251" r:id="rId173" xr:uid="{00000000-0004-0000-0300-0000AC000000}"/>
    <hyperlink ref="B252" r:id="rId174" xr:uid="{00000000-0004-0000-0300-0000AD000000}"/>
    <hyperlink ref="B253" r:id="rId175" xr:uid="{00000000-0004-0000-0300-0000AE000000}"/>
    <hyperlink ref="B254" r:id="rId176" xr:uid="{00000000-0004-0000-0300-0000AF000000}"/>
    <hyperlink ref="B255" r:id="rId177" xr:uid="{00000000-0004-0000-0300-0000B0000000}"/>
    <hyperlink ref="B256" r:id="rId178" xr:uid="{00000000-0004-0000-0300-0000B1000000}"/>
    <hyperlink ref="B258" r:id="rId179" xr:uid="{00000000-0004-0000-0300-0000B2000000}"/>
    <hyperlink ref="B259" r:id="rId180" xr:uid="{00000000-0004-0000-0300-0000B3000000}"/>
    <hyperlink ref="B260" r:id="rId181" xr:uid="{00000000-0004-0000-0300-0000B4000000}"/>
    <hyperlink ref="B261" r:id="rId182" xr:uid="{00000000-0004-0000-0300-0000B5000000}"/>
    <hyperlink ref="B262" r:id="rId183" xr:uid="{00000000-0004-0000-0300-0000B6000000}"/>
    <hyperlink ref="B263" r:id="rId184" xr:uid="{00000000-0004-0000-0300-0000B7000000}"/>
    <hyperlink ref="B264" r:id="rId185" xr:uid="{00000000-0004-0000-0300-0000B8000000}"/>
    <hyperlink ref="B266" r:id="rId186" xr:uid="{00000000-0004-0000-0300-0000B9000000}"/>
    <hyperlink ref="B267" r:id="rId187" xr:uid="{00000000-0004-0000-0300-0000BA000000}"/>
    <hyperlink ref="B268" r:id="rId188" xr:uid="{00000000-0004-0000-0300-0000BB000000}"/>
    <hyperlink ref="A269" r:id="rId189" xr:uid="{00000000-0004-0000-0300-0000BC000000}"/>
    <hyperlink ref="B270" r:id="rId190" xr:uid="{00000000-0004-0000-0300-0000BD000000}"/>
    <hyperlink ref="B271" r:id="rId191" xr:uid="{00000000-0004-0000-0300-0000BE000000}"/>
    <hyperlink ref="B272" r:id="rId192" xr:uid="{00000000-0004-0000-0300-0000BF000000}"/>
    <hyperlink ref="B274" r:id="rId193" xr:uid="{00000000-0004-0000-0300-0000C0000000}"/>
    <hyperlink ref="B275" r:id="rId194" xr:uid="{00000000-0004-0000-0300-0000C1000000}"/>
    <hyperlink ref="B276" r:id="rId195" xr:uid="{00000000-0004-0000-0300-0000C2000000}"/>
    <hyperlink ref="B278" r:id="rId196" xr:uid="{00000000-0004-0000-0300-0000C3000000}"/>
    <hyperlink ref="B279" r:id="rId197" xr:uid="{00000000-0004-0000-0300-0000C4000000}"/>
    <hyperlink ref="B280" r:id="rId198" xr:uid="{00000000-0004-0000-0300-0000C5000000}"/>
    <hyperlink ref="B281" r:id="rId199" xr:uid="{00000000-0004-0000-0300-0000C6000000}"/>
    <hyperlink ref="B282" r:id="rId200" xr:uid="{00000000-0004-0000-0300-0000C7000000}"/>
    <hyperlink ref="B283" r:id="rId201" xr:uid="{00000000-0004-0000-0300-0000C8000000}"/>
    <hyperlink ref="B285" r:id="rId202" xr:uid="{00000000-0004-0000-0300-0000C9000000}"/>
    <hyperlink ref="B286" r:id="rId203" xr:uid="{00000000-0004-0000-0300-0000CA000000}"/>
    <hyperlink ref="B287" r:id="rId204" xr:uid="{00000000-0004-0000-0300-0000CB000000}"/>
    <hyperlink ref="B288" r:id="rId205" xr:uid="{00000000-0004-0000-0300-0000CC000000}"/>
    <hyperlink ref="B290" r:id="rId206" xr:uid="{00000000-0004-0000-0300-0000CD000000}"/>
    <hyperlink ref="B292" r:id="rId207" xr:uid="{00000000-0004-0000-0300-0000CE000000}"/>
    <hyperlink ref="B293" r:id="rId208" xr:uid="{00000000-0004-0000-0300-0000CF000000}"/>
    <hyperlink ref="B294" r:id="rId209" xr:uid="{00000000-0004-0000-0300-0000D0000000}"/>
    <hyperlink ref="A295" r:id="rId210" xr:uid="{00000000-0004-0000-0300-0000D1000000}"/>
    <hyperlink ref="B296" r:id="rId211" xr:uid="{00000000-0004-0000-0300-0000D2000000}"/>
    <hyperlink ref="B297" r:id="rId212" xr:uid="{00000000-0004-0000-0300-0000D3000000}"/>
    <hyperlink ref="B299" r:id="rId213" xr:uid="{00000000-0004-0000-0300-0000D4000000}"/>
    <hyperlink ref="B300" r:id="rId214" xr:uid="{00000000-0004-0000-0300-0000D5000000}"/>
    <hyperlink ref="A301" r:id="rId215" xr:uid="{00000000-0004-0000-0300-0000D6000000}"/>
    <hyperlink ref="B302" r:id="rId216" xr:uid="{00000000-0004-0000-0300-0000D7000000}"/>
    <hyperlink ref="B303" r:id="rId217" xr:uid="{00000000-0004-0000-0300-0000D8000000}"/>
    <hyperlink ref="A304" r:id="rId218" xr:uid="{00000000-0004-0000-0300-0000D9000000}"/>
    <hyperlink ref="B305" r:id="rId219" xr:uid="{00000000-0004-0000-0300-0000DA000000}"/>
    <hyperlink ref="B306" r:id="rId220" xr:uid="{00000000-0004-0000-0300-0000DB000000}"/>
    <hyperlink ref="A307" r:id="rId221" xr:uid="{00000000-0004-0000-0300-0000DC000000}"/>
    <hyperlink ref="B308" r:id="rId222" xr:uid="{00000000-0004-0000-0300-0000DD000000}"/>
    <hyperlink ref="A309" r:id="rId223" xr:uid="{00000000-0004-0000-0300-0000DE000000}"/>
    <hyperlink ref="B310" r:id="rId224" xr:uid="{00000000-0004-0000-0300-0000DF000000}"/>
    <hyperlink ref="B311" r:id="rId225" xr:uid="{00000000-0004-0000-0300-0000E0000000}"/>
    <hyperlink ref="A312" r:id="rId226" xr:uid="{00000000-0004-0000-0300-0000E1000000}"/>
    <hyperlink ref="B313" r:id="rId227" xr:uid="{00000000-0004-0000-0300-0000E2000000}"/>
    <hyperlink ref="B314" r:id="rId228" xr:uid="{00000000-0004-0000-0300-0000E3000000}"/>
    <hyperlink ref="A315" r:id="rId229" xr:uid="{00000000-0004-0000-0300-0000E4000000}"/>
    <hyperlink ref="B316" r:id="rId230" xr:uid="{00000000-0004-0000-0300-0000E5000000}"/>
    <hyperlink ref="B318" r:id="rId231" xr:uid="{00000000-0004-0000-0300-0000E6000000}"/>
    <hyperlink ref="B319" r:id="rId232" xr:uid="{00000000-0004-0000-0300-0000E7000000}"/>
    <hyperlink ref="B320" r:id="rId233" xr:uid="{00000000-0004-0000-0300-0000E8000000}"/>
    <hyperlink ref="B321" r:id="rId234" xr:uid="{00000000-0004-0000-0300-0000E9000000}"/>
    <hyperlink ref="B323" r:id="rId235" xr:uid="{00000000-0004-0000-0300-0000EA000000}"/>
    <hyperlink ref="B324" r:id="rId236" xr:uid="{00000000-0004-0000-0300-0000EB000000}"/>
    <hyperlink ref="B325" r:id="rId237" xr:uid="{00000000-0004-0000-0300-0000EC000000}"/>
    <hyperlink ref="B326" r:id="rId238" xr:uid="{00000000-0004-0000-0300-0000ED000000}"/>
    <hyperlink ref="B327" r:id="rId239" xr:uid="{00000000-0004-0000-0300-0000EE000000}"/>
    <hyperlink ref="B328" r:id="rId240" xr:uid="{00000000-0004-0000-0300-0000EF000000}"/>
    <hyperlink ref="B329" r:id="rId241" xr:uid="{00000000-0004-0000-0300-0000F0000000}"/>
    <hyperlink ref="B330" r:id="rId242" xr:uid="{00000000-0004-0000-0300-0000F1000000}"/>
    <hyperlink ref="B331" r:id="rId243" xr:uid="{00000000-0004-0000-0300-0000F2000000}"/>
    <hyperlink ref="B333" r:id="rId244" xr:uid="{00000000-0004-0000-0300-0000F3000000}"/>
    <hyperlink ref="B334" r:id="rId245" xr:uid="{00000000-0004-0000-0300-0000F4000000}"/>
    <hyperlink ref="B335" r:id="rId246" xr:uid="{00000000-0004-0000-0300-0000F5000000}"/>
    <hyperlink ref="B336" r:id="rId247" xr:uid="{00000000-0004-0000-0300-0000F6000000}"/>
    <hyperlink ref="B337" r:id="rId248" xr:uid="{00000000-0004-0000-0300-0000F7000000}"/>
    <hyperlink ref="B338" r:id="rId249" xr:uid="{00000000-0004-0000-0300-0000F8000000}"/>
    <hyperlink ref="B339" r:id="rId250" xr:uid="{00000000-0004-0000-0300-0000F9000000}"/>
    <hyperlink ref="B340" r:id="rId251" xr:uid="{00000000-0004-0000-0300-0000FA000000}"/>
    <hyperlink ref="B341" r:id="rId252" xr:uid="{00000000-0004-0000-0300-0000FB000000}"/>
    <hyperlink ref="B342" r:id="rId253" xr:uid="{00000000-0004-0000-0300-0000FC000000}"/>
    <hyperlink ref="B344" r:id="rId254" xr:uid="{00000000-0004-0000-0300-0000FD000000}"/>
    <hyperlink ref="B345" r:id="rId255" xr:uid="{00000000-0004-0000-0300-0000FE000000}"/>
    <hyperlink ref="B346" r:id="rId256" xr:uid="{00000000-0004-0000-0300-0000FF000000}"/>
    <hyperlink ref="B347" r:id="rId257" xr:uid="{00000000-0004-0000-0300-000000010000}"/>
    <hyperlink ref="B348" r:id="rId258" xr:uid="{00000000-0004-0000-0300-000001010000}"/>
    <hyperlink ref="B349" r:id="rId259" xr:uid="{00000000-0004-0000-0300-000002010000}"/>
    <hyperlink ref="A350" r:id="rId260" xr:uid="{00000000-0004-0000-0300-000003010000}"/>
    <hyperlink ref="B351" r:id="rId261" xr:uid="{00000000-0004-0000-0300-000004010000}"/>
    <hyperlink ref="B352" r:id="rId262" xr:uid="{00000000-0004-0000-0300-000005010000}"/>
    <hyperlink ref="B353" r:id="rId263" xr:uid="{00000000-0004-0000-0300-000006010000}"/>
    <hyperlink ref="A354" r:id="rId264" xr:uid="{00000000-0004-0000-0300-000007010000}"/>
    <hyperlink ref="B355" r:id="rId265" xr:uid="{00000000-0004-0000-0300-000008010000}"/>
  </hyperlinks>
  <pageMargins left="0.7" right="0.7" top="0.75" bottom="0.75" header="0" footer="0"/>
  <pageSetup orientation="portrait"/>
  <drawing r:id="rId266"/>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Bolts!$A$1155:$A$1156</xm:f>
          </x14:formula1>
          <xm:sqref>P6:P7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000"/>
  <sheetViews>
    <sheetView workbookViewId="0"/>
  </sheetViews>
  <sheetFormatPr baseColWidth="10" defaultColWidth="11.1640625" defaultRowHeight="15" customHeight="1"/>
  <cols>
    <col min="1" max="1" width="23.5" customWidth="1"/>
    <col min="2" max="10" width="12.1640625" customWidth="1"/>
    <col min="11" max="11" width="8.5" customWidth="1"/>
    <col min="12" max="12" width="10.6640625" customWidth="1"/>
    <col min="13" max="13" width="9.6640625" customWidth="1"/>
    <col min="14" max="26" width="8.5" customWidth="1"/>
  </cols>
  <sheetData>
    <row r="1" spans="1:13" ht="13.5" customHeight="1">
      <c r="A1" s="1" t="s">
        <v>1877</v>
      </c>
      <c r="B1" s="1" t="s">
        <v>1878</v>
      </c>
      <c r="C1" s="500" t="s">
        <v>1879</v>
      </c>
      <c r="D1" s="455"/>
    </row>
    <row r="2" spans="1:13" ht="13.5" customHeight="1">
      <c r="A2" s="1" t="s">
        <v>1880</v>
      </c>
      <c r="B2" s="357"/>
      <c r="C2" s="273"/>
      <c r="D2" s="356"/>
    </row>
    <row r="3" spans="1:13" ht="13.5" customHeight="1">
      <c r="A3" s="1" t="s">
        <v>1881</v>
      </c>
      <c r="C3" s="500" t="str">
        <f>IF(B2&gt;0,B2*0.4,"Needs Climbable Square Feet Input")</f>
        <v>Needs Climbable Square Feet Input</v>
      </c>
      <c r="D3" s="455"/>
      <c r="E3" s="455"/>
    </row>
    <row r="4" spans="1:13" ht="13.5" customHeight="1">
      <c r="A4" s="1" t="s">
        <v>1882</v>
      </c>
      <c r="C4" s="500" t="str">
        <f>IF(B2&gt;0,B2*0.1,"Needs Climbable Square Feet Input")</f>
        <v>Needs Climbable Square Feet Input</v>
      </c>
      <c r="D4" s="455"/>
      <c r="E4" s="455"/>
    </row>
    <row r="5" spans="1:13" ht="13.5" customHeight="1">
      <c r="A5" s="1" t="s">
        <v>1883</v>
      </c>
      <c r="C5" s="500">
        <f>SUM(C3:E4)</f>
        <v>0</v>
      </c>
      <c r="D5" s="455"/>
      <c r="E5" s="455"/>
    </row>
    <row r="6" spans="1:13" ht="13.5" customHeight="1">
      <c r="A6" s="1" t="s">
        <v>1884</v>
      </c>
      <c r="B6" s="358"/>
      <c r="C6" s="273"/>
      <c r="D6" s="356"/>
    </row>
    <row r="7" spans="1:13" ht="13.5" customHeight="1">
      <c r="A7" s="1" t="s">
        <v>1885</v>
      </c>
      <c r="B7" s="357"/>
      <c r="C7" s="273"/>
      <c r="D7" s="356"/>
    </row>
    <row r="8" spans="1:13" ht="13.5" customHeight="1">
      <c r="A8" s="1" t="s">
        <v>1886</v>
      </c>
      <c r="B8" s="357"/>
      <c r="C8" s="273"/>
      <c r="D8" s="356"/>
    </row>
    <row r="9" spans="1:13" ht="13.5" customHeight="1">
      <c r="A9" s="1" t="s">
        <v>1887</v>
      </c>
      <c r="B9" s="357"/>
      <c r="C9" s="273"/>
      <c r="D9" s="356"/>
    </row>
    <row r="10" spans="1:13" ht="13.5" customHeight="1">
      <c r="A10" s="1" t="s">
        <v>1888</v>
      </c>
      <c r="C10" s="500" t="str">
        <f>IF(B7&gt;0,_xludf.IFNA(_xludf.IFS(B6="Low",B7*0.02,B6="Medium",B7*0.025,B6="High",B7*0.03),"Needs Boulder Square Feet Input"),"Needs Boulder Density and Boulder Square Feet Input")</f>
        <v>Needs Boulder Density and Boulder Square Feet Input</v>
      </c>
      <c r="D10" s="455"/>
      <c r="E10" s="455"/>
      <c r="M10" s="359"/>
    </row>
    <row r="11" spans="1:13" ht="13.5" customHeight="1">
      <c r="A11" s="1" t="s">
        <v>1889</v>
      </c>
      <c r="C11" s="500" t="str">
        <f>IF(B8&gt;0,B8/10,"Needs Boulder Linear Feet Input")</f>
        <v>Needs Boulder Linear Feet Input</v>
      </c>
      <c r="D11" s="455"/>
      <c r="E11" s="455"/>
    </row>
    <row r="12" spans="1:13" ht="13.5" customHeight="1">
      <c r="A12" s="1" t="s">
        <v>1890</v>
      </c>
      <c r="B12" s="358"/>
      <c r="C12" s="273"/>
      <c r="D12" s="356"/>
    </row>
    <row r="13" spans="1:13" ht="13.5" customHeight="1">
      <c r="A13" s="1" t="s">
        <v>1891</v>
      </c>
      <c r="B13" s="357"/>
      <c r="C13" s="273"/>
      <c r="D13" s="356"/>
    </row>
    <row r="14" spans="1:13" ht="13.5" customHeight="1">
      <c r="A14" s="1" t="s">
        <v>1892</v>
      </c>
      <c r="C14" s="500" t="str">
        <f>IF(B13&gt;0,_xludf.IFNA(_xludf.IFS(B12="Low",B13*1,B12="Medium",B13*2,B12="High",B13*3),"Needs Both Route Density Goal and Route Zones Input"),"Needs Both Route Density Goal and Route Zones Input")</f>
        <v>Needs Both Route Density Goal and Route Zones Input</v>
      </c>
      <c r="D14" s="455"/>
      <c r="E14" s="455"/>
    </row>
    <row r="15" spans="1:13" ht="13.5" customHeight="1">
      <c r="A15" s="1" t="s">
        <v>1893</v>
      </c>
      <c r="B15" s="357"/>
      <c r="C15" s="356"/>
      <c r="D15" s="356"/>
      <c r="E15" s="356"/>
    </row>
    <row r="16" spans="1:13" ht="13.5" customHeight="1">
      <c r="A16" s="1" t="s">
        <v>1894</v>
      </c>
      <c r="B16" s="358"/>
      <c r="C16" s="356"/>
      <c r="D16" s="356"/>
    </row>
    <row r="17" spans="1:12" ht="13.5" customHeight="1">
      <c r="A17" s="1" t="s">
        <v>1895</v>
      </c>
      <c r="C17" s="500" t="e">
        <f ca="1">_xludf.IFNA(_xludf.IFS(B16="Low",6,B16="Medium",8,B16="High",9),"Needs Overall Density Goal Input")</f>
        <v>#NAME?</v>
      </c>
      <c r="D17" s="455"/>
      <c r="E17" s="455"/>
    </row>
    <row r="18" spans="1:12" ht="13.5" customHeight="1">
      <c r="C18" s="273"/>
      <c r="D18" s="356"/>
    </row>
    <row r="19" spans="1:12" ht="13.5" customHeight="1">
      <c r="A19" s="356" t="s">
        <v>1896</v>
      </c>
    </row>
    <row r="20" spans="1:12" ht="13.5" customHeight="1">
      <c r="A20" s="356"/>
      <c r="B20" s="44" t="s">
        <v>112</v>
      </c>
      <c r="C20" s="45" t="s">
        <v>113</v>
      </c>
      <c r="D20" s="46" t="s">
        <v>114</v>
      </c>
      <c r="E20" s="47" t="s">
        <v>115</v>
      </c>
      <c r="F20" s="48" t="s">
        <v>116</v>
      </c>
      <c r="G20" s="49" t="s">
        <v>117</v>
      </c>
      <c r="H20" s="50" t="s">
        <v>118</v>
      </c>
      <c r="I20" s="51" t="s">
        <v>119</v>
      </c>
      <c r="J20" s="52" t="s">
        <v>120</v>
      </c>
      <c r="K20" s="1" t="s">
        <v>1897</v>
      </c>
    </row>
    <row r="21" spans="1:12" ht="78.75" customHeight="1">
      <c r="A21" s="356" t="s">
        <v>1898</v>
      </c>
      <c r="B21" s="360" t="e">
        <f ca="1">_xludf.IFNA(_xludf.IFS($B$16="Low","No",$B$16="Medium","No",$B$16="High","Yes"),"Needs Overall Density Goal Input")</f>
        <v>#NAME?</v>
      </c>
      <c r="C21" s="360" t="e">
        <f t="shared" ref="C21:F21" ca="1" si="0">_xludf.IFNA(_xludf.IFS($B$16="Low","Yes",$B$16="Medium","Yes",$B$16="High","Yes"),"Needs Overall Density Goal Input")</f>
        <v>#NAME?</v>
      </c>
      <c r="D21" s="360" t="e">
        <f t="shared" ca="1" si="0"/>
        <v>#NAME?</v>
      </c>
      <c r="E21" s="360" t="e">
        <f t="shared" ca="1" si="0"/>
        <v>#NAME?</v>
      </c>
      <c r="F21" s="360" t="e">
        <f t="shared" ca="1" si="0"/>
        <v>#NAME?</v>
      </c>
      <c r="G21" s="360" t="e">
        <f ca="1">_xludf.IFNA(_xludf.IFS($B$16="Low","No",$B$16="Medium","Yes",$B$16="High","Yes"),"Needs Overall Density Goal Input")</f>
        <v>#NAME?</v>
      </c>
      <c r="H21" s="360" t="e">
        <f t="shared" ref="H21:I21" ca="1" si="1">_xludf.IFNA(_xludf.IFS($B$16="Low","Yes",$B$16="Medium","Yes",$B$16="High","Yes"),"Needs Overall Density Goal Input")</f>
        <v>#NAME?</v>
      </c>
      <c r="I21" s="360" t="e">
        <f t="shared" ca="1" si="1"/>
        <v>#NAME?</v>
      </c>
      <c r="J21" s="360" t="e">
        <f ca="1">_xludf.IFNA(_xludf.IFS($B$16="Low","No",$B$16="Medium","Yes",$B$16="High","Yes"),"Needs Overall Density Goal Input")</f>
        <v>#NAME?</v>
      </c>
      <c r="K21" s="360" t="e">
        <f ca="1">_xludf.IFNA(COUNTIF(B21:J21,"Yes"),"Needs Overall Density Goal Input")</f>
        <v>#NAME?</v>
      </c>
    </row>
    <row r="22" spans="1:12" ht="78.75" customHeight="1">
      <c r="A22" s="356" t="s">
        <v>1899</v>
      </c>
      <c r="B22" s="361" t="e">
        <f t="shared" ref="B22:J22" ca="1" si="2">_xludf.IFNA(_xludf.IFS(B21="Yes",$E$5/$K$21,B21="No",0),"Needs Climbable Square Feet and Overall Density Goal Input")</f>
        <v>#NAME?</v>
      </c>
      <c r="C22" s="361" t="e">
        <f t="shared" ca="1" si="2"/>
        <v>#NAME?</v>
      </c>
      <c r="D22" s="361" t="e">
        <f t="shared" ca="1" si="2"/>
        <v>#NAME?</v>
      </c>
      <c r="E22" s="361" t="e">
        <f t="shared" ca="1" si="2"/>
        <v>#NAME?</v>
      </c>
      <c r="F22" s="361" t="e">
        <f t="shared" ca="1" si="2"/>
        <v>#NAME?</v>
      </c>
      <c r="G22" s="361" t="e">
        <f t="shared" ca="1" si="2"/>
        <v>#NAME?</v>
      </c>
      <c r="H22" s="361" t="e">
        <f t="shared" ca="1" si="2"/>
        <v>#NAME?</v>
      </c>
      <c r="I22" s="361" t="e">
        <f t="shared" ca="1" si="2"/>
        <v>#NAME?</v>
      </c>
      <c r="J22" s="361" t="e">
        <f t="shared" ca="1" si="2"/>
        <v>#NAME?</v>
      </c>
      <c r="K22" s="360"/>
      <c r="L22" s="273" t="e">
        <f ca="1">SUM(B22:J22)-C5</f>
        <v>#NAME?</v>
      </c>
    </row>
    <row r="23" spans="1:12" ht="78.75" customHeight="1">
      <c r="A23" s="356" t="s">
        <v>42</v>
      </c>
      <c r="B23" s="361" t="str">
        <f t="shared" ref="B23:J23" ca="1" si="3">IFERROR(B22*0.67,"Needs Climbable Square Feet and Overall Density Goal Input")</f>
        <v>Needs Climbable Square Feet and Overall Density Goal Input</v>
      </c>
      <c r="C23" s="361" t="str">
        <f t="shared" ca="1" si="3"/>
        <v>Needs Climbable Square Feet and Overall Density Goal Input</v>
      </c>
      <c r="D23" s="361" t="str">
        <f t="shared" ca="1" si="3"/>
        <v>Needs Climbable Square Feet and Overall Density Goal Input</v>
      </c>
      <c r="E23" s="361" t="str">
        <f t="shared" ca="1" si="3"/>
        <v>Needs Climbable Square Feet and Overall Density Goal Input</v>
      </c>
      <c r="F23" s="361" t="str">
        <f t="shared" ca="1" si="3"/>
        <v>Needs Climbable Square Feet and Overall Density Goal Input</v>
      </c>
      <c r="G23" s="361" t="str">
        <f t="shared" ca="1" si="3"/>
        <v>Needs Climbable Square Feet and Overall Density Goal Input</v>
      </c>
      <c r="H23" s="361" t="str">
        <f t="shared" ca="1" si="3"/>
        <v>Needs Climbable Square Feet and Overall Density Goal Input</v>
      </c>
      <c r="I23" s="361" t="str">
        <f t="shared" ca="1" si="3"/>
        <v>Needs Climbable Square Feet and Overall Density Goal Input</v>
      </c>
      <c r="J23" s="361" t="str">
        <f t="shared" ca="1" si="3"/>
        <v>Needs Climbable Square Feet and Overall Density Goal Input</v>
      </c>
      <c r="K23" s="360"/>
      <c r="L23" s="359">
        <f ca="1">SUM(B23:J23)-(C5*0.67)</f>
        <v>0</v>
      </c>
    </row>
    <row r="24" spans="1:12" ht="78.75" customHeight="1">
      <c r="A24" s="356" t="s">
        <v>1900</v>
      </c>
      <c r="B24" s="361" t="str">
        <f t="shared" ref="B24:J24" ca="1" si="4">IFERROR(B22*0.33,"Needs Climbable Square Feet and Overall Density Goal Input")</f>
        <v>Needs Climbable Square Feet and Overall Density Goal Input</v>
      </c>
      <c r="C24" s="361" t="str">
        <f t="shared" ca="1" si="4"/>
        <v>Needs Climbable Square Feet and Overall Density Goal Input</v>
      </c>
      <c r="D24" s="361" t="str">
        <f t="shared" ca="1" si="4"/>
        <v>Needs Climbable Square Feet and Overall Density Goal Input</v>
      </c>
      <c r="E24" s="361" t="str">
        <f t="shared" ca="1" si="4"/>
        <v>Needs Climbable Square Feet and Overall Density Goal Input</v>
      </c>
      <c r="F24" s="361" t="str">
        <f t="shared" ca="1" si="4"/>
        <v>Needs Climbable Square Feet and Overall Density Goal Input</v>
      </c>
      <c r="G24" s="361" t="str">
        <f t="shared" ca="1" si="4"/>
        <v>Needs Climbable Square Feet and Overall Density Goal Input</v>
      </c>
      <c r="H24" s="361" t="str">
        <f t="shared" ca="1" si="4"/>
        <v>Needs Climbable Square Feet and Overall Density Goal Input</v>
      </c>
      <c r="I24" s="361" t="str">
        <f t="shared" ca="1" si="4"/>
        <v>Needs Climbable Square Feet and Overall Density Goal Input</v>
      </c>
      <c r="J24" s="361" t="str">
        <f t="shared" ca="1" si="4"/>
        <v>Needs Climbable Square Feet and Overall Density Goal Input</v>
      </c>
      <c r="K24" s="360"/>
      <c r="L24" s="359">
        <f ca="1">SUM(B24:J24)-(C5*0.33)</f>
        <v>0</v>
      </c>
    </row>
    <row r="25" spans="1:12" ht="78.75" customHeight="1">
      <c r="A25" s="356" t="s">
        <v>1901</v>
      </c>
      <c r="B25" s="273" t="e">
        <f t="shared" ref="B25:J25" ca="1" si="5">IF(B21="Yes",_xludf.IFNA($C$10/$K$21,"Needs Boulder Density Goal, Boulder Square Feet Input, and Overall Density Goal Input"),0)</f>
        <v>#NAME?</v>
      </c>
      <c r="C25" s="273" t="e">
        <f t="shared" ca="1" si="5"/>
        <v>#NAME?</v>
      </c>
      <c r="D25" s="273" t="e">
        <f t="shared" ca="1" si="5"/>
        <v>#NAME?</v>
      </c>
      <c r="E25" s="273" t="e">
        <f t="shared" ca="1" si="5"/>
        <v>#NAME?</v>
      </c>
      <c r="F25" s="273" t="e">
        <f t="shared" ca="1" si="5"/>
        <v>#NAME?</v>
      </c>
      <c r="G25" s="273" t="e">
        <f t="shared" ca="1" si="5"/>
        <v>#NAME?</v>
      </c>
      <c r="H25" s="273" t="e">
        <f t="shared" ca="1" si="5"/>
        <v>#NAME?</v>
      </c>
      <c r="I25" s="273" t="e">
        <f t="shared" ca="1" si="5"/>
        <v>#NAME?</v>
      </c>
      <c r="J25" s="273" t="e">
        <f t="shared" ca="1" si="5"/>
        <v>#NAME?</v>
      </c>
      <c r="L25" s="273" t="e">
        <f ca="1">SUM(B25:J25)-C10</f>
        <v>#NAME?</v>
      </c>
    </row>
    <row r="26" spans="1:12" ht="78.75" customHeight="1">
      <c r="A26" s="356" t="s">
        <v>1902</v>
      </c>
      <c r="B26" s="273" t="e">
        <f t="shared" ref="B26:J26" ca="1" si="6">IF(B21="Yes",IF($B$9&gt;0,$B$9,"Needs Average Boulder Height"),0)</f>
        <v>#NAME?</v>
      </c>
      <c r="C26" s="273" t="e">
        <f t="shared" ca="1" si="6"/>
        <v>#NAME?</v>
      </c>
      <c r="D26" s="273" t="e">
        <f t="shared" ca="1" si="6"/>
        <v>#NAME?</v>
      </c>
      <c r="E26" s="273" t="e">
        <f t="shared" ca="1" si="6"/>
        <v>#NAME?</v>
      </c>
      <c r="F26" s="273" t="e">
        <f t="shared" ca="1" si="6"/>
        <v>#NAME?</v>
      </c>
      <c r="G26" s="273" t="e">
        <f t="shared" ca="1" si="6"/>
        <v>#NAME?</v>
      </c>
      <c r="H26" s="273" t="e">
        <f t="shared" ca="1" si="6"/>
        <v>#NAME?</v>
      </c>
      <c r="I26" s="273" t="e">
        <f t="shared" ca="1" si="6"/>
        <v>#NAME?</v>
      </c>
      <c r="J26" s="273" t="e">
        <f t="shared" ca="1" si="6"/>
        <v>#NAME?</v>
      </c>
      <c r="L26" s="273" t="e">
        <f ca="1">SUM(B26:J26)-(B9*K21)</f>
        <v>#NAME?</v>
      </c>
    </row>
    <row r="27" spans="1:12" ht="78.75" customHeight="1">
      <c r="A27" s="356" t="s">
        <v>1903</v>
      </c>
      <c r="B27" s="273" t="e">
        <f t="shared" ref="B27:J27" ca="1" si="7">IF(B21="Yes",B25*B26,0)</f>
        <v>#NAME?</v>
      </c>
      <c r="C27" s="273" t="e">
        <f t="shared" ca="1" si="7"/>
        <v>#NAME?</v>
      </c>
      <c r="D27" s="273" t="e">
        <f t="shared" ca="1" si="7"/>
        <v>#NAME?</v>
      </c>
      <c r="E27" s="273" t="e">
        <f t="shared" ca="1" si="7"/>
        <v>#NAME?</v>
      </c>
      <c r="F27" s="273" t="e">
        <f t="shared" ca="1" si="7"/>
        <v>#NAME?</v>
      </c>
      <c r="G27" s="273" t="e">
        <f t="shared" ca="1" si="7"/>
        <v>#NAME?</v>
      </c>
      <c r="H27" s="273" t="e">
        <f t="shared" ca="1" si="7"/>
        <v>#NAME?</v>
      </c>
      <c r="I27" s="273" t="e">
        <f t="shared" ca="1" si="7"/>
        <v>#NAME?</v>
      </c>
      <c r="J27" s="273" t="e">
        <f t="shared" ca="1" si="7"/>
        <v>#NAME?</v>
      </c>
      <c r="L27" s="273"/>
    </row>
    <row r="28" spans="1:12" ht="78.75" customHeight="1">
      <c r="A28" s="356" t="s">
        <v>1904</v>
      </c>
      <c r="B28" s="273"/>
      <c r="C28" s="273"/>
      <c r="D28" s="356"/>
      <c r="E28" s="273"/>
      <c r="F28" s="273"/>
      <c r="G28" s="273"/>
      <c r="H28" s="273"/>
      <c r="I28" s="273"/>
      <c r="J28" s="273"/>
    </row>
    <row r="29" spans="1:12" ht="78.75" customHeight="1">
      <c r="A29" s="356" t="s">
        <v>1905</v>
      </c>
      <c r="B29" s="273"/>
      <c r="C29" s="273"/>
      <c r="D29" s="356"/>
      <c r="E29" s="273"/>
      <c r="F29" s="273"/>
      <c r="G29" s="273"/>
      <c r="H29" s="273"/>
      <c r="I29" s="273"/>
      <c r="J29" s="273"/>
    </row>
    <row r="30" spans="1:12" ht="78.75" customHeight="1">
      <c r="A30" s="356" t="s">
        <v>1906</v>
      </c>
      <c r="B30" s="273"/>
      <c r="C30" s="273"/>
      <c r="D30" s="273"/>
      <c r="E30" s="273"/>
      <c r="F30" s="273"/>
      <c r="G30" s="273"/>
      <c r="H30" s="273"/>
      <c r="I30" s="273"/>
      <c r="J30" s="273"/>
      <c r="L30" s="273"/>
    </row>
    <row r="31" spans="1:12" ht="13.5" customHeight="1">
      <c r="C31" s="273"/>
      <c r="D31" s="356"/>
    </row>
    <row r="32" spans="1:12" ht="13.5" customHeight="1">
      <c r="C32" s="273"/>
      <c r="D32" s="356"/>
    </row>
    <row r="33" spans="3:4" ht="13.5" customHeight="1">
      <c r="C33" s="273"/>
      <c r="D33" s="356"/>
    </row>
    <row r="34" spans="3:4" ht="13.5" customHeight="1">
      <c r="C34" s="273"/>
      <c r="D34" s="356"/>
    </row>
    <row r="35" spans="3:4" ht="13.5" customHeight="1">
      <c r="C35" s="273"/>
      <c r="D35" s="356"/>
    </row>
    <row r="36" spans="3:4" ht="13.5" customHeight="1">
      <c r="C36" s="273"/>
      <c r="D36" s="356"/>
    </row>
    <row r="37" spans="3:4" ht="13.5" customHeight="1">
      <c r="C37" s="273"/>
      <c r="D37" s="356"/>
    </row>
    <row r="38" spans="3:4" ht="13.5" customHeight="1">
      <c r="C38" s="273"/>
      <c r="D38" s="356"/>
    </row>
    <row r="39" spans="3:4" ht="13.5" customHeight="1">
      <c r="C39" s="273"/>
      <c r="D39" s="356"/>
    </row>
    <row r="40" spans="3:4" ht="13.5" customHeight="1">
      <c r="C40" s="273"/>
      <c r="D40" s="356"/>
    </row>
    <row r="41" spans="3:4" ht="13.5" customHeight="1">
      <c r="C41" s="273"/>
      <c r="D41" s="356"/>
    </row>
    <row r="42" spans="3:4" ht="13.5" customHeight="1">
      <c r="C42" s="273"/>
      <c r="D42" s="356"/>
    </row>
    <row r="43" spans="3:4" ht="13.5" customHeight="1">
      <c r="C43" s="273"/>
      <c r="D43" s="356"/>
    </row>
    <row r="44" spans="3:4" ht="13.5" customHeight="1">
      <c r="C44" s="273"/>
      <c r="D44" s="356"/>
    </row>
    <row r="45" spans="3:4" ht="13.5" customHeight="1">
      <c r="C45" s="273"/>
      <c r="D45" s="356"/>
    </row>
    <row r="46" spans="3:4" ht="13.5" customHeight="1">
      <c r="C46" s="273"/>
      <c r="D46" s="356"/>
    </row>
    <row r="47" spans="3:4" ht="13.5" customHeight="1">
      <c r="C47" s="273"/>
      <c r="D47" s="356"/>
    </row>
    <row r="48" spans="3:4" ht="13.5" customHeight="1">
      <c r="C48" s="273"/>
      <c r="D48" s="356"/>
    </row>
    <row r="49" spans="3:4" ht="13.5" customHeight="1">
      <c r="C49" s="273"/>
      <c r="D49" s="356"/>
    </row>
    <row r="50" spans="3:4" ht="13.5" customHeight="1">
      <c r="C50" s="273"/>
      <c r="D50" s="356"/>
    </row>
    <row r="51" spans="3:4" ht="13.5" customHeight="1">
      <c r="C51" s="273"/>
      <c r="D51" s="356"/>
    </row>
    <row r="52" spans="3:4" ht="13.5" customHeight="1">
      <c r="C52" s="273"/>
      <c r="D52" s="356"/>
    </row>
    <row r="53" spans="3:4" ht="13.5" customHeight="1">
      <c r="C53" s="273"/>
      <c r="D53" s="356"/>
    </row>
    <row r="54" spans="3:4" ht="13.5" customHeight="1">
      <c r="C54" s="273"/>
      <c r="D54" s="356"/>
    </row>
    <row r="55" spans="3:4" ht="13.5" customHeight="1">
      <c r="C55" s="273"/>
      <c r="D55" s="356"/>
    </row>
    <row r="56" spans="3:4" ht="13.5" customHeight="1">
      <c r="C56" s="273"/>
      <c r="D56" s="356"/>
    </row>
    <row r="57" spans="3:4" ht="13.5" customHeight="1">
      <c r="C57" s="273"/>
      <c r="D57" s="356"/>
    </row>
    <row r="58" spans="3:4" ht="13.5" customHeight="1">
      <c r="C58" s="273"/>
      <c r="D58" s="356"/>
    </row>
    <row r="59" spans="3:4" ht="13.5" customHeight="1">
      <c r="C59" s="273"/>
      <c r="D59" s="356"/>
    </row>
    <row r="60" spans="3:4" ht="13.5" customHeight="1">
      <c r="C60" s="273"/>
      <c r="D60" s="356"/>
    </row>
    <row r="61" spans="3:4" ht="13.5" customHeight="1">
      <c r="C61" s="273"/>
      <c r="D61" s="356"/>
    </row>
    <row r="62" spans="3:4" ht="13.5" customHeight="1">
      <c r="C62" s="273"/>
      <c r="D62" s="356"/>
    </row>
    <row r="63" spans="3:4" ht="13.5" customHeight="1">
      <c r="C63" s="273"/>
      <c r="D63" s="356"/>
    </row>
    <row r="64" spans="3:4" ht="13.5" customHeight="1">
      <c r="C64" s="273"/>
      <c r="D64" s="356"/>
    </row>
    <row r="65" spans="3:4" ht="13.5" customHeight="1">
      <c r="C65" s="273"/>
      <c r="D65" s="356"/>
    </row>
    <row r="66" spans="3:4" ht="13.5" customHeight="1">
      <c r="C66" s="273"/>
      <c r="D66" s="356"/>
    </row>
    <row r="67" spans="3:4" ht="13.5" customHeight="1">
      <c r="C67" s="273"/>
      <c r="D67" s="356"/>
    </row>
    <row r="68" spans="3:4" ht="13.5" customHeight="1">
      <c r="C68" s="273"/>
      <c r="D68" s="356"/>
    </row>
    <row r="69" spans="3:4" ht="13.5" customHeight="1">
      <c r="C69" s="273"/>
      <c r="D69" s="356"/>
    </row>
    <row r="70" spans="3:4" ht="13.5" customHeight="1">
      <c r="C70" s="273"/>
      <c r="D70" s="356"/>
    </row>
    <row r="71" spans="3:4" ht="13.5" customHeight="1">
      <c r="C71" s="273"/>
      <c r="D71" s="356"/>
    </row>
    <row r="72" spans="3:4" ht="13.5" customHeight="1">
      <c r="C72" s="273"/>
      <c r="D72" s="356"/>
    </row>
    <row r="73" spans="3:4" ht="13.5" customHeight="1">
      <c r="C73" s="273"/>
      <c r="D73" s="356"/>
    </row>
    <row r="74" spans="3:4" ht="13.5" customHeight="1">
      <c r="C74" s="273"/>
      <c r="D74" s="356"/>
    </row>
    <row r="75" spans="3:4" ht="13.5" customHeight="1">
      <c r="C75" s="273"/>
      <c r="D75" s="356"/>
    </row>
    <row r="76" spans="3:4" ht="13.5" customHeight="1">
      <c r="C76" s="273"/>
      <c r="D76" s="356"/>
    </row>
    <row r="77" spans="3:4" ht="13.5" customHeight="1">
      <c r="C77" s="273"/>
      <c r="D77" s="356"/>
    </row>
    <row r="78" spans="3:4" ht="13.5" customHeight="1">
      <c r="C78" s="273"/>
      <c r="D78" s="356"/>
    </row>
    <row r="79" spans="3:4" ht="13.5" customHeight="1">
      <c r="C79" s="273"/>
      <c r="D79" s="356"/>
    </row>
    <row r="80" spans="3:4" ht="13.5" customHeight="1">
      <c r="C80" s="273"/>
      <c r="D80" s="356"/>
    </row>
    <row r="81" spans="3:4" ht="13.5" customHeight="1">
      <c r="C81" s="273"/>
      <c r="D81" s="356"/>
    </row>
    <row r="82" spans="3:4" ht="13.5" customHeight="1">
      <c r="C82" s="273"/>
      <c r="D82" s="356"/>
    </row>
    <row r="83" spans="3:4" ht="13.5" customHeight="1">
      <c r="C83" s="273"/>
      <c r="D83" s="356"/>
    </row>
    <row r="84" spans="3:4" ht="13.5" customHeight="1">
      <c r="C84" s="273"/>
      <c r="D84" s="356"/>
    </row>
    <row r="85" spans="3:4" ht="13.5" customHeight="1">
      <c r="C85" s="273"/>
      <c r="D85" s="356"/>
    </row>
    <row r="86" spans="3:4" ht="13.5" customHeight="1">
      <c r="C86" s="273"/>
      <c r="D86" s="356"/>
    </row>
    <row r="87" spans="3:4" ht="13.5" customHeight="1">
      <c r="C87" s="273"/>
      <c r="D87" s="356"/>
    </row>
    <row r="88" spans="3:4" ht="13.5" customHeight="1">
      <c r="C88" s="273"/>
      <c r="D88" s="356"/>
    </row>
    <row r="89" spans="3:4" ht="13.5" customHeight="1">
      <c r="C89" s="273"/>
      <c r="D89" s="356"/>
    </row>
    <row r="90" spans="3:4" ht="13.5" customHeight="1">
      <c r="C90" s="273"/>
      <c r="D90" s="356"/>
    </row>
    <row r="91" spans="3:4" ht="13.5" customHeight="1">
      <c r="C91" s="273"/>
      <c r="D91" s="356"/>
    </row>
    <row r="92" spans="3:4" ht="13.5" customHeight="1">
      <c r="C92" s="273"/>
      <c r="D92" s="356"/>
    </row>
    <row r="93" spans="3:4" ht="13.5" customHeight="1">
      <c r="C93" s="273"/>
      <c r="D93" s="356"/>
    </row>
    <row r="94" spans="3:4" ht="13.5" customHeight="1">
      <c r="C94" s="273"/>
      <c r="D94" s="356"/>
    </row>
    <row r="95" spans="3:4" ht="13.5" customHeight="1">
      <c r="C95" s="273"/>
      <c r="D95" s="356"/>
    </row>
    <row r="96" spans="3:4" ht="13.5" customHeight="1">
      <c r="C96" s="273"/>
      <c r="D96" s="356"/>
    </row>
    <row r="97" spans="3:4" ht="13.5" customHeight="1">
      <c r="C97" s="273"/>
      <c r="D97" s="356"/>
    </row>
    <row r="98" spans="3:4" ht="13.5" customHeight="1">
      <c r="C98" s="273"/>
      <c r="D98" s="356"/>
    </row>
    <row r="99" spans="3:4" ht="13.5" customHeight="1">
      <c r="C99" s="273"/>
      <c r="D99" s="356"/>
    </row>
    <row r="100" spans="3:4" ht="13.5" customHeight="1">
      <c r="C100" s="273"/>
      <c r="D100" s="356"/>
    </row>
    <row r="101" spans="3:4" ht="13.5" customHeight="1">
      <c r="C101" s="273"/>
      <c r="D101" s="356"/>
    </row>
    <row r="102" spans="3:4" ht="13.5" customHeight="1">
      <c r="C102" s="273"/>
      <c r="D102" s="356"/>
    </row>
    <row r="103" spans="3:4" ht="13.5" customHeight="1">
      <c r="C103" s="273"/>
      <c r="D103" s="356"/>
    </row>
    <row r="104" spans="3:4" ht="13.5" customHeight="1">
      <c r="C104" s="273"/>
      <c r="D104" s="356"/>
    </row>
    <row r="105" spans="3:4" ht="13.5" customHeight="1">
      <c r="C105" s="273"/>
      <c r="D105" s="356"/>
    </row>
    <row r="106" spans="3:4" ht="13.5" customHeight="1">
      <c r="C106" s="273"/>
      <c r="D106" s="356"/>
    </row>
    <row r="107" spans="3:4" ht="13.5" customHeight="1">
      <c r="C107" s="273"/>
      <c r="D107" s="356"/>
    </row>
    <row r="108" spans="3:4" ht="13.5" customHeight="1">
      <c r="C108" s="273"/>
      <c r="D108" s="356"/>
    </row>
    <row r="109" spans="3:4" ht="13.5" customHeight="1">
      <c r="C109" s="273"/>
      <c r="D109" s="356"/>
    </row>
    <row r="110" spans="3:4" ht="13.5" customHeight="1">
      <c r="C110" s="273"/>
      <c r="D110" s="356"/>
    </row>
    <row r="111" spans="3:4" ht="13.5" customHeight="1">
      <c r="C111" s="273"/>
      <c r="D111" s="356"/>
    </row>
    <row r="112" spans="3:4" ht="13.5" customHeight="1">
      <c r="C112" s="273"/>
      <c r="D112" s="356"/>
    </row>
    <row r="113" spans="3:4" ht="13.5" customHeight="1">
      <c r="C113" s="273"/>
      <c r="D113" s="356"/>
    </row>
    <row r="114" spans="3:4" ht="13.5" customHeight="1">
      <c r="C114" s="273"/>
      <c r="D114" s="356"/>
    </row>
    <row r="115" spans="3:4" ht="13.5" customHeight="1">
      <c r="C115" s="273"/>
      <c r="D115" s="356"/>
    </row>
    <row r="116" spans="3:4" ht="13.5" customHeight="1">
      <c r="C116" s="273"/>
      <c r="D116" s="356"/>
    </row>
    <row r="117" spans="3:4" ht="13.5" customHeight="1">
      <c r="C117" s="273"/>
      <c r="D117" s="356"/>
    </row>
    <row r="118" spans="3:4" ht="13.5" customHeight="1">
      <c r="C118" s="273"/>
      <c r="D118" s="356"/>
    </row>
    <row r="119" spans="3:4" ht="13.5" customHeight="1">
      <c r="C119" s="273"/>
      <c r="D119" s="356"/>
    </row>
    <row r="120" spans="3:4" ht="13.5" customHeight="1">
      <c r="C120" s="273"/>
      <c r="D120" s="356"/>
    </row>
    <row r="121" spans="3:4" ht="13.5" customHeight="1">
      <c r="C121" s="273"/>
      <c r="D121" s="356"/>
    </row>
    <row r="122" spans="3:4" ht="13.5" customHeight="1">
      <c r="C122" s="273"/>
      <c r="D122" s="356"/>
    </row>
    <row r="123" spans="3:4" ht="13.5" customHeight="1">
      <c r="C123" s="273"/>
      <c r="D123" s="356"/>
    </row>
    <row r="124" spans="3:4" ht="13.5" customHeight="1">
      <c r="C124" s="273"/>
      <c r="D124" s="356"/>
    </row>
    <row r="125" spans="3:4" ht="13.5" customHeight="1">
      <c r="C125" s="273"/>
      <c r="D125" s="356"/>
    </row>
    <row r="126" spans="3:4" ht="13.5" customHeight="1">
      <c r="C126" s="273"/>
      <c r="D126" s="356"/>
    </row>
    <row r="127" spans="3:4" ht="13.5" customHeight="1">
      <c r="C127" s="273"/>
      <c r="D127" s="356"/>
    </row>
    <row r="128" spans="3:4" ht="13.5" customHeight="1">
      <c r="C128" s="273"/>
      <c r="D128" s="356"/>
    </row>
    <row r="129" spans="3:4" ht="13.5" customHeight="1">
      <c r="C129" s="273"/>
      <c r="D129" s="356"/>
    </row>
    <row r="130" spans="3:4" ht="13.5" customHeight="1">
      <c r="C130" s="273"/>
      <c r="D130" s="356"/>
    </row>
    <row r="131" spans="3:4" ht="13.5" customHeight="1">
      <c r="C131" s="273"/>
      <c r="D131" s="356"/>
    </row>
    <row r="132" spans="3:4" ht="13.5" customHeight="1">
      <c r="C132" s="273"/>
      <c r="D132" s="356"/>
    </row>
    <row r="133" spans="3:4" ht="13.5" customHeight="1">
      <c r="C133" s="273"/>
      <c r="D133" s="356"/>
    </row>
    <row r="134" spans="3:4" ht="13.5" customHeight="1">
      <c r="C134" s="273"/>
      <c r="D134" s="356"/>
    </row>
    <row r="135" spans="3:4" ht="13.5" customHeight="1">
      <c r="C135" s="273"/>
      <c r="D135" s="356"/>
    </row>
    <row r="136" spans="3:4" ht="13.5" customHeight="1">
      <c r="C136" s="273"/>
      <c r="D136" s="356"/>
    </row>
    <row r="137" spans="3:4" ht="13.5" customHeight="1">
      <c r="C137" s="273"/>
      <c r="D137" s="356"/>
    </row>
    <row r="138" spans="3:4" ht="13.5" customHeight="1">
      <c r="C138" s="273"/>
      <c r="D138" s="356"/>
    </row>
    <row r="139" spans="3:4" ht="13.5" customHeight="1">
      <c r="C139" s="273"/>
      <c r="D139" s="356"/>
    </row>
    <row r="140" spans="3:4" ht="13.5" customHeight="1">
      <c r="C140" s="273"/>
      <c r="D140" s="356"/>
    </row>
    <row r="141" spans="3:4" ht="13.5" customHeight="1">
      <c r="C141" s="273"/>
      <c r="D141" s="356"/>
    </row>
    <row r="142" spans="3:4" ht="13.5" customHeight="1">
      <c r="C142" s="273"/>
      <c r="D142" s="356"/>
    </row>
    <row r="143" spans="3:4" ht="13.5" customHeight="1">
      <c r="C143" s="273"/>
      <c r="D143" s="356"/>
    </row>
    <row r="144" spans="3:4" ht="13.5" customHeight="1">
      <c r="C144" s="273"/>
      <c r="D144" s="356"/>
    </row>
    <row r="145" spans="3:4" ht="13.5" customHeight="1">
      <c r="C145" s="273"/>
      <c r="D145" s="356"/>
    </row>
    <row r="146" spans="3:4" ht="13.5" customHeight="1">
      <c r="C146" s="273"/>
      <c r="D146" s="356"/>
    </row>
    <row r="147" spans="3:4" ht="13.5" customHeight="1">
      <c r="C147" s="273"/>
      <c r="D147" s="356"/>
    </row>
    <row r="148" spans="3:4" ht="13.5" customHeight="1">
      <c r="C148" s="273"/>
      <c r="D148" s="356"/>
    </row>
    <row r="149" spans="3:4" ht="13.5" customHeight="1">
      <c r="C149" s="273"/>
      <c r="D149" s="356"/>
    </row>
    <row r="150" spans="3:4" ht="13.5" customHeight="1">
      <c r="C150" s="273"/>
      <c r="D150" s="356"/>
    </row>
    <row r="151" spans="3:4" ht="13.5" customHeight="1">
      <c r="C151" s="273"/>
      <c r="D151" s="356"/>
    </row>
    <row r="152" spans="3:4" ht="13.5" customHeight="1">
      <c r="C152" s="273"/>
      <c r="D152" s="356"/>
    </row>
    <row r="153" spans="3:4" ht="13.5" customHeight="1">
      <c r="C153" s="273"/>
      <c r="D153" s="356"/>
    </row>
    <row r="154" spans="3:4" ht="13.5" customHeight="1">
      <c r="C154" s="273"/>
      <c r="D154" s="356"/>
    </row>
    <row r="155" spans="3:4" ht="13.5" customHeight="1">
      <c r="C155" s="273"/>
      <c r="D155" s="356"/>
    </row>
    <row r="156" spans="3:4" ht="13.5" customHeight="1">
      <c r="C156" s="273"/>
      <c r="D156" s="356"/>
    </row>
    <row r="157" spans="3:4" ht="13.5" customHeight="1">
      <c r="C157" s="273"/>
      <c r="D157" s="356"/>
    </row>
    <row r="158" spans="3:4" ht="13.5" customHeight="1">
      <c r="C158" s="273"/>
      <c r="D158" s="356"/>
    </row>
    <row r="159" spans="3:4" ht="13.5" customHeight="1">
      <c r="C159" s="273"/>
      <c r="D159" s="356"/>
    </row>
    <row r="160" spans="3:4" ht="13.5" customHeight="1">
      <c r="C160" s="273"/>
      <c r="D160" s="356"/>
    </row>
    <row r="161" spans="3:4" ht="13.5" customHeight="1">
      <c r="C161" s="273"/>
      <c r="D161" s="356"/>
    </row>
    <row r="162" spans="3:4" ht="13.5" customHeight="1">
      <c r="C162" s="273"/>
      <c r="D162" s="356"/>
    </row>
    <row r="163" spans="3:4" ht="13.5" customHeight="1">
      <c r="C163" s="273"/>
      <c r="D163" s="356"/>
    </row>
    <row r="164" spans="3:4" ht="13.5" customHeight="1">
      <c r="C164" s="273"/>
      <c r="D164" s="356"/>
    </row>
    <row r="165" spans="3:4" ht="13.5" customHeight="1">
      <c r="C165" s="273"/>
      <c r="D165" s="356"/>
    </row>
    <row r="166" spans="3:4" ht="13.5" customHeight="1">
      <c r="C166" s="273"/>
      <c r="D166" s="356"/>
    </row>
    <row r="167" spans="3:4" ht="13.5" customHeight="1">
      <c r="C167" s="273"/>
      <c r="D167" s="356"/>
    </row>
    <row r="168" spans="3:4" ht="13.5" customHeight="1">
      <c r="C168" s="273"/>
      <c r="D168" s="356"/>
    </row>
    <row r="169" spans="3:4" ht="13.5" customHeight="1">
      <c r="C169" s="273"/>
      <c r="D169" s="356"/>
    </row>
    <row r="170" spans="3:4" ht="13.5" customHeight="1">
      <c r="C170" s="273"/>
      <c r="D170" s="356"/>
    </row>
    <row r="171" spans="3:4" ht="13.5" customHeight="1">
      <c r="C171" s="273"/>
      <c r="D171" s="356"/>
    </row>
    <row r="172" spans="3:4" ht="13.5" customHeight="1">
      <c r="C172" s="273"/>
      <c r="D172" s="356"/>
    </row>
    <row r="173" spans="3:4" ht="13.5" customHeight="1">
      <c r="C173" s="273"/>
      <c r="D173" s="356"/>
    </row>
    <row r="174" spans="3:4" ht="13.5" customHeight="1">
      <c r="C174" s="273"/>
      <c r="D174" s="356"/>
    </row>
    <row r="175" spans="3:4" ht="13.5" customHeight="1">
      <c r="C175" s="273"/>
      <c r="D175" s="356"/>
    </row>
    <row r="176" spans="3:4" ht="13.5" customHeight="1">
      <c r="C176" s="273"/>
      <c r="D176" s="356"/>
    </row>
    <row r="177" spans="3:4" ht="13.5" customHeight="1">
      <c r="C177" s="273"/>
      <c r="D177" s="356"/>
    </row>
    <row r="178" spans="3:4" ht="13.5" customHeight="1">
      <c r="C178" s="273"/>
      <c r="D178" s="356"/>
    </row>
    <row r="179" spans="3:4" ht="13.5" customHeight="1">
      <c r="C179" s="273"/>
      <c r="D179" s="356"/>
    </row>
    <row r="180" spans="3:4" ht="13.5" customHeight="1">
      <c r="C180" s="273"/>
      <c r="D180" s="356"/>
    </row>
    <row r="181" spans="3:4" ht="13.5" customHeight="1">
      <c r="C181" s="273"/>
      <c r="D181" s="356"/>
    </row>
    <row r="182" spans="3:4" ht="13.5" customHeight="1">
      <c r="C182" s="273"/>
      <c r="D182" s="356"/>
    </row>
    <row r="183" spans="3:4" ht="13.5" customHeight="1">
      <c r="C183" s="273"/>
      <c r="D183" s="356"/>
    </row>
    <row r="184" spans="3:4" ht="13.5" customHeight="1">
      <c r="C184" s="273"/>
      <c r="D184" s="356"/>
    </row>
    <row r="185" spans="3:4" ht="13.5" customHeight="1">
      <c r="C185" s="273"/>
      <c r="D185" s="356"/>
    </row>
    <row r="186" spans="3:4" ht="13.5" customHeight="1">
      <c r="C186" s="273"/>
      <c r="D186" s="356"/>
    </row>
    <row r="187" spans="3:4" ht="13.5" customHeight="1">
      <c r="C187" s="273"/>
      <c r="D187" s="356"/>
    </row>
    <row r="188" spans="3:4" ht="13.5" customHeight="1">
      <c r="C188" s="273"/>
      <c r="D188" s="356"/>
    </row>
    <row r="189" spans="3:4" ht="13.5" customHeight="1">
      <c r="C189" s="273"/>
      <c r="D189" s="356"/>
    </row>
    <row r="190" spans="3:4" ht="13.5" customHeight="1">
      <c r="C190" s="273"/>
      <c r="D190" s="356"/>
    </row>
    <row r="191" spans="3:4" ht="13.5" customHeight="1">
      <c r="C191" s="273"/>
      <c r="D191" s="356"/>
    </row>
    <row r="192" spans="3:4" ht="13.5" customHeight="1">
      <c r="C192" s="273"/>
      <c r="D192" s="356"/>
    </row>
    <row r="193" spans="3:4" ht="13.5" customHeight="1">
      <c r="C193" s="273"/>
      <c r="D193" s="356"/>
    </row>
    <row r="194" spans="3:4" ht="13.5" customHeight="1">
      <c r="C194" s="273"/>
      <c r="D194" s="356"/>
    </row>
    <row r="195" spans="3:4" ht="13.5" customHeight="1">
      <c r="C195" s="273"/>
      <c r="D195" s="356"/>
    </row>
    <row r="196" spans="3:4" ht="13.5" customHeight="1">
      <c r="C196" s="273"/>
      <c r="D196" s="356"/>
    </row>
    <row r="197" spans="3:4" ht="13.5" customHeight="1">
      <c r="C197" s="273"/>
      <c r="D197" s="356"/>
    </row>
    <row r="198" spans="3:4" ht="13.5" customHeight="1">
      <c r="C198" s="273"/>
      <c r="D198" s="356"/>
    </row>
    <row r="199" spans="3:4" ht="13.5" customHeight="1">
      <c r="C199" s="273"/>
      <c r="D199" s="356"/>
    </row>
    <row r="200" spans="3:4" ht="13.5" customHeight="1">
      <c r="C200" s="273"/>
      <c r="D200" s="356"/>
    </row>
    <row r="201" spans="3:4" ht="13.5" customHeight="1">
      <c r="C201" s="273"/>
      <c r="D201" s="356"/>
    </row>
    <row r="202" spans="3:4" ht="13.5" customHeight="1">
      <c r="C202" s="273"/>
      <c r="D202" s="356"/>
    </row>
    <row r="203" spans="3:4" ht="13.5" customHeight="1">
      <c r="C203" s="273"/>
      <c r="D203" s="356"/>
    </row>
    <row r="204" spans="3:4" ht="13.5" customHeight="1">
      <c r="C204" s="273"/>
      <c r="D204" s="356"/>
    </row>
    <row r="205" spans="3:4" ht="13.5" customHeight="1">
      <c r="C205" s="273"/>
      <c r="D205" s="356"/>
    </row>
    <row r="206" spans="3:4" ht="13.5" customHeight="1">
      <c r="C206" s="273"/>
      <c r="D206" s="356"/>
    </row>
    <row r="207" spans="3:4" ht="13.5" customHeight="1">
      <c r="C207" s="273"/>
      <c r="D207" s="356"/>
    </row>
    <row r="208" spans="3:4" ht="13.5" customHeight="1">
      <c r="C208" s="273"/>
      <c r="D208" s="356"/>
    </row>
    <row r="209" spans="3:4" ht="13.5" customHeight="1">
      <c r="C209" s="273"/>
      <c r="D209" s="356"/>
    </row>
    <row r="210" spans="3:4" ht="13.5" customHeight="1">
      <c r="C210" s="273"/>
      <c r="D210" s="356"/>
    </row>
    <row r="211" spans="3:4" ht="13.5" customHeight="1">
      <c r="C211" s="273"/>
      <c r="D211" s="356"/>
    </row>
    <row r="212" spans="3:4" ht="13.5" customHeight="1">
      <c r="C212" s="273"/>
      <c r="D212" s="356"/>
    </row>
    <row r="213" spans="3:4" ht="13.5" customHeight="1">
      <c r="C213" s="273"/>
      <c r="D213" s="356"/>
    </row>
    <row r="214" spans="3:4" ht="13.5" customHeight="1">
      <c r="C214" s="273"/>
      <c r="D214" s="356"/>
    </row>
    <row r="215" spans="3:4" ht="13.5" customHeight="1">
      <c r="C215" s="273"/>
      <c r="D215" s="356"/>
    </row>
    <row r="216" spans="3:4" ht="13.5" customHeight="1">
      <c r="C216" s="273"/>
      <c r="D216" s="356"/>
    </row>
    <row r="217" spans="3:4" ht="13.5" customHeight="1">
      <c r="C217" s="273"/>
      <c r="D217" s="356"/>
    </row>
    <row r="218" spans="3:4" ht="13.5" customHeight="1">
      <c r="C218" s="273"/>
      <c r="D218" s="356"/>
    </row>
    <row r="219" spans="3:4" ht="13.5" customHeight="1">
      <c r="C219" s="273"/>
      <c r="D219" s="356"/>
    </row>
    <row r="220" spans="3:4" ht="13.5" customHeight="1">
      <c r="C220" s="273"/>
      <c r="D220" s="356"/>
    </row>
    <row r="221" spans="3:4" ht="13.5" customHeight="1">
      <c r="C221" s="273"/>
      <c r="D221" s="356"/>
    </row>
    <row r="222" spans="3:4" ht="13.5" customHeight="1">
      <c r="C222" s="273"/>
      <c r="D222" s="356"/>
    </row>
    <row r="223" spans="3:4" ht="13.5" customHeight="1">
      <c r="C223" s="273"/>
      <c r="D223" s="356"/>
    </row>
    <row r="224" spans="3:4" ht="13.5" customHeight="1">
      <c r="C224" s="273"/>
      <c r="D224" s="356"/>
    </row>
    <row r="225" spans="3:4" ht="13.5" customHeight="1">
      <c r="C225" s="273"/>
      <c r="D225" s="356"/>
    </row>
    <row r="226" spans="3:4" ht="13.5" customHeight="1">
      <c r="C226" s="273"/>
      <c r="D226" s="356"/>
    </row>
    <row r="227" spans="3:4" ht="13.5" customHeight="1">
      <c r="C227" s="273"/>
      <c r="D227" s="356"/>
    </row>
    <row r="228" spans="3:4" ht="13.5" customHeight="1">
      <c r="C228" s="273"/>
      <c r="D228" s="356"/>
    </row>
    <row r="229" spans="3:4" ht="13.5" customHeight="1">
      <c r="C229" s="273"/>
      <c r="D229" s="356"/>
    </row>
    <row r="230" spans="3:4" ht="13.5" customHeight="1">
      <c r="C230" s="273"/>
      <c r="D230" s="356"/>
    </row>
    <row r="231" spans="3:4" ht="13.5" customHeight="1">
      <c r="C231" s="273"/>
      <c r="D231" s="356"/>
    </row>
    <row r="232" spans="3:4" ht="13.5" customHeight="1">
      <c r="C232" s="273"/>
      <c r="D232" s="356"/>
    </row>
    <row r="233" spans="3:4" ht="13.5" customHeight="1">
      <c r="C233" s="273"/>
      <c r="D233" s="356"/>
    </row>
    <row r="234" spans="3:4" ht="13.5" customHeight="1">
      <c r="C234" s="273"/>
      <c r="D234" s="356"/>
    </row>
    <row r="235" spans="3:4" ht="13.5" customHeight="1">
      <c r="C235" s="273"/>
      <c r="D235" s="356"/>
    </row>
    <row r="236" spans="3:4" ht="13.5" customHeight="1">
      <c r="C236" s="273"/>
      <c r="D236" s="356"/>
    </row>
    <row r="237" spans="3:4" ht="13.5" customHeight="1">
      <c r="C237" s="273"/>
      <c r="D237" s="356"/>
    </row>
    <row r="238" spans="3:4" ht="13.5" customHeight="1">
      <c r="C238" s="273"/>
      <c r="D238" s="356"/>
    </row>
    <row r="239" spans="3:4" ht="13.5" customHeight="1">
      <c r="C239" s="273"/>
      <c r="D239" s="356"/>
    </row>
    <row r="240" spans="3:4" ht="13.5" customHeight="1">
      <c r="C240" s="273"/>
      <c r="D240" s="356"/>
    </row>
    <row r="241" spans="3:4" ht="13.5" customHeight="1">
      <c r="C241" s="273"/>
      <c r="D241" s="356"/>
    </row>
    <row r="242" spans="3:4" ht="13.5" customHeight="1">
      <c r="C242" s="273"/>
      <c r="D242" s="356"/>
    </row>
    <row r="243" spans="3:4" ht="13.5" customHeight="1">
      <c r="C243" s="273"/>
      <c r="D243" s="356"/>
    </row>
    <row r="244" spans="3:4" ht="13.5" customHeight="1">
      <c r="C244" s="273"/>
      <c r="D244" s="356"/>
    </row>
    <row r="245" spans="3:4" ht="13.5" customHeight="1">
      <c r="C245" s="273"/>
      <c r="D245" s="356"/>
    </row>
    <row r="246" spans="3:4" ht="13.5" customHeight="1">
      <c r="C246" s="273"/>
      <c r="D246" s="356"/>
    </row>
    <row r="247" spans="3:4" ht="13.5" customHeight="1">
      <c r="C247" s="273"/>
      <c r="D247" s="356"/>
    </row>
    <row r="248" spans="3:4" ht="13.5" customHeight="1">
      <c r="C248" s="273"/>
      <c r="D248" s="356"/>
    </row>
    <row r="249" spans="3:4" ht="13.5" customHeight="1">
      <c r="C249" s="273"/>
      <c r="D249" s="356"/>
    </row>
    <row r="250" spans="3:4" ht="13.5" customHeight="1">
      <c r="C250" s="273"/>
      <c r="D250" s="356"/>
    </row>
    <row r="251" spans="3:4" ht="13.5" customHeight="1">
      <c r="C251" s="273"/>
      <c r="D251" s="356"/>
    </row>
    <row r="252" spans="3:4" ht="13.5" customHeight="1">
      <c r="C252" s="273"/>
      <c r="D252" s="356"/>
    </row>
    <row r="253" spans="3:4" ht="13.5" customHeight="1">
      <c r="C253" s="273"/>
      <c r="D253" s="356"/>
    </row>
    <row r="254" spans="3:4" ht="13.5" customHeight="1">
      <c r="C254" s="273"/>
      <c r="D254" s="356"/>
    </row>
    <row r="255" spans="3:4" ht="13.5" customHeight="1">
      <c r="C255" s="273"/>
      <c r="D255" s="356"/>
    </row>
    <row r="256" spans="3:4" ht="13.5" customHeight="1">
      <c r="C256" s="273"/>
      <c r="D256" s="356"/>
    </row>
    <row r="257" spans="3:4" ht="13.5" customHeight="1">
      <c r="C257" s="273"/>
      <c r="D257" s="356"/>
    </row>
    <row r="258" spans="3:4" ht="13.5" customHeight="1">
      <c r="C258" s="273"/>
      <c r="D258" s="356"/>
    </row>
    <row r="259" spans="3:4" ht="13.5" customHeight="1">
      <c r="C259" s="273"/>
      <c r="D259" s="356"/>
    </row>
    <row r="260" spans="3:4" ht="13.5" customHeight="1">
      <c r="C260" s="273"/>
      <c r="D260" s="356"/>
    </row>
    <row r="261" spans="3:4" ht="13.5" customHeight="1">
      <c r="C261" s="273"/>
      <c r="D261" s="356"/>
    </row>
    <row r="262" spans="3:4" ht="13.5" customHeight="1">
      <c r="C262" s="273"/>
      <c r="D262" s="356"/>
    </row>
    <row r="263" spans="3:4" ht="13.5" customHeight="1">
      <c r="C263" s="273"/>
      <c r="D263" s="356"/>
    </row>
    <row r="264" spans="3:4" ht="13.5" customHeight="1">
      <c r="C264" s="273"/>
      <c r="D264" s="356"/>
    </row>
    <row r="265" spans="3:4" ht="13.5" customHeight="1">
      <c r="C265" s="273"/>
      <c r="D265" s="356"/>
    </row>
    <row r="266" spans="3:4" ht="13.5" customHeight="1">
      <c r="C266" s="273"/>
      <c r="D266" s="356"/>
    </row>
    <row r="267" spans="3:4" ht="13.5" customHeight="1">
      <c r="C267" s="273"/>
      <c r="D267" s="356"/>
    </row>
    <row r="268" spans="3:4" ht="13.5" customHeight="1">
      <c r="C268" s="273"/>
      <c r="D268" s="356"/>
    </row>
    <row r="269" spans="3:4" ht="13.5" customHeight="1">
      <c r="C269" s="273"/>
      <c r="D269" s="356"/>
    </row>
    <row r="270" spans="3:4" ht="13.5" customHeight="1">
      <c r="C270" s="273"/>
      <c r="D270" s="356"/>
    </row>
    <row r="271" spans="3:4" ht="13.5" customHeight="1">
      <c r="C271" s="273"/>
      <c r="D271" s="356"/>
    </row>
    <row r="272" spans="3:4" ht="13.5" customHeight="1">
      <c r="C272" s="273"/>
      <c r="D272" s="356"/>
    </row>
    <row r="273" spans="3:4" ht="13.5" customHeight="1">
      <c r="C273" s="273"/>
      <c r="D273" s="356"/>
    </row>
    <row r="274" spans="3:4" ht="13.5" customHeight="1">
      <c r="C274" s="273"/>
      <c r="D274" s="356"/>
    </row>
    <row r="275" spans="3:4" ht="13.5" customHeight="1">
      <c r="C275" s="273"/>
      <c r="D275" s="356"/>
    </row>
    <row r="276" spans="3:4" ht="13.5" customHeight="1">
      <c r="C276" s="273"/>
      <c r="D276" s="356"/>
    </row>
    <row r="277" spans="3:4" ht="13.5" customHeight="1">
      <c r="C277" s="273"/>
      <c r="D277" s="356"/>
    </row>
    <row r="278" spans="3:4" ht="13.5" customHeight="1">
      <c r="C278" s="273"/>
      <c r="D278" s="356"/>
    </row>
    <row r="279" spans="3:4" ht="13.5" customHeight="1">
      <c r="C279" s="273"/>
      <c r="D279" s="356"/>
    </row>
    <row r="280" spans="3:4" ht="13.5" customHeight="1">
      <c r="C280" s="273"/>
      <c r="D280" s="356"/>
    </row>
    <row r="281" spans="3:4" ht="13.5" customHeight="1">
      <c r="C281" s="273"/>
      <c r="D281" s="356"/>
    </row>
    <row r="282" spans="3:4" ht="13.5" customHeight="1">
      <c r="C282" s="273"/>
      <c r="D282" s="356"/>
    </row>
    <row r="283" spans="3:4" ht="13.5" customHeight="1">
      <c r="C283" s="273"/>
      <c r="D283" s="356"/>
    </row>
    <row r="284" spans="3:4" ht="13.5" customHeight="1">
      <c r="C284" s="273"/>
      <c r="D284" s="356"/>
    </row>
    <row r="285" spans="3:4" ht="13.5" customHeight="1">
      <c r="C285" s="273"/>
      <c r="D285" s="356"/>
    </row>
    <row r="286" spans="3:4" ht="13.5" customHeight="1">
      <c r="C286" s="273"/>
      <c r="D286" s="356"/>
    </row>
    <row r="287" spans="3:4" ht="13.5" customHeight="1">
      <c r="C287" s="273"/>
      <c r="D287" s="356"/>
    </row>
    <row r="288" spans="3:4" ht="13.5" customHeight="1">
      <c r="C288" s="273"/>
      <c r="D288" s="356"/>
    </row>
    <row r="289" spans="3:4" ht="13.5" customHeight="1">
      <c r="C289" s="273"/>
      <c r="D289" s="356"/>
    </row>
    <row r="290" spans="3:4" ht="13.5" customHeight="1">
      <c r="C290" s="273"/>
      <c r="D290" s="356"/>
    </row>
    <row r="291" spans="3:4" ht="13.5" customHeight="1">
      <c r="C291" s="273"/>
      <c r="D291" s="356"/>
    </row>
    <row r="292" spans="3:4" ht="13.5" customHeight="1">
      <c r="C292" s="273"/>
      <c r="D292" s="356"/>
    </row>
    <row r="293" spans="3:4" ht="13.5" customHeight="1">
      <c r="C293" s="273"/>
      <c r="D293" s="356"/>
    </row>
    <row r="294" spans="3:4" ht="13.5" customHeight="1">
      <c r="C294" s="273"/>
      <c r="D294" s="356"/>
    </row>
    <row r="295" spans="3:4" ht="13.5" customHeight="1">
      <c r="C295" s="273"/>
      <c r="D295" s="356"/>
    </row>
    <row r="296" spans="3:4" ht="13.5" customHeight="1">
      <c r="C296" s="273"/>
      <c r="D296" s="356"/>
    </row>
    <row r="297" spans="3:4" ht="13.5" customHeight="1">
      <c r="C297" s="273"/>
      <c r="D297" s="356"/>
    </row>
    <row r="298" spans="3:4" ht="13.5" customHeight="1">
      <c r="C298" s="273"/>
      <c r="D298" s="356"/>
    </row>
    <row r="299" spans="3:4" ht="13.5" customHeight="1">
      <c r="C299" s="273"/>
      <c r="D299" s="356"/>
    </row>
    <row r="300" spans="3:4" ht="13.5" customHeight="1">
      <c r="C300" s="273"/>
      <c r="D300" s="356"/>
    </row>
    <row r="301" spans="3:4" ht="13.5" customHeight="1">
      <c r="C301" s="273"/>
      <c r="D301" s="356"/>
    </row>
    <row r="302" spans="3:4" ht="13.5" customHeight="1">
      <c r="C302" s="273"/>
      <c r="D302" s="356"/>
    </row>
    <row r="303" spans="3:4" ht="13.5" customHeight="1">
      <c r="C303" s="273"/>
      <c r="D303" s="356"/>
    </row>
    <row r="304" spans="3:4" ht="13.5" customHeight="1">
      <c r="C304" s="273"/>
      <c r="D304" s="356"/>
    </row>
    <row r="305" spans="3:4" ht="13.5" customHeight="1">
      <c r="C305" s="273"/>
      <c r="D305" s="356"/>
    </row>
    <row r="306" spans="3:4" ht="13.5" customHeight="1">
      <c r="C306" s="273"/>
      <c r="D306" s="356"/>
    </row>
    <row r="307" spans="3:4" ht="13.5" customHeight="1">
      <c r="C307" s="273"/>
      <c r="D307" s="356"/>
    </row>
    <row r="308" spans="3:4" ht="13.5" customHeight="1">
      <c r="C308" s="273"/>
      <c r="D308" s="356"/>
    </row>
    <row r="309" spans="3:4" ht="13.5" customHeight="1">
      <c r="C309" s="273"/>
      <c r="D309" s="356"/>
    </row>
    <row r="310" spans="3:4" ht="13.5" customHeight="1">
      <c r="C310" s="273"/>
      <c r="D310" s="356"/>
    </row>
    <row r="311" spans="3:4" ht="13.5" customHeight="1">
      <c r="C311" s="273"/>
      <c r="D311" s="356"/>
    </row>
    <row r="312" spans="3:4" ht="13.5" customHeight="1">
      <c r="C312" s="273"/>
      <c r="D312" s="356"/>
    </row>
    <row r="313" spans="3:4" ht="13.5" customHeight="1">
      <c r="C313" s="273"/>
      <c r="D313" s="356"/>
    </row>
    <row r="314" spans="3:4" ht="13.5" customHeight="1">
      <c r="C314" s="273"/>
      <c r="D314" s="356"/>
    </row>
    <row r="315" spans="3:4" ht="13.5" customHeight="1">
      <c r="C315" s="273"/>
      <c r="D315" s="356"/>
    </row>
    <row r="316" spans="3:4" ht="13.5" customHeight="1">
      <c r="C316" s="273"/>
      <c r="D316" s="356"/>
    </row>
    <row r="317" spans="3:4" ht="13.5" customHeight="1">
      <c r="C317" s="273"/>
      <c r="D317" s="356"/>
    </row>
    <row r="318" spans="3:4" ht="13.5" customHeight="1">
      <c r="C318" s="273"/>
      <c r="D318" s="356"/>
    </row>
    <row r="319" spans="3:4" ht="13.5" customHeight="1">
      <c r="C319" s="273"/>
      <c r="D319" s="356"/>
    </row>
    <row r="320" spans="3:4" ht="13.5" customHeight="1">
      <c r="C320" s="273"/>
      <c r="D320" s="356"/>
    </row>
    <row r="321" spans="3:4" ht="13.5" customHeight="1">
      <c r="C321" s="273"/>
      <c r="D321" s="356"/>
    </row>
    <row r="322" spans="3:4" ht="13.5" customHeight="1">
      <c r="C322" s="273"/>
      <c r="D322" s="356"/>
    </row>
    <row r="323" spans="3:4" ht="13.5" customHeight="1">
      <c r="C323" s="273"/>
      <c r="D323" s="356"/>
    </row>
    <row r="324" spans="3:4" ht="13.5" customHeight="1">
      <c r="C324" s="273"/>
      <c r="D324" s="356"/>
    </row>
    <row r="325" spans="3:4" ht="13.5" customHeight="1">
      <c r="C325" s="273"/>
      <c r="D325" s="356"/>
    </row>
    <row r="326" spans="3:4" ht="13.5" customHeight="1">
      <c r="C326" s="273"/>
      <c r="D326" s="356"/>
    </row>
    <row r="327" spans="3:4" ht="13.5" customHeight="1">
      <c r="C327" s="273"/>
      <c r="D327" s="356"/>
    </row>
    <row r="328" spans="3:4" ht="13.5" customHeight="1">
      <c r="C328" s="273"/>
      <c r="D328" s="356"/>
    </row>
    <row r="329" spans="3:4" ht="13.5" customHeight="1">
      <c r="C329" s="273"/>
      <c r="D329" s="356"/>
    </row>
    <row r="330" spans="3:4" ht="13.5" customHeight="1">
      <c r="C330" s="273"/>
      <c r="D330" s="356"/>
    </row>
    <row r="331" spans="3:4" ht="13.5" customHeight="1">
      <c r="C331" s="273"/>
      <c r="D331" s="356"/>
    </row>
    <row r="332" spans="3:4" ht="13.5" customHeight="1">
      <c r="C332" s="273"/>
      <c r="D332" s="356"/>
    </row>
    <row r="333" spans="3:4" ht="13.5" customHeight="1">
      <c r="C333" s="273"/>
      <c r="D333" s="356"/>
    </row>
    <row r="334" spans="3:4" ht="13.5" customHeight="1">
      <c r="C334" s="273"/>
      <c r="D334" s="356"/>
    </row>
    <row r="335" spans="3:4" ht="13.5" customHeight="1">
      <c r="C335" s="273"/>
      <c r="D335" s="356"/>
    </row>
    <row r="336" spans="3:4" ht="13.5" customHeight="1">
      <c r="C336" s="273"/>
      <c r="D336" s="356"/>
    </row>
    <row r="337" spans="3:4" ht="13.5" customHeight="1">
      <c r="C337" s="273"/>
      <c r="D337" s="356"/>
    </row>
    <row r="338" spans="3:4" ht="13.5" customHeight="1">
      <c r="C338" s="273"/>
      <c r="D338" s="356"/>
    </row>
    <row r="339" spans="3:4" ht="13.5" customHeight="1">
      <c r="C339" s="273"/>
      <c r="D339" s="356"/>
    </row>
    <row r="340" spans="3:4" ht="13.5" customHeight="1">
      <c r="C340" s="273"/>
      <c r="D340" s="356"/>
    </row>
    <row r="341" spans="3:4" ht="13.5" customHeight="1">
      <c r="C341" s="273"/>
      <c r="D341" s="356"/>
    </row>
    <row r="342" spans="3:4" ht="13.5" customHeight="1">
      <c r="C342" s="273"/>
      <c r="D342" s="356"/>
    </row>
    <row r="343" spans="3:4" ht="13.5" customHeight="1">
      <c r="C343" s="273"/>
      <c r="D343" s="356"/>
    </row>
    <row r="344" spans="3:4" ht="13.5" customHeight="1">
      <c r="C344" s="273"/>
      <c r="D344" s="356"/>
    </row>
    <row r="345" spans="3:4" ht="13.5" customHeight="1">
      <c r="C345" s="273"/>
      <c r="D345" s="356"/>
    </row>
    <row r="346" spans="3:4" ht="13.5" customHeight="1">
      <c r="C346" s="273"/>
      <c r="D346" s="356"/>
    </row>
    <row r="347" spans="3:4" ht="13.5" customHeight="1">
      <c r="C347" s="273"/>
      <c r="D347" s="356"/>
    </row>
    <row r="348" spans="3:4" ht="13.5" customHeight="1">
      <c r="C348" s="273"/>
      <c r="D348" s="356"/>
    </row>
    <row r="349" spans="3:4" ht="13.5" customHeight="1">
      <c r="C349" s="273"/>
      <c r="D349" s="356"/>
    </row>
    <row r="350" spans="3:4" ht="13.5" customHeight="1">
      <c r="C350" s="273"/>
      <c r="D350" s="356"/>
    </row>
    <row r="351" spans="3:4" ht="13.5" customHeight="1">
      <c r="C351" s="273"/>
      <c r="D351" s="356"/>
    </row>
    <row r="352" spans="3:4" ht="13.5" customHeight="1">
      <c r="C352" s="273"/>
      <c r="D352" s="356"/>
    </row>
    <row r="353" spans="3:4" ht="13.5" customHeight="1">
      <c r="C353" s="273"/>
      <c r="D353" s="356"/>
    </row>
    <row r="354" spans="3:4" ht="13.5" customHeight="1">
      <c r="C354" s="273"/>
      <c r="D354" s="356"/>
    </row>
    <row r="355" spans="3:4" ht="13.5" customHeight="1">
      <c r="C355" s="273"/>
      <c r="D355" s="356"/>
    </row>
    <row r="356" spans="3:4" ht="13.5" customHeight="1">
      <c r="C356" s="273"/>
      <c r="D356" s="356"/>
    </row>
    <row r="357" spans="3:4" ht="13.5" customHeight="1">
      <c r="C357" s="273"/>
      <c r="D357" s="356"/>
    </row>
    <row r="358" spans="3:4" ht="13.5" customHeight="1">
      <c r="C358" s="273"/>
      <c r="D358" s="356"/>
    </row>
    <row r="359" spans="3:4" ht="13.5" customHeight="1">
      <c r="C359" s="273"/>
      <c r="D359" s="356"/>
    </row>
    <row r="360" spans="3:4" ht="13.5" customHeight="1">
      <c r="C360" s="273"/>
      <c r="D360" s="356"/>
    </row>
    <row r="361" spans="3:4" ht="13.5" customHeight="1">
      <c r="C361" s="273"/>
      <c r="D361" s="356"/>
    </row>
    <row r="362" spans="3:4" ht="13.5" customHeight="1">
      <c r="C362" s="273"/>
      <c r="D362" s="356"/>
    </row>
    <row r="363" spans="3:4" ht="13.5" customHeight="1">
      <c r="C363" s="273"/>
      <c r="D363" s="356"/>
    </row>
    <row r="364" spans="3:4" ht="13.5" customHeight="1">
      <c r="C364" s="273"/>
      <c r="D364" s="356"/>
    </row>
    <row r="365" spans="3:4" ht="13.5" customHeight="1">
      <c r="C365" s="273"/>
      <c r="D365" s="356"/>
    </row>
    <row r="366" spans="3:4" ht="13.5" customHeight="1">
      <c r="C366" s="273"/>
      <c r="D366" s="356"/>
    </row>
    <row r="367" spans="3:4" ht="13.5" customHeight="1">
      <c r="C367" s="273"/>
      <c r="D367" s="356"/>
    </row>
    <row r="368" spans="3:4" ht="13.5" customHeight="1">
      <c r="C368" s="273"/>
      <c r="D368" s="356"/>
    </row>
    <row r="369" spans="3:4" ht="13.5" customHeight="1">
      <c r="C369" s="273"/>
      <c r="D369" s="356"/>
    </row>
    <row r="370" spans="3:4" ht="13.5" customHeight="1">
      <c r="C370" s="273"/>
      <c r="D370" s="356"/>
    </row>
    <row r="371" spans="3:4" ht="13.5" customHeight="1">
      <c r="C371" s="273"/>
      <c r="D371" s="356"/>
    </row>
    <row r="372" spans="3:4" ht="13.5" customHeight="1">
      <c r="C372" s="273"/>
      <c r="D372" s="356"/>
    </row>
    <row r="373" spans="3:4" ht="13.5" customHeight="1">
      <c r="C373" s="273"/>
      <c r="D373" s="356"/>
    </row>
    <row r="374" spans="3:4" ht="13.5" customHeight="1">
      <c r="C374" s="273"/>
      <c r="D374" s="356"/>
    </row>
    <row r="375" spans="3:4" ht="13.5" customHeight="1">
      <c r="C375" s="273"/>
      <c r="D375" s="356"/>
    </row>
    <row r="376" spans="3:4" ht="13.5" customHeight="1">
      <c r="C376" s="273"/>
      <c r="D376" s="356"/>
    </row>
    <row r="377" spans="3:4" ht="13.5" customHeight="1">
      <c r="C377" s="273"/>
      <c r="D377" s="356"/>
    </row>
    <row r="378" spans="3:4" ht="13.5" customHeight="1">
      <c r="C378" s="273"/>
      <c r="D378" s="356"/>
    </row>
    <row r="379" spans="3:4" ht="13.5" customHeight="1">
      <c r="C379" s="273"/>
      <c r="D379" s="356"/>
    </row>
    <row r="380" spans="3:4" ht="13.5" customHeight="1">
      <c r="C380" s="273"/>
      <c r="D380" s="356"/>
    </row>
    <row r="381" spans="3:4" ht="13.5" customHeight="1">
      <c r="C381" s="273"/>
      <c r="D381" s="356"/>
    </row>
    <row r="382" spans="3:4" ht="13.5" customHeight="1">
      <c r="C382" s="273"/>
      <c r="D382" s="356"/>
    </row>
    <row r="383" spans="3:4" ht="13.5" customHeight="1">
      <c r="C383" s="273"/>
      <c r="D383" s="356"/>
    </row>
    <row r="384" spans="3:4" ht="13.5" customHeight="1">
      <c r="C384" s="273"/>
      <c r="D384" s="356"/>
    </row>
    <row r="385" spans="3:4" ht="13.5" customHeight="1">
      <c r="C385" s="273"/>
      <c r="D385" s="356"/>
    </row>
    <row r="386" spans="3:4" ht="13.5" customHeight="1">
      <c r="C386" s="273"/>
      <c r="D386" s="356"/>
    </row>
    <row r="387" spans="3:4" ht="13.5" customHeight="1">
      <c r="C387" s="273"/>
      <c r="D387" s="356"/>
    </row>
    <row r="388" spans="3:4" ht="13.5" customHeight="1">
      <c r="C388" s="273"/>
      <c r="D388" s="356"/>
    </row>
    <row r="389" spans="3:4" ht="13.5" customHeight="1">
      <c r="C389" s="273"/>
      <c r="D389" s="356"/>
    </row>
    <row r="390" spans="3:4" ht="13.5" customHeight="1">
      <c r="C390" s="273"/>
      <c r="D390" s="356"/>
    </row>
    <row r="391" spans="3:4" ht="13.5" customHeight="1">
      <c r="C391" s="273"/>
      <c r="D391" s="356"/>
    </row>
    <row r="392" spans="3:4" ht="13.5" customHeight="1">
      <c r="C392" s="273"/>
      <c r="D392" s="356"/>
    </row>
    <row r="393" spans="3:4" ht="13.5" customHeight="1">
      <c r="C393" s="273"/>
      <c r="D393" s="356"/>
    </row>
    <row r="394" spans="3:4" ht="13.5" customHeight="1">
      <c r="C394" s="273"/>
      <c r="D394" s="356"/>
    </row>
    <row r="395" spans="3:4" ht="13.5" customHeight="1">
      <c r="C395" s="273"/>
      <c r="D395" s="356"/>
    </row>
    <row r="396" spans="3:4" ht="13.5" customHeight="1">
      <c r="C396" s="273"/>
      <c r="D396" s="356"/>
    </row>
    <row r="397" spans="3:4" ht="13.5" customHeight="1">
      <c r="C397" s="273"/>
      <c r="D397" s="356"/>
    </row>
    <row r="398" spans="3:4" ht="13.5" customHeight="1">
      <c r="C398" s="273"/>
      <c r="D398" s="356"/>
    </row>
    <row r="399" spans="3:4" ht="13.5" customHeight="1">
      <c r="C399" s="273"/>
      <c r="D399" s="356"/>
    </row>
    <row r="400" spans="3:4" ht="13.5" customHeight="1">
      <c r="C400" s="273"/>
      <c r="D400" s="356"/>
    </row>
    <row r="401" spans="3:4" ht="13.5" customHeight="1">
      <c r="C401" s="273"/>
      <c r="D401" s="356"/>
    </row>
    <row r="402" spans="3:4" ht="13.5" customHeight="1">
      <c r="C402" s="273"/>
      <c r="D402" s="356"/>
    </row>
    <row r="403" spans="3:4" ht="13.5" customHeight="1">
      <c r="C403" s="273"/>
      <c r="D403" s="356"/>
    </row>
    <row r="404" spans="3:4" ht="13.5" customHeight="1">
      <c r="C404" s="273"/>
      <c r="D404" s="356"/>
    </row>
    <row r="405" spans="3:4" ht="13.5" customHeight="1">
      <c r="C405" s="273"/>
      <c r="D405" s="356"/>
    </row>
    <row r="406" spans="3:4" ht="13.5" customHeight="1">
      <c r="C406" s="273"/>
      <c r="D406" s="356"/>
    </row>
    <row r="407" spans="3:4" ht="13.5" customHeight="1">
      <c r="C407" s="273"/>
      <c r="D407" s="356"/>
    </row>
    <row r="408" spans="3:4" ht="13.5" customHeight="1">
      <c r="C408" s="273"/>
      <c r="D408" s="356"/>
    </row>
    <row r="409" spans="3:4" ht="13.5" customHeight="1">
      <c r="C409" s="273"/>
      <c r="D409" s="356"/>
    </row>
    <row r="410" spans="3:4" ht="13.5" customHeight="1">
      <c r="C410" s="273"/>
      <c r="D410" s="356"/>
    </row>
    <row r="411" spans="3:4" ht="13.5" customHeight="1">
      <c r="C411" s="273"/>
      <c r="D411" s="356"/>
    </row>
    <row r="412" spans="3:4" ht="13.5" customHeight="1">
      <c r="C412" s="273"/>
      <c r="D412" s="356"/>
    </row>
    <row r="413" spans="3:4" ht="13.5" customHeight="1">
      <c r="C413" s="273"/>
      <c r="D413" s="356"/>
    </row>
    <row r="414" spans="3:4" ht="13.5" customHeight="1">
      <c r="C414" s="273"/>
      <c r="D414" s="356"/>
    </row>
    <row r="415" spans="3:4" ht="13.5" customHeight="1">
      <c r="C415" s="273"/>
      <c r="D415" s="356"/>
    </row>
    <row r="416" spans="3:4" ht="13.5" customHeight="1">
      <c r="C416" s="273"/>
      <c r="D416" s="356"/>
    </row>
    <row r="417" spans="3:4" ht="13.5" customHeight="1">
      <c r="C417" s="273"/>
      <c r="D417" s="356"/>
    </row>
    <row r="418" spans="3:4" ht="13.5" customHeight="1">
      <c r="C418" s="273"/>
      <c r="D418" s="356"/>
    </row>
    <row r="419" spans="3:4" ht="13.5" customHeight="1">
      <c r="C419" s="273"/>
      <c r="D419" s="356"/>
    </row>
    <row r="420" spans="3:4" ht="13.5" customHeight="1">
      <c r="C420" s="273"/>
      <c r="D420" s="356"/>
    </row>
    <row r="421" spans="3:4" ht="13.5" customHeight="1">
      <c r="C421" s="273"/>
      <c r="D421" s="356"/>
    </row>
    <row r="422" spans="3:4" ht="13.5" customHeight="1">
      <c r="C422" s="273"/>
      <c r="D422" s="356"/>
    </row>
    <row r="423" spans="3:4" ht="13.5" customHeight="1">
      <c r="C423" s="273"/>
      <c r="D423" s="356"/>
    </row>
    <row r="424" spans="3:4" ht="13.5" customHeight="1">
      <c r="C424" s="273"/>
      <c r="D424" s="356"/>
    </row>
    <row r="425" spans="3:4" ht="13.5" customHeight="1">
      <c r="C425" s="273"/>
      <c r="D425" s="356"/>
    </row>
    <row r="426" spans="3:4" ht="13.5" customHeight="1">
      <c r="C426" s="273"/>
      <c r="D426" s="356"/>
    </row>
    <row r="427" spans="3:4" ht="13.5" customHeight="1">
      <c r="C427" s="273"/>
      <c r="D427" s="356"/>
    </row>
    <row r="428" spans="3:4" ht="13.5" customHeight="1">
      <c r="C428" s="273"/>
      <c r="D428" s="356"/>
    </row>
    <row r="429" spans="3:4" ht="13.5" customHeight="1">
      <c r="C429" s="273"/>
      <c r="D429" s="356"/>
    </row>
    <row r="430" spans="3:4" ht="13.5" customHeight="1">
      <c r="C430" s="273"/>
      <c r="D430" s="356"/>
    </row>
    <row r="431" spans="3:4" ht="13.5" customHeight="1">
      <c r="C431" s="273"/>
      <c r="D431" s="356"/>
    </row>
    <row r="432" spans="3:4" ht="13.5" customHeight="1">
      <c r="C432" s="273"/>
      <c r="D432" s="356"/>
    </row>
    <row r="433" spans="3:4" ht="13.5" customHeight="1">
      <c r="C433" s="273"/>
      <c r="D433" s="356"/>
    </row>
    <row r="434" spans="3:4" ht="13.5" customHeight="1">
      <c r="C434" s="273"/>
      <c r="D434" s="356"/>
    </row>
    <row r="435" spans="3:4" ht="13.5" customHeight="1">
      <c r="C435" s="273"/>
      <c r="D435" s="356"/>
    </row>
    <row r="436" spans="3:4" ht="13.5" customHeight="1">
      <c r="C436" s="273"/>
      <c r="D436" s="356"/>
    </row>
    <row r="437" spans="3:4" ht="13.5" customHeight="1">
      <c r="C437" s="273"/>
      <c r="D437" s="356"/>
    </row>
    <row r="438" spans="3:4" ht="13.5" customHeight="1">
      <c r="C438" s="273"/>
      <c r="D438" s="356"/>
    </row>
    <row r="439" spans="3:4" ht="13.5" customHeight="1">
      <c r="C439" s="273"/>
      <c r="D439" s="356"/>
    </row>
    <row r="440" spans="3:4" ht="13.5" customHeight="1">
      <c r="C440" s="273"/>
      <c r="D440" s="356"/>
    </row>
    <row r="441" spans="3:4" ht="13.5" customHeight="1">
      <c r="C441" s="273"/>
      <c r="D441" s="356"/>
    </row>
    <row r="442" spans="3:4" ht="13.5" customHeight="1">
      <c r="C442" s="273"/>
      <c r="D442" s="356"/>
    </row>
    <row r="443" spans="3:4" ht="13.5" customHeight="1">
      <c r="C443" s="273"/>
      <c r="D443" s="356"/>
    </row>
    <row r="444" spans="3:4" ht="13.5" customHeight="1">
      <c r="C444" s="273"/>
      <c r="D444" s="356"/>
    </row>
    <row r="445" spans="3:4" ht="13.5" customHeight="1">
      <c r="C445" s="273"/>
      <c r="D445" s="356"/>
    </row>
    <row r="446" spans="3:4" ht="13.5" customHeight="1">
      <c r="C446" s="273"/>
      <c r="D446" s="356"/>
    </row>
    <row r="447" spans="3:4" ht="13.5" customHeight="1">
      <c r="C447" s="273"/>
      <c r="D447" s="356"/>
    </row>
    <row r="448" spans="3:4" ht="13.5" customHeight="1">
      <c r="C448" s="273"/>
      <c r="D448" s="356"/>
    </row>
    <row r="449" spans="3:4" ht="13.5" customHeight="1">
      <c r="C449" s="273"/>
      <c r="D449" s="356"/>
    </row>
    <row r="450" spans="3:4" ht="13.5" customHeight="1">
      <c r="C450" s="273"/>
      <c r="D450" s="356"/>
    </row>
    <row r="451" spans="3:4" ht="13.5" customHeight="1">
      <c r="C451" s="273"/>
      <c r="D451" s="356"/>
    </row>
    <row r="452" spans="3:4" ht="13.5" customHeight="1">
      <c r="C452" s="273"/>
      <c r="D452" s="356"/>
    </row>
    <row r="453" spans="3:4" ht="13.5" customHeight="1">
      <c r="C453" s="273"/>
      <c r="D453" s="356"/>
    </row>
    <row r="454" spans="3:4" ht="13.5" customHeight="1">
      <c r="C454" s="273"/>
      <c r="D454" s="356"/>
    </row>
    <row r="455" spans="3:4" ht="13.5" customHeight="1">
      <c r="C455" s="273"/>
      <c r="D455" s="356"/>
    </row>
    <row r="456" spans="3:4" ht="13.5" customHeight="1">
      <c r="C456" s="273"/>
      <c r="D456" s="356"/>
    </row>
    <row r="457" spans="3:4" ht="13.5" customHeight="1">
      <c r="C457" s="273"/>
      <c r="D457" s="356"/>
    </row>
    <row r="458" spans="3:4" ht="13.5" customHeight="1">
      <c r="C458" s="273"/>
      <c r="D458" s="356"/>
    </row>
    <row r="459" spans="3:4" ht="13.5" customHeight="1">
      <c r="C459" s="273"/>
      <c r="D459" s="356"/>
    </row>
    <row r="460" spans="3:4" ht="13.5" customHeight="1">
      <c r="C460" s="273"/>
      <c r="D460" s="356"/>
    </row>
    <row r="461" spans="3:4" ht="13.5" customHeight="1">
      <c r="C461" s="273"/>
      <c r="D461" s="356"/>
    </row>
    <row r="462" spans="3:4" ht="13.5" customHeight="1">
      <c r="C462" s="273"/>
      <c r="D462" s="356"/>
    </row>
    <row r="463" spans="3:4" ht="13.5" customHeight="1">
      <c r="C463" s="273"/>
      <c r="D463" s="356"/>
    </row>
    <row r="464" spans="3:4" ht="13.5" customHeight="1">
      <c r="C464" s="273"/>
      <c r="D464" s="356"/>
    </row>
    <row r="465" spans="3:4" ht="13.5" customHeight="1">
      <c r="C465" s="273"/>
      <c r="D465" s="356"/>
    </row>
    <row r="466" spans="3:4" ht="13.5" customHeight="1">
      <c r="C466" s="273"/>
      <c r="D466" s="356"/>
    </row>
    <row r="467" spans="3:4" ht="13.5" customHeight="1">
      <c r="C467" s="273"/>
      <c r="D467" s="356"/>
    </row>
    <row r="468" spans="3:4" ht="13.5" customHeight="1">
      <c r="C468" s="273"/>
      <c r="D468" s="356"/>
    </row>
    <row r="469" spans="3:4" ht="13.5" customHeight="1">
      <c r="C469" s="273"/>
      <c r="D469" s="356"/>
    </row>
    <row r="470" spans="3:4" ht="13.5" customHeight="1">
      <c r="C470" s="273"/>
      <c r="D470" s="356"/>
    </row>
    <row r="471" spans="3:4" ht="13.5" customHeight="1">
      <c r="C471" s="273"/>
      <c r="D471" s="356"/>
    </row>
    <row r="472" spans="3:4" ht="13.5" customHeight="1">
      <c r="C472" s="273"/>
      <c r="D472" s="356"/>
    </row>
    <row r="473" spans="3:4" ht="13.5" customHeight="1">
      <c r="C473" s="273"/>
      <c r="D473" s="356"/>
    </row>
    <row r="474" spans="3:4" ht="13.5" customHeight="1">
      <c r="C474" s="273"/>
      <c r="D474" s="356"/>
    </row>
    <row r="475" spans="3:4" ht="13.5" customHeight="1">
      <c r="C475" s="273"/>
      <c r="D475" s="356"/>
    </row>
    <row r="476" spans="3:4" ht="13.5" customHeight="1">
      <c r="C476" s="273"/>
      <c r="D476" s="356"/>
    </row>
    <row r="477" spans="3:4" ht="13.5" customHeight="1">
      <c r="C477" s="273"/>
      <c r="D477" s="356"/>
    </row>
    <row r="478" spans="3:4" ht="13.5" customHeight="1">
      <c r="C478" s="273"/>
      <c r="D478" s="356"/>
    </row>
    <row r="479" spans="3:4" ht="13.5" customHeight="1">
      <c r="C479" s="273"/>
      <c r="D479" s="356"/>
    </row>
    <row r="480" spans="3:4" ht="13.5" customHeight="1">
      <c r="C480" s="273"/>
      <c r="D480" s="356"/>
    </row>
    <row r="481" spans="3:4" ht="13.5" customHeight="1">
      <c r="C481" s="273"/>
      <c r="D481" s="356"/>
    </row>
    <row r="482" spans="3:4" ht="13.5" customHeight="1">
      <c r="C482" s="273"/>
      <c r="D482" s="356"/>
    </row>
    <row r="483" spans="3:4" ht="13.5" customHeight="1">
      <c r="C483" s="273"/>
      <c r="D483" s="356"/>
    </row>
    <row r="484" spans="3:4" ht="13.5" customHeight="1">
      <c r="C484" s="273"/>
      <c r="D484" s="356"/>
    </row>
    <row r="485" spans="3:4" ht="13.5" customHeight="1">
      <c r="C485" s="273"/>
      <c r="D485" s="356"/>
    </row>
    <row r="486" spans="3:4" ht="13.5" customHeight="1">
      <c r="C486" s="273"/>
      <c r="D486" s="356"/>
    </row>
    <row r="487" spans="3:4" ht="13.5" customHeight="1">
      <c r="C487" s="273"/>
      <c r="D487" s="356"/>
    </row>
    <row r="488" spans="3:4" ht="13.5" customHeight="1">
      <c r="C488" s="273"/>
      <c r="D488" s="356"/>
    </row>
    <row r="489" spans="3:4" ht="13.5" customHeight="1">
      <c r="C489" s="273"/>
      <c r="D489" s="356"/>
    </row>
    <row r="490" spans="3:4" ht="13.5" customHeight="1">
      <c r="C490" s="273"/>
      <c r="D490" s="356"/>
    </row>
    <row r="491" spans="3:4" ht="13.5" customHeight="1">
      <c r="C491" s="273"/>
      <c r="D491" s="356"/>
    </row>
    <row r="492" spans="3:4" ht="13.5" customHeight="1">
      <c r="C492" s="273"/>
      <c r="D492" s="356"/>
    </row>
    <row r="493" spans="3:4" ht="13.5" customHeight="1">
      <c r="C493" s="273"/>
      <c r="D493" s="356"/>
    </row>
    <row r="494" spans="3:4" ht="13.5" customHeight="1">
      <c r="C494" s="273"/>
      <c r="D494" s="356"/>
    </row>
    <row r="495" spans="3:4" ht="13.5" customHeight="1">
      <c r="C495" s="273"/>
      <c r="D495" s="356"/>
    </row>
    <row r="496" spans="3:4" ht="13.5" customHeight="1">
      <c r="C496" s="273"/>
      <c r="D496" s="356"/>
    </row>
    <row r="497" spans="3:4" ht="13.5" customHeight="1">
      <c r="C497" s="273"/>
      <c r="D497" s="356"/>
    </row>
    <row r="498" spans="3:4" ht="13.5" customHeight="1">
      <c r="C498" s="273"/>
      <c r="D498" s="356"/>
    </row>
    <row r="499" spans="3:4" ht="13.5" customHeight="1">
      <c r="C499" s="273"/>
      <c r="D499" s="356"/>
    </row>
    <row r="500" spans="3:4" ht="13.5" customHeight="1">
      <c r="C500" s="273"/>
      <c r="D500" s="356"/>
    </row>
    <row r="501" spans="3:4" ht="13.5" customHeight="1">
      <c r="C501" s="273"/>
      <c r="D501" s="356"/>
    </row>
    <row r="502" spans="3:4" ht="13.5" customHeight="1">
      <c r="C502" s="273"/>
      <c r="D502" s="356"/>
    </row>
    <row r="503" spans="3:4" ht="13.5" customHeight="1">
      <c r="C503" s="273"/>
      <c r="D503" s="356"/>
    </row>
    <row r="504" spans="3:4" ht="13.5" customHeight="1">
      <c r="C504" s="273"/>
      <c r="D504" s="356"/>
    </row>
    <row r="505" spans="3:4" ht="13.5" customHeight="1">
      <c r="C505" s="273"/>
      <c r="D505" s="356"/>
    </row>
    <row r="506" spans="3:4" ht="13.5" customHeight="1">
      <c r="C506" s="273"/>
      <c r="D506" s="356"/>
    </row>
    <row r="507" spans="3:4" ht="13.5" customHeight="1">
      <c r="C507" s="273"/>
      <c r="D507" s="356"/>
    </row>
    <row r="508" spans="3:4" ht="13.5" customHeight="1">
      <c r="C508" s="273"/>
      <c r="D508" s="356"/>
    </row>
    <row r="509" spans="3:4" ht="13.5" customHeight="1">
      <c r="C509" s="273"/>
      <c r="D509" s="356"/>
    </row>
    <row r="510" spans="3:4" ht="13.5" customHeight="1">
      <c r="C510" s="273"/>
      <c r="D510" s="356"/>
    </row>
    <row r="511" spans="3:4" ht="13.5" customHeight="1">
      <c r="C511" s="273"/>
      <c r="D511" s="356"/>
    </row>
    <row r="512" spans="3:4" ht="13.5" customHeight="1">
      <c r="C512" s="273"/>
      <c r="D512" s="356"/>
    </row>
    <row r="513" spans="3:4" ht="13.5" customHeight="1">
      <c r="C513" s="273"/>
      <c r="D513" s="356"/>
    </row>
    <row r="514" spans="3:4" ht="13.5" customHeight="1">
      <c r="C514" s="273"/>
      <c r="D514" s="356"/>
    </row>
    <row r="515" spans="3:4" ht="13.5" customHeight="1">
      <c r="C515" s="273"/>
      <c r="D515" s="356"/>
    </row>
    <row r="516" spans="3:4" ht="13.5" customHeight="1">
      <c r="C516" s="273"/>
      <c r="D516" s="356"/>
    </row>
    <row r="517" spans="3:4" ht="13.5" customHeight="1">
      <c r="C517" s="273"/>
      <c r="D517" s="356"/>
    </row>
    <row r="518" spans="3:4" ht="13.5" customHeight="1">
      <c r="C518" s="273"/>
      <c r="D518" s="356"/>
    </row>
    <row r="519" spans="3:4" ht="13.5" customHeight="1">
      <c r="C519" s="273"/>
      <c r="D519" s="356"/>
    </row>
    <row r="520" spans="3:4" ht="13.5" customHeight="1">
      <c r="C520" s="273"/>
      <c r="D520" s="356"/>
    </row>
    <row r="521" spans="3:4" ht="13.5" customHeight="1">
      <c r="C521" s="273"/>
      <c r="D521" s="356"/>
    </row>
    <row r="522" spans="3:4" ht="13.5" customHeight="1">
      <c r="C522" s="273"/>
      <c r="D522" s="356"/>
    </row>
    <row r="523" spans="3:4" ht="13.5" customHeight="1">
      <c r="C523" s="273"/>
      <c r="D523" s="356"/>
    </row>
    <row r="524" spans="3:4" ht="13.5" customHeight="1">
      <c r="C524" s="273"/>
      <c r="D524" s="356"/>
    </row>
    <row r="525" spans="3:4" ht="13.5" customHeight="1">
      <c r="C525" s="273"/>
      <c r="D525" s="356"/>
    </row>
    <row r="526" spans="3:4" ht="13.5" customHeight="1">
      <c r="C526" s="273"/>
      <c r="D526" s="356"/>
    </row>
    <row r="527" spans="3:4" ht="13.5" customHeight="1">
      <c r="C527" s="273"/>
      <c r="D527" s="356"/>
    </row>
    <row r="528" spans="3:4" ht="13.5" customHeight="1">
      <c r="C528" s="273"/>
      <c r="D528" s="356"/>
    </row>
    <row r="529" spans="3:4" ht="13.5" customHeight="1">
      <c r="C529" s="273"/>
      <c r="D529" s="356"/>
    </row>
    <row r="530" spans="3:4" ht="13.5" customHeight="1">
      <c r="C530" s="273"/>
      <c r="D530" s="356"/>
    </row>
    <row r="531" spans="3:4" ht="13.5" customHeight="1">
      <c r="C531" s="273"/>
      <c r="D531" s="356"/>
    </row>
    <row r="532" spans="3:4" ht="13.5" customHeight="1">
      <c r="C532" s="273"/>
      <c r="D532" s="356"/>
    </row>
    <row r="533" spans="3:4" ht="13.5" customHeight="1">
      <c r="C533" s="273"/>
      <c r="D533" s="356"/>
    </row>
    <row r="534" spans="3:4" ht="13.5" customHeight="1">
      <c r="C534" s="273"/>
      <c r="D534" s="356"/>
    </row>
    <row r="535" spans="3:4" ht="13.5" customHeight="1">
      <c r="C535" s="273"/>
      <c r="D535" s="356"/>
    </row>
    <row r="536" spans="3:4" ht="13.5" customHeight="1">
      <c r="C536" s="273"/>
      <c r="D536" s="356"/>
    </row>
    <row r="537" spans="3:4" ht="13.5" customHeight="1">
      <c r="C537" s="273"/>
      <c r="D537" s="356"/>
    </row>
    <row r="538" spans="3:4" ht="13.5" customHeight="1">
      <c r="C538" s="273"/>
      <c r="D538" s="356"/>
    </row>
    <row r="539" spans="3:4" ht="13.5" customHeight="1">
      <c r="C539" s="273"/>
      <c r="D539" s="356"/>
    </row>
    <row r="540" spans="3:4" ht="13.5" customHeight="1">
      <c r="C540" s="273"/>
      <c r="D540" s="356"/>
    </row>
    <row r="541" spans="3:4" ht="13.5" customHeight="1">
      <c r="C541" s="273"/>
      <c r="D541" s="356"/>
    </row>
    <row r="542" spans="3:4" ht="13.5" customHeight="1">
      <c r="C542" s="273"/>
      <c r="D542" s="356"/>
    </row>
    <row r="543" spans="3:4" ht="13.5" customHeight="1">
      <c r="C543" s="273"/>
      <c r="D543" s="356"/>
    </row>
    <row r="544" spans="3:4" ht="13.5" customHeight="1">
      <c r="C544" s="273"/>
      <c r="D544" s="356"/>
    </row>
    <row r="545" spans="3:4" ht="13.5" customHeight="1">
      <c r="C545" s="273"/>
      <c r="D545" s="356"/>
    </row>
    <row r="546" spans="3:4" ht="13.5" customHeight="1">
      <c r="C546" s="273"/>
      <c r="D546" s="356"/>
    </row>
    <row r="547" spans="3:4" ht="13.5" customHeight="1">
      <c r="C547" s="273"/>
      <c r="D547" s="356"/>
    </row>
    <row r="548" spans="3:4" ht="13.5" customHeight="1">
      <c r="C548" s="273"/>
      <c r="D548" s="356"/>
    </row>
    <row r="549" spans="3:4" ht="13.5" customHeight="1">
      <c r="C549" s="273"/>
      <c r="D549" s="356"/>
    </row>
    <row r="550" spans="3:4" ht="13.5" customHeight="1">
      <c r="C550" s="273"/>
      <c r="D550" s="356"/>
    </row>
    <row r="551" spans="3:4" ht="13.5" customHeight="1">
      <c r="C551" s="273"/>
      <c r="D551" s="356"/>
    </row>
    <row r="552" spans="3:4" ht="13.5" customHeight="1">
      <c r="C552" s="273"/>
      <c r="D552" s="356"/>
    </row>
    <row r="553" spans="3:4" ht="13.5" customHeight="1">
      <c r="C553" s="273"/>
      <c r="D553" s="356"/>
    </row>
    <row r="554" spans="3:4" ht="13.5" customHeight="1">
      <c r="C554" s="273"/>
      <c r="D554" s="356"/>
    </row>
    <row r="555" spans="3:4" ht="13.5" customHeight="1">
      <c r="C555" s="273"/>
      <c r="D555" s="356"/>
    </row>
    <row r="556" spans="3:4" ht="13.5" customHeight="1">
      <c r="C556" s="273"/>
      <c r="D556" s="356"/>
    </row>
    <row r="557" spans="3:4" ht="13.5" customHeight="1">
      <c r="C557" s="273"/>
      <c r="D557" s="356"/>
    </row>
    <row r="558" spans="3:4" ht="13.5" customHeight="1">
      <c r="C558" s="273"/>
      <c r="D558" s="356"/>
    </row>
    <row r="559" spans="3:4" ht="13.5" customHeight="1">
      <c r="C559" s="273"/>
      <c r="D559" s="356"/>
    </row>
    <row r="560" spans="3:4" ht="13.5" customHeight="1">
      <c r="C560" s="273"/>
      <c r="D560" s="356"/>
    </row>
    <row r="561" spans="3:4" ht="13.5" customHeight="1">
      <c r="C561" s="273"/>
      <c r="D561" s="356"/>
    </row>
    <row r="562" spans="3:4" ht="13.5" customHeight="1">
      <c r="C562" s="273"/>
      <c r="D562" s="356"/>
    </row>
    <row r="563" spans="3:4" ht="13.5" customHeight="1">
      <c r="C563" s="273"/>
      <c r="D563" s="356"/>
    </row>
    <row r="564" spans="3:4" ht="13.5" customHeight="1">
      <c r="C564" s="273"/>
      <c r="D564" s="356"/>
    </row>
    <row r="565" spans="3:4" ht="13.5" customHeight="1">
      <c r="C565" s="273"/>
      <c r="D565" s="356"/>
    </row>
    <row r="566" spans="3:4" ht="13.5" customHeight="1">
      <c r="C566" s="273"/>
      <c r="D566" s="356"/>
    </row>
    <row r="567" spans="3:4" ht="13.5" customHeight="1">
      <c r="C567" s="273"/>
      <c r="D567" s="356"/>
    </row>
    <row r="568" spans="3:4" ht="13.5" customHeight="1">
      <c r="C568" s="273"/>
      <c r="D568" s="356"/>
    </row>
    <row r="569" spans="3:4" ht="13.5" customHeight="1">
      <c r="C569" s="273"/>
      <c r="D569" s="356"/>
    </row>
    <row r="570" spans="3:4" ht="13.5" customHeight="1">
      <c r="C570" s="273"/>
      <c r="D570" s="356"/>
    </row>
    <row r="571" spans="3:4" ht="13.5" customHeight="1">
      <c r="C571" s="273"/>
      <c r="D571" s="356"/>
    </row>
    <row r="572" spans="3:4" ht="13.5" customHeight="1">
      <c r="C572" s="273"/>
      <c r="D572" s="356"/>
    </row>
    <row r="573" spans="3:4" ht="13.5" customHeight="1">
      <c r="C573" s="273"/>
      <c r="D573" s="356"/>
    </row>
    <row r="574" spans="3:4" ht="13.5" customHeight="1">
      <c r="C574" s="273"/>
      <c r="D574" s="356"/>
    </row>
    <row r="575" spans="3:4" ht="13.5" customHeight="1">
      <c r="C575" s="273"/>
      <c r="D575" s="356"/>
    </row>
    <row r="576" spans="3:4" ht="13.5" customHeight="1">
      <c r="C576" s="273"/>
      <c r="D576" s="356"/>
    </row>
    <row r="577" spans="3:4" ht="13.5" customHeight="1">
      <c r="C577" s="273"/>
      <c r="D577" s="356"/>
    </row>
    <row r="578" spans="3:4" ht="13.5" customHeight="1">
      <c r="C578" s="273"/>
      <c r="D578" s="356"/>
    </row>
    <row r="579" spans="3:4" ht="13.5" customHeight="1">
      <c r="C579" s="273"/>
      <c r="D579" s="356"/>
    </row>
    <row r="580" spans="3:4" ht="13.5" customHeight="1">
      <c r="C580" s="273"/>
      <c r="D580" s="356"/>
    </row>
    <row r="581" spans="3:4" ht="13.5" customHeight="1">
      <c r="C581" s="273"/>
      <c r="D581" s="356"/>
    </row>
    <row r="582" spans="3:4" ht="13.5" customHeight="1">
      <c r="C582" s="273"/>
      <c r="D582" s="356"/>
    </row>
    <row r="583" spans="3:4" ht="13.5" customHeight="1">
      <c r="C583" s="273"/>
      <c r="D583" s="356"/>
    </row>
    <row r="584" spans="3:4" ht="13.5" customHeight="1">
      <c r="C584" s="273"/>
      <c r="D584" s="356"/>
    </row>
    <row r="585" spans="3:4" ht="13.5" customHeight="1">
      <c r="C585" s="273"/>
      <c r="D585" s="356"/>
    </row>
    <row r="586" spans="3:4" ht="13.5" customHeight="1">
      <c r="C586" s="273"/>
      <c r="D586" s="356"/>
    </row>
    <row r="587" spans="3:4" ht="13.5" customHeight="1">
      <c r="C587" s="273"/>
      <c r="D587" s="356"/>
    </row>
    <row r="588" spans="3:4" ht="13.5" customHeight="1">
      <c r="C588" s="273"/>
      <c r="D588" s="356"/>
    </row>
    <row r="589" spans="3:4" ht="13.5" customHeight="1">
      <c r="C589" s="273"/>
      <c r="D589" s="356"/>
    </row>
    <row r="590" spans="3:4" ht="13.5" customHeight="1">
      <c r="C590" s="273"/>
      <c r="D590" s="356"/>
    </row>
    <row r="591" spans="3:4" ht="13.5" customHeight="1">
      <c r="C591" s="273"/>
      <c r="D591" s="356"/>
    </row>
    <row r="592" spans="3:4" ht="13.5" customHeight="1">
      <c r="C592" s="273"/>
      <c r="D592" s="356"/>
    </row>
    <row r="593" spans="3:4" ht="13.5" customHeight="1">
      <c r="C593" s="273"/>
      <c r="D593" s="356"/>
    </row>
    <row r="594" spans="3:4" ht="13.5" customHeight="1">
      <c r="C594" s="273"/>
      <c r="D594" s="356"/>
    </row>
    <row r="595" spans="3:4" ht="13.5" customHeight="1">
      <c r="C595" s="273"/>
      <c r="D595" s="356"/>
    </row>
    <row r="596" spans="3:4" ht="13.5" customHeight="1">
      <c r="C596" s="273"/>
      <c r="D596" s="356"/>
    </row>
    <row r="597" spans="3:4" ht="13.5" customHeight="1">
      <c r="C597" s="273"/>
      <c r="D597" s="356"/>
    </row>
    <row r="598" spans="3:4" ht="13.5" customHeight="1">
      <c r="C598" s="273"/>
      <c r="D598" s="356"/>
    </row>
    <row r="599" spans="3:4" ht="13.5" customHeight="1">
      <c r="C599" s="273"/>
      <c r="D599" s="356"/>
    </row>
    <row r="600" spans="3:4" ht="13.5" customHeight="1">
      <c r="C600" s="273"/>
      <c r="D600" s="356"/>
    </row>
    <row r="601" spans="3:4" ht="13.5" customHeight="1">
      <c r="C601" s="273"/>
      <c r="D601" s="356"/>
    </row>
    <row r="602" spans="3:4" ht="13.5" customHeight="1">
      <c r="C602" s="273"/>
      <c r="D602" s="356"/>
    </row>
    <row r="603" spans="3:4" ht="13.5" customHeight="1">
      <c r="C603" s="273"/>
      <c r="D603" s="356"/>
    </row>
    <row r="604" spans="3:4" ht="13.5" customHeight="1">
      <c r="C604" s="273"/>
      <c r="D604" s="356"/>
    </row>
    <row r="605" spans="3:4" ht="13.5" customHeight="1">
      <c r="C605" s="273"/>
      <c r="D605" s="356"/>
    </row>
    <row r="606" spans="3:4" ht="13.5" customHeight="1">
      <c r="C606" s="273"/>
      <c r="D606" s="356"/>
    </row>
    <row r="607" spans="3:4" ht="13.5" customHeight="1">
      <c r="C607" s="273"/>
      <c r="D607" s="356"/>
    </row>
    <row r="608" spans="3:4" ht="13.5" customHeight="1">
      <c r="C608" s="273"/>
      <c r="D608" s="356"/>
    </row>
    <row r="609" spans="3:4" ht="13.5" customHeight="1">
      <c r="C609" s="273"/>
      <c r="D609" s="356"/>
    </row>
    <row r="610" spans="3:4" ht="13.5" customHeight="1">
      <c r="C610" s="273"/>
      <c r="D610" s="356"/>
    </row>
    <row r="611" spans="3:4" ht="13.5" customHeight="1">
      <c r="C611" s="273"/>
      <c r="D611" s="356"/>
    </row>
    <row r="612" spans="3:4" ht="13.5" customHeight="1">
      <c r="C612" s="273"/>
      <c r="D612" s="356"/>
    </row>
    <row r="613" spans="3:4" ht="13.5" customHeight="1">
      <c r="C613" s="273"/>
      <c r="D613" s="356"/>
    </row>
    <row r="614" spans="3:4" ht="13.5" customHeight="1">
      <c r="C614" s="273"/>
      <c r="D614" s="356"/>
    </row>
    <row r="615" spans="3:4" ht="13.5" customHeight="1">
      <c r="C615" s="273"/>
      <c r="D615" s="356"/>
    </row>
    <row r="616" spans="3:4" ht="13.5" customHeight="1">
      <c r="C616" s="273"/>
      <c r="D616" s="356"/>
    </row>
    <row r="617" spans="3:4" ht="13.5" customHeight="1">
      <c r="C617" s="273"/>
      <c r="D617" s="356"/>
    </row>
    <row r="618" spans="3:4" ht="13.5" customHeight="1">
      <c r="C618" s="273"/>
      <c r="D618" s="356"/>
    </row>
    <row r="619" spans="3:4" ht="13.5" customHeight="1">
      <c r="C619" s="273"/>
      <c r="D619" s="356"/>
    </row>
    <row r="620" spans="3:4" ht="13.5" customHeight="1">
      <c r="C620" s="273"/>
      <c r="D620" s="356"/>
    </row>
    <row r="621" spans="3:4" ht="13.5" customHeight="1">
      <c r="C621" s="273"/>
      <c r="D621" s="356"/>
    </row>
    <row r="622" spans="3:4" ht="13.5" customHeight="1">
      <c r="C622" s="273"/>
      <c r="D622" s="356"/>
    </row>
    <row r="623" spans="3:4" ht="13.5" customHeight="1">
      <c r="C623" s="273"/>
      <c r="D623" s="356"/>
    </row>
    <row r="624" spans="3:4" ht="13.5" customHeight="1">
      <c r="C624" s="273"/>
      <c r="D624" s="356"/>
    </row>
    <row r="625" spans="3:4" ht="13.5" customHeight="1">
      <c r="C625" s="273"/>
      <c r="D625" s="356"/>
    </row>
    <row r="626" spans="3:4" ht="13.5" customHeight="1">
      <c r="C626" s="273"/>
      <c r="D626" s="356"/>
    </row>
    <row r="627" spans="3:4" ht="13.5" customHeight="1">
      <c r="C627" s="273"/>
      <c r="D627" s="356"/>
    </row>
    <row r="628" spans="3:4" ht="13.5" customHeight="1">
      <c r="C628" s="273"/>
      <c r="D628" s="356"/>
    </row>
    <row r="629" spans="3:4" ht="13.5" customHeight="1">
      <c r="C629" s="273"/>
      <c r="D629" s="356"/>
    </row>
    <row r="630" spans="3:4" ht="13.5" customHeight="1">
      <c r="C630" s="273"/>
      <c r="D630" s="356"/>
    </row>
    <row r="631" spans="3:4" ht="13.5" customHeight="1">
      <c r="C631" s="273"/>
      <c r="D631" s="356"/>
    </row>
    <row r="632" spans="3:4" ht="13.5" customHeight="1">
      <c r="C632" s="273"/>
      <c r="D632" s="356"/>
    </row>
    <row r="633" spans="3:4" ht="13.5" customHeight="1">
      <c r="C633" s="273"/>
      <c r="D633" s="356"/>
    </row>
    <row r="634" spans="3:4" ht="13.5" customHeight="1">
      <c r="C634" s="273"/>
      <c r="D634" s="356"/>
    </row>
    <row r="635" spans="3:4" ht="13.5" customHeight="1">
      <c r="C635" s="273"/>
      <c r="D635" s="356"/>
    </row>
    <row r="636" spans="3:4" ht="13.5" customHeight="1">
      <c r="C636" s="273"/>
      <c r="D636" s="356"/>
    </row>
    <row r="637" spans="3:4" ht="13.5" customHeight="1">
      <c r="C637" s="273"/>
      <c r="D637" s="356"/>
    </row>
    <row r="638" spans="3:4" ht="13.5" customHeight="1">
      <c r="C638" s="273"/>
      <c r="D638" s="356"/>
    </row>
    <row r="639" spans="3:4" ht="13.5" customHeight="1">
      <c r="C639" s="273"/>
      <c r="D639" s="356"/>
    </row>
    <row r="640" spans="3:4" ht="13.5" customHeight="1">
      <c r="C640" s="273"/>
      <c r="D640" s="356"/>
    </row>
    <row r="641" spans="3:4" ht="13.5" customHeight="1">
      <c r="C641" s="273"/>
      <c r="D641" s="356"/>
    </row>
    <row r="642" spans="3:4" ht="13.5" customHeight="1">
      <c r="C642" s="273"/>
      <c r="D642" s="356"/>
    </row>
    <row r="643" spans="3:4" ht="13.5" customHeight="1">
      <c r="C643" s="273"/>
      <c r="D643" s="356"/>
    </row>
    <row r="644" spans="3:4" ht="13.5" customHeight="1">
      <c r="C644" s="273"/>
      <c r="D644" s="356"/>
    </row>
    <row r="645" spans="3:4" ht="13.5" customHeight="1">
      <c r="C645" s="273"/>
      <c r="D645" s="356"/>
    </row>
    <row r="646" spans="3:4" ht="13.5" customHeight="1">
      <c r="C646" s="273"/>
      <c r="D646" s="356"/>
    </row>
    <row r="647" spans="3:4" ht="13.5" customHeight="1">
      <c r="C647" s="273"/>
      <c r="D647" s="356"/>
    </row>
    <row r="648" spans="3:4" ht="13.5" customHeight="1">
      <c r="C648" s="273"/>
      <c r="D648" s="356"/>
    </row>
    <row r="649" spans="3:4" ht="13.5" customHeight="1">
      <c r="C649" s="273"/>
      <c r="D649" s="356"/>
    </row>
    <row r="650" spans="3:4" ht="13.5" customHeight="1">
      <c r="C650" s="273"/>
      <c r="D650" s="356"/>
    </row>
    <row r="651" spans="3:4" ht="13.5" customHeight="1">
      <c r="C651" s="273"/>
      <c r="D651" s="356"/>
    </row>
    <row r="652" spans="3:4" ht="13.5" customHeight="1">
      <c r="C652" s="273"/>
      <c r="D652" s="356"/>
    </row>
    <row r="653" spans="3:4" ht="13.5" customHeight="1">
      <c r="C653" s="273"/>
      <c r="D653" s="356"/>
    </row>
    <row r="654" spans="3:4" ht="13.5" customHeight="1">
      <c r="C654" s="273"/>
      <c r="D654" s="356"/>
    </row>
    <row r="655" spans="3:4" ht="13.5" customHeight="1">
      <c r="C655" s="273"/>
      <c r="D655" s="356"/>
    </row>
    <row r="656" spans="3:4" ht="13.5" customHeight="1">
      <c r="C656" s="273"/>
      <c r="D656" s="356"/>
    </row>
    <row r="657" spans="3:4" ht="13.5" customHeight="1">
      <c r="C657" s="273"/>
      <c r="D657" s="356"/>
    </row>
    <row r="658" spans="3:4" ht="13.5" customHeight="1">
      <c r="C658" s="273"/>
      <c r="D658" s="356"/>
    </row>
    <row r="659" spans="3:4" ht="13.5" customHeight="1">
      <c r="C659" s="273"/>
      <c r="D659" s="356"/>
    </row>
    <row r="660" spans="3:4" ht="13.5" customHeight="1">
      <c r="C660" s="273"/>
      <c r="D660" s="356"/>
    </row>
    <row r="661" spans="3:4" ht="13.5" customHeight="1">
      <c r="C661" s="273"/>
      <c r="D661" s="356"/>
    </row>
    <row r="662" spans="3:4" ht="13.5" customHeight="1">
      <c r="C662" s="273"/>
      <c r="D662" s="356"/>
    </row>
    <row r="663" spans="3:4" ht="13.5" customHeight="1">
      <c r="C663" s="273"/>
      <c r="D663" s="356"/>
    </row>
    <row r="664" spans="3:4" ht="13.5" customHeight="1">
      <c r="C664" s="273"/>
      <c r="D664" s="356"/>
    </row>
    <row r="665" spans="3:4" ht="13.5" customHeight="1">
      <c r="C665" s="273"/>
      <c r="D665" s="356"/>
    </row>
    <row r="666" spans="3:4" ht="13.5" customHeight="1">
      <c r="C666" s="273"/>
      <c r="D666" s="356"/>
    </row>
    <row r="667" spans="3:4" ht="13.5" customHeight="1">
      <c r="C667" s="273"/>
      <c r="D667" s="356"/>
    </row>
    <row r="668" spans="3:4" ht="13.5" customHeight="1">
      <c r="C668" s="273"/>
      <c r="D668" s="356"/>
    </row>
    <row r="669" spans="3:4" ht="13.5" customHeight="1">
      <c r="C669" s="273"/>
      <c r="D669" s="356"/>
    </row>
    <row r="670" spans="3:4" ht="13.5" customHeight="1">
      <c r="C670" s="273"/>
      <c r="D670" s="356"/>
    </row>
    <row r="671" spans="3:4" ht="13.5" customHeight="1">
      <c r="C671" s="273"/>
      <c r="D671" s="356"/>
    </row>
    <row r="672" spans="3:4" ht="13.5" customHeight="1">
      <c r="C672" s="273"/>
      <c r="D672" s="356"/>
    </row>
    <row r="673" spans="3:4" ht="13.5" customHeight="1">
      <c r="C673" s="273"/>
      <c r="D673" s="356"/>
    </row>
    <row r="674" spans="3:4" ht="13.5" customHeight="1">
      <c r="C674" s="273"/>
      <c r="D674" s="356"/>
    </row>
    <row r="675" spans="3:4" ht="13.5" customHeight="1">
      <c r="C675" s="273"/>
      <c r="D675" s="356"/>
    </row>
    <row r="676" spans="3:4" ht="13.5" customHeight="1">
      <c r="C676" s="273"/>
      <c r="D676" s="356"/>
    </row>
    <row r="677" spans="3:4" ht="13.5" customHeight="1">
      <c r="C677" s="273"/>
      <c r="D677" s="356"/>
    </row>
    <row r="678" spans="3:4" ht="13.5" customHeight="1">
      <c r="C678" s="273"/>
      <c r="D678" s="356"/>
    </row>
    <row r="679" spans="3:4" ht="13.5" customHeight="1">
      <c r="C679" s="273"/>
      <c r="D679" s="356"/>
    </row>
    <row r="680" spans="3:4" ht="13.5" customHeight="1">
      <c r="C680" s="273"/>
      <c r="D680" s="356"/>
    </row>
    <row r="681" spans="3:4" ht="13.5" customHeight="1">
      <c r="C681" s="273"/>
      <c r="D681" s="356"/>
    </row>
    <row r="682" spans="3:4" ht="13.5" customHeight="1">
      <c r="C682" s="273"/>
      <c r="D682" s="356"/>
    </row>
    <row r="683" spans="3:4" ht="13.5" customHeight="1">
      <c r="C683" s="273"/>
      <c r="D683" s="356"/>
    </row>
    <row r="684" spans="3:4" ht="13.5" customHeight="1">
      <c r="C684" s="273"/>
      <c r="D684" s="356"/>
    </row>
    <row r="685" spans="3:4" ht="13.5" customHeight="1">
      <c r="C685" s="273"/>
      <c r="D685" s="356"/>
    </row>
    <row r="686" spans="3:4" ht="13.5" customHeight="1">
      <c r="C686" s="273"/>
      <c r="D686" s="356"/>
    </row>
    <row r="687" spans="3:4" ht="13.5" customHeight="1">
      <c r="C687" s="273"/>
      <c r="D687" s="356"/>
    </row>
    <row r="688" spans="3:4" ht="13.5" customHeight="1">
      <c r="C688" s="273"/>
      <c r="D688" s="356"/>
    </row>
    <row r="689" spans="3:4" ht="13.5" customHeight="1">
      <c r="C689" s="273"/>
      <c r="D689" s="356"/>
    </row>
    <row r="690" spans="3:4" ht="13.5" customHeight="1">
      <c r="C690" s="273"/>
      <c r="D690" s="356"/>
    </row>
    <row r="691" spans="3:4" ht="13.5" customHeight="1">
      <c r="C691" s="273"/>
      <c r="D691" s="356"/>
    </row>
    <row r="692" spans="3:4" ht="13.5" customHeight="1">
      <c r="C692" s="273"/>
      <c r="D692" s="356"/>
    </row>
    <row r="693" spans="3:4" ht="13.5" customHeight="1">
      <c r="C693" s="273"/>
      <c r="D693" s="356"/>
    </row>
    <row r="694" spans="3:4" ht="13.5" customHeight="1">
      <c r="C694" s="273"/>
      <c r="D694" s="356"/>
    </row>
    <row r="695" spans="3:4" ht="13.5" customHeight="1">
      <c r="C695" s="273"/>
      <c r="D695" s="356"/>
    </row>
    <row r="696" spans="3:4" ht="13.5" customHeight="1">
      <c r="C696" s="273"/>
      <c r="D696" s="356"/>
    </row>
    <row r="697" spans="3:4" ht="13.5" customHeight="1">
      <c r="C697" s="273"/>
      <c r="D697" s="356"/>
    </row>
    <row r="698" spans="3:4" ht="13.5" customHeight="1">
      <c r="C698" s="273"/>
      <c r="D698" s="356"/>
    </row>
    <row r="699" spans="3:4" ht="13.5" customHeight="1">
      <c r="C699" s="273"/>
      <c r="D699" s="356"/>
    </row>
    <row r="700" spans="3:4" ht="13.5" customHeight="1">
      <c r="C700" s="273"/>
      <c r="D700" s="356"/>
    </row>
    <row r="701" spans="3:4" ht="13.5" customHeight="1">
      <c r="C701" s="273"/>
      <c r="D701" s="356"/>
    </row>
    <row r="702" spans="3:4" ht="13.5" customHeight="1">
      <c r="C702" s="273"/>
      <c r="D702" s="356"/>
    </row>
    <row r="703" spans="3:4" ht="13.5" customHeight="1">
      <c r="C703" s="273"/>
      <c r="D703" s="356"/>
    </row>
    <row r="704" spans="3:4" ht="13.5" customHeight="1">
      <c r="C704" s="273"/>
      <c r="D704" s="356"/>
    </row>
    <row r="705" spans="3:4" ht="13.5" customHeight="1">
      <c r="C705" s="273"/>
      <c r="D705" s="356"/>
    </row>
    <row r="706" spans="3:4" ht="13.5" customHeight="1">
      <c r="C706" s="273"/>
      <c r="D706" s="356"/>
    </row>
    <row r="707" spans="3:4" ht="13.5" customHeight="1">
      <c r="C707" s="273"/>
      <c r="D707" s="356"/>
    </row>
    <row r="708" spans="3:4" ht="13.5" customHeight="1">
      <c r="C708" s="273"/>
      <c r="D708" s="356"/>
    </row>
    <row r="709" spans="3:4" ht="13.5" customHeight="1">
      <c r="C709" s="273"/>
      <c r="D709" s="356"/>
    </row>
    <row r="710" spans="3:4" ht="13.5" customHeight="1">
      <c r="C710" s="273"/>
      <c r="D710" s="356"/>
    </row>
    <row r="711" spans="3:4" ht="13.5" customHeight="1">
      <c r="C711" s="273"/>
      <c r="D711" s="356"/>
    </row>
    <row r="712" spans="3:4" ht="13.5" customHeight="1">
      <c r="C712" s="273"/>
      <c r="D712" s="356"/>
    </row>
    <row r="713" spans="3:4" ht="13.5" customHeight="1">
      <c r="C713" s="273"/>
      <c r="D713" s="356"/>
    </row>
    <row r="714" spans="3:4" ht="13.5" customHeight="1">
      <c r="C714" s="273"/>
      <c r="D714" s="356"/>
    </row>
    <row r="715" spans="3:4" ht="13.5" customHeight="1">
      <c r="C715" s="273"/>
      <c r="D715" s="356"/>
    </row>
    <row r="716" spans="3:4" ht="13.5" customHeight="1">
      <c r="C716" s="273"/>
      <c r="D716" s="356"/>
    </row>
    <row r="717" spans="3:4" ht="13.5" customHeight="1">
      <c r="C717" s="273"/>
      <c r="D717" s="356"/>
    </row>
    <row r="718" spans="3:4" ht="13.5" customHeight="1">
      <c r="C718" s="273"/>
      <c r="D718" s="356"/>
    </row>
    <row r="719" spans="3:4" ht="13.5" customHeight="1">
      <c r="C719" s="273"/>
      <c r="D719" s="356"/>
    </row>
    <row r="720" spans="3:4" ht="13.5" customHeight="1">
      <c r="C720" s="273"/>
      <c r="D720" s="356"/>
    </row>
    <row r="721" spans="3:4" ht="13.5" customHeight="1">
      <c r="C721" s="273"/>
      <c r="D721" s="356"/>
    </row>
    <row r="722" spans="3:4" ht="13.5" customHeight="1">
      <c r="C722" s="273"/>
      <c r="D722" s="356"/>
    </row>
    <row r="723" spans="3:4" ht="13.5" customHeight="1">
      <c r="C723" s="273"/>
      <c r="D723" s="356"/>
    </row>
    <row r="724" spans="3:4" ht="13.5" customHeight="1">
      <c r="C724" s="273"/>
      <c r="D724" s="356"/>
    </row>
    <row r="725" spans="3:4" ht="13.5" customHeight="1">
      <c r="C725" s="273"/>
      <c r="D725" s="356"/>
    </row>
    <row r="726" spans="3:4" ht="13.5" customHeight="1">
      <c r="C726" s="273"/>
      <c r="D726" s="356"/>
    </row>
    <row r="727" spans="3:4" ht="13.5" customHeight="1">
      <c r="C727" s="273"/>
      <c r="D727" s="356"/>
    </row>
    <row r="728" spans="3:4" ht="13.5" customHeight="1">
      <c r="C728" s="273"/>
      <c r="D728" s="356"/>
    </row>
    <row r="729" spans="3:4" ht="13.5" customHeight="1">
      <c r="C729" s="273"/>
      <c r="D729" s="356"/>
    </row>
    <row r="730" spans="3:4" ht="13.5" customHeight="1">
      <c r="C730" s="273"/>
      <c r="D730" s="356"/>
    </row>
    <row r="731" spans="3:4" ht="13.5" customHeight="1">
      <c r="C731" s="273"/>
      <c r="D731" s="356"/>
    </row>
    <row r="732" spans="3:4" ht="13.5" customHeight="1">
      <c r="C732" s="273"/>
      <c r="D732" s="356"/>
    </row>
    <row r="733" spans="3:4" ht="13.5" customHeight="1">
      <c r="C733" s="273"/>
      <c r="D733" s="356"/>
    </row>
    <row r="734" spans="3:4" ht="13.5" customHeight="1">
      <c r="C734" s="273"/>
      <c r="D734" s="356"/>
    </row>
    <row r="735" spans="3:4" ht="13.5" customHeight="1">
      <c r="C735" s="273"/>
      <c r="D735" s="356"/>
    </row>
    <row r="736" spans="3:4" ht="13.5" customHeight="1">
      <c r="C736" s="273"/>
      <c r="D736" s="356"/>
    </row>
    <row r="737" spans="3:4" ht="13.5" customHeight="1">
      <c r="C737" s="273"/>
      <c r="D737" s="356"/>
    </row>
    <row r="738" spans="3:4" ht="13.5" customHeight="1">
      <c r="C738" s="273"/>
      <c r="D738" s="356"/>
    </row>
    <row r="739" spans="3:4" ht="13.5" customHeight="1">
      <c r="C739" s="273"/>
      <c r="D739" s="356"/>
    </row>
    <row r="740" spans="3:4" ht="13.5" customHeight="1">
      <c r="C740" s="273"/>
      <c r="D740" s="356"/>
    </row>
    <row r="741" spans="3:4" ht="13.5" customHeight="1">
      <c r="C741" s="273"/>
      <c r="D741" s="356"/>
    </row>
    <row r="742" spans="3:4" ht="13.5" customHeight="1">
      <c r="C742" s="273"/>
      <c r="D742" s="356"/>
    </row>
    <row r="743" spans="3:4" ht="13.5" customHeight="1">
      <c r="C743" s="273"/>
      <c r="D743" s="356"/>
    </row>
    <row r="744" spans="3:4" ht="13.5" customHeight="1">
      <c r="C744" s="273"/>
      <c r="D744" s="356"/>
    </row>
    <row r="745" spans="3:4" ht="13.5" customHeight="1">
      <c r="C745" s="273"/>
      <c r="D745" s="356"/>
    </row>
    <row r="746" spans="3:4" ht="13.5" customHeight="1">
      <c r="C746" s="273"/>
      <c r="D746" s="356"/>
    </row>
    <row r="747" spans="3:4" ht="13.5" customHeight="1">
      <c r="C747" s="273"/>
      <c r="D747" s="356"/>
    </row>
    <row r="748" spans="3:4" ht="13.5" customHeight="1">
      <c r="C748" s="273"/>
      <c r="D748" s="356"/>
    </row>
    <row r="749" spans="3:4" ht="13.5" customHeight="1">
      <c r="C749" s="273"/>
      <c r="D749" s="356"/>
    </row>
    <row r="750" spans="3:4" ht="13.5" customHeight="1">
      <c r="C750" s="273"/>
      <c r="D750" s="356"/>
    </row>
    <row r="751" spans="3:4" ht="13.5" customHeight="1">
      <c r="C751" s="273"/>
      <c r="D751" s="356"/>
    </row>
    <row r="752" spans="3:4" ht="13.5" customHeight="1">
      <c r="C752" s="273"/>
      <c r="D752" s="356"/>
    </row>
    <row r="753" spans="3:4" ht="13.5" customHeight="1">
      <c r="C753" s="273"/>
      <c r="D753" s="356"/>
    </row>
    <row r="754" spans="3:4" ht="13.5" customHeight="1">
      <c r="C754" s="273"/>
      <c r="D754" s="356"/>
    </row>
    <row r="755" spans="3:4" ht="13.5" customHeight="1">
      <c r="C755" s="273"/>
      <c r="D755" s="356"/>
    </row>
    <row r="756" spans="3:4" ht="13.5" customHeight="1">
      <c r="C756" s="273"/>
      <c r="D756" s="356"/>
    </row>
    <row r="757" spans="3:4" ht="13.5" customHeight="1">
      <c r="C757" s="273"/>
      <c r="D757" s="356"/>
    </row>
    <row r="758" spans="3:4" ht="13.5" customHeight="1">
      <c r="C758" s="273"/>
      <c r="D758" s="356"/>
    </row>
    <row r="759" spans="3:4" ht="13.5" customHeight="1">
      <c r="C759" s="273"/>
      <c r="D759" s="356"/>
    </row>
    <row r="760" spans="3:4" ht="13.5" customHeight="1">
      <c r="C760" s="273"/>
      <c r="D760" s="356"/>
    </row>
    <row r="761" spans="3:4" ht="13.5" customHeight="1">
      <c r="C761" s="273"/>
      <c r="D761" s="356"/>
    </row>
    <row r="762" spans="3:4" ht="13.5" customHeight="1">
      <c r="C762" s="273"/>
      <c r="D762" s="356"/>
    </row>
    <row r="763" spans="3:4" ht="13.5" customHeight="1">
      <c r="C763" s="273"/>
      <c r="D763" s="356"/>
    </row>
    <row r="764" spans="3:4" ht="13.5" customHeight="1">
      <c r="C764" s="273"/>
      <c r="D764" s="356"/>
    </row>
    <row r="765" spans="3:4" ht="13.5" customHeight="1">
      <c r="C765" s="273"/>
      <c r="D765" s="356"/>
    </row>
    <row r="766" spans="3:4" ht="13.5" customHeight="1">
      <c r="C766" s="273"/>
      <c r="D766" s="356"/>
    </row>
    <row r="767" spans="3:4" ht="13.5" customHeight="1">
      <c r="C767" s="273"/>
      <c r="D767" s="356"/>
    </row>
    <row r="768" spans="3:4" ht="13.5" customHeight="1">
      <c r="C768" s="273"/>
      <c r="D768" s="356"/>
    </row>
    <row r="769" spans="3:4" ht="13.5" customHeight="1">
      <c r="C769" s="273"/>
      <c r="D769" s="356"/>
    </row>
    <row r="770" spans="3:4" ht="13.5" customHeight="1">
      <c r="C770" s="273"/>
      <c r="D770" s="356"/>
    </row>
    <row r="771" spans="3:4" ht="13.5" customHeight="1">
      <c r="C771" s="273"/>
      <c r="D771" s="356"/>
    </row>
    <row r="772" spans="3:4" ht="13.5" customHeight="1">
      <c r="C772" s="273"/>
      <c r="D772" s="356"/>
    </row>
    <row r="773" spans="3:4" ht="13.5" customHeight="1">
      <c r="C773" s="273"/>
      <c r="D773" s="356"/>
    </row>
    <row r="774" spans="3:4" ht="13.5" customHeight="1">
      <c r="C774" s="273"/>
      <c r="D774" s="356"/>
    </row>
    <row r="775" spans="3:4" ht="13.5" customHeight="1">
      <c r="C775" s="273"/>
      <c r="D775" s="356"/>
    </row>
    <row r="776" spans="3:4" ht="13.5" customHeight="1">
      <c r="C776" s="273"/>
      <c r="D776" s="356"/>
    </row>
    <row r="777" spans="3:4" ht="13.5" customHeight="1">
      <c r="C777" s="273"/>
      <c r="D777" s="356"/>
    </row>
    <row r="778" spans="3:4" ht="13.5" customHeight="1">
      <c r="C778" s="273"/>
      <c r="D778" s="356"/>
    </row>
    <row r="779" spans="3:4" ht="13.5" customHeight="1">
      <c r="C779" s="273"/>
      <c r="D779" s="356"/>
    </row>
    <row r="780" spans="3:4" ht="13.5" customHeight="1">
      <c r="C780" s="273"/>
      <c r="D780" s="356"/>
    </row>
    <row r="781" spans="3:4" ht="13.5" customHeight="1">
      <c r="C781" s="273"/>
      <c r="D781" s="356"/>
    </row>
    <row r="782" spans="3:4" ht="13.5" customHeight="1">
      <c r="C782" s="273"/>
      <c r="D782" s="356"/>
    </row>
    <row r="783" spans="3:4" ht="13.5" customHeight="1">
      <c r="C783" s="273"/>
      <c r="D783" s="356"/>
    </row>
    <row r="784" spans="3:4" ht="13.5" customHeight="1">
      <c r="C784" s="273"/>
      <c r="D784" s="356"/>
    </row>
    <row r="785" spans="3:4" ht="13.5" customHeight="1">
      <c r="C785" s="273"/>
      <c r="D785" s="356"/>
    </row>
    <row r="786" spans="3:4" ht="13.5" customHeight="1">
      <c r="C786" s="273"/>
      <c r="D786" s="356"/>
    </row>
    <row r="787" spans="3:4" ht="13.5" customHeight="1">
      <c r="C787" s="273"/>
      <c r="D787" s="356"/>
    </row>
    <row r="788" spans="3:4" ht="13.5" customHeight="1">
      <c r="C788" s="273"/>
      <c r="D788" s="356"/>
    </row>
    <row r="789" spans="3:4" ht="13.5" customHeight="1">
      <c r="C789" s="273"/>
      <c r="D789" s="356"/>
    </row>
    <row r="790" spans="3:4" ht="13.5" customHeight="1">
      <c r="C790" s="273"/>
      <c r="D790" s="356"/>
    </row>
    <row r="791" spans="3:4" ht="13.5" customHeight="1">
      <c r="C791" s="273"/>
      <c r="D791" s="356"/>
    </row>
    <row r="792" spans="3:4" ht="13.5" customHeight="1">
      <c r="C792" s="273"/>
      <c r="D792" s="356"/>
    </row>
    <row r="793" spans="3:4" ht="13.5" customHeight="1">
      <c r="C793" s="273"/>
      <c r="D793" s="356"/>
    </row>
    <row r="794" spans="3:4" ht="13.5" customHeight="1">
      <c r="C794" s="273"/>
      <c r="D794" s="356"/>
    </row>
    <row r="795" spans="3:4" ht="13.5" customHeight="1">
      <c r="C795" s="273"/>
      <c r="D795" s="356"/>
    </row>
    <row r="796" spans="3:4" ht="13.5" customHeight="1">
      <c r="C796" s="273"/>
      <c r="D796" s="356"/>
    </row>
    <row r="797" spans="3:4" ht="13.5" customHeight="1">
      <c r="C797" s="273"/>
      <c r="D797" s="356"/>
    </row>
    <row r="798" spans="3:4" ht="13.5" customHeight="1">
      <c r="C798" s="273"/>
      <c r="D798" s="356"/>
    </row>
    <row r="799" spans="3:4" ht="13.5" customHeight="1">
      <c r="C799" s="273"/>
      <c r="D799" s="356"/>
    </row>
    <row r="800" spans="3:4" ht="13.5" customHeight="1">
      <c r="C800" s="273"/>
      <c r="D800" s="356"/>
    </row>
    <row r="801" spans="3:4" ht="13.5" customHeight="1">
      <c r="C801" s="273"/>
      <c r="D801" s="356"/>
    </row>
    <row r="802" spans="3:4" ht="13.5" customHeight="1">
      <c r="C802" s="273"/>
      <c r="D802" s="356"/>
    </row>
    <row r="803" spans="3:4" ht="13.5" customHeight="1">
      <c r="C803" s="273"/>
      <c r="D803" s="356"/>
    </row>
    <row r="804" spans="3:4" ht="13.5" customHeight="1">
      <c r="C804" s="273"/>
      <c r="D804" s="356"/>
    </row>
    <row r="805" spans="3:4" ht="13.5" customHeight="1">
      <c r="C805" s="273"/>
      <c r="D805" s="356"/>
    </row>
    <row r="806" spans="3:4" ht="13.5" customHeight="1">
      <c r="C806" s="273"/>
      <c r="D806" s="356"/>
    </row>
    <row r="807" spans="3:4" ht="13.5" customHeight="1">
      <c r="C807" s="273"/>
      <c r="D807" s="356"/>
    </row>
    <row r="808" spans="3:4" ht="13.5" customHeight="1">
      <c r="C808" s="273"/>
      <c r="D808" s="356"/>
    </row>
    <row r="809" spans="3:4" ht="13.5" customHeight="1">
      <c r="C809" s="273"/>
      <c r="D809" s="356"/>
    </row>
    <row r="810" spans="3:4" ht="13.5" customHeight="1">
      <c r="C810" s="273"/>
      <c r="D810" s="356"/>
    </row>
    <row r="811" spans="3:4" ht="13.5" customHeight="1">
      <c r="C811" s="273"/>
      <c r="D811" s="356"/>
    </row>
    <row r="812" spans="3:4" ht="13.5" customHeight="1">
      <c r="C812" s="273"/>
      <c r="D812" s="356"/>
    </row>
    <row r="813" spans="3:4" ht="13.5" customHeight="1">
      <c r="C813" s="273"/>
      <c r="D813" s="356"/>
    </row>
    <row r="814" spans="3:4" ht="13.5" customHeight="1">
      <c r="C814" s="273"/>
      <c r="D814" s="356"/>
    </row>
    <row r="815" spans="3:4" ht="13.5" customHeight="1">
      <c r="C815" s="273"/>
      <c r="D815" s="356"/>
    </row>
    <row r="816" spans="3:4" ht="13.5" customHeight="1">
      <c r="C816" s="273"/>
      <c r="D816" s="356"/>
    </row>
    <row r="817" spans="3:4" ht="13.5" customHeight="1">
      <c r="C817" s="273"/>
      <c r="D817" s="356"/>
    </row>
    <row r="818" spans="3:4" ht="13.5" customHeight="1">
      <c r="C818" s="273"/>
      <c r="D818" s="356"/>
    </row>
    <row r="819" spans="3:4" ht="13.5" customHeight="1">
      <c r="C819" s="273"/>
      <c r="D819" s="356"/>
    </row>
    <row r="820" spans="3:4" ht="13.5" customHeight="1">
      <c r="C820" s="273"/>
      <c r="D820" s="356"/>
    </row>
    <row r="821" spans="3:4" ht="13.5" customHeight="1">
      <c r="C821" s="273"/>
      <c r="D821" s="356"/>
    </row>
    <row r="822" spans="3:4" ht="13.5" customHeight="1">
      <c r="C822" s="273"/>
      <c r="D822" s="356"/>
    </row>
    <row r="823" spans="3:4" ht="13.5" customHeight="1">
      <c r="C823" s="273"/>
      <c r="D823" s="356"/>
    </row>
    <row r="824" spans="3:4" ht="13.5" customHeight="1">
      <c r="C824" s="273"/>
      <c r="D824" s="356"/>
    </row>
    <row r="825" spans="3:4" ht="13.5" customHeight="1">
      <c r="C825" s="273"/>
      <c r="D825" s="356"/>
    </row>
    <row r="826" spans="3:4" ht="13.5" customHeight="1">
      <c r="C826" s="273"/>
      <c r="D826" s="356"/>
    </row>
    <row r="827" spans="3:4" ht="13.5" customHeight="1">
      <c r="C827" s="273"/>
      <c r="D827" s="356"/>
    </row>
    <row r="828" spans="3:4" ht="13.5" customHeight="1">
      <c r="C828" s="273"/>
      <c r="D828" s="356"/>
    </row>
    <row r="829" spans="3:4" ht="13.5" customHeight="1">
      <c r="C829" s="273"/>
      <c r="D829" s="356"/>
    </row>
    <row r="830" spans="3:4" ht="13.5" customHeight="1">
      <c r="C830" s="273"/>
      <c r="D830" s="356"/>
    </row>
    <row r="831" spans="3:4" ht="13.5" customHeight="1">
      <c r="C831" s="273"/>
      <c r="D831" s="356"/>
    </row>
    <row r="832" spans="3:4" ht="13.5" customHeight="1">
      <c r="C832" s="273"/>
      <c r="D832" s="356"/>
    </row>
    <row r="833" spans="3:4" ht="13.5" customHeight="1">
      <c r="C833" s="273"/>
      <c r="D833" s="356"/>
    </row>
    <row r="834" spans="3:4" ht="13.5" customHeight="1">
      <c r="C834" s="273"/>
      <c r="D834" s="356"/>
    </row>
    <row r="835" spans="3:4" ht="13.5" customHeight="1">
      <c r="C835" s="273"/>
      <c r="D835" s="356"/>
    </row>
    <row r="836" spans="3:4" ht="13.5" customHeight="1">
      <c r="C836" s="273"/>
      <c r="D836" s="356"/>
    </row>
    <row r="837" spans="3:4" ht="13.5" customHeight="1">
      <c r="C837" s="273"/>
      <c r="D837" s="356"/>
    </row>
    <row r="838" spans="3:4" ht="13.5" customHeight="1">
      <c r="C838" s="273"/>
      <c r="D838" s="356"/>
    </row>
    <row r="839" spans="3:4" ht="13.5" customHeight="1">
      <c r="C839" s="273"/>
      <c r="D839" s="356"/>
    </row>
    <row r="840" spans="3:4" ht="13.5" customHeight="1">
      <c r="C840" s="273"/>
      <c r="D840" s="356"/>
    </row>
    <row r="841" spans="3:4" ht="13.5" customHeight="1">
      <c r="C841" s="273"/>
      <c r="D841" s="356"/>
    </row>
    <row r="842" spans="3:4" ht="13.5" customHeight="1">
      <c r="C842" s="273"/>
      <c r="D842" s="356"/>
    </row>
    <row r="843" spans="3:4" ht="13.5" customHeight="1">
      <c r="C843" s="273"/>
      <c r="D843" s="356"/>
    </row>
    <row r="844" spans="3:4" ht="13.5" customHeight="1">
      <c r="C844" s="273"/>
      <c r="D844" s="356"/>
    </row>
    <row r="845" spans="3:4" ht="13.5" customHeight="1">
      <c r="C845" s="273"/>
      <c r="D845" s="356"/>
    </row>
    <row r="846" spans="3:4" ht="13.5" customHeight="1">
      <c r="C846" s="273"/>
      <c r="D846" s="356"/>
    </row>
    <row r="847" spans="3:4" ht="13.5" customHeight="1">
      <c r="C847" s="273"/>
      <c r="D847" s="356"/>
    </row>
    <row r="848" spans="3:4" ht="13.5" customHeight="1">
      <c r="C848" s="273"/>
      <c r="D848" s="356"/>
    </row>
    <row r="849" spans="3:4" ht="13.5" customHeight="1">
      <c r="C849" s="273"/>
      <c r="D849" s="356"/>
    </row>
    <row r="850" spans="3:4" ht="13.5" customHeight="1">
      <c r="C850" s="273"/>
      <c r="D850" s="356"/>
    </row>
    <row r="851" spans="3:4" ht="13.5" customHeight="1">
      <c r="C851" s="273"/>
      <c r="D851" s="356"/>
    </row>
    <row r="852" spans="3:4" ht="13.5" customHeight="1">
      <c r="C852" s="273"/>
      <c r="D852" s="356"/>
    </row>
    <row r="853" spans="3:4" ht="13.5" customHeight="1">
      <c r="C853" s="273"/>
      <c r="D853" s="356"/>
    </row>
    <row r="854" spans="3:4" ht="13.5" customHeight="1">
      <c r="C854" s="273"/>
      <c r="D854" s="356"/>
    </row>
    <row r="855" spans="3:4" ht="13.5" customHeight="1">
      <c r="C855" s="273"/>
      <c r="D855" s="356"/>
    </row>
    <row r="856" spans="3:4" ht="13.5" customHeight="1">
      <c r="C856" s="273"/>
      <c r="D856" s="356"/>
    </row>
    <row r="857" spans="3:4" ht="13.5" customHeight="1">
      <c r="C857" s="273"/>
      <c r="D857" s="356"/>
    </row>
    <row r="858" spans="3:4" ht="13.5" customHeight="1">
      <c r="C858" s="273"/>
      <c r="D858" s="356"/>
    </row>
    <row r="859" spans="3:4" ht="13.5" customHeight="1">
      <c r="C859" s="273"/>
      <c r="D859" s="356"/>
    </row>
    <row r="860" spans="3:4" ht="13.5" customHeight="1">
      <c r="C860" s="273"/>
      <c r="D860" s="356"/>
    </row>
    <row r="861" spans="3:4" ht="13.5" customHeight="1">
      <c r="C861" s="273"/>
      <c r="D861" s="356"/>
    </row>
    <row r="862" spans="3:4" ht="13.5" customHeight="1">
      <c r="C862" s="273"/>
      <c r="D862" s="356"/>
    </row>
    <row r="863" spans="3:4" ht="13.5" customHeight="1">
      <c r="C863" s="273"/>
      <c r="D863" s="356"/>
    </row>
    <row r="864" spans="3:4" ht="13.5" customHeight="1">
      <c r="C864" s="273"/>
      <c r="D864" s="356"/>
    </row>
    <row r="865" spans="3:4" ht="13.5" customHeight="1">
      <c r="C865" s="273"/>
      <c r="D865" s="356"/>
    </row>
    <row r="866" spans="3:4" ht="13.5" customHeight="1">
      <c r="C866" s="273"/>
      <c r="D866" s="356"/>
    </row>
    <row r="867" spans="3:4" ht="13.5" customHeight="1">
      <c r="C867" s="273"/>
      <c r="D867" s="356"/>
    </row>
    <row r="868" spans="3:4" ht="13.5" customHeight="1">
      <c r="C868" s="273"/>
      <c r="D868" s="356"/>
    </row>
    <row r="869" spans="3:4" ht="13.5" customHeight="1">
      <c r="C869" s="273"/>
      <c r="D869" s="356"/>
    </row>
    <row r="870" spans="3:4" ht="13.5" customHeight="1">
      <c r="C870" s="273"/>
      <c r="D870" s="356"/>
    </row>
    <row r="871" spans="3:4" ht="13.5" customHeight="1">
      <c r="C871" s="273"/>
      <c r="D871" s="356"/>
    </row>
    <row r="872" spans="3:4" ht="13.5" customHeight="1">
      <c r="C872" s="273"/>
      <c r="D872" s="356"/>
    </row>
    <row r="873" spans="3:4" ht="13.5" customHeight="1">
      <c r="C873" s="273"/>
      <c r="D873" s="356"/>
    </row>
    <row r="874" spans="3:4" ht="13.5" customHeight="1">
      <c r="C874" s="273"/>
      <c r="D874" s="356"/>
    </row>
    <row r="875" spans="3:4" ht="13.5" customHeight="1">
      <c r="C875" s="273"/>
      <c r="D875" s="356"/>
    </row>
    <row r="876" spans="3:4" ht="13.5" customHeight="1">
      <c r="C876" s="273"/>
      <c r="D876" s="356"/>
    </row>
    <row r="877" spans="3:4" ht="13.5" customHeight="1">
      <c r="C877" s="273"/>
      <c r="D877" s="356"/>
    </row>
    <row r="878" spans="3:4" ht="13.5" customHeight="1">
      <c r="C878" s="273"/>
      <c r="D878" s="356"/>
    </row>
    <row r="879" spans="3:4" ht="13.5" customHeight="1">
      <c r="C879" s="273"/>
      <c r="D879" s="356"/>
    </row>
    <row r="880" spans="3:4" ht="13.5" customHeight="1">
      <c r="C880" s="273"/>
      <c r="D880" s="356"/>
    </row>
    <row r="881" spans="3:4" ht="13.5" customHeight="1">
      <c r="C881" s="273"/>
      <c r="D881" s="356"/>
    </row>
    <row r="882" spans="3:4" ht="13.5" customHeight="1">
      <c r="C882" s="273"/>
      <c r="D882" s="356"/>
    </row>
    <row r="883" spans="3:4" ht="13.5" customHeight="1">
      <c r="C883" s="273"/>
      <c r="D883" s="356"/>
    </row>
    <row r="884" spans="3:4" ht="13.5" customHeight="1">
      <c r="C884" s="273"/>
      <c r="D884" s="356"/>
    </row>
    <row r="885" spans="3:4" ht="13.5" customHeight="1">
      <c r="C885" s="273"/>
      <c r="D885" s="356"/>
    </row>
    <row r="886" spans="3:4" ht="13.5" customHeight="1">
      <c r="C886" s="273"/>
      <c r="D886" s="356"/>
    </row>
    <row r="887" spans="3:4" ht="13.5" customHeight="1">
      <c r="C887" s="273"/>
      <c r="D887" s="356"/>
    </row>
    <row r="888" spans="3:4" ht="13.5" customHeight="1">
      <c r="C888" s="273"/>
      <c r="D888" s="356"/>
    </row>
    <row r="889" spans="3:4" ht="13.5" customHeight="1">
      <c r="C889" s="273"/>
      <c r="D889" s="356"/>
    </row>
    <row r="890" spans="3:4" ht="13.5" customHeight="1">
      <c r="C890" s="273"/>
      <c r="D890" s="356"/>
    </row>
    <row r="891" spans="3:4" ht="13.5" customHeight="1">
      <c r="C891" s="273"/>
      <c r="D891" s="356"/>
    </row>
    <row r="892" spans="3:4" ht="13.5" customHeight="1">
      <c r="C892" s="273"/>
      <c r="D892" s="356"/>
    </row>
    <row r="893" spans="3:4" ht="13.5" customHeight="1">
      <c r="C893" s="273"/>
      <c r="D893" s="356"/>
    </row>
    <row r="894" spans="3:4" ht="13.5" customHeight="1">
      <c r="C894" s="273"/>
      <c r="D894" s="356"/>
    </row>
    <row r="895" spans="3:4" ht="13.5" customHeight="1">
      <c r="C895" s="273"/>
      <c r="D895" s="356"/>
    </row>
    <row r="896" spans="3:4" ht="13.5" customHeight="1">
      <c r="C896" s="273"/>
      <c r="D896" s="356"/>
    </row>
    <row r="897" spans="3:4" ht="13.5" customHeight="1">
      <c r="C897" s="273"/>
      <c r="D897" s="356"/>
    </row>
    <row r="898" spans="3:4" ht="13.5" customHeight="1">
      <c r="C898" s="273"/>
      <c r="D898" s="356"/>
    </row>
    <row r="899" spans="3:4" ht="13.5" customHeight="1">
      <c r="C899" s="273"/>
      <c r="D899" s="356"/>
    </row>
    <row r="900" spans="3:4" ht="13.5" customHeight="1">
      <c r="C900" s="273"/>
      <c r="D900" s="356"/>
    </row>
    <row r="901" spans="3:4" ht="13.5" customHeight="1">
      <c r="C901" s="273"/>
      <c r="D901" s="356"/>
    </row>
    <row r="902" spans="3:4" ht="13.5" customHeight="1">
      <c r="C902" s="273"/>
      <c r="D902" s="356"/>
    </row>
    <row r="903" spans="3:4" ht="13.5" customHeight="1">
      <c r="C903" s="273"/>
      <c r="D903" s="356"/>
    </row>
    <row r="904" spans="3:4" ht="13.5" customHeight="1">
      <c r="C904" s="273"/>
      <c r="D904" s="356"/>
    </row>
    <row r="905" spans="3:4" ht="13.5" customHeight="1">
      <c r="C905" s="273"/>
      <c r="D905" s="356"/>
    </row>
    <row r="906" spans="3:4" ht="13.5" customHeight="1">
      <c r="C906" s="273"/>
      <c r="D906" s="356"/>
    </row>
    <row r="907" spans="3:4" ht="13.5" customHeight="1">
      <c r="C907" s="273"/>
      <c r="D907" s="356"/>
    </row>
    <row r="908" spans="3:4" ht="13.5" customHeight="1">
      <c r="C908" s="273"/>
      <c r="D908" s="356"/>
    </row>
    <row r="909" spans="3:4" ht="13.5" customHeight="1">
      <c r="C909" s="273"/>
      <c r="D909" s="356"/>
    </row>
    <row r="910" spans="3:4" ht="13.5" customHeight="1">
      <c r="C910" s="273"/>
      <c r="D910" s="356"/>
    </row>
    <row r="911" spans="3:4" ht="13.5" customHeight="1">
      <c r="C911" s="273"/>
      <c r="D911" s="356"/>
    </row>
    <row r="912" spans="3:4" ht="13.5" customHeight="1">
      <c r="C912" s="273"/>
      <c r="D912" s="356"/>
    </row>
    <row r="913" spans="3:4" ht="13.5" customHeight="1">
      <c r="C913" s="273"/>
      <c r="D913" s="356"/>
    </row>
    <row r="914" spans="3:4" ht="13.5" customHeight="1">
      <c r="C914" s="273"/>
      <c r="D914" s="356"/>
    </row>
    <row r="915" spans="3:4" ht="13.5" customHeight="1">
      <c r="C915" s="273"/>
      <c r="D915" s="356"/>
    </row>
    <row r="916" spans="3:4" ht="13.5" customHeight="1">
      <c r="C916" s="273"/>
      <c r="D916" s="356"/>
    </row>
    <row r="917" spans="3:4" ht="13.5" customHeight="1">
      <c r="C917" s="273"/>
      <c r="D917" s="356"/>
    </row>
    <row r="918" spans="3:4" ht="13.5" customHeight="1">
      <c r="C918" s="273"/>
      <c r="D918" s="356"/>
    </row>
    <row r="919" spans="3:4" ht="13.5" customHeight="1">
      <c r="C919" s="273"/>
      <c r="D919" s="356"/>
    </row>
    <row r="920" spans="3:4" ht="13.5" customHeight="1">
      <c r="C920" s="273"/>
      <c r="D920" s="356"/>
    </row>
    <row r="921" spans="3:4" ht="13.5" customHeight="1">
      <c r="C921" s="273"/>
      <c r="D921" s="356"/>
    </row>
    <row r="922" spans="3:4" ht="13.5" customHeight="1">
      <c r="C922" s="273"/>
      <c r="D922" s="356"/>
    </row>
    <row r="923" spans="3:4" ht="13.5" customHeight="1">
      <c r="C923" s="273"/>
      <c r="D923" s="356"/>
    </row>
    <row r="924" spans="3:4" ht="13.5" customHeight="1">
      <c r="C924" s="273"/>
      <c r="D924" s="356"/>
    </row>
    <row r="925" spans="3:4" ht="13.5" customHeight="1">
      <c r="C925" s="273"/>
      <c r="D925" s="356"/>
    </row>
    <row r="926" spans="3:4" ht="13.5" customHeight="1">
      <c r="C926" s="273"/>
      <c r="D926" s="356"/>
    </row>
    <row r="927" spans="3:4" ht="13.5" customHeight="1">
      <c r="C927" s="273"/>
      <c r="D927" s="356"/>
    </row>
    <row r="928" spans="3:4" ht="13.5" customHeight="1">
      <c r="C928" s="273"/>
      <c r="D928" s="356"/>
    </row>
    <row r="929" spans="3:4" ht="13.5" customHeight="1">
      <c r="C929" s="273"/>
      <c r="D929" s="356"/>
    </row>
    <row r="930" spans="3:4" ht="13.5" customHeight="1">
      <c r="C930" s="273"/>
      <c r="D930" s="356"/>
    </row>
    <row r="931" spans="3:4" ht="13.5" customHeight="1">
      <c r="C931" s="273"/>
      <c r="D931" s="356"/>
    </row>
    <row r="932" spans="3:4" ht="13.5" customHeight="1">
      <c r="C932" s="273"/>
      <c r="D932" s="356"/>
    </row>
    <row r="933" spans="3:4" ht="13.5" customHeight="1">
      <c r="C933" s="273"/>
      <c r="D933" s="356"/>
    </row>
    <row r="934" spans="3:4" ht="13.5" customHeight="1">
      <c r="C934" s="273"/>
      <c r="D934" s="356"/>
    </row>
    <row r="935" spans="3:4" ht="13.5" customHeight="1">
      <c r="C935" s="273"/>
      <c r="D935" s="356"/>
    </row>
    <row r="936" spans="3:4" ht="13.5" customHeight="1">
      <c r="C936" s="273"/>
      <c r="D936" s="356"/>
    </row>
    <row r="937" spans="3:4" ht="13.5" customHeight="1">
      <c r="C937" s="273"/>
      <c r="D937" s="356"/>
    </row>
    <row r="938" spans="3:4" ht="13.5" customHeight="1">
      <c r="C938" s="273"/>
      <c r="D938" s="356"/>
    </row>
    <row r="939" spans="3:4" ht="13.5" customHeight="1">
      <c r="C939" s="273"/>
      <c r="D939" s="356"/>
    </row>
    <row r="940" spans="3:4" ht="13.5" customHeight="1">
      <c r="C940" s="273"/>
      <c r="D940" s="356"/>
    </row>
    <row r="941" spans="3:4" ht="13.5" customHeight="1">
      <c r="C941" s="273"/>
      <c r="D941" s="356"/>
    </row>
    <row r="942" spans="3:4" ht="13.5" customHeight="1">
      <c r="C942" s="273"/>
      <c r="D942" s="356"/>
    </row>
    <row r="943" spans="3:4" ht="13.5" customHeight="1">
      <c r="C943" s="273"/>
      <c r="D943" s="356"/>
    </row>
    <row r="944" spans="3:4" ht="13.5" customHeight="1">
      <c r="C944" s="273"/>
      <c r="D944" s="356"/>
    </row>
    <row r="945" spans="3:4" ht="13.5" customHeight="1">
      <c r="C945" s="273"/>
      <c r="D945" s="356"/>
    </row>
    <row r="946" spans="3:4" ht="13.5" customHeight="1">
      <c r="C946" s="273"/>
      <c r="D946" s="356"/>
    </row>
    <row r="947" spans="3:4" ht="13.5" customHeight="1">
      <c r="C947" s="273"/>
      <c r="D947" s="356"/>
    </row>
    <row r="948" spans="3:4" ht="13.5" customHeight="1">
      <c r="C948" s="273"/>
      <c r="D948" s="356"/>
    </row>
    <row r="949" spans="3:4" ht="13.5" customHeight="1">
      <c r="C949" s="273"/>
      <c r="D949" s="356"/>
    </row>
    <row r="950" spans="3:4" ht="13.5" customHeight="1">
      <c r="C950" s="273"/>
      <c r="D950" s="356"/>
    </row>
    <row r="951" spans="3:4" ht="13.5" customHeight="1">
      <c r="C951" s="273"/>
      <c r="D951" s="356"/>
    </row>
    <row r="952" spans="3:4" ht="13.5" customHeight="1">
      <c r="C952" s="273"/>
      <c r="D952" s="356"/>
    </row>
    <row r="953" spans="3:4" ht="13.5" customHeight="1">
      <c r="C953" s="273"/>
      <c r="D953" s="356"/>
    </row>
    <row r="954" spans="3:4" ht="13.5" customHeight="1">
      <c r="C954" s="273"/>
      <c r="D954" s="356"/>
    </row>
    <row r="955" spans="3:4" ht="13.5" customHeight="1">
      <c r="C955" s="273"/>
      <c r="D955" s="356"/>
    </row>
    <row r="956" spans="3:4" ht="13.5" customHeight="1">
      <c r="C956" s="273"/>
      <c r="D956" s="356"/>
    </row>
    <row r="957" spans="3:4" ht="13.5" customHeight="1">
      <c r="C957" s="273"/>
      <c r="D957" s="356"/>
    </row>
    <row r="958" spans="3:4" ht="13.5" customHeight="1">
      <c r="C958" s="273"/>
      <c r="D958" s="356"/>
    </row>
    <row r="959" spans="3:4" ht="13.5" customHeight="1">
      <c r="C959" s="273"/>
      <c r="D959" s="356"/>
    </row>
    <row r="960" spans="3:4" ht="13.5" customHeight="1">
      <c r="C960" s="273"/>
      <c r="D960" s="356"/>
    </row>
    <row r="961" spans="3:4" ht="13.5" customHeight="1">
      <c r="C961" s="273"/>
      <c r="D961" s="356"/>
    </row>
    <row r="962" spans="3:4" ht="13.5" customHeight="1">
      <c r="C962" s="273"/>
      <c r="D962" s="356"/>
    </row>
    <row r="963" spans="3:4" ht="13.5" customHeight="1">
      <c r="C963" s="273"/>
      <c r="D963" s="356"/>
    </row>
    <row r="964" spans="3:4" ht="13.5" customHeight="1">
      <c r="C964" s="273"/>
      <c r="D964" s="356"/>
    </row>
    <row r="965" spans="3:4" ht="13.5" customHeight="1">
      <c r="C965" s="273"/>
      <c r="D965" s="356"/>
    </row>
    <row r="966" spans="3:4" ht="13.5" customHeight="1">
      <c r="C966" s="273"/>
      <c r="D966" s="356"/>
    </row>
    <row r="967" spans="3:4" ht="13.5" customHeight="1">
      <c r="C967" s="273"/>
      <c r="D967" s="356"/>
    </row>
    <row r="968" spans="3:4" ht="13.5" customHeight="1">
      <c r="C968" s="273"/>
      <c r="D968" s="356"/>
    </row>
    <row r="969" spans="3:4" ht="13.5" customHeight="1">
      <c r="C969" s="273"/>
      <c r="D969" s="356"/>
    </row>
    <row r="970" spans="3:4" ht="13.5" customHeight="1">
      <c r="C970" s="273"/>
      <c r="D970" s="356"/>
    </row>
    <row r="971" spans="3:4" ht="13.5" customHeight="1">
      <c r="C971" s="273"/>
      <c r="D971" s="356"/>
    </row>
    <row r="972" spans="3:4" ht="13.5" customHeight="1">
      <c r="C972" s="273"/>
      <c r="D972" s="356"/>
    </row>
    <row r="973" spans="3:4" ht="13.5" customHeight="1">
      <c r="C973" s="273"/>
      <c r="D973" s="356"/>
    </row>
    <row r="974" spans="3:4" ht="13.5" customHeight="1">
      <c r="C974" s="273"/>
      <c r="D974" s="356"/>
    </row>
    <row r="975" spans="3:4" ht="13.5" customHeight="1">
      <c r="C975" s="273"/>
      <c r="D975" s="356"/>
    </row>
    <row r="976" spans="3:4" ht="13.5" customHeight="1">
      <c r="C976" s="273"/>
      <c r="D976" s="356"/>
    </row>
    <row r="977" spans="3:4" ht="13.5" customHeight="1">
      <c r="C977" s="273"/>
      <c r="D977" s="356"/>
    </row>
    <row r="978" spans="3:4" ht="13.5" customHeight="1">
      <c r="C978" s="273"/>
      <c r="D978" s="356"/>
    </row>
    <row r="979" spans="3:4" ht="13.5" customHeight="1">
      <c r="C979" s="273"/>
      <c r="D979" s="356"/>
    </row>
    <row r="980" spans="3:4" ht="13.5" customHeight="1">
      <c r="C980" s="273"/>
      <c r="D980" s="356"/>
    </row>
    <row r="981" spans="3:4" ht="13.5" customHeight="1">
      <c r="C981" s="273"/>
      <c r="D981" s="356"/>
    </row>
    <row r="982" spans="3:4" ht="13.5" customHeight="1">
      <c r="C982" s="273"/>
      <c r="D982" s="356"/>
    </row>
    <row r="983" spans="3:4" ht="13.5" customHeight="1">
      <c r="C983" s="273"/>
      <c r="D983" s="356"/>
    </row>
    <row r="984" spans="3:4" ht="13.5" customHeight="1">
      <c r="C984" s="273"/>
      <c r="D984" s="356"/>
    </row>
    <row r="985" spans="3:4" ht="13.5" customHeight="1">
      <c r="C985" s="273"/>
      <c r="D985" s="356"/>
    </row>
    <row r="986" spans="3:4" ht="13.5" customHeight="1">
      <c r="C986" s="273"/>
      <c r="D986" s="356"/>
    </row>
    <row r="987" spans="3:4" ht="13.5" customHeight="1">
      <c r="C987" s="273"/>
      <c r="D987" s="356"/>
    </row>
    <row r="988" spans="3:4" ht="13.5" customHeight="1">
      <c r="C988" s="273"/>
      <c r="D988" s="356"/>
    </row>
    <row r="989" spans="3:4" ht="13.5" customHeight="1">
      <c r="C989" s="273"/>
      <c r="D989" s="356"/>
    </row>
    <row r="990" spans="3:4" ht="13.5" customHeight="1">
      <c r="C990" s="273"/>
      <c r="D990" s="356"/>
    </row>
    <row r="991" spans="3:4" ht="13.5" customHeight="1">
      <c r="C991" s="273"/>
      <c r="D991" s="356"/>
    </row>
    <row r="992" spans="3:4" ht="13.5" customHeight="1">
      <c r="C992" s="273"/>
      <c r="D992" s="356"/>
    </row>
    <row r="993" spans="3:4" ht="13.5" customHeight="1">
      <c r="C993" s="273"/>
      <c r="D993" s="356"/>
    </row>
    <row r="994" spans="3:4" ht="13.5" customHeight="1">
      <c r="C994" s="273"/>
      <c r="D994" s="356"/>
    </row>
    <row r="995" spans="3:4" ht="13.5" customHeight="1">
      <c r="C995" s="273"/>
      <c r="D995" s="356"/>
    </row>
    <row r="996" spans="3:4" ht="13.5" customHeight="1">
      <c r="C996" s="273"/>
      <c r="D996" s="356"/>
    </row>
    <row r="997" spans="3:4" ht="13.5" customHeight="1">
      <c r="C997" s="273"/>
      <c r="D997" s="356"/>
    </row>
    <row r="998" spans="3:4" ht="13.5" customHeight="1">
      <c r="C998" s="273"/>
      <c r="D998" s="356"/>
    </row>
    <row r="999" spans="3:4" ht="13.5" customHeight="1">
      <c r="C999" s="273"/>
      <c r="D999" s="356"/>
    </row>
    <row r="1000" spans="3:4" ht="13.5" customHeight="1">
      <c r="C1000" s="273"/>
      <c r="D1000" s="356"/>
    </row>
  </sheetData>
  <mergeCells count="8">
    <mergeCell ref="C11:E11"/>
    <mergeCell ref="C14:E14"/>
    <mergeCell ref="C17:E17"/>
    <mergeCell ref="C1:D1"/>
    <mergeCell ref="C3:E3"/>
    <mergeCell ref="C4:E4"/>
    <mergeCell ref="C5:E5"/>
    <mergeCell ref="C10:E10"/>
  </mergeCells>
  <pageMargins left="0.7" right="0.7" top="0.75" bottom="0.75" header="0" footer="0"/>
  <pageSetup orientation="landscape"/>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Bolts!$K$1188:$K$1190</xm:f>
          </x14:formula1>
          <xm:sqref>B6 B12 B16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V1218"/>
  <sheetViews>
    <sheetView workbookViewId="0">
      <pane ySplit="3" topLeftCell="A4" activePane="bottomLeft" state="frozen"/>
      <selection pane="bottomLeft" activeCell="B5" sqref="B5"/>
    </sheetView>
  </sheetViews>
  <sheetFormatPr baseColWidth="10" defaultColWidth="11.1640625" defaultRowHeight="15" customHeight="1"/>
  <cols>
    <col min="1" max="1" width="13.83203125" customWidth="1"/>
    <col min="2" max="2" width="9" customWidth="1"/>
    <col min="3" max="3" width="6.33203125" customWidth="1"/>
    <col min="4" max="5" width="10.1640625" customWidth="1"/>
    <col min="6" max="7" width="9.1640625" customWidth="1"/>
    <col min="8" max="12" width="10.1640625" customWidth="1"/>
    <col min="13" max="13" width="11.6640625" customWidth="1"/>
    <col min="14" max="15" width="9.1640625" customWidth="1"/>
    <col min="16" max="16" width="6.5" customWidth="1"/>
    <col min="17" max="17" width="9.1640625" customWidth="1"/>
    <col min="18" max="18" width="8.83203125" customWidth="1"/>
    <col min="19" max="21" width="7.83203125" customWidth="1"/>
    <col min="22" max="22" width="7.1640625" customWidth="1"/>
  </cols>
  <sheetData>
    <row r="1" spans="1:22" ht="14.25" customHeight="1">
      <c r="A1" s="503" t="s">
        <v>1907</v>
      </c>
      <c r="B1" s="504"/>
      <c r="C1" s="504"/>
      <c r="D1" s="504"/>
      <c r="E1" s="504"/>
      <c r="F1" s="504"/>
      <c r="G1" s="504"/>
      <c r="H1" s="504"/>
      <c r="I1" s="504"/>
      <c r="J1" s="504"/>
      <c r="K1" s="504"/>
      <c r="L1" s="504"/>
      <c r="M1" s="504"/>
      <c r="N1" s="504"/>
      <c r="O1" s="504"/>
      <c r="P1" s="504"/>
      <c r="Q1" s="504"/>
      <c r="R1" s="504"/>
      <c r="S1" s="504"/>
      <c r="T1" s="504"/>
      <c r="U1" s="504"/>
      <c r="V1" s="505"/>
    </row>
    <row r="2" spans="1:22" ht="14.25" customHeight="1">
      <c r="A2" s="506"/>
      <c r="B2" s="507"/>
      <c r="C2" s="507"/>
      <c r="D2" s="507"/>
      <c r="E2" s="507"/>
      <c r="F2" s="507"/>
      <c r="G2" s="507"/>
      <c r="H2" s="507"/>
      <c r="I2" s="507"/>
      <c r="J2" s="507"/>
      <c r="K2" s="507"/>
      <c r="L2" s="507"/>
      <c r="M2" s="507"/>
      <c r="N2" s="507"/>
      <c r="O2" s="507"/>
      <c r="P2" s="507"/>
      <c r="Q2" s="507"/>
      <c r="R2" s="507"/>
      <c r="S2" s="507"/>
      <c r="T2" s="507"/>
      <c r="U2" s="507"/>
      <c r="V2" s="508"/>
    </row>
    <row r="3" spans="1:22" ht="14.25" customHeight="1">
      <c r="A3" s="362" t="s">
        <v>129</v>
      </c>
      <c r="B3" s="363" t="s">
        <v>1908</v>
      </c>
      <c r="C3" s="364" t="s">
        <v>1909</v>
      </c>
      <c r="D3" s="365" t="s">
        <v>1910</v>
      </c>
      <c r="E3" s="366" t="s">
        <v>1911</v>
      </c>
      <c r="F3" s="366" t="s">
        <v>1912</v>
      </c>
      <c r="G3" s="366" t="s">
        <v>1913</v>
      </c>
      <c r="H3" s="366" t="s">
        <v>1914</v>
      </c>
      <c r="I3" s="366" t="s">
        <v>1915</v>
      </c>
      <c r="J3" s="366" t="s">
        <v>1916</v>
      </c>
      <c r="K3" s="366" t="s">
        <v>1917</v>
      </c>
      <c r="L3" s="366" t="s">
        <v>1918</v>
      </c>
      <c r="M3" s="366" t="s">
        <v>1919</v>
      </c>
      <c r="N3" s="366" t="s">
        <v>1920</v>
      </c>
      <c r="O3" s="366" t="s">
        <v>1921</v>
      </c>
      <c r="P3" s="366" t="s">
        <v>1922</v>
      </c>
      <c r="Q3" s="367" t="s">
        <v>1923</v>
      </c>
      <c r="R3" s="368" t="s">
        <v>1924</v>
      </c>
      <c r="S3" s="368" t="s">
        <v>1925</v>
      </c>
      <c r="T3" s="368" t="s">
        <v>1926</v>
      </c>
      <c r="U3" s="368" t="s">
        <v>1927</v>
      </c>
      <c r="V3" s="368" t="s">
        <v>1928</v>
      </c>
    </row>
    <row r="4" spans="1:22" ht="14.25" hidden="1" customHeight="1">
      <c r="A4" s="369" t="s">
        <v>946</v>
      </c>
      <c r="B4" s="370" t="e">
        <f ca="1">_xludf.IFNA(VLOOKUP(Bolts!$A4,'Kilter Holds'!$P$37:$S$662,4,0),0)</f>
        <v>#NAME?</v>
      </c>
      <c r="C4" s="371">
        <v>5</v>
      </c>
      <c r="D4" s="372">
        <v>0</v>
      </c>
      <c r="E4" s="373">
        <f ca="1">IFERROR(1*B4,0)</f>
        <v>0</v>
      </c>
      <c r="F4" s="373">
        <f ca="1">IFERROR(2*B4,0)</f>
        <v>0</v>
      </c>
      <c r="G4" s="373">
        <f ca="1">IFERROR(2*B4,0)</f>
        <v>0</v>
      </c>
      <c r="H4" s="373">
        <v>0</v>
      </c>
      <c r="I4" s="373">
        <v>0</v>
      </c>
      <c r="J4" s="373">
        <v>0</v>
      </c>
      <c r="K4" s="373">
        <v>0</v>
      </c>
      <c r="L4" s="374">
        <v>0</v>
      </c>
      <c r="M4" s="373">
        <v>0</v>
      </c>
      <c r="N4" s="373">
        <v>0</v>
      </c>
      <c r="O4" s="373">
        <v>0</v>
      </c>
      <c r="P4" s="373">
        <v>0</v>
      </c>
      <c r="Q4" s="373">
        <v>0</v>
      </c>
      <c r="R4" s="375">
        <v>0</v>
      </c>
      <c r="S4" s="375">
        <v>0</v>
      </c>
      <c r="T4" s="375">
        <v>0</v>
      </c>
      <c r="U4" s="375">
        <v>0</v>
      </c>
      <c r="V4" s="375" t="e">
        <f t="shared" ref="V4:V258" ca="1" si="0">IF(B4&gt;0,"Added"," ")</f>
        <v>#NAME?</v>
      </c>
    </row>
    <row r="5" spans="1:22" ht="14.25" hidden="1" customHeight="1">
      <c r="A5" s="376" t="s">
        <v>286</v>
      </c>
      <c r="B5" s="370" t="e">
        <f ca="1">_xludf.IFNA(VLOOKUP(Bolts!$A5,'Kilter Holds'!$P$37:$S$662,4,0),0)</f>
        <v>#NAME?</v>
      </c>
      <c r="C5" s="371">
        <v>12</v>
      </c>
      <c r="D5" s="373">
        <f ca="1">IFERROR(12*B5,0)</f>
        <v>0</v>
      </c>
      <c r="E5" s="373">
        <v>0</v>
      </c>
      <c r="F5" s="373">
        <v>0</v>
      </c>
      <c r="G5" s="373">
        <v>0</v>
      </c>
      <c r="H5" s="373">
        <v>0</v>
      </c>
      <c r="I5" s="373">
        <v>0</v>
      </c>
      <c r="J5" s="373">
        <v>0</v>
      </c>
      <c r="K5" s="373">
        <v>0</v>
      </c>
      <c r="L5" s="374">
        <v>0</v>
      </c>
      <c r="M5" s="373">
        <v>0</v>
      </c>
      <c r="N5" s="373">
        <v>0</v>
      </c>
      <c r="O5" s="373">
        <v>0</v>
      </c>
      <c r="P5" s="373">
        <v>0</v>
      </c>
      <c r="Q5" s="373">
        <v>0</v>
      </c>
      <c r="R5" s="373">
        <v>0</v>
      </c>
      <c r="S5" s="375">
        <v>0</v>
      </c>
      <c r="T5" s="375">
        <v>0</v>
      </c>
      <c r="U5" s="375">
        <v>0</v>
      </c>
      <c r="V5" s="375" t="e">
        <f t="shared" ca="1" si="0"/>
        <v>#NAME?</v>
      </c>
    </row>
    <row r="6" spans="1:22" ht="14.25" hidden="1" customHeight="1">
      <c r="A6" s="376" t="s">
        <v>964</v>
      </c>
      <c r="B6" s="370" t="e">
        <f ca="1">_xludf.IFNA(VLOOKUP(Bolts!$A6,'Kilter Holds'!$P$37:$S$662,4,0),0)</f>
        <v>#NAME?</v>
      </c>
      <c r="C6" s="371">
        <v>10</v>
      </c>
      <c r="D6" s="373">
        <f t="shared" ref="D6:D7" ca="1" si="1">IFERROR(10*B6,0)</f>
        <v>0</v>
      </c>
      <c r="E6" s="373">
        <v>0</v>
      </c>
      <c r="F6" s="373">
        <v>0</v>
      </c>
      <c r="G6" s="373">
        <v>0</v>
      </c>
      <c r="H6" s="373">
        <v>0</v>
      </c>
      <c r="I6" s="373">
        <v>0</v>
      </c>
      <c r="J6" s="373">
        <v>0</v>
      </c>
      <c r="K6" s="373">
        <v>0</v>
      </c>
      <c r="L6" s="374">
        <v>0</v>
      </c>
      <c r="M6" s="373">
        <v>0</v>
      </c>
      <c r="N6" s="373">
        <v>0</v>
      </c>
      <c r="O6" s="373">
        <v>0</v>
      </c>
      <c r="P6" s="373">
        <v>0</v>
      </c>
      <c r="Q6" s="373">
        <v>0</v>
      </c>
      <c r="R6" s="373">
        <v>0</v>
      </c>
      <c r="S6" s="375">
        <v>0</v>
      </c>
      <c r="T6" s="375">
        <v>0</v>
      </c>
      <c r="U6" s="375">
        <v>0</v>
      </c>
      <c r="V6" s="375" t="e">
        <f t="shared" ca="1" si="0"/>
        <v>#NAME?</v>
      </c>
    </row>
    <row r="7" spans="1:22" ht="14.25" hidden="1" customHeight="1">
      <c r="A7" s="376" t="s">
        <v>1157</v>
      </c>
      <c r="B7" s="370" t="e">
        <f ca="1">_xludf.IFNA(VLOOKUP(Bolts!$A7,'Kilter Holds'!$P$37:$S$662,4,0),0)</f>
        <v>#NAME?</v>
      </c>
      <c r="C7" s="371">
        <v>10</v>
      </c>
      <c r="D7" s="373">
        <f t="shared" ca="1" si="1"/>
        <v>0</v>
      </c>
      <c r="E7" s="373">
        <v>0</v>
      </c>
      <c r="F7" s="373">
        <v>0</v>
      </c>
      <c r="G7" s="373">
        <v>0</v>
      </c>
      <c r="H7" s="373">
        <v>0</v>
      </c>
      <c r="I7" s="373">
        <v>0</v>
      </c>
      <c r="J7" s="373">
        <v>0</v>
      </c>
      <c r="K7" s="373">
        <v>0</v>
      </c>
      <c r="L7" s="374">
        <v>0</v>
      </c>
      <c r="M7" s="373">
        <v>0</v>
      </c>
      <c r="N7" s="373">
        <v>0</v>
      </c>
      <c r="O7" s="373">
        <v>0</v>
      </c>
      <c r="P7" s="373">
        <v>0</v>
      </c>
      <c r="Q7" s="373">
        <v>0</v>
      </c>
      <c r="R7" s="373">
        <v>0</v>
      </c>
      <c r="S7" s="375">
        <v>0</v>
      </c>
      <c r="T7" s="375">
        <v>0</v>
      </c>
      <c r="U7" s="375">
        <v>0</v>
      </c>
      <c r="V7" s="375" t="e">
        <f t="shared" ca="1" si="0"/>
        <v>#NAME?</v>
      </c>
    </row>
    <row r="8" spans="1:22" ht="14.25" hidden="1" customHeight="1">
      <c r="A8" s="376" t="s">
        <v>1095</v>
      </c>
      <c r="B8" s="370" t="e">
        <f ca="1">_xludf.IFNA(VLOOKUP(Bolts!$A8,'Kilter Holds'!$P$37:$S$662,4,0),0)</f>
        <v>#NAME?</v>
      </c>
      <c r="C8" s="371">
        <v>5</v>
      </c>
      <c r="D8" s="372">
        <v>0</v>
      </c>
      <c r="E8" s="373">
        <f t="shared" ref="E8:E11" ca="1" si="2">IFERROR(5*B8,0)</f>
        <v>0</v>
      </c>
      <c r="F8" s="373">
        <v>0</v>
      </c>
      <c r="G8" s="373">
        <v>0</v>
      </c>
      <c r="H8" s="373">
        <v>0</v>
      </c>
      <c r="I8" s="373">
        <v>0</v>
      </c>
      <c r="J8" s="373">
        <v>0</v>
      </c>
      <c r="K8" s="373">
        <v>0</v>
      </c>
      <c r="L8" s="374">
        <v>0</v>
      </c>
      <c r="M8" s="373">
        <v>0</v>
      </c>
      <c r="N8" s="373">
        <v>0</v>
      </c>
      <c r="O8" s="373">
        <v>0</v>
      </c>
      <c r="P8" s="373">
        <v>0</v>
      </c>
      <c r="Q8" s="373">
        <v>0</v>
      </c>
      <c r="R8" s="373">
        <v>0</v>
      </c>
      <c r="S8" s="375">
        <v>0</v>
      </c>
      <c r="T8" s="375">
        <v>0</v>
      </c>
      <c r="U8" s="375">
        <v>0</v>
      </c>
      <c r="V8" s="375" t="e">
        <f t="shared" ca="1" si="0"/>
        <v>#NAME?</v>
      </c>
    </row>
    <row r="9" spans="1:22" ht="14.25" hidden="1" customHeight="1">
      <c r="A9" s="376" t="s">
        <v>1097</v>
      </c>
      <c r="B9" s="370" t="e">
        <f ca="1">_xludf.IFNA(VLOOKUP(Bolts!$A9,'Kilter Holds'!$P$37:$S$662,4,0),0)</f>
        <v>#NAME?</v>
      </c>
      <c r="C9" s="371">
        <v>5</v>
      </c>
      <c r="D9" s="372">
        <v>0</v>
      </c>
      <c r="E9" s="373">
        <f t="shared" ca="1" si="2"/>
        <v>0</v>
      </c>
      <c r="F9" s="373">
        <v>0</v>
      </c>
      <c r="G9" s="373">
        <v>0</v>
      </c>
      <c r="H9" s="373">
        <v>0</v>
      </c>
      <c r="I9" s="373">
        <v>0</v>
      </c>
      <c r="J9" s="373">
        <v>0</v>
      </c>
      <c r="K9" s="373">
        <v>0</v>
      </c>
      <c r="L9" s="374">
        <v>0</v>
      </c>
      <c r="M9" s="373">
        <v>0</v>
      </c>
      <c r="N9" s="373">
        <v>0</v>
      </c>
      <c r="O9" s="373">
        <v>0</v>
      </c>
      <c r="P9" s="373">
        <v>0</v>
      </c>
      <c r="Q9" s="373">
        <v>0</v>
      </c>
      <c r="R9" s="373">
        <v>0</v>
      </c>
      <c r="S9" s="375">
        <v>0</v>
      </c>
      <c r="T9" s="375">
        <v>0</v>
      </c>
      <c r="U9" s="375">
        <v>0</v>
      </c>
      <c r="V9" s="375" t="e">
        <f t="shared" ca="1" si="0"/>
        <v>#NAME?</v>
      </c>
    </row>
    <row r="10" spans="1:22" ht="14.25" hidden="1" customHeight="1">
      <c r="A10" s="376" t="s">
        <v>948</v>
      </c>
      <c r="B10" s="370" t="e">
        <f ca="1">_xludf.IFNA(VLOOKUP(Bolts!$A10,'Kilter Holds'!$P$37:$S$662,4,0),0)</f>
        <v>#NAME?</v>
      </c>
      <c r="C10" s="371">
        <v>5</v>
      </c>
      <c r="D10" s="372">
        <v>0</v>
      </c>
      <c r="E10" s="373">
        <f t="shared" ca="1" si="2"/>
        <v>0</v>
      </c>
      <c r="F10" s="373">
        <v>0</v>
      </c>
      <c r="G10" s="373">
        <v>0</v>
      </c>
      <c r="H10" s="373">
        <v>0</v>
      </c>
      <c r="I10" s="373">
        <v>0</v>
      </c>
      <c r="J10" s="373">
        <v>0</v>
      </c>
      <c r="K10" s="373">
        <v>0</v>
      </c>
      <c r="L10" s="374">
        <v>0</v>
      </c>
      <c r="M10" s="373">
        <v>0</v>
      </c>
      <c r="N10" s="373">
        <v>0</v>
      </c>
      <c r="O10" s="373">
        <v>0</v>
      </c>
      <c r="P10" s="373">
        <v>0</v>
      </c>
      <c r="Q10" s="373">
        <v>0</v>
      </c>
      <c r="R10" s="373">
        <v>0</v>
      </c>
      <c r="S10" s="375">
        <v>0</v>
      </c>
      <c r="T10" s="375">
        <v>0</v>
      </c>
      <c r="U10" s="375">
        <v>0</v>
      </c>
      <c r="V10" s="375" t="e">
        <f t="shared" ca="1" si="0"/>
        <v>#NAME?</v>
      </c>
    </row>
    <row r="11" spans="1:22" ht="14.25" hidden="1" customHeight="1">
      <c r="A11" s="376" t="s">
        <v>950</v>
      </c>
      <c r="B11" s="370" t="e">
        <f ca="1">_xludf.IFNA(VLOOKUP(Bolts!$A11,'Kilter Holds'!$P$37:$S$662,4,0),0)</f>
        <v>#NAME?</v>
      </c>
      <c r="C11" s="371">
        <v>5</v>
      </c>
      <c r="D11" s="372">
        <v>0</v>
      </c>
      <c r="E11" s="373">
        <f t="shared" ca="1" si="2"/>
        <v>0</v>
      </c>
      <c r="F11" s="373">
        <v>0</v>
      </c>
      <c r="G11" s="372">
        <f>IFERROR(1*A11,0)</f>
        <v>0</v>
      </c>
      <c r="H11" s="372">
        <f>IFERROR(2*A11,0)</f>
        <v>0</v>
      </c>
      <c r="I11" s="373">
        <v>0</v>
      </c>
      <c r="J11" s="373">
        <v>0</v>
      </c>
      <c r="K11" s="373">
        <v>0</v>
      </c>
      <c r="L11" s="374">
        <v>0</v>
      </c>
      <c r="M11" s="373">
        <v>0</v>
      </c>
      <c r="N11" s="373">
        <v>0</v>
      </c>
      <c r="O11" s="373">
        <v>0</v>
      </c>
      <c r="P11" s="373">
        <v>0</v>
      </c>
      <c r="Q11" s="373">
        <v>0</v>
      </c>
      <c r="R11" s="375">
        <v>0</v>
      </c>
      <c r="S11" s="375">
        <v>0</v>
      </c>
      <c r="T11" s="375">
        <v>0</v>
      </c>
      <c r="U11" s="375">
        <v>0</v>
      </c>
      <c r="V11" s="375" t="e">
        <f t="shared" ca="1" si="0"/>
        <v>#NAME?</v>
      </c>
    </row>
    <row r="12" spans="1:22" ht="14.25" hidden="1" customHeight="1">
      <c r="A12" s="376" t="s">
        <v>966</v>
      </c>
      <c r="B12" s="370" t="e">
        <f ca="1">_xludf.IFNA(VLOOKUP(Bolts!$A12,'Kilter Holds'!$P$37:$S$662,4,0),0)</f>
        <v>#NAME?</v>
      </c>
      <c r="C12" s="371">
        <v>10</v>
      </c>
      <c r="D12" s="373">
        <f t="shared" ref="D12:D13" ca="1" si="3">IFERROR(10*B12,0)</f>
        <v>0</v>
      </c>
      <c r="E12" s="373">
        <v>0</v>
      </c>
      <c r="F12" s="373">
        <v>0</v>
      </c>
      <c r="G12" s="373">
        <v>0</v>
      </c>
      <c r="H12" s="373">
        <v>0</v>
      </c>
      <c r="I12" s="373">
        <v>0</v>
      </c>
      <c r="J12" s="373">
        <v>0</v>
      </c>
      <c r="K12" s="373">
        <v>0</v>
      </c>
      <c r="L12" s="374">
        <v>0</v>
      </c>
      <c r="M12" s="373">
        <v>0</v>
      </c>
      <c r="N12" s="373">
        <v>0</v>
      </c>
      <c r="O12" s="373">
        <v>0</v>
      </c>
      <c r="P12" s="373">
        <v>0</v>
      </c>
      <c r="Q12" s="373">
        <v>0</v>
      </c>
      <c r="R12" s="373">
        <v>0</v>
      </c>
      <c r="S12" s="375">
        <v>0</v>
      </c>
      <c r="T12" s="375">
        <v>0</v>
      </c>
      <c r="U12" s="375">
        <v>0</v>
      </c>
      <c r="V12" s="375" t="e">
        <f t="shared" ca="1" si="0"/>
        <v>#NAME?</v>
      </c>
    </row>
    <row r="13" spans="1:22" ht="14.25" hidden="1" customHeight="1">
      <c r="A13" s="376" t="s">
        <v>1119</v>
      </c>
      <c r="B13" s="370" t="e">
        <f ca="1">_xludf.IFNA(VLOOKUP(Bolts!$A13,'Kilter Holds'!$P$37:$S$662,4,0),0)</f>
        <v>#NAME?</v>
      </c>
      <c r="C13" s="371">
        <v>10</v>
      </c>
      <c r="D13" s="373">
        <f t="shared" ca="1" si="3"/>
        <v>0</v>
      </c>
      <c r="E13" s="373">
        <v>0</v>
      </c>
      <c r="F13" s="373">
        <v>0</v>
      </c>
      <c r="G13" s="373">
        <v>0</v>
      </c>
      <c r="H13" s="373">
        <v>0</v>
      </c>
      <c r="I13" s="373">
        <v>0</v>
      </c>
      <c r="J13" s="373">
        <v>0</v>
      </c>
      <c r="K13" s="373">
        <v>0</v>
      </c>
      <c r="L13" s="374">
        <v>0</v>
      </c>
      <c r="M13" s="373">
        <v>0</v>
      </c>
      <c r="N13" s="373">
        <v>0</v>
      </c>
      <c r="O13" s="373">
        <v>0</v>
      </c>
      <c r="P13" s="373">
        <v>0</v>
      </c>
      <c r="Q13" s="373">
        <v>0</v>
      </c>
      <c r="R13" s="373">
        <v>0</v>
      </c>
      <c r="S13" s="375">
        <v>0</v>
      </c>
      <c r="T13" s="375">
        <v>0</v>
      </c>
      <c r="U13" s="375">
        <v>0</v>
      </c>
      <c r="V13" s="375" t="e">
        <f t="shared" ca="1" si="0"/>
        <v>#NAME?</v>
      </c>
    </row>
    <row r="14" spans="1:22" ht="14.25" hidden="1" customHeight="1">
      <c r="A14" s="376" t="s">
        <v>952</v>
      </c>
      <c r="B14" s="370" t="e">
        <f ca="1">_xludf.IFNA(VLOOKUP(Bolts!$A14,'Kilter Holds'!$P$37:$S$662,4,0),0)</f>
        <v>#NAME?</v>
      </c>
      <c r="C14" s="371">
        <v>5</v>
      </c>
      <c r="D14" s="372">
        <v>0</v>
      </c>
      <c r="E14" s="373">
        <f ca="1">IFERROR(2*B14,0)</f>
        <v>0</v>
      </c>
      <c r="F14" s="373">
        <f ca="1">IFERROR(3*B14,0)</f>
        <v>0</v>
      </c>
      <c r="G14" s="373">
        <v>0</v>
      </c>
      <c r="H14" s="373">
        <v>0</v>
      </c>
      <c r="I14" s="373">
        <v>0</v>
      </c>
      <c r="J14" s="373">
        <v>0</v>
      </c>
      <c r="K14" s="373">
        <v>0</v>
      </c>
      <c r="L14" s="374">
        <v>0</v>
      </c>
      <c r="M14" s="373">
        <v>0</v>
      </c>
      <c r="N14" s="373">
        <v>0</v>
      </c>
      <c r="O14" s="373">
        <v>0</v>
      </c>
      <c r="P14" s="373">
        <v>0</v>
      </c>
      <c r="Q14" s="373">
        <v>0</v>
      </c>
      <c r="R14" s="373">
        <v>0</v>
      </c>
      <c r="S14" s="375">
        <v>0</v>
      </c>
      <c r="T14" s="375">
        <v>0</v>
      </c>
      <c r="U14" s="375">
        <v>0</v>
      </c>
      <c r="V14" s="375" t="e">
        <f t="shared" ca="1" si="0"/>
        <v>#NAME?</v>
      </c>
    </row>
    <row r="15" spans="1:22" ht="14.25" hidden="1" customHeight="1">
      <c r="A15" s="376" t="s">
        <v>968</v>
      </c>
      <c r="B15" s="370" t="e">
        <f ca="1">_xludf.IFNA(VLOOKUP(Bolts!$A15,'Kilter Holds'!$P$37:$S$662,4,0),0)</f>
        <v>#NAME?</v>
      </c>
      <c r="C15" s="371">
        <v>10</v>
      </c>
      <c r="D15" s="373">
        <f t="shared" ref="D15:D20" ca="1" si="4">IFERROR(10*B15,0)</f>
        <v>0</v>
      </c>
      <c r="E15" s="373">
        <v>0</v>
      </c>
      <c r="F15" s="373">
        <v>0</v>
      </c>
      <c r="G15" s="373">
        <v>0</v>
      </c>
      <c r="H15" s="373">
        <v>0</v>
      </c>
      <c r="I15" s="373">
        <v>0</v>
      </c>
      <c r="J15" s="373">
        <v>0</v>
      </c>
      <c r="K15" s="373">
        <v>0</v>
      </c>
      <c r="L15" s="374">
        <v>0</v>
      </c>
      <c r="M15" s="373">
        <v>0</v>
      </c>
      <c r="N15" s="373">
        <v>0</v>
      </c>
      <c r="O15" s="373">
        <v>0</v>
      </c>
      <c r="P15" s="373">
        <v>0</v>
      </c>
      <c r="Q15" s="373">
        <v>0</v>
      </c>
      <c r="R15" s="373">
        <v>0</v>
      </c>
      <c r="S15" s="375">
        <v>0</v>
      </c>
      <c r="T15" s="375">
        <v>0</v>
      </c>
      <c r="U15" s="375">
        <v>0</v>
      </c>
      <c r="V15" s="375" t="e">
        <f t="shared" ca="1" si="0"/>
        <v>#NAME?</v>
      </c>
    </row>
    <row r="16" spans="1:22" ht="14.25" hidden="1" customHeight="1">
      <c r="A16" s="376" t="s">
        <v>743</v>
      </c>
      <c r="B16" s="370" t="e">
        <f ca="1">_xludf.IFNA(VLOOKUP(Bolts!$A16,'Kilter Holds'!$P$37:$S$662,4,0),0)</f>
        <v>#NAME?</v>
      </c>
      <c r="C16" s="371">
        <v>10</v>
      </c>
      <c r="D16" s="373">
        <f t="shared" ca="1" si="4"/>
        <v>0</v>
      </c>
      <c r="E16" s="373">
        <v>0</v>
      </c>
      <c r="F16" s="373">
        <v>0</v>
      </c>
      <c r="G16" s="373">
        <v>0</v>
      </c>
      <c r="H16" s="373">
        <v>0</v>
      </c>
      <c r="I16" s="373">
        <v>0</v>
      </c>
      <c r="J16" s="373">
        <v>0</v>
      </c>
      <c r="K16" s="373">
        <v>0</v>
      </c>
      <c r="L16" s="374">
        <v>0</v>
      </c>
      <c r="M16" s="373">
        <v>0</v>
      </c>
      <c r="N16" s="373">
        <v>0</v>
      </c>
      <c r="O16" s="373">
        <v>0</v>
      </c>
      <c r="P16" s="373">
        <v>0</v>
      </c>
      <c r="Q16" s="373">
        <v>0</v>
      </c>
      <c r="R16" s="373">
        <v>0</v>
      </c>
      <c r="S16" s="375">
        <v>0</v>
      </c>
      <c r="T16" s="375">
        <v>0</v>
      </c>
      <c r="U16" s="375">
        <v>0</v>
      </c>
      <c r="V16" s="375" t="e">
        <f t="shared" ca="1" si="0"/>
        <v>#NAME?</v>
      </c>
    </row>
    <row r="17" spans="1:22" ht="14.25" hidden="1" customHeight="1">
      <c r="A17" s="376" t="s">
        <v>970</v>
      </c>
      <c r="B17" s="370" t="e">
        <f ca="1">_xludf.IFNA(VLOOKUP(Bolts!$A17,'Kilter Holds'!$P$37:$S$662,4,0),0)</f>
        <v>#NAME?</v>
      </c>
      <c r="C17" s="371">
        <v>10</v>
      </c>
      <c r="D17" s="373">
        <f t="shared" ca="1" si="4"/>
        <v>0</v>
      </c>
      <c r="E17" s="373">
        <v>0</v>
      </c>
      <c r="F17" s="373">
        <v>0</v>
      </c>
      <c r="G17" s="373">
        <v>0</v>
      </c>
      <c r="H17" s="373">
        <v>0</v>
      </c>
      <c r="I17" s="373">
        <v>0</v>
      </c>
      <c r="J17" s="373">
        <v>0</v>
      </c>
      <c r="K17" s="373">
        <v>0</v>
      </c>
      <c r="L17" s="374">
        <v>0</v>
      </c>
      <c r="M17" s="373">
        <v>0</v>
      </c>
      <c r="N17" s="373">
        <v>0</v>
      </c>
      <c r="O17" s="373">
        <v>0</v>
      </c>
      <c r="P17" s="373">
        <v>0</v>
      </c>
      <c r="Q17" s="373">
        <v>0</v>
      </c>
      <c r="R17" s="373">
        <v>0</v>
      </c>
      <c r="S17" s="375">
        <v>0</v>
      </c>
      <c r="T17" s="375">
        <v>0</v>
      </c>
      <c r="U17" s="375">
        <v>0</v>
      </c>
      <c r="V17" s="375" t="e">
        <f t="shared" ca="1" si="0"/>
        <v>#NAME?</v>
      </c>
    </row>
    <row r="18" spans="1:22" ht="14.25" hidden="1" customHeight="1">
      <c r="A18" s="376" t="s">
        <v>1121</v>
      </c>
      <c r="B18" s="370" t="e">
        <f ca="1">_xludf.IFNA(VLOOKUP(Bolts!$A18,'Kilter Holds'!$P$37:$S$662,4,0),0)</f>
        <v>#NAME?</v>
      </c>
      <c r="C18" s="371">
        <v>10</v>
      </c>
      <c r="D18" s="373">
        <f t="shared" ca="1" si="4"/>
        <v>0</v>
      </c>
      <c r="E18" s="373">
        <v>0</v>
      </c>
      <c r="F18" s="373">
        <v>0</v>
      </c>
      <c r="G18" s="373">
        <v>0</v>
      </c>
      <c r="H18" s="373">
        <v>0</v>
      </c>
      <c r="I18" s="373">
        <v>0</v>
      </c>
      <c r="J18" s="373">
        <v>0</v>
      </c>
      <c r="K18" s="373">
        <v>0</v>
      </c>
      <c r="L18" s="374">
        <v>0</v>
      </c>
      <c r="M18" s="373">
        <v>0</v>
      </c>
      <c r="N18" s="373">
        <v>0</v>
      </c>
      <c r="O18" s="373">
        <v>0</v>
      </c>
      <c r="P18" s="373">
        <v>0</v>
      </c>
      <c r="Q18" s="373">
        <v>0</v>
      </c>
      <c r="R18" s="373">
        <v>0</v>
      </c>
      <c r="S18" s="375">
        <v>0</v>
      </c>
      <c r="T18" s="375">
        <v>0</v>
      </c>
      <c r="U18" s="375">
        <v>0</v>
      </c>
      <c r="V18" s="375" t="e">
        <f t="shared" ca="1" si="0"/>
        <v>#NAME?</v>
      </c>
    </row>
    <row r="19" spans="1:22" ht="14.25" hidden="1" customHeight="1">
      <c r="A19" s="376" t="s">
        <v>1159</v>
      </c>
      <c r="B19" s="370" t="e">
        <f ca="1">_xludf.IFNA(VLOOKUP(Bolts!$A19,'Kilter Holds'!$P$37:$S$662,4,0),0)</f>
        <v>#NAME?</v>
      </c>
      <c r="C19" s="371">
        <v>10</v>
      </c>
      <c r="D19" s="373">
        <f t="shared" ca="1" si="4"/>
        <v>0</v>
      </c>
      <c r="E19" s="373">
        <v>0</v>
      </c>
      <c r="F19" s="373">
        <v>0</v>
      </c>
      <c r="G19" s="373">
        <v>0</v>
      </c>
      <c r="H19" s="373">
        <v>0</v>
      </c>
      <c r="I19" s="373">
        <v>0</v>
      </c>
      <c r="J19" s="373">
        <v>0</v>
      </c>
      <c r="K19" s="373">
        <v>0</v>
      </c>
      <c r="L19" s="374">
        <v>0</v>
      </c>
      <c r="M19" s="373">
        <v>0</v>
      </c>
      <c r="N19" s="373">
        <v>0</v>
      </c>
      <c r="O19" s="373">
        <v>0</v>
      </c>
      <c r="P19" s="373">
        <v>0</v>
      </c>
      <c r="Q19" s="373">
        <v>0</v>
      </c>
      <c r="R19" s="373">
        <v>0</v>
      </c>
      <c r="S19" s="375">
        <v>0</v>
      </c>
      <c r="T19" s="375">
        <v>0</v>
      </c>
      <c r="U19" s="375">
        <v>0</v>
      </c>
      <c r="V19" s="375" t="e">
        <f t="shared" ca="1" si="0"/>
        <v>#NAME?</v>
      </c>
    </row>
    <row r="20" spans="1:22" ht="14.25" hidden="1" customHeight="1">
      <c r="A20" s="376" t="s">
        <v>1161</v>
      </c>
      <c r="B20" s="370" t="e">
        <f ca="1">_xludf.IFNA(VLOOKUP(Bolts!$A20,'Kilter Holds'!$P$37:$S$662,4,0),0)</f>
        <v>#NAME?</v>
      </c>
      <c r="C20" s="371">
        <v>10</v>
      </c>
      <c r="D20" s="373">
        <f t="shared" ca="1" si="4"/>
        <v>0</v>
      </c>
      <c r="E20" s="373">
        <v>0</v>
      </c>
      <c r="F20" s="373">
        <v>0</v>
      </c>
      <c r="G20" s="373">
        <v>0</v>
      </c>
      <c r="H20" s="373">
        <v>0</v>
      </c>
      <c r="I20" s="373">
        <v>0</v>
      </c>
      <c r="J20" s="373">
        <v>0</v>
      </c>
      <c r="K20" s="373">
        <v>0</v>
      </c>
      <c r="L20" s="374">
        <v>0</v>
      </c>
      <c r="M20" s="373">
        <v>0</v>
      </c>
      <c r="N20" s="373">
        <v>0</v>
      </c>
      <c r="O20" s="373">
        <v>0</v>
      </c>
      <c r="P20" s="373">
        <v>0</v>
      </c>
      <c r="Q20" s="373">
        <v>0</v>
      </c>
      <c r="R20" s="373">
        <v>0</v>
      </c>
      <c r="S20" s="375">
        <v>0</v>
      </c>
      <c r="T20" s="375">
        <v>0</v>
      </c>
      <c r="U20" s="375">
        <v>0</v>
      </c>
      <c r="V20" s="375" t="e">
        <f t="shared" ca="1" si="0"/>
        <v>#NAME?</v>
      </c>
    </row>
    <row r="21" spans="1:22" ht="14.25" hidden="1" customHeight="1">
      <c r="A21" s="376" t="s">
        <v>755</v>
      </c>
      <c r="B21" s="370" t="e">
        <f ca="1">_xludf.IFNA(VLOOKUP(Bolts!$A21,'Kilter Holds'!$P$37:$S$662,4,0),0)</f>
        <v>#NAME?</v>
      </c>
      <c r="C21" s="371">
        <v>20</v>
      </c>
      <c r="D21" s="373">
        <f t="shared" ref="D21:D24" ca="1" si="5">IFERROR(20*B21,0)</f>
        <v>0</v>
      </c>
      <c r="E21" s="373">
        <v>0</v>
      </c>
      <c r="F21" s="373">
        <v>0</v>
      </c>
      <c r="G21" s="373">
        <v>0</v>
      </c>
      <c r="H21" s="373">
        <v>0</v>
      </c>
      <c r="I21" s="373">
        <v>0</v>
      </c>
      <c r="J21" s="373">
        <v>0</v>
      </c>
      <c r="K21" s="373">
        <v>0</v>
      </c>
      <c r="L21" s="374">
        <v>0</v>
      </c>
      <c r="M21" s="373">
        <v>0</v>
      </c>
      <c r="N21" s="373">
        <v>0</v>
      </c>
      <c r="O21" s="373">
        <v>0</v>
      </c>
      <c r="P21" s="373">
        <v>0</v>
      </c>
      <c r="Q21" s="373">
        <v>0</v>
      </c>
      <c r="R21" s="373">
        <v>0</v>
      </c>
      <c r="S21" s="375">
        <v>0</v>
      </c>
      <c r="T21" s="375">
        <v>0</v>
      </c>
      <c r="U21" s="375">
        <v>0</v>
      </c>
      <c r="V21" s="375" t="e">
        <f t="shared" ca="1" si="0"/>
        <v>#NAME?</v>
      </c>
    </row>
    <row r="22" spans="1:22" ht="14.25" hidden="1" customHeight="1">
      <c r="A22" s="376" t="s">
        <v>757</v>
      </c>
      <c r="B22" s="370" t="e">
        <f ca="1">_xludf.IFNA(VLOOKUP(Bolts!$A22,'Kilter Holds'!$P$37:$S$662,4,0),0)</f>
        <v>#NAME?</v>
      </c>
      <c r="C22" s="371">
        <v>20</v>
      </c>
      <c r="D22" s="373">
        <f t="shared" ca="1" si="5"/>
        <v>0</v>
      </c>
      <c r="E22" s="373">
        <v>0</v>
      </c>
      <c r="F22" s="373">
        <v>0</v>
      </c>
      <c r="G22" s="373">
        <v>0</v>
      </c>
      <c r="H22" s="373">
        <v>0</v>
      </c>
      <c r="I22" s="373">
        <v>0</v>
      </c>
      <c r="J22" s="373">
        <v>0</v>
      </c>
      <c r="K22" s="373">
        <v>0</v>
      </c>
      <c r="L22" s="374">
        <v>0</v>
      </c>
      <c r="M22" s="373">
        <v>0</v>
      </c>
      <c r="N22" s="373">
        <v>0</v>
      </c>
      <c r="O22" s="373">
        <v>0</v>
      </c>
      <c r="P22" s="373">
        <v>0</v>
      </c>
      <c r="Q22" s="373">
        <v>0</v>
      </c>
      <c r="R22" s="373">
        <v>0</v>
      </c>
      <c r="S22" s="375">
        <v>0</v>
      </c>
      <c r="T22" s="375">
        <v>0</v>
      </c>
      <c r="U22" s="375">
        <v>0</v>
      </c>
      <c r="V22" s="375" t="e">
        <f t="shared" ca="1" si="0"/>
        <v>#NAME?</v>
      </c>
    </row>
    <row r="23" spans="1:22" ht="14.25" hidden="1" customHeight="1">
      <c r="A23" s="376" t="s">
        <v>1048</v>
      </c>
      <c r="B23" s="370" t="e">
        <f ca="1">_xludf.IFNA(VLOOKUP(Bolts!$A23,'Kilter Holds'!$P$37:$S$662,4,0),0)</f>
        <v>#NAME?</v>
      </c>
      <c r="C23" s="371">
        <v>20</v>
      </c>
      <c r="D23" s="373">
        <f t="shared" ca="1" si="5"/>
        <v>0</v>
      </c>
      <c r="E23" s="373">
        <v>0</v>
      </c>
      <c r="F23" s="373">
        <v>0</v>
      </c>
      <c r="G23" s="373">
        <v>0</v>
      </c>
      <c r="H23" s="373">
        <v>0</v>
      </c>
      <c r="I23" s="373">
        <v>0</v>
      </c>
      <c r="J23" s="373">
        <v>0</v>
      </c>
      <c r="K23" s="373">
        <v>0</v>
      </c>
      <c r="L23" s="374">
        <v>0</v>
      </c>
      <c r="M23" s="373">
        <v>0</v>
      </c>
      <c r="N23" s="373">
        <v>0</v>
      </c>
      <c r="O23" s="373">
        <v>0</v>
      </c>
      <c r="P23" s="373">
        <v>0</v>
      </c>
      <c r="Q23" s="373">
        <v>0</v>
      </c>
      <c r="R23" s="373">
        <v>0</v>
      </c>
      <c r="S23" s="375">
        <v>0</v>
      </c>
      <c r="T23" s="375">
        <v>0</v>
      </c>
      <c r="U23" s="375">
        <v>0</v>
      </c>
      <c r="V23" s="375" t="e">
        <f t="shared" ca="1" si="0"/>
        <v>#NAME?</v>
      </c>
    </row>
    <row r="24" spans="1:22" ht="14.25" hidden="1" customHeight="1">
      <c r="A24" s="376" t="s">
        <v>1050</v>
      </c>
      <c r="B24" s="370" t="e">
        <f ca="1">_xludf.IFNA(VLOOKUP(Bolts!$A24,'Kilter Holds'!$P$37:$S$662,4,0),0)</f>
        <v>#NAME?</v>
      </c>
      <c r="C24" s="371">
        <v>20</v>
      </c>
      <c r="D24" s="373">
        <f t="shared" ca="1" si="5"/>
        <v>0</v>
      </c>
      <c r="E24" s="373">
        <v>0</v>
      </c>
      <c r="F24" s="373">
        <v>0</v>
      </c>
      <c r="G24" s="373">
        <v>0</v>
      </c>
      <c r="H24" s="373">
        <v>0</v>
      </c>
      <c r="I24" s="373">
        <v>0</v>
      </c>
      <c r="J24" s="373">
        <v>0</v>
      </c>
      <c r="K24" s="373">
        <v>0</v>
      </c>
      <c r="L24" s="374">
        <v>0</v>
      </c>
      <c r="M24" s="373">
        <v>0</v>
      </c>
      <c r="N24" s="373">
        <v>0</v>
      </c>
      <c r="O24" s="373">
        <v>0</v>
      </c>
      <c r="P24" s="373">
        <v>0</v>
      </c>
      <c r="Q24" s="373">
        <v>0</v>
      </c>
      <c r="R24" s="373">
        <v>0</v>
      </c>
      <c r="S24" s="375">
        <v>0</v>
      </c>
      <c r="T24" s="375">
        <v>0</v>
      </c>
      <c r="U24" s="375">
        <v>0</v>
      </c>
      <c r="V24" s="375" t="e">
        <f t="shared" ca="1" si="0"/>
        <v>#NAME?</v>
      </c>
    </row>
    <row r="25" spans="1:22" ht="14.25" hidden="1" customHeight="1">
      <c r="A25" s="376" t="s">
        <v>745</v>
      </c>
      <c r="B25" s="370" t="e">
        <f ca="1">_xludf.IFNA(VLOOKUP(Bolts!$A25,'Kilter Holds'!$P$37:$S$662,4,0),0)</f>
        <v>#NAME?</v>
      </c>
      <c r="C25" s="371">
        <v>10</v>
      </c>
      <c r="D25" s="373">
        <f t="shared" ref="D25:D29" ca="1" si="6">IFERROR(10*B25,0)</f>
        <v>0</v>
      </c>
      <c r="E25" s="373">
        <v>0</v>
      </c>
      <c r="F25" s="373">
        <v>0</v>
      </c>
      <c r="G25" s="373">
        <v>0</v>
      </c>
      <c r="H25" s="373">
        <v>0</v>
      </c>
      <c r="I25" s="373">
        <v>0</v>
      </c>
      <c r="J25" s="373">
        <v>0</v>
      </c>
      <c r="K25" s="373">
        <v>0</v>
      </c>
      <c r="L25" s="374">
        <v>0</v>
      </c>
      <c r="M25" s="373">
        <v>0</v>
      </c>
      <c r="N25" s="373">
        <v>0</v>
      </c>
      <c r="O25" s="373">
        <v>0</v>
      </c>
      <c r="P25" s="373">
        <v>0</v>
      </c>
      <c r="Q25" s="373">
        <v>0</v>
      </c>
      <c r="R25" s="373">
        <v>0</v>
      </c>
      <c r="S25" s="375">
        <v>0</v>
      </c>
      <c r="T25" s="375">
        <v>0</v>
      </c>
      <c r="U25" s="375">
        <v>0</v>
      </c>
      <c r="V25" s="375" t="e">
        <f t="shared" ca="1" si="0"/>
        <v>#NAME?</v>
      </c>
    </row>
    <row r="26" spans="1:22" ht="14.25" hidden="1" customHeight="1">
      <c r="A26" s="376" t="s">
        <v>1123</v>
      </c>
      <c r="B26" s="370" t="e">
        <f ca="1">_xludf.IFNA(VLOOKUP(Bolts!$A26,'Kilter Holds'!$P$37:$S$662,4,0),0)</f>
        <v>#NAME?</v>
      </c>
      <c r="C26" s="371">
        <v>10</v>
      </c>
      <c r="D26" s="373">
        <f t="shared" ca="1" si="6"/>
        <v>0</v>
      </c>
      <c r="E26" s="373">
        <v>0</v>
      </c>
      <c r="F26" s="373">
        <v>0</v>
      </c>
      <c r="G26" s="373">
        <v>0</v>
      </c>
      <c r="H26" s="373">
        <v>0</v>
      </c>
      <c r="I26" s="373">
        <v>0</v>
      </c>
      <c r="J26" s="373">
        <v>0</v>
      </c>
      <c r="K26" s="373">
        <v>0</v>
      </c>
      <c r="L26" s="374">
        <v>0</v>
      </c>
      <c r="M26" s="373">
        <v>0</v>
      </c>
      <c r="N26" s="373">
        <v>0</v>
      </c>
      <c r="O26" s="373">
        <v>0</v>
      </c>
      <c r="P26" s="373">
        <v>0</v>
      </c>
      <c r="Q26" s="373">
        <v>0</v>
      </c>
      <c r="R26" s="373">
        <v>0</v>
      </c>
      <c r="S26" s="375">
        <v>0</v>
      </c>
      <c r="T26" s="375">
        <v>0</v>
      </c>
      <c r="U26" s="375">
        <v>0</v>
      </c>
      <c r="V26" s="375" t="e">
        <f t="shared" ca="1" si="0"/>
        <v>#NAME?</v>
      </c>
    </row>
    <row r="27" spans="1:22" ht="14.25" hidden="1" customHeight="1">
      <c r="A27" s="376" t="s">
        <v>1020</v>
      </c>
      <c r="B27" s="370" t="e">
        <f ca="1">_xludf.IFNA(VLOOKUP(Bolts!$A27,'Kilter Holds'!$P$37:$S$662,4,0),0)</f>
        <v>#NAME?</v>
      </c>
      <c r="C27" s="371">
        <v>10</v>
      </c>
      <c r="D27" s="373">
        <f t="shared" ca="1" si="6"/>
        <v>0</v>
      </c>
      <c r="E27" s="373">
        <v>0</v>
      </c>
      <c r="F27" s="373">
        <v>0</v>
      </c>
      <c r="G27" s="373">
        <v>0</v>
      </c>
      <c r="H27" s="373">
        <v>0</v>
      </c>
      <c r="I27" s="373">
        <v>0</v>
      </c>
      <c r="J27" s="373">
        <v>0</v>
      </c>
      <c r="K27" s="373">
        <v>0</v>
      </c>
      <c r="L27" s="374">
        <v>0</v>
      </c>
      <c r="M27" s="373">
        <v>0</v>
      </c>
      <c r="N27" s="373">
        <v>0</v>
      </c>
      <c r="O27" s="373">
        <v>0</v>
      </c>
      <c r="P27" s="373">
        <v>0</v>
      </c>
      <c r="Q27" s="373">
        <v>0</v>
      </c>
      <c r="R27" s="373">
        <v>0</v>
      </c>
      <c r="S27" s="375">
        <v>0</v>
      </c>
      <c r="T27" s="375">
        <v>0</v>
      </c>
      <c r="U27" s="375">
        <v>0</v>
      </c>
      <c r="V27" s="375" t="e">
        <f t="shared" ca="1" si="0"/>
        <v>#NAME?</v>
      </c>
    </row>
    <row r="28" spans="1:22" ht="14.25" hidden="1" customHeight="1">
      <c r="A28" s="376" t="s">
        <v>1022</v>
      </c>
      <c r="B28" s="370" t="e">
        <f ca="1">_xludf.IFNA(VLOOKUP(Bolts!$A28,'Kilter Holds'!$P$37:$S$662,4,0),0)</f>
        <v>#NAME?</v>
      </c>
      <c r="C28" s="371">
        <v>10</v>
      </c>
      <c r="D28" s="373">
        <f t="shared" ca="1" si="6"/>
        <v>0</v>
      </c>
      <c r="E28" s="373">
        <v>0</v>
      </c>
      <c r="F28" s="373">
        <v>0</v>
      </c>
      <c r="G28" s="373">
        <v>0</v>
      </c>
      <c r="H28" s="373">
        <v>0</v>
      </c>
      <c r="I28" s="373">
        <v>0</v>
      </c>
      <c r="J28" s="373">
        <v>0</v>
      </c>
      <c r="K28" s="373">
        <v>0</v>
      </c>
      <c r="L28" s="374">
        <v>0</v>
      </c>
      <c r="M28" s="373">
        <v>0</v>
      </c>
      <c r="N28" s="373">
        <v>0</v>
      </c>
      <c r="O28" s="373">
        <v>0</v>
      </c>
      <c r="P28" s="373">
        <v>0</v>
      </c>
      <c r="Q28" s="373">
        <v>0</v>
      </c>
      <c r="R28" s="373">
        <v>0</v>
      </c>
      <c r="S28" s="375">
        <v>0</v>
      </c>
      <c r="T28" s="375">
        <v>0</v>
      </c>
      <c r="U28" s="375">
        <v>0</v>
      </c>
      <c r="V28" s="375" t="e">
        <f t="shared" ca="1" si="0"/>
        <v>#NAME?</v>
      </c>
    </row>
    <row r="29" spans="1:22" ht="14.25" hidden="1" customHeight="1">
      <c r="A29" s="376" t="s">
        <v>747</v>
      </c>
      <c r="B29" s="370" t="e">
        <f ca="1">_xludf.IFNA(VLOOKUP(Bolts!$A29,'Kilter Holds'!$P$37:$S$662,4,0),0)</f>
        <v>#NAME?</v>
      </c>
      <c r="C29" s="371">
        <v>10</v>
      </c>
      <c r="D29" s="373">
        <f t="shared" ca="1" si="6"/>
        <v>0</v>
      </c>
      <c r="E29" s="373">
        <v>0</v>
      </c>
      <c r="F29" s="373">
        <v>0</v>
      </c>
      <c r="G29" s="373">
        <v>0</v>
      </c>
      <c r="H29" s="373">
        <v>0</v>
      </c>
      <c r="I29" s="373">
        <v>0</v>
      </c>
      <c r="J29" s="373">
        <v>0</v>
      </c>
      <c r="K29" s="373">
        <v>0</v>
      </c>
      <c r="L29" s="374">
        <v>0</v>
      </c>
      <c r="M29" s="373">
        <v>0</v>
      </c>
      <c r="N29" s="373">
        <v>0</v>
      </c>
      <c r="O29" s="373">
        <v>0</v>
      </c>
      <c r="P29" s="373">
        <v>0</v>
      </c>
      <c r="Q29" s="373">
        <v>0</v>
      </c>
      <c r="R29" s="373">
        <v>0</v>
      </c>
      <c r="S29" s="375">
        <v>0</v>
      </c>
      <c r="T29" s="375">
        <v>0</v>
      </c>
      <c r="U29" s="375">
        <v>0</v>
      </c>
      <c r="V29" s="375" t="e">
        <f t="shared" ca="1" si="0"/>
        <v>#NAME?</v>
      </c>
    </row>
    <row r="30" spans="1:22" ht="14.25" hidden="1" customHeight="1">
      <c r="A30" s="376" t="s">
        <v>1175</v>
      </c>
      <c r="B30" s="370" t="e">
        <f ca="1">_xludf.IFNA(VLOOKUP(Bolts!$A30,'Kilter Holds'!$P$37:$S$662,4,0),0)</f>
        <v>#NAME?</v>
      </c>
      <c r="C30" s="371">
        <v>20</v>
      </c>
      <c r="D30" s="373">
        <f t="shared" ref="D30:D31" ca="1" si="7">IFERROR(20*B30,0)</f>
        <v>0</v>
      </c>
      <c r="E30" s="373">
        <v>0</v>
      </c>
      <c r="F30" s="373">
        <v>0</v>
      </c>
      <c r="G30" s="373">
        <v>0</v>
      </c>
      <c r="H30" s="373">
        <v>0</v>
      </c>
      <c r="I30" s="373">
        <v>0</v>
      </c>
      <c r="J30" s="373">
        <v>0</v>
      </c>
      <c r="K30" s="373">
        <v>0</v>
      </c>
      <c r="L30" s="374">
        <v>0</v>
      </c>
      <c r="M30" s="373">
        <v>0</v>
      </c>
      <c r="N30" s="373">
        <v>0</v>
      </c>
      <c r="O30" s="373">
        <v>0</v>
      </c>
      <c r="P30" s="373">
        <v>0</v>
      </c>
      <c r="Q30" s="373">
        <v>0</v>
      </c>
      <c r="R30" s="373">
        <v>0</v>
      </c>
      <c r="S30" s="375">
        <v>0</v>
      </c>
      <c r="T30" s="375">
        <v>0</v>
      </c>
      <c r="U30" s="375">
        <v>0</v>
      </c>
      <c r="V30" s="375" t="e">
        <f t="shared" ca="1" si="0"/>
        <v>#NAME?</v>
      </c>
    </row>
    <row r="31" spans="1:22" ht="14.25" hidden="1" customHeight="1">
      <c r="A31" s="376" t="s">
        <v>1177</v>
      </c>
      <c r="B31" s="370" t="e">
        <f ca="1">_xludf.IFNA(VLOOKUP(Bolts!$A31,'Kilter Holds'!$P$37:$S$662,4,0),0)</f>
        <v>#NAME?</v>
      </c>
      <c r="C31" s="371">
        <v>20</v>
      </c>
      <c r="D31" s="373">
        <f t="shared" ca="1" si="7"/>
        <v>0</v>
      </c>
      <c r="E31" s="373">
        <v>0</v>
      </c>
      <c r="F31" s="373">
        <v>0</v>
      </c>
      <c r="G31" s="373">
        <v>0</v>
      </c>
      <c r="H31" s="373">
        <v>0</v>
      </c>
      <c r="I31" s="373">
        <v>0</v>
      </c>
      <c r="J31" s="373">
        <v>0</v>
      </c>
      <c r="K31" s="373">
        <v>0</v>
      </c>
      <c r="L31" s="374">
        <v>0</v>
      </c>
      <c r="M31" s="373">
        <v>0</v>
      </c>
      <c r="N31" s="373">
        <v>0</v>
      </c>
      <c r="O31" s="373">
        <v>0</v>
      </c>
      <c r="P31" s="373">
        <v>0</v>
      </c>
      <c r="Q31" s="373">
        <v>0</v>
      </c>
      <c r="R31" s="373">
        <v>0</v>
      </c>
      <c r="S31" s="375">
        <v>0</v>
      </c>
      <c r="T31" s="375">
        <v>0</v>
      </c>
      <c r="U31" s="375">
        <v>0</v>
      </c>
      <c r="V31" s="375" t="e">
        <f t="shared" ca="1" si="0"/>
        <v>#NAME?</v>
      </c>
    </row>
    <row r="32" spans="1:22" ht="14.25" hidden="1" customHeight="1">
      <c r="A32" s="376" t="s">
        <v>287</v>
      </c>
      <c r="B32" s="370" t="e">
        <f ca="1">_xludf.IFNA(VLOOKUP(Bolts!$A32,'Kilter Holds'!$P$37:$S$662,4,0),0)</f>
        <v>#NAME?</v>
      </c>
      <c r="C32" s="371">
        <v>10</v>
      </c>
      <c r="D32" s="373">
        <f ca="1">IFERROR(10*B32,0)</f>
        <v>0</v>
      </c>
      <c r="E32" s="373">
        <v>0</v>
      </c>
      <c r="F32" s="373">
        <v>0</v>
      </c>
      <c r="G32" s="373">
        <v>0</v>
      </c>
      <c r="H32" s="373">
        <v>0</v>
      </c>
      <c r="I32" s="373">
        <v>0</v>
      </c>
      <c r="J32" s="373">
        <v>0</v>
      </c>
      <c r="K32" s="373">
        <v>0</v>
      </c>
      <c r="L32" s="374">
        <v>0</v>
      </c>
      <c r="M32" s="373">
        <v>0</v>
      </c>
      <c r="N32" s="373">
        <v>0</v>
      </c>
      <c r="O32" s="373">
        <v>0</v>
      </c>
      <c r="P32" s="373">
        <v>0</v>
      </c>
      <c r="Q32" s="373">
        <v>0</v>
      </c>
      <c r="R32" s="373">
        <v>0</v>
      </c>
      <c r="S32" s="375">
        <v>0</v>
      </c>
      <c r="T32" s="375">
        <v>0</v>
      </c>
      <c r="U32" s="375">
        <v>0</v>
      </c>
      <c r="V32" s="375" t="e">
        <f t="shared" ca="1" si="0"/>
        <v>#NAME?</v>
      </c>
    </row>
    <row r="33" spans="1:22" ht="14.25" hidden="1" customHeight="1">
      <c r="A33" s="376" t="s">
        <v>1099</v>
      </c>
      <c r="B33" s="370" t="e">
        <f ca="1">_xludf.IFNA(VLOOKUP(Bolts!$A33,'Kilter Holds'!$P$37:$S$662,4,0),0)</f>
        <v>#NAME?</v>
      </c>
      <c r="C33" s="371">
        <v>5</v>
      </c>
      <c r="D33" s="372">
        <v>0</v>
      </c>
      <c r="E33" s="373">
        <f ca="1">IFERROR(5*B33,0)</f>
        <v>0</v>
      </c>
      <c r="F33" s="373">
        <v>0</v>
      </c>
      <c r="G33" s="373">
        <v>0</v>
      </c>
      <c r="H33" s="373">
        <v>0</v>
      </c>
      <c r="I33" s="373">
        <v>0</v>
      </c>
      <c r="J33" s="373">
        <v>0</v>
      </c>
      <c r="K33" s="373">
        <v>0</v>
      </c>
      <c r="L33" s="374">
        <v>0</v>
      </c>
      <c r="M33" s="373">
        <v>0</v>
      </c>
      <c r="N33" s="373">
        <v>0</v>
      </c>
      <c r="O33" s="373">
        <v>0</v>
      </c>
      <c r="P33" s="373">
        <v>0</v>
      </c>
      <c r="Q33" s="373">
        <v>0</v>
      </c>
      <c r="R33" s="373">
        <v>0</v>
      </c>
      <c r="S33" s="375">
        <v>0</v>
      </c>
      <c r="T33" s="375">
        <v>0</v>
      </c>
      <c r="U33" s="375">
        <v>0</v>
      </c>
      <c r="V33" s="375" t="e">
        <f t="shared" ca="1" si="0"/>
        <v>#NAME?</v>
      </c>
    </row>
    <row r="34" spans="1:22" ht="14.25" hidden="1" customHeight="1">
      <c r="A34" s="376" t="s">
        <v>1101</v>
      </c>
      <c r="B34" s="370" t="e">
        <f ca="1">_xludf.IFNA(VLOOKUP(Bolts!$A34,'Kilter Holds'!$P$37:$S$662,4,0),0)</f>
        <v>#NAME?</v>
      </c>
      <c r="C34" s="371">
        <v>5</v>
      </c>
      <c r="D34" s="372">
        <v>0</v>
      </c>
      <c r="E34" s="373">
        <f ca="1">IFERROR(4*B34,0)</f>
        <v>0</v>
      </c>
      <c r="F34" s="373">
        <f ca="1">IFERROR(1*B34,0)</f>
        <v>0</v>
      </c>
      <c r="G34" s="373">
        <v>0</v>
      </c>
      <c r="H34" s="373">
        <v>0</v>
      </c>
      <c r="I34" s="373">
        <v>0</v>
      </c>
      <c r="J34" s="373">
        <v>0</v>
      </c>
      <c r="K34" s="373">
        <v>0</v>
      </c>
      <c r="L34" s="374">
        <v>0</v>
      </c>
      <c r="M34" s="373">
        <v>0</v>
      </c>
      <c r="N34" s="373">
        <v>0</v>
      </c>
      <c r="O34" s="373">
        <v>0</v>
      </c>
      <c r="P34" s="373">
        <v>0</v>
      </c>
      <c r="Q34" s="373">
        <v>0</v>
      </c>
      <c r="R34" s="373">
        <v>0</v>
      </c>
      <c r="S34" s="375">
        <v>0</v>
      </c>
      <c r="T34" s="375">
        <v>0</v>
      </c>
      <c r="U34" s="375">
        <v>0</v>
      </c>
      <c r="V34" s="375" t="e">
        <f t="shared" ca="1" si="0"/>
        <v>#NAME?</v>
      </c>
    </row>
    <row r="35" spans="1:22" ht="14.25" hidden="1" customHeight="1">
      <c r="A35" s="376" t="s">
        <v>289</v>
      </c>
      <c r="B35" s="370" t="e">
        <f ca="1">_xludf.IFNA(VLOOKUP(Bolts!$A35,'Kilter Holds'!$P$37:$S$662,4,0),0)</f>
        <v>#NAME?</v>
      </c>
      <c r="C35" s="371">
        <v>10</v>
      </c>
      <c r="D35" s="373">
        <f ca="1">IFERROR(10*B35,0)</f>
        <v>0</v>
      </c>
      <c r="E35" s="373">
        <v>0</v>
      </c>
      <c r="F35" s="373">
        <v>0</v>
      </c>
      <c r="G35" s="373">
        <v>0</v>
      </c>
      <c r="H35" s="373">
        <v>0</v>
      </c>
      <c r="I35" s="373">
        <v>0</v>
      </c>
      <c r="J35" s="373">
        <v>0</v>
      </c>
      <c r="K35" s="373">
        <v>0</v>
      </c>
      <c r="L35" s="374">
        <v>0</v>
      </c>
      <c r="M35" s="373">
        <v>0</v>
      </c>
      <c r="N35" s="373">
        <v>0</v>
      </c>
      <c r="O35" s="373">
        <v>0</v>
      </c>
      <c r="P35" s="373">
        <v>0</v>
      </c>
      <c r="Q35" s="373">
        <v>0</v>
      </c>
      <c r="R35" s="373">
        <v>0</v>
      </c>
      <c r="S35" s="375">
        <v>0</v>
      </c>
      <c r="T35" s="375">
        <v>0</v>
      </c>
      <c r="U35" s="375">
        <v>0</v>
      </c>
      <c r="V35" s="375" t="e">
        <f t="shared" ca="1" si="0"/>
        <v>#NAME?</v>
      </c>
    </row>
    <row r="36" spans="1:22" ht="14.25" hidden="1" customHeight="1">
      <c r="A36" s="376" t="s">
        <v>257</v>
      </c>
      <c r="B36" s="370" t="e">
        <f ca="1">_xludf.IFNA(VLOOKUP(Bolts!$A36,'Kilter Holds'!$P$37:$S$662,4,0),0)</f>
        <v>#NAME?</v>
      </c>
      <c r="C36" s="371">
        <v>5</v>
      </c>
      <c r="D36" s="373">
        <f ca="1">IFERROR(5*B36,0)</f>
        <v>0</v>
      </c>
      <c r="E36" s="373">
        <v>0</v>
      </c>
      <c r="F36" s="373">
        <v>0</v>
      </c>
      <c r="G36" s="373">
        <v>0</v>
      </c>
      <c r="H36" s="373">
        <v>0</v>
      </c>
      <c r="I36" s="373">
        <v>0</v>
      </c>
      <c r="J36" s="373">
        <v>0</v>
      </c>
      <c r="K36" s="373">
        <v>0</v>
      </c>
      <c r="L36" s="374">
        <v>0</v>
      </c>
      <c r="M36" s="373">
        <v>0</v>
      </c>
      <c r="N36" s="373">
        <v>0</v>
      </c>
      <c r="O36" s="373">
        <v>0</v>
      </c>
      <c r="P36" s="373">
        <v>0</v>
      </c>
      <c r="Q36" s="373">
        <v>0</v>
      </c>
      <c r="R36" s="373">
        <v>0</v>
      </c>
      <c r="S36" s="375">
        <v>0</v>
      </c>
      <c r="T36" s="375">
        <v>0</v>
      </c>
      <c r="U36" s="375">
        <v>0</v>
      </c>
      <c r="V36" s="375" t="e">
        <f t="shared" ca="1" si="0"/>
        <v>#NAME?</v>
      </c>
    </row>
    <row r="37" spans="1:22" ht="14.25" hidden="1" customHeight="1">
      <c r="A37" s="376" t="s">
        <v>737</v>
      </c>
      <c r="B37" s="370" t="e">
        <f ca="1">_xludf.IFNA(VLOOKUP(Bolts!$A37,'Kilter Holds'!$P$37:$S$662,4,0),0)</f>
        <v>#NAME?</v>
      </c>
      <c r="C37" s="371">
        <v>5</v>
      </c>
      <c r="D37" s="372">
        <v>0</v>
      </c>
      <c r="E37" s="373">
        <f ca="1">IFERROR(2*B37,0)</f>
        <v>0</v>
      </c>
      <c r="F37" s="373">
        <f ca="1">IFERROR(3*B37,0)</f>
        <v>0</v>
      </c>
      <c r="G37" s="373">
        <v>0</v>
      </c>
      <c r="H37" s="373">
        <v>0</v>
      </c>
      <c r="I37" s="373">
        <v>0</v>
      </c>
      <c r="J37" s="373">
        <v>0</v>
      </c>
      <c r="K37" s="373">
        <v>0</v>
      </c>
      <c r="L37" s="374">
        <v>0</v>
      </c>
      <c r="M37" s="373">
        <v>0</v>
      </c>
      <c r="N37" s="373">
        <v>0</v>
      </c>
      <c r="O37" s="373">
        <v>0</v>
      </c>
      <c r="P37" s="373">
        <v>0</v>
      </c>
      <c r="Q37" s="373">
        <v>0</v>
      </c>
      <c r="R37" s="373">
        <v>0</v>
      </c>
      <c r="S37" s="375">
        <v>0</v>
      </c>
      <c r="T37" s="375">
        <v>0</v>
      </c>
      <c r="U37" s="375">
        <v>0</v>
      </c>
      <c r="V37" s="375" t="e">
        <f t="shared" ca="1" si="0"/>
        <v>#NAME?</v>
      </c>
    </row>
    <row r="38" spans="1:22" ht="14.25" hidden="1" customHeight="1">
      <c r="A38" s="376" t="s">
        <v>259</v>
      </c>
      <c r="B38" s="370" t="e">
        <f ca="1">_xludf.IFNA(VLOOKUP(Bolts!$A38,'Kilter Holds'!$P$37:$S$662,4,0),0)</f>
        <v>#NAME?</v>
      </c>
      <c r="C38" s="371">
        <v>5</v>
      </c>
      <c r="D38" s="372">
        <v>0</v>
      </c>
      <c r="E38" s="373">
        <f ca="1">IFERROR(5*B38,0)</f>
        <v>0</v>
      </c>
      <c r="F38" s="373">
        <v>0</v>
      </c>
      <c r="G38" s="373">
        <v>0</v>
      </c>
      <c r="H38" s="373">
        <v>0</v>
      </c>
      <c r="I38" s="373">
        <v>0</v>
      </c>
      <c r="J38" s="373">
        <v>0</v>
      </c>
      <c r="K38" s="373">
        <v>0</v>
      </c>
      <c r="L38" s="374">
        <v>0</v>
      </c>
      <c r="M38" s="373">
        <v>0</v>
      </c>
      <c r="N38" s="373">
        <v>0</v>
      </c>
      <c r="O38" s="373">
        <v>0</v>
      </c>
      <c r="P38" s="373">
        <v>0</v>
      </c>
      <c r="Q38" s="373">
        <v>0</v>
      </c>
      <c r="R38" s="373">
        <v>0</v>
      </c>
      <c r="S38" s="375">
        <v>0</v>
      </c>
      <c r="T38" s="375">
        <v>0</v>
      </c>
      <c r="U38" s="375">
        <v>0</v>
      </c>
      <c r="V38" s="375" t="e">
        <f t="shared" ca="1" si="0"/>
        <v>#NAME?</v>
      </c>
    </row>
    <row r="39" spans="1:22" ht="14.25" hidden="1" customHeight="1">
      <c r="A39" s="376" t="s">
        <v>739</v>
      </c>
      <c r="B39" s="370" t="e">
        <f ca="1">_xludf.IFNA(VLOOKUP(Bolts!$A39,'Kilter Holds'!$P$37:$S$662,4,0),0)</f>
        <v>#NAME?</v>
      </c>
      <c r="C39" s="371">
        <v>5</v>
      </c>
      <c r="D39" s="372">
        <v>0</v>
      </c>
      <c r="E39" s="373">
        <f ca="1">IFERROR(3*B39,0)</f>
        <v>0</v>
      </c>
      <c r="F39" s="373">
        <f ca="1">IFERROR(2*B39,0)</f>
        <v>0</v>
      </c>
      <c r="G39" s="373">
        <v>0</v>
      </c>
      <c r="H39" s="373">
        <v>0</v>
      </c>
      <c r="I39" s="373">
        <v>0</v>
      </c>
      <c r="J39" s="373">
        <v>0</v>
      </c>
      <c r="K39" s="373">
        <v>0</v>
      </c>
      <c r="L39" s="374">
        <v>0</v>
      </c>
      <c r="M39" s="373">
        <v>0</v>
      </c>
      <c r="N39" s="373">
        <v>0</v>
      </c>
      <c r="O39" s="373">
        <v>0</v>
      </c>
      <c r="P39" s="373">
        <v>0</v>
      </c>
      <c r="Q39" s="373">
        <v>0</v>
      </c>
      <c r="R39" s="373">
        <v>0</v>
      </c>
      <c r="S39" s="375">
        <v>0</v>
      </c>
      <c r="T39" s="375">
        <v>0</v>
      </c>
      <c r="U39" s="375">
        <v>0</v>
      </c>
      <c r="V39" s="375" t="e">
        <f t="shared" ca="1" si="0"/>
        <v>#NAME?</v>
      </c>
    </row>
    <row r="40" spans="1:22" ht="14.25" hidden="1" customHeight="1">
      <c r="A40" s="376" t="s">
        <v>972</v>
      </c>
      <c r="B40" s="370" t="e">
        <f ca="1">_xludf.IFNA(VLOOKUP(Bolts!$A40,'Kilter Holds'!$P$37:$S$662,4,0),0)</f>
        <v>#NAME?</v>
      </c>
      <c r="C40" s="371">
        <v>10</v>
      </c>
      <c r="D40" s="373">
        <f t="shared" ref="D40:D42" ca="1" si="8">IFERROR(10*B40,0)</f>
        <v>0</v>
      </c>
      <c r="E40" s="373">
        <v>0</v>
      </c>
      <c r="F40" s="373">
        <v>0</v>
      </c>
      <c r="G40" s="373">
        <v>0</v>
      </c>
      <c r="H40" s="373">
        <v>0</v>
      </c>
      <c r="I40" s="373">
        <v>0</v>
      </c>
      <c r="J40" s="373">
        <v>0</v>
      </c>
      <c r="K40" s="373">
        <v>0</v>
      </c>
      <c r="L40" s="374">
        <v>0</v>
      </c>
      <c r="M40" s="373">
        <v>0</v>
      </c>
      <c r="N40" s="373">
        <v>0</v>
      </c>
      <c r="O40" s="373">
        <v>0</v>
      </c>
      <c r="P40" s="373">
        <v>0</v>
      </c>
      <c r="Q40" s="373">
        <v>0</v>
      </c>
      <c r="R40" s="373">
        <v>0</v>
      </c>
      <c r="S40" s="375">
        <v>0</v>
      </c>
      <c r="T40" s="375">
        <v>0</v>
      </c>
      <c r="U40" s="375">
        <v>0</v>
      </c>
      <c r="V40" s="375" t="e">
        <f t="shared" ca="1" si="0"/>
        <v>#NAME?</v>
      </c>
    </row>
    <row r="41" spans="1:22" ht="14.25" hidden="1" customHeight="1">
      <c r="A41" s="376" t="s">
        <v>974</v>
      </c>
      <c r="B41" s="370" t="e">
        <f ca="1">_xludf.IFNA(VLOOKUP(Bolts!$A41,'Kilter Holds'!$P$37:$S$662,4,0),0)</f>
        <v>#NAME?</v>
      </c>
      <c r="C41" s="371">
        <v>10</v>
      </c>
      <c r="D41" s="373">
        <f t="shared" ca="1" si="8"/>
        <v>0</v>
      </c>
      <c r="E41" s="373">
        <v>0</v>
      </c>
      <c r="F41" s="373">
        <v>0</v>
      </c>
      <c r="G41" s="373">
        <v>0</v>
      </c>
      <c r="H41" s="373">
        <v>0</v>
      </c>
      <c r="I41" s="373">
        <v>0</v>
      </c>
      <c r="J41" s="373">
        <v>0</v>
      </c>
      <c r="K41" s="373">
        <v>0</v>
      </c>
      <c r="L41" s="374">
        <v>0</v>
      </c>
      <c r="M41" s="373">
        <v>0</v>
      </c>
      <c r="N41" s="373">
        <v>0</v>
      </c>
      <c r="O41" s="373">
        <v>0</v>
      </c>
      <c r="P41" s="373">
        <v>0</v>
      </c>
      <c r="Q41" s="373">
        <v>0</v>
      </c>
      <c r="R41" s="373">
        <v>0</v>
      </c>
      <c r="S41" s="375">
        <v>0</v>
      </c>
      <c r="T41" s="375">
        <v>0</v>
      </c>
      <c r="U41" s="375">
        <v>0</v>
      </c>
      <c r="V41" s="375" t="e">
        <f t="shared" ca="1" si="0"/>
        <v>#NAME?</v>
      </c>
    </row>
    <row r="42" spans="1:22" ht="14.25" hidden="1" customHeight="1">
      <c r="A42" s="376" t="s">
        <v>1163</v>
      </c>
      <c r="B42" s="370" t="e">
        <f ca="1">_xludf.IFNA(VLOOKUP(Bolts!$A42,'Kilter Holds'!$P$37:$S$662,4,0),0)</f>
        <v>#NAME?</v>
      </c>
      <c r="C42" s="371">
        <v>10</v>
      </c>
      <c r="D42" s="373">
        <f t="shared" ca="1" si="8"/>
        <v>0</v>
      </c>
      <c r="E42" s="373">
        <v>0</v>
      </c>
      <c r="F42" s="373">
        <v>0</v>
      </c>
      <c r="G42" s="373">
        <v>0</v>
      </c>
      <c r="H42" s="373">
        <v>0</v>
      </c>
      <c r="I42" s="373">
        <v>0</v>
      </c>
      <c r="J42" s="373">
        <v>0</v>
      </c>
      <c r="K42" s="373">
        <v>0</v>
      </c>
      <c r="L42" s="374">
        <v>0</v>
      </c>
      <c r="M42" s="373">
        <v>0</v>
      </c>
      <c r="N42" s="373">
        <v>0</v>
      </c>
      <c r="O42" s="373">
        <v>0</v>
      </c>
      <c r="P42" s="373">
        <v>0</v>
      </c>
      <c r="Q42" s="373">
        <v>0</v>
      </c>
      <c r="R42" s="373">
        <v>0</v>
      </c>
      <c r="S42" s="375">
        <v>0</v>
      </c>
      <c r="T42" s="375">
        <v>0</v>
      </c>
      <c r="U42" s="375">
        <v>0</v>
      </c>
      <c r="V42" s="375" t="e">
        <f t="shared" ca="1" si="0"/>
        <v>#NAME?</v>
      </c>
    </row>
    <row r="43" spans="1:22" ht="14.25" hidden="1" customHeight="1">
      <c r="A43" s="376" t="s">
        <v>1052</v>
      </c>
      <c r="B43" s="370" t="e">
        <f ca="1">_xludf.IFNA(VLOOKUP(Bolts!$A43,'Kilter Holds'!$P$37:$S$662,4,0),0)</f>
        <v>#NAME?</v>
      </c>
      <c r="C43" s="371">
        <v>20</v>
      </c>
      <c r="D43" s="373">
        <f ca="1">IFERROR(20*B43,0)</f>
        <v>0</v>
      </c>
      <c r="E43" s="373">
        <v>0</v>
      </c>
      <c r="F43" s="373">
        <v>0</v>
      </c>
      <c r="G43" s="373">
        <v>0</v>
      </c>
      <c r="H43" s="373">
        <v>0</v>
      </c>
      <c r="I43" s="373">
        <v>0</v>
      </c>
      <c r="J43" s="373">
        <v>0</v>
      </c>
      <c r="K43" s="373">
        <v>0</v>
      </c>
      <c r="L43" s="374">
        <v>0</v>
      </c>
      <c r="M43" s="373">
        <v>0</v>
      </c>
      <c r="N43" s="373">
        <v>0</v>
      </c>
      <c r="O43" s="373">
        <v>0</v>
      </c>
      <c r="P43" s="373">
        <v>0</v>
      </c>
      <c r="Q43" s="373">
        <v>0</v>
      </c>
      <c r="R43" s="373">
        <v>0</v>
      </c>
      <c r="S43" s="375">
        <v>0</v>
      </c>
      <c r="T43" s="375">
        <v>0</v>
      </c>
      <c r="U43" s="375">
        <v>0</v>
      </c>
      <c r="V43" s="375" t="e">
        <f t="shared" ca="1" si="0"/>
        <v>#NAME?</v>
      </c>
    </row>
    <row r="44" spans="1:22" ht="14.25" hidden="1" customHeight="1">
      <c r="A44" s="376" t="s">
        <v>749</v>
      </c>
      <c r="B44" s="370" t="e">
        <f ca="1">_xludf.IFNA(VLOOKUP(Bolts!$A44,'Kilter Holds'!$P$37:$S$662,4,0),0)</f>
        <v>#NAME?</v>
      </c>
      <c r="C44" s="371">
        <v>10</v>
      </c>
      <c r="D44" s="373">
        <f t="shared" ref="D44:D49" ca="1" si="9">IFERROR(10*B44,0)</f>
        <v>0</v>
      </c>
      <c r="E44" s="373">
        <v>0</v>
      </c>
      <c r="F44" s="373">
        <v>0</v>
      </c>
      <c r="G44" s="373">
        <v>0</v>
      </c>
      <c r="H44" s="373">
        <v>0</v>
      </c>
      <c r="I44" s="373">
        <v>0</v>
      </c>
      <c r="J44" s="373">
        <v>0</v>
      </c>
      <c r="K44" s="373">
        <v>0</v>
      </c>
      <c r="L44" s="374">
        <v>0</v>
      </c>
      <c r="M44" s="373">
        <v>0</v>
      </c>
      <c r="N44" s="373">
        <v>0</v>
      </c>
      <c r="O44" s="373">
        <v>0</v>
      </c>
      <c r="P44" s="373">
        <v>0</v>
      </c>
      <c r="Q44" s="373">
        <v>0</v>
      </c>
      <c r="R44" s="373">
        <v>0</v>
      </c>
      <c r="S44" s="375">
        <v>0</v>
      </c>
      <c r="T44" s="375">
        <v>0</v>
      </c>
      <c r="U44" s="375">
        <v>0</v>
      </c>
      <c r="V44" s="375" t="e">
        <f t="shared" ca="1" si="0"/>
        <v>#NAME?</v>
      </c>
    </row>
    <row r="45" spans="1:22" ht="14.25" hidden="1" customHeight="1">
      <c r="A45" s="376" t="s">
        <v>976</v>
      </c>
      <c r="B45" s="370" t="e">
        <f ca="1">_xludf.IFNA(VLOOKUP(Bolts!$A45,'Kilter Holds'!$P$37:$S$662,4,0),0)</f>
        <v>#NAME?</v>
      </c>
      <c r="C45" s="371">
        <v>10</v>
      </c>
      <c r="D45" s="373">
        <f t="shared" ca="1" si="9"/>
        <v>0</v>
      </c>
      <c r="E45" s="373">
        <v>0</v>
      </c>
      <c r="F45" s="373">
        <v>0</v>
      </c>
      <c r="G45" s="373">
        <v>0</v>
      </c>
      <c r="H45" s="373">
        <v>0</v>
      </c>
      <c r="I45" s="373">
        <v>0</v>
      </c>
      <c r="J45" s="373">
        <v>0</v>
      </c>
      <c r="K45" s="373">
        <v>0</v>
      </c>
      <c r="L45" s="374">
        <v>0</v>
      </c>
      <c r="M45" s="373">
        <v>0</v>
      </c>
      <c r="N45" s="373">
        <v>0</v>
      </c>
      <c r="O45" s="373">
        <v>0</v>
      </c>
      <c r="P45" s="373">
        <v>0</v>
      </c>
      <c r="Q45" s="373">
        <v>0</v>
      </c>
      <c r="R45" s="373">
        <v>0</v>
      </c>
      <c r="S45" s="375">
        <v>0</v>
      </c>
      <c r="T45" s="375">
        <v>0</v>
      </c>
      <c r="U45" s="375">
        <v>0</v>
      </c>
      <c r="V45" s="375" t="e">
        <f t="shared" ca="1" si="0"/>
        <v>#NAME?</v>
      </c>
    </row>
    <row r="46" spans="1:22" ht="14.25" hidden="1" customHeight="1">
      <c r="A46" s="376" t="s">
        <v>751</v>
      </c>
      <c r="B46" s="370" t="e">
        <f ca="1">_xludf.IFNA(VLOOKUP(Bolts!$A46,'Kilter Holds'!$P$37:$S$662,4,0),0)</f>
        <v>#NAME?</v>
      </c>
      <c r="C46" s="371">
        <v>10</v>
      </c>
      <c r="D46" s="373">
        <f t="shared" ca="1" si="9"/>
        <v>0</v>
      </c>
      <c r="E46" s="373">
        <v>0</v>
      </c>
      <c r="F46" s="373">
        <v>0</v>
      </c>
      <c r="G46" s="373">
        <v>0</v>
      </c>
      <c r="H46" s="373">
        <v>0</v>
      </c>
      <c r="I46" s="373">
        <v>0</v>
      </c>
      <c r="J46" s="373">
        <v>0</v>
      </c>
      <c r="K46" s="373">
        <v>0</v>
      </c>
      <c r="L46" s="374">
        <v>0</v>
      </c>
      <c r="M46" s="373">
        <v>0</v>
      </c>
      <c r="N46" s="373">
        <v>0</v>
      </c>
      <c r="O46" s="373">
        <v>0</v>
      </c>
      <c r="P46" s="373">
        <v>0</v>
      </c>
      <c r="Q46" s="373">
        <v>0</v>
      </c>
      <c r="R46" s="373">
        <v>0</v>
      </c>
      <c r="S46" s="375">
        <v>0</v>
      </c>
      <c r="T46" s="375">
        <v>0</v>
      </c>
      <c r="U46" s="375">
        <v>0</v>
      </c>
      <c r="V46" s="375" t="e">
        <f t="shared" ca="1" si="0"/>
        <v>#NAME?</v>
      </c>
    </row>
    <row r="47" spans="1:22" ht="14.25" hidden="1" customHeight="1">
      <c r="A47" s="376" t="s">
        <v>978</v>
      </c>
      <c r="B47" s="370" t="e">
        <f ca="1">_xludf.IFNA(VLOOKUP(Bolts!$A47,'Kilter Holds'!$P$37:$S$662,4,0),0)</f>
        <v>#NAME?</v>
      </c>
      <c r="C47" s="371">
        <v>10</v>
      </c>
      <c r="D47" s="373">
        <f t="shared" ca="1" si="9"/>
        <v>0</v>
      </c>
      <c r="E47" s="373">
        <v>0</v>
      </c>
      <c r="F47" s="373">
        <v>0</v>
      </c>
      <c r="G47" s="373">
        <v>0</v>
      </c>
      <c r="H47" s="373">
        <v>0</v>
      </c>
      <c r="I47" s="373">
        <v>0</v>
      </c>
      <c r="J47" s="373">
        <v>0</v>
      </c>
      <c r="K47" s="373">
        <v>0</v>
      </c>
      <c r="L47" s="374">
        <v>0</v>
      </c>
      <c r="M47" s="373">
        <v>0</v>
      </c>
      <c r="N47" s="373">
        <v>0</v>
      </c>
      <c r="O47" s="373">
        <v>0</v>
      </c>
      <c r="P47" s="373">
        <v>0</v>
      </c>
      <c r="Q47" s="373">
        <v>0</v>
      </c>
      <c r="R47" s="373">
        <v>0</v>
      </c>
      <c r="S47" s="375">
        <v>0</v>
      </c>
      <c r="T47" s="375">
        <v>0</v>
      </c>
      <c r="U47" s="375">
        <v>0</v>
      </c>
      <c r="V47" s="375" t="e">
        <f t="shared" ca="1" si="0"/>
        <v>#NAME?</v>
      </c>
    </row>
    <row r="48" spans="1:22" ht="14.25" hidden="1" customHeight="1">
      <c r="A48" s="376" t="s">
        <v>753</v>
      </c>
      <c r="B48" s="370" t="e">
        <f ca="1">_xludf.IFNA(VLOOKUP(Bolts!$A48,'Kilter Holds'!$P$37:$S$662,4,0),0)</f>
        <v>#NAME?</v>
      </c>
      <c r="C48" s="371">
        <v>10</v>
      </c>
      <c r="D48" s="373">
        <f t="shared" ca="1" si="9"/>
        <v>0</v>
      </c>
      <c r="E48" s="373">
        <v>0</v>
      </c>
      <c r="F48" s="373">
        <v>0</v>
      </c>
      <c r="G48" s="373">
        <v>0</v>
      </c>
      <c r="H48" s="373">
        <v>0</v>
      </c>
      <c r="I48" s="373">
        <v>0</v>
      </c>
      <c r="J48" s="373">
        <v>0</v>
      </c>
      <c r="K48" s="373">
        <v>0</v>
      </c>
      <c r="L48" s="374">
        <v>0</v>
      </c>
      <c r="M48" s="373">
        <v>0</v>
      </c>
      <c r="N48" s="373">
        <v>0</v>
      </c>
      <c r="O48" s="373">
        <v>0</v>
      </c>
      <c r="P48" s="373">
        <v>0</v>
      </c>
      <c r="Q48" s="373">
        <v>0</v>
      </c>
      <c r="R48" s="373">
        <v>0</v>
      </c>
      <c r="S48" s="375">
        <v>0</v>
      </c>
      <c r="T48" s="375">
        <v>0</v>
      </c>
      <c r="U48" s="375">
        <v>0</v>
      </c>
      <c r="V48" s="375" t="e">
        <f t="shared" ca="1" si="0"/>
        <v>#NAME?</v>
      </c>
    </row>
    <row r="49" spans="1:22" ht="14.25" hidden="1" customHeight="1">
      <c r="A49" s="376" t="s">
        <v>1165</v>
      </c>
      <c r="B49" s="370" t="e">
        <f ca="1">_xludf.IFNA(VLOOKUP(Bolts!$A49,'Kilter Holds'!$P$37:$S$662,4,0),0)</f>
        <v>#NAME?</v>
      </c>
      <c r="C49" s="371">
        <v>10</v>
      </c>
      <c r="D49" s="373">
        <f t="shared" ca="1" si="9"/>
        <v>0</v>
      </c>
      <c r="E49" s="373">
        <v>0</v>
      </c>
      <c r="F49" s="373">
        <v>0</v>
      </c>
      <c r="G49" s="373">
        <v>0</v>
      </c>
      <c r="H49" s="373">
        <v>0</v>
      </c>
      <c r="I49" s="373">
        <v>0</v>
      </c>
      <c r="J49" s="373">
        <v>0</v>
      </c>
      <c r="K49" s="373">
        <v>0</v>
      </c>
      <c r="L49" s="374">
        <v>0</v>
      </c>
      <c r="M49" s="373">
        <v>0</v>
      </c>
      <c r="N49" s="373">
        <v>0</v>
      </c>
      <c r="O49" s="373">
        <v>0</v>
      </c>
      <c r="P49" s="373">
        <v>0</v>
      </c>
      <c r="Q49" s="373">
        <v>0</v>
      </c>
      <c r="R49" s="373">
        <v>0</v>
      </c>
      <c r="S49" s="375">
        <v>0</v>
      </c>
      <c r="T49" s="375">
        <v>0</v>
      </c>
      <c r="U49" s="375">
        <v>0</v>
      </c>
      <c r="V49" s="375" t="e">
        <f t="shared" ca="1" si="0"/>
        <v>#NAME?</v>
      </c>
    </row>
    <row r="50" spans="1:22" ht="14.25" hidden="1" customHeight="1">
      <c r="A50" s="377" t="s">
        <v>727</v>
      </c>
      <c r="B50" s="370" t="e">
        <f ca="1">_xludf.IFNA(VLOOKUP(Bolts!$A50,'Kilter Holds'!$P$37:$S$662,4,0),0)</f>
        <v>#NAME?</v>
      </c>
      <c r="C50" s="371">
        <v>3</v>
      </c>
      <c r="D50" s="372">
        <v>0</v>
      </c>
      <c r="E50" s="372">
        <v>0</v>
      </c>
      <c r="F50" s="372">
        <v>0</v>
      </c>
      <c r="G50" s="372">
        <v>0</v>
      </c>
      <c r="H50" s="372">
        <v>0</v>
      </c>
      <c r="I50" s="373">
        <f ca="1">IFERROR(1*B50,0)</f>
        <v>0</v>
      </c>
      <c r="J50" s="372">
        <v>0</v>
      </c>
      <c r="K50" s="372">
        <v>0</v>
      </c>
      <c r="L50" s="374">
        <v>0</v>
      </c>
      <c r="M50" s="373">
        <f ca="1">IFERROR(1*B50,0)</f>
        <v>0</v>
      </c>
      <c r="N50" s="373">
        <f t="shared" ref="N50:N51" ca="1" si="10">IFERROR(1*B50,0)</f>
        <v>0</v>
      </c>
      <c r="O50" s="373">
        <v>0</v>
      </c>
      <c r="P50" s="373">
        <v>0</v>
      </c>
      <c r="Q50" s="373">
        <v>0</v>
      </c>
      <c r="R50" s="373">
        <v>0</v>
      </c>
      <c r="S50" s="375">
        <v>0</v>
      </c>
      <c r="T50" s="375">
        <v>0</v>
      </c>
      <c r="U50" s="375">
        <v>0</v>
      </c>
      <c r="V50" s="375" t="e">
        <f t="shared" ca="1" si="0"/>
        <v>#NAME?</v>
      </c>
    </row>
    <row r="51" spans="1:22" ht="14.25" hidden="1" customHeight="1">
      <c r="A51" s="376" t="s">
        <v>729</v>
      </c>
      <c r="B51" s="370" t="e">
        <f ca="1">_xludf.IFNA(VLOOKUP(Bolts!$A51,'Kilter Holds'!$P$37:$S$662,4,0),0)</f>
        <v>#NAME?</v>
      </c>
      <c r="C51" s="371">
        <v>1</v>
      </c>
      <c r="D51" s="372">
        <v>0</v>
      </c>
      <c r="E51" s="372">
        <v>0</v>
      </c>
      <c r="F51" s="372">
        <v>0</v>
      </c>
      <c r="G51" s="372">
        <v>0</v>
      </c>
      <c r="H51" s="372">
        <v>0</v>
      </c>
      <c r="I51" s="372">
        <v>0</v>
      </c>
      <c r="J51" s="372">
        <v>0</v>
      </c>
      <c r="K51" s="372">
        <v>0</v>
      </c>
      <c r="L51" s="374">
        <v>0</v>
      </c>
      <c r="M51" s="372">
        <v>0</v>
      </c>
      <c r="N51" s="373">
        <f t="shared" ca="1" si="10"/>
        <v>0</v>
      </c>
      <c r="O51" s="373">
        <v>0</v>
      </c>
      <c r="P51" s="373">
        <v>0</v>
      </c>
      <c r="Q51" s="373">
        <v>0</v>
      </c>
      <c r="R51" s="373">
        <v>0</v>
      </c>
      <c r="S51" s="375">
        <v>0</v>
      </c>
      <c r="T51" s="375">
        <v>0</v>
      </c>
      <c r="U51" s="375">
        <v>0</v>
      </c>
      <c r="V51" s="375" t="e">
        <f t="shared" ca="1" si="0"/>
        <v>#NAME?</v>
      </c>
    </row>
    <row r="52" spans="1:22" ht="14.25" hidden="1" customHeight="1">
      <c r="A52" s="376" t="s">
        <v>731</v>
      </c>
      <c r="B52" s="370" t="e">
        <f ca="1">_xludf.IFNA(VLOOKUP(Bolts!$A52,'Kilter Holds'!$P$37:$S$662,4,0),0)</f>
        <v>#NAME?</v>
      </c>
      <c r="C52" s="371">
        <v>1</v>
      </c>
      <c r="D52" s="372">
        <v>0</v>
      </c>
      <c r="E52" s="372">
        <v>0</v>
      </c>
      <c r="F52" s="372">
        <v>0</v>
      </c>
      <c r="G52" s="372">
        <v>0</v>
      </c>
      <c r="H52" s="372">
        <v>0</v>
      </c>
      <c r="I52" s="372">
        <v>0</v>
      </c>
      <c r="J52" s="372">
        <v>0</v>
      </c>
      <c r="K52" s="372">
        <v>0</v>
      </c>
      <c r="L52" s="374">
        <v>0</v>
      </c>
      <c r="M52" s="373">
        <f ca="1">IFERROR(1*B52,0)</f>
        <v>0</v>
      </c>
      <c r="N52" s="373">
        <v>0</v>
      </c>
      <c r="O52" s="373">
        <v>0</v>
      </c>
      <c r="P52" s="373">
        <v>0</v>
      </c>
      <c r="Q52" s="373">
        <v>0</v>
      </c>
      <c r="R52" s="373">
        <v>0</v>
      </c>
      <c r="S52" s="375">
        <v>0</v>
      </c>
      <c r="T52" s="375">
        <v>0</v>
      </c>
      <c r="U52" s="375">
        <v>0</v>
      </c>
      <c r="V52" s="375" t="e">
        <f t="shared" ca="1" si="0"/>
        <v>#NAME?</v>
      </c>
    </row>
    <row r="53" spans="1:22" ht="14.25" hidden="1" customHeight="1">
      <c r="A53" s="376" t="s">
        <v>733</v>
      </c>
      <c r="B53" s="370" t="e">
        <f ca="1">_xludf.IFNA(VLOOKUP(Bolts!$A53,'Kilter Holds'!$P$37:$S$662,4,0),0)</f>
        <v>#NAME?</v>
      </c>
      <c r="C53" s="371">
        <v>1</v>
      </c>
      <c r="D53" s="372">
        <v>0</v>
      </c>
      <c r="E53" s="372">
        <v>0</v>
      </c>
      <c r="F53" s="372">
        <v>0</v>
      </c>
      <c r="G53" s="372">
        <v>0</v>
      </c>
      <c r="H53" s="372">
        <v>0</v>
      </c>
      <c r="I53" s="373">
        <f ca="1">IFERROR(1*B53,0)</f>
        <v>0</v>
      </c>
      <c r="J53" s="373">
        <v>0</v>
      </c>
      <c r="K53" s="373">
        <v>0</v>
      </c>
      <c r="L53" s="374">
        <v>0</v>
      </c>
      <c r="M53" s="373">
        <v>0</v>
      </c>
      <c r="N53" s="373">
        <v>0</v>
      </c>
      <c r="O53" s="373">
        <v>0</v>
      </c>
      <c r="P53" s="373">
        <v>0</v>
      </c>
      <c r="Q53" s="373">
        <v>0</v>
      </c>
      <c r="R53" s="373">
        <v>0</v>
      </c>
      <c r="S53" s="375">
        <v>0</v>
      </c>
      <c r="T53" s="375">
        <v>0</v>
      </c>
      <c r="U53" s="375">
        <v>0</v>
      </c>
      <c r="V53" s="375" t="e">
        <f t="shared" ca="1" si="0"/>
        <v>#NAME?</v>
      </c>
    </row>
    <row r="54" spans="1:22" ht="14.25" hidden="1" customHeight="1">
      <c r="A54" s="377" t="s">
        <v>1059</v>
      </c>
      <c r="B54" s="370" t="e">
        <f ca="1">_xludf.IFNA(VLOOKUP(Bolts!$A54,'Kilter Holds'!$P$37:$S$662,4,0),0)</f>
        <v>#NAME?</v>
      </c>
      <c r="C54" s="371">
        <v>3</v>
      </c>
      <c r="D54" s="372">
        <v>0</v>
      </c>
      <c r="E54" s="372">
        <v>0</v>
      </c>
      <c r="F54" s="372">
        <v>0</v>
      </c>
      <c r="G54" s="372">
        <v>0</v>
      </c>
      <c r="H54" s="373">
        <f ca="1">IFERROR(1*B54,0)</f>
        <v>0</v>
      </c>
      <c r="I54" s="372">
        <v>0</v>
      </c>
      <c r="J54" s="372">
        <v>0</v>
      </c>
      <c r="K54" s="373">
        <f t="shared" ref="K54:K55" ca="1" si="11">IFERROR(1*B54,0)</f>
        <v>0</v>
      </c>
      <c r="L54" s="374">
        <v>0</v>
      </c>
      <c r="M54" s="373">
        <f ca="1">IFERROR(1*B54,0)</f>
        <v>0</v>
      </c>
      <c r="N54" s="373">
        <v>0</v>
      </c>
      <c r="O54" s="373">
        <v>0</v>
      </c>
      <c r="P54" s="373">
        <v>0</v>
      </c>
      <c r="Q54" s="373">
        <v>0</v>
      </c>
      <c r="R54" s="373">
        <v>0</v>
      </c>
      <c r="S54" s="375">
        <v>0</v>
      </c>
      <c r="T54" s="375">
        <v>0</v>
      </c>
      <c r="U54" s="375">
        <v>0</v>
      </c>
      <c r="V54" s="375" t="e">
        <f t="shared" ca="1" si="0"/>
        <v>#NAME?</v>
      </c>
    </row>
    <row r="55" spans="1:22" ht="14.25" hidden="1" customHeight="1">
      <c r="A55" s="376" t="s">
        <v>1061</v>
      </c>
      <c r="B55" s="370" t="e">
        <f ca="1">_xludf.IFNA(VLOOKUP(Bolts!$A55,'Kilter Holds'!$P$37:$S$662,4,0),0)</f>
        <v>#NAME?</v>
      </c>
      <c r="C55" s="371">
        <v>1</v>
      </c>
      <c r="D55" s="372">
        <v>0</v>
      </c>
      <c r="E55" s="372">
        <v>0</v>
      </c>
      <c r="F55" s="372">
        <v>0</v>
      </c>
      <c r="G55" s="372">
        <v>0</v>
      </c>
      <c r="H55" s="372">
        <v>0</v>
      </c>
      <c r="I55" s="372">
        <v>0</v>
      </c>
      <c r="J55" s="372">
        <v>0</v>
      </c>
      <c r="K55" s="373">
        <f t="shared" ca="1" si="11"/>
        <v>0</v>
      </c>
      <c r="L55" s="374">
        <v>0</v>
      </c>
      <c r="M55" s="373">
        <v>0</v>
      </c>
      <c r="N55" s="373">
        <v>0</v>
      </c>
      <c r="O55" s="373">
        <v>0</v>
      </c>
      <c r="P55" s="373">
        <v>0</v>
      </c>
      <c r="Q55" s="373">
        <v>0</v>
      </c>
      <c r="R55" s="373">
        <v>0</v>
      </c>
      <c r="S55" s="375">
        <v>0</v>
      </c>
      <c r="T55" s="375">
        <v>0</v>
      </c>
      <c r="U55" s="375">
        <v>0</v>
      </c>
      <c r="V55" s="375" t="e">
        <f t="shared" ca="1" si="0"/>
        <v>#NAME?</v>
      </c>
    </row>
    <row r="56" spans="1:22" ht="14.25" hidden="1" customHeight="1">
      <c r="A56" s="376" t="s">
        <v>1063</v>
      </c>
      <c r="B56" s="370" t="e">
        <f ca="1">_xludf.IFNA(VLOOKUP(Bolts!$A56,'Kilter Holds'!$P$37:$S$662,4,0),0)</f>
        <v>#NAME?</v>
      </c>
      <c r="C56" s="371">
        <v>1</v>
      </c>
      <c r="D56" s="372">
        <v>0</v>
      </c>
      <c r="E56" s="372">
        <v>0</v>
      </c>
      <c r="F56" s="372">
        <v>0</v>
      </c>
      <c r="G56" s="372">
        <v>0</v>
      </c>
      <c r="H56" s="373">
        <f ca="1">IFERROR(1*B56,0)</f>
        <v>0</v>
      </c>
      <c r="I56" s="373">
        <v>0</v>
      </c>
      <c r="J56" s="373">
        <v>0</v>
      </c>
      <c r="K56" s="373">
        <v>0</v>
      </c>
      <c r="L56" s="374">
        <v>0</v>
      </c>
      <c r="M56" s="373">
        <v>0</v>
      </c>
      <c r="N56" s="373">
        <v>0</v>
      </c>
      <c r="O56" s="373">
        <v>0</v>
      </c>
      <c r="P56" s="373">
        <v>0</v>
      </c>
      <c r="Q56" s="373">
        <v>0</v>
      </c>
      <c r="R56" s="373">
        <v>0</v>
      </c>
      <c r="S56" s="375">
        <v>0</v>
      </c>
      <c r="T56" s="375">
        <v>0</v>
      </c>
      <c r="U56" s="375">
        <v>0</v>
      </c>
      <c r="V56" s="375" t="e">
        <f t="shared" ca="1" si="0"/>
        <v>#NAME?</v>
      </c>
    </row>
    <row r="57" spans="1:22" ht="14.25" hidden="1" customHeight="1">
      <c r="A57" s="376" t="s">
        <v>1065</v>
      </c>
      <c r="B57" s="370" t="e">
        <f ca="1">_xludf.IFNA(VLOOKUP(Bolts!$A57,'Kilter Holds'!$P$37:$S$662,4,0),0)</f>
        <v>#NAME?</v>
      </c>
      <c r="C57" s="371">
        <v>1</v>
      </c>
      <c r="D57" s="372">
        <v>0</v>
      </c>
      <c r="E57" s="372">
        <v>0</v>
      </c>
      <c r="F57" s="372">
        <v>0</v>
      </c>
      <c r="G57" s="372">
        <v>0</v>
      </c>
      <c r="H57" s="372">
        <v>0</v>
      </c>
      <c r="I57" s="372">
        <v>0</v>
      </c>
      <c r="J57" s="372">
        <v>0</v>
      </c>
      <c r="K57" s="372">
        <v>0</v>
      </c>
      <c r="L57" s="374">
        <v>0</v>
      </c>
      <c r="M57" s="373">
        <f t="shared" ref="M57:M58" ca="1" si="12">IFERROR(1*B57,0)</f>
        <v>0</v>
      </c>
      <c r="N57" s="373">
        <v>0</v>
      </c>
      <c r="O57" s="373">
        <v>0</v>
      </c>
      <c r="P57" s="373">
        <v>0</v>
      </c>
      <c r="Q57" s="373">
        <v>0</v>
      </c>
      <c r="R57" s="373">
        <v>0</v>
      </c>
      <c r="S57" s="375">
        <v>0</v>
      </c>
      <c r="T57" s="375">
        <v>0</v>
      </c>
      <c r="U57" s="375">
        <v>0</v>
      </c>
      <c r="V57" s="375" t="e">
        <f t="shared" ca="1" si="0"/>
        <v>#NAME?</v>
      </c>
    </row>
    <row r="58" spans="1:22" ht="14.25" hidden="1" customHeight="1">
      <c r="A58" s="377" t="s">
        <v>890</v>
      </c>
      <c r="B58" s="370" t="e">
        <f ca="1">_xludf.IFNA(VLOOKUP(Bolts!$A58,'Kilter Holds'!$P$37:$S$662,4,0),0)</f>
        <v>#NAME?</v>
      </c>
      <c r="C58" s="371">
        <v>3</v>
      </c>
      <c r="D58" s="372">
        <v>0</v>
      </c>
      <c r="E58" s="372">
        <v>0</v>
      </c>
      <c r="F58" s="372">
        <v>0</v>
      </c>
      <c r="G58" s="372">
        <v>0</v>
      </c>
      <c r="H58" s="372">
        <v>0</v>
      </c>
      <c r="I58" s="373">
        <f t="shared" ref="I58:I59" ca="1" si="13">IFERROR(1*B58,0)</f>
        <v>0</v>
      </c>
      <c r="J58" s="373">
        <f ca="1">IFERROR(1*B58,0)</f>
        <v>0</v>
      </c>
      <c r="K58" s="372">
        <v>0</v>
      </c>
      <c r="L58" s="374">
        <v>0</v>
      </c>
      <c r="M58" s="373">
        <f t="shared" ca="1" si="12"/>
        <v>0</v>
      </c>
      <c r="N58" s="373">
        <v>0</v>
      </c>
      <c r="O58" s="373">
        <v>0</v>
      </c>
      <c r="P58" s="373">
        <v>0</v>
      </c>
      <c r="Q58" s="373">
        <v>0</v>
      </c>
      <c r="R58" s="373">
        <v>0</v>
      </c>
      <c r="S58" s="375">
        <v>0</v>
      </c>
      <c r="T58" s="375">
        <v>0</v>
      </c>
      <c r="U58" s="375">
        <v>0</v>
      </c>
      <c r="V58" s="375" t="e">
        <f t="shared" ca="1" si="0"/>
        <v>#NAME?</v>
      </c>
    </row>
    <row r="59" spans="1:22" ht="14.25" hidden="1" customHeight="1">
      <c r="A59" s="376" t="s">
        <v>892</v>
      </c>
      <c r="B59" s="370" t="e">
        <f ca="1">_xludf.IFNA(VLOOKUP(Bolts!$A59,'Kilter Holds'!$P$37:$S$662,4,0),0)</f>
        <v>#NAME?</v>
      </c>
      <c r="C59" s="371">
        <v>1</v>
      </c>
      <c r="D59" s="372">
        <v>0</v>
      </c>
      <c r="E59" s="372">
        <v>0</v>
      </c>
      <c r="F59" s="372">
        <v>0</v>
      </c>
      <c r="G59" s="372">
        <v>0</v>
      </c>
      <c r="H59" s="372">
        <v>0</v>
      </c>
      <c r="I59" s="373">
        <f t="shared" ca="1" si="13"/>
        <v>0</v>
      </c>
      <c r="J59" s="373">
        <v>0</v>
      </c>
      <c r="K59" s="373">
        <v>0</v>
      </c>
      <c r="L59" s="374">
        <v>0</v>
      </c>
      <c r="M59" s="373">
        <v>0</v>
      </c>
      <c r="N59" s="373">
        <v>0</v>
      </c>
      <c r="O59" s="373">
        <v>0</v>
      </c>
      <c r="P59" s="373">
        <v>0</v>
      </c>
      <c r="Q59" s="373">
        <v>0</v>
      </c>
      <c r="R59" s="373">
        <v>0</v>
      </c>
      <c r="S59" s="375">
        <v>0</v>
      </c>
      <c r="T59" s="375">
        <v>0</v>
      </c>
      <c r="U59" s="375">
        <v>0</v>
      </c>
      <c r="V59" s="375" t="e">
        <f t="shared" ca="1" si="0"/>
        <v>#NAME?</v>
      </c>
    </row>
    <row r="60" spans="1:22" ht="14.25" hidden="1" customHeight="1">
      <c r="A60" s="376" t="s">
        <v>894</v>
      </c>
      <c r="B60" s="370" t="e">
        <f ca="1">_xludf.IFNA(VLOOKUP(Bolts!$A60,'Kilter Holds'!$P$37:$S$662,4,0),0)</f>
        <v>#NAME?</v>
      </c>
      <c r="C60" s="371">
        <v>1</v>
      </c>
      <c r="D60" s="372">
        <v>0</v>
      </c>
      <c r="E60" s="372">
        <v>0</v>
      </c>
      <c r="F60" s="372">
        <v>0</v>
      </c>
      <c r="G60" s="372">
        <v>0</v>
      </c>
      <c r="H60" s="372">
        <v>0</v>
      </c>
      <c r="I60" s="372">
        <v>0</v>
      </c>
      <c r="J60" s="373">
        <f ca="1">IFERROR(1*B60,0)</f>
        <v>0</v>
      </c>
      <c r="K60" s="373">
        <v>0</v>
      </c>
      <c r="L60" s="374">
        <v>0</v>
      </c>
      <c r="M60" s="373">
        <v>0</v>
      </c>
      <c r="N60" s="373">
        <v>0</v>
      </c>
      <c r="O60" s="373">
        <v>0</v>
      </c>
      <c r="P60" s="373">
        <v>0</v>
      </c>
      <c r="Q60" s="373">
        <v>0</v>
      </c>
      <c r="R60" s="373">
        <v>0</v>
      </c>
      <c r="S60" s="375">
        <v>0</v>
      </c>
      <c r="T60" s="375">
        <v>0</v>
      </c>
      <c r="U60" s="375">
        <v>0</v>
      </c>
      <c r="V60" s="375" t="e">
        <f t="shared" ca="1" si="0"/>
        <v>#NAME?</v>
      </c>
    </row>
    <row r="61" spans="1:22" ht="14.25" hidden="1" customHeight="1">
      <c r="A61" s="376" t="s">
        <v>896</v>
      </c>
      <c r="B61" s="370" t="e">
        <f ca="1">_xludf.IFNA(VLOOKUP(Bolts!$A61,'Kilter Holds'!$P$37:$S$662,4,0),0)</f>
        <v>#NAME?</v>
      </c>
      <c r="C61" s="371">
        <v>1</v>
      </c>
      <c r="D61" s="372">
        <v>0</v>
      </c>
      <c r="E61" s="372">
        <v>0</v>
      </c>
      <c r="F61" s="372">
        <v>0</v>
      </c>
      <c r="G61" s="372">
        <v>0</v>
      </c>
      <c r="H61" s="372">
        <v>0</v>
      </c>
      <c r="I61" s="372">
        <v>0</v>
      </c>
      <c r="J61" s="372">
        <v>0</v>
      </c>
      <c r="K61" s="372">
        <v>0</v>
      </c>
      <c r="L61" s="374">
        <v>0</v>
      </c>
      <c r="M61" s="373">
        <f ca="1">IFERROR(1*B61,0)</f>
        <v>0</v>
      </c>
      <c r="N61" s="373">
        <v>0</v>
      </c>
      <c r="O61" s="373">
        <v>0</v>
      </c>
      <c r="P61" s="373">
        <v>0</v>
      </c>
      <c r="Q61" s="373">
        <v>0</v>
      </c>
      <c r="R61" s="373">
        <v>0</v>
      </c>
      <c r="S61" s="375">
        <v>0</v>
      </c>
      <c r="T61" s="375">
        <v>0</v>
      </c>
      <c r="U61" s="375">
        <v>0</v>
      </c>
      <c r="V61" s="375" t="e">
        <f t="shared" ca="1" si="0"/>
        <v>#NAME?</v>
      </c>
    </row>
    <row r="62" spans="1:22" ht="14.25" hidden="1" customHeight="1">
      <c r="A62" s="376" t="s">
        <v>1125</v>
      </c>
      <c r="B62" s="370" t="e">
        <f ca="1">_xludf.IFNA(VLOOKUP(Bolts!$A62,'Kilter Holds'!$P$37:$S$662,4,0),0)</f>
        <v>#NAME?</v>
      </c>
      <c r="C62" s="371">
        <v>10</v>
      </c>
      <c r="D62" s="373">
        <f ca="1">IFERROR(3*B62,0)</f>
        <v>0</v>
      </c>
      <c r="E62" s="373">
        <f ca="1">IFERROR(7*B62,0)</f>
        <v>0</v>
      </c>
      <c r="F62" s="373">
        <v>0</v>
      </c>
      <c r="G62" s="373">
        <v>0</v>
      </c>
      <c r="H62" s="373">
        <v>0</v>
      </c>
      <c r="I62" s="373">
        <v>0</v>
      </c>
      <c r="J62" s="373">
        <v>0</v>
      </c>
      <c r="K62" s="373">
        <v>0</v>
      </c>
      <c r="L62" s="374">
        <v>0</v>
      </c>
      <c r="M62" s="373">
        <v>0</v>
      </c>
      <c r="N62" s="373">
        <v>0</v>
      </c>
      <c r="O62" s="373">
        <v>0</v>
      </c>
      <c r="P62" s="373">
        <v>0</v>
      </c>
      <c r="Q62" s="373">
        <v>0</v>
      </c>
      <c r="R62" s="373">
        <v>0</v>
      </c>
      <c r="S62" s="375">
        <v>0</v>
      </c>
      <c r="T62" s="375">
        <v>0</v>
      </c>
      <c r="U62" s="375">
        <v>0</v>
      </c>
      <c r="V62" s="375" t="e">
        <f t="shared" ca="1" si="0"/>
        <v>#NAME?</v>
      </c>
    </row>
    <row r="63" spans="1:22" ht="14.25" hidden="1" customHeight="1">
      <c r="A63" s="376" t="s">
        <v>1103</v>
      </c>
      <c r="B63" s="370" t="e">
        <f ca="1">_xludf.IFNA(VLOOKUP(Bolts!$A63,'Kilter Holds'!$P$37:$S$662,4,0),0)</f>
        <v>#NAME?</v>
      </c>
      <c r="C63" s="371">
        <v>5</v>
      </c>
      <c r="D63" s="372">
        <v>0</v>
      </c>
      <c r="E63" s="373">
        <f ca="1">IFERROR(5*B63,0)</f>
        <v>0</v>
      </c>
      <c r="F63" s="373">
        <v>0</v>
      </c>
      <c r="G63" s="373">
        <v>0</v>
      </c>
      <c r="H63" s="373">
        <v>0</v>
      </c>
      <c r="I63" s="373">
        <v>0</v>
      </c>
      <c r="J63" s="373">
        <v>0</v>
      </c>
      <c r="K63" s="373">
        <v>0</v>
      </c>
      <c r="L63" s="374">
        <v>0</v>
      </c>
      <c r="M63" s="373">
        <v>0</v>
      </c>
      <c r="N63" s="373">
        <v>0</v>
      </c>
      <c r="O63" s="373">
        <v>0</v>
      </c>
      <c r="P63" s="373">
        <v>0</v>
      </c>
      <c r="Q63" s="373">
        <v>0</v>
      </c>
      <c r="R63" s="373">
        <v>0</v>
      </c>
      <c r="S63" s="375">
        <v>0</v>
      </c>
      <c r="T63" s="375">
        <v>0</v>
      </c>
      <c r="U63" s="375">
        <v>0</v>
      </c>
      <c r="V63" s="375" t="e">
        <f t="shared" ca="1" si="0"/>
        <v>#NAME?</v>
      </c>
    </row>
    <row r="64" spans="1:22" ht="14.25" hidden="1" customHeight="1">
      <c r="A64" s="376" t="s">
        <v>980</v>
      </c>
      <c r="B64" s="370" t="e">
        <f ca="1">_xludf.IFNA(VLOOKUP(Bolts!$A64,'Kilter Holds'!$P$37:$S$662,4,0),0)</f>
        <v>#NAME?</v>
      </c>
      <c r="C64" s="371">
        <v>10</v>
      </c>
      <c r="D64" s="373">
        <f ca="1">IFERROR(10*B64,0)</f>
        <v>0</v>
      </c>
      <c r="E64" s="373">
        <v>0</v>
      </c>
      <c r="F64" s="373">
        <v>0</v>
      </c>
      <c r="G64" s="373">
        <v>0</v>
      </c>
      <c r="H64" s="373">
        <v>0</v>
      </c>
      <c r="I64" s="373">
        <v>0</v>
      </c>
      <c r="J64" s="373">
        <v>0</v>
      </c>
      <c r="K64" s="373">
        <v>0</v>
      </c>
      <c r="L64" s="374">
        <v>0</v>
      </c>
      <c r="M64" s="373">
        <v>0</v>
      </c>
      <c r="N64" s="373">
        <v>0</v>
      </c>
      <c r="O64" s="373">
        <v>0</v>
      </c>
      <c r="P64" s="373">
        <v>0</v>
      </c>
      <c r="Q64" s="373">
        <v>0</v>
      </c>
      <c r="R64" s="373">
        <v>0</v>
      </c>
      <c r="S64" s="375">
        <v>0</v>
      </c>
      <c r="T64" s="375">
        <v>0</v>
      </c>
      <c r="U64" s="375">
        <v>0</v>
      </c>
      <c r="V64" s="375" t="e">
        <f t="shared" ca="1" si="0"/>
        <v>#NAME?</v>
      </c>
    </row>
    <row r="65" spans="1:22" ht="14.25" hidden="1" customHeight="1">
      <c r="A65" s="377" t="s">
        <v>898</v>
      </c>
      <c r="B65" s="370" t="e">
        <f ca="1">_xludf.IFNA(VLOOKUP(Bolts!$A65,'Kilter Holds'!$P$37:$S$662,4,0),0)</f>
        <v>#NAME?</v>
      </c>
      <c r="C65" s="371">
        <v>3</v>
      </c>
      <c r="D65" s="372">
        <v>0</v>
      </c>
      <c r="E65" s="372">
        <v>0</v>
      </c>
      <c r="F65" s="372">
        <v>0</v>
      </c>
      <c r="G65" s="372">
        <v>0</v>
      </c>
      <c r="H65" s="372">
        <v>0</v>
      </c>
      <c r="I65" s="372">
        <v>0</v>
      </c>
      <c r="J65" s="372">
        <v>0</v>
      </c>
      <c r="K65" s="372">
        <v>0</v>
      </c>
      <c r="L65" s="374">
        <v>0</v>
      </c>
      <c r="M65" s="373">
        <f ca="1">IFERROR(3*B65,0)</f>
        <v>0</v>
      </c>
      <c r="N65" s="373">
        <v>0</v>
      </c>
      <c r="O65" s="373">
        <v>0</v>
      </c>
      <c r="P65" s="373">
        <v>0</v>
      </c>
      <c r="Q65" s="373">
        <v>0</v>
      </c>
      <c r="R65" s="373">
        <v>0</v>
      </c>
      <c r="S65" s="375">
        <v>0</v>
      </c>
      <c r="T65" s="375">
        <v>0</v>
      </c>
      <c r="U65" s="375">
        <v>0</v>
      </c>
      <c r="V65" s="375" t="e">
        <f t="shared" ca="1" si="0"/>
        <v>#NAME?</v>
      </c>
    </row>
    <row r="66" spans="1:22" ht="14.25" hidden="1" customHeight="1">
      <c r="A66" s="376" t="s">
        <v>900</v>
      </c>
      <c r="B66" s="370" t="e">
        <f ca="1">_xludf.IFNA(VLOOKUP(Bolts!$A66,'Kilter Holds'!$P$37:$S$662,4,0),0)</f>
        <v>#NAME?</v>
      </c>
      <c r="C66" s="371">
        <v>1</v>
      </c>
      <c r="D66" s="372">
        <v>0</v>
      </c>
      <c r="E66" s="372">
        <v>0</v>
      </c>
      <c r="F66" s="372">
        <v>0</v>
      </c>
      <c r="G66" s="372">
        <v>0</v>
      </c>
      <c r="H66" s="372">
        <v>0</v>
      </c>
      <c r="I66" s="372">
        <v>0</v>
      </c>
      <c r="J66" s="372">
        <v>0</v>
      </c>
      <c r="K66" s="372">
        <v>0</v>
      </c>
      <c r="L66" s="374">
        <v>0</v>
      </c>
      <c r="M66" s="373">
        <f t="shared" ref="M66:M68" ca="1" si="14">IFERROR(1*B66,0)</f>
        <v>0</v>
      </c>
      <c r="N66" s="373">
        <v>0</v>
      </c>
      <c r="O66" s="373">
        <v>0</v>
      </c>
      <c r="P66" s="373">
        <v>0</v>
      </c>
      <c r="Q66" s="373">
        <v>0</v>
      </c>
      <c r="R66" s="373">
        <v>0</v>
      </c>
      <c r="S66" s="375">
        <v>0</v>
      </c>
      <c r="T66" s="375">
        <v>0</v>
      </c>
      <c r="U66" s="375">
        <v>0</v>
      </c>
      <c r="V66" s="375" t="e">
        <f t="shared" ca="1" si="0"/>
        <v>#NAME?</v>
      </c>
    </row>
    <row r="67" spans="1:22" ht="14.25" hidden="1" customHeight="1">
      <c r="A67" s="376" t="s">
        <v>902</v>
      </c>
      <c r="B67" s="370" t="e">
        <f ca="1">_xludf.IFNA(VLOOKUP(Bolts!$A67,'Kilter Holds'!$P$37:$S$662,4,0),0)</f>
        <v>#NAME?</v>
      </c>
      <c r="C67" s="371">
        <v>1</v>
      </c>
      <c r="D67" s="372">
        <v>0</v>
      </c>
      <c r="E67" s="372">
        <v>0</v>
      </c>
      <c r="F67" s="372">
        <v>0</v>
      </c>
      <c r="G67" s="372">
        <v>0</v>
      </c>
      <c r="H67" s="372">
        <v>0</v>
      </c>
      <c r="I67" s="372">
        <v>0</v>
      </c>
      <c r="J67" s="372">
        <v>0</v>
      </c>
      <c r="K67" s="372">
        <v>0</v>
      </c>
      <c r="L67" s="374">
        <v>0</v>
      </c>
      <c r="M67" s="373">
        <f t="shared" ca="1" si="14"/>
        <v>0</v>
      </c>
      <c r="N67" s="373">
        <v>0</v>
      </c>
      <c r="O67" s="373">
        <v>0</v>
      </c>
      <c r="P67" s="373">
        <v>0</v>
      </c>
      <c r="Q67" s="373">
        <v>0</v>
      </c>
      <c r="R67" s="373">
        <v>0</v>
      </c>
      <c r="S67" s="375">
        <v>0</v>
      </c>
      <c r="T67" s="375">
        <v>0</v>
      </c>
      <c r="U67" s="375">
        <v>0</v>
      </c>
      <c r="V67" s="375" t="e">
        <f t="shared" ca="1" si="0"/>
        <v>#NAME?</v>
      </c>
    </row>
    <row r="68" spans="1:22" ht="14.25" hidden="1" customHeight="1">
      <c r="A68" s="376" t="s">
        <v>904</v>
      </c>
      <c r="B68" s="370" t="e">
        <f ca="1">_xludf.IFNA(VLOOKUP(Bolts!$A68,'Kilter Holds'!$P$37:$S$662,4,0),0)</f>
        <v>#NAME?</v>
      </c>
      <c r="C68" s="371">
        <v>1</v>
      </c>
      <c r="D68" s="372">
        <v>0</v>
      </c>
      <c r="E68" s="372">
        <v>0</v>
      </c>
      <c r="F68" s="372">
        <v>0</v>
      </c>
      <c r="G68" s="372">
        <v>0</v>
      </c>
      <c r="H68" s="372">
        <v>0</v>
      </c>
      <c r="I68" s="372">
        <v>0</v>
      </c>
      <c r="J68" s="372">
        <v>0</v>
      </c>
      <c r="K68" s="372">
        <v>0</v>
      </c>
      <c r="L68" s="374">
        <v>0</v>
      </c>
      <c r="M68" s="373">
        <f t="shared" ca="1" si="14"/>
        <v>0</v>
      </c>
      <c r="N68" s="373">
        <v>0</v>
      </c>
      <c r="O68" s="373">
        <v>0</v>
      </c>
      <c r="P68" s="373">
        <v>0</v>
      </c>
      <c r="Q68" s="373">
        <v>0</v>
      </c>
      <c r="R68" s="373">
        <v>0</v>
      </c>
      <c r="S68" s="375">
        <v>0</v>
      </c>
      <c r="T68" s="375">
        <v>0</v>
      </c>
      <c r="U68" s="375">
        <v>0</v>
      </c>
      <c r="V68" s="375" t="e">
        <f t="shared" ca="1" si="0"/>
        <v>#NAME?</v>
      </c>
    </row>
    <row r="69" spans="1:22" ht="14.25" hidden="1" customHeight="1">
      <c r="A69" s="376" t="s">
        <v>954</v>
      </c>
      <c r="B69" s="370" t="e">
        <f ca="1">_xludf.IFNA(VLOOKUP(Bolts!$A69,'Kilter Holds'!$P$37:$S$662,4,0),0)</f>
        <v>#NAME?</v>
      </c>
      <c r="C69" s="371">
        <v>5</v>
      </c>
      <c r="D69" s="373">
        <f ca="1">IFERROR(3*B69,0)</f>
        <v>0</v>
      </c>
      <c r="E69" s="373">
        <f ca="1">IFERROR(2*B69,0)</f>
        <v>0</v>
      </c>
      <c r="F69" s="373">
        <v>0</v>
      </c>
      <c r="G69" s="373">
        <v>0</v>
      </c>
      <c r="H69" s="373">
        <v>0</v>
      </c>
      <c r="I69" s="373">
        <v>0</v>
      </c>
      <c r="J69" s="373">
        <v>0</v>
      </c>
      <c r="K69" s="373">
        <v>0</v>
      </c>
      <c r="L69" s="374">
        <v>0</v>
      </c>
      <c r="M69" s="373">
        <v>0</v>
      </c>
      <c r="N69" s="373">
        <v>0</v>
      </c>
      <c r="O69" s="373">
        <v>0</v>
      </c>
      <c r="P69" s="373">
        <v>0</v>
      </c>
      <c r="Q69" s="373">
        <v>0</v>
      </c>
      <c r="R69" s="373">
        <v>0</v>
      </c>
      <c r="S69" s="375">
        <v>0</v>
      </c>
      <c r="T69" s="375">
        <v>0</v>
      </c>
      <c r="U69" s="375">
        <v>0</v>
      </c>
      <c r="V69" s="375" t="e">
        <f t="shared" ca="1" si="0"/>
        <v>#NAME?</v>
      </c>
    </row>
    <row r="70" spans="1:22" ht="14.25" hidden="1" customHeight="1">
      <c r="A70" s="376" t="s">
        <v>1127</v>
      </c>
      <c r="B70" s="370" t="e">
        <f ca="1">_xludf.IFNA(VLOOKUP(Bolts!$A70,'Kilter Holds'!$P$37:$S$662,4,0),0)</f>
        <v>#NAME?</v>
      </c>
      <c r="C70" s="371">
        <v>10</v>
      </c>
      <c r="D70" s="373">
        <f ca="1">IFERROR(10*B70,0)</f>
        <v>0</v>
      </c>
      <c r="E70" s="373">
        <v>0</v>
      </c>
      <c r="F70" s="373">
        <v>0</v>
      </c>
      <c r="G70" s="373">
        <v>0</v>
      </c>
      <c r="H70" s="373">
        <v>0</v>
      </c>
      <c r="I70" s="373">
        <v>0</v>
      </c>
      <c r="J70" s="373">
        <v>0</v>
      </c>
      <c r="K70" s="373">
        <v>0</v>
      </c>
      <c r="L70" s="374">
        <v>0</v>
      </c>
      <c r="M70" s="373">
        <v>0</v>
      </c>
      <c r="N70" s="373">
        <v>0</v>
      </c>
      <c r="O70" s="373">
        <v>0</v>
      </c>
      <c r="P70" s="373">
        <v>0</v>
      </c>
      <c r="Q70" s="373">
        <v>0</v>
      </c>
      <c r="R70" s="373">
        <v>0</v>
      </c>
      <c r="S70" s="375">
        <v>0</v>
      </c>
      <c r="T70" s="375">
        <v>0</v>
      </c>
      <c r="U70" s="375">
        <v>0</v>
      </c>
      <c r="V70" s="375" t="e">
        <f t="shared" ca="1" si="0"/>
        <v>#NAME?</v>
      </c>
    </row>
    <row r="71" spans="1:22" ht="14.25" hidden="1" customHeight="1">
      <c r="A71" s="376" t="s">
        <v>1129</v>
      </c>
      <c r="B71" s="370" t="e">
        <f ca="1">_xludf.IFNA(VLOOKUP(Bolts!$A71,'Kilter Holds'!$P$37:$S$662,4,0),0)</f>
        <v>#NAME?</v>
      </c>
      <c r="C71" s="371">
        <v>10</v>
      </c>
      <c r="D71" s="373">
        <f ca="1">IFERROR(8*B71,0)</f>
        <v>0</v>
      </c>
      <c r="E71" s="373">
        <f ca="1">IFERROR(2*B71,0)</f>
        <v>0</v>
      </c>
      <c r="F71" s="373">
        <v>0</v>
      </c>
      <c r="G71" s="373">
        <v>0</v>
      </c>
      <c r="H71" s="373">
        <v>0</v>
      </c>
      <c r="I71" s="373">
        <v>0</v>
      </c>
      <c r="J71" s="373">
        <v>0</v>
      </c>
      <c r="K71" s="373">
        <v>0</v>
      </c>
      <c r="L71" s="374">
        <v>0</v>
      </c>
      <c r="M71" s="373">
        <v>0</v>
      </c>
      <c r="N71" s="373">
        <v>0</v>
      </c>
      <c r="O71" s="373">
        <v>0</v>
      </c>
      <c r="P71" s="373">
        <v>0</v>
      </c>
      <c r="Q71" s="373">
        <v>0</v>
      </c>
      <c r="R71" s="373">
        <v>0</v>
      </c>
      <c r="S71" s="375">
        <v>0</v>
      </c>
      <c r="T71" s="375">
        <v>0</v>
      </c>
      <c r="U71" s="375">
        <v>0</v>
      </c>
      <c r="V71" s="375" t="e">
        <f t="shared" ca="1" si="0"/>
        <v>#NAME?</v>
      </c>
    </row>
    <row r="72" spans="1:22" ht="14.25" hidden="1" customHeight="1">
      <c r="A72" s="376" t="s">
        <v>1131</v>
      </c>
      <c r="B72" s="370" t="e">
        <f ca="1">_xludf.IFNA(VLOOKUP(Bolts!$A72,'Kilter Holds'!$P$37:$S$662,4,0),0)</f>
        <v>#NAME?</v>
      </c>
      <c r="C72" s="371">
        <v>10</v>
      </c>
      <c r="D72" s="372">
        <v>0</v>
      </c>
      <c r="E72" s="373">
        <f ca="1">IFERROR(10*B72,0)</f>
        <v>0</v>
      </c>
      <c r="F72" s="373">
        <v>0</v>
      </c>
      <c r="G72" s="373">
        <v>0</v>
      </c>
      <c r="H72" s="373">
        <v>0</v>
      </c>
      <c r="I72" s="373">
        <v>0</v>
      </c>
      <c r="J72" s="373">
        <v>0</v>
      </c>
      <c r="K72" s="373">
        <v>0</v>
      </c>
      <c r="L72" s="374">
        <v>0</v>
      </c>
      <c r="M72" s="373">
        <v>0</v>
      </c>
      <c r="N72" s="373">
        <v>0</v>
      </c>
      <c r="O72" s="373">
        <v>0</v>
      </c>
      <c r="P72" s="373">
        <v>0</v>
      </c>
      <c r="Q72" s="373">
        <v>0</v>
      </c>
      <c r="R72" s="373">
        <v>0</v>
      </c>
      <c r="S72" s="375">
        <v>0</v>
      </c>
      <c r="T72" s="375">
        <v>0</v>
      </c>
      <c r="U72" s="375">
        <v>0</v>
      </c>
      <c r="V72" s="375" t="e">
        <f t="shared" ca="1" si="0"/>
        <v>#NAME?</v>
      </c>
    </row>
    <row r="73" spans="1:22" ht="14.25" hidden="1" customHeight="1">
      <c r="A73" s="376" t="s">
        <v>1105</v>
      </c>
      <c r="B73" s="370" t="e">
        <f ca="1">_xludf.IFNA(VLOOKUP(Bolts!$A73,'Kilter Holds'!$P$37:$S$662,4,0),0)</f>
        <v>#NAME?</v>
      </c>
      <c r="C73" s="371">
        <v>5</v>
      </c>
      <c r="D73" s="372">
        <v>0</v>
      </c>
      <c r="E73" s="373">
        <f ca="1">IFERROR(5*B73,0)</f>
        <v>0</v>
      </c>
      <c r="F73" s="373">
        <v>0</v>
      </c>
      <c r="G73" s="373">
        <v>0</v>
      </c>
      <c r="H73" s="373">
        <v>0</v>
      </c>
      <c r="I73" s="373">
        <v>0</v>
      </c>
      <c r="J73" s="373">
        <v>0</v>
      </c>
      <c r="K73" s="373">
        <v>0</v>
      </c>
      <c r="L73" s="374">
        <v>0</v>
      </c>
      <c r="M73" s="373">
        <v>0</v>
      </c>
      <c r="N73" s="373">
        <v>0</v>
      </c>
      <c r="O73" s="373">
        <v>0</v>
      </c>
      <c r="P73" s="373">
        <v>0</v>
      </c>
      <c r="Q73" s="373">
        <v>0</v>
      </c>
      <c r="R73" s="373">
        <v>0</v>
      </c>
      <c r="S73" s="375">
        <v>0</v>
      </c>
      <c r="T73" s="375">
        <v>0</v>
      </c>
      <c r="U73" s="375">
        <v>0</v>
      </c>
      <c r="V73" s="375" t="e">
        <f t="shared" ca="1" si="0"/>
        <v>#NAME?</v>
      </c>
    </row>
    <row r="74" spans="1:22" ht="14.25" hidden="1" customHeight="1">
      <c r="A74" s="376" t="s">
        <v>982</v>
      </c>
      <c r="B74" s="370" t="e">
        <f ca="1">_xludf.IFNA(VLOOKUP(Bolts!$A74,'Kilter Holds'!$P$37:$S$662,4,0),0)</f>
        <v>#NAME?</v>
      </c>
      <c r="C74" s="371">
        <v>10</v>
      </c>
      <c r="D74" s="372">
        <v>0</v>
      </c>
      <c r="E74" s="373">
        <f ca="1">IFERROR(10*B74,0)</f>
        <v>0</v>
      </c>
      <c r="F74" s="373">
        <v>0</v>
      </c>
      <c r="G74" s="373">
        <v>0</v>
      </c>
      <c r="H74" s="373">
        <v>0</v>
      </c>
      <c r="I74" s="373">
        <v>0</v>
      </c>
      <c r="J74" s="373">
        <v>0</v>
      </c>
      <c r="K74" s="373">
        <v>0</v>
      </c>
      <c r="L74" s="374">
        <v>0</v>
      </c>
      <c r="M74" s="373">
        <v>0</v>
      </c>
      <c r="N74" s="373">
        <v>0</v>
      </c>
      <c r="O74" s="373">
        <v>0</v>
      </c>
      <c r="P74" s="373">
        <v>0</v>
      </c>
      <c r="Q74" s="373">
        <v>0</v>
      </c>
      <c r="R74" s="373">
        <v>0</v>
      </c>
      <c r="S74" s="375">
        <v>0</v>
      </c>
      <c r="T74" s="375">
        <v>0</v>
      </c>
      <c r="U74" s="375">
        <v>0</v>
      </c>
      <c r="V74" s="375" t="e">
        <f t="shared" ca="1" si="0"/>
        <v>#NAME?</v>
      </c>
    </row>
    <row r="75" spans="1:22" ht="14.25" hidden="1" customHeight="1">
      <c r="A75" s="376" t="s">
        <v>956</v>
      </c>
      <c r="B75" s="370" t="e">
        <f ca="1">_xludf.IFNA(VLOOKUP(Bolts!$A75,'Kilter Holds'!$P$37:$S$662,4,0),0)</f>
        <v>#NAME?</v>
      </c>
      <c r="C75" s="371">
        <v>5</v>
      </c>
      <c r="D75" s="372">
        <v>0</v>
      </c>
      <c r="E75" s="373">
        <f ca="1">IFERROR(5*B75,0)</f>
        <v>0</v>
      </c>
      <c r="F75" s="373">
        <v>0</v>
      </c>
      <c r="G75" s="373">
        <v>0</v>
      </c>
      <c r="H75" s="373">
        <v>0</v>
      </c>
      <c r="I75" s="373">
        <v>0</v>
      </c>
      <c r="J75" s="373">
        <v>0</v>
      </c>
      <c r="K75" s="373">
        <v>0</v>
      </c>
      <c r="L75" s="374">
        <v>0</v>
      </c>
      <c r="M75" s="373">
        <v>0</v>
      </c>
      <c r="N75" s="373">
        <v>0</v>
      </c>
      <c r="O75" s="373">
        <v>0</v>
      </c>
      <c r="P75" s="373">
        <v>0</v>
      </c>
      <c r="Q75" s="373">
        <v>0</v>
      </c>
      <c r="R75" s="373">
        <v>0</v>
      </c>
      <c r="S75" s="375">
        <v>0</v>
      </c>
      <c r="T75" s="375">
        <v>0</v>
      </c>
      <c r="U75" s="375">
        <v>0</v>
      </c>
      <c r="V75" s="375" t="e">
        <f t="shared" ca="1" si="0"/>
        <v>#NAME?</v>
      </c>
    </row>
    <row r="76" spans="1:22" ht="14.25" hidden="1" customHeight="1">
      <c r="A76" s="376" t="s">
        <v>233</v>
      </c>
      <c r="B76" s="370" t="e">
        <f ca="1">_xludf.IFNA(VLOOKUP(Bolts!$A76,'Kilter Holds'!$P$37:$S$662,4,0),0)</f>
        <v>#NAME?</v>
      </c>
      <c r="C76" s="371">
        <v>5</v>
      </c>
      <c r="D76" s="372">
        <v>0</v>
      </c>
      <c r="E76" s="373">
        <v>0</v>
      </c>
      <c r="F76" s="373">
        <v>0</v>
      </c>
      <c r="G76" s="373">
        <f ca="1">IFERROR(2*B76,0)</f>
        <v>0</v>
      </c>
      <c r="H76" s="373">
        <f ca="1">IFERROR(2*B76,0)</f>
        <v>0</v>
      </c>
      <c r="I76" s="373">
        <f ca="1">IFERROR(1*B76,0)</f>
        <v>0</v>
      </c>
      <c r="J76" s="373">
        <v>0</v>
      </c>
      <c r="K76" s="373">
        <v>0</v>
      </c>
      <c r="L76" s="374">
        <v>0</v>
      </c>
      <c r="M76" s="373">
        <v>0</v>
      </c>
      <c r="N76" s="373">
        <v>0</v>
      </c>
      <c r="O76" s="373">
        <v>0</v>
      </c>
      <c r="P76" s="373">
        <v>0</v>
      </c>
      <c r="Q76" s="373">
        <v>0</v>
      </c>
      <c r="R76" s="373">
        <v>0</v>
      </c>
      <c r="S76" s="375">
        <v>0</v>
      </c>
      <c r="T76" s="375">
        <v>0</v>
      </c>
      <c r="U76" s="375">
        <v>0</v>
      </c>
      <c r="V76" s="375" t="e">
        <f t="shared" ca="1" si="0"/>
        <v>#NAME?</v>
      </c>
    </row>
    <row r="77" spans="1:22" ht="14.25" hidden="1" customHeight="1">
      <c r="A77" s="377" t="s">
        <v>906</v>
      </c>
      <c r="B77" s="370" t="e">
        <f ca="1">_xludf.IFNA(VLOOKUP(Bolts!$A77,'Kilter Holds'!$P$37:$S$662,4,0),0)</f>
        <v>#NAME?</v>
      </c>
      <c r="C77" s="371">
        <v>3</v>
      </c>
      <c r="D77" s="372">
        <v>0</v>
      </c>
      <c r="E77" s="373">
        <v>0</v>
      </c>
      <c r="F77" s="373">
        <v>0</v>
      </c>
      <c r="G77" s="373">
        <v>0</v>
      </c>
      <c r="H77" s="373">
        <v>0</v>
      </c>
      <c r="I77" s="373">
        <v>0</v>
      </c>
      <c r="J77" s="373">
        <f ca="1">IFERROR(1*B77,0)</f>
        <v>0</v>
      </c>
      <c r="K77" s="373">
        <f ca="1">IFERROR(2*B77,0)</f>
        <v>0</v>
      </c>
      <c r="L77" s="374">
        <v>0</v>
      </c>
      <c r="M77" s="373">
        <v>0</v>
      </c>
      <c r="N77" s="373">
        <v>0</v>
      </c>
      <c r="O77" s="373">
        <v>0</v>
      </c>
      <c r="P77" s="373">
        <v>0</v>
      </c>
      <c r="Q77" s="373">
        <v>0</v>
      </c>
      <c r="R77" s="373">
        <v>0</v>
      </c>
      <c r="S77" s="375">
        <v>0</v>
      </c>
      <c r="T77" s="375">
        <v>0</v>
      </c>
      <c r="U77" s="375">
        <v>0</v>
      </c>
      <c r="V77" s="375" t="e">
        <f t="shared" ca="1" si="0"/>
        <v>#NAME?</v>
      </c>
    </row>
    <row r="78" spans="1:22" ht="14.25" hidden="1" customHeight="1">
      <c r="A78" s="376" t="s">
        <v>908</v>
      </c>
      <c r="B78" s="370" t="e">
        <f ca="1">_xludf.IFNA(VLOOKUP(Bolts!$A78,'Kilter Holds'!$P$37:$S$662,4,0),0)</f>
        <v>#NAME?</v>
      </c>
      <c r="C78" s="371">
        <v>1</v>
      </c>
      <c r="D78" s="372">
        <v>0</v>
      </c>
      <c r="E78" s="372">
        <v>0</v>
      </c>
      <c r="F78" s="372">
        <v>0</v>
      </c>
      <c r="G78" s="372">
        <v>0</v>
      </c>
      <c r="H78" s="372">
        <v>0</v>
      </c>
      <c r="I78" s="372">
        <v>0</v>
      </c>
      <c r="J78" s="373">
        <v>0</v>
      </c>
      <c r="K78" s="373">
        <f ca="1">IFERROR(1*B78,0)</f>
        <v>0</v>
      </c>
      <c r="L78" s="374">
        <v>0</v>
      </c>
      <c r="M78" s="373">
        <v>0</v>
      </c>
      <c r="N78" s="373">
        <v>0</v>
      </c>
      <c r="O78" s="373">
        <v>0</v>
      </c>
      <c r="P78" s="373">
        <v>0</v>
      </c>
      <c r="Q78" s="373">
        <v>0</v>
      </c>
      <c r="R78" s="373">
        <v>0</v>
      </c>
      <c r="S78" s="375">
        <v>0</v>
      </c>
      <c r="T78" s="375">
        <v>0</v>
      </c>
      <c r="U78" s="375">
        <v>0</v>
      </c>
      <c r="V78" s="375" t="e">
        <f t="shared" ca="1" si="0"/>
        <v>#NAME?</v>
      </c>
    </row>
    <row r="79" spans="1:22" ht="14.25" hidden="1" customHeight="1">
      <c r="A79" s="376" t="s">
        <v>910</v>
      </c>
      <c r="B79" s="370" t="e">
        <f ca="1">_xludf.IFNA(VLOOKUP(Bolts!$A79,'Kilter Holds'!$P$37:$S$662,4,0),0)</f>
        <v>#NAME?</v>
      </c>
      <c r="C79" s="371">
        <v>1</v>
      </c>
      <c r="D79" s="372">
        <v>0</v>
      </c>
      <c r="E79" s="372">
        <v>0</v>
      </c>
      <c r="F79" s="372">
        <v>0</v>
      </c>
      <c r="G79" s="372">
        <v>0</v>
      </c>
      <c r="H79" s="372">
        <v>0</v>
      </c>
      <c r="I79" s="372">
        <v>0</v>
      </c>
      <c r="J79" s="373">
        <f ca="1">IFERROR(1*B79,0)</f>
        <v>0</v>
      </c>
      <c r="K79" s="373">
        <v>0</v>
      </c>
      <c r="L79" s="374">
        <v>0</v>
      </c>
      <c r="M79" s="373">
        <v>0</v>
      </c>
      <c r="N79" s="373">
        <v>0</v>
      </c>
      <c r="O79" s="373">
        <v>0</v>
      </c>
      <c r="P79" s="373">
        <v>0</v>
      </c>
      <c r="Q79" s="373">
        <v>0</v>
      </c>
      <c r="R79" s="373">
        <v>0</v>
      </c>
      <c r="S79" s="375">
        <v>0</v>
      </c>
      <c r="T79" s="375">
        <v>0</v>
      </c>
      <c r="U79" s="375">
        <v>0</v>
      </c>
      <c r="V79" s="375" t="e">
        <f t="shared" ca="1" si="0"/>
        <v>#NAME?</v>
      </c>
    </row>
    <row r="80" spans="1:22" ht="14.25" hidden="1" customHeight="1">
      <c r="A80" s="376" t="s">
        <v>912</v>
      </c>
      <c r="B80" s="370" t="e">
        <f ca="1">_xludf.IFNA(VLOOKUP(Bolts!$A80,'Kilter Holds'!$P$37:$S$662,4,0),0)</f>
        <v>#NAME?</v>
      </c>
      <c r="C80" s="371">
        <v>1</v>
      </c>
      <c r="D80" s="372">
        <v>0</v>
      </c>
      <c r="E80" s="372">
        <v>0</v>
      </c>
      <c r="F80" s="372">
        <v>0</v>
      </c>
      <c r="G80" s="372">
        <v>0</v>
      </c>
      <c r="H80" s="372">
        <v>0</v>
      </c>
      <c r="I80" s="372">
        <v>0</v>
      </c>
      <c r="J80" s="373">
        <v>0</v>
      </c>
      <c r="K80" s="373">
        <f ca="1">IFERROR(1*B80,0)</f>
        <v>0</v>
      </c>
      <c r="L80" s="374">
        <v>0</v>
      </c>
      <c r="M80" s="373">
        <v>0</v>
      </c>
      <c r="N80" s="373">
        <v>0</v>
      </c>
      <c r="O80" s="373">
        <v>0</v>
      </c>
      <c r="P80" s="373">
        <v>0</v>
      </c>
      <c r="Q80" s="373">
        <v>0</v>
      </c>
      <c r="R80" s="373">
        <v>0</v>
      </c>
      <c r="S80" s="375">
        <v>0</v>
      </c>
      <c r="T80" s="375">
        <v>0</v>
      </c>
      <c r="U80" s="375">
        <v>0</v>
      </c>
      <c r="V80" s="375" t="e">
        <f t="shared" ca="1" si="0"/>
        <v>#NAME?</v>
      </c>
    </row>
    <row r="81" spans="1:22" ht="14.25" hidden="1" customHeight="1">
      <c r="A81" s="377" t="s">
        <v>914</v>
      </c>
      <c r="B81" s="370" t="e">
        <f ca="1">_xludf.IFNA(VLOOKUP(Bolts!$A81,'Kilter Holds'!$P$37:$S$662,4,0),0)</f>
        <v>#NAME?</v>
      </c>
      <c r="C81" s="371">
        <v>3</v>
      </c>
      <c r="D81" s="372">
        <v>0</v>
      </c>
      <c r="E81" s="372">
        <v>0</v>
      </c>
      <c r="F81" s="372">
        <v>0</v>
      </c>
      <c r="G81" s="372">
        <v>0</v>
      </c>
      <c r="H81" s="372">
        <v>0</v>
      </c>
      <c r="I81" s="373">
        <f ca="1">IFERROR(2*B81,0)</f>
        <v>0</v>
      </c>
      <c r="J81" s="373">
        <v>0</v>
      </c>
      <c r="K81" s="373">
        <v>0</v>
      </c>
      <c r="L81" s="374">
        <v>0</v>
      </c>
      <c r="M81" s="373">
        <f ca="1">IFERROR(1*B81,0)</f>
        <v>0</v>
      </c>
      <c r="N81" s="373">
        <v>0</v>
      </c>
      <c r="O81" s="373">
        <v>0</v>
      </c>
      <c r="P81" s="373">
        <v>0</v>
      </c>
      <c r="Q81" s="373">
        <v>0</v>
      </c>
      <c r="R81" s="373">
        <v>0</v>
      </c>
      <c r="S81" s="375">
        <v>0</v>
      </c>
      <c r="T81" s="375">
        <v>0</v>
      </c>
      <c r="U81" s="375">
        <v>0</v>
      </c>
      <c r="V81" s="375" t="e">
        <f t="shared" ca="1" si="0"/>
        <v>#NAME?</v>
      </c>
    </row>
    <row r="82" spans="1:22" ht="14.25" hidden="1" customHeight="1">
      <c r="A82" s="376" t="s">
        <v>916</v>
      </c>
      <c r="B82" s="370" t="e">
        <f ca="1">_xludf.IFNA(VLOOKUP(Bolts!$A82,'Kilter Holds'!$P$37:$S$662,4,0),0)</f>
        <v>#NAME?</v>
      </c>
      <c r="C82" s="371">
        <v>1</v>
      </c>
      <c r="D82" s="372">
        <v>0</v>
      </c>
      <c r="E82" s="372">
        <v>0</v>
      </c>
      <c r="F82" s="372">
        <v>0</v>
      </c>
      <c r="G82" s="372">
        <v>0</v>
      </c>
      <c r="H82" s="372">
        <v>0</v>
      </c>
      <c r="I82" s="373">
        <f t="shared" ref="I82:I83" ca="1" si="15">IFERROR(1*B82,0)</f>
        <v>0</v>
      </c>
      <c r="J82" s="373">
        <v>0</v>
      </c>
      <c r="K82" s="373">
        <v>0</v>
      </c>
      <c r="L82" s="374">
        <v>0</v>
      </c>
      <c r="M82" s="373">
        <v>0</v>
      </c>
      <c r="N82" s="373">
        <v>0</v>
      </c>
      <c r="O82" s="373">
        <v>0</v>
      </c>
      <c r="P82" s="373">
        <v>0</v>
      </c>
      <c r="Q82" s="373">
        <v>0</v>
      </c>
      <c r="R82" s="373">
        <v>0</v>
      </c>
      <c r="S82" s="375">
        <v>0</v>
      </c>
      <c r="T82" s="375">
        <v>0</v>
      </c>
      <c r="U82" s="375">
        <v>0</v>
      </c>
      <c r="V82" s="375" t="e">
        <f t="shared" ca="1" si="0"/>
        <v>#NAME?</v>
      </c>
    </row>
    <row r="83" spans="1:22" ht="14.25" hidden="1" customHeight="1">
      <c r="A83" s="376" t="s">
        <v>918</v>
      </c>
      <c r="B83" s="370" t="e">
        <f ca="1">_xludf.IFNA(VLOOKUP(Bolts!$A83,'Kilter Holds'!$P$37:$S$662,4,0),0)</f>
        <v>#NAME?</v>
      </c>
      <c r="C83" s="371">
        <v>1</v>
      </c>
      <c r="D83" s="372">
        <v>0</v>
      </c>
      <c r="E83" s="372">
        <v>0</v>
      </c>
      <c r="F83" s="372">
        <v>0</v>
      </c>
      <c r="G83" s="372">
        <v>0</v>
      </c>
      <c r="H83" s="372">
        <v>0</v>
      </c>
      <c r="I83" s="373">
        <f t="shared" ca="1" si="15"/>
        <v>0</v>
      </c>
      <c r="J83" s="373">
        <v>0</v>
      </c>
      <c r="K83" s="373">
        <v>0</v>
      </c>
      <c r="L83" s="374">
        <v>0</v>
      </c>
      <c r="M83" s="373">
        <v>0</v>
      </c>
      <c r="N83" s="373">
        <v>0</v>
      </c>
      <c r="O83" s="373">
        <v>0</v>
      </c>
      <c r="P83" s="373">
        <v>0</v>
      </c>
      <c r="Q83" s="373">
        <v>0</v>
      </c>
      <c r="R83" s="373">
        <v>0</v>
      </c>
      <c r="S83" s="375">
        <v>0</v>
      </c>
      <c r="T83" s="375">
        <v>0</v>
      </c>
      <c r="U83" s="375">
        <v>0</v>
      </c>
      <c r="V83" s="375" t="e">
        <f t="shared" ca="1" si="0"/>
        <v>#NAME?</v>
      </c>
    </row>
    <row r="84" spans="1:22" ht="14.25" hidden="1" customHeight="1">
      <c r="A84" s="376" t="s">
        <v>920</v>
      </c>
      <c r="B84" s="370" t="e">
        <f ca="1">_xludf.IFNA(VLOOKUP(Bolts!$A84,'Kilter Holds'!$P$37:$S$662,4,0),0)</f>
        <v>#NAME?</v>
      </c>
      <c r="C84" s="371">
        <v>1</v>
      </c>
      <c r="D84" s="372">
        <v>0</v>
      </c>
      <c r="E84" s="372">
        <v>0</v>
      </c>
      <c r="F84" s="372">
        <v>0</v>
      </c>
      <c r="G84" s="372">
        <v>0</v>
      </c>
      <c r="H84" s="372">
        <v>0</v>
      </c>
      <c r="I84" s="373">
        <v>0</v>
      </c>
      <c r="J84" s="373">
        <v>0</v>
      </c>
      <c r="K84" s="373">
        <v>0</v>
      </c>
      <c r="L84" s="374">
        <v>0</v>
      </c>
      <c r="M84" s="373">
        <f t="shared" ref="M84:M85" ca="1" si="16">IFERROR(1*B84,0)</f>
        <v>0</v>
      </c>
      <c r="N84" s="373">
        <v>0</v>
      </c>
      <c r="O84" s="373">
        <v>0</v>
      </c>
      <c r="P84" s="373">
        <v>0</v>
      </c>
      <c r="Q84" s="373">
        <v>0</v>
      </c>
      <c r="R84" s="373">
        <v>0</v>
      </c>
      <c r="S84" s="375">
        <v>0</v>
      </c>
      <c r="T84" s="375">
        <v>0</v>
      </c>
      <c r="U84" s="375">
        <v>0</v>
      </c>
      <c r="V84" s="375" t="e">
        <f t="shared" ca="1" si="0"/>
        <v>#NAME?</v>
      </c>
    </row>
    <row r="85" spans="1:22" ht="14.25" hidden="1" customHeight="1">
      <c r="A85" s="377" t="s">
        <v>922</v>
      </c>
      <c r="B85" s="370" t="e">
        <f ca="1">_xludf.IFNA(VLOOKUP(Bolts!$A85,'Kilter Holds'!$P$37:$S$662,4,0),0)</f>
        <v>#NAME?</v>
      </c>
      <c r="C85" s="371">
        <v>3</v>
      </c>
      <c r="D85" s="372">
        <v>0</v>
      </c>
      <c r="E85" s="372">
        <v>0</v>
      </c>
      <c r="F85" s="372">
        <v>0</v>
      </c>
      <c r="G85" s="372">
        <v>0</v>
      </c>
      <c r="H85" s="372">
        <v>0</v>
      </c>
      <c r="I85" s="373">
        <v>0</v>
      </c>
      <c r="J85" s="373">
        <f ca="1">IFERROR(1*B85,0)</f>
        <v>0</v>
      </c>
      <c r="K85" s="373">
        <f t="shared" ref="K85:K86" ca="1" si="17">IFERROR(1*B85,0)</f>
        <v>0</v>
      </c>
      <c r="L85" s="374">
        <v>0</v>
      </c>
      <c r="M85" s="373">
        <f t="shared" ca="1" si="16"/>
        <v>0</v>
      </c>
      <c r="N85" s="373">
        <v>0</v>
      </c>
      <c r="O85" s="373">
        <v>0</v>
      </c>
      <c r="P85" s="373">
        <v>0</v>
      </c>
      <c r="Q85" s="373">
        <v>0</v>
      </c>
      <c r="R85" s="373">
        <v>0</v>
      </c>
      <c r="S85" s="375">
        <v>0</v>
      </c>
      <c r="T85" s="375">
        <v>0</v>
      </c>
      <c r="U85" s="375">
        <v>0</v>
      </c>
      <c r="V85" s="375" t="e">
        <f t="shared" ca="1" si="0"/>
        <v>#NAME?</v>
      </c>
    </row>
    <row r="86" spans="1:22" ht="14.25" hidden="1" customHeight="1">
      <c r="A86" s="376" t="s">
        <v>924</v>
      </c>
      <c r="B86" s="370" t="e">
        <f ca="1">_xludf.IFNA(VLOOKUP(Bolts!$A86,'Kilter Holds'!$P$37:$S$662,4,0),0)</f>
        <v>#NAME?</v>
      </c>
      <c r="C86" s="371">
        <v>1</v>
      </c>
      <c r="D86" s="372">
        <v>0</v>
      </c>
      <c r="E86" s="372">
        <v>0</v>
      </c>
      <c r="F86" s="372">
        <v>0</v>
      </c>
      <c r="G86" s="372">
        <v>0</v>
      </c>
      <c r="H86" s="372">
        <v>0</v>
      </c>
      <c r="I86" s="373">
        <v>0</v>
      </c>
      <c r="J86" s="373">
        <v>0</v>
      </c>
      <c r="K86" s="373">
        <f t="shared" ca="1" si="17"/>
        <v>0</v>
      </c>
      <c r="L86" s="374">
        <v>0</v>
      </c>
      <c r="M86" s="373">
        <v>0</v>
      </c>
      <c r="N86" s="373">
        <v>0</v>
      </c>
      <c r="O86" s="373">
        <v>0</v>
      </c>
      <c r="P86" s="373">
        <v>0</v>
      </c>
      <c r="Q86" s="373">
        <v>0</v>
      </c>
      <c r="R86" s="373">
        <v>0</v>
      </c>
      <c r="S86" s="375">
        <v>0</v>
      </c>
      <c r="T86" s="375">
        <v>0</v>
      </c>
      <c r="U86" s="375">
        <v>0</v>
      </c>
      <c r="V86" s="375" t="e">
        <f t="shared" ca="1" si="0"/>
        <v>#NAME?</v>
      </c>
    </row>
    <row r="87" spans="1:22" ht="14.25" hidden="1" customHeight="1">
      <c r="A87" s="376" t="s">
        <v>926</v>
      </c>
      <c r="B87" s="370" t="e">
        <f ca="1">_xludf.IFNA(VLOOKUP(Bolts!$A87,'Kilter Holds'!$P$37:$S$662,4,0),0)</f>
        <v>#NAME?</v>
      </c>
      <c r="C87" s="371">
        <v>1</v>
      </c>
      <c r="D87" s="372">
        <v>0</v>
      </c>
      <c r="E87" s="372">
        <v>0</v>
      </c>
      <c r="F87" s="372">
        <v>0</v>
      </c>
      <c r="G87" s="372">
        <v>0</v>
      </c>
      <c r="H87" s="372">
        <v>0</v>
      </c>
      <c r="I87" s="373">
        <v>0</v>
      </c>
      <c r="J87" s="373">
        <f ca="1">IFERROR(1*B87,0)</f>
        <v>0</v>
      </c>
      <c r="K87" s="373">
        <v>0</v>
      </c>
      <c r="L87" s="374">
        <v>0</v>
      </c>
      <c r="M87" s="373">
        <v>0</v>
      </c>
      <c r="N87" s="373">
        <v>0</v>
      </c>
      <c r="O87" s="373">
        <v>0</v>
      </c>
      <c r="P87" s="373">
        <v>0</v>
      </c>
      <c r="Q87" s="373">
        <v>0</v>
      </c>
      <c r="R87" s="373">
        <v>0</v>
      </c>
      <c r="S87" s="375">
        <v>0</v>
      </c>
      <c r="T87" s="375">
        <v>0</v>
      </c>
      <c r="U87" s="375">
        <v>0</v>
      </c>
      <c r="V87" s="375" t="e">
        <f t="shared" ca="1" si="0"/>
        <v>#NAME?</v>
      </c>
    </row>
    <row r="88" spans="1:22" ht="14.25" hidden="1" customHeight="1">
      <c r="A88" s="376" t="s">
        <v>928</v>
      </c>
      <c r="B88" s="370" t="e">
        <f ca="1">_xludf.IFNA(VLOOKUP(Bolts!$A88,'Kilter Holds'!$P$37:$S$662,4,0),0)</f>
        <v>#NAME?</v>
      </c>
      <c r="C88" s="371">
        <v>1</v>
      </c>
      <c r="D88" s="372">
        <v>0</v>
      </c>
      <c r="E88" s="372">
        <v>0</v>
      </c>
      <c r="F88" s="372">
        <v>0</v>
      </c>
      <c r="G88" s="372">
        <v>0</v>
      </c>
      <c r="H88" s="372">
        <v>0</v>
      </c>
      <c r="I88" s="372">
        <v>0</v>
      </c>
      <c r="J88" s="372">
        <v>0</v>
      </c>
      <c r="K88" s="372">
        <v>0</v>
      </c>
      <c r="L88" s="374">
        <v>0</v>
      </c>
      <c r="M88" s="373">
        <f ca="1">IFERROR(1*B88,0)</f>
        <v>0</v>
      </c>
      <c r="N88" s="373">
        <v>0</v>
      </c>
      <c r="O88" s="373">
        <v>0</v>
      </c>
      <c r="P88" s="373">
        <v>0</v>
      </c>
      <c r="Q88" s="373">
        <v>0</v>
      </c>
      <c r="R88" s="375">
        <v>0</v>
      </c>
      <c r="S88" s="375">
        <v>0</v>
      </c>
      <c r="T88" s="375">
        <v>0</v>
      </c>
      <c r="U88" s="375">
        <v>0</v>
      </c>
      <c r="V88" s="375" t="e">
        <f t="shared" ca="1" si="0"/>
        <v>#NAME?</v>
      </c>
    </row>
    <row r="89" spans="1:22" ht="14.25" hidden="1" customHeight="1">
      <c r="A89" s="377" t="s">
        <v>1075</v>
      </c>
      <c r="B89" s="370" t="e">
        <f ca="1">_xludf.IFNA(VLOOKUP(Bolts!$A89,'Kilter Holds'!$P$37:$S$662,4,0),0)</f>
        <v>#NAME?</v>
      </c>
      <c r="C89" s="371">
        <v>3</v>
      </c>
      <c r="D89" s="372">
        <v>0</v>
      </c>
      <c r="E89" s="372">
        <v>0</v>
      </c>
      <c r="F89" s="372">
        <v>0</v>
      </c>
      <c r="G89" s="372">
        <v>0</v>
      </c>
      <c r="H89" s="372">
        <v>0</v>
      </c>
      <c r="I89" s="372">
        <v>0</v>
      </c>
      <c r="J89" s="372">
        <v>0</v>
      </c>
      <c r="K89" s="373">
        <f t="shared" ref="K89:K90" ca="1" si="18">IFERROR(1*B89,0)</f>
        <v>0</v>
      </c>
      <c r="L89" s="374">
        <v>0</v>
      </c>
      <c r="M89" s="373">
        <f ca="1">IFERROR(2*B89,0)</f>
        <v>0</v>
      </c>
      <c r="N89" s="373">
        <v>0</v>
      </c>
      <c r="O89" s="373">
        <v>0</v>
      </c>
      <c r="P89" s="373">
        <v>0</v>
      </c>
      <c r="Q89" s="373">
        <v>0</v>
      </c>
      <c r="R89" s="375">
        <v>0</v>
      </c>
      <c r="S89" s="375">
        <v>0</v>
      </c>
      <c r="T89" s="375">
        <v>0</v>
      </c>
      <c r="U89" s="375">
        <v>0</v>
      </c>
      <c r="V89" s="375" t="e">
        <f t="shared" ca="1" si="0"/>
        <v>#NAME?</v>
      </c>
    </row>
    <row r="90" spans="1:22" ht="14.25" hidden="1" customHeight="1">
      <c r="A90" s="376" t="s">
        <v>1077</v>
      </c>
      <c r="B90" s="370" t="e">
        <f ca="1">_xludf.IFNA(VLOOKUP(Bolts!$A90,'Kilter Holds'!$P$37:$S$662,4,0),0)</f>
        <v>#NAME?</v>
      </c>
      <c r="C90" s="371">
        <v>1</v>
      </c>
      <c r="D90" s="372">
        <v>0</v>
      </c>
      <c r="E90" s="372">
        <v>0</v>
      </c>
      <c r="F90" s="372">
        <v>0</v>
      </c>
      <c r="G90" s="372">
        <v>0</v>
      </c>
      <c r="H90" s="372">
        <v>0</v>
      </c>
      <c r="I90" s="372">
        <v>0</v>
      </c>
      <c r="J90" s="372">
        <v>0</v>
      </c>
      <c r="K90" s="373">
        <f t="shared" ca="1" si="18"/>
        <v>0</v>
      </c>
      <c r="L90" s="374">
        <v>0</v>
      </c>
      <c r="M90" s="373">
        <v>0</v>
      </c>
      <c r="N90" s="373">
        <v>0</v>
      </c>
      <c r="O90" s="373">
        <v>0</v>
      </c>
      <c r="P90" s="373">
        <v>0</v>
      </c>
      <c r="Q90" s="373">
        <v>0</v>
      </c>
      <c r="R90" s="373">
        <v>0</v>
      </c>
      <c r="S90" s="375">
        <v>0</v>
      </c>
      <c r="T90" s="375">
        <v>0</v>
      </c>
      <c r="U90" s="375">
        <v>0</v>
      </c>
      <c r="V90" s="375" t="e">
        <f t="shared" ca="1" si="0"/>
        <v>#NAME?</v>
      </c>
    </row>
    <row r="91" spans="1:22" ht="14.25" hidden="1" customHeight="1">
      <c r="A91" s="376" t="s">
        <v>1079</v>
      </c>
      <c r="B91" s="370" t="e">
        <f ca="1">_xludf.IFNA(VLOOKUP(Bolts!$A91,'Kilter Holds'!$P$37:$S$662,4,0),0)</f>
        <v>#NAME?</v>
      </c>
      <c r="C91" s="371">
        <v>1</v>
      </c>
      <c r="D91" s="372">
        <v>0</v>
      </c>
      <c r="E91" s="372">
        <v>0</v>
      </c>
      <c r="F91" s="372">
        <v>0</v>
      </c>
      <c r="G91" s="372">
        <v>0</v>
      </c>
      <c r="H91" s="372">
        <v>0</v>
      </c>
      <c r="I91" s="372">
        <v>0</v>
      </c>
      <c r="J91" s="372">
        <v>0</v>
      </c>
      <c r="K91" s="372">
        <v>0</v>
      </c>
      <c r="L91" s="374">
        <v>0</v>
      </c>
      <c r="M91" s="373">
        <f t="shared" ref="M91:M92" ca="1" si="19">IFERROR(1*B91,0)</f>
        <v>0</v>
      </c>
      <c r="N91" s="373">
        <v>0</v>
      </c>
      <c r="O91" s="373">
        <v>0</v>
      </c>
      <c r="P91" s="373">
        <v>0</v>
      </c>
      <c r="Q91" s="373">
        <v>0</v>
      </c>
      <c r="R91" s="373">
        <v>0</v>
      </c>
      <c r="S91" s="375">
        <v>0</v>
      </c>
      <c r="T91" s="375">
        <v>0</v>
      </c>
      <c r="U91" s="375">
        <v>0</v>
      </c>
      <c r="V91" s="375" t="e">
        <f t="shared" ca="1" si="0"/>
        <v>#NAME?</v>
      </c>
    </row>
    <row r="92" spans="1:22" ht="14.25" hidden="1" customHeight="1">
      <c r="A92" s="376" t="s">
        <v>1081</v>
      </c>
      <c r="B92" s="370" t="e">
        <f ca="1">_xludf.IFNA(VLOOKUP(Bolts!$A92,'Kilter Holds'!$P$37:$S$662,4,0),0)</f>
        <v>#NAME?</v>
      </c>
      <c r="C92" s="371">
        <v>1</v>
      </c>
      <c r="D92" s="372">
        <v>0</v>
      </c>
      <c r="E92" s="372">
        <v>0</v>
      </c>
      <c r="F92" s="372">
        <v>0</v>
      </c>
      <c r="G92" s="372">
        <v>0</v>
      </c>
      <c r="H92" s="372">
        <v>0</v>
      </c>
      <c r="I92" s="372">
        <v>0</v>
      </c>
      <c r="J92" s="372">
        <v>0</v>
      </c>
      <c r="K92" s="372">
        <v>0</v>
      </c>
      <c r="L92" s="374">
        <v>0</v>
      </c>
      <c r="M92" s="373">
        <f t="shared" ca="1" si="19"/>
        <v>0</v>
      </c>
      <c r="N92" s="373">
        <v>0</v>
      </c>
      <c r="O92" s="373">
        <v>0</v>
      </c>
      <c r="P92" s="373">
        <v>0</v>
      </c>
      <c r="Q92" s="373">
        <v>0</v>
      </c>
      <c r="R92" s="373">
        <v>0</v>
      </c>
      <c r="S92" s="375">
        <v>0</v>
      </c>
      <c r="T92" s="375">
        <v>0</v>
      </c>
      <c r="U92" s="375">
        <v>0</v>
      </c>
      <c r="V92" s="375" t="e">
        <f t="shared" ca="1" si="0"/>
        <v>#NAME?</v>
      </c>
    </row>
    <row r="93" spans="1:22" ht="14.25" hidden="1" customHeight="1">
      <c r="A93" s="377" t="s">
        <v>1083</v>
      </c>
      <c r="B93" s="370" t="e">
        <f ca="1">_xludf.IFNA(VLOOKUP(Bolts!$A93,'Kilter Holds'!$P$37:$S$662,4,0),0)</f>
        <v>#NAME?</v>
      </c>
      <c r="C93" s="371">
        <v>3</v>
      </c>
      <c r="D93" s="372">
        <v>0</v>
      </c>
      <c r="E93" s="372">
        <v>0</v>
      </c>
      <c r="F93" s="372">
        <v>0</v>
      </c>
      <c r="G93" s="372">
        <v>0</v>
      </c>
      <c r="H93" s="372">
        <v>0</v>
      </c>
      <c r="I93" s="372">
        <v>0</v>
      </c>
      <c r="J93" s="372">
        <v>0</v>
      </c>
      <c r="K93" s="372">
        <v>0</v>
      </c>
      <c r="L93" s="374">
        <v>0</v>
      </c>
      <c r="M93" s="373">
        <f ca="1">IFERROR(3*B93,0)</f>
        <v>0</v>
      </c>
      <c r="N93" s="373">
        <v>0</v>
      </c>
      <c r="O93" s="373">
        <v>0</v>
      </c>
      <c r="P93" s="373">
        <v>0</v>
      </c>
      <c r="Q93" s="373">
        <v>0</v>
      </c>
      <c r="R93" s="373">
        <v>0</v>
      </c>
      <c r="S93" s="375">
        <v>0</v>
      </c>
      <c r="T93" s="375">
        <v>0</v>
      </c>
      <c r="U93" s="375">
        <v>0</v>
      </c>
      <c r="V93" s="375" t="e">
        <f t="shared" ca="1" si="0"/>
        <v>#NAME?</v>
      </c>
    </row>
    <row r="94" spans="1:22" ht="14.25" hidden="1" customHeight="1">
      <c r="A94" s="376" t="s">
        <v>1085</v>
      </c>
      <c r="B94" s="370" t="e">
        <f ca="1">_xludf.IFNA(VLOOKUP(Bolts!$A94,'Kilter Holds'!$P$37:$S$662,4,0),0)</f>
        <v>#NAME?</v>
      </c>
      <c r="C94" s="371">
        <v>1</v>
      </c>
      <c r="D94" s="372">
        <v>0</v>
      </c>
      <c r="E94" s="372">
        <v>0</v>
      </c>
      <c r="F94" s="372">
        <v>0</v>
      </c>
      <c r="G94" s="372">
        <v>0</v>
      </c>
      <c r="H94" s="372">
        <v>0</v>
      </c>
      <c r="I94" s="372">
        <v>0</v>
      </c>
      <c r="J94" s="372">
        <v>0</v>
      </c>
      <c r="K94" s="372">
        <v>0</v>
      </c>
      <c r="L94" s="374">
        <v>0</v>
      </c>
      <c r="M94" s="373">
        <f t="shared" ref="M94:M96" ca="1" si="20">IFERROR(1*B94,0)</f>
        <v>0</v>
      </c>
      <c r="N94" s="373">
        <v>0</v>
      </c>
      <c r="O94" s="373">
        <v>0</v>
      </c>
      <c r="P94" s="373">
        <v>0</v>
      </c>
      <c r="Q94" s="373">
        <v>0</v>
      </c>
      <c r="R94" s="373">
        <v>0</v>
      </c>
      <c r="S94" s="375">
        <v>0</v>
      </c>
      <c r="T94" s="375">
        <v>0</v>
      </c>
      <c r="U94" s="375">
        <v>0</v>
      </c>
      <c r="V94" s="375" t="e">
        <f t="shared" ca="1" si="0"/>
        <v>#NAME?</v>
      </c>
    </row>
    <row r="95" spans="1:22" ht="14.25" hidden="1" customHeight="1">
      <c r="A95" s="376" t="s">
        <v>1087</v>
      </c>
      <c r="B95" s="370" t="e">
        <f ca="1">_xludf.IFNA(VLOOKUP(Bolts!$A95,'Kilter Holds'!$P$37:$S$662,4,0),0)</f>
        <v>#NAME?</v>
      </c>
      <c r="C95" s="371">
        <v>1</v>
      </c>
      <c r="D95" s="372">
        <v>0</v>
      </c>
      <c r="E95" s="372">
        <v>0</v>
      </c>
      <c r="F95" s="372">
        <v>0</v>
      </c>
      <c r="G95" s="372">
        <v>0</v>
      </c>
      <c r="H95" s="372">
        <v>0</v>
      </c>
      <c r="I95" s="372">
        <v>0</v>
      </c>
      <c r="J95" s="372">
        <v>0</v>
      </c>
      <c r="K95" s="372">
        <v>0</v>
      </c>
      <c r="L95" s="374">
        <v>0</v>
      </c>
      <c r="M95" s="373">
        <f t="shared" ca="1" si="20"/>
        <v>0</v>
      </c>
      <c r="N95" s="373">
        <v>0</v>
      </c>
      <c r="O95" s="373">
        <v>0</v>
      </c>
      <c r="P95" s="373">
        <v>0</v>
      </c>
      <c r="Q95" s="373">
        <v>0</v>
      </c>
      <c r="R95" s="373">
        <v>0</v>
      </c>
      <c r="S95" s="375">
        <v>0</v>
      </c>
      <c r="T95" s="375">
        <v>0</v>
      </c>
      <c r="U95" s="375">
        <v>0</v>
      </c>
      <c r="V95" s="375" t="e">
        <f t="shared" ca="1" si="0"/>
        <v>#NAME?</v>
      </c>
    </row>
    <row r="96" spans="1:22" ht="14.25" hidden="1" customHeight="1">
      <c r="A96" s="376" t="s">
        <v>1089</v>
      </c>
      <c r="B96" s="370" t="e">
        <f ca="1">_xludf.IFNA(VLOOKUP(Bolts!$A96,'Kilter Holds'!$P$37:$S$662,4,0),0)</f>
        <v>#NAME?</v>
      </c>
      <c r="C96" s="371">
        <v>1</v>
      </c>
      <c r="D96" s="372">
        <v>0</v>
      </c>
      <c r="E96" s="372">
        <v>0</v>
      </c>
      <c r="F96" s="372">
        <v>0</v>
      </c>
      <c r="G96" s="372">
        <v>0</v>
      </c>
      <c r="H96" s="372">
        <v>0</v>
      </c>
      <c r="I96" s="372">
        <v>0</v>
      </c>
      <c r="J96" s="372">
        <v>0</v>
      </c>
      <c r="K96" s="372">
        <v>0</v>
      </c>
      <c r="L96" s="374">
        <v>0</v>
      </c>
      <c r="M96" s="373">
        <f t="shared" ca="1" si="20"/>
        <v>0</v>
      </c>
      <c r="N96" s="373">
        <v>0</v>
      </c>
      <c r="O96" s="373">
        <v>0</v>
      </c>
      <c r="P96" s="373">
        <v>0</v>
      </c>
      <c r="Q96" s="373">
        <v>0</v>
      </c>
      <c r="R96" s="373">
        <v>0</v>
      </c>
      <c r="S96" s="375">
        <v>0</v>
      </c>
      <c r="T96" s="375">
        <v>0</v>
      </c>
      <c r="U96" s="375">
        <v>0</v>
      </c>
      <c r="V96" s="375" t="e">
        <f t="shared" ca="1" si="0"/>
        <v>#NAME?</v>
      </c>
    </row>
    <row r="97" spans="1:22" ht="14.25" hidden="1" customHeight="1">
      <c r="A97" s="377" t="s">
        <v>930</v>
      </c>
      <c r="B97" s="370" t="e">
        <f ca="1">_xludf.IFNA(VLOOKUP(Bolts!$A97,'Kilter Holds'!$P$37:$S$662,4,0),0)</f>
        <v>#NAME?</v>
      </c>
      <c r="C97" s="371">
        <v>3</v>
      </c>
      <c r="D97" s="372">
        <v>0</v>
      </c>
      <c r="E97" s="372">
        <v>0</v>
      </c>
      <c r="F97" s="372">
        <v>0</v>
      </c>
      <c r="G97" s="372">
        <v>0</v>
      </c>
      <c r="H97" s="372">
        <v>0</v>
      </c>
      <c r="I97" s="373">
        <f t="shared" ref="I97:I98" ca="1" si="21">IFERROR(1*B97,0)</f>
        <v>0</v>
      </c>
      <c r="J97" s="373">
        <f ca="1">IFERROR(1*B97,0)</f>
        <v>0</v>
      </c>
      <c r="K97" s="373">
        <f ca="1">IFERROR(1*B97,0)</f>
        <v>0</v>
      </c>
      <c r="L97" s="374">
        <v>0</v>
      </c>
      <c r="M97" s="373">
        <v>0</v>
      </c>
      <c r="N97" s="373">
        <v>0</v>
      </c>
      <c r="O97" s="373">
        <v>0</v>
      </c>
      <c r="P97" s="373">
        <v>0</v>
      </c>
      <c r="Q97" s="373">
        <v>0</v>
      </c>
      <c r="R97" s="373">
        <v>0</v>
      </c>
      <c r="S97" s="375">
        <v>0</v>
      </c>
      <c r="T97" s="375">
        <v>0</v>
      </c>
      <c r="U97" s="375">
        <v>0</v>
      </c>
      <c r="V97" s="375" t="e">
        <f t="shared" ca="1" si="0"/>
        <v>#NAME?</v>
      </c>
    </row>
    <row r="98" spans="1:22" ht="14.25" hidden="1" customHeight="1">
      <c r="A98" s="376" t="s">
        <v>932</v>
      </c>
      <c r="B98" s="370" t="e">
        <f ca="1">_xludf.IFNA(VLOOKUP(Bolts!$A98,'Kilter Holds'!$P$37:$S$662,4,0),0)</f>
        <v>#NAME?</v>
      </c>
      <c r="C98" s="371">
        <v>1</v>
      </c>
      <c r="D98" s="372">
        <v>0</v>
      </c>
      <c r="E98" s="372">
        <v>0</v>
      </c>
      <c r="F98" s="372">
        <v>0</v>
      </c>
      <c r="G98" s="372">
        <v>0</v>
      </c>
      <c r="H98" s="372">
        <v>0</v>
      </c>
      <c r="I98" s="373">
        <f t="shared" ca="1" si="21"/>
        <v>0</v>
      </c>
      <c r="J98" s="373">
        <v>0</v>
      </c>
      <c r="K98" s="373">
        <v>0</v>
      </c>
      <c r="L98" s="374">
        <v>0</v>
      </c>
      <c r="M98" s="373">
        <v>0</v>
      </c>
      <c r="N98" s="373">
        <v>0</v>
      </c>
      <c r="O98" s="373">
        <v>0</v>
      </c>
      <c r="P98" s="373">
        <v>0</v>
      </c>
      <c r="Q98" s="373">
        <v>0</v>
      </c>
      <c r="R98" s="373">
        <v>0</v>
      </c>
      <c r="S98" s="375">
        <v>0</v>
      </c>
      <c r="T98" s="375">
        <v>0</v>
      </c>
      <c r="U98" s="375">
        <v>0</v>
      </c>
      <c r="V98" s="375" t="e">
        <f t="shared" ca="1" si="0"/>
        <v>#NAME?</v>
      </c>
    </row>
    <row r="99" spans="1:22" ht="14.25" hidden="1" customHeight="1">
      <c r="A99" s="376" t="s">
        <v>934</v>
      </c>
      <c r="B99" s="370" t="e">
        <f ca="1">_xludf.IFNA(VLOOKUP(Bolts!$A99,'Kilter Holds'!$P$37:$S$662,4,0),0)</f>
        <v>#NAME?</v>
      </c>
      <c r="C99" s="371">
        <v>1</v>
      </c>
      <c r="D99" s="372">
        <v>0</v>
      </c>
      <c r="E99" s="372">
        <v>0</v>
      </c>
      <c r="F99" s="372">
        <v>0</v>
      </c>
      <c r="G99" s="372">
        <v>0</v>
      </c>
      <c r="H99" s="372">
        <v>0</v>
      </c>
      <c r="I99" s="372">
        <v>0</v>
      </c>
      <c r="J99" s="373">
        <f ca="1">IFERROR(1*B99,0)</f>
        <v>0</v>
      </c>
      <c r="K99" s="373">
        <v>0</v>
      </c>
      <c r="L99" s="374">
        <v>0</v>
      </c>
      <c r="M99" s="373">
        <v>0</v>
      </c>
      <c r="N99" s="373">
        <v>0</v>
      </c>
      <c r="O99" s="373">
        <v>0</v>
      </c>
      <c r="P99" s="373">
        <v>0</v>
      </c>
      <c r="Q99" s="373">
        <v>0</v>
      </c>
      <c r="R99" s="373">
        <v>0</v>
      </c>
      <c r="S99" s="375">
        <v>0</v>
      </c>
      <c r="T99" s="375">
        <v>0</v>
      </c>
      <c r="U99" s="375">
        <v>0</v>
      </c>
      <c r="V99" s="375" t="e">
        <f t="shared" ca="1" si="0"/>
        <v>#NAME?</v>
      </c>
    </row>
    <row r="100" spans="1:22" ht="14.25" hidden="1" customHeight="1">
      <c r="A100" s="376" t="s">
        <v>936</v>
      </c>
      <c r="B100" s="370" t="e">
        <f ca="1">_xludf.IFNA(VLOOKUP(Bolts!$A100,'Kilter Holds'!$P$37:$S$662,4,0),0)</f>
        <v>#NAME?</v>
      </c>
      <c r="C100" s="371">
        <v>1</v>
      </c>
      <c r="D100" s="372">
        <v>0</v>
      </c>
      <c r="E100" s="372">
        <v>0</v>
      </c>
      <c r="F100" s="372">
        <v>0</v>
      </c>
      <c r="G100" s="372">
        <v>0</v>
      </c>
      <c r="H100" s="372">
        <v>0</v>
      </c>
      <c r="I100" s="372">
        <v>0</v>
      </c>
      <c r="J100" s="373">
        <v>0</v>
      </c>
      <c r="K100" s="373">
        <f ca="1">IFERROR(1*B100,0)</f>
        <v>0</v>
      </c>
      <c r="L100" s="374">
        <v>0</v>
      </c>
      <c r="M100" s="373">
        <v>0</v>
      </c>
      <c r="N100" s="373">
        <v>0</v>
      </c>
      <c r="O100" s="373">
        <v>0</v>
      </c>
      <c r="P100" s="373">
        <v>0</v>
      </c>
      <c r="Q100" s="373">
        <v>0</v>
      </c>
      <c r="R100" s="373">
        <v>0</v>
      </c>
      <c r="S100" s="375">
        <v>0</v>
      </c>
      <c r="T100" s="375">
        <v>0</v>
      </c>
      <c r="U100" s="375">
        <v>0</v>
      </c>
      <c r="V100" s="375" t="e">
        <f t="shared" ca="1" si="0"/>
        <v>#NAME?</v>
      </c>
    </row>
    <row r="101" spans="1:22" ht="14.25" hidden="1" customHeight="1">
      <c r="A101" s="376" t="s">
        <v>938</v>
      </c>
      <c r="B101" s="370" t="e">
        <f ca="1">_xludf.IFNA(VLOOKUP(Bolts!$A101,'Kilter Holds'!$P$37:$S$662,4,0),0)</f>
        <v>#NAME?</v>
      </c>
      <c r="C101" s="371">
        <v>4</v>
      </c>
      <c r="D101" s="372">
        <v>0</v>
      </c>
      <c r="E101" s="373">
        <v>0</v>
      </c>
      <c r="F101" s="373">
        <f t="shared" ref="F101:F102" ca="1" si="22">IFERROR(2*B101,0)</f>
        <v>0</v>
      </c>
      <c r="G101" s="373">
        <f t="shared" ref="G101:G102" ca="1" si="23">IFERROR(2*B101,0)</f>
        <v>0</v>
      </c>
      <c r="H101" s="373">
        <v>0</v>
      </c>
      <c r="I101" s="373">
        <v>0</v>
      </c>
      <c r="J101" s="373">
        <v>0</v>
      </c>
      <c r="K101" s="373">
        <v>0</v>
      </c>
      <c r="L101" s="374">
        <v>0</v>
      </c>
      <c r="M101" s="373">
        <v>0</v>
      </c>
      <c r="N101" s="373">
        <v>0</v>
      </c>
      <c r="O101" s="373">
        <v>0</v>
      </c>
      <c r="P101" s="373">
        <v>0</v>
      </c>
      <c r="Q101" s="373">
        <v>0</v>
      </c>
      <c r="R101" s="373">
        <v>0</v>
      </c>
      <c r="S101" s="375">
        <v>0</v>
      </c>
      <c r="T101" s="375">
        <v>0</v>
      </c>
      <c r="U101" s="375">
        <v>0</v>
      </c>
      <c r="V101" s="375" t="e">
        <f t="shared" ca="1" si="0"/>
        <v>#NAME?</v>
      </c>
    </row>
    <row r="102" spans="1:22" ht="14.25" hidden="1" customHeight="1">
      <c r="A102" s="376" t="s">
        <v>940</v>
      </c>
      <c r="B102" s="370" t="e">
        <f ca="1">_xludf.IFNA(VLOOKUP(Bolts!$A102,'Kilter Holds'!$P$37:$S$662,4,0),0)</f>
        <v>#NAME?</v>
      </c>
      <c r="C102" s="371">
        <v>4</v>
      </c>
      <c r="D102" s="372">
        <v>0</v>
      </c>
      <c r="E102" s="373">
        <v>0</v>
      </c>
      <c r="F102" s="373">
        <f t="shared" ca="1" si="22"/>
        <v>0</v>
      </c>
      <c r="G102" s="373">
        <f t="shared" ca="1" si="23"/>
        <v>0</v>
      </c>
      <c r="H102" s="373">
        <v>0</v>
      </c>
      <c r="I102" s="373">
        <v>0</v>
      </c>
      <c r="J102" s="373">
        <v>0</v>
      </c>
      <c r="K102" s="373">
        <v>0</v>
      </c>
      <c r="L102" s="374">
        <v>0</v>
      </c>
      <c r="M102" s="373">
        <v>0</v>
      </c>
      <c r="N102" s="373">
        <v>0</v>
      </c>
      <c r="O102" s="373">
        <v>0</v>
      </c>
      <c r="P102" s="373">
        <v>0</v>
      </c>
      <c r="Q102" s="373">
        <v>0</v>
      </c>
      <c r="R102" s="373">
        <v>0</v>
      </c>
      <c r="S102" s="375">
        <v>0</v>
      </c>
      <c r="T102" s="375">
        <v>0</v>
      </c>
      <c r="U102" s="375">
        <v>0</v>
      </c>
      <c r="V102" s="375" t="e">
        <f t="shared" ca="1" si="0"/>
        <v>#NAME?</v>
      </c>
    </row>
    <row r="103" spans="1:22" ht="14.25" hidden="1" customHeight="1">
      <c r="A103" s="376" t="s">
        <v>735</v>
      </c>
      <c r="B103" s="370" t="e">
        <f ca="1">_xludf.IFNA(VLOOKUP(Bolts!$A103,'Kilter Holds'!$P$37:$S$662,4,0),0)</f>
        <v>#NAME?</v>
      </c>
      <c r="C103" s="371">
        <v>4</v>
      </c>
      <c r="D103" s="372">
        <v>0</v>
      </c>
      <c r="E103" s="373">
        <v>0</v>
      </c>
      <c r="F103" s="373">
        <v>0</v>
      </c>
      <c r="G103" s="373">
        <f ca="1">IFERROR(1*B103,0)</f>
        <v>0</v>
      </c>
      <c r="H103" s="373">
        <f ca="1">IFERROR(2*B103,0)</f>
        <v>0</v>
      </c>
      <c r="I103" s="373">
        <f ca="1">IFERROR(1*B103,0)</f>
        <v>0</v>
      </c>
      <c r="J103" s="373">
        <v>0</v>
      </c>
      <c r="K103" s="373">
        <v>0</v>
      </c>
      <c r="L103" s="374">
        <v>0</v>
      </c>
      <c r="M103" s="373">
        <v>0</v>
      </c>
      <c r="N103" s="373">
        <v>0</v>
      </c>
      <c r="O103" s="373">
        <v>0</v>
      </c>
      <c r="P103" s="373">
        <v>0</v>
      </c>
      <c r="Q103" s="373">
        <v>0</v>
      </c>
      <c r="R103" s="373">
        <v>0</v>
      </c>
      <c r="S103" s="375">
        <v>0</v>
      </c>
      <c r="T103" s="375">
        <v>0</v>
      </c>
      <c r="U103" s="375">
        <v>0</v>
      </c>
      <c r="V103" s="375" t="e">
        <f t="shared" ca="1" si="0"/>
        <v>#NAME?</v>
      </c>
    </row>
    <row r="104" spans="1:22" ht="14.25" hidden="1" customHeight="1">
      <c r="A104" s="376" t="s">
        <v>1093</v>
      </c>
      <c r="B104" s="370" t="e">
        <f ca="1">_xludf.IFNA(VLOOKUP(Bolts!$A104,'Kilter Holds'!$P$37:$S$662,4,0),0)</f>
        <v>#NAME?</v>
      </c>
      <c r="C104" s="371">
        <v>5</v>
      </c>
      <c r="D104" s="372">
        <v>0</v>
      </c>
      <c r="E104" s="373">
        <v>0</v>
      </c>
      <c r="F104" s="373">
        <v>0</v>
      </c>
      <c r="G104" s="373">
        <f ca="1">IFERROR(5*B104,0)</f>
        <v>0</v>
      </c>
      <c r="H104" s="373">
        <v>0</v>
      </c>
      <c r="I104" s="373">
        <v>0</v>
      </c>
      <c r="J104" s="373">
        <v>0</v>
      </c>
      <c r="K104" s="373">
        <v>0</v>
      </c>
      <c r="L104" s="374">
        <v>0</v>
      </c>
      <c r="M104" s="373">
        <v>0</v>
      </c>
      <c r="N104" s="373">
        <v>0</v>
      </c>
      <c r="O104" s="373">
        <v>0</v>
      </c>
      <c r="P104" s="373">
        <v>0</v>
      </c>
      <c r="Q104" s="373">
        <v>0</v>
      </c>
      <c r="R104" s="373">
        <v>0</v>
      </c>
      <c r="S104" s="375">
        <v>0</v>
      </c>
      <c r="T104" s="375">
        <v>0</v>
      </c>
      <c r="U104" s="375">
        <v>0</v>
      </c>
      <c r="V104" s="375" t="e">
        <f t="shared" ca="1" si="0"/>
        <v>#NAME?</v>
      </c>
    </row>
    <row r="105" spans="1:22" ht="14.25" hidden="1" customHeight="1">
      <c r="A105" s="376" t="s">
        <v>1133</v>
      </c>
      <c r="B105" s="370" t="e">
        <f ca="1">_xludf.IFNA(VLOOKUP(Bolts!$A105,'Kilter Holds'!$P$37:$S$662,4,0),0)</f>
        <v>#NAME?</v>
      </c>
      <c r="C105" s="371">
        <v>10</v>
      </c>
      <c r="D105" s="372">
        <v>0</v>
      </c>
      <c r="E105" s="373">
        <f ca="1">IFERROR(10*B105,0)</f>
        <v>0</v>
      </c>
      <c r="F105" s="373">
        <v>0</v>
      </c>
      <c r="G105" s="373">
        <v>0</v>
      </c>
      <c r="H105" s="373">
        <v>0</v>
      </c>
      <c r="I105" s="373">
        <v>0</v>
      </c>
      <c r="J105" s="373">
        <v>0</v>
      </c>
      <c r="K105" s="373">
        <v>0</v>
      </c>
      <c r="L105" s="374">
        <v>0</v>
      </c>
      <c r="M105" s="373">
        <v>0</v>
      </c>
      <c r="N105" s="373">
        <v>0</v>
      </c>
      <c r="O105" s="373">
        <v>0</v>
      </c>
      <c r="P105" s="373">
        <v>0</v>
      </c>
      <c r="Q105" s="373">
        <v>0</v>
      </c>
      <c r="R105" s="373">
        <v>0</v>
      </c>
      <c r="S105" s="375">
        <v>0</v>
      </c>
      <c r="T105" s="375">
        <v>0</v>
      </c>
      <c r="U105" s="375">
        <v>0</v>
      </c>
      <c r="V105" s="375" t="e">
        <f t="shared" ca="1" si="0"/>
        <v>#NAME?</v>
      </c>
    </row>
    <row r="106" spans="1:22" ht="14.25" hidden="1" customHeight="1">
      <c r="A106" s="377" t="s">
        <v>984</v>
      </c>
      <c r="B106" s="370" t="e">
        <f ca="1">_xludf.IFNA(VLOOKUP(Bolts!$A106,'Kilter Holds'!$P$37:$S$662,4,0),0)</f>
        <v>#NAME?</v>
      </c>
      <c r="C106" s="371">
        <v>20</v>
      </c>
      <c r="D106" s="373">
        <f ca="1">IFERROR(20*B106,0)</f>
        <v>0</v>
      </c>
      <c r="E106" s="373">
        <v>0</v>
      </c>
      <c r="F106" s="373">
        <v>0</v>
      </c>
      <c r="G106" s="373">
        <v>0</v>
      </c>
      <c r="H106" s="373">
        <v>0</v>
      </c>
      <c r="I106" s="373">
        <v>0</v>
      </c>
      <c r="J106" s="373">
        <v>0</v>
      </c>
      <c r="K106" s="373">
        <v>0</v>
      </c>
      <c r="L106" s="374">
        <v>0</v>
      </c>
      <c r="M106" s="373">
        <v>0</v>
      </c>
      <c r="N106" s="373">
        <v>0</v>
      </c>
      <c r="O106" s="373">
        <v>0</v>
      </c>
      <c r="P106" s="373">
        <v>0</v>
      </c>
      <c r="Q106" s="373">
        <v>0</v>
      </c>
      <c r="R106" s="373">
        <v>0</v>
      </c>
      <c r="S106" s="375">
        <v>0</v>
      </c>
      <c r="T106" s="375">
        <v>0</v>
      </c>
      <c r="U106" s="375">
        <v>0</v>
      </c>
      <c r="V106" s="375" t="e">
        <f t="shared" ca="1" si="0"/>
        <v>#NAME?</v>
      </c>
    </row>
    <row r="107" spans="1:22" ht="14.25" hidden="1" customHeight="1">
      <c r="A107" s="376" t="s">
        <v>1167</v>
      </c>
      <c r="B107" s="370" t="e">
        <f ca="1">_xludf.IFNA(VLOOKUP(Bolts!$A107,'Kilter Holds'!$P$37:$S$662,4,0),0)</f>
        <v>#NAME?</v>
      </c>
      <c r="C107" s="371">
        <v>10</v>
      </c>
      <c r="D107" s="373">
        <f t="shared" ref="D107:D114" ca="1" si="24">IFERROR(10*B107,0)</f>
        <v>0</v>
      </c>
      <c r="E107" s="373">
        <v>0</v>
      </c>
      <c r="F107" s="373">
        <v>0</v>
      </c>
      <c r="G107" s="373">
        <v>0</v>
      </c>
      <c r="H107" s="373">
        <v>0</v>
      </c>
      <c r="I107" s="373">
        <v>0</v>
      </c>
      <c r="J107" s="373">
        <v>0</v>
      </c>
      <c r="K107" s="373">
        <v>0</v>
      </c>
      <c r="L107" s="374">
        <v>0</v>
      </c>
      <c r="M107" s="373">
        <v>0</v>
      </c>
      <c r="N107" s="373">
        <v>0</v>
      </c>
      <c r="O107" s="373">
        <v>0</v>
      </c>
      <c r="P107" s="373">
        <v>0</v>
      </c>
      <c r="Q107" s="373">
        <v>0</v>
      </c>
      <c r="R107" s="373">
        <v>0</v>
      </c>
      <c r="S107" s="375">
        <v>0</v>
      </c>
      <c r="T107" s="375">
        <v>0</v>
      </c>
      <c r="U107" s="375">
        <v>0</v>
      </c>
      <c r="V107" s="375" t="e">
        <f t="shared" ca="1" si="0"/>
        <v>#NAME?</v>
      </c>
    </row>
    <row r="108" spans="1:22" ht="14.25" hidden="1" customHeight="1">
      <c r="A108" s="376" t="s">
        <v>986</v>
      </c>
      <c r="B108" s="370" t="e">
        <f ca="1">_xludf.IFNA(VLOOKUP(Bolts!$A108,'Kilter Holds'!$P$37:$S$662,4,0),0)</f>
        <v>#NAME?</v>
      </c>
      <c r="C108" s="371">
        <v>10</v>
      </c>
      <c r="D108" s="373">
        <f t="shared" ca="1" si="24"/>
        <v>0</v>
      </c>
      <c r="E108" s="373">
        <v>0</v>
      </c>
      <c r="F108" s="373">
        <v>0</v>
      </c>
      <c r="G108" s="373">
        <v>0</v>
      </c>
      <c r="H108" s="373">
        <v>0</v>
      </c>
      <c r="I108" s="373">
        <v>0</v>
      </c>
      <c r="J108" s="373">
        <v>0</v>
      </c>
      <c r="K108" s="373">
        <v>0</v>
      </c>
      <c r="L108" s="374">
        <v>0</v>
      </c>
      <c r="M108" s="373">
        <v>0</v>
      </c>
      <c r="N108" s="373">
        <v>0</v>
      </c>
      <c r="O108" s="373">
        <v>0</v>
      </c>
      <c r="P108" s="373">
        <v>0</v>
      </c>
      <c r="Q108" s="373">
        <v>0</v>
      </c>
      <c r="R108" s="373">
        <v>0</v>
      </c>
      <c r="S108" s="375">
        <v>0</v>
      </c>
      <c r="T108" s="375">
        <v>0</v>
      </c>
      <c r="U108" s="375">
        <v>0</v>
      </c>
      <c r="V108" s="375" t="e">
        <f t="shared" ca="1" si="0"/>
        <v>#NAME?</v>
      </c>
    </row>
    <row r="109" spans="1:22" ht="14.25" hidden="1" customHeight="1">
      <c r="A109" s="376" t="s">
        <v>988</v>
      </c>
      <c r="B109" s="370" t="e">
        <f ca="1">_xludf.IFNA(VLOOKUP(Bolts!$A109,'Kilter Holds'!$P$37:$S$662,4,0),0)</f>
        <v>#NAME?</v>
      </c>
      <c r="C109" s="371">
        <v>10</v>
      </c>
      <c r="D109" s="373">
        <f t="shared" ca="1" si="24"/>
        <v>0</v>
      </c>
      <c r="E109" s="373">
        <v>0</v>
      </c>
      <c r="F109" s="373">
        <v>0</v>
      </c>
      <c r="G109" s="373">
        <v>0</v>
      </c>
      <c r="H109" s="373">
        <v>0</v>
      </c>
      <c r="I109" s="373">
        <v>0</v>
      </c>
      <c r="J109" s="373">
        <v>0</v>
      </c>
      <c r="K109" s="373">
        <v>0</v>
      </c>
      <c r="L109" s="374">
        <v>0</v>
      </c>
      <c r="M109" s="373">
        <v>0</v>
      </c>
      <c r="N109" s="373">
        <v>0</v>
      </c>
      <c r="O109" s="373">
        <v>0</v>
      </c>
      <c r="P109" s="373">
        <v>0</v>
      </c>
      <c r="Q109" s="373">
        <v>0</v>
      </c>
      <c r="R109" s="373">
        <v>0</v>
      </c>
      <c r="S109" s="375">
        <v>0</v>
      </c>
      <c r="T109" s="375">
        <v>0</v>
      </c>
      <c r="U109" s="375">
        <v>0</v>
      </c>
      <c r="V109" s="375" t="e">
        <f t="shared" ca="1" si="0"/>
        <v>#NAME?</v>
      </c>
    </row>
    <row r="110" spans="1:22" ht="14.25" hidden="1" customHeight="1">
      <c r="A110" s="376" t="s">
        <v>1135</v>
      </c>
      <c r="B110" s="370" t="e">
        <f ca="1">_xludf.IFNA(VLOOKUP(Bolts!$A110,'Kilter Holds'!$P$37:$S$662,4,0),0)</f>
        <v>#NAME?</v>
      </c>
      <c r="C110" s="371">
        <v>10</v>
      </c>
      <c r="D110" s="373">
        <f t="shared" ca="1" si="24"/>
        <v>0</v>
      </c>
      <c r="E110" s="373">
        <f>IFERROR(3*A110,0)</f>
        <v>0</v>
      </c>
      <c r="F110" s="373">
        <v>0</v>
      </c>
      <c r="G110" s="373">
        <v>0</v>
      </c>
      <c r="H110" s="373">
        <v>0</v>
      </c>
      <c r="I110" s="373">
        <v>0</v>
      </c>
      <c r="J110" s="373">
        <v>0</v>
      </c>
      <c r="K110" s="373">
        <v>0</v>
      </c>
      <c r="L110" s="374">
        <v>0</v>
      </c>
      <c r="M110" s="373">
        <v>0</v>
      </c>
      <c r="N110" s="373">
        <v>0</v>
      </c>
      <c r="O110" s="373">
        <v>0</v>
      </c>
      <c r="P110" s="373">
        <v>0</v>
      </c>
      <c r="Q110" s="373">
        <v>0</v>
      </c>
      <c r="R110" s="373">
        <v>0</v>
      </c>
      <c r="S110" s="375">
        <v>0</v>
      </c>
      <c r="T110" s="375">
        <v>0</v>
      </c>
      <c r="U110" s="375">
        <v>0</v>
      </c>
      <c r="V110" s="375" t="e">
        <f t="shared" ca="1" si="0"/>
        <v>#NAME?</v>
      </c>
    </row>
    <row r="111" spans="1:22" ht="14.25" hidden="1" customHeight="1">
      <c r="A111" s="376" t="s">
        <v>1137</v>
      </c>
      <c r="B111" s="370" t="e">
        <f ca="1">_xludf.IFNA(VLOOKUP(Bolts!$A111,'Kilter Holds'!$P$37:$S$662,4,0),0)</f>
        <v>#NAME?</v>
      </c>
      <c r="C111" s="371">
        <v>10</v>
      </c>
      <c r="D111" s="373">
        <f t="shared" ca="1" si="24"/>
        <v>0</v>
      </c>
      <c r="E111" s="373">
        <v>0</v>
      </c>
      <c r="F111" s="373">
        <v>0</v>
      </c>
      <c r="G111" s="373">
        <v>0</v>
      </c>
      <c r="H111" s="373">
        <v>0</v>
      </c>
      <c r="I111" s="373">
        <v>0</v>
      </c>
      <c r="J111" s="373">
        <v>0</v>
      </c>
      <c r="K111" s="373">
        <v>0</v>
      </c>
      <c r="L111" s="374">
        <v>0</v>
      </c>
      <c r="M111" s="373">
        <v>0</v>
      </c>
      <c r="N111" s="373">
        <v>0</v>
      </c>
      <c r="O111" s="373">
        <v>0</v>
      </c>
      <c r="P111" s="373">
        <v>0</v>
      </c>
      <c r="Q111" s="373">
        <v>0</v>
      </c>
      <c r="R111" s="373">
        <v>0</v>
      </c>
      <c r="S111" s="375">
        <v>0</v>
      </c>
      <c r="T111" s="375">
        <v>0</v>
      </c>
      <c r="U111" s="375">
        <v>0</v>
      </c>
      <c r="V111" s="375" t="e">
        <f t="shared" ca="1" si="0"/>
        <v>#NAME?</v>
      </c>
    </row>
    <row r="112" spans="1:22" ht="14.25" hidden="1" customHeight="1">
      <c r="A112" s="376" t="s">
        <v>990</v>
      </c>
      <c r="B112" s="370" t="e">
        <f ca="1">_xludf.IFNA(VLOOKUP(Bolts!$A112,'Kilter Holds'!$P$37:$S$662,4,0),0)</f>
        <v>#NAME?</v>
      </c>
      <c r="C112" s="371">
        <v>10</v>
      </c>
      <c r="D112" s="373">
        <f t="shared" ca="1" si="24"/>
        <v>0</v>
      </c>
      <c r="E112" s="373">
        <v>0</v>
      </c>
      <c r="F112" s="373">
        <v>0</v>
      </c>
      <c r="G112" s="373">
        <v>0</v>
      </c>
      <c r="H112" s="373">
        <v>0</v>
      </c>
      <c r="I112" s="373">
        <v>0</v>
      </c>
      <c r="J112" s="373">
        <v>0</v>
      </c>
      <c r="K112" s="373">
        <v>0</v>
      </c>
      <c r="L112" s="374">
        <v>0</v>
      </c>
      <c r="M112" s="373">
        <v>0</v>
      </c>
      <c r="N112" s="373">
        <v>0</v>
      </c>
      <c r="O112" s="373">
        <v>0</v>
      </c>
      <c r="P112" s="373">
        <v>0</v>
      </c>
      <c r="Q112" s="373">
        <v>0</v>
      </c>
      <c r="R112" s="373">
        <v>0</v>
      </c>
      <c r="S112" s="375">
        <v>0</v>
      </c>
      <c r="T112" s="375">
        <v>0</v>
      </c>
      <c r="U112" s="375">
        <v>0</v>
      </c>
      <c r="V112" s="375" t="e">
        <f t="shared" ca="1" si="0"/>
        <v>#NAME?</v>
      </c>
    </row>
    <row r="113" spans="1:22" ht="14.25" hidden="1" customHeight="1">
      <c r="A113" s="376" t="s">
        <v>992</v>
      </c>
      <c r="B113" s="370" t="e">
        <f ca="1">_xludf.IFNA(VLOOKUP(Bolts!$A113,'Kilter Holds'!$P$37:$S$662,4,0),0)</f>
        <v>#NAME?</v>
      </c>
      <c r="C113" s="371">
        <v>10</v>
      </c>
      <c r="D113" s="373">
        <f t="shared" ca="1" si="24"/>
        <v>0</v>
      </c>
      <c r="E113" s="373">
        <v>0</v>
      </c>
      <c r="F113" s="373">
        <v>0</v>
      </c>
      <c r="G113" s="373">
        <v>0</v>
      </c>
      <c r="H113" s="373">
        <v>0</v>
      </c>
      <c r="I113" s="373">
        <v>0</v>
      </c>
      <c r="J113" s="373">
        <v>0</v>
      </c>
      <c r="K113" s="373">
        <v>0</v>
      </c>
      <c r="L113" s="374">
        <v>0</v>
      </c>
      <c r="M113" s="373">
        <v>0</v>
      </c>
      <c r="N113" s="373">
        <v>0</v>
      </c>
      <c r="O113" s="373">
        <v>0</v>
      </c>
      <c r="P113" s="373">
        <v>0</v>
      </c>
      <c r="Q113" s="373">
        <v>0</v>
      </c>
      <c r="R113" s="373">
        <v>0</v>
      </c>
      <c r="S113" s="375">
        <v>0</v>
      </c>
      <c r="T113" s="375">
        <v>0</v>
      </c>
      <c r="U113" s="375">
        <v>0</v>
      </c>
      <c r="V113" s="375" t="e">
        <f t="shared" ca="1" si="0"/>
        <v>#NAME?</v>
      </c>
    </row>
    <row r="114" spans="1:22" ht="14.25" hidden="1" customHeight="1">
      <c r="A114" s="376" t="s">
        <v>994</v>
      </c>
      <c r="B114" s="370" t="e">
        <f ca="1">_xludf.IFNA(VLOOKUP(Bolts!$A114,'Kilter Holds'!$P$37:$S$662,4,0),0)</f>
        <v>#NAME?</v>
      </c>
      <c r="C114" s="371">
        <v>10</v>
      </c>
      <c r="D114" s="373">
        <f t="shared" ca="1" si="24"/>
        <v>0</v>
      </c>
      <c r="E114" s="373">
        <v>0</v>
      </c>
      <c r="F114" s="373">
        <v>0</v>
      </c>
      <c r="G114" s="373">
        <v>0</v>
      </c>
      <c r="H114" s="373">
        <v>0</v>
      </c>
      <c r="I114" s="373">
        <v>0</v>
      </c>
      <c r="J114" s="373">
        <v>0</v>
      </c>
      <c r="K114" s="373">
        <v>0</v>
      </c>
      <c r="L114" s="374">
        <v>0</v>
      </c>
      <c r="M114" s="373">
        <v>0</v>
      </c>
      <c r="N114" s="373">
        <v>0</v>
      </c>
      <c r="O114" s="373">
        <v>0</v>
      </c>
      <c r="P114" s="373">
        <v>0</v>
      </c>
      <c r="Q114" s="373">
        <v>0</v>
      </c>
      <c r="R114" s="373">
        <v>0</v>
      </c>
      <c r="S114" s="375">
        <v>0</v>
      </c>
      <c r="T114" s="375">
        <v>0</v>
      </c>
      <c r="U114" s="375">
        <v>0</v>
      </c>
      <c r="V114" s="375" t="e">
        <f t="shared" ca="1" si="0"/>
        <v>#NAME?</v>
      </c>
    </row>
    <row r="115" spans="1:22" ht="14.25" hidden="1" customHeight="1">
      <c r="A115" s="376" t="s">
        <v>996</v>
      </c>
      <c r="B115" s="370" t="e">
        <f ca="1">_xludf.IFNA(VLOOKUP(Bolts!$A115,'Kilter Holds'!$P$37:$S$662,4,0),0)</f>
        <v>#NAME?</v>
      </c>
      <c r="C115" s="371">
        <v>10</v>
      </c>
      <c r="D115" s="373">
        <f ca="1">IFERROR(9*B115,0)</f>
        <v>0</v>
      </c>
      <c r="E115" s="373">
        <f ca="1">IFERROR(1*B115,0)</f>
        <v>0</v>
      </c>
      <c r="F115" s="373">
        <v>0</v>
      </c>
      <c r="G115" s="373">
        <v>0</v>
      </c>
      <c r="H115" s="373">
        <v>0</v>
      </c>
      <c r="I115" s="373">
        <v>0</v>
      </c>
      <c r="J115" s="373">
        <v>0</v>
      </c>
      <c r="K115" s="373">
        <v>0</v>
      </c>
      <c r="L115" s="374">
        <v>0</v>
      </c>
      <c r="M115" s="373">
        <v>0</v>
      </c>
      <c r="N115" s="373">
        <v>0</v>
      </c>
      <c r="O115" s="373">
        <v>0</v>
      </c>
      <c r="P115" s="373">
        <v>0</v>
      </c>
      <c r="Q115" s="373">
        <v>0</v>
      </c>
      <c r="R115" s="373">
        <v>0</v>
      </c>
      <c r="S115" s="375">
        <v>0</v>
      </c>
      <c r="T115" s="375">
        <v>0</v>
      </c>
      <c r="U115" s="375">
        <v>0</v>
      </c>
      <c r="V115" s="375" t="e">
        <f t="shared" ca="1" si="0"/>
        <v>#NAME?</v>
      </c>
    </row>
    <row r="116" spans="1:22" ht="14.25" hidden="1" customHeight="1">
      <c r="A116" s="376" t="s">
        <v>1107</v>
      </c>
      <c r="B116" s="370" t="e">
        <f ca="1">_xludf.IFNA(VLOOKUP(Bolts!$A116,'Kilter Holds'!$P$37:$S$662,4,0),0)</f>
        <v>#NAME?</v>
      </c>
      <c r="C116" s="371">
        <v>5</v>
      </c>
      <c r="D116" s="373">
        <f ca="1">IFERROR(5*B116,0)</f>
        <v>0</v>
      </c>
      <c r="E116" s="373">
        <v>0</v>
      </c>
      <c r="F116" s="373">
        <v>0</v>
      </c>
      <c r="G116" s="373">
        <v>0</v>
      </c>
      <c r="H116" s="373">
        <v>0</v>
      </c>
      <c r="I116" s="373">
        <v>0</v>
      </c>
      <c r="J116" s="373">
        <v>0</v>
      </c>
      <c r="K116" s="373">
        <v>0</v>
      </c>
      <c r="L116" s="374">
        <v>0</v>
      </c>
      <c r="M116" s="373">
        <v>0</v>
      </c>
      <c r="N116" s="373">
        <v>0</v>
      </c>
      <c r="O116" s="373">
        <v>0</v>
      </c>
      <c r="P116" s="373">
        <v>0</v>
      </c>
      <c r="Q116" s="373">
        <v>0</v>
      </c>
      <c r="R116" s="373">
        <v>0</v>
      </c>
      <c r="S116" s="375">
        <v>0</v>
      </c>
      <c r="T116" s="375">
        <v>0</v>
      </c>
      <c r="U116" s="375">
        <v>0</v>
      </c>
      <c r="V116" s="375" t="e">
        <f t="shared" ca="1" si="0"/>
        <v>#NAME?</v>
      </c>
    </row>
    <row r="117" spans="1:22" ht="14.25" hidden="1" customHeight="1">
      <c r="A117" s="376" t="s">
        <v>1024</v>
      </c>
      <c r="B117" s="370" t="e">
        <f ca="1">_xludf.IFNA(VLOOKUP(Bolts!$A117,'Kilter Holds'!$P$37:$S$662,4,0),0)</f>
        <v>#NAME?</v>
      </c>
      <c r="C117" s="371">
        <v>10</v>
      </c>
      <c r="D117" s="373">
        <f t="shared" ref="D117:D122" ca="1" si="25">IFERROR(10*B117,0)</f>
        <v>0</v>
      </c>
      <c r="E117" s="373">
        <v>0</v>
      </c>
      <c r="F117" s="373">
        <v>0</v>
      </c>
      <c r="G117" s="373">
        <v>0</v>
      </c>
      <c r="H117" s="373">
        <v>0</v>
      </c>
      <c r="I117" s="373">
        <v>0</v>
      </c>
      <c r="J117" s="373">
        <v>0</v>
      </c>
      <c r="K117" s="373">
        <v>0</v>
      </c>
      <c r="L117" s="374">
        <v>0</v>
      </c>
      <c r="M117" s="373">
        <v>0</v>
      </c>
      <c r="N117" s="373">
        <v>0</v>
      </c>
      <c r="O117" s="373">
        <v>0</v>
      </c>
      <c r="P117" s="373">
        <v>0</v>
      </c>
      <c r="Q117" s="373">
        <v>0</v>
      </c>
      <c r="R117" s="373">
        <v>0</v>
      </c>
      <c r="S117" s="375">
        <v>0</v>
      </c>
      <c r="T117" s="375">
        <v>0</v>
      </c>
      <c r="U117" s="375">
        <v>0</v>
      </c>
      <c r="V117" s="375" t="e">
        <f t="shared" ca="1" si="0"/>
        <v>#NAME?</v>
      </c>
    </row>
    <row r="118" spans="1:22" ht="14.25" hidden="1" customHeight="1">
      <c r="A118" s="376" t="s">
        <v>1169</v>
      </c>
      <c r="B118" s="370" t="e">
        <f ca="1">_xludf.IFNA(VLOOKUP(Bolts!$A118,'Kilter Holds'!$P$37:$S$662,4,0),0)</f>
        <v>#NAME?</v>
      </c>
      <c r="C118" s="371">
        <v>10</v>
      </c>
      <c r="D118" s="373">
        <f t="shared" ca="1" si="25"/>
        <v>0</v>
      </c>
      <c r="E118" s="373">
        <v>0</v>
      </c>
      <c r="F118" s="373">
        <v>0</v>
      </c>
      <c r="G118" s="373">
        <v>0</v>
      </c>
      <c r="H118" s="373">
        <v>0</v>
      </c>
      <c r="I118" s="373">
        <v>0</v>
      </c>
      <c r="J118" s="373">
        <v>0</v>
      </c>
      <c r="K118" s="373">
        <v>0</v>
      </c>
      <c r="L118" s="374">
        <v>0</v>
      </c>
      <c r="M118" s="373">
        <v>0</v>
      </c>
      <c r="N118" s="373">
        <v>0</v>
      </c>
      <c r="O118" s="373">
        <v>0</v>
      </c>
      <c r="P118" s="373">
        <v>0</v>
      </c>
      <c r="Q118" s="373">
        <v>0</v>
      </c>
      <c r="R118" s="373">
        <v>0</v>
      </c>
      <c r="S118" s="375">
        <v>0</v>
      </c>
      <c r="T118" s="375">
        <v>0</v>
      </c>
      <c r="U118" s="375">
        <v>0</v>
      </c>
      <c r="V118" s="375" t="e">
        <f t="shared" ca="1" si="0"/>
        <v>#NAME?</v>
      </c>
    </row>
    <row r="119" spans="1:22" ht="14.25" hidden="1" customHeight="1">
      <c r="A119" s="376" t="s">
        <v>1026</v>
      </c>
      <c r="B119" s="370" t="e">
        <f ca="1">_xludf.IFNA(VLOOKUP(Bolts!$A119,'Kilter Holds'!$P$37:$S$662,4,0),0)</f>
        <v>#NAME?</v>
      </c>
      <c r="C119" s="371">
        <v>10</v>
      </c>
      <c r="D119" s="373">
        <f t="shared" ca="1" si="25"/>
        <v>0</v>
      </c>
      <c r="E119" s="373">
        <v>0</v>
      </c>
      <c r="F119" s="373">
        <v>0</v>
      </c>
      <c r="G119" s="373">
        <v>0</v>
      </c>
      <c r="H119" s="373">
        <v>0</v>
      </c>
      <c r="I119" s="373">
        <v>0</v>
      </c>
      <c r="J119" s="373">
        <v>0</v>
      </c>
      <c r="K119" s="373">
        <v>0</v>
      </c>
      <c r="L119" s="374">
        <v>0</v>
      </c>
      <c r="M119" s="373">
        <v>0</v>
      </c>
      <c r="N119" s="373">
        <v>0</v>
      </c>
      <c r="O119" s="373">
        <v>0</v>
      </c>
      <c r="P119" s="373">
        <v>0</v>
      </c>
      <c r="Q119" s="373">
        <v>0</v>
      </c>
      <c r="R119" s="373">
        <v>0</v>
      </c>
      <c r="S119" s="375">
        <v>0</v>
      </c>
      <c r="T119" s="375">
        <v>0</v>
      </c>
      <c r="U119" s="375">
        <v>0</v>
      </c>
      <c r="V119" s="375" t="e">
        <f t="shared" ca="1" si="0"/>
        <v>#NAME?</v>
      </c>
    </row>
    <row r="120" spans="1:22" ht="14.25" hidden="1" customHeight="1">
      <c r="A120" s="376" t="s">
        <v>1171</v>
      </c>
      <c r="B120" s="370" t="e">
        <f ca="1">_xludf.IFNA(VLOOKUP(Bolts!$A120,'Kilter Holds'!$P$37:$S$662,4,0),0)</f>
        <v>#NAME?</v>
      </c>
      <c r="C120" s="371">
        <v>10</v>
      </c>
      <c r="D120" s="373">
        <f t="shared" ca="1" si="25"/>
        <v>0</v>
      </c>
      <c r="E120" s="373">
        <v>0</v>
      </c>
      <c r="F120" s="373">
        <v>0</v>
      </c>
      <c r="G120" s="373">
        <v>0</v>
      </c>
      <c r="H120" s="373">
        <v>0</v>
      </c>
      <c r="I120" s="373">
        <v>0</v>
      </c>
      <c r="J120" s="373">
        <v>0</v>
      </c>
      <c r="K120" s="373">
        <v>0</v>
      </c>
      <c r="L120" s="374">
        <v>0</v>
      </c>
      <c r="M120" s="373">
        <v>0</v>
      </c>
      <c r="N120" s="373">
        <v>0</v>
      </c>
      <c r="O120" s="373">
        <v>0</v>
      </c>
      <c r="P120" s="373">
        <v>0</v>
      </c>
      <c r="Q120" s="373">
        <v>0</v>
      </c>
      <c r="R120" s="373">
        <v>0</v>
      </c>
      <c r="S120" s="375">
        <v>0</v>
      </c>
      <c r="T120" s="375">
        <v>0</v>
      </c>
      <c r="U120" s="375">
        <v>0</v>
      </c>
      <c r="V120" s="375" t="e">
        <f t="shared" ca="1" si="0"/>
        <v>#NAME?</v>
      </c>
    </row>
    <row r="121" spans="1:22" ht="14.25" hidden="1" customHeight="1">
      <c r="A121" s="376" t="s">
        <v>1139</v>
      </c>
      <c r="B121" s="370" t="e">
        <f ca="1">_xludf.IFNA(VLOOKUP(Bolts!$A121,'Kilter Holds'!$P$37:$S$662,4,0),0)</f>
        <v>#NAME?</v>
      </c>
      <c r="C121" s="371">
        <v>10</v>
      </c>
      <c r="D121" s="373">
        <f t="shared" ca="1" si="25"/>
        <v>0</v>
      </c>
      <c r="E121" s="373">
        <v>0</v>
      </c>
      <c r="F121" s="373">
        <v>0</v>
      </c>
      <c r="G121" s="373">
        <v>0</v>
      </c>
      <c r="H121" s="373">
        <v>0</v>
      </c>
      <c r="I121" s="373">
        <v>0</v>
      </c>
      <c r="J121" s="373">
        <v>0</v>
      </c>
      <c r="K121" s="373">
        <v>0</v>
      </c>
      <c r="L121" s="374">
        <v>0</v>
      </c>
      <c r="M121" s="373">
        <v>0</v>
      </c>
      <c r="N121" s="373">
        <v>0</v>
      </c>
      <c r="O121" s="373">
        <v>0</v>
      </c>
      <c r="P121" s="373">
        <v>0</v>
      </c>
      <c r="Q121" s="373">
        <v>0</v>
      </c>
      <c r="R121" s="373">
        <v>0</v>
      </c>
      <c r="S121" s="375">
        <v>0</v>
      </c>
      <c r="T121" s="375">
        <v>0</v>
      </c>
      <c r="U121" s="375">
        <v>0</v>
      </c>
      <c r="V121" s="375" t="e">
        <f t="shared" ca="1" si="0"/>
        <v>#NAME?</v>
      </c>
    </row>
    <row r="122" spans="1:22" ht="14.25" hidden="1" customHeight="1">
      <c r="A122" s="376" t="s">
        <v>998</v>
      </c>
      <c r="B122" s="370" t="e">
        <f ca="1">_xludf.IFNA(VLOOKUP(Bolts!$A122,'Kilter Holds'!$P$37:$S$662,4,0),0)</f>
        <v>#NAME?</v>
      </c>
      <c r="C122" s="371">
        <v>10</v>
      </c>
      <c r="D122" s="373">
        <f t="shared" ca="1" si="25"/>
        <v>0</v>
      </c>
      <c r="E122" s="373">
        <v>0</v>
      </c>
      <c r="F122" s="373">
        <v>0</v>
      </c>
      <c r="G122" s="373">
        <v>0</v>
      </c>
      <c r="H122" s="373">
        <v>0</v>
      </c>
      <c r="I122" s="373">
        <v>0</v>
      </c>
      <c r="J122" s="373">
        <v>0</v>
      </c>
      <c r="K122" s="373">
        <v>0</v>
      </c>
      <c r="L122" s="374">
        <v>0</v>
      </c>
      <c r="M122" s="373">
        <v>0</v>
      </c>
      <c r="N122" s="373">
        <v>0</v>
      </c>
      <c r="O122" s="373">
        <v>0</v>
      </c>
      <c r="P122" s="373">
        <v>0</v>
      </c>
      <c r="Q122" s="373">
        <v>0</v>
      </c>
      <c r="R122" s="373">
        <v>0</v>
      </c>
      <c r="S122" s="375">
        <v>0</v>
      </c>
      <c r="T122" s="375">
        <v>0</v>
      </c>
      <c r="U122" s="375">
        <v>0</v>
      </c>
      <c r="V122" s="375" t="e">
        <f t="shared" ca="1" si="0"/>
        <v>#NAME?</v>
      </c>
    </row>
    <row r="123" spans="1:22" ht="14.25" hidden="1" customHeight="1">
      <c r="A123" s="376" t="s">
        <v>1109</v>
      </c>
      <c r="B123" s="370" t="e">
        <f ca="1">_xludf.IFNA(VLOOKUP(Bolts!$A123,'Kilter Holds'!$P$37:$S$662,4,0),0)</f>
        <v>#NAME?</v>
      </c>
      <c r="C123" s="371">
        <v>5</v>
      </c>
      <c r="D123" s="373">
        <v>0</v>
      </c>
      <c r="E123" s="373">
        <f ca="1">IFERROR(5*B123,0)</f>
        <v>0</v>
      </c>
      <c r="F123" s="373">
        <v>0</v>
      </c>
      <c r="G123" s="373">
        <v>0</v>
      </c>
      <c r="H123" s="373">
        <v>0</v>
      </c>
      <c r="I123" s="373">
        <v>0</v>
      </c>
      <c r="J123" s="373">
        <v>0</v>
      </c>
      <c r="K123" s="373">
        <v>0</v>
      </c>
      <c r="L123" s="374">
        <v>0</v>
      </c>
      <c r="M123" s="373">
        <v>0</v>
      </c>
      <c r="N123" s="373">
        <v>0</v>
      </c>
      <c r="O123" s="373">
        <v>0</v>
      </c>
      <c r="P123" s="373">
        <v>0</v>
      </c>
      <c r="Q123" s="373">
        <v>0</v>
      </c>
      <c r="R123" s="373">
        <v>0</v>
      </c>
      <c r="S123" s="375">
        <v>0</v>
      </c>
      <c r="T123" s="375">
        <v>0</v>
      </c>
      <c r="U123" s="375">
        <v>0</v>
      </c>
      <c r="V123" s="375" t="e">
        <f t="shared" ca="1" si="0"/>
        <v>#NAME?</v>
      </c>
    </row>
    <row r="124" spans="1:22" ht="14.25" hidden="1" customHeight="1">
      <c r="A124" s="376" t="s">
        <v>1111</v>
      </c>
      <c r="B124" s="370" t="e">
        <f ca="1">_xludf.IFNA(VLOOKUP(Bolts!$A124,'Kilter Holds'!$P$37:$S$662,4,0),0)</f>
        <v>#NAME?</v>
      </c>
      <c r="C124" s="371">
        <v>5</v>
      </c>
      <c r="D124" s="373">
        <f ca="1">IFERROR(5*B124,0)</f>
        <v>0</v>
      </c>
      <c r="E124" s="373">
        <v>0</v>
      </c>
      <c r="F124" s="373">
        <v>0</v>
      </c>
      <c r="G124" s="373">
        <v>0</v>
      </c>
      <c r="H124" s="373">
        <v>0</v>
      </c>
      <c r="I124" s="373">
        <v>0</v>
      </c>
      <c r="J124" s="373">
        <v>0</v>
      </c>
      <c r="K124" s="373">
        <v>0</v>
      </c>
      <c r="L124" s="374">
        <v>0</v>
      </c>
      <c r="M124" s="373">
        <v>0</v>
      </c>
      <c r="N124" s="373">
        <v>0</v>
      </c>
      <c r="O124" s="373">
        <v>0</v>
      </c>
      <c r="P124" s="373">
        <v>0</v>
      </c>
      <c r="Q124" s="373">
        <v>0</v>
      </c>
      <c r="R124" s="373">
        <v>0</v>
      </c>
      <c r="S124" s="375">
        <v>0</v>
      </c>
      <c r="T124" s="375">
        <v>0</v>
      </c>
      <c r="U124" s="375">
        <v>0</v>
      </c>
      <c r="V124" s="375" t="e">
        <f t="shared" ca="1" si="0"/>
        <v>#NAME?</v>
      </c>
    </row>
    <row r="125" spans="1:22" ht="14.25" hidden="1" customHeight="1">
      <c r="A125" s="376" t="s">
        <v>1113</v>
      </c>
      <c r="B125" s="370" t="e">
        <f ca="1">_xludf.IFNA(VLOOKUP(Bolts!$A125,'Kilter Holds'!$P$37:$S$662,4,0),0)</f>
        <v>#NAME?</v>
      </c>
      <c r="C125" s="371">
        <v>5</v>
      </c>
      <c r="D125" s="373">
        <f ca="1">IFERROR(4*B125,0)</f>
        <v>0</v>
      </c>
      <c r="E125" s="373">
        <f ca="1">IFERROR(1*B125,0)</f>
        <v>0</v>
      </c>
      <c r="F125" s="373">
        <v>0</v>
      </c>
      <c r="G125" s="373">
        <v>0</v>
      </c>
      <c r="H125" s="373">
        <v>0</v>
      </c>
      <c r="I125" s="373">
        <v>0</v>
      </c>
      <c r="J125" s="373">
        <v>0</v>
      </c>
      <c r="K125" s="373">
        <v>0</v>
      </c>
      <c r="L125" s="374">
        <v>0</v>
      </c>
      <c r="M125" s="373">
        <v>0</v>
      </c>
      <c r="N125" s="373">
        <v>0</v>
      </c>
      <c r="O125" s="373">
        <v>0</v>
      </c>
      <c r="P125" s="373">
        <v>0</v>
      </c>
      <c r="Q125" s="373">
        <v>0</v>
      </c>
      <c r="R125" s="373">
        <v>0</v>
      </c>
      <c r="S125" s="375">
        <v>0</v>
      </c>
      <c r="T125" s="375">
        <v>0</v>
      </c>
      <c r="U125" s="375">
        <v>0</v>
      </c>
      <c r="V125" s="375" t="e">
        <f t="shared" ca="1" si="0"/>
        <v>#NAME?</v>
      </c>
    </row>
    <row r="126" spans="1:22" ht="14.25" hidden="1" customHeight="1">
      <c r="A126" s="376" t="s">
        <v>1028</v>
      </c>
      <c r="B126" s="370" t="e">
        <f ca="1">_xludf.IFNA(VLOOKUP(Bolts!$A126,'Kilter Holds'!$P$37:$S$662,4,0),0)</f>
        <v>#NAME?</v>
      </c>
      <c r="C126" s="371">
        <v>10</v>
      </c>
      <c r="D126" s="373">
        <f t="shared" ref="D126:D127" ca="1" si="26">IFERROR(10*B126,0)</f>
        <v>0</v>
      </c>
      <c r="E126" s="373">
        <v>0</v>
      </c>
      <c r="F126" s="373">
        <v>0</v>
      </c>
      <c r="G126" s="373">
        <v>0</v>
      </c>
      <c r="H126" s="373">
        <v>0</v>
      </c>
      <c r="I126" s="373">
        <v>0</v>
      </c>
      <c r="J126" s="373">
        <v>0</v>
      </c>
      <c r="K126" s="373">
        <v>0</v>
      </c>
      <c r="L126" s="374">
        <v>0</v>
      </c>
      <c r="M126" s="373">
        <v>0</v>
      </c>
      <c r="N126" s="373">
        <v>0</v>
      </c>
      <c r="O126" s="373">
        <v>0</v>
      </c>
      <c r="P126" s="373">
        <v>0</v>
      </c>
      <c r="Q126" s="373">
        <v>0</v>
      </c>
      <c r="R126" s="373">
        <v>0</v>
      </c>
      <c r="S126" s="375">
        <v>0</v>
      </c>
      <c r="T126" s="375">
        <v>0</v>
      </c>
      <c r="U126" s="375">
        <v>0</v>
      </c>
      <c r="V126" s="375" t="e">
        <f t="shared" ca="1" si="0"/>
        <v>#NAME?</v>
      </c>
    </row>
    <row r="127" spans="1:22" ht="14.25" hidden="1" customHeight="1">
      <c r="A127" s="376" t="s">
        <v>1141</v>
      </c>
      <c r="B127" s="370" t="e">
        <f ca="1">_xludf.IFNA(VLOOKUP(Bolts!$A127,'Kilter Holds'!$P$37:$S$662,4,0),0)</f>
        <v>#NAME?</v>
      </c>
      <c r="C127" s="371">
        <v>10</v>
      </c>
      <c r="D127" s="373">
        <f t="shared" ca="1" si="26"/>
        <v>0</v>
      </c>
      <c r="E127" s="373">
        <v>0</v>
      </c>
      <c r="F127" s="373">
        <v>0</v>
      </c>
      <c r="G127" s="373">
        <v>0</v>
      </c>
      <c r="H127" s="373">
        <v>0</v>
      </c>
      <c r="I127" s="373">
        <v>0</v>
      </c>
      <c r="J127" s="373">
        <v>0</v>
      </c>
      <c r="K127" s="373">
        <v>0</v>
      </c>
      <c r="L127" s="374">
        <v>0</v>
      </c>
      <c r="M127" s="373">
        <v>0</v>
      </c>
      <c r="N127" s="373">
        <v>0</v>
      </c>
      <c r="O127" s="373">
        <v>0</v>
      </c>
      <c r="P127" s="373">
        <v>0</v>
      </c>
      <c r="Q127" s="373">
        <v>0</v>
      </c>
      <c r="R127" s="373">
        <v>0</v>
      </c>
      <c r="S127" s="375">
        <v>0</v>
      </c>
      <c r="T127" s="375">
        <v>0</v>
      </c>
      <c r="U127" s="375">
        <v>0</v>
      </c>
      <c r="V127" s="375" t="e">
        <f t="shared" ca="1" si="0"/>
        <v>#NAME?</v>
      </c>
    </row>
    <row r="128" spans="1:22" ht="14.25" hidden="1" customHeight="1">
      <c r="A128" s="376" t="s">
        <v>1179</v>
      </c>
      <c r="B128" s="370" t="e">
        <f ca="1">_xludf.IFNA(VLOOKUP(Bolts!$A128,'Kilter Holds'!$P$37:$S$662,4,0),0)</f>
        <v>#NAME?</v>
      </c>
      <c r="C128" s="371">
        <v>20</v>
      </c>
      <c r="D128" s="373">
        <f ca="1">IFERROR(20*B128,0)</f>
        <v>0</v>
      </c>
      <c r="E128" s="373">
        <v>0</v>
      </c>
      <c r="F128" s="373">
        <v>0</v>
      </c>
      <c r="G128" s="373">
        <v>0</v>
      </c>
      <c r="H128" s="373">
        <v>0</v>
      </c>
      <c r="I128" s="373">
        <v>0</v>
      </c>
      <c r="J128" s="373">
        <v>0</v>
      </c>
      <c r="K128" s="373">
        <v>0</v>
      </c>
      <c r="L128" s="374">
        <v>0</v>
      </c>
      <c r="M128" s="373">
        <v>0</v>
      </c>
      <c r="N128" s="373">
        <v>0</v>
      </c>
      <c r="O128" s="373">
        <v>0</v>
      </c>
      <c r="P128" s="373">
        <v>0</v>
      </c>
      <c r="Q128" s="373">
        <v>0</v>
      </c>
      <c r="R128" s="373">
        <v>0</v>
      </c>
      <c r="S128" s="375">
        <v>0</v>
      </c>
      <c r="T128" s="375">
        <v>0</v>
      </c>
      <c r="U128" s="375">
        <v>0</v>
      </c>
      <c r="V128" s="375" t="e">
        <f t="shared" ca="1" si="0"/>
        <v>#NAME?</v>
      </c>
    </row>
    <row r="129" spans="1:22" ht="14.25" hidden="1" customHeight="1">
      <c r="A129" s="376" t="s">
        <v>1173</v>
      </c>
      <c r="B129" s="370" t="e">
        <f ca="1">_xludf.IFNA(VLOOKUP(Bolts!$A129,'Kilter Holds'!$P$37:$S$662,4,0),0)</f>
        <v>#NAME?</v>
      </c>
      <c r="C129" s="371">
        <v>10</v>
      </c>
      <c r="D129" s="373">
        <f t="shared" ref="D129:D133" ca="1" si="27">IFERROR(10*B129,0)</f>
        <v>0</v>
      </c>
      <c r="E129" s="373">
        <v>0</v>
      </c>
      <c r="F129" s="373">
        <v>0</v>
      </c>
      <c r="G129" s="373">
        <v>0</v>
      </c>
      <c r="H129" s="373">
        <v>0</v>
      </c>
      <c r="I129" s="373">
        <v>0</v>
      </c>
      <c r="J129" s="373">
        <v>0</v>
      </c>
      <c r="K129" s="373">
        <v>0</v>
      </c>
      <c r="L129" s="374">
        <v>0</v>
      </c>
      <c r="M129" s="373">
        <v>0</v>
      </c>
      <c r="N129" s="373">
        <v>0</v>
      </c>
      <c r="O129" s="373">
        <v>0</v>
      </c>
      <c r="P129" s="373">
        <v>0</v>
      </c>
      <c r="Q129" s="373">
        <v>0</v>
      </c>
      <c r="R129" s="373">
        <v>0</v>
      </c>
      <c r="S129" s="375">
        <v>0</v>
      </c>
      <c r="T129" s="375">
        <v>0</v>
      </c>
      <c r="U129" s="375">
        <v>0</v>
      </c>
      <c r="V129" s="375" t="e">
        <f t="shared" ca="1" si="0"/>
        <v>#NAME?</v>
      </c>
    </row>
    <row r="130" spans="1:22" ht="14.25" hidden="1" customHeight="1">
      <c r="A130" s="376" t="s">
        <v>1030</v>
      </c>
      <c r="B130" s="370" t="e">
        <f ca="1">_xludf.IFNA(VLOOKUP(Bolts!$A130,'Kilter Holds'!$P$37:$S$662,4,0),0)</f>
        <v>#NAME?</v>
      </c>
      <c r="C130" s="371">
        <v>10</v>
      </c>
      <c r="D130" s="373">
        <f t="shared" ca="1" si="27"/>
        <v>0</v>
      </c>
      <c r="E130" s="373">
        <v>0</v>
      </c>
      <c r="F130" s="373">
        <v>0</v>
      </c>
      <c r="G130" s="373">
        <v>0</v>
      </c>
      <c r="H130" s="373">
        <v>0</v>
      </c>
      <c r="I130" s="373">
        <v>0</v>
      </c>
      <c r="J130" s="373">
        <v>0</v>
      </c>
      <c r="K130" s="373">
        <v>0</v>
      </c>
      <c r="L130" s="374">
        <v>0</v>
      </c>
      <c r="M130" s="373">
        <v>0</v>
      </c>
      <c r="N130" s="373">
        <v>0</v>
      </c>
      <c r="O130" s="373">
        <v>0</v>
      </c>
      <c r="P130" s="373">
        <v>0</v>
      </c>
      <c r="Q130" s="373">
        <v>0</v>
      </c>
      <c r="R130" s="373">
        <v>0</v>
      </c>
      <c r="S130" s="375">
        <v>0</v>
      </c>
      <c r="T130" s="375">
        <v>0</v>
      </c>
      <c r="U130" s="375">
        <v>0</v>
      </c>
      <c r="V130" s="375" t="e">
        <f t="shared" ca="1" si="0"/>
        <v>#NAME?</v>
      </c>
    </row>
    <row r="131" spans="1:22" ht="14.25" hidden="1" customHeight="1">
      <c r="A131" s="376" t="s">
        <v>291</v>
      </c>
      <c r="B131" s="370" t="e">
        <f ca="1">_xludf.IFNA(VLOOKUP(Bolts!$A131,'Kilter Holds'!$P$37:$S$662,4,0),0)</f>
        <v>#NAME?</v>
      </c>
      <c r="C131" s="371">
        <v>10</v>
      </c>
      <c r="D131" s="373">
        <f t="shared" ca="1" si="27"/>
        <v>0</v>
      </c>
      <c r="E131" s="373">
        <v>0</v>
      </c>
      <c r="F131" s="373">
        <v>0</v>
      </c>
      <c r="G131" s="373">
        <v>0</v>
      </c>
      <c r="H131" s="373">
        <v>0</v>
      </c>
      <c r="I131" s="373">
        <v>0</v>
      </c>
      <c r="J131" s="373">
        <v>0</v>
      </c>
      <c r="K131" s="373">
        <v>0</v>
      </c>
      <c r="L131" s="374">
        <v>0</v>
      </c>
      <c r="M131" s="373">
        <v>0</v>
      </c>
      <c r="N131" s="373">
        <v>0</v>
      </c>
      <c r="O131" s="373">
        <v>0</v>
      </c>
      <c r="P131" s="373">
        <v>0</v>
      </c>
      <c r="Q131" s="373">
        <v>0</v>
      </c>
      <c r="R131" s="373">
        <v>0</v>
      </c>
      <c r="S131" s="375">
        <v>0</v>
      </c>
      <c r="T131" s="375">
        <v>0</v>
      </c>
      <c r="U131" s="375">
        <v>0</v>
      </c>
      <c r="V131" s="375" t="e">
        <f t="shared" ca="1" si="0"/>
        <v>#NAME?</v>
      </c>
    </row>
    <row r="132" spans="1:22" ht="14.25" hidden="1" customHeight="1">
      <c r="A132" s="376" t="s">
        <v>1143</v>
      </c>
      <c r="B132" s="370" t="e">
        <f ca="1">_xludf.IFNA(VLOOKUP(Bolts!$A132,'Kilter Holds'!$P$37:$S$662,4,0),0)</f>
        <v>#NAME?</v>
      </c>
      <c r="C132" s="371">
        <v>10</v>
      </c>
      <c r="D132" s="373">
        <f t="shared" ca="1" si="27"/>
        <v>0</v>
      </c>
      <c r="E132" s="373">
        <v>0</v>
      </c>
      <c r="F132" s="373">
        <v>0</v>
      </c>
      <c r="G132" s="373">
        <v>0</v>
      </c>
      <c r="H132" s="373">
        <v>0</v>
      </c>
      <c r="I132" s="373">
        <v>0</v>
      </c>
      <c r="J132" s="373">
        <v>0</v>
      </c>
      <c r="K132" s="373">
        <v>0</v>
      </c>
      <c r="L132" s="374">
        <v>0</v>
      </c>
      <c r="M132" s="373">
        <v>0</v>
      </c>
      <c r="N132" s="373">
        <v>0</v>
      </c>
      <c r="O132" s="373">
        <v>0</v>
      </c>
      <c r="P132" s="373">
        <v>0</v>
      </c>
      <c r="Q132" s="373">
        <v>0</v>
      </c>
      <c r="R132" s="373">
        <v>0</v>
      </c>
      <c r="S132" s="375">
        <v>0</v>
      </c>
      <c r="T132" s="375">
        <v>0</v>
      </c>
      <c r="U132" s="375">
        <v>0</v>
      </c>
      <c r="V132" s="375" t="e">
        <f t="shared" ca="1" si="0"/>
        <v>#NAME?</v>
      </c>
    </row>
    <row r="133" spans="1:22" ht="14.25" hidden="1" customHeight="1">
      <c r="A133" s="376" t="s">
        <v>1032</v>
      </c>
      <c r="B133" s="370" t="e">
        <f ca="1">_xludf.IFNA(VLOOKUP(Bolts!$A133,'Kilter Holds'!$P$37:$S$662,4,0),0)</f>
        <v>#NAME?</v>
      </c>
      <c r="C133" s="371">
        <v>10</v>
      </c>
      <c r="D133" s="373">
        <f t="shared" ca="1" si="27"/>
        <v>0</v>
      </c>
      <c r="E133" s="373">
        <v>0</v>
      </c>
      <c r="F133" s="373">
        <v>0</v>
      </c>
      <c r="G133" s="373">
        <v>0</v>
      </c>
      <c r="H133" s="373">
        <v>0</v>
      </c>
      <c r="I133" s="373">
        <v>0</v>
      </c>
      <c r="J133" s="373">
        <v>0</v>
      </c>
      <c r="K133" s="373">
        <v>0</v>
      </c>
      <c r="L133" s="374">
        <v>0</v>
      </c>
      <c r="M133" s="373">
        <v>0</v>
      </c>
      <c r="N133" s="373">
        <v>0</v>
      </c>
      <c r="O133" s="373">
        <v>0</v>
      </c>
      <c r="P133" s="373">
        <v>0</v>
      </c>
      <c r="Q133" s="373">
        <v>0</v>
      </c>
      <c r="R133" s="373">
        <v>0</v>
      </c>
      <c r="S133" s="375">
        <v>0</v>
      </c>
      <c r="T133" s="375">
        <v>0</v>
      </c>
      <c r="U133" s="375">
        <v>0</v>
      </c>
      <c r="V133" s="375" t="e">
        <f t="shared" ca="1" si="0"/>
        <v>#NAME?</v>
      </c>
    </row>
    <row r="134" spans="1:22" ht="14.25" hidden="1" customHeight="1">
      <c r="A134" s="376" t="s">
        <v>261</v>
      </c>
      <c r="B134" s="370" t="e">
        <f ca="1">_xludf.IFNA(VLOOKUP(Bolts!$A134,'Kilter Holds'!$P$37:$S$662,4,0),0)</f>
        <v>#NAME?</v>
      </c>
      <c r="C134" s="371">
        <v>5</v>
      </c>
      <c r="D134" s="373">
        <f ca="1">IFERROR(5*B134,0)</f>
        <v>0</v>
      </c>
      <c r="E134" s="373">
        <v>0</v>
      </c>
      <c r="F134" s="373">
        <v>0</v>
      </c>
      <c r="G134" s="373">
        <v>0</v>
      </c>
      <c r="H134" s="373">
        <v>0</v>
      </c>
      <c r="I134" s="373">
        <v>0</v>
      </c>
      <c r="J134" s="373">
        <v>0</v>
      </c>
      <c r="K134" s="373">
        <v>0</v>
      </c>
      <c r="L134" s="374">
        <v>0</v>
      </c>
      <c r="M134" s="373">
        <v>0</v>
      </c>
      <c r="N134" s="373">
        <v>0</v>
      </c>
      <c r="O134" s="373">
        <v>0</v>
      </c>
      <c r="P134" s="373">
        <v>0</v>
      </c>
      <c r="Q134" s="373">
        <v>0</v>
      </c>
      <c r="R134" s="373">
        <v>0</v>
      </c>
      <c r="S134" s="375">
        <v>0</v>
      </c>
      <c r="T134" s="375">
        <v>0</v>
      </c>
      <c r="U134" s="375">
        <v>0</v>
      </c>
      <c r="V134" s="375" t="e">
        <f t="shared" ca="1" si="0"/>
        <v>#NAME?</v>
      </c>
    </row>
    <row r="135" spans="1:22" ht="14.25" hidden="1" customHeight="1">
      <c r="A135" s="376" t="s">
        <v>264</v>
      </c>
      <c r="B135" s="370" t="e">
        <f ca="1">_xludf.IFNA(VLOOKUP(Bolts!$A135,'Kilter Holds'!$P$37:$S$662,4,0),0)</f>
        <v>#NAME?</v>
      </c>
      <c r="C135" s="371">
        <v>10</v>
      </c>
      <c r="D135" s="373">
        <f ca="1">IFERROR(9*B135,0)</f>
        <v>0</v>
      </c>
      <c r="E135" s="373">
        <f ca="1">IFERROR(1*B135,0)</f>
        <v>0</v>
      </c>
      <c r="F135" s="373">
        <v>0</v>
      </c>
      <c r="G135" s="373">
        <v>0</v>
      </c>
      <c r="H135" s="373">
        <v>0</v>
      </c>
      <c r="I135" s="373">
        <v>0</v>
      </c>
      <c r="J135" s="373">
        <v>0</v>
      </c>
      <c r="K135" s="373">
        <v>0</v>
      </c>
      <c r="L135" s="374">
        <v>0</v>
      </c>
      <c r="M135" s="373">
        <v>0</v>
      </c>
      <c r="N135" s="373">
        <v>0</v>
      </c>
      <c r="O135" s="373">
        <v>0</v>
      </c>
      <c r="P135" s="373">
        <v>0</v>
      </c>
      <c r="Q135" s="373">
        <v>0</v>
      </c>
      <c r="R135" s="373">
        <v>0</v>
      </c>
      <c r="S135" s="375">
        <v>0</v>
      </c>
      <c r="T135" s="375">
        <v>0</v>
      </c>
      <c r="U135" s="375">
        <v>0</v>
      </c>
      <c r="V135" s="375" t="e">
        <f t="shared" ca="1" si="0"/>
        <v>#NAME?</v>
      </c>
    </row>
    <row r="136" spans="1:22" ht="14.25" hidden="1" customHeight="1">
      <c r="A136" s="376" t="s">
        <v>958</v>
      </c>
      <c r="B136" s="370" t="e">
        <f ca="1">_xludf.IFNA(VLOOKUP(Bolts!$A136,'Kilter Holds'!$P$37:$S$662,4,0),0)</f>
        <v>#NAME?</v>
      </c>
      <c r="C136" s="371">
        <v>10</v>
      </c>
      <c r="D136" s="373">
        <f ca="1">IFERROR(10*B136,0)</f>
        <v>0</v>
      </c>
      <c r="E136" s="373">
        <v>0</v>
      </c>
      <c r="F136" s="373">
        <v>0</v>
      </c>
      <c r="G136" s="373">
        <v>0</v>
      </c>
      <c r="H136" s="373">
        <v>0</v>
      </c>
      <c r="I136" s="373">
        <v>0</v>
      </c>
      <c r="J136" s="373">
        <v>0</v>
      </c>
      <c r="K136" s="373">
        <v>0</v>
      </c>
      <c r="L136" s="374">
        <v>0</v>
      </c>
      <c r="M136" s="373">
        <v>0</v>
      </c>
      <c r="N136" s="373">
        <v>0</v>
      </c>
      <c r="O136" s="373">
        <v>0</v>
      </c>
      <c r="P136" s="373">
        <v>0</v>
      </c>
      <c r="Q136" s="373">
        <v>0</v>
      </c>
      <c r="R136" s="373">
        <v>0</v>
      </c>
      <c r="S136" s="375">
        <v>0</v>
      </c>
      <c r="T136" s="375">
        <v>0</v>
      </c>
      <c r="U136" s="375">
        <v>0</v>
      </c>
      <c r="V136" s="375" t="e">
        <f t="shared" ca="1" si="0"/>
        <v>#NAME?</v>
      </c>
    </row>
    <row r="137" spans="1:22" ht="14.25" hidden="1" customHeight="1">
      <c r="A137" s="376" t="s">
        <v>1115</v>
      </c>
      <c r="B137" s="370" t="e">
        <f ca="1">_xludf.IFNA(VLOOKUP(Bolts!$A137,'Kilter Holds'!$P$37:$S$662,4,0),0)</f>
        <v>#NAME?</v>
      </c>
      <c r="C137" s="371">
        <v>10</v>
      </c>
      <c r="D137" s="373">
        <f ca="1">IFERROR(9*B137,0)</f>
        <v>0</v>
      </c>
      <c r="E137" s="373">
        <f ca="1">IFERROR(1*B137,0)</f>
        <v>0</v>
      </c>
      <c r="F137" s="373">
        <v>0</v>
      </c>
      <c r="G137" s="373">
        <v>0</v>
      </c>
      <c r="H137" s="373">
        <v>0</v>
      </c>
      <c r="I137" s="373">
        <v>0</v>
      </c>
      <c r="J137" s="373">
        <v>0</v>
      </c>
      <c r="K137" s="373">
        <v>0</v>
      </c>
      <c r="L137" s="374">
        <v>0</v>
      </c>
      <c r="M137" s="373">
        <v>0</v>
      </c>
      <c r="N137" s="373">
        <v>0</v>
      </c>
      <c r="O137" s="373">
        <v>0</v>
      </c>
      <c r="P137" s="373">
        <v>0</v>
      </c>
      <c r="Q137" s="373">
        <v>0</v>
      </c>
      <c r="R137" s="373">
        <v>0</v>
      </c>
      <c r="S137" s="375">
        <v>0</v>
      </c>
      <c r="T137" s="375">
        <v>0</v>
      </c>
      <c r="U137" s="375">
        <v>0</v>
      </c>
      <c r="V137" s="375" t="e">
        <f t="shared" ca="1" si="0"/>
        <v>#NAME?</v>
      </c>
    </row>
    <row r="138" spans="1:22" ht="14.25" hidden="1" customHeight="1">
      <c r="A138" s="376" t="s">
        <v>960</v>
      </c>
      <c r="B138" s="370" t="e">
        <f ca="1">_xludf.IFNA(VLOOKUP(Bolts!$A138,'Kilter Holds'!$P$37:$S$662,4,0),0)</f>
        <v>#NAME?</v>
      </c>
      <c r="C138" s="371">
        <v>5</v>
      </c>
      <c r="D138" s="373">
        <f ca="1">IFERROR(5*B138,0)</f>
        <v>0</v>
      </c>
      <c r="E138" s="373">
        <v>0</v>
      </c>
      <c r="F138" s="373">
        <v>0</v>
      </c>
      <c r="G138" s="373">
        <v>0</v>
      </c>
      <c r="H138" s="373">
        <v>0</v>
      </c>
      <c r="I138" s="373">
        <v>0</v>
      </c>
      <c r="J138" s="373">
        <v>0</v>
      </c>
      <c r="K138" s="373">
        <v>0</v>
      </c>
      <c r="L138" s="374">
        <v>0</v>
      </c>
      <c r="M138" s="373">
        <v>0</v>
      </c>
      <c r="N138" s="373">
        <v>0</v>
      </c>
      <c r="O138" s="373">
        <v>0</v>
      </c>
      <c r="P138" s="373">
        <v>0</v>
      </c>
      <c r="Q138" s="373">
        <v>0</v>
      </c>
      <c r="R138" s="373">
        <v>0</v>
      </c>
      <c r="S138" s="375">
        <v>0</v>
      </c>
      <c r="T138" s="375">
        <v>0</v>
      </c>
      <c r="U138" s="375">
        <v>0</v>
      </c>
      <c r="V138" s="375" t="e">
        <f t="shared" ca="1" si="0"/>
        <v>#NAME?</v>
      </c>
    </row>
    <row r="139" spans="1:22" ht="14.25" hidden="1" customHeight="1">
      <c r="A139" s="376" t="s">
        <v>1145</v>
      </c>
      <c r="B139" s="370" t="e">
        <f ca="1">_xludf.IFNA(VLOOKUP(Bolts!$A139,'Kilter Holds'!$P$37:$S$662,4,0),0)</f>
        <v>#NAME?</v>
      </c>
      <c r="C139" s="371">
        <v>10</v>
      </c>
      <c r="D139" s="373">
        <f ca="1">IFERROR(10*B139,0)</f>
        <v>0</v>
      </c>
      <c r="E139" s="373">
        <v>0</v>
      </c>
      <c r="F139" s="373">
        <v>0</v>
      </c>
      <c r="G139" s="373">
        <v>0</v>
      </c>
      <c r="H139" s="373">
        <v>0</v>
      </c>
      <c r="I139" s="373">
        <v>0</v>
      </c>
      <c r="J139" s="373">
        <v>0</v>
      </c>
      <c r="K139" s="373">
        <v>0</v>
      </c>
      <c r="L139" s="374">
        <v>0</v>
      </c>
      <c r="M139" s="373">
        <v>0</v>
      </c>
      <c r="N139" s="373">
        <v>0</v>
      </c>
      <c r="O139" s="373">
        <v>0</v>
      </c>
      <c r="P139" s="373">
        <v>0</v>
      </c>
      <c r="Q139" s="373">
        <v>0</v>
      </c>
      <c r="R139" s="373">
        <v>0</v>
      </c>
      <c r="S139" s="375">
        <v>0</v>
      </c>
      <c r="T139" s="375">
        <v>0</v>
      </c>
      <c r="U139" s="375">
        <v>0</v>
      </c>
      <c r="V139" s="375" t="e">
        <f t="shared" ca="1" si="0"/>
        <v>#NAME?</v>
      </c>
    </row>
    <row r="140" spans="1:22" ht="14.25" hidden="1" customHeight="1">
      <c r="A140" s="376" t="s">
        <v>1000</v>
      </c>
      <c r="B140" s="370" t="e">
        <f ca="1">_xludf.IFNA(VLOOKUP(Bolts!$A140,'Kilter Holds'!$P$37:$S$662,4,0),0)</f>
        <v>#NAME?</v>
      </c>
      <c r="C140" s="371">
        <v>10</v>
      </c>
      <c r="D140" s="373">
        <f t="shared" ref="D140:D141" ca="1" si="28">IFERROR(3*B140,0)</f>
        <v>0</v>
      </c>
      <c r="E140" s="373">
        <f t="shared" ref="E140:E141" ca="1" si="29">IFERROR(7*B140,0)</f>
        <v>0</v>
      </c>
      <c r="F140" s="373">
        <v>0</v>
      </c>
      <c r="G140" s="373">
        <v>0</v>
      </c>
      <c r="H140" s="373">
        <v>0</v>
      </c>
      <c r="I140" s="373">
        <v>0</v>
      </c>
      <c r="J140" s="373">
        <v>0</v>
      </c>
      <c r="K140" s="373">
        <v>0</v>
      </c>
      <c r="L140" s="374">
        <v>0</v>
      </c>
      <c r="M140" s="373">
        <v>0</v>
      </c>
      <c r="N140" s="373">
        <v>0</v>
      </c>
      <c r="O140" s="373">
        <v>0</v>
      </c>
      <c r="P140" s="373">
        <v>0</v>
      </c>
      <c r="Q140" s="373">
        <v>0</v>
      </c>
      <c r="R140" s="373">
        <v>0</v>
      </c>
      <c r="S140" s="375">
        <v>0</v>
      </c>
      <c r="T140" s="375">
        <v>0</v>
      </c>
      <c r="U140" s="375">
        <v>0</v>
      </c>
      <c r="V140" s="375" t="e">
        <f t="shared" ca="1" si="0"/>
        <v>#NAME?</v>
      </c>
    </row>
    <row r="141" spans="1:22" ht="14.25" hidden="1" customHeight="1">
      <c r="A141" s="376" t="s">
        <v>1002</v>
      </c>
      <c r="B141" s="370" t="e">
        <f ca="1">_xludf.IFNA(VLOOKUP(Bolts!$A141,'Kilter Holds'!$P$37:$S$662,4,0),0)</f>
        <v>#NAME?</v>
      </c>
      <c r="C141" s="371">
        <v>10</v>
      </c>
      <c r="D141" s="373">
        <f t="shared" ca="1" si="28"/>
        <v>0</v>
      </c>
      <c r="E141" s="373">
        <f t="shared" ca="1" si="29"/>
        <v>0</v>
      </c>
      <c r="F141" s="373">
        <v>0</v>
      </c>
      <c r="G141" s="373">
        <v>0</v>
      </c>
      <c r="H141" s="373">
        <v>0</v>
      </c>
      <c r="I141" s="373">
        <v>0</v>
      </c>
      <c r="J141" s="373">
        <v>0</v>
      </c>
      <c r="K141" s="373">
        <v>0</v>
      </c>
      <c r="L141" s="374">
        <v>0</v>
      </c>
      <c r="M141" s="373">
        <v>0</v>
      </c>
      <c r="N141" s="373">
        <v>0</v>
      </c>
      <c r="O141" s="373">
        <v>0</v>
      </c>
      <c r="P141" s="373">
        <v>0</v>
      </c>
      <c r="Q141" s="373">
        <v>0</v>
      </c>
      <c r="R141" s="373">
        <v>0</v>
      </c>
      <c r="S141" s="375">
        <v>0</v>
      </c>
      <c r="T141" s="375">
        <v>0</v>
      </c>
      <c r="U141" s="375">
        <v>0</v>
      </c>
      <c r="V141" s="375" t="e">
        <f t="shared" ca="1" si="0"/>
        <v>#NAME?</v>
      </c>
    </row>
    <row r="142" spans="1:22" ht="14.25" hidden="1" customHeight="1">
      <c r="A142" s="376" t="s">
        <v>293</v>
      </c>
      <c r="B142" s="370" t="e">
        <f ca="1">_xludf.IFNA(VLOOKUP(Bolts!$A142,'Kilter Holds'!$P$37:$S$662,4,0),0)</f>
        <v>#NAME?</v>
      </c>
      <c r="C142" s="371">
        <v>10</v>
      </c>
      <c r="D142" s="373">
        <f ca="1">IFERROR(10*B142,0)</f>
        <v>0</v>
      </c>
      <c r="E142" s="373">
        <v>0</v>
      </c>
      <c r="F142" s="373">
        <v>0</v>
      </c>
      <c r="G142" s="373">
        <v>0</v>
      </c>
      <c r="H142" s="373">
        <v>0</v>
      </c>
      <c r="I142" s="373">
        <v>0</v>
      </c>
      <c r="J142" s="373">
        <v>0</v>
      </c>
      <c r="K142" s="373">
        <v>0</v>
      </c>
      <c r="L142" s="374">
        <v>0</v>
      </c>
      <c r="M142" s="373">
        <v>0</v>
      </c>
      <c r="N142" s="373">
        <v>0</v>
      </c>
      <c r="O142" s="373">
        <v>0</v>
      </c>
      <c r="P142" s="373">
        <v>0</v>
      </c>
      <c r="Q142" s="373">
        <v>0</v>
      </c>
      <c r="R142" s="373">
        <v>0</v>
      </c>
      <c r="S142" s="375">
        <v>0</v>
      </c>
      <c r="T142" s="375">
        <v>0</v>
      </c>
      <c r="U142" s="375">
        <v>0</v>
      </c>
      <c r="V142" s="375" t="e">
        <f t="shared" ca="1" si="0"/>
        <v>#NAME?</v>
      </c>
    </row>
    <row r="143" spans="1:22" ht="14.25" hidden="1" customHeight="1">
      <c r="A143" s="376" t="s">
        <v>962</v>
      </c>
      <c r="B143" s="370" t="e">
        <f ca="1">_xludf.IFNA(VLOOKUP(Bolts!$A143,'Kilter Holds'!$P$37:$S$662,4,0),0)</f>
        <v>#NAME?</v>
      </c>
      <c r="C143" s="371">
        <v>5</v>
      </c>
      <c r="D143" s="373">
        <f ca="1">IFERROR(5*B143,0)</f>
        <v>0</v>
      </c>
      <c r="E143" s="373">
        <v>0</v>
      </c>
      <c r="F143" s="373">
        <v>0</v>
      </c>
      <c r="G143" s="373">
        <v>0</v>
      </c>
      <c r="H143" s="373">
        <v>0</v>
      </c>
      <c r="I143" s="373">
        <v>0</v>
      </c>
      <c r="J143" s="373">
        <v>0</v>
      </c>
      <c r="K143" s="373">
        <v>0</v>
      </c>
      <c r="L143" s="374">
        <v>0</v>
      </c>
      <c r="M143" s="373">
        <v>0</v>
      </c>
      <c r="N143" s="373">
        <v>0</v>
      </c>
      <c r="O143" s="373">
        <v>0</v>
      </c>
      <c r="P143" s="373">
        <v>0</v>
      </c>
      <c r="Q143" s="373">
        <v>0</v>
      </c>
      <c r="R143" s="373">
        <v>0</v>
      </c>
      <c r="S143" s="375">
        <v>0</v>
      </c>
      <c r="T143" s="375">
        <v>0</v>
      </c>
      <c r="U143" s="375">
        <v>0</v>
      </c>
      <c r="V143" s="375" t="e">
        <f t="shared" ca="1" si="0"/>
        <v>#NAME?</v>
      </c>
    </row>
    <row r="144" spans="1:22" ht="14.25" hidden="1" customHeight="1">
      <c r="A144" s="376" t="s">
        <v>1147</v>
      </c>
      <c r="B144" s="370" t="e">
        <f ca="1">_xludf.IFNA(VLOOKUP(Bolts!$A144,'Kilter Holds'!$P$37:$S$662,4,0),0)</f>
        <v>#NAME?</v>
      </c>
      <c r="C144" s="371">
        <v>10</v>
      </c>
      <c r="D144" s="373">
        <f ca="1">IFERROR(9*B144,0)</f>
        <v>0</v>
      </c>
      <c r="E144" s="373">
        <f ca="1">IFERROR(1*B144,0)</f>
        <v>0</v>
      </c>
      <c r="F144" s="373">
        <v>0</v>
      </c>
      <c r="G144" s="373">
        <v>0</v>
      </c>
      <c r="H144" s="373">
        <v>0</v>
      </c>
      <c r="I144" s="373">
        <v>0</v>
      </c>
      <c r="J144" s="373">
        <v>0</v>
      </c>
      <c r="K144" s="373">
        <v>0</v>
      </c>
      <c r="L144" s="374">
        <v>0</v>
      </c>
      <c r="M144" s="373">
        <v>0</v>
      </c>
      <c r="N144" s="373">
        <v>0</v>
      </c>
      <c r="O144" s="373">
        <v>0</v>
      </c>
      <c r="P144" s="373">
        <v>0</v>
      </c>
      <c r="Q144" s="373">
        <v>0</v>
      </c>
      <c r="R144" s="373">
        <v>0</v>
      </c>
      <c r="S144" s="375">
        <v>0</v>
      </c>
      <c r="T144" s="375">
        <v>0</v>
      </c>
      <c r="U144" s="375">
        <v>0</v>
      </c>
      <c r="V144" s="375" t="e">
        <f t="shared" ca="1" si="0"/>
        <v>#NAME?</v>
      </c>
    </row>
    <row r="145" spans="1:22" ht="14.25" hidden="1" customHeight="1">
      <c r="A145" s="376" t="s">
        <v>741</v>
      </c>
      <c r="B145" s="370" t="e">
        <f ca="1">_xludf.IFNA(VLOOKUP(Bolts!$A145,'Kilter Holds'!$P$37:$S$662,4,0),0)</f>
        <v>#NAME?</v>
      </c>
      <c r="C145" s="371">
        <v>5</v>
      </c>
      <c r="D145" s="373">
        <f ca="1">IFERROR(5*B145,0)</f>
        <v>0</v>
      </c>
      <c r="E145" s="373">
        <v>0</v>
      </c>
      <c r="F145" s="373">
        <v>0</v>
      </c>
      <c r="G145" s="373">
        <v>0</v>
      </c>
      <c r="H145" s="373">
        <v>0</v>
      </c>
      <c r="I145" s="373">
        <v>0</v>
      </c>
      <c r="J145" s="373">
        <v>0</v>
      </c>
      <c r="K145" s="373">
        <v>0</v>
      </c>
      <c r="L145" s="374">
        <v>0</v>
      </c>
      <c r="M145" s="373">
        <v>0</v>
      </c>
      <c r="N145" s="373">
        <v>0</v>
      </c>
      <c r="O145" s="373">
        <v>0</v>
      </c>
      <c r="P145" s="373">
        <v>0</v>
      </c>
      <c r="Q145" s="373">
        <v>0</v>
      </c>
      <c r="R145" s="373">
        <v>0</v>
      </c>
      <c r="S145" s="375">
        <v>0</v>
      </c>
      <c r="T145" s="375">
        <v>0</v>
      </c>
      <c r="U145" s="375">
        <v>0</v>
      </c>
      <c r="V145" s="375" t="e">
        <f t="shared" ca="1" si="0"/>
        <v>#NAME?</v>
      </c>
    </row>
    <row r="146" spans="1:22" ht="14.25" hidden="1" customHeight="1">
      <c r="A146" s="376" t="s">
        <v>1004</v>
      </c>
      <c r="B146" s="370" t="e">
        <f ca="1">_xludf.IFNA(VLOOKUP(Bolts!$A146,'Kilter Holds'!$P$37:$S$662,4,0),0)</f>
        <v>#NAME?</v>
      </c>
      <c r="C146" s="371">
        <v>10</v>
      </c>
      <c r="D146" s="373">
        <f t="shared" ref="D146:D147" ca="1" si="30">IFERROR(10*B146,0)</f>
        <v>0</v>
      </c>
      <c r="E146" s="373">
        <v>0</v>
      </c>
      <c r="F146" s="373">
        <v>0</v>
      </c>
      <c r="G146" s="373">
        <v>0</v>
      </c>
      <c r="H146" s="373">
        <v>0</v>
      </c>
      <c r="I146" s="373">
        <v>0</v>
      </c>
      <c r="J146" s="373">
        <v>0</v>
      </c>
      <c r="K146" s="373">
        <v>0</v>
      </c>
      <c r="L146" s="374">
        <v>0</v>
      </c>
      <c r="M146" s="373">
        <v>0</v>
      </c>
      <c r="N146" s="373">
        <v>0</v>
      </c>
      <c r="O146" s="373">
        <v>0</v>
      </c>
      <c r="P146" s="373">
        <v>0</v>
      </c>
      <c r="Q146" s="373">
        <v>0</v>
      </c>
      <c r="R146" s="373">
        <v>0</v>
      </c>
      <c r="S146" s="375">
        <v>0</v>
      </c>
      <c r="T146" s="375">
        <v>0</v>
      </c>
      <c r="U146" s="375">
        <v>0</v>
      </c>
      <c r="V146" s="375" t="e">
        <f t="shared" ca="1" si="0"/>
        <v>#NAME?</v>
      </c>
    </row>
    <row r="147" spans="1:22" ht="14.25" hidden="1" customHeight="1">
      <c r="A147" s="376" t="s">
        <v>1006</v>
      </c>
      <c r="B147" s="370" t="e">
        <f ca="1">_xludf.IFNA(VLOOKUP(Bolts!$A147,'Kilter Holds'!$P$37:$S$662,4,0),0)</f>
        <v>#NAME?</v>
      </c>
      <c r="C147" s="371">
        <v>10</v>
      </c>
      <c r="D147" s="373">
        <f t="shared" ca="1" si="30"/>
        <v>0</v>
      </c>
      <c r="E147" s="373">
        <v>0</v>
      </c>
      <c r="F147" s="373">
        <v>0</v>
      </c>
      <c r="G147" s="373">
        <v>0</v>
      </c>
      <c r="H147" s="373">
        <v>0</v>
      </c>
      <c r="I147" s="373">
        <v>0</v>
      </c>
      <c r="J147" s="373">
        <v>0</v>
      </c>
      <c r="K147" s="373">
        <v>0</v>
      </c>
      <c r="L147" s="374">
        <v>0</v>
      </c>
      <c r="M147" s="373">
        <v>0</v>
      </c>
      <c r="N147" s="373">
        <v>0</v>
      </c>
      <c r="O147" s="373">
        <v>0</v>
      </c>
      <c r="P147" s="373">
        <v>0</v>
      </c>
      <c r="Q147" s="373">
        <v>0</v>
      </c>
      <c r="R147" s="373">
        <v>0</v>
      </c>
      <c r="S147" s="375">
        <v>0</v>
      </c>
      <c r="T147" s="375">
        <v>0</v>
      </c>
      <c r="U147" s="375">
        <v>0</v>
      </c>
      <c r="V147" s="375" t="e">
        <f t="shared" ca="1" si="0"/>
        <v>#NAME?</v>
      </c>
    </row>
    <row r="148" spans="1:22" ht="14.25" hidden="1" customHeight="1">
      <c r="A148" s="376" t="s">
        <v>942</v>
      </c>
      <c r="B148" s="370" t="e">
        <f ca="1">_xludf.IFNA(VLOOKUP(Bolts!$A148,'Kilter Holds'!$P$37:$S$662,4,0),0)</f>
        <v>#NAME?</v>
      </c>
      <c r="C148" s="371">
        <v>5</v>
      </c>
      <c r="D148" s="373">
        <v>0</v>
      </c>
      <c r="E148" s="373">
        <f ca="1">IFERROR(5*B148,0)</f>
        <v>0</v>
      </c>
      <c r="F148" s="373">
        <v>0</v>
      </c>
      <c r="G148" s="373">
        <v>0</v>
      </c>
      <c r="H148" s="373">
        <v>0</v>
      </c>
      <c r="I148" s="373">
        <v>0</v>
      </c>
      <c r="J148" s="373">
        <v>0</v>
      </c>
      <c r="K148" s="373">
        <v>0</v>
      </c>
      <c r="L148" s="374">
        <v>0</v>
      </c>
      <c r="M148" s="373">
        <v>0</v>
      </c>
      <c r="N148" s="373">
        <v>0</v>
      </c>
      <c r="O148" s="373">
        <v>0</v>
      </c>
      <c r="P148" s="373">
        <v>0</v>
      </c>
      <c r="Q148" s="373">
        <v>0</v>
      </c>
      <c r="R148" s="373">
        <v>0</v>
      </c>
      <c r="S148" s="375">
        <v>0</v>
      </c>
      <c r="T148" s="375">
        <v>0</v>
      </c>
      <c r="U148" s="375">
        <v>0</v>
      </c>
      <c r="V148" s="375" t="e">
        <f t="shared" ca="1" si="0"/>
        <v>#NAME?</v>
      </c>
    </row>
    <row r="149" spans="1:22" ht="14.25" hidden="1" customHeight="1">
      <c r="A149" s="376" t="s">
        <v>235</v>
      </c>
      <c r="B149" s="370" t="e">
        <f ca="1">_xludf.IFNA(VLOOKUP(Bolts!$A149,'Kilter Holds'!$P$37:$S$662,4,0),0)</f>
        <v>#NAME?</v>
      </c>
      <c r="C149" s="371">
        <v>5</v>
      </c>
      <c r="D149" s="373">
        <v>0</v>
      </c>
      <c r="E149" s="373">
        <v>0</v>
      </c>
      <c r="F149" s="373">
        <v>0</v>
      </c>
      <c r="G149" s="373">
        <v>0</v>
      </c>
      <c r="H149" s="373">
        <v>0</v>
      </c>
      <c r="I149" s="373">
        <f ca="1">IFERROR(3*B149,0)</f>
        <v>0</v>
      </c>
      <c r="J149" s="373">
        <f ca="1">IFERROR(2*B149,0)</f>
        <v>0</v>
      </c>
      <c r="K149" s="373">
        <v>0</v>
      </c>
      <c r="L149" s="374">
        <v>0</v>
      </c>
      <c r="M149" s="373">
        <v>0</v>
      </c>
      <c r="N149" s="373">
        <v>0</v>
      </c>
      <c r="O149" s="373">
        <v>0</v>
      </c>
      <c r="P149" s="373">
        <v>0</v>
      </c>
      <c r="Q149" s="373">
        <v>0</v>
      </c>
      <c r="R149" s="375">
        <v>0</v>
      </c>
      <c r="S149" s="375">
        <v>0</v>
      </c>
      <c r="T149" s="375">
        <v>0</v>
      </c>
      <c r="U149" s="375">
        <v>0</v>
      </c>
      <c r="V149" s="375" t="e">
        <f t="shared" ca="1" si="0"/>
        <v>#NAME?</v>
      </c>
    </row>
    <row r="150" spans="1:22" ht="14.25" hidden="1" customHeight="1">
      <c r="A150" s="376" t="s">
        <v>217</v>
      </c>
      <c r="B150" s="370" t="e">
        <f ca="1">_xludf.IFNA(VLOOKUP(Bolts!$A150,'Kilter Holds'!$P$37:$S$662,4,0),0)</f>
        <v>#NAME?</v>
      </c>
      <c r="C150" s="371">
        <v>4</v>
      </c>
      <c r="D150" s="373">
        <v>0</v>
      </c>
      <c r="E150" s="373">
        <v>0</v>
      </c>
      <c r="F150" s="373">
        <v>0</v>
      </c>
      <c r="G150" s="373">
        <v>0</v>
      </c>
      <c r="H150" s="373">
        <v>0</v>
      </c>
      <c r="I150" s="373">
        <v>0</v>
      </c>
      <c r="J150" s="373">
        <v>0</v>
      </c>
      <c r="K150" s="373">
        <f ca="1">IFERROR(4*B150,0)</f>
        <v>0</v>
      </c>
      <c r="L150" s="374">
        <v>0</v>
      </c>
      <c r="M150" s="373">
        <v>0</v>
      </c>
      <c r="N150" s="373">
        <v>0</v>
      </c>
      <c r="O150" s="373">
        <v>0</v>
      </c>
      <c r="P150" s="373">
        <v>0</v>
      </c>
      <c r="Q150" s="373">
        <v>0</v>
      </c>
      <c r="R150" s="375">
        <v>0</v>
      </c>
      <c r="S150" s="375">
        <v>0</v>
      </c>
      <c r="T150" s="375">
        <v>0</v>
      </c>
      <c r="U150" s="375">
        <v>0</v>
      </c>
      <c r="V150" s="375" t="e">
        <f t="shared" ca="1" si="0"/>
        <v>#NAME?</v>
      </c>
    </row>
    <row r="151" spans="1:22" ht="14.25" hidden="1" customHeight="1">
      <c r="A151" s="376" t="s">
        <v>219</v>
      </c>
      <c r="B151" s="370" t="e">
        <f ca="1">_xludf.IFNA(VLOOKUP(Bolts!$A151,'Kilter Holds'!$P$37:$S$662,4,0),0)</f>
        <v>#NAME?</v>
      </c>
      <c r="C151" s="371">
        <v>4</v>
      </c>
      <c r="D151" s="373">
        <v>0</v>
      </c>
      <c r="E151" s="373">
        <v>0</v>
      </c>
      <c r="F151" s="373">
        <v>0</v>
      </c>
      <c r="G151" s="373">
        <v>0</v>
      </c>
      <c r="H151" s="373">
        <v>0</v>
      </c>
      <c r="I151" s="373">
        <f ca="1">IFERROR(1*B151,0)</f>
        <v>0</v>
      </c>
      <c r="J151" s="373">
        <f ca="1">IFERROR(2*B151,0)</f>
        <v>0</v>
      </c>
      <c r="K151" s="373">
        <f ca="1">IFERROR(1*B151,0)</f>
        <v>0</v>
      </c>
      <c r="L151" s="374">
        <v>0</v>
      </c>
      <c r="M151" s="373">
        <v>0</v>
      </c>
      <c r="N151" s="373">
        <v>0</v>
      </c>
      <c r="O151" s="373">
        <v>0</v>
      </c>
      <c r="P151" s="373">
        <v>0</v>
      </c>
      <c r="Q151" s="373">
        <v>0</v>
      </c>
      <c r="R151" s="375">
        <v>0</v>
      </c>
      <c r="S151" s="375">
        <v>0</v>
      </c>
      <c r="T151" s="375">
        <v>0</v>
      </c>
      <c r="U151" s="375">
        <v>0</v>
      </c>
      <c r="V151" s="375" t="e">
        <f t="shared" ca="1" si="0"/>
        <v>#NAME?</v>
      </c>
    </row>
    <row r="152" spans="1:22" ht="14.25" hidden="1" customHeight="1">
      <c r="A152" s="376" t="s">
        <v>1091</v>
      </c>
      <c r="B152" s="370" t="e">
        <f ca="1">_xludf.IFNA(VLOOKUP(Bolts!$A152,'Kilter Holds'!$P$37:$S$662,4,0),0)</f>
        <v>#NAME?</v>
      </c>
      <c r="C152" s="371">
        <v>4</v>
      </c>
      <c r="D152" s="373">
        <v>0</v>
      </c>
      <c r="E152" s="373">
        <v>0</v>
      </c>
      <c r="F152" s="373">
        <f ca="1">IFERROR(4*B152,0)</f>
        <v>0</v>
      </c>
      <c r="G152" s="373">
        <v>0</v>
      </c>
      <c r="H152" s="373">
        <v>0</v>
      </c>
      <c r="I152" s="373">
        <v>0</v>
      </c>
      <c r="J152" s="373">
        <v>0</v>
      </c>
      <c r="K152" s="373">
        <v>0</v>
      </c>
      <c r="L152" s="374">
        <v>0</v>
      </c>
      <c r="M152" s="373">
        <v>0</v>
      </c>
      <c r="N152" s="373">
        <v>0</v>
      </c>
      <c r="O152" s="373">
        <v>0</v>
      </c>
      <c r="P152" s="373">
        <v>0</v>
      </c>
      <c r="Q152" s="373">
        <v>0</v>
      </c>
      <c r="R152" s="373">
        <v>0</v>
      </c>
      <c r="S152" s="375">
        <v>0</v>
      </c>
      <c r="T152" s="375">
        <v>0</v>
      </c>
      <c r="U152" s="375">
        <v>0</v>
      </c>
      <c r="V152" s="375" t="e">
        <f t="shared" ca="1" si="0"/>
        <v>#NAME?</v>
      </c>
    </row>
    <row r="153" spans="1:22" ht="14.25" hidden="1" customHeight="1">
      <c r="A153" s="377" t="s">
        <v>189</v>
      </c>
      <c r="B153" s="370" t="e">
        <f ca="1">_xludf.IFNA(VLOOKUP(Bolts!$A153,'Kilter Holds'!$P$37:$S$662,4,0),0)</f>
        <v>#NAME?</v>
      </c>
      <c r="C153" s="371">
        <v>3</v>
      </c>
      <c r="D153" s="373">
        <v>0</v>
      </c>
      <c r="E153" s="373">
        <v>0</v>
      </c>
      <c r="F153" s="373">
        <v>0</v>
      </c>
      <c r="G153" s="373">
        <v>0</v>
      </c>
      <c r="H153" s="373">
        <v>0</v>
      </c>
      <c r="I153" s="373">
        <f t="shared" ref="I153:I154" ca="1" si="31">IFERROR(1*B153,0)</f>
        <v>0</v>
      </c>
      <c r="J153" s="373">
        <v>0</v>
      </c>
      <c r="K153" s="373">
        <f ca="1">IFERROR(1*B153,0)</f>
        <v>0</v>
      </c>
      <c r="L153" s="374">
        <v>0</v>
      </c>
      <c r="M153" s="373">
        <v>0</v>
      </c>
      <c r="N153" s="373">
        <f ca="1">IFERROR(1*B153,0)</f>
        <v>0</v>
      </c>
      <c r="O153" s="373">
        <v>0</v>
      </c>
      <c r="P153" s="373">
        <v>0</v>
      </c>
      <c r="Q153" s="373">
        <v>0</v>
      </c>
      <c r="R153" s="373">
        <v>0</v>
      </c>
      <c r="S153" s="375">
        <v>0</v>
      </c>
      <c r="T153" s="375">
        <v>0</v>
      </c>
      <c r="U153" s="375">
        <v>0</v>
      </c>
      <c r="V153" s="375" t="e">
        <f t="shared" ca="1" si="0"/>
        <v>#NAME?</v>
      </c>
    </row>
    <row r="154" spans="1:22" ht="14.25" hidden="1" customHeight="1">
      <c r="A154" s="376" t="s">
        <v>191</v>
      </c>
      <c r="B154" s="370" t="e">
        <f ca="1">_xludf.IFNA(VLOOKUP(Bolts!$A154,'Kilter Holds'!$P$37:$S$662,4,0),0)</f>
        <v>#NAME?</v>
      </c>
      <c r="C154" s="371">
        <v>1</v>
      </c>
      <c r="D154" s="373">
        <v>0</v>
      </c>
      <c r="E154" s="373">
        <v>0</v>
      </c>
      <c r="F154" s="373">
        <v>0</v>
      </c>
      <c r="G154" s="373">
        <v>0</v>
      </c>
      <c r="H154" s="373">
        <v>0</v>
      </c>
      <c r="I154" s="373">
        <f t="shared" ca="1" si="31"/>
        <v>0</v>
      </c>
      <c r="J154" s="373">
        <v>0</v>
      </c>
      <c r="K154" s="373">
        <v>0</v>
      </c>
      <c r="L154" s="374">
        <v>0</v>
      </c>
      <c r="M154" s="373">
        <v>0</v>
      </c>
      <c r="N154" s="373">
        <v>0</v>
      </c>
      <c r="O154" s="373">
        <v>0</v>
      </c>
      <c r="P154" s="373">
        <v>0</v>
      </c>
      <c r="Q154" s="373">
        <v>0</v>
      </c>
      <c r="R154" s="373">
        <v>0</v>
      </c>
      <c r="S154" s="375">
        <v>0</v>
      </c>
      <c r="T154" s="375">
        <v>0</v>
      </c>
      <c r="U154" s="375">
        <v>0</v>
      </c>
      <c r="V154" s="375" t="e">
        <f t="shared" ca="1" si="0"/>
        <v>#NAME?</v>
      </c>
    </row>
    <row r="155" spans="1:22" ht="14.25" hidden="1" customHeight="1">
      <c r="A155" s="376" t="s">
        <v>193</v>
      </c>
      <c r="B155" s="370" t="e">
        <f ca="1">_xludf.IFNA(VLOOKUP(Bolts!$A155,'Kilter Holds'!$P$37:$S$662,4,0),0)</f>
        <v>#NAME?</v>
      </c>
      <c r="C155" s="371">
        <v>1</v>
      </c>
      <c r="D155" s="373">
        <v>0</v>
      </c>
      <c r="E155" s="373">
        <v>0</v>
      </c>
      <c r="F155" s="373">
        <v>0</v>
      </c>
      <c r="G155" s="373">
        <v>0</v>
      </c>
      <c r="H155" s="373">
        <v>0</v>
      </c>
      <c r="I155" s="373">
        <v>0</v>
      </c>
      <c r="J155" s="373">
        <v>0</v>
      </c>
      <c r="K155" s="373">
        <v>0</v>
      </c>
      <c r="L155" s="374">
        <v>0</v>
      </c>
      <c r="M155" s="373">
        <v>0</v>
      </c>
      <c r="N155" s="373">
        <f ca="1">IFERROR(1*B155,0)</f>
        <v>0</v>
      </c>
      <c r="O155" s="373">
        <v>0</v>
      </c>
      <c r="P155" s="373">
        <v>0</v>
      </c>
      <c r="Q155" s="373">
        <v>0</v>
      </c>
      <c r="R155" s="373">
        <v>0</v>
      </c>
      <c r="S155" s="375">
        <v>0</v>
      </c>
      <c r="T155" s="375">
        <v>0</v>
      </c>
      <c r="U155" s="375">
        <v>0</v>
      </c>
      <c r="V155" s="375" t="e">
        <f t="shared" ca="1" si="0"/>
        <v>#NAME?</v>
      </c>
    </row>
    <row r="156" spans="1:22" ht="14.25" hidden="1" customHeight="1">
      <c r="A156" s="376" t="s">
        <v>195</v>
      </c>
      <c r="B156" s="370" t="e">
        <f ca="1">_xludf.IFNA(VLOOKUP(Bolts!$A156,'Kilter Holds'!$P$37:$S$662,4,0),0)</f>
        <v>#NAME?</v>
      </c>
      <c r="C156" s="371">
        <v>1</v>
      </c>
      <c r="D156" s="373">
        <v>0</v>
      </c>
      <c r="E156" s="373">
        <v>0</v>
      </c>
      <c r="F156" s="373">
        <v>0</v>
      </c>
      <c r="G156" s="373">
        <v>0</v>
      </c>
      <c r="H156" s="373">
        <v>0</v>
      </c>
      <c r="I156" s="373">
        <v>0</v>
      </c>
      <c r="J156" s="373">
        <v>0</v>
      </c>
      <c r="K156" s="373">
        <f t="shared" ref="K156:K157" ca="1" si="32">IFERROR(1*B156,0)</f>
        <v>0</v>
      </c>
      <c r="L156" s="374">
        <v>0</v>
      </c>
      <c r="M156" s="373">
        <v>0</v>
      </c>
      <c r="N156" s="373">
        <v>0</v>
      </c>
      <c r="O156" s="373">
        <v>0</v>
      </c>
      <c r="P156" s="373">
        <v>0</v>
      </c>
      <c r="Q156" s="373">
        <v>0</v>
      </c>
      <c r="R156" s="373">
        <v>0</v>
      </c>
      <c r="S156" s="375">
        <v>0</v>
      </c>
      <c r="T156" s="375">
        <v>0</v>
      </c>
      <c r="U156" s="375">
        <v>0</v>
      </c>
      <c r="V156" s="375" t="e">
        <f t="shared" ca="1" si="0"/>
        <v>#NAME?</v>
      </c>
    </row>
    <row r="157" spans="1:22" ht="14.25" hidden="1" customHeight="1">
      <c r="A157" s="376" t="s">
        <v>221</v>
      </c>
      <c r="B157" s="370" t="e">
        <f ca="1">_xludf.IFNA(VLOOKUP(Bolts!$A157,'Kilter Holds'!$P$37:$S$662,4,0),0)</f>
        <v>#NAME?</v>
      </c>
      <c r="C157" s="371">
        <v>4</v>
      </c>
      <c r="D157" s="373">
        <v>0</v>
      </c>
      <c r="E157" s="373">
        <v>0</v>
      </c>
      <c r="F157" s="373">
        <v>0</v>
      </c>
      <c r="G157" s="373">
        <v>0</v>
      </c>
      <c r="H157" s="373">
        <v>0</v>
      </c>
      <c r="I157" s="373">
        <v>0</v>
      </c>
      <c r="J157" s="373">
        <f t="shared" ref="J157:J158" ca="1" si="33">IFERROR(2*B157,0)</f>
        <v>0</v>
      </c>
      <c r="K157" s="373">
        <f t="shared" ca="1" si="32"/>
        <v>0</v>
      </c>
      <c r="L157" s="374">
        <v>0</v>
      </c>
      <c r="M157" s="373">
        <f ca="1">IFERROR(1*B157,0)</f>
        <v>0</v>
      </c>
      <c r="N157" s="373">
        <v>0</v>
      </c>
      <c r="O157" s="373">
        <v>0</v>
      </c>
      <c r="P157" s="373">
        <v>0</v>
      </c>
      <c r="Q157" s="373">
        <v>0</v>
      </c>
      <c r="R157" s="373">
        <v>0</v>
      </c>
      <c r="S157" s="375">
        <v>0</v>
      </c>
      <c r="T157" s="375">
        <v>0</v>
      </c>
      <c r="U157" s="375">
        <v>0</v>
      </c>
      <c r="V157" s="375" t="e">
        <f t="shared" ca="1" si="0"/>
        <v>#NAME?</v>
      </c>
    </row>
    <row r="158" spans="1:22" ht="14.25" hidden="1" customHeight="1">
      <c r="A158" s="376" t="s">
        <v>223</v>
      </c>
      <c r="B158" s="370" t="e">
        <f ca="1">_xludf.IFNA(VLOOKUP(Bolts!$A158,'Kilter Holds'!$P$37:$S$662,4,0),0)</f>
        <v>#NAME?</v>
      </c>
      <c r="C158" s="371">
        <v>4</v>
      </c>
      <c r="D158" s="373">
        <v>0</v>
      </c>
      <c r="E158" s="373">
        <v>0</v>
      </c>
      <c r="F158" s="373">
        <v>0</v>
      </c>
      <c r="G158" s="373">
        <v>0</v>
      </c>
      <c r="H158" s="373">
        <f ca="1">IFERROR(1*B158,0)</f>
        <v>0</v>
      </c>
      <c r="I158" s="373">
        <f ca="1">IFERROR(1*B158,0)</f>
        <v>0</v>
      </c>
      <c r="J158" s="373">
        <f t="shared" ca="1" si="33"/>
        <v>0</v>
      </c>
      <c r="K158" s="373">
        <v>0</v>
      </c>
      <c r="L158" s="374">
        <v>0</v>
      </c>
      <c r="M158" s="373">
        <v>0</v>
      </c>
      <c r="N158" s="373">
        <v>0</v>
      </c>
      <c r="O158" s="373">
        <v>0</v>
      </c>
      <c r="P158" s="373">
        <v>0</v>
      </c>
      <c r="Q158" s="373">
        <v>0</v>
      </c>
      <c r="R158" s="373">
        <v>0</v>
      </c>
      <c r="S158" s="375">
        <v>0</v>
      </c>
      <c r="T158" s="375">
        <v>0</v>
      </c>
      <c r="U158" s="375">
        <v>0</v>
      </c>
      <c r="V158" s="375" t="e">
        <f t="shared" ca="1" si="0"/>
        <v>#NAME?</v>
      </c>
    </row>
    <row r="159" spans="1:22" ht="14.25" hidden="1" customHeight="1">
      <c r="A159" s="376" t="s">
        <v>237</v>
      </c>
      <c r="B159" s="370" t="e">
        <f ca="1">_xludf.IFNA(VLOOKUP(Bolts!$A159,'Kilter Holds'!$P$37:$S$662,4,0),0)</f>
        <v>#NAME?</v>
      </c>
      <c r="C159" s="371">
        <v>5</v>
      </c>
      <c r="D159" s="373">
        <v>0</v>
      </c>
      <c r="E159" s="373">
        <v>0</v>
      </c>
      <c r="F159" s="373">
        <v>0</v>
      </c>
      <c r="G159" s="373">
        <v>0</v>
      </c>
      <c r="H159" s="373">
        <f ca="1">IFERROR(2*B159,0)</f>
        <v>0</v>
      </c>
      <c r="I159" s="373">
        <f ca="1">IFERROR(2*B159,0)</f>
        <v>0</v>
      </c>
      <c r="J159" s="373">
        <f ca="1">IFERROR(1*B159,0)</f>
        <v>0</v>
      </c>
      <c r="K159" s="373">
        <v>0</v>
      </c>
      <c r="L159" s="374">
        <v>0</v>
      </c>
      <c r="M159" s="373">
        <v>0</v>
      </c>
      <c r="N159" s="373">
        <v>0</v>
      </c>
      <c r="O159" s="373">
        <v>0</v>
      </c>
      <c r="P159" s="373">
        <v>0</v>
      </c>
      <c r="Q159" s="373">
        <v>0</v>
      </c>
      <c r="R159" s="373">
        <v>0</v>
      </c>
      <c r="S159" s="375">
        <v>0</v>
      </c>
      <c r="T159" s="375">
        <v>0</v>
      </c>
      <c r="U159" s="375">
        <v>0</v>
      </c>
      <c r="V159" s="375" t="e">
        <f t="shared" ca="1" si="0"/>
        <v>#NAME?</v>
      </c>
    </row>
    <row r="160" spans="1:22" ht="14.25" hidden="1" customHeight="1">
      <c r="A160" s="377" t="s">
        <v>197</v>
      </c>
      <c r="B160" s="370" t="e">
        <f ca="1">_xludf.IFNA(VLOOKUP(Bolts!$A160,'Kilter Holds'!$P$37:$S$662,4,0),0)</f>
        <v>#NAME?</v>
      </c>
      <c r="C160" s="371">
        <v>2</v>
      </c>
      <c r="D160" s="373">
        <v>0</v>
      </c>
      <c r="E160" s="373">
        <v>0</v>
      </c>
      <c r="F160" s="373">
        <v>0</v>
      </c>
      <c r="G160" s="373">
        <v>0</v>
      </c>
      <c r="H160" s="373">
        <v>0</v>
      </c>
      <c r="I160" s="373">
        <v>0</v>
      </c>
      <c r="J160" s="373">
        <v>0</v>
      </c>
      <c r="K160" s="373">
        <v>0</v>
      </c>
      <c r="L160" s="374">
        <v>0</v>
      </c>
      <c r="M160" s="373" t="e">
        <f ca="1">Bolts!$B160*2</f>
        <v>#NAME?</v>
      </c>
      <c r="N160" s="373">
        <v>0</v>
      </c>
      <c r="O160" s="373">
        <v>0</v>
      </c>
      <c r="P160" s="373">
        <v>0</v>
      </c>
      <c r="Q160" s="373">
        <v>0</v>
      </c>
      <c r="R160" s="373">
        <v>0</v>
      </c>
      <c r="S160" s="375">
        <v>0</v>
      </c>
      <c r="T160" s="375">
        <v>0</v>
      </c>
      <c r="U160" s="375">
        <v>0</v>
      </c>
      <c r="V160" s="375" t="e">
        <f t="shared" ca="1" si="0"/>
        <v>#NAME?</v>
      </c>
    </row>
    <row r="161" spans="1:22" ht="14.25" hidden="1" customHeight="1">
      <c r="A161" s="376" t="s">
        <v>199</v>
      </c>
      <c r="B161" s="370" t="e">
        <f ca="1">_xludf.IFNA(VLOOKUP(Bolts!$A161,'Kilter Holds'!$P$37:$S$662,4,0),0)</f>
        <v>#NAME?</v>
      </c>
      <c r="C161" s="371">
        <v>1</v>
      </c>
      <c r="D161" s="373">
        <v>0</v>
      </c>
      <c r="E161" s="373">
        <v>0</v>
      </c>
      <c r="F161" s="373">
        <v>0</v>
      </c>
      <c r="G161" s="373">
        <v>0</v>
      </c>
      <c r="H161" s="373">
        <v>0</v>
      </c>
      <c r="I161" s="373">
        <v>0</v>
      </c>
      <c r="J161" s="373">
        <v>0</v>
      </c>
      <c r="K161" s="373">
        <v>0</v>
      </c>
      <c r="L161" s="374">
        <v>0</v>
      </c>
      <c r="M161" s="373" t="e">
        <f ca="1">Bolts!$B161*1</f>
        <v>#NAME?</v>
      </c>
      <c r="N161" s="373">
        <v>0</v>
      </c>
      <c r="O161" s="373">
        <v>0</v>
      </c>
      <c r="P161" s="373">
        <v>0</v>
      </c>
      <c r="Q161" s="373">
        <v>0</v>
      </c>
      <c r="R161" s="373">
        <v>0</v>
      </c>
      <c r="S161" s="375">
        <v>0</v>
      </c>
      <c r="T161" s="375">
        <v>0</v>
      </c>
      <c r="U161" s="375">
        <v>0</v>
      </c>
      <c r="V161" s="375" t="e">
        <f t="shared" ca="1" si="0"/>
        <v>#NAME?</v>
      </c>
    </row>
    <row r="162" spans="1:22" ht="14.25" hidden="1" customHeight="1">
      <c r="A162" s="376" t="s">
        <v>201</v>
      </c>
      <c r="B162" s="370" t="e">
        <f ca="1">_xludf.IFNA(VLOOKUP(Bolts!$A162,'Kilter Holds'!$P$37:$S$662,4,0),0)</f>
        <v>#NAME?</v>
      </c>
      <c r="C162" s="371">
        <v>1</v>
      </c>
      <c r="D162" s="373">
        <v>0</v>
      </c>
      <c r="E162" s="373">
        <v>0</v>
      </c>
      <c r="F162" s="373">
        <v>0</v>
      </c>
      <c r="G162" s="373">
        <v>0</v>
      </c>
      <c r="H162" s="373">
        <v>0</v>
      </c>
      <c r="I162" s="373">
        <v>0</v>
      </c>
      <c r="J162" s="373">
        <v>0</v>
      </c>
      <c r="K162" s="373">
        <v>0</v>
      </c>
      <c r="L162" s="374">
        <v>0</v>
      </c>
      <c r="M162" s="373" t="e">
        <f ca="1">Bolts!$B162*1</f>
        <v>#NAME?</v>
      </c>
      <c r="N162" s="373">
        <v>0</v>
      </c>
      <c r="O162" s="373">
        <v>0</v>
      </c>
      <c r="P162" s="373">
        <v>0</v>
      </c>
      <c r="Q162" s="373">
        <v>0</v>
      </c>
      <c r="R162" s="373">
        <v>0</v>
      </c>
      <c r="S162" s="375">
        <v>0</v>
      </c>
      <c r="T162" s="375">
        <v>0</v>
      </c>
      <c r="U162" s="375">
        <v>0</v>
      </c>
      <c r="V162" s="375" t="e">
        <f t="shared" ca="1" si="0"/>
        <v>#NAME?</v>
      </c>
    </row>
    <row r="163" spans="1:22" ht="14.25" hidden="1" customHeight="1">
      <c r="A163" s="377" t="s">
        <v>266</v>
      </c>
      <c r="B163" s="370" t="e">
        <f ca="1">_xludf.IFNA(VLOOKUP(Bolts!$A163,'Kilter Holds'!$P$37:$S$662,4,0),0)</f>
        <v>#NAME?</v>
      </c>
      <c r="C163" s="371">
        <v>5</v>
      </c>
      <c r="D163" s="373">
        <f t="shared" ref="D163:D164" ca="1" si="34">IFERROR(5*B163,0)</f>
        <v>0</v>
      </c>
      <c r="E163" s="373">
        <v>0</v>
      </c>
      <c r="F163" s="373">
        <v>0</v>
      </c>
      <c r="G163" s="373">
        <v>0</v>
      </c>
      <c r="H163" s="373">
        <v>0</v>
      </c>
      <c r="I163" s="373">
        <v>0</v>
      </c>
      <c r="J163" s="373">
        <v>0</v>
      </c>
      <c r="K163" s="373">
        <v>0</v>
      </c>
      <c r="L163" s="374">
        <v>0</v>
      </c>
      <c r="M163" s="373">
        <v>0</v>
      </c>
      <c r="N163" s="373">
        <v>0</v>
      </c>
      <c r="O163" s="373">
        <v>0</v>
      </c>
      <c r="P163" s="373">
        <v>0</v>
      </c>
      <c r="Q163" s="373">
        <v>0</v>
      </c>
      <c r="R163" s="373">
        <v>0</v>
      </c>
      <c r="S163" s="375">
        <v>0</v>
      </c>
      <c r="T163" s="375">
        <v>0</v>
      </c>
      <c r="U163" s="375">
        <v>0</v>
      </c>
      <c r="V163" s="375" t="e">
        <f t="shared" ca="1" si="0"/>
        <v>#NAME?</v>
      </c>
    </row>
    <row r="164" spans="1:22" ht="14.25" hidden="1" customHeight="1">
      <c r="A164" s="377" t="s">
        <v>268</v>
      </c>
      <c r="B164" s="370" t="e">
        <f ca="1">_xludf.IFNA(VLOOKUP(Bolts!$A164,'Kilter Holds'!$P$37:$S$662,4,0),0)</f>
        <v>#NAME?</v>
      </c>
      <c r="C164" s="371">
        <v>5</v>
      </c>
      <c r="D164" s="373">
        <f t="shared" ca="1" si="34"/>
        <v>0</v>
      </c>
      <c r="E164" s="373">
        <v>0</v>
      </c>
      <c r="F164" s="373">
        <v>0</v>
      </c>
      <c r="G164" s="373">
        <v>0</v>
      </c>
      <c r="H164" s="373">
        <v>0</v>
      </c>
      <c r="I164" s="373">
        <v>0</v>
      </c>
      <c r="J164" s="373">
        <v>0</v>
      </c>
      <c r="K164" s="373">
        <v>0</v>
      </c>
      <c r="L164" s="374">
        <v>0</v>
      </c>
      <c r="M164" s="373">
        <v>0</v>
      </c>
      <c r="N164" s="373">
        <v>0</v>
      </c>
      <c r="O164" s="373">
        <v>0</v>
      </c>
      <c r="P164" s="373">
        <v>0</v>
      </c>
      <c r="Q164" s="373">
        <v>0</v>
      </c>
      <c r="R164" s="373">
        <v>0</v>
      </c>
      <c r="S164" s="375">
        <v>0</v>
      </c>
      <c r="T164" s="375">
        <v>0</v>
      </c>
      <c r="U164" s="375">
        <v>0</v>
      </c>
      <c r="V164" s="375" t="e">
        <f t="shared" ca="1" si="0"/>
        <v>#NAME?</v>
      </c>
    </row>
    <row r="165" spans="1:22" ht="14.25" hidden="1" customHeight="1">
      <c r="A165" s="377" t="s">
        <v>295</v>
      </c>
      <c r="B165" s="370" t="e">
        <f ca="1">_xludf.IFNA(VLOOKUP(Bolts!$A165,'Kilter Holds'!$P$37:$S$662,4,0),0)</f>
        <v>#NAME?</v>
      </c>
      <c r="C165" s="371">
        <v>10</v>
      </c>
      <c r="D165" s="373">
        <f ca="1">IFERROR(10*B165,0)</f>
        <v>0</v>
      </c>
      <c r="E165" s="373">
        <v>0</v>
      </c>
      <c r="F165" s="373">
        <v>0</v>
      </c>
      <c r="G165" s="373">
        <v>0</v>
      </c>
      <c r="H165" s="373">
        <v>0</v>
      </c>
      <c r="I165" s="373">
        <v>0</v>
      </c>
      <c r="J165" s="373">
        <v>0</v>
      </c>
      <c r="K165" s="373">
        <v>0</v>
      </c>
      <c r="L165" s="374">
        <v>0</v>
      </c>
      <c r="M165" s="373">
        <v>0</v>
      </c>
      <c r="N165" s="373">
        <v>0</v>
      </c>
      <c r="O165" s="373">
        <v>0</v>
      </c>
      <c r="P165" s="373">
        <v>0</v>
      </c>
      <c r="Q165" s="373">
        <v>0</v>
      </c>
      <c r="R165" s="373">
        <v>0</v>
      </c>
      <c r="S165" s="375">
        <v>0</v>
      </c>
      <c r="T165" s="375">
        <v>0</v>
      </c>
      <c r="U165" s="375">
        <v>0</v>
      </c>
      <c r="V165" s="375" t="e">
        <f t="shared" ca="1" si="0"/>
        <v>#NAME?</v>
      </c>
    </row>
    <row r="166" spans="1:22" ht="14.25" hidden="1" customHeight="1">
      <c r="A166" s="377" t="s">
        <v>270</v>
      </c>
      <c r="B166" s="370" t="e">
        <f ca="1">_xludf.IFNA(VLOOKUP(Bolts!$A166,'Kilter Holds'!$P$37:$S$662,4,0),0)</f>
        <v>#NAME?</v>
      </c>
      <c r="C166" s="371">
        <v>5</v>
      </c>
      <c r="D166" s="373">
        <v>0</v>
      </c>
      <c r="E166" s="373">
        <f ca="1">IFERROR(5*B166,0)</f>
        <v>0</v>
      </c>
      <c r="F166" s="373">
        <v>0</v>
      </c>
      <c r="G166" s="373">
        <v>0</v>
      </c>
      <c r="H166" s="373">
        <v>0</v>
      </c>
      <c r="I166" s="373">
        <v>0</v>
      </c>
      <c r="J166" s="373">
        <v>0</v>
      </c>
      <c r="K166" s="373">
        <v>0</v>
      </c>
      <c r="L166" s="374">
        <v>0</v>
      </c>
      <c r="M166" s="373">
        <v>0</v>
      </c>
      <c r="N166" s="373">
        <v>0</v>
      </c>
      <c r="O166" s="373">
        <v>0</v>
      </c>
      <c r="P166" s="373">
        <v>0</v>
      </c>
      <c r="Q166" s="373">
        <v>0</v>
      </c>
      <c r="R166" s="373">
        <v>0</v>
      </c>
      <c r="S166" s="375">
        <v>0</v>
      </c>
      <c r="T166" s="375">
        <v>0</v>
      </c>
      <c r="U166" s="375">
        <v>0</v>
      </c>
      <c r="V166" s="375" t="e">
        <f t="shared" ca="1" si="0"/>
        <v>#NAME?</v>
      </c>
    </row>
    <row r="167" spans="1:22" ht="14.25" hidden="1" customHeight="1">
      <c r="A167" s="377" t="s">
        <v>297</v>
      </c>
      <c r="B167" s="370" t="e">
        <f ca="1">_xludf.IFNA(VLOOKUP(Bolts!$A167,'Kilter Holds'!$P$37:$S$662,4,0),0)</f>
        <v>#NAME?</v>
      </c>
      <c r="C167" s="371">
        <v>10</v>
      </c>
      <c r="D167" s="373">
        <f ca="1">IFERROR(10*B167,0)</f>
        <v>0</v>
      </c>
      <c r="E167" s="373">
        <v>0</v>
      </c>
      <c r="F167" s="373">
        <v>0</v>
      </c>
      <c r="G167" s="373">
        <v>0</v>
      </c>
      <c r="H167" s="373">
        <v>0</v>
      </c>
      <c r="I167" s="373">
        <v>0</v>
      </c>
      <c r="J167" s="373">
        <v>0</v>
      </c>
      <c r="K167" s="373">
        <v>0</v>
      </c>
      <c r="L167" s="374">
        <v>0</v>
      </c>
      <c r="M167" s="373">
        <v>0</v>
      </c>
      <c r="N167" s="373">
        <v>0</v>
      </c>
      <c r="O167" s="373">
        <v>0</v>
      </c>
      <c r="P167" s="373">
        <v>0</v>
      </c>
      <c r="Q167" s="373">
        <v>0</v>
      </c>
      <c r="R167" s="373">
        <v>0</v>
      </c>
      <c r="S167" s="375">
        <v>0</v>
      </c>
      <c r="T167" s="375">
        <v>0</v>
      </c>
      <c r="U167" s="375">
        <v>0</v>
      </c>
      <c r="V167" s="375" t="e">
        <f t="shared" ca="1" si="0"/>
        <v>#NAME?</v>
      </c>
    </row>
    <row r="168" spans="1:22" ht="14.25" hidden="1" customHeight="1">
      <c r="A168" s="377" t="s">
        <v>239</v>
      </c>
      <c r="B168" s="370" t="e">
        <f ca="1">_xludf.IFNA(VLOOKUP(Bolts!$A168,'Kilter Holds'!$P$37:$S$662,4,0),0)</f>
        <v>#NAME?</v>
      </c>
      <c r="C168" s="371">
        <v>5</v>
      </c>
      <c r="D168" s="373">
        <f t="shared" ref="D168:D169" ca="1" si="35">IFERROR(4*B168,0)</f>
        <v>0</v>
      </c>
      <c r="E168" s="373">
        <f t="shared" ref="E168:E169" ca="1" si="36">IFERROR(1*B168,0)</f>
        <v>0</v>
      </c>
      <c r="F168" s="373">
        <v>0</v>
      </c>
      <c r="G168" s="373">
        <v>0</v>
      </c>
      <c r="H168" s="373">
        <v>0</v>
      </c>
      <c r="I168" s="373">
        <v>0</v>
      </c>
      <c r="J168" s="373">
        <v>0</v>
      </c>
      <c r="K168" s="373">
        <v>0</v>
      </c>
      <c r="L168" s="374">
        <v>0</v>
      </c>
      <c r="M168" s="373">
        <v>0</v>
      </c>
      <c r="N168" s="373">
        <v>0</v>
      </c>
      <c r="O168" s="373">
        <v>0</v>
      </c>
      <c r="P168" s="373">
        <v>0</v>
      </c>
      <c r="Q168" s="373">
        <v>0</v>
      </c>
      <c r="R168" s="373">
        <v>0</v>
      </c>
      <c r="S168" s="375">
        <v>0</v>
      </c>
      <c r="T168" s="375">
        <v>0</v>
      </c>
      <c r="U168" s="375">
        <v>0</v>
      </c>
      <c r="V168" s="375" t="e">
        <f t="shared" ca="1" si="0"/>
        <v>#NAME?</v>
      </c>
    </row>
    <row r="169" spans="1:22" ht="14.25" hidden="1" customHeight="1">
      <c r="A169" s="377" t="s">
        <v>241</v>
      </c>
      <c r="B169" s="370" t="e">
        <f ca="1">_xludf.IFNA(VLOOKUP(Bolts!$A169,'Kilter Holds'!$P$37:$S$662,4,0),0)</f>
        <v>#NAME?</v>
      </c>
      <c r="C169" s="371">
        <v>5</v>
      </c>
      <c r="D169" s="373">
        <f t="shared" ca="1" si="35"/>
        <v>0</v>
      </c>
      <c r="E169" s="373">
        <f t="shared" ca="1" si="36"/>
        <v>0</v>
      </c>
      <c r="F169" s="373">
        <v>0</v>
      </c>
      <c r="G169" s="373">
        <v>0</v>
      </c>
      <c r="H169" s="373">
        <v>0</v>
      </c>
      <c r="I169" s="373">
        <v>0</v>
      </c>
      <c r="J169" s="373">
        <v>0</v>
      </c>
      <c r="K169" s="373">
        <v>0</v>
      </c>
      <c r="L169" s="374">
        <v>0</v>
      </c>
      <c r="M169" s="373">
        <v>0</v>
      </c>
      <c r="N169" s="373">
        <v>0</v>
      </c>
      <c r="O169" s="373">
        <v>0</v>
      </c>
      <c r="P169" s="373">
        <v>0</v>
      </c>
      <c r="Q169" s="373">
        <v>0</v>
      </c>
      <c r="R169" s="373">
        <v>0</v>
      </c>
      <c r="S169" s="375">
        <v>0</v>
      </c>
      <c r="T169" s="375">
        <v>0</v>
      </c>
      <c r="U169" s="375">
        <v>0</v>
      </c>
      <c r="V169" s="375" t="e">
        <f t="shared" ca="1" si="0"/>
        <v>#NAME?</v>
      </c>
    </row>
    <row r="170" spans="1:22" ht="14.25" hidden="1" customHeight="1">
      <c r="A170" s="377" t="s">
        <v>299</v>
      </c>
      <c r="B170" s="370" t="e">
        <f ca="1">_xludf.IFNA(VLOOKUP(Bolts!$A170,'Kilter Holds'!$P$37:$S$662,4,0),0)</f>
        <v>#NAME?</v>
      </c>
      <c r="C170" s="371">
        <v>10</v>
      </c>
      <c r="D170" s="373">
        <f t="shared" ref="D170:D175" ca="1" si="37">IFERROR(10*B170,0)</f>
        <v>0</v>
      </c>
      <c r="E170" s="373">
        <v>0</v>
      </c>
      <c r="F170" s="373">
        <v>0</v>
      </c>
      <c r="G170" s="373">
        <v>0</v>
      </c>
      <c r="H170" s="373">
        <v>0</v>
      </c>
      <c r="I170" s="373">
        <v>0</v>
      </c>
      <c r="J170" s="373">
        <v>0</v>
      </c>
      <c r="K170" s="373">
        <v>0</v>
      </c>
      <c r="L170" s="374">
        <v>0</v>
      </c>
      <c r="M170" s="373">
        <v>0</v>
      </c>
      <c r="N170" s="373">
        <v>0</v>
      </c>
      <c r="O170" s="373">
        <v>0</v>
      </c>
      <c r="P170" s="373">
        <v>0</v>
      </c>
      <c r="Q170" s="373">
        <v>0</v>
      </c>
      <c r="R170" s="373">
        <v>0</v>
      </c>
      <c r="S170" s="375">
        <v>0</v>
      </c>
      <c r="T170" s="375">
        <v>0</v>
      </c>
      <c r="U170" s="375">
        <v>0</v>
      </c>
      <c r="V170" s="375" t="e">
        <f t="shared" ca="1" si="0"/>
        <v>#NAME?</v>
      </c>
    </row>
    <row r="171" spans="1:22" ht="14.25" hidden="1" customHeight="1">
      <c r="A171" s="376" t="s">
        <v>301</v>
      </c>
      <c r="B171" s="370" t="e">
        <f ca="1">_xludf.IFNA(VLOOKUP(Bolts!$A171,'Kilter Holds'!$P$37:$S$662,4,0),0)</f>
        <v>#NAME?</v>
      </c>
      <c r="C171" s="371">
        <v>10</v>
      </c>
      <c r="D171" s="373">
        <f t="shared" ca="1" si="37"/>
        <v>0</v>
      </c>
      <c r="E171" s="373">
        <v>0</v>
      </c>
      <c r="F171" s="373">
        <v>0</v>
      </c>
      <c r="G171" s="373">
        <v>0</v>
      </c>
      <c r="H171" s="373">
        <v>0</v>
      </c>
      <c r="I171" s="373">
        <v>0</v>
      </c>
      <c r="J171" s="373">
        <v>0</v>
      </c>
      <c r="K171" s="373">
        <v>0</v>
      </c>
      <c r="L171" s="374">
        <v>0</v>
      </c>
      <c r="M171" s="373">
        <v>0</v>
      </c>
      <c r="N171" s="373">
        <v>0</v>
      </c>
      <c r="O171" s="373">
        <v>0</v>
      </c>
      <c r="P171" s="373">
        <v>0</v>
      </c>
      <c r="Q171" s="373">
        <v>0</v>
      </c>
      <c r="R171" s="373">
        <v>0</v>
      </c>
      <c r="S171" s="375">
        <v>0</v>
      </c>
      <c r="T171" s="375">
        <v>0</v>
      </c>
      <c r="U171" s="375">
        <v>0</v>
      </c>
      <c r="V171" s="375" t="e">
        <f t="shared" ca="1" si="0"/>
        <v>#NAME?</v>
      </c>
    </row>
    <row r="172" spans="1:22" ht="14.25" hidden="1" customHeight="1">
      <c r="A172" s="377" t="s">
        <v>303</v>
      </c>
      <c r="B172" s="370" t="e">
        <f ca="1">_xludf.IFNA(VLOOKUP(Bolts!$A172,'Kilter Holds'!$P$37:$S$662,4,0),0)</f>
        <v>#NAME?</v>
      </c>
      <c r="C172" s="371">
        <v>10</v>
      </c>
      <c r="D172" s="373">
        <f t="shared" ca="1" si="37"/>
        <v>0</v>
      </c>
      <c r="E172" s="373">
        <v>0</v>
      </c>
      <c r="F172" s="373">
        <v>0</v>
      </c>
      <c r="G172" s="373">
        <v>0</v>
      </c>
      <c r="H172" s="373">
        <v>0</v>
      </c>
      <c r="I172" s="373">
        <v>0</v>
      </c>
      <c r="J172" s="373">
        <v>0</v>
      </c>
      <c r="K172" s="373">
        <v>0</v>
      </c>
      <c r="L172" s="374">
        <v>0</v>
      </c>
      <c r="M172" s="373">
        <v>0</v>
      </c>
      <c r="N172" s="373">
        <v>0</v>
      </c>
      <c r="O172" s="373">
        <v>0</v>
      </c>
      <c r="P172" s="373">
        <v>0</v>
      </c>
      <c r="Q172" s="373">
        <v>0</v>
      </c>
      <c r="R172" s="373">
        <v>0</v>
      </c>
      <c r="S172" s="375">
        <v>0</v>
      </c>
      <c r="T172" s="375">
        <v>0</v>
      </c>
      <c r="U172" s="375">
        <v>0</v>
      </c>
      <c r="V172" s="375" t="e">
        <f t="shared" ca="1" si="0"/>
        <v>#NAME?</v>
      </c>
    </row>
    <row r="173" spans="1:22" ht="14.25" hidden="1" customHeight="1">
      <c r="A173" s="376" t="s">
        <v>305</v>
      </c>
      <c r="B173" s="370" t="e">
        <f ca="1">_xludf.IFNA(VLOOKUP(Bolts!$A173,'Kilter Holds'!$P$37:$S$662,4,0),0)</f>
        <v>#NAME?</v>
      </c>
      <c r="C173" s="371">
        <v>10</v>
      </c>
      <c r="D173" s="373">
        <f t="shared" ca="1" si="37"/>
        <v>0</v>
      </c>
      <c r="E173" s="373">
        <v>0</v>
      </c>
      <c r="F173" s="373">
        <v>0</v>
      </c>
      <c r="G173" s="373">
        <v>0</v>
      </c>
      <c r="H173" s="373">
        <v>0</v>
      </c>
      <c r="I173" s="373">
        <v>0</v>
      </c>
      <c r="J173" s="373">
        <v>0</v>
      </c>
      <c r="K173" s="373">
        <v>0</v>
      </c>
      <c r="L173" s="374">
        <v>0</v>
      </c>
      <c r="M173" s="373">
        <v>0</v>
      </c>
      <c r="N173" s="373">
        <v>0</v>
      </c>
      <c r="O173" s="373">
        <v>0</v>
      </c>
      <c r="P173" s="373">
        <v>0</v>
      </c>
      <c r="Q173" s="373">
        <v>0</v>
      </c>
      <c r="R173" s="373">
        <v>0</v>
      </c>
      <c r="S173" s="375">
        <v>0</v>
      </c>
      <c r="T173" s="375">
        <v>0</v>
      </c>
      <c r="U173" s="375">
        <v>0</v>
      </c>
      <c r="V173" s="375" t="e">
        <f t="shared" ca="1" si="0"/>
        <v>#NAME?</v>
      </c>
    </row>
    <row r="174" spans="1:22" ht="14.25" hidden="1" customHeight="1">
      <c r="A174" s="377" t="s">
        <v>331</v>
      </c>
      <c r="B174" s="370" t="e">
        <f ca="1">_xludf.IFNA(VLOOKUP(Bolts!$A174,'Kilter Holds'!$P$37:$S$662,4,0),0)</f>
        <v>#NAME?</v>
      </c>
      <c r="C174" s="371">
        <v>10</v>
      </c>
      <c r="D174" s="373">
        <f t="shared" ca="1" si="37"/>
        <v>0</v>
      </c>
      <c r="E174" s="373">
        <v>0</v>
      </c>
      <c r="F174" s="373">
        <v>0</v>
      </c>
      <c r="G174" s="373">
        <v>0</v>
      </c>
      <c r="H174" s="373">
        <v>0</v>
      </c>
      <c r="I174" s="373">
        <v>0</v>
      </c>
      <c r="J174" s="373">
        <v>0</v>
      </c>
      <c r="K174" s="373">
        <v>0</v>
      </c>
      <c r="L174" s="374">
        <v>0</v>
      </c>
      <c r="M174" s="373">
        <v>0</v>
      </c>
      <c r="N174" s="373">
        <v>0</v>
      </c>
      <c r="O174" s="373">
        <v>0</v>
      </c>
      <c r="P174" s="373">
        <v>0</v>
      </c>
      <c r="Q174" s="373">
        <v>0</v>
      </c>
      <c r="R174" s="373">
        <v>0</v>
      </c>
      <c r="S174" s="375">
        <v>0</v>
      </c>
      <c r="T174" s="375">
        <v>0</v>
      </c>
      <c r="U174" s="375">
        <v>0</v>
      </c>
      <c r="V174" s="375" t="e">
        <f t="shared" ca="1" si="0"/>
        <v>#NAME?</v>
      </c>
    </row>
    <row r="175" spans="1:22" ht="14.25" hidden="1" customHeight="1">
      <c r="A175" s="376" t="s">
        <v>307</v>
      </c>
      <c r="B175" s="370" t="e">
        <f ca="1">_xludf.IFNA(VLOOKUP(Bolts!$A175,'Kilter Holds'!$P$37:$S$662,4,0),0)</f>
        <v>#NAME?</v>
      </c>
      <c r="C175" s="371">
        <v>10</v>
      </c>
      <c r="D175" s="373">
        <f t="shared" ca="1" si="37"/>
        <v>0</v>
      </c>
      <c r="E175" s="373">
        <v>0</v>
      </c>
      <c r="F175" s="373">
        <v>0</v>
      </c>
      <c r="G175" s="373">
        <v>0</v>
      </c>
      <c r="H175" s="373">
        <v>0</v>
      </c>
      <c r="I175" s="373">
        <v>0</v>
      </c>
      <c r="J175" s="373">
        <v>0</v>
      </c>
      <c r="K175" s="373">
        <v>0</v>
      </c>
      <c r="L175" s="374">
        <v>0</v>
      </c>
      <c r="M175" s="373">
        <v>0</v>
      </c>
      <c r="N175" s="373">
        <v>0</v>
      </c>
      <c r="O175" s="373">
        <v>0</v>
      </c>
      <c r="P175" s="373">
        <v>0</v>
      </c>
      <c r="Q175" s="373">
        <v>0</v>
      </c>
      <c r="R175" s="373">
        <v>0</v>
      </c>
      <c r="S175" s="375">
        <v>0</v>
      </c>
      <c r="T175" s="375">
        <v>0</v>
      </c>
      <c r="U175" s="375">
        <v>0</v>
      </c>
      <c r="V175" s="375" t="e">
        <f t="shared" ca="1" si="0"/>
        <v>#NAME?</v>
      </c>
    </row>
    <row r="176" spans="1:22" ht="14.25" hidden="1" customHeight="1">
      <c r="A176" s="377" t="s">
        <v>357</v>
      </c>
      <c r="B176" s="370" t="e">
        <f ca="1">_xludf.IFNA(VLOOKUP(Bolts!$A176,'Kilter Holds'!$P$37:$S$662,4,0),0)</f>
        <v>#NAME?</v>
      </c>
      <c r="C176" s="371">
        <v>20</v>
      </c>
      <c r="D176" s="373">
        <f ca="1">IFERROR(20*B176,0)</f>
        <v>0</v>
      </c>
      <c r="E176" s="373">
        <v>0</v>
      </c>
      <c r="F176" s="373">
        <v>0</v>
      </c>
      <c r="G176" s="373">
        <v>0</v>
      </c>
      <c r="H176" s="373">
        <v>0</v>
      </c>
      <c r="I176" s="373">
        <v>0</v>
      </c>
      <c r="J176" s="373">
        <v>0</v>
      </c>
      <c r="K176" s="373">
        <v>0</v>
      </c>
      <c r="L176" s="374">
        <v>0</v>
      </c>
      <c r="M176" s="373">
        <v>0</v>
      </c>
      <c r="N176" s="373">
        <v>0</v>
      </c>
      <c r="O176" s="373">
        <v>0</v>
      </c>
      <c r="P176" s="373">
        <v>0</v>
      </c>
      <c r="Q176" s="373">
        <v>0</v>
      </c>
      <c r="R176" s="373">
        <v>0</v>
      </c>
      <c r="S176" s="375">
        <v>0</v>
      </c>
      <c r="T176" s="375">
        <v>0</v>
      </c>
      <c r="U176" s="375">
        <v>0</v>
      </c>
      <c r="V176" s="375" t="e">
        <f t="shared" ca="1" si="0"/>
        <v>#NAME?</v>
      </c>
    </row>
    <row r="177" spans="1:22" ht="14.25" hidden="1" customHeight="1">
      <c r="A177" s="377" t="s">
        <v>272</v>
      </c>
      <c r="B177" s="370" t="e">
        <f ca="1">_xludf.IFNA(VLOOKUP(Bolts!$A177,'Kilter Holds'!$P$37:$S$662,4,0),0)</f>
        <v>#NAME?</v>
      </c>
      <c r="C177" s="371">
        <v>5</v>
      </c>
      <c r="D177" s="373">
        <f ca="1">IFERROR(1*B177,0)</f>
        <v>0</v>
      </c>
      <c r="E177" s="373">
        <f ca="1">IFERROR(4*B177,0)</f>
        <v>0</v>
      </c>
      <c r="F177" s="373">
        <v>0</v>
      </c>
      <c r="G177" s="373">
        <v>0</v>
      </c>
      <c r="H177" s="373">
        <v>0</v>
      </c>
      <c r="I177" s="373">
        <v>0</v>
      </c>
      <c r="J177" s="373">
        <v>0</v>
      </c>
      <c r="K177" s="373">
        <v>0</v>
      </c>
      <c r="L177" s="374">
        <v>0</v>
      </c>
      <c r="M177" s="373">
        <v>0</v>
      </c>
      <c r="N177" s="373">
        <v>0</v>
      </c>
      <c r="O177" s="373">
        <v>0</v>
      </c>
      <c r="P177" s="373">
        <v>0</v>
      </c>
      <c r="Q177" s="373">
        <v>0</v>
      </c>
      <c r="R177" s="373">
        <v>0</v>
      </c>
      <c r="S177" s="375">
        <v>0</v>
      </c>
      <c r="T177" s="375">
        <v>0</v>
      </c>
      <c r="U177" s="375">
        <v>0</v>
      </c>
      <c r="V177" s="375" t="e">
        <f t="shared" ca="1" si="0"/>
        <v>#NAME?</v>
      </c>
    </row>
    <row r="178" spans="1:22" ht="14.25" hidden="1" customHeight="1">
      <c r="A178" s="377" t="s">
        <v>359</v>
      </c>
      <c r="B178" s="370" t="e">
        <f ca="1">_xludf.IFNA(VLOOKUP(Bolts!$A178,'Kilter Holds'!$P$37:$S$662,4,0),0)</f>
        <v>#NAME?</v>
      </c>
      <c r="C178" s="371">
        <v>20</v>
      </c>
      <c r="D178" s="373">
        <f t="shared" ref="D178:D179" ca="1" si="38">IFERROR(20*B178,0)</f>
        <v>0</v>
      </c>
      <c r="E178" s="373">
        <v>0</v>
      </c>
      <c r="F178" s="373">
        <v>0</v>
      </c>
      <c r="G178" s="373">
        <v>0</v>
      </c>
      <c r="H178" s="373">
        <v>0</v>
      </c>
      <c r="I178" s="373">
        <v>0</v>
      </c>
      <c r="J178" s="373">
        <v>0</v>
      </c>
      <c r="K178" s="373">
        <v>0</v>
      </c>
      <c r="L178" s="374">
        <v>0</v>
      </c>
      <c r="M178" s="373">
        <v>0</v>
      </c>
      <c r="N178" s="373">
        <v>0</v>
      </c>
      <c r="O178" s="373">
        <v>0</v>
      </c>
      <c r="P178" s="373">
        <v>0</v>
      </c>
      <c r="Q178" s="373">
        <v>0</v>
      </c>
      <c r="R178" s="373">
        <v>0</v>
      </c>
      <c r="S178" s="375">
        <v>0</v>
      </c>
      <c r="T178" s="375">
        <v>0</v>
      </c>
      <c r="U178" s="375">
        <v>0</v>
      </c>
      <c r="V178" s="375" t="e">
        <f t="shared" ca="1" si="0"/>
        <v>#NAME?</v>
      </c>
    </row>
    <row r="179" spans="1:22" ht="14.25" hidden="1" customHeight="1">
      <c r="A179" s="377" t="s">
        <v>659</v>
      </c>
      <c r="B179" s="370" t="e">
        <f ca="1">_xludf.IFNA(VLOOKUP(Bolts!$A179,'Kilter Holds'!$P$37:$S$662,4,0),0)</f>
        <v>#NAME?</v>
      </c>
      <c r="C179" s="371">
        <v>20</v>
      </c>
      <c r="D179" s="373">
        <f t="shared" ca="1" si="38"/>
        <v>0</v>
      </c>
      <c r="E179" s="373">
        <v>0</v>
      </c>
      <c r="F179" s="373">
        <v>0</v>
      </c>
      <c r="G179" s="373">
        <v>0</v>
      </c>
      <c r="H179" s="373">
        <v>0</v>
      </c>
      <c r="I179" s="373">
        <v>0</v>
      </c>
      <c r="J179" s="373">
        <v>0</v>
      </c>
      <c r="K179" s="373">
        <v>0</v>
      </c>
      <c r="L179" s="374">
        <v>0</v>
      </c>
      <c r="M179" s="373">
        <v>0</v>
      </c>
      <c r="N179" s="373">
        <v>0</v>
      </c>
      <c r="O179" s="373">
        <v>0</v>
      </c>
      <c r="P179" s="373">
        <v>0</v>
      </c>
      <c r="Q179" s="373">
        <v>0</v>
      </c>
      <c r="R179" s="373">
        <v>0</v>
      </c>
      <c r="S179" s="375">
        <v>0</v>
      </c>
      <c r="T179" s="375">
        <v>0</v>
      </c>
      <c r="U179" s="375">
        <v>0</v>
      </c>
      <c r="V179" s="375" t="e">
        <f t="shared" ca="1" si="0"/>
        <v>#NAME?</v>
      </c>
    </row>
    <row r="180" spans="1:22" ht="14.25" hidden="1" customHeight="1">
      <c r="A180" s="376" t="s">
        <v>309</v>
      </c>
      <c r="B180" s="370" t="e">
        <f ca="1">_xludf.IFNA(VLOOKUP(Bolts!$A180,'Kilter Holds'!$P$37:$S$662,4,0),0)</f>
        <v>#NAME?</v>
      </c>
      <c r="C180" s="371">
        <v>10</v>
      </c>
      <c r="D180" s="373">
        <f t="shared" ref="D180:D181" ca="1" si="39">IFERROR(10*B180,0)</f>
        <v>0</v>
      </c>
      <c r="E180" s="373">
        <v>0</v>
      </c>
      <c r="F180" s="373">
        <v>0</v>
      </c>
      <c r="G180" s="373">
        <v>0</v>
      </c>
      <c r="H180" s="373">
        <v>0</v>
      </c>
      <c r="I180" s="373">
        <v>0</v>
      </c>
      <c r="J180" s="373">
        <v>0</v>
      </c>
      <c r="K180" s="373">
        <v>0</v>
      </c>
      <c r="L180" s="374">
        <v>0</v>
      </c>
      <c r="M180" s="373">
        <v>0</v>
      </c>
      <c r="N180" s="373">
        <v>0</v>
      </c>
      <c r="O180" s="373">
        <v>0</v>
      </c>
      <c r="P180" s="373">
        <v>0</v>
      </c>
      <c r="Q180" s="373">
        <v>0</v>
      </c>
      <c r="R180" s="373">
        <v>0</v>
      </c>
      <c r="S180" s="375">
        <v>0</v>
      </c>
      <c r="T180" s="375">
        <v>0</v>
      </c>
      <c r="U180" s="375">
        <v>0</v>
      </c>
      <c r="V180" s="375" t="e">
        <f t="shared" ca="1" si="0"/>
        <v>#NAME?</v>
      </c>
    </row>
    <row r="181" spans="1:22" ht="14.25" hidden="1" customHeight="1">
      <c r="A181" s="377" t="s">
        <v>311</v>
      </c>
      <c r="B181" s="370" t="e">
        <f ca="1">_xludf.IFNA(VLOOKUP(Bolts!$A181,'Kilter Holds'!$P$37:$S$662,4,0),0)</f>
        <v>#NAME?</v>
      </c>
      <c r="C181" s="371">
        <v>10</v>
      </c>
      <c r="D181" s="373">
        <f t="shared" ca="1" si="39"/>
        <v>0</v>
      </c>
      <c r="E181" s="373">
        <v>0</v>
      </c>
      <c r="F181" s="373">
        <v>0</v>
      </c>
      <c r="G181" s="373">
        <v>0</v>
      </c>
      <c r="H181" s="373">
        <v>0</v>
      </c>
      <c r="I181" s="373">
        <v>0</v>
      </c>
      <c r="J181" s="373">
        <v>0</v>
      </c>
      <c r="K181" s="373">
        <v>0</v>
      </c>
      <c r="L181" s="374">
        <v>0</v>
      </c>
      <c r="M181" s="373">
        <v>0</v>
      </c>
      <c r="N181" s="373">
        <v>0</v>
      </c>
      <c r="O181" s="373">
        <v>0</v>
      </c>
      <c r="P181" s="373">
        <v>0</v>
      </c>
      <c r="Q181" s="373">
        <v>0</v>
      </c>
      <c r="R181" s="373">
        <v>0</v>
      </c>
      <c r="S181" s="375">
        <v>0</v>
      </c>
      <c r="T181" s="375">
        <v>0</v>
      </c>
      <c r="U181" s="375">
        <v>0</v>
      </c>
      <c r="V181" s="375" t="e">
        <f t="shared" ca="1" si="0"/>
        <v>#NAME?</v>
      </c>
    </row>
    <row r="182" spans="1:22" ht="14.25" hidden="1" customHeight="1">
      <c r="A182" s="376" t="s">
        <v>274</v>
      </c>
      <c r="B182" s="370" t="e">
        <f ca="1">_xludf.IFNA(VLOOKUP(Bolts!$A182,'Kilter Holds'!$P$37:$S$662,4,0),0)</f>
        <v>#NAME?</v>
      </c>
      <c r="C182" s="371">
        <v>5</v>
      </c>
      <c r="D182" s="373">
        <f ca="1">IFERROR(5*B182,0)</f>
        <v>0</v>
      </c>
      <c r="E182" s="373">
        <v>0</v>
      </c>
      <c r="F182" s="373">
        <v>0</v>
      </c>
      <c r="G182" s="373">
        <v>0</v>
      </c>
      <c r="H182" s="373">
        <v>0</v>
      </c>
      <c r="I182" s="373">
        <v>0</v>
      </c>
      <c r="J182" s="373">
        <v>0</v>
      </c>
      <c r="K182" s="373">
        <v>0</v>
      </c>
      <c r="L182" s="374">
        <v>0</v>
      </c>
      <c r="M182" s="373">
        <v>0</v>
      </c>
      <c r="N182" s="373">
        <v>0</v>
      </c>
      <c r="O182" s="373">
        <v>0</v>
      </c>
      <c r="P182" s="373">
        <v>0</v>
      </c>
      <c r="Q182" s="373">
        <v>0</v>
      </c>
      <c r="R182" s="373">
        <v>0</v>
      </c>
      <c r="S182" s="375">
        <v>0</v>
      </c>
      <c r="T182" s="375">
        <v>0</v>
      </c>
      <c r="U182" s="375">
        <v>0</v>
      </c>
      <c r="V182" s="375" t="e">
        <f t="shared" ca="1" si="0"/>
        <v>#NAME?</v>
      </c>
    </row>
    <row r="183" spans="1:22" ht="14.25" hidden="1" customHeight="1">
      <c r="A183" s="377" t="s">
        <v>313</v>
      </c>
      <c r="B183" s="370" t="e">
        <f ca="1">_xludf.IFNA(VLOOKUP(Bolts!$A183,'Kilter Holds'!$P$37:$S$662,4,0),0)</f>
        <v>#NAME?</v>
      </c>
      <c r="C183" s="371">
        <v>10</v>
      </c>
      <c r="D183" s="373">
        <f t="shared" ref="D183:D189" ca="1" si="40">IFERROR(10*B183,0)</f>
        <v>0</v>
      </c>
      <c r="E183" s="373">
        <v>0</v>
      </c>
      <c r="F183" s="373">
        <v>0</v>
      </c>
      <c r="G183" s="373">
        <v>0</v>
      </c>
      <c r="H183" s="373">
        <v>0</v>
      </c>
      <c r="I183" s="373">
        <v>0</v>
      </c>
      <c r="J183" s="373">
        <v>0</v>
      </c>
      <c r="K183" s="373">
        <v>0</v>
      </c>
      <c r="L183" s="374">
        <v>0</v>
      </c>
      <c r="M183" s="373">
        <v>0</v>
      </c>
      <c r="N183" s="373">
        <v>0</v>
      </c>
      <c r="O183" s="373">
        <v>0</v>
      </c>
      <c r="P183" s="373">
        <v>0</v>
      </c>
      <c r="Q183" s="373">
        <v>0</v>
      </c>
      <c r="R183" s="373">
        <v>0</v>
      </c>
      <c r="S183" s="375">
        <v>0</v>
      </c>
      <c r="T183" s="375">
        <v>0</v>
      </c>
      <c r="U183" s="375">
        <v>0</v>
      </c>
      <c r="V183" s="375" t="e">
        <f t="shared" ca="1" si="0"/>
        <v>#NAME?</v>
      </c>
    </row>
    <row r="184" spans="1:22" ht="14.25" hidden="1" customHeight="1">
      <c r="A184" s="376" t="s">
        <v>1008</v>
      </c>
      <c r="B184" s="370" t="e">
        <f ca="1">_xludf.IFNA(VLOOKUP(Bolts!$A184,'Kilter Holds'!$P$37:$S$662,4,0),0)</f>
        <v>#NAME?</v>
      </c>
      <c r="C184" s="371">
        <v>10</v>
      </c>
      <c r="D184" s="373">
        <f t="shared" ca="1" si="40"/>
        <v>0</v>
      </c>
      <c r="E184" s="373">
        <v>0</v>
      </c>
      <c r="F184" s="373">
        <v>0</v>
      </c>
      <c r="G184" s="373">
        <v>0</v>
      </c>
      <c r="H184" s="373">
        <v>0</v>
      </c>
      <c r="I184" s="373">
        <v>0</v>
      </c>
      <c r="J184" s="373">
        <v>0</v>
      </c>
      <c r="K184" s="373">
        <v>0</v>
      </c>
      <c r="L184" s="374">
        <v>0</v>
      </c>
      <c r="M184" s="373">
        <v>0</v>
      </c>
      <c r="N184" s="373">
        <v>0</v>
      </c>
      <c r="O184" s="373">
        <v>0</v>
      </c>
      <c r="P184" s="373">
        <v>0</v>
      </c>
      <c r="Q184" s="373">
        <v>0</v>
      </c>
      <c r="R184" s="373">
        <v>0</v>
      </c>
      <c r="S184" s="375">
        <v>0</v>
      </c>
      <c r="T184" s="375">
        <v>0</v>
      </c>
      <c r="U184" s="375">
        <v>0</v>
      </c>
      <c r="V184" s="375" t="e">
        <f t="shared" ca="1" si="0"/>
        <v>#NAME?</v>
      </c>
    </row>
    <row r="185" spans="1:22" ht="14.25" hidden="1" customHeight="1">
      <c r="A185" s="377" t="s">
        <v>1010</v>
      </c>
      <c r="B185" s="370" t="e">
        <f ca="1">_xludf.IFNA(VLOOKUP(Bolts!$A185,'Kilter Holds'!$P$37:$S$662,4,0),0)</f>
        <v>#NAME?</v>
      </c>
      <c r="C185" s="371">
        <v>10</v>
      </c>
      <c r="D185" s="373">
        <f t="shared" ca="1" si="40"/>
        <v>0</v>
      </c>
      <c r="E185" s="373">
        <v>0</v>
      </c>
      <c r="F185" s="373">
        <v>0</v>
      </c>
      <c r="G185" s="373">
        <v>0</v>
      </c>
      <c r="H185" s="373">
        <v>0</v>
      </c>
      <c r="I185" s="373">
        <v>0</v>
      </c>
      <c r="J185" s="373">
        <v>0</v>
      </c>
      <c r="K185" s="373">
        <v>0</v>
      </c>
      <c r="L185" s="374">
        <v>0</v>
      </c>
      <c r="M185" s="373">
        <v>0</v>
      </c>
      <c r="N185" s="373">
        <v>0</v>
      </c>
      <c r="O185" s="373">
        <v>0</v>
      </c>
      <c r="P185" s="373">
        <v>0</v>
      </c>
      <c r="Q185" s="373">
        <v>0</v>
      </c>
      <c r="R185" s="373">
        <v>0</v>
      </c>
      <c r="S185" s="375">
        <v>0</v>
      </c>
      <c r="T185" s="375">
        <v>0</v>
      </c>
      <c r="U185" s="375">
        <v>0</v>
      </c>
      <c r="V185" s="375" t="e">
        <f t="shared" ca="1" si="0"/>
        <v>#NAME?</v>
      </c>
    </row>
    <row r="186" spans="1:22" ht="14.25" hidden="1" customHeight="1">
      <c r="A186" s="376" t="s">
        <v>1012</v>
      </c>
      <c r="B186" s="370" t="e">
        <f ca="1">_xludf.IFNA(VLOOKUP(Bolts!$A186,'Kilter Holds'!$P$37:$S$662,4,0),0)</f>
        <v>#NAME?</v>
      </c>
      <c r="C186" s="371">
        <v>10</v>
      </c>
      <c r="D186" s="373">
        <f t="shared" ca="1" si="40"/>
        <v>0</v>
      </c>
      <c r="E186" s="373">
        <v>0</v>
      </c>
      <c r="F186" s="373">
        <v>0</v>
      </c>
      <c r="G186" s="373">
        <v>0</v>
      </c>
      <c r="H186" s="373">
        <v>0</v>
      </c>
      <c r="I186" s="373">
        <v>0</v>
      </c>
      <c r="J186" s="373">
        <v>0</v>
      </c>
      <c r="K186" s="373">
        <v>0</v>
      </c>
      <c r="L186" s="374">
        <v>0</v>
      </c>
      <c r="M186" s="373">
        <v>0</v>
      </c>
      <c r="N186" s="373">
        <v>0</v>
      </c>
      <c r="O186" s="373">
        <v>0</v>
      </c>
      <c r="P186" s="373">
        <v>0</v>
      </c>
      <c r="Q186" s="373">
        <v>0</v>
      </c>
      <c r="R186" s="373">
        <v>0</v>
      </c>
      <c r="S186" s="375">
        <v>0</v>
      </c>
      <c r="T186" s="375">
        <v>0</v>
      </c>
      <c r="U186" s="375">
        <v>0</v>
      </c>
      <c r="V186" s="375" t="e">
        <f t="shared" ca="1" si="0"/>
        <v>#NAME?</v>
      </c>
    </row>
    <row r="187" spans="1:22" ht="14.25" hidden="1" customHeight="1">
      <c r="A187" s="377" t="s">
        <v>333</v>
      </c>
      <c r="B187" s="370" t="e">
        <f ca="1">_xludf.IFNA(VLOOKUP(Bolts!$A187,'Kilter Holds'!$P$37:$S$662,4,0),0)</f>
        <v>#NAME?</v>
      </c>
      <c r="C187" s="371">
        <v>10</v>
      </c>
      <c r="D187" s="373">
        <f t="shared" ca="1" si="40"/>
        <v>0</v>
      </c>
      <c r="E187" s="373">
        <v>0</v>
      </c>
      <c r="F187" s="373">
        <v>0</v>
      </c>
      <c r="G187" s="373">
        <v>0</v>
      </c>
      <c r="H187" s="373">
        <v>0</v>
      </c>
      <c r="I187" s="373">
        <v>0</v>
      </c>
      <c r="J187" s="373">
        <v>0</v>
      </c>
      <c r="K187" s="373">
        <v>0</v>
      </c>
      <c r="L187" s="374">
        <v>0</v>
      </c>
      <c r="M187" s="373">
        <v>0</v>
      </c>
      <c r="N187" s="373">
        <v>0</v>
      </c>
      <c r="O187" s="373">
        <v>0</v>
      </c>
      <c r="P187" s="373">
        <v>0</v>
      </c>
      <c r="Q187" s="373">
        <v>0</v>
      </c>
      <c r="R187" s="373">
        <v>0</v>
      </c>
      <c r="S187" s="375">
        <v>0</v>
      </c>
      <c r="T187" s="375">
        <v>0</v>
      </c>
      <c r="U187" s="375">
        <v>0</v>
      </c>
      <c r="V187" s="375" t="e">
        <f t="shared" ca="1" si="0"/>
        <v>#NAME?</v>
      </c>
    </row>
    <row r="188" spans="1:22" ht="14.25" hidden="1" customHeight="1">
      <c r="A188" s="376" t="s">
        <v>335</v>
      </c>
      <c r="B188" s="370" t="e">
        <f ca="1">_xludf.IFNA(VLOOKUP(Bolts!$A188,'Kilter Holds'!$P$37:$S$662,4,0),0)</f>
        <v>#NAME?</v>
      </c>
      <c r="C188" s="371">
        <v>10</v>
      </c>
      <c r="D188" s="373">
        <f t="shared" ca="1" si="40"/>
        <v>0</v>
      </c>
      <c r="E188" s="373">
        <v>0</v>
      </c>
      <c r="F188" s="373">
        <v>0</v>
      </c>
      <c r="G188" s="373">
        <v>0</v>
      </c>
      <c r="H188" s="373">
        <v>0</v>
      </c>
      <c r="I188" s="373">
        <v>0</v>
      </c>
      <c r="J188" s="373">
        <v>0</v>
      </c>
      <c r="K188" s="373">
        <v>0</v>
      </c>
      <c r="L188" s="374">
        <v>0</v>
      </c>
      <c r="M188" s="373">
        <v>0</v>
      </c>
      <c r="N188" s="373">
        <v>0</v>
      </c>
      <c r="O188" s="373">
        <v>0</v>
      </c>
      <c r="P188" s="373">
        <v>0</v>
      </c>
      <c r="Q188" s="373">
        <v>0</v>
      </c>
      <c r="R188" s="373">
        <v>0</v>
      </c>
      <c r="S188" s="375">
        <v>0</v>
      </c>
      <c r="T188" s="375">
        <v>0</v>
      </c>
      <c r="U188" s="375">
        <v>0</v>
      </c>
      <c r="V188" s="375" t="e">
        <f t="shared" ca="1" si="0"/>
        <v>#NAME?</v>
      </c>
    </row>
    <row r="189" spans="1:22" ht="14.25" hidden="1" customHeight="1">
      <c r="A189" s="377" t="s">
        <v>1014</v>
      </c>
      <c r="B189" s="370" t="e">
        <f ca="1">_xludf.IFNA(VLOOKUP(Bolts!$A189,'Kilter Holds'!$P$37:$S$662,4,0),0)</f>
        <v>#NAME?</v>
      </c>
      <c r="C189" s="371">
        <v>10</v>
      </c>
      <c r="D189" s="373">
        <f t="shared" ca="1" si="40"/>
        <v>0</v>
      </c>
      <c r="E189" s="373">
        <v>0</v>
      </c>
      <c r="F189" s="373">
        <v>0</v>
      </c>
      <c r="G189" s="373">
        <v>0</v>
      </c>
      <c r="H189" s="373">
        <v>0</v>
      </c>
      <c r="I189" s="373">
        <v>0</v>
      </c>
      <c r="J189" s="373">
        <v>0</v>
      </c>
      <c r="K189" s="373">
        <v>0</v>
      </c>
      <c r="L189" s="374">
        <v>0</v>
      </c>
      <c r="M189" s="373">
        <v>0</v>
      </c>
      <c r="N189" s="373">
        <v>0</v>
      </c>
      <c r="O189" s="373">
        <v>0</v>
      </c>
      <c r="P189" s="373">
        <v>0</v>
      </c>
      <c r="Q189" s="373">
        <v>0</v>
      </c>
      <c r="R189" s="373">
        <v>0</v>
      </c>
      <c r="S189" s="375">
        <v>0</v>
      </c>
      <c r="T189" s="375">
        <v>0</v>
      </c>
      <c r="U189" s="375">
        <v>0</v>
      </c>
      <c r="V189" s="375" t="e">
        <f t="shared" ca="1" si="0"/>
        <v>#NAME?</v>
      </c>
    </row>
    <row r="190" spans="1:22" ht="14.25" hidden="1" customHeight="1">
      <c r="A190" s="377" t="s">
        <v>243</v>
      </c>
      <c r="B190" s="370" t="e">
        <f ca="1">_xludf.IFNA(VLOOKUP(Bolts!$A190,'Kilter Holds'!$P$37:$S$662,4,0),0)</f>
        <v>#NAME?</v>
      </c>
      <c r="C190" s="371">
        <v>4</v>
      </c>
      <c r="D190" s="373">
        <v>0</v>
      </c>
      <c r="E190" s="373">
        <v>0</v>
      </c>
      <c r="F190" s="373">
        <f ca="1">IFERROR(4*B190,0)</f>
        <v>0</v>
      </c>
      <c r="G190" s="373">
        <v>0</v>
      </c>
      <c r="H190" s="373">
        <v>0</v>
      </c>
      <c r="I190" s="373">
        <v>0</v>
      </c>
      <c r="J190" s="373">
        <v>0</v>
      </c>
      <c r="K190" s="373">
        <v>0</v>
      </c>
      <c r="L190" s="374">
        <v>0</v>
      </c>
      <c r="M190" s="373">
        <v>0</v>
      </c>
      <c r="N190" s="373">
        <v>0</v>
      </c>
      <c r="O190" s="373">
        <v>0</v>
      </c>
      <c r="P190" s="373">
        <v>0</v>
      </c>
      <c r="Q190" s="373">
        <v>0</v>
      </c>
      <c r="R190" s="373">
        <v>0</v>
      </c>
      <c r="S190" s="375">
        <v>0</v>
      </c>
      <c r="T190" s="375">
        <v>0</v>
      </c>
      <c r="U190" s="375">
        <v>0</v>
      </c>
      <c r="V190" s="375" t="e">
        <f t="shared" ca="1" si="0"/>
        <v>#NAME?</v>
      </c>
    </row>
    <row r="191" spans="1:22" ht="14.25" hidden="1" customHeight="1">
      <c r="A191" s="377" t="s">
        <v>203</v>
      </c>
      <c r="B191" s="370" t="e">
        <f ca="1">_xludf.IFNA(VLOOKUP(Bolts!$A191,'Kilter Holds'!$P$37:$S$662,4,0),0)</f>
        <v>#NAME?</v>
      </c>
      <c r="C191" s="371">
        <v>2</v>
      </c>
      <c r="D191" s="373">
        <v>0</v>
      </c>
      <c r="E191" s="373">
        <v>0</v>
      </c>
      <c r="F191" s="373">
        <v>0</v>
      </c>
      <c r="G191" s="373">
        <f ca="1">IFERROR(2*B191,0)</f>
        <v>0</v>
      </c>
      <c r="H191" s="373">
        <v>0</v>
      </c>
      <c r="I191" s="373">
        <v>0</v>
      </c>
      <c r="J191" s="373">
        <v>0</v>
      </c>
      <c r="K191" s="373">
        <v>0</v>
      </c>
      <c r="L191" s="374">
        <v>0</v>
      </c>
      <c r="M191" s="373">
        <v>0</v>
      </c>
      <c r="N191" s="373">
        <v>0</v>
      </c>
      <c r="O191" s="373">
        <v>0</v>
      </c>
      <c r="P191" s="373">
        <v>0</v>
      </c>
      <c r="Q191" s="373">
        <v>0</v>
      </c>
      <c r="R191" s="373">
        <v>0</v>
      </c>
      <c r="S191" s="375">
        <v>0</v>
      </c>
      <c r="T191" s="375">
        <v>0</v>
      </c>
      <c r="U191" s="375">
        <v>0</v>
      </c>
      <c r="V191" s="375" t="e">
        <f t="shared" ca="1" si="0"/>
        <v>#NAME?</v>
      </c>
    </row>
    <row r="192" spans="1:22" ht="14.25" hidden="1" customHeight="1">
      <c r="A192" s="377" t="s">
        <v>205</v>
      </c>
      <c r="B192" s="370" t="e">
        <f ca="1">_xludf.IFNA(VLOOKUP(Bolts!$A192,'Kilter Holds'!$P$37:$S$662,4,0),0)</f>
        <v>#NAME?</v>
      </c>
      <c r="C192" s="371">
        <v>1</v>
      </c>
      <c r="D192" s="373">
        <v>0</v>
      </c>
      <c r="E192" s="373">
        <v>0</v>
      </c>
      <c r="F192" s="373">
        <v>0</v>
      </c>
      <c r="G192" s="373">
        <f t="shared" ref="G192:G193" ca="1" si="41">IFERROR(1*B192,0)</f>
        <v>0</v>
      </c>
      <c r="H192" s="373">
        <v>0</v>
      </c>
      <c r="I192" s="373">
        <v>0</v>
      </c>
      <c r="J192" s="373">
        <v>0</v>
      </c>
      <c r="K192" s="373">
        <v>0</v>
      </c>
      <c r="L192" s="374">
        <v>0</v>
      </c>
      <c r="M192" s="373">
        <v>0</v>
      </c>
      <c r="N192" s="373">
        <v>0</v>
      </c>
      <c r="O192" s="373">
        <v>0</v>
      </c>
      <c r="P192" s="373">
        <v>0</v>
      </c>
      <c r="Q192" s="373">
        <v>0</v>
      </c>
      <c r="R192" s="373">
        <v>0</v>
      </c>
      <c r="S192" s="375">
        <v>0</v>
      </c>
      <c r="T192" s="375">
        <v>0</v>
      </c>
      <c r="U192" s="375">
        <v>0</v>
      </c>
      <c r="V192" s="375" t="e">
        <f t="shared" ca="1" si="0"/>
        <v>#NAME?</v>
      </c>
    </row>
    <row r="193" spans="1:22" ht="14.25" hidden="1" customHeight="1">
      <c r="A193" s="377" t="s">
        <v>207</v>
      </c>
      <c r="B193" s="370" t="e">
        <f ca="1">_xludf.IFNA(VLOOKUP(Bolts!$A193,'Kilter Holds'!$P$37:$S$662,4,0),0)</f>
        <v>#NAME?</v>
      </c>
      <c r="C193" s="371">
        <v>1</v>
      </c>
      <c r="D193" s="373">
        <v>0</v>
      </c>
      <c r="E193" s="373">
        <v>0</v>
      </c>
      <c r="F193" s="373">
        <v>0</v>
      </c>
      <c r="G193" s="373">
        <f t="shared" ca="1" si="41"/>
        <v>0</v>
      </c>
      <c r="H193" s="373">
        <v>0</v>
      </c>
      <c r="I193" s="373">
        <v>0</v>
      </c>
      <c r="J193" s="373">
        <v>0</v>
      </c>
      <c r="K193" s="373">
        <v>0</v>
      </c>
      <c r="L193" s="374">
        <v>0</v>
      </c>
      <c r="M193" s="373">
        <v>0</v>
      </c>
      <c r="N193" s="373">
        <v>0</v>
      </c>
      <c r="O193" s="373">
        <v>0</v>
      </c>
      <c r="P193" s="373">
        <v>0</v>
      </c>
      <c r="Q193" s="373">
        <v>0</v>
      </c>
      <c r="R193" s="373">
        <v>0</v>
      </c>
      <c r="S193" s="375">
        <v>0</v>
      </c>
      <c r="T193" s="375">
        <v>0</v>
      </c>
      <c r="U193" s="375">
        <v>0</v>
      </c>
      <c r="V193" s="375" t="e">
        <f t="shared" ca="1" si="0"/>
        <v>#NAME?</v>
      </c>
    </row>
    <row r="194" spans="1:22" ht="14.25" hidden="1" customHeight="1">
      <c r="A194" s="377" t="s">
        <v>636</v>
      </c>
      <c r="B194" s="370" t="e">
        <f ca="1">_xludf.IFNA(VLOOKUP(Bolts!$A194,'Kilter Holds'!$P$37:$S$662,4,0),0)</f>
        <v>#NAME?</v>
      </c>
      <c r="C194" s="371">
        <v>3</v>
      </c>
      <c r="D194" s="373">
        <v>0</v>
      </c>
      <c r="E194" s="373">
        <v>0</v>
      </c>
      <c r="F194" s="373">
        <v>0</v>
      </c>
      <c r="G194" s="373">
        <f ca="1">IFERROR(3*B194,0)</f>
        <v>0</v>
      </c>
      <c r="H194" s="373">
        <v>0</v>
      </c>
      <c r="I194" s="373">
        <v>0</v>
      </c>
      <c r="J194" s="373">
        <v>0</v>
      </c>
      <c r="K194" s="373">
        <v>0</v>
      </c>
      <c r="L194" s="374">
        <v>0</v>
      </c>
      <c r="M194" s="373">
        <v>0</v>
      </c>
      <c r="N194" s="373">
        <v>0</v>
      </c>
      <c r="O194" s="373">
        <v>0</v>
      </c>
      <c r="P194" s="373">
        <v>0</v>
      </c>
      <c r="Q194" s="373">
        <v>0</v>
      </c>
      <c r="R194" s="373">
        <v>0</v>
      </c>
      <c r="S194" s="375">
        <v>0</v>
      </c>
      <c r="T194" s="375">
        <v>0</v>
      </c>
      <c r="U194" s="375">
        <v>0</v>
      </c>
      <c r="V194" s="375" t="e">
        <f t="shared" ca="1" si="0"/>
        <v>#NAME?</v>
      </c>
    </row>
    <row r="195" spans="1:22" ht="14.25" hidden="1" customHeight="1">
      <c r="A195" s="377" t="s">
        <v>639</v>
      </c>
      <c r="B195" s="370" t="e">
        <f ca="1">_xludf.IFNA(VLOOKUP(Bolts!$A195,'Kilter Holds'!$P$37:$S$662,4,0),0)</f>
        <v>#NAME?</v>
      </c>
      <c r="C195" s="371">
        <v>1</v>
      </c>
      <c r="D195" s="373">
        <v>0</v>
      </c>
      <c r="E195" s="373">
        <v>0</v>
      </c>
      <c r="F195" s="373">
        <v>0</v>
      </c>
      <c r="G195" s="373">
        <f t="shared" ref="G195:G199" ca="1" si="42">IFERROR(1*B195,0)</f>
        <v>0</v>
      </c>
      <c r="H195" s="373">
        <v>0</v>
      </c>
      <c r="I195" s="373">
        <v>0</v>
      </c>
      <c r="J195" s="373">
        <v>0</v>
      </c>
      <c r="K195" s="373">
        <v>0</v>
      </c>
      <c r="L195" s="374">
        <v>0</v>
      </c>
      <c r="M195" s="373">
        <v>0</v>
      </c>
      <c r="N195" s="373">
        <v>0</v>
      </c>
      <c r="O195" s="373">
        <v>0</v>
      </c>
      <c r="P195" s="373">
        <v>0</v>
      </c>
      <c r="Q195" s="373">
        <v>0</v>
      </c>
      <c r="R195" s="373">
        <v>0</v>
      </c>
      <c r="S195" s="375">
        <v>0</v>
      </c>
      <c r="T195" s="375">
        <v>0</v>
      </c>
      <c r="U195" s="375">
        <v>0</v>
      </c>
      <c r="V195" s="375" t="e">
        <f t="shared" ca="1" si="0"/>
        <v>#NAME?</v>
      </c>
    </row>
    <row r="196" spans="1:22" ht="14.25" hidden="1" customHeight="1">
      <c r="A196" s="377" t="s">
        <v>641</v>
      </c>
      <c r="B196" s="370" t="e">
        <f ca="1">_xludf.IFNA(VLOOKUP(Bolts!$A196,'Kilter Holds'!$P$37:$S$662,4,0),0)</f>
        <v>#NAME?</v>
      </c>
      <c r="C196" s="371">
        <v>1</v>
      </c>
      <c r="D196" s="373">
        <v>0</v>
      </c>
      <c r="E196" s="373">
        <v>0</v>
      </c>
      <c r="F196" s="373">
        <v>0</v>
      </c>
      <c r="G196" s="373">
        <f t="shared" ca="1" si="42"/>
        <v>0</v>
      </c>
      <c r="H196" s="373">
        <v>0</v>
      </c>
      <c r="I196" s="373">
        <v>0</v>
      </c>
      <c r="J196" s="373">
        <v>0</v>
      </c>
      <c r="K196" s="373">
        <v>0</v>
      </c>
      <c r="L196" s="374">
        <v>0</v>
      </c>
      <c r="M196" s="373">
        <v>0</v>
      </c>
      <c r="N196" s="373">
        <v>0</v>
      </c>
      <c r="O196" s="373">
        <v>0</v>
      </c>
      <c r="P196" s="373">
        <v>0</v>
      </c>
      <c r="Q196" s="373">
        <v>0</v>
      </c>
      <c r="R196" s="373">
        <v>0</v>
      </c>
      <c r="S196" s="375">
        <v>0</v>
      </c>
      <c r="T196" s="375">
        <v>0</v>
      </c>
      <c r="U196" s="375">
        <v>0</v>
      </c>
      <c r="V196" s="375" t="e">
        <f t="shared" ca="1" si="0"/>
        <v>#NAME?</v>
      </c>
    </row>
    <row r="197" spans="1:22" ht="14.25" hidden="1" customHeight="1">
      <c r="A197" s="377" t="s">
        <v>643</v>
      </c>
      <c r="B197" s="370" t="e">
        <f ca="1">_xludf.IFNA(VLOOKUP(Bolts!$A197,'Kilter Holds'!$P$37:$S$662,4,0),0)</f>
        <v>#NAME?</v>
      </c>
      <c r="C197" s="371">
        <v>1</v>
      </c>
      <c r="D197" s="373">
        <v>0</v>
      </c>
      <c r="E197" s="373">
        <v>0</v>
      </c>
      <c r="F197" s="373">
        <v>0</v>
      </c>
      <c r="G197" s="373">
        <f t="shared" ca="1" si="42"/>
        <v>0</v>
      </c>
      <c r="H197" s="373">
        <v>0</v>
      </c>
      <c r="I197" s="373">
        <v>0</v>
      </c>
      <c r="J197" s="373">
        <v>0</v>
      </c>
      <c r="K197" s="373">
        <v>0</v>
      </c>
      <c r="L197" s="374">
        <v>0</v>
      </c>
      <c r="M197" s="373">
        <v>0</v>
      </c>
      <c r="N197" s="373">
        <v>0</v>
      </c>
      <c r="O197" s="373">
        <v>0</v>
      </c>
      <c r="P197" s="373">
        <v>0</v>
      </c>
      <c r="Q197" s="373">
        <v>0</v>
      </c>
      <c r="R197" s="373">
        <v>0</v>
      </c>
      <c r="S197" s="375">
        <v>0</v>
      </c>
      <c r="T197" s="375">
        <v>0</v>
      </c>
      <c r="U197" s="375">
        <v>0</v>
      </c>
      <c r="V197" s="375" t="e">
        <f t="shared" ca="1" si="0"/>
        <v>#NAME?</v>
      </c>
    </row>
    <row r="198" spans="1:22" ht="14.25" hidden="1" customHeight="1">
      <c r="A198" s="377" t="s">
        <v>647</v>
      </c>
      <c r="B198" s="370" t="e">
        <f ca="1">_xludf.IFNA(VLOOKUP(Bolts!$A198,'Kilter Holds'!$P$37:$S$662,4,0),0)</f>
        <v>#NAME?</v>
      </c>
      <c r="C198" s="371">
        <v>3</v>
      </c>
      <c r="D198" s="373">
        <v>0</v>
      </c>
      <c r="E198" s="373">
        <v>0</v>
      </c>
      <c r="F198" s="373">
        <v>0</v>
      </c>
      <c r="G198" s="373">
        <f t="shared" ca="1" si="42"/>
        <v>0</v>
      </c>
      <c r="H198" s="373">
        <f ca="1">IFERROR(1*B198,0)</f>
        <v>0</v>
      </c>
      <c r="I198" s="373">
        <f ca="1">IFERROR(1*B198,0)</f>
        <v>0</v>
      </c>
      <c r="J198" s="373">
        <v>0</v>
      </c>
      <c r="K198" s="373">
        <v>0</v>
      </c>
      <c r="L198" s="374">
        <v>0</v>
      </c>
      <c r="M198" s="373">
        <v>0</v>
      </c>
      <c r="N198" s="373">
        <v>0</v>
      </c>
      <c r="O198" s="373">
        <v>0</v>
      </c>
      <c r="P198" s="373">
        <v>0</v>
      </c>
      <c r="Q198" s="373">
        <v>0</v>
      </c>
      <c r="R198" s="373">
        <v>0</v>
      </c>
      <c r="S198" s="375">
        <v>0</v>
      </c>
      <c r="T198" s="375">
        <v>0</v>
      </c>
      <c r="U198" s="375">
        <v>0</v>
      </c>
      <c r="V198" s="375" t="e">
        <f t="shared" ca="1" si="0"/>
        <v>#NAME?</v>
      </c>
    </row>
    <row r="199" spans="1:22" ht="14.25" hidden="1" customHeight="1">
      <c r="A199" s="377" t="s">
        <v>649</v>
      </c>
      <c r="B199" s="370" t="e">
        <f ca="1">_xludf.IFNA(VLOOKUP(Bolts!$A199,'Kilter Holds'!$P$37:$S$662,4,0),0)</f>
        <v>#NAME?</v>
      </c>
      <c r="C199" s="371">
        <v>1</v>
      </c>
      <c r="D199" s="373">
        <v>0</v>
      </c>
      <c r="E199" s="373">
        <v>0</v>
      </c>
      <c r="F199" s="373">
        <v>0</v>
      </c>
      <c r="G199" s="373">
        <f t="shared" ca="1" si="42"/>
        <v>0</v>
      </c>
      <c r="H199" s="373">
        <v>0</v>
      </c>
      <c r="I199" s="373">
        <v>0</v>
      </c>
      <c r="J199" s="373">
        <v>0</v>
      </c>
      <c r="K199" s="373">
        <v>0</v>
      </c>
      <c r="L199" s="374">
        <v>0</v>
      </c>
      <c r="M199" s="373">
        <v>0</v>
      </c>
      <c r="N199" s="373">
        <v>0</v>
      </c>
      <c r="O199" s="373">
        <v>0</v>
      </c>
      <c r="P199" s="373">
        <v>0</v>
      </c>
      <c r="Q199" s="373">
        <v>0</v>
      </c>
      <c r="R199" s="373">
        <v>0</v>
      </c>
      <c r="S199" s="375">
        <v>0</v>
      </c>
      <c r="T199" s="375">
        <v>0</v>
      </c>
      <c r="U199" s="375">
        <v>0</v>
      </c>
      <c r="V199" s="375" t="e">
        <f t="shared" ca="1" si="0"/>
        <v>#NAME?</v>
      </c>
    </row>
    <row r="200" spans="1:22" ht="14.25" hidden="1" customHeight="1">
      <c r="A200" s="377" t="s">
        <v>651</v>
      </c>
      <c r="B200" s="370" t="e">
        <f ca="1">_xludf.IFNA(VLOOKUP(Bolts!$A200,'Kilter Holds'!$P$37:$S$662,4,0),0)</f>
        <v>#NAME?</v>
      </c>
      <c r="C200" s="371">
        <v>1</v>
      </c>
      <c r="D200" s="373">
        <v>0</v>
      </c>
      <c r="E200" s="373">
        <v>0</v>
      </c>
      <c r="F200" s="373">
        <v>0</v>
      </c>
      <c r="G200" s="373">
        <v>0</v>
      </c>
      <c r="H200" s="373">
        <f ca="1">IFERROR(1*B200,0)</f>
        <v>0</v>
      </c>
      <c r="I200" s="373">
        <v>0</v>
      </c>
      <c r="J200" s="373">
        <v>0</v>
      </c>
      <c r="K200" s="373">
        <v>0</v>
      </c>
      <c r="L200" s="374">
        <v>0</v>
      </c>
      <c r="M200" s="373">
        <v>0</v>
      </c>
      <c r="N200" s="373">
        <v>0</v>
      </c>
      <c r="O200" s="373">
        <v>0</v>
      </c>
      <c r="P200" s="373">
        <v>0</v>
      </c>
      <c r="Q200" s="373">
        <v>0</v>
      </c>
      <c r="R200" s="373">
        <v>0</v>
      </c>
      <c r="S200" s="375">
        <v>0</v>
      </c>
      <c r="T200" s="375">
        <v>0</v>
      </c>
      <c r="U200" s="375">
        <v>0</v>
      </c>
      <c r="V200" s="375" t="e">
        <f t="shared" ca="1" si="0"/>
        <v>#NAME?</v>
      </c>
    </row>
    <row r="201" spans="1:22" ht="14.25" hidden="1" customHeight="1">
      <c r="A201" s="377" t="s">
        <v>653</v>
      </c>
      <c r="B201" s="370" t="e">
        <f ca="1">_xludf.IFNA(VLOOKUP(Bolts!$A201,'Kilter Holds'!$P$37:$S$662,4,0),0)</f>
        <v>#NAME?</v>
      </c>
      <c r="C201" s="371">
        <v>1</v>
      </c>
      <c r="D201" s="373">
        <v>0</v>
      </c>
      <c r="E201" s="373">
        <v>0</v>
      </c>
      <c r="F201" s="373">
        <v>0</v>
      </c>
      <c r="G201" s="373">
        <v>0</v>
      </c>
      <c r="H201" s="373">
        <v>0</v>
      </c>
      <c r="I201" s="373">
        <f ca="1">IFERROR(1*B201,0)</f>
        <v>0</v>
      </c>
      <c r="J201" s="373">
        <v>0</v>
      </c>
      <c r="K201" s="373">
        <v>0</v>
      </c>
      <c r="L201" s="374">
        <v>0</v>
      </c>
      <c r="M201" s="373">
        <v>0</v>
      </c>
      <c r="N201" s="373">
        <v>0</v>
      </c>
      <c r="O201" s="373">
        <v>0</v>
      </c>
      <c r="P201" s="373">
        <v>0</v>
      </c>
      <c r="Q201" s="373">
        <v>0</v>
      </c>
      <c r="R201" s="373">
        <v>0</v>
      </c>
      <c r="S201" s="375">
        <v>0</v>
      </c>
      <c r="T201" s="375">
        <v>0</v>
      </c>
      <c r="U201" s="375">
        <v>0</v>
      </c>
      <c r="V201" s="375" t="e">
        <f t="shared" ca="1" si="0"/>
        <v>#NAME?</v>
      </c>
    </row>
    <row r="202" spans="1:22" ht="14.25" hidden="1" customHeight="1">
      <c r="A202" s="377" t="s">
        <v>944</v>
      </c>
      <c r="B202" s="370" t="e">
        <f ca="1">_xludf.IFNA(VLOOKUP(Bolts!$A202,'Kilter Holds'!$P$37:$S$662,4,0),0)</f>
        <v>#NAME?</v>
      </c>
      <c r="C202" s="371">
        <v>5</v>
      </c>
      <c r="D202" s="373">
        <v>0</v>
      </c>
      <c r="E202" s="373">
        <f ca="1">IFERROR(5*B202,0)</f>
        <v>0</v>
      </c>
      <c r="F202" s="373">
        <v>0</v>
      </c>
      <c r="G202" s="373">
        <v>0</v>
      </c>
      <c r="H202" s="373">
        <v>0</v>
      </c>
      <c r="I202" s="373">
        <v>0</v>
      </c>
      <c r="J202" s="373">
        <v>0</v>
      </c>
      <c r="K202" s="373">
        <v>0</v>
      </c>
      <c r="L202" s="374">
        <v>0</v>
      </c>
      <c r="M202" s="373">
        <v>0</v>
      </c>
      <c r="N202" s="373">
        <v>0</v>
      </c>
      <c r="O202" s="373">
        <v>0</v>
      </c>
      <c r="P202" s="373">
        <v>0</v>
      </c>
      <c r="Q202" s="373">
        <v>0</v>
      </c>
      <c r="R202" s="373">
        <v>0</v>
      </c>
      <c r="S202" s="375">
        <v>0</v>
      </c>
      <c r="T202" s="375">
        <v>0</v>
      </c>
      <c r="U202" s="375">
        <v>0</v>
      </c>
      <c r="V202" s="375" t="e">
        <f t="shared" ca="1" si="0"/>
        <v>#NAME?</v>
      </c>
    </row>
    <row r="203" spans="1:22" ht="14.25" hidden="1" customHeight="1">
      <c r="A203" s="377" t="s">
        <v>1149</v>
      </c>
      <c r="B203" s="370" t="e">
        <f ca="1">_xludf.IFNA(VLOOKUP(Bolts!$A203,'Kilter Holds'!$P$37:$S$662,4,0),0)</f>
        <v>#NAME?</v>
      </c>
      <c r="C203" s="371">
        <v>10</v>
      </c>
      <c r="D203" s="373">
        <f t="shared" ref="D203:D205" ca="1" si="43">IFERROR(10*B203,0)</f>
        <v>0</v>
      </c>
      <c r="E203" s="373">
        <v>0</v>
      </c>
      <c r="F203" s="373">
        <v>0</v>
      </c>
      <c r="G203" s="373">
        <v>0</v>
      </c>
      <c r="H203" s="373">
        <v>0</v>
      </c>
      <c r="I203" s="373">
        <v>0</v>
      </c>
      <c r="J203" s="373">
        <v>0</v>
      </c>
      <c r="K203" s="373">
        <v>0</v>
      </c>
      <c r="L203" s="374">
        <v>0</v>
      </c>
      <c r="M203" s="373">
        <v>0</v>
      </c>
      <c r="N203" s="373">
        <v>0</v>
      </c>
      <c r="O203" s="373">
        <v>0</v>
      </c>
      <c r="P203" s="373">
        <v>0</v>
      </c>
      <c r="Q203" s="373">
        <v>0</v>
      </c>
      <c r="R203" s="373">
        <v>0</v>
      </c>
      <c r="S203" s="375">
        <v>0</v>
      </c>
      <c r="T203" s="375">
        <v>0</v>
      </c>
      <c r="U203" s="375">
        <v>0</v>
      </c>
      <c r="V203" s="375" t="e">
        <f t="shared" ca="1" si="0"/>
        <v>#NAME?</v>
      </c>
    </row>
    <row r="204" spans="1:22" ht="14.25" hidden="1" customHeight="1">
      <c r="A204" s="377" t="s">
        <v>1151</v>
      </c>
      <c r="B204" s="370" t="e">
        <f ca="1">_xludf.IFNA(VLOOKUP(Bolts!$A204,'Kilter Holds'!$P$37:$S$662,4,0),0)</f>
        <v>#NAME?</v>
      </c>
      <c r="C204" s="371">
        <v>10</v>
      </c>
      <c r="D204" s="373">
        <f t="shared" ca="1" si="43"/>
        <v>0</v>
      </c>
      <c r="E204" s="373">
        <v>0</v>
      </c>
      <c r="F204" s="373">
        <v>0</v>
      </c>
      <c r="G204" s="373">
        <v>0</v>
      </c>
      <c r="H204" s="373">
        <v>0</v>
      </c>
      <c r="I204" s="373">
        <v>0</v>
      </c>
      <c r="J204" s="373">
        <v>0</v>
      </c>
      <c r="K204" s="373">
        <v>0</v>
      </c>
      <c r="L204" s="374">
        <v>0</v>
      </c>
      <c r="M204" s="373">
        <v>0</v>
      </c>
      <c r="N204" s="373">
        <v>0</v>
      </c>
      <c r="O204" s="373">
        <v>0</v>
      </c>
      <c r="P204" s="373">
        <v>0</v>
      </c>
      <c r="Q204" s="373">
        <v>0</v>
      </c>
      <c r="R204" s="373">
        <v>0</v>
      </c>
      <c r="S204" s="375">
        <v>0</v>
      </c>
      <c r="T204" s="375">
        <v>0</v>
      </c>
      <c r="U204" s="375">
        <v>0</v>
      </c>
      <c r="V204" s="375" t="e">
        <f t="shared" ca="1" si="0"/>
        <v>#NAME?</v>
      </c>
    </row>
    <row r="205" spans="1:22" ht="14.25" hidden="1" customHeight="1">
      <c r="A205" s="377" t="s">
        <v>1153</v>
      </c>
      <c r="B205" s="370" t="e">
        <f ca="1">_xludf.IFNA(VLOOKUP(Bolts!$A205,'Kilter Holds'!$P$37:$S$662,4,0),0)</f>
        <v>#NAME?</v>
      </c>
      <c r="C205" s="371">
        <v>10</v>
      </c>
      <c r="D205" s="373">
        <f t="shared" ca="1" si="43"/>
        <v>0</v>
      </c>
      <c r="E205" s="373">
        <v>0</v>
      </c>
      <c r="F205" s="373">
        <v>0</v>
      </c>
      <c r="G205" s="373">
        <v>0</v>
      </c>
      <c r="H205" s="373">
        <v>0</v>
      </c>
      <c r="I205" s="373">
        <v>0</v>
      </c>
      <c r="J205" s="373">
        <v>0</v>
      </c>
      <c r="K205" s="373">
        <v>0</v>
      </c>
      <c r="L205" s="374">
        <v>0</v>
      </c>
      <c r="M205" s="373">
        <v>0</v>
      </c>
      <c r="N205" s="373">
        <v>0</v>
      </c>
      <c r="O205" s="373">
        <v>0</v>
      </c>
      <c r="P205" s="373">
        <v>0</v>
      </c>
      <c r="Q205" s="373">
        <v>0</v>
      </c>
      <c r="R205" s="373">
        <v>0</v>
      </c>
      <c r="S205" s="375">
        <v>0</v>
      </c>
      <c r="T205" s="375">
        <v>0</v>
      </c>
      <c r="U205" s="375">
        <v>0</v>
      </c>
      <c r="V205" s="375" t="e">
        <f t="shared" ca="1" si="0"/>
        <v>#NAME?</v>
      </c>
    </row>
    <row r="206" spans="1:22" ht="14.25" hidden="1" customHeight="1">
      <c r="A206" s="377" t="s">
        <v>276</v>
      </c>
      <c r="B206" s="370" t="e">
        <f ca="1">_xludf.IFNA(VLOOKUP(Bolts!$A206,'Kilter Holds'!$P$37:$S$662,4,0),0)</f>
        <v>#NAME?</v>
      </c>
      <c r="C206" s="371">
        <v>4</v>
      </c>
      <c r="D206" s="373">
        <f ca="1">IFERROR(4*B206,0)</f>
        <v>0</v>
      </c>
      <c r="E206" s="373">
        <v>0</v>
      </c>
      <c r="F206" s="373">
        <v>0</v>
      </c>
      <c r="G206" s="373">
        <v>0</v>
      </c>
      <c r="H206" s="373">
        <v>0</v>
      </c>
      <c r="I206" s="373">
        <v>0</v>
      </c>
      <c r="J206" s="373">
        <v>0</v>
      </c>
      <c r="K206" s="373">
        <v>0</v>
      </c>
      <c r="L206" s="374">
        <v>0</v>
      </c>
      <c r="M206" s="373">
        <v>0</v>
      </c>
      <c r="N206" s="373">
        <v>0</v>
      </c>
      <c r="O206" s="373">
        <v>0</v>
      </c>
      <c r="P206" s="373">
        <v>0</v>
      </c>
      <c r="Q206" s="373">
        <v>0</v>
      </c>
      <c r="R206" s="373">
        <v>0</v>
      </c>
      <c r="S206" s="375">
        <v>0</v>
      </c>
      <c r="T206" s="375">
        <v>0</v>
      </c>
      <c r="U206" s="375">
        <v>0</v>
      </c>
      <c r="V206" s="375" t="e">
        <f t="shared" ca="1" si="0"/>
        <v>#NAME?</v>
      </c>
    </row>
    <row r="207" spans="1:22" ht="14.25" hidden="1" customHeight="1">
      <c r="A207" s="377" t="s">
        <v>1155</v>
      </c>
      <c r="B207" s="370" t="e">
        <f ca="1">_xludf.IFNA(VLOOKUP(Bolts!$A207,'Kilter Holds'!$P$37:$S$662,4,0),0)</f>
        <v>#NAME?</v>
      </c>
      <c r="C207" s="371">
        <v>10</v>
      </c>
      <c r="D207" s="373">
        <f ca="1">IFERROR(10*B207,0)</f>
        <v>0</v>
      </c>
      <c r="E207" s="373">
        <v>0</v>
      </c>
      <c r="F207" s="373">
        <v>0</v>
      </c>
      <c r="G207" s="373">
        <v>0</v>
      </c>
      <c r="H207" s="373">
        <v>0</v>
      </c>
      <c r="I207" s="373">
        <v>0</v>
      </c>
      <c r="J207" s="373">
        <v>0</v>
      </c>
      <c r="K207" s="373">
        <v>0</v>
      </c>
      <c r="L207" s="374">
        <v>0</v>
      </c>
      <c r="M207" s="373">
        <v>0</v>
      </c>
      <c r="N207" s="373">
        <v>0</v>
      </c>
      <c r="O207" s="373">
        <v>0</v>
      </c>
      <c r="P207" s="373">
        <v>0</v>
      </c>
      <c r="Q207" s="373">
        <v>0</v>
      </c>
      <c r="R207" s="373">
        <v>0</v>
      </c>
      <c r="S207" s="375">
        <v>0</v>
      </c>
      <c r="T207" s="375">
        <v>0</v>
      </c>
      <c r="U207" s="375">
        <v>0</v>
      </c>
      <c r="V207" s="375" t="e">
        <f t="shared" ca="1" si="0"/>
        <v>#NAME?</v>
      </c>
    </row>
    <row r="208" spans="1:22" ht="14.25" hidden="1" customHeight="1">
      <c r="A208" s="377" t="s">
        <v>278</v>
      </c>
      <c r="B208" s="370" t="e">
        <f ca="1">_xludf.IFNA(VLOOKUP(Bolts!$A208,'Kilter Holds'!$P$37:$S$662,4,0),0)</f>
        <v>#NAME?</v>
      </c>
      <c r="C208" s="371">
        <v>4</v>
      </c>
      <c r="D208" s="373">
        <f t="shared" ref="D208:D209" ca="1" si="44">IFERROR(4*B208,0)</f>
        <v>0</v>
      </c>
      <c r="E208" s="373">
        <v>0</v>
      </c>
      <c r="F208" s="373">
        <v>0</v>
      </c>
      <c r="G208" s="373">
        <v>0</v>
      </c>
      <c r="H208" s="373">
        <v>0</v>
      </c>
      <c r="I208" s="373">
        <v>0</v>
      </c>
      <c r="J208" s="373">
        <v>0</v>
      </c>
      <c r="K208" s="373">
        <v>0</v>
      </c>
      <c r="L208" s="374">
        <v>0</v>
      </c>
      <c r="M208" s="373">
        <v>0</v>
      </c>
      <c r="N208" s="373">
        <v>0</v>
      </c>
      <c r="O208" s="373">
        <v>0</v>
      </c>
      <c r="P208" s="373">
        <v>0</v>
      </c>
      <c r="Q208" s="373">
        <v>0</v>
      </c>
      <c r="R208" s="373">
        <v>0</v>
      </c>
      <c r="S208" s="375">
        <v>0</v>
      </c>
      <c r="T208" s="375">
        <v>0</v>
      </c>
      <c r="U208" s="375">
        <v>0</v>
      </c>
      <c r="V208" s="375" t="e">
        <f t="shared" ca="1" si="0"/>
        <v>#NAME?</v>
      </c>
    </row>
    <row r="209" spans="1:22" ht="14.25" hidden="1" customHeight="1">
      <c r="A209" s="377" t="s">
        <v>365</v>
      </c>
      <c r="B209" s="370" t="e">
        <f ca="1">_xludf.IFNA(VLOOKUP(Bolts!$A209,'Kilter Holds'!$P$37:$S$662,4,0),0)</f>
        <v>#NAME?</v>
      </c>
      <c r="C209" s="371">
        <v>4</v>
      </c>
      <c r="D209" s="373">
        <f t="shared" ca="1" si="44"/>
        <v>0</v>
      </c>
      <c r="E209" s="373">
        <v>0</v>
      </c>
      <c r="F209" s="373">
        <v>0</v>
      </c>
      <c r="G209" s="373">
        <v>0</v>
      </c>
      <c r="H209" s="373">
        <v>0</v>
      </c>
      <c r="I209" s="373">
        <v>0</v>
      </c>
      <c r="J209" s="373">
        <v>0</v>
      </c>
      <c r="K209" s="373">
        <v>0</v>
      </c>
      <c r="L209" s="374">
        <v>0</v>
      </c>
      <c r="M209" s="373">
        <v>0</v>
      </c>
      <c r="N209" s="373">
        <v>0</v>
      </c>
      <c r="O209" s="373">
        <v>0</v>
      </c>
      <c r="P209" s="373">
        <v>0</v>
      </c>
      <c r="Q209" s="373">
        <v>0</v>
      </c>
      <c r="R209" s="373">
        <v>0</v>
      </c>
      <c r="S209" s="375">
        <v>0</v>
      </c>
      <c r="T209" s="375">
        <v>0</v>
      </c>
      <c r="U209" s="375">
        <v>0</v>
      </c>
      <c r="V209" s="375" t="e">
        <f t="shared" ca="1" si="0"/>
        <v>#NAME?</v>
      </c>
    </row>
    <row r="210" spans="1:22" ht="14.25" hidden="1" customHeight="1">
      <c r="A210" s="377" t="s">
        <v>280</v>
      </c>
      <c r="B210" s="370" t="e">
        <f ca="1">_xludf.IFNA(VLOOKUP(Bolts!$A210,'Kilter Holds'!$P$37:$S$662,4,0),0)</f>
        <v>#NAME?</v>
      </c>
      <c r="C210" s="371">
        <v>5</v>
      </c>
      <c r="D210" s="373">
        <v>0</v>
      </c>
      <c r="E210" s="373">
        <f ca="1">IFERROR(5*B210,0)</f>
        <v>0</v>
      </c>
      <c r="F210" s="373">
        <v>0</v>
      </c>
      <c r="G210" s="373">
        <v>0</v>
      </c>
      <c r="H210" s="373">
        <v>0</v>
      </c>
      <c r="I210" s="373">
        <v>0</v>
      </c>
      <c r="J210" s="373">
        <v>0</v>
      </c>
      <c r="K210" s="373">
        <v>0</v>
      </c>
      <c r="L210" s="374">
        <v>0</v>
      </c>
      <c r="M210" s="373">
        <v>0</v>
      </c>
      <c r="N210" s="373">
        <v>0</v>
      </c>
      <c r="O210" s="373">
        <v>0</v>
      </c>
      <c r="P210" s="373">
        <v>0</v>
      </c>
      <c r="Q210" s="373">
        <v>0</v>
      </c>
      <c r="R210" s="373">
        <v>0</v>
      </c>
      <c r="S210" s="375">
        <v>0</v>
      </c>
      <c r="T210" s="375">
        <v>0</v>
      </c>
      <c r="U210" s="375">
        <v>0</v>
      </c>
      <c r="V210" s="375" t="e">
        <f t="shared" ca="1" si="0"/>
        <v>#NAME?</v>
      </c>
    </row>
    <row r="211" spans="1:22" ht="14.25" hidden="1" customHeight="1">
      <c r="A211" s="377" t="s">
        <v>1016</v>
      </c>
      <c r="B211" s="370" t="e">
        <f ca="1">_xludf.IFNA(VLOOKUP(Bolts!$A211,'Kilter Holds'!$P$37:$S$662,4,0),0)</f>
        <v>#NAME?</v>
      </c>
      <c r="C211" s="371">
        <v>10</v>
      </c>
      <c r="D211" s="373">
        <f t="shared" ref="D211:D212" ca="1" si="45">IFERROR(10*B211,0)</f>
        <v>0</v>
      </c>
      <c r="E211" s="373">
        <v>0</v>
      </c>
      <c r="F211" s="373">
        <v>0</v>
      </c>
      <c r="G211" s="373">
        <v>0</v>
      </c>
      <c r="H211" s="373">
        <v>0</v>
      </c>
      <c r="I211" s="373">
        <v>0</v>
      </c>
      <c r="J211" s="373">
        <v>0</v>
      </c>
      <c r="K211" s="373">
        <v>0</v>
      </c>
      <c r="L211" s="374">
        <v>0</v>
      </c>
      <c r="M211" s="373">
        <v>0</v>
      </c>
      <c r="N211" s="373">
        <v>0</v>
      </c>
      <c r="O211" s="373">
        <v>0</v>
      </c>
      <c r="P211" s="373">
        <v>0</v>
      </c>
      <c r="Q211" s="373">
        <v>0</v>
      </c>
      <c r="R211" s="373">
        <v>0</v>
      </c>
      <c r="S211" s="375">
        <v>0</v>
      </c>
      <c r="T211" s="375">
        <v>0</v>
      </c>
      <c r="U211" s="375">
        <v>0</v>
      </c>
      <c r="V211" s="375" t="e">
        <f t="shared" ca="1" si="0"/>
        <v>#NAME?</v>
      </c>
    </row>
    <row r="212" spans="1:22" ht="14.25" hidden="1" customHeight="1">
      <c r="A212" s="377" t="s">
        <v>1034</v>
      </c>
      <c r="B212" s="370" t="e">
        <f ca="1">_xludf.IFNA(VLOOKUP(Bolts!$A212,'Kilter Holds'!$P$37:$S$662,4,0),0)</f>
        <v>#NAME?</v>
      </c>
      <c r="C212" s="371">
        <v>10</v>
      </c>
      <c r="D212" s="373">
        <f t="shared" ca="1" si="45"/>
        <v>0</v>
      </c>
      <c r="E212" s="373">
        <v>0</v>
      </c>
      <c r="F212" s="373">
        <v>0</v>
      </c>
      <c r="G212" s="373">
        <v>0</v>
      </c>
      <c r="H212" s="373">
        <v>0</v>
      </c>
      <c r="I212" s="373">
        <v>0</v>
      </c>
      <c r="J212" s="373">
        <v>0</v>
      </c>
      <c r="K212" s="373">
        <v>0</v>
      </c>
      <c r="L212" s="374">
        <v>0</v>
      </c>
      <c r="M212" s="373">
        <v>0</v>
      </c>
      <c r="N212" s="373">
        <v>0</v>
      </c>
      <c r="O212" s="373">
        <v>0</v>
      </c>
      <c r="P212" s="373">
        <v>0</v>
      </c>
      <c r="Q212" s="373">
        <v>0</v>
      </c>
      <c r="R212" s="373">
        <v>0</v>
      </c>
      <c r="S212" s="375">
        <v>0</v>
      </c>
      <c r="T212" s="375">
        <v>0</v>
      </c>
      <c r="U212" s="375">
        <v>0</v>
      </c>
      <c r="V212" s="375" t="e">
        <f t="shared" ca="1" si="0"/>
        <v>#NAME?</v>
      </c>
    </row>
    <row r="213" spans="1:22" ht="14.25" hidden="1" customHeight="1">
      <c r="A213" s="377" t="s">
        <v>337</v>
      </c>
      <c r="B213" s="370" t="e">
        <f ca="1">_xludf.IFNA(VLOOKUP(Bolts!$A213,'Kilter Holds'!$P$37:$S$662,4,0),0)</f>
        <v>#NAME?</v>
      </c>
      <c r="C213" s="371">
        <v>20</v>
      </c>
      <c r="D213" s="373">
        <f ca="1">IFERROR(20*B213,0)</f>
        <v>0</v>
      </c>
      <c r="E213" s="373">
        <v>0</v>
      </c>
      <c r="F213" s="373">
        <v>0</v>
      </c>
      <c r="G213" s="373">
        <v>0</v>
      </c>
      <c r="H213" s="373">
        <v>0</v>
      </c>
      <c r="I213" s="373">
        <v>0</v>
      </c>
      <c r="J213" s="373">
        <v>0</v>
      </c>
      <c r="K213" s="373">
        <v>0</v>
      </c>
      <c r="L213" s="374">
        <v>0</v>
      </c>
      <c r="M213" s="373">
        <v>0</v>
      </c>
      <c r="N213" s="373">
        <v>0</v>
      </c>
      <c r="O213" s="373">
        <v>0</v>
      </c>
      <c r="P213" s="373">
        <v>0</v>
      </c>
      <c r="Q213" s="373">
        <v>0</v>
      </c>
      <c r="R213" s="373">
        <v>0</v>
      </c>
      <c r="S213" s="375">
        <v>0</v>
      </c>
      <c r="T213" s="375">
        <v>0</v>
      </c>
      <c r="U213" s="375">
        <v>0</v>
      </c>
      <c r="V213" s="375" t="e">
        <f t="shared" ca="1" si="0"/>
        <v>#NAME?</v>
      </c>
    </row>
    <row r="214" spans="1:22" ht="14.25" hidden="1" customHeight="1">
      <c r="A214" s="377" t="s">
        <v>339</v>
      </c>
      <c r="B214" s="370" t="e">
        <f ca="1">_xludf.IFNA(VLOOKUP(Bolts!$A214,'Kilter Holds'!$P$37:$S$662,4,0),0)</f>
        <v>#NAME?</v>
      </c>
      <c r="C214" s="371">
        <v>10</v>
      </c>
      <c r="D214" s="373">
        <f t="shared" ref="D214:D215" ca="1" si="46">IFERROR(10*B214,0)</f>
        <v>0</v>
      </c>
      <c r="E214" s="373">
        <v>0</v>
      </c>
      <c r="F214" s="373">
        <v>0</v>
      </c>
      <c r="G214" s="373">
        <v>0</v>
      </c>
      <c r="H214" s="373">
        <v>0</v>
      </c>
      <c r="I214" s="373">
        <v>0</v>
      </c>
      <c r="J214" s="373">
        <v>0</v>
      </c>
      <c r="K214" s="373">
        <v>0</v>
      </c>
      <c r="L214" s="374">
        <v>0</v>
      </c>
      <c r="M214" s="373">
        <v>0</v>
      </c>
      <c r="N214" s="373">
        <v>0</v>
      </c>
      <c r="O214" s="373">
        <v>0</v>
      </c>
      <c r="P214" s="373">
        <v>0</v>
      </c>
      <c r="Q214" s="373">
        <v>0</v>
      </c>
      <c r="R214" s="373">
        <v>0</v>
      </c>
      <c r="S214" s="375">
        <v>0</v>
      </c>
      <c r="T214" s="375">
        <v>0</v>
      </c>
      <c r="U214" s="375">
        <v>0</v>
      </c>
      <c r="V214" s="375" t="e">
        <f t="shared" ca="1" si="0"/>
        <v>#NAME?</v>
      </c>
    </row>
    <row r="215" spans="1:22" ht="14.25" hidden="1" customHeight="1">
      <c r="A215" s="377" t="s">
        <v>341</v>
      </c>
      <c r="B215" s="370" t="e">
        <f ca="1">_xludf.IFNA(VLOOKUP(Bolts!$A215,'Kilter Holds'!$P$37:$S$662,4,0),0)</f>
        <v>#NAME?</v>
      </c>
      <c r="C215" s="371">
        <v>10</v>
      </c>
      <c r="D215" s="373">
        <f t="shared" ca="1" si="46"/>
        <v>0</v>
      </c>
      <c r="E215" s="373">
        <v>0</v>
      </c>
      <c r="F215" s="373">
        <v>0</v>
      </c>
      <c r="G215" s="373">
        <v>0</v>
      </c>
      <c r="H215" s="373">
        <v>0</v>
      </c>
      <c r="I215" s="373">
        <v>0</v>
      </c>
      <c r="J215" s="373">
        <v>0</v>
      </c>
      <c r="K215" s="373">
        <v>0</v>
      </c>
      <c r="L215" s="374">
        <v>0</v>
      </c>
      <c r="M215" s="373">
        <v>0</v>
      </c>
      <c r="N215" s="373">
        <v>0</v>
      </c>
      <c r="O215" s="373">
        <v>0</v>
      </c>
      <c r="P215" s="373">
        <v>0</v>
      </c>
      <c r="Q215" s="373">
        <v>0</v>
      </c>
      <c r="R215" s="373">
        <v>0</v>
      </c>
      <c r="S215" s="375">
        <v>0</v>
      </c>
      <c r="T215" s="375">
        <v>0</v>
      </c>
      <c r="U215" s="375">
        <v>0</v>
      </c>
      <c r="V215" s="375" t="e">
        <f t="shared" ca="1" si="0"/>
        <v>#NAME?</v>
      </c>
    </row>
    <row r="216" spans="1:22" ht="14.25" hidden="1" customHeight="1">
      <c r="A216" s="377" t="s">
        <v>1067</v>
      </c>
      <c r="B216" s="370" t="e">
        <f ca="1">_xludf.IFNA(VLOOKUP(Bolts!$A216,'Kilter Holds'!$P$37:$S$662,4,0),0)</f>
        <v>#NAME?</v>
      </c>
      <c r="C216" s="371">
        <v>3</v>
      </c>
      <c r="D216" s="373">
        <v>0</v>
      </c>
      <c r="E216" s="373">
        <v>0</v>
      </c>
      <c r="F216" s="373">
        <v>0</v>
      </c>
      <c r="G216" s="373">
        <v>0</v>
      </c>
      <c r="H216" s="373">
        <v>0</v>
      </c>
      <c r="I216" s="373">
        <v>0</v>
      </c>
      <c r="J216" s="373">
        <v>0</v>
      </c>
      <c r="K216" s="373">
        <f ca="1">IFERROR(2*B216,0)</f>
        <v>0</v>
      </c>
      <c r="L216" s="374">
        <v>0</v>
      </c>
      <c r="M216" s="373">
        <f ca="1">IFERROR(1*B216,0)</f>
        <v>0</v>
      </c>
      <c r="N216" s="373">
        <v>0</v>
      </c>
      <c r="O216" s="373">
        <v>0</v>
      </c>
      <c r="P216" s="373">
        <v>0</v>
      </c>
      <c r="Q216" s="373">
        <v>0</v>
      </c>
      <c r="R216" s="373">
        <v>0</v>
      </c>
      <c r="S216" s="373">
        <v>0</v>
      </c>
      <c r="T216" s="375">
        <v>0</v>
      </c>
      <c r="U216" s="375">
        <v>0</v>
      </c>
      <c r="V216" s="375" t="e">
        <f t="shared" ca="1" si="0"/>
        <v>#NAME?</v>
      </c>
    </row>
    <row r="217" spans="1:22" ht="14.25" hidden="1" customHeight="1">
      <c r="A217" s="377" t="s">
        <v>1069</v>
      </c>
      <c r="B217" s="370" t="e">
        <f ca="1">_xludf.IFNA(VLOOKUP(Bolts!$A217,'Kilter Holds'!$P$37:$S$662,4,0),0)</f>
        <v>#NAME?</v>
      </c>
      <c r="C217" s="371">
        <v>1</v>
      </c>
      <c r="D217" s="373">
        <v>0</v>
      </c>
      <c r="E217" s="373">
        <v>0</v>
      </c>
      <c r="F217" s="373">
        <v>0</v>
      </c>
      <c r="G217" s="373">
        <v>0</v>
      </c>
      <c r="H217" s="373">
        <v>0</v>
      </c>
      <c r="I217" s="373">
        <v>0</v>
      </c>
      <c r="J217" s="373">
        <v>0</v>
      </c>
      <c r="K217" s="373">
        <f t="shared" ref="K217:K218" ca="1" si="47">IFERROR(1*B217,0)</f>
        <v>0</v>
      </c>
      <c r="L217" s="374">
        <v>0</v>
      </c>
      <c r="M217" s="373">
        <v>0</v>
      </c>
      <c r="N217" s="373">
        <v>0</v>
      </c>
      <c r="O217" s="373">
        <v>0</v>
      </c>
      <c r="P217" s="373">
        <v>0</v>
      </c>
      <c r="Q217" s="373">
        <v>0</v>
      </c>
      <c r="R217" s="373">
        <v>0</v>
      </c>
      <c r="S217" s="373">
        <v>0</v>
      </c>
      <c r="T217" s="375">
        <v>0</v>
      </c>
      <c r="U217" s="375">
        <v>0</v>
      </c>
      <c r="V217" s="375" t="e">
        <f t="shared" ca="1" si="0"/>
        <v>#NAME?</v>
      </c>
    </row>
    <row r="218" spans="1:22" ht="14.25" hidden="1" customHeight="1">
      <c r="A218" s="377" t="s">
        <v>1071</v>
      </c>
      <c r="B218" s="370" t="e">
        <f ca="1">_xludf.IFNA(VLOOKUP(Bolts!$A218,'Kilter Holds'!$P$37:$S$662,4,0),0)</f>
        <v>#NAME?</v>
      </c>
      <c r="C218" s="371">
        <v>1</v>
      </c>
      <c r="D218" s="373">
        <v>0</v>
      </c>
      <c r="E218" s="373">
        <v>0</v>
      </c>
      <c r="F218" s="373">
        <v>0</v>
      </c>
      <c r="G218" s="373">
        <v>0</v>
      </c>
      <c r="H218" s="373">
        <v>0</v>
      </c>
      <c r="I218" s="373">
        <v>0</v>
      </c>
      <c r="J218" s="373">
        <v>0</v>
      </c>
      <c r="K218" s="373">
        <f t="shared" ca="1" si="47"/>
        <v>0</v>
      </c>
      <c r="L218" s="374">
        <v>0</v>
      </c>
      <c r="M218" s="373">
        <v>0</v>
      </c>
      <c r="N218" s="373">
        <v>0</v>
      </c>
      <c r="O218" s="373">
        <v>0</v>
      </c>
      <c r="P218" s="373">
        <v>0</v>
      </c>
      <c r="Q218" s="373">
        <v>0</v>
      </c>
      <c r="R218" s="373">
        <v>0</v>
      </c>
      <c r="S218" s="373">
        <v>0</v>
      </c>
      <c r="T218" s="375">
        <v>0</v>
      </c>
      <c r="U218" s="375">
        <v>0</v>
      </c>
      <c r="V218" s="375" t="e">
        <f t="shared" ca="1" si="0"/>
        <v>#NAME?</v>
      </c>
    </row>
    <row r="219" spans="1:22" ht="14.25" hidden="1" customHeight="1">
      <c r="A219" s="377" t="s">
        <v>1073</v>
      </c>
      <c r="B219" s="370" t="e">
        <f ca="1">_xludf.IFNA(VLOOKUP(Bolts!$A219,'Kilter Holds'!$P$37:$S$662,4,0),0)</f>
        <v>#NAME?</v>
      </c>
      <c r="C219" s="371">
        <v>1</v>
      </c>
      <c r="D219" s="373">
        <v>0</v>
      </c>
      <c r="E219" s="373">
        <v>0</v>
      </c>
      <c r="F219" s="373">
        <v>0</v>
      </c>
      <c r="G219" s="373">
        <v>0</v>
      </c>
      <c r="H219" s="373">
        <v>0</v>
      </c>
      <c r="I219" s="373">
        <v>0</v>
      </c>
      <c r="J219" s="373">
        <v>0</v>
      </c>
      <c r="K219" s="373">
        <v>0</v>
      </c>
      <c r="L219" s="374">
        <v>0</v>
      </c>
      <c r="M219" s="373">
        <f ca="1">IFERROR(1*B219,0)</f>
        <v>0</v>
      </c>
      <c r="N219" s="373">
        <v>0</v>
      </c>
      <c r="O219" s="373">
        <v>0</v>
      </c>
      <c r="P219" s="373">
        <v>0</v>
      </c>
      <c r="Q219" s="373">
        <v>0</v>
      </c>
      <c r="R219" s="373">
        <v>0</v>
      </c>
      <c r="S219" s="373">
        <v>0</v>
      </c>
      <c r="T219" s="375">
        <v>0</v>
      </c>
      <c r="U219" s="375">
        <v>0</v>
      </c>
      <c r="V219" s="375" t="e">
        <f t="shared" ca="1" si="0"/>
        <v>#NAME?</v>
      </c>
    </row>
    <row r="220" spans="1:22" ht="14.25" hidden="1" customHeight="1">
      <c r="A220" s="377" t="s">
        <v>315</v>
      </c>
      <c r="B220" s="370" t="e">
        <f ca="1">_xludf.IFNA(VLOOKUP(Bolts!$A220,'Kilter Holds'!$P$37:$S$662,4,0),0)</f>
        <v>#NAME?</v>
      </c>
      <c r="C220" s="371">
        <v>10</v>
      </c>
      <c r="D220" s="373">
        <f t="shared" ref="D220:D221" ca="1" si="48">IFERROR(10*B220,0)</f>
        <v>0</v>
      </c>
      <c r="E220" s="373">
        <v>0</v>
      </c>
      <c r="F220" s="373">
        <v>0</v>
      </c>
      <c r="G220" s="373">
        <v>0</v>
      </c>
      <c r="H220" s="373">
        <v>0</v>
      </c>
      <c r="I220" s="373">
        <v>0</v>
      </c>
      <c r="J220" s="373">
        <v>0</v>
      </c>
      <c r="K220" s="373">
        <v>0</v>
      </c>
      <c r="L220" s="374">
        <v>0</v>
      </c>
      <c r="M220" s="373">
        <v>0</v>
      </c>
      <c r="N220" s="373">
        <v>0</v>
      </c>
      <c r="O220" s="373">
        <v>0</v>
      </c>
      <c r="P220" s="373">
        <v>0</v>
      </c>
      <c r="Q220" s="373">
        <v>0</v>
      </c>
      <c r="R220" s="373">
        <v>0</v>
      </c>
      <c r="S220" s="373">
        <v>0</v>
      </c>
      <c r="T220" s="375">
        <v>0</v>
      </c>
      <c r="U220" s="375">
        <v>0</v>
      </c>
      <c r="V220" s="375" t="e">
        <f t="shared" ca="1" si="0"/>
        <v>#NAME?</v>
      </c>
    </row>
    <row r="221" spans="1:22" ht="14.25" hidden="1" customHeight="1">
      <c r="A221" s="377" t="s">
        <v>282</v>
      </c>
      <c r="B221" s="370" t="e">
        <f ca="1">_xludf.IFNA(VLOOKUP(Bolts!$A221,'Kilter Holds'!$P$37:$S$662,4,0),0)</f>
        <v>#NAME?</v>
      </c>
      <c r="C221" s="371">
        <v>10</v>
      </c>
      <c r="D221" s="373">
        <f t="shared" ca="1" si="48"/>
        <v>0</v>
      </c>
      <c r="E221" s="373">
        <v>0</v>
      </c>
      <c r="F221" s="373">
        <v>0</v>
      </c>
      <c r="G221" s="373">
        <v>0</v>
      </c>
      <c r="H221" s="373">
        <v>0</v>
      </c>
      <c r="I221" s="373">
        <v>0</v>
      </c>
      <c r="J221" s="373">
        <v>0</v>
      </c>
      <c r="K221" s="373">
        <v>0</v>
      </c>
      <c r="L221" s="374">
        <v>0</v>
      </c>
      <c r="M221" s="373">
        <v>0</v>
      </c>
      <c r="N221" s="373">
        <v>0</v>
      </c>
      <c r="O221" s="373">
        <v>0</v>
      </c>
      <c r="P221" s="373">
        <v>0</v>
      </c>
      <c r="Q221" s="373">
        <v>0</v>
      </c>
      <c r="R221" s="373">
        <v>0</v>
      </c>
      <c r="S221" s="373">
        <v>0</v>
      </c>
      <c r="T221" s="375">
        <v>0</v>
      </c>
      <c r="U221" s="375">
        <v>0</v>
      </c>
      <c r="V221" s="375" t="e">
        <f t="shared" ca="1" si="0"/>
        <v>#NAME?</v>
      </c>
    </row>
    <row r="222" spans="1:22" ht="14.25" hidden="1" customHeight="1">
      <c r="A222" s="377" t="s">
        <v>361</v>
      </c>
      <c r="B222" s="370" t="e">
        <f ca="1">_xludf.IFNA(VLOOKUP(Bolts!$A222,'Kilter Holds'!$P$37:$S$662,4,0),0)</f>
        <v>#NAME?</v>
      </c>
      <c r="C222" s="371">
        <v>20</v>
      </c>
      <c r="D222" s="373">
        <f t="shared" ref="D222:D223" ca="1" si="49">IFERROR(20*B222,0)</f>
        <v>0</v>
      </c>
      <c r="E222" s="373">
        <v>0</v>
      </c>
      <c r="F222" s="373">
        <v>0</v>
      </c>
      <c r="G222" s="373">
        <v>0</v>
      </c>
      <c r="H222" s="373">
        <v>0</v>
      </c>
      <c r="I222" s="373">
        <v>0</v>
      </c>
      <c r="J222" s="373">
        <v>0</v>
      </c>
      <c r="K222" s="373">
        <v>0</v>
      </c>
      <c r="L222" s="374">
        <v>0</v>
      </c>
      <c r="M222" s="373">
        <v>0</v>
      </c>
      <c r="N222" s="373">
        <v>0</v>
      </c>
      <c r="O222" s="373">
        <v>0</v>
      </c>
      <c r="P222" s="373">
        <v>0</v>
      </c>
      <c r="Q222" s="373">
        <v>0</v>
      </c>
      <c r="R222" s="373">
        <v>0</v>
      </c>
      <c r="S222" s="373">
        <v>0</v>
      </c>
      <c r="T222" s="375">
        <v>0</v>
      </c>
      <c r="U222" s="375">
        <v>0</v>
      </c>
      <c r="V222" s="375" t="e">
        <f t="shared" ca="1" si="0"/>
        <v>#NAME?</v>
      </c>
    </row>
    <row r="223" spans="1:22" ht="14.25" hidden="1" customHeight="1">
      <c r="A223" s="377" t="s">
        <v>363</v>
      </c>
      <c r="B223" s="370" t="e">
        <f ca="1">_xludf.IFNA(VLOOKUP(Bolts!$A223,'Kilter Holds'!$P$37:$S$662,4,0),0)</f>
        <v>#NAME?</v>
      </c>
      <c r="C223" s="371">
        <v>20</v>
      </c>
      <c r="D223" s="373">
        <f t="shared" ca="1" si="49"/>
        <v>0</v>
      </c>
      <c r="E223" s="373">
        <v>0</v>
      </c>
      <c r="F223" s="373">
        <v>0</v>
      </c>
      <c r="G223" s="373">
        <v>0</v>
      </c>
      <c r="H223" s="373">
        <v>0</v>
      </c>
      <c r="I223" s="373">
        <v>0</v>
      </c>
      <c r="J223" s="373">
        <v>0</v>
      </c>
      <c r="K223" s="373">
        <v>0</v>
      </c>
      <c r="L223" s="374">
        <v>0</v>
      </c>
      <c r="M223" s="373">
        <v>0</v>
      </c>
      <c r="N223" s="373">
        <v>0</v>
      </c>
      <c r="O223" s="373">
        <v>0</v>
      </c>
      <c r="P223" s="373">
        <v>0</v>
      </c>
      <c r="Q223" s="373">
        <v>0</v>
      </c>
      <c r="R223" s="373">
        <v>0</v>
      </c>
      <c r="S223" s="373">
        <v>0</v>
      </c>
      <c r="T223" s="375">
        <v>0</v>
      </c>
      <c r="U223" s="375">
        <v>0</v>
      </c>
      <c r="V223" s="375" t="e">
        <f t="shared" ca="1" si="0"/>
        <v>#NAME?</v>
      </c>
    </row>
    <row r="224" spans="1:22" ht="14.25" hidden="1" customHeight="1">
      <c r="A224" s="377" t="s">
        <v>367</v>
      </c>
      <c r="B224" s="370" t="e">
        <f ca="1">_xludf.IFNA(VLOOKUP(Bolts!$A224,'Kilter Holds'!$P$37:$S$662,4,0),0)</f>
        <v>#NAME?</v>
      </c>
      <c r="C224" s="371">
        <v>10</v>
      </c>
      <c r="D224" s="373">
        <v>0</v>
      </c>
      <c r="E224" s="373">
        <v>0</v>
      </c>
      <c r="F224" s="373">
        <v>0</v>
      </c>
      <c r="G224" s="373">
        <v>0</v>
      </c>
      <c r="H224" s="373">
        <v>0</v>
      </c>
      <c r="I224" s="373">
        <v>0</v>
      </c>
      <c r="J224" s="373">
        <v>0</v>
      </c>
      <c r="K224" s="373">
        <v>0</v>
      </c>
      <c r="L224" s="374">
        <v>0</v>
      </c>
      <c r="M224" s="373">
        <v>0</v>
      </c>
      <c r="N224" s="373">
        <v>0</v>
      </c>
      <c r="O224" s="373">
        <v>0</v>
      </c>
      <c r="P224" s="373">
        <v>0</v>
      </c>
      <c r="Q224" s="373">
        <f ca="1">IFERROR(20*B224,0)</f>
        <v>0</v>
      </c>
      <c r="R224" s="373">
        <v>0</v>
      </c>
      <c r="S224" s="373">
        <v>0</v>
      </c>
      <c r="T224" s="375">
        <v>0</v>
      </c>
      <c r="U224" s="375">
        <v>0</v>
      </c>
      <c r="V224" s="375" t="e">
        <f t="shared" ca="1" si="0"/>
        <v>#NAME?</v>
      </c>
    </row>
    <row r="225" spans="1:22" ht="14.25" hidden="1" customHeight="1">
      <c r="A225" s="377" t="s">
        <v>1117</v>
      </c>
      <c r="B225" s="370" t="e">
        <f ca="1">_xludf.IFNA(VLOOKUP(Bolts!$A225,'Kilter Holds'!$P$37:$S$662,4,0),0)</f>
        <v>#NAME?</v>
      </c>
      <c r="C225" s="371">
        <v>6</v>
      </c>
      <c r="D225" s="373">
        <f ca="1">IFERROR(6*B225,0)</f>
        <v>0</v>
      </c>
      <c r="E225" s="373">
        <v>0</v>
      </c>
      <c r="F225" s="373">
        <v>0</v>
      </c>
      <c r="G225" s="373">
        <v>0</v>
      </c>
      <c r="H225" s="373">
        <v>0</v>
      </c>
      <c r="I225" s="373">
        <v>0</v>
      </c>
      <c r="J225" s="373">
        <v>0</v>
      </c>
      <c r="K225" s="373">
        <v>0</v>
      </c>
      <c r="L225" s="374">
        <v>0</v>
      </c>
      <c r="M225" s="373">
        <v>0</v>
      </c>
      <c r="N225" s="373">
        <v>0</v>
      </c>
      <c r="O225" s="373">
        <v>0</v>
      </c>
      <c r="P225" s="373">
        <v>0</v>
      </c>
      <c r="Q225" s="373">
        <v>0</v>
      </c>
      <c r="R225" s="373">
        <v>0</v>
      </c>
      <c r="S225" s="373">
        <v>0</v>
      </c>
      <c r="T225" s="375">
        <v>0</v>
      </c>
      <c r="U225" s="375">
        <v>0</v>
      </c>
      <c r="V225" s="375" t="e">
        <f t="shared" ca="1" si="0"/>
        <v>#NAME?</v>
      </c>
    </row>
    <row r="226" spans="1:22" ht="14.25" hidden="1" customHeight="1">
      <c r="A226" s="377" t="s">
        <v>884</v>
      </c>
      <c r="B226" s="370" t="e">
        <f ca="1">_xludf.IFNA(VLOOKUP(Bolts!$A226,'Kilter Holds'!$P$37:$S$662,4,0),0)</f>
        <v>#NAME?</v>
      </c>
      <c r="C226" s="371">
        <v>45</v>
      </c>
      <c r="D226" s="373">
        <f ca="1">IFERROR(8*B226,0)*2</f>
        <v>0</v>
      </c>
      <c r="E226" s="373">
        <f ca="1">IFERROR(2*B226,0)*2</f>
        <v>0</v>
      </c>
      <c r="F226" s="373">
        <v>0</v>
      </c>
      <c r="G226" s="373">
        <v>0</v>
      </c>
      <c r="H226" s="373">
        <v>0</v>
      </c>
      <c r="I226" s="373">
        <v>0</v>
      </c>
      <c r="J226" s="373">
        <v>0</v>
      </c>
      <c r="K226" s="373">
        <v>0</v>
      </c>
      <c r="L226" s="374">
        <v>0</v>
      </c>
      <c r="M226" s="373">
        <v>0</v>
      </c>
      <c r="N226" s="373">
        <v>0</v>
      </c>
      <c r="O226" s="373">
        <v>0</v>
      </c>
      <c r="P226" s="373">
        <v>0</v>
      </c>
      <c r="Q226" s="373">
        <f t="shared" ref="Q226:Q227" ca="1" si="50">IFERROR(55*B226,0)</f>
        <v>0</v>
      </c>
      <c r="R226" s="373">
        <v>0</v>
      </c>
      <c r="S226" s="373">
        <v>0</v>
      </c>
      <c r="T226" s="375">
        <v>0</v>
      </c>
      <c r="U226" s="375">
        <v>0</v>
      </c>
      <c r="V226" s="375" t="e">
        <f t="shared" ca="1" si="0"/>
        <v>#NAME?</v>
      </c>
    </row>
    <row r="227" spans="1:22" ht="14.25" hidden="1" customHeight="1">
      <c r="A227" s="377" t="s">
        <v>886</v>
      </c>
      <c r="B227" s="370" t="e">
        <f ca="1">_xludf.IFNA(VLOOKUP(Bolts!$A227,'Kilter Holds'!$P$37:$S$662,4,0),0)</f>
        <v>#NAME?</v>
      </c>
      <c r="C227" s="371">
        <v>25</v>
      </c>
      <c r="D227" s="373">
        <v>0</v>
      </c>
      <c r="E227" s="373">
        <v>0</v>
      </c>
      <c r="F227" s="373">
        <v>0</v>
      </c>
      <c r="G227" s="373">
        <v>0</v>
      </c>
      <c r="H227" s="373">
        <v>0</v>
      </c>
      <c r="I227" s="373">
        <v>0</v>
      </c>
      <c r="J227" s="373">
        <v>0</v>
      </c>
      <c r="K227" s="373">
        <v>0</v>
      </c>
      <c r="L227" s="374">
        <v>0</v>
      </c>
      <c r="M227" s="373">
        <v>0</v>
      </c>
      <c r="N227" s="373">
        <v>0</v>
      </c>
      <c r="O227" s="373">
        <v>0</v>
      </c>
      <c r="P227" s="373">
        <v>0</v>
      </c>
      <c r="Q227" s="373">
        <f t="shared" ca="1" si="50"/>
        <v>0</v>
      </c>
      <c r="R227" s="373">
        <v>0</v>
      </c>
      <c r="S227" s="373">
        <v>0</v>
      </c>
      <c r="T227" s="375">
        <v>0</v>
      </c>
      <c r="U227" s="375">
        <v>0</v>
      </c>
      <c r="V227" s="375" t="e">
        <f t="shared" ca="1" si="0"/>
        <v>#NAME?</v>
      </c>
    </row>
    <row r="228" spans="1:22" ht="14.25" hidden="1" customHeight="1">
      <c r="A228" s="377" t="s">
        <v>888</v>
      </c>
      <c r="B228" s="370" t="e">
        <f ca="1">_xludf.IFNA(VLOOKUP(Bolts!$A228,'Kilter Holds'!$P$37:$S$662,4,0),0)</f>
        <v>#NAME?</v>
      </c>
      <c r="C228" s="371">
        <v>10</v>
      </c>
      <c r="D228" s="373">
        <f ca="1">IFERROR(8*B228,0)</f>
        <v>0</v>
      </c>
      <c r="E228" s="373">
        <f ca="1">IFERROR(2*B228,0)</f>
        <v>0</v>
      </c>
      <c r="F228" s="373">
        <v>0</v>
      </c>
      <c r="G228" s="373">
        <v>0</v>
      </c>
      <c r="H228" s="373">
        <v>0</v>
      </c>
      <c r="I228" s="373">
        <v>0</v>
      </c>
      <c r="J228" s="373">
        <v>0</v>
      </c>
      <c r="K228" s="373">
        <v>0</v>
      </c>
      <c r="L228" s="374">
        <v>0</v>
      </c>
      <c r="M228" s="373">
        <v>0</v>
      </c>
      <c r="N228" s="373">
        <v>0</v>
      </c>
      <c r="O228" s="373">
        <v>0</v>
      </c>
      <c r="P228" s="373">
        <v>0</v>
      </c>
      <c r="Q228" s="373">
        <v>0</v>
      </c>
      <c r="R228" s="373">
        <v>0</v>
      </c>
      <c r="S228" s="373">
        <v>0</v>
      </c>
      <c r="T228" s="375">
        <v>0</v>
      </c>
      <c r="U228" s="375">
        <v>0</v>
      </c>
      <c r="V228" s="375" t="e">
        <f t="shared" ca="1" si="0"/>
        <v>#NAME?</v>
      </c>
    </row>
    <row r="229" spans="1:22" ht="14.25" hidden="1" customHeight="1">
      <c r="A229" s="377" t="s">
        <v>369</v>
      </c>
      <c r="B229" s="370" t="e">
        <f ca="1">_xludf.IFNA(VLOOKUP(Bolts!$A229,'Kilter Holds'!$P$37:$S$662,4,0),0)</f>
        <v>#NAME?</v>
      </c>
      <c r="C229" s="371">
        <v>5</v>
      </c>
      <c r="D229" s="373">
        <v>0</v>
      </c>
      <c r="E229" s="373">
        <v>0</v>
      </c>
      <c r="F229" s="373">
        <v>0</v>
      </c>
      <c r="G229" s="373">
        <v>0</v>
      </c>
      <c r="H229" s="373">
        <v>0</v>
      </c>
      <c r="I229" s="373">
        <v>0</v>
      </c>
      <c r="J229" s="373">
        <v>0</v>
      </c>
      <c r="K229" s="373">
        <v>0</v>
      </c>
      <c r="L229" s="374">
        <v>0</v>
      </c>
      <c r="M229" s="373">
        <v>0</v>
      </c>
      <c r="N229" s="373">
        <v>0</v>
      </c>
      <c r="O229" s="373">
        <v>0</v>
      </c>
      <c r="P229" s="373">
        <v>0</v>
      </c>
      <c r="Q229" s="373">
        <f ca="1">IFERROR(15*B229,0)</f>
        <v>0</v>
      </c>
      <c r="R229" s="373">
        <v>0</v>
      </c>
      <c r="S229" s="373">
        <v>0</v>
      </c>
      <c r="T229" s="375">
        <v>0</v>
      </c>
      <c r="U229" s="375">
        <v>0</v>
      </c>
      <c r="V229" s="375" t="e">
        <f t="shared" ca="1" si="0"/>
        <v>#NAME?</v>
      </c>
    </row>
    <row r="230" spans="1:22" ht="14.25" hidden="1" customHeight="1">
      <c r="A230" s="377" t="s">
        <v>245</v>
      </c>
      <c r="B230" s="370" t="e">
        <f ca="1">_xludf.IFNA(VLOOKUP(Bolts!$A230,'Kilter Holds'!$P$37:$S$662,4,0),0)</f>
        <v>#NAME?</v>
      </c>
      <c r="C230" s="371">
        <v>5</v>
      </c>
      <c r="D230" s="373">
        <v>0</v>
      </c>
      <c r="E230" s="373">
        <f ca="1">IFERROR(5*B230,0)</f>
        <v>0</v>
      </c>
      <c r="F230" s="373">
        <v>0</v>
      </c>
      <c r="G230" s="373">
        <v>0</v>
      </c>
      <c r="H230" s="373">
        <v>0</v>
      </c>
      <c r="I230" s="373">
        <v>0</v>
      </c>
      <c r="J230" s="373">
        <v>0</v>
      </c>
      <c r="K230" s="373">
        <v>0</v>
      </c>
      <c r="L230" s="374">
        <v>0</v>
      </c>
      <c r="M230" s="373">
        <v>0</v>
      </c>
      <c r="N230" s="373">
        <v>0</v>
      </c>
      <c r="O230" s="373">
        <v>0</v>
      </c>
      <c r="P230" s="373">
        <v>0</v>
      </c>
      <c r="Q230" s="373">
        <v>0</v>
      </c>
      <c r="R230" s="373">
        <v>0</v>
      </c>
      <c r="S230" s="373">
        <v>0</v>
      </c>
      <c r="T230" s="375">
        <v>0</v>
      </c>
      <c r="U230" s="375">
        <v>0</v>
      </c>
      <c r="V230" s="375" t="e">
        <f t="shared" ca="1" si="0"/>
        <v>#NAME?</v>
      </c>
    </row>
    <row r="231" spans="1:22" ht="14.25" hidden="1" customHeight="1">
      <c r="A231" s="377" t="s">
        <v>179</v>
      </c>
      <c r="B231" s="370" t="e">
        <f ca="1">_xludf.IFNA(VLOOKUP(Bolts!$A231,'Kilter Holds'!$P$37:$S$662,4,0),0)</f>
        <v>#NAME?</v>
      </c>
      <c r="C231" s="371">
        <v>10</v>
      </c>
      <c r="D231" s="373">
        <f ca="1">IFERROR(5*B231,0)</f>
        <v>0</v>
      </c>
      <c r="E231" s="373">
        <v>0</v>
      </c>
      <c r="F231" s="373">
        <v>0</v>
      </c>
      <c r="G231" s="373">
        <v>0</v>
      </c>
      <c r="H231" s="373">
        <v>0</v>
      </c>
      <c r="I231" s="373">
        <v>0</v>
      </c>
      <c r="J231" s="373">
        <v>0</v>
      </c>
      <c r="K231" s="373">
        <v>0</v>
      </c>
      <c r="L231" s="374">
        <v>0</v>
      </c>
      <c r="M231" s="373">
        <v>0</v>
      </c>
      <c r="N231" s="373">
        <v>0</v>
      </c>
      <c r="O231" s="373">
        <v>0</v>
      </c>
      <c r="P231" s="373">
        <v>0</v>
      </c>
      <c r="Q231" s="373">
        <f ca="1">IFERROR(10*B231,0)</f>
        <v>0</v>
      </c>
      <c r="R231" s="373">
        <v>0</v>
      </c>
      <c r="S231" s="373">
        <v>0</v>
      </c>
      <c r="T231" s="375">
        <v>0</v>
      </c>
      <c r="U231" s="375">
        <v>0</v>
      </c>
      <c r="V231" s="375" t="e">
        <f t="shared" ca="1" si="0"/>
        <v>#NAME?</v>
      </c>
    </row>
    <row r="232" spans="1:22" ht="14.25" hidden="1" customHeight="1">
      <c r="A232" s="377" t="s">
        <v>209</v>
      </c>
      <c r="B232" s="370" t="e">
        <f ca="1">_xludf.IFNA(VLOOKUP(Bolts!$A232,'Kilter Holds'!$P$37:$S$662,4,0),0)</f>
        <v>#NAME?</v>
      </c>
      <c r="C232" s="371">
        <v>3</v>
      </c>
      <c r="D232" s="373">
        <v>0</v>
      </c>
      <c r="E232" s="373">
        <v>0</v>
      </c>
      <c r="F232" s="373">
        <v>0</v>
      </c>
      <c r="G232" s="373">
        <f t="shared" ref="G232:G233" ca="1" si="51">IFERROR(1*B232,0)</f>
        <v>0</v>
      </c>
      <c r="H232" s="373">
        <f t="shared" ref="H232:H233" ca="1" si="52">IFERROR(2*B232,0)</f>
        <v>0</v>
      </c>
      <c r="I232" s="373">
        <v>0</v>
      </c>
      <c r="J232" s="373">
        <v>0</v>
      </c>
      <c r="K232" s="373">
        <v>0</v>
      </c>
      <c r="L232" s="374">
        <v>0</v>
      </c>
      <c r="M232" s="373">
        <v>0</v>
      </c>
      <c r="N232" s="373">
        <v>0</v>
      </c>
      <c r="O232" s="373">
        <v>0</v>
      </c>
      <c r="P232" s="373">
        <v>0</v>
      </c>
      <c r="Q232" s="373">
        <v>0</v>
      </c>
      <c r="R232" s="373">
        <v>0</v>
      </c>
      <c r="S232" s="373">
        <v>0</v>
      </c>
      <c r="T232" s="375">
        <v>0</v>
      </c>
      <c r="U232" s="375">
        <v>0</v>
      </c>
      <c r="V232" s="375" t="e">
        <f t="shared" ca="1" si="0"/>
        <v>#NAME?</v>
      </c>
    </row>
    <row r="233" spans="1:22" ht="14.25" hidden="1" customHeight="1">
      <c r="A233" s="377" t="s">
        <v>149</v>
      </c>
      <c r="B233" s="370" t="e">
        <f ca="1">_xludf.IFNA(VLOOKUP(Bolts!$A233,'Kilter Holds'!$P$37:$S$662,4,0),0)</f>
        <v>#NAME?</v>
      </c>
      <c r="C233" s="371">
        <v>8</v>
      </c>
      <c r="D233" s="373">
        <v>0</v>
      </c>
      <c r="E233" s="373">
        <v>0</v>
      </c>
      <c r="F233" s="373">
        <v>0</v>
      </c>
      <c r="G233" s="373">
        <f t="shared" ca="1" si="51"/>
        <v>0</v>
      </c>
      <c r="H233" s="373">
        <f t="shared" ca="1" si="52"/>
        <v>0</v>
      </c>
      <c r="I233" s="373">
        <v>0</v>
      </c>
      <c r="J233" s="373">
        <v>0</v>
      </c>
      <c r="K233" s="373">
        <v>0</v>
      </c>
      <c r="L233" s="374">
        <v>0</v>
      </c>
      <c r="M233" s="373">
        <v>0</v>
      </c>
      <c r="N233" s="373">
        <v>0</v>
      </c>
      <c r="O233" s="373">
        <v>0</v>
      </c>
      <c r="P233" s="373">
        <v>0</v>
      </c>
      <c r="Q233" s="373">
        <f ca="1">IFERROR(18*B233,0)</f>
        <v>0</v>
      </c>
      <c r="R233" s="373">
        <v>0</v>
      </c>
      <c r="S233" s="373">
        <v>0</v>
      </c>
      <c r="T233" s="375">
        <v>0</v>
      </c>
      <c r="U233" s="375">
        <v>0</v>
      </c>
      <c r="V233" s="375" t="e">
        <f t="shared" ca="1" si="0"/>
        <v>#NAME?</v>
      </c>
    </row>
    <row r="234" spans="1:22" ht="14.25" hidden="1" customHeight="1">
      <c r="A234" s="377" t="s">
        <v>151</v>
      </c>
      <c r="B234" s="370" t="e">
        <f ca="1">_xludf.IFNA(VLOOKUP(Bolts!$A234,'Kilter Holds'!$P$37:$S$662,4,0),0)</f>
        <v>#NAME?</v>
      </c>
      <c r="C234" s="371">
        <v>3</v>
      </c>
      <c r="D234" s="373">
        <v>0</v>
      </c>
      <c r="E234" s="373">
        <v>0</v>
      </c>
      <c r="F234" s="373">
        <v>0</v>
      </c>
      <c r="G234" s="373">
        <v>0</v>
      </c>
      <c r="H234" s="373">
        <v>0</v>
      </c>
      <c r="I234" s="373">
        <v>0</v>
      </c>
      <c r="J234" s="373">
        <v>0</v>
      </c>
      <c r="K234" s="373">
        <v>0</v>
      </c>
      <c r="L234" s="374">
        <v>0</v>
      </c>
      <c r="M234" s="373">
        <v>0</v>
      </c>
      <c r="N234" s="373">
        <f ca="1">IFERROR(1*B234,0)</f>
        <v>0</v>
      </c>
      <c r="O234" s="373">
        <v>0</v>
      </c>
      <c r="P234" s="373">
        <v>0</v>
      </c>
      <c r="Q234" s="373">
        <f ca="1">IFERROR(19*B234,0)</f>
        <v>0</v>
      </c>
      <c r="R234" s="373">
        <f ca="1">IFERROR(1*B234,0)</f>
        <v>0</v>
      </c>
      <c r="S234" s="373">
        <v>0</v>
      </c>
      <c r="T234" s="375">
        <v>0</v>
      </c>
      <c r="U234" s="375">
        <v>0</v>
      </c>
      <c r="V234" s="375" t="e">
        <f t="shared" ca="1" si="0"/>
        <v>#NAME?</v>
      </c>
    </row>
    <row r="235" spans="1:22" ht="14.25" hidden="1" customHeight="1">
      <c r="A235" s="377" t="s">
        <v>371</v>
      </c>
      <c r="B235" s="370" t="e">
        <f ca="1">_xludf.IFNA(VLOOKUP(Bolts!$A235,'Kilter Holds'!$P$37:$S$662,4,0),0)</f>
        <v>#NAME?</v>
      </c>
      <c r="C235" s="371">
        <v>13</v>
      </c>
      <c r="D235" s="373">
        <v>0</v>
      </c>
      <c r="E235" s="373">
        <v>0</v>
      </c>
      <c r="F235" s="373">
        <v>0</v>
      </c>
      <c r="G235" s="373">
        <v>0</v>
      </c>
      <c r="H235" s="373">
        <v>0</v>
      </c>
      <c r="I235" s="373">
        <v>0</v>
      </c>
      <c r="J235" s="373">
        <v>0</v>
      </c>
      <c r="K235" s="373">
        <v>0</v>
      </c>
      <c r="L235" s="374">
        <v>0</v>
      </c>
      <c r="M235" s="373">
        <v>0</v>
      </c>
      <c r="N235" s="373">
        <v>0</v>
      </c>
      <c r="O235" s="373">
        <v>0</v>
      </c>
      <c r="P235" s="373">
        <v>0</v>
      </c>
      <c r="Q235" s="373">
        <f ca="1">IFERROR(38*B235,0)</f>
        <v>0</v>
      </c>
      <c r="R235" s="373">
        <v>0</v>
      </c>
      <c r="S235" s="373">
        <v>0</v>
      </c>
      <c r="T235" s="375">
        <v>0</v>
      </c>
      <c r="U235" s="375">
        <v>0</v>
      </c>
      <c r="V235" s="375" t="e">
        <f t="shared" ca="1" si="0"/>
        <v>#NAME?</v>
      </c>
    </row>
    <row r="236" spans="1:22" ht="14.25" hidden="1" customHeight="1">
      <c r="A236" s="378" t="s">
        <v>1929</v>
      </c>
      <c r="B236" s="370" t="e">
        <f ca="1">_xludf.IFNA(VLOOKUP(Bolts!$A236,'Kilter Holds'!$P$37:$S$662,4,0),0)</f>
        <v>#NAME?</v>
      </c>
      <c r="C236" s="371"/>
      <c r="D236" s="373">
        <v>0</v>
      </c>
      <c r="E236" s="373">
        <v>0</v>
      </c>
      <c r="F236" s="373">
        <v>0</v>
      </c>
      <c r="G236" s="373">
        <v>0</v>
      </c>
      <c r="H236" s="373">
        <v>0</v>
      </c>
      <c r="I236" s="373">
        <v>0</v>
      </c>
      <c r="J236" s="373">
        <v>0</v>
      </c>
      <c r="K236" s="373">
        <v>0</v>
      </c>
      <c r="L236" s="374">
        <v>0</v>
      </c>
      <c r="M236" s="373">
        <v>0</v>
      </c>
      <c r="N236" s="373">
        <v>0</v>
      </c>
      <c r="O236" s="373">
        <v>0</v>
      </c>
      <c r="P236" s="373">
        <v>0</v>
      </c>
      <c r="Q236" s="373">
        <v>0</v>
      </c>
      <c r="R236" s="373">
        <v>0</v>
      </c>
      <c r="S236" s="373">
        <v>0</v>
      </c>
      <c r="T236" s="375">
        <v>0</v>
      </c>
      <c r="U236" s="375">
        <v>0</v>
      </c>
      <c r="V236" s="375" t="e">
        <f t="shared" ca="1" si="0"/>
        <v>#NAME?</v>
      </c>
    </row>
    <row r="237" spans="1:22" ht="14.25" hidden="1" customHeight="1">
      <c r="A237" s="377" t="s">
        <v>513</v>
      </c>
      <c r="B237" s="370" t="e">
        <f ca="1">_xludf.IFNA(VLOOKUP(Bolts!$A237,'Kilter Holds'!$P$37:$S$662,4,0),0)</f>
        <v>#NAME?</v>
      </c>
      <c r="C237" s="371">
        <v>30</v>
      </c>
      <c r="D237" s="373">
        <f ca="1">IFERROR(10*B237,0)</f>
        <v>0</v>
      </c>
      <c r="E237" s="373">
        <v>0</v>
      </c>
      <c r="F237" s="373">
        <v>0</v>
      </c>
      <c r="G237" s="373">
        <v>0</v>
      </c>
      <c r="H237" s="373">
        <v>0</v>
      </c>
      <c r="I237" s="373">
        <v>0</v>
      </c>
      <c r="J237" s="373">
        <v>0</v>
      </c>
      <c r="K237" s="373">
        <v>0</v>
      </c>
      <c r="L237" s="374">
        <v>0</v>
      </c>
      <c r="M237" s="373">
        <v>0</v>
      </c>
      <c r="N237" s="373">
        <v>0</v>
      </c>
      <c r="O237" s="373">
        <v>0</v>
      </c>
      <c r="P237" s="373">
        <v>0</v>
      </c>
      <c r="Q237" s="373">
        <f ca="1">IFERROR(73*B237,0)</f>
        <v>0</v>
      </c>
      <c r="R237" s="373">
        <v>0</v>
      </c>
      <c r="S237" s="373">
        <v>0</v>
      </c>
      <c r="T237" s="375">
        <v>0</v>
      </c>
      <c r="U237" s="375">
        <v>0</v>
      </c>
      <c r="V237" s="375" t="e">
        <f t="shared" ca="1" si="0"/>
        <v>#NAME?</v>
      </c>
    </row>
    <row r="238" spans="1:22" ht="14.25" hidden="1" customHeight="1">
      <c r="A238" s="377" t="s">
        <v>153</v>
      </c>
      <c r="B238" s="370" t="e">
        <f ca="1">_xludf.IFNA(VLOOKUP(Bolts!$A238,'Kilter Holds'!$P$37:$S$662,4,0),0)</f>
        <v>#NAME?</v>
      </c>
      <c r="C238" s="371">
        <v>4</v>
      </c>
      <c r="D238" s="373">
        <v>0</v>
      </c>
      <c r="E238" s="373">
        <v>0</v>
      </c>
      <c r="F238" s="373">
        <v>0</v>
      </c>
      <c r="G238" s="373">
        <v>0</v>
      </c>
      <c r="H238" s="373">
        <v>0</v>
      </c>
      <c r="I238" s="373">
        <v>0</v>
      </c>
      <c r="J238" s="373">
        <v>0</v>
      </c>
      <c r="K238" s="373">
        <v>0</v>
      </c>
      <c r="L238" s="374">
        <v>0</v>
      </c>
      <c r="M238" s="373">
        <v>0</v>
      </c>
      <c r="N238" s="373">
        <f ca="1">IFERROR(1*B238,0)</f>
        <v>0</v>
      </c>
      <c r="O238" s="373">
        <v>0</v>
      </c>
      <c r="P238" s="373">
        <v>0</v>
      </c>
      <c r="Q238" s="373">
        <f ca="1">IFERROR(21*B238,0)</f>
        <v>0</v>
      </c>
      <c r="R238" s="373">
        <f ca="1">IFERROR(1*B238,0)</f>
        <v>0</v>
      </c>
      <c r="S238" s="373">
        <v>0</v>
      </c>
      <c r="T238" s="375">
        <v>0</v>
      </c>
      <c r="U238" s="375">
        <v>0</v>
      </c>
      <c r="V238" s="375" t="e">
        <f t="shared" ca="1" si="0"/>
        <v>#NAME?</v>
      </c>
    </row>
    <row r="239" spans="1:22" ht="14.25" hidden="1" customHeight="1">
      <c r="A239" s="377" t="s">
        <v>157</v>
      </c>
      <c r="B239" s="370" t="e">
        <f ca="1">_xludf.IFNA(VLOOKUP(Bolts!$A239,'Kilter Holds'!$P$37:$S$662,4,0),0)</f>
        <v>#NAME?</v>
      </c>
      <c r="C239" s="371">
        <v>7</v>
      </c>
      <c r="D239" s="373">
        <v>0</v>
      </c>
      <c r="E239" s="373">
        <v>0</v>
      </c>
      <c r="F239" s="373">
        <v>0</v>
      </c>
      <c r="G239" s="373">
        <v>0</v>
      </c>
      <c r="H239" s="373">
        <v>0</v>
      </c>
      <c r="I239" s="373">
        <v>0</v>
      </c>
      <c r="J239" s="373">
        <f ca="1">IFERROR(1*B239,0)</f>
        <v>0</v>
      </c>
      <c r="K239" s="373">
        <v>0</v>
      </c>
      <c r="L239" s="374">
        <v>0</v>
      </c>
      <c r="M239" s="373">
        <f ca="1">IFERROR(2*B239,0)</f>
        <v>0</v>
      </c>
      <c r="N239" s="373">
        <v>0</v>
      </c>
      <c r="O239" s="373">
        <v>0</v>
      </c>
      <c r="P239" s="373">
        <v>0</v>
      </c>
      <c r="Q239" s="373">
        <f ca="1">IFERROR(35*B239,0)</f>
        <v>0</v>
      </c>
      <c r="R239" s="373">
        <f ca="1">IFERROR(3*B239,0)</f>
        <v>0</v>
      </c>
      <c r="S239" s="373">
        <v>0</v>
      </c>
      <c r="T239" s="375">
        <v>0</v>
      </c>
      <c r="U239" s="375">
        <v>0</v>
      </c>
      <c r="V239" s="375" t="e">
        <f t="shared" ca="1" si="0"/>
        <v>#NAME?</v>
      </c>
    </row>
    <row r="240" spans="1:22" ht="14.25" hidden="1" customHeight="1">
      <c r="A240" s="377" t="s">
        <v>181</v>
      </c>
      <c r="B240" s="370" t="e">
        <f ca="1">_xludf.IFNA(VLOOKUP(Bolts!$A240,'Kilter Holds'!$P$37:$S$662,4,0),0)</f>
        <v>#NAME?</v>
      </c>
      <c r="C240" s="371">
        <v>8</v>
      </c>
      <c r="D240" s="373">
        <v>0</v>
      </c>
      <c r="E240" s="373">
        <v>0</v>
      </c>
      <c r="F240" s="373">
        <v>0</v>
      </c>
      <c r="G240" s="373">
        <v>0</v>
      </c>
      <c r="H240" s="373">
        <v>0</v>
      </c>
      <c r="I240" s="373">
        <v>0</v>
      </c>
      <c r="J240" s="373">
        <v>0</v>
      </c>
      <c r="K240" s="373">
        <v>0</v>
      </c>
      <c r="L240" s="374">
        <v>0</v>
      </c>
      <c r="M240" s="373">
        <v>0</v>
      </c>
      <c r="N240" s="373">
        <v>0</v>
      </c>
      <c r="O240" s="373">
        <v>0</v>
      </c>
      <c r="P240" s="373">
        <v>0</v>
      </c>
      <c r="Q240" s="373" t="e">
        <f ca="1">Bolts!$B240*30</f>
        <v>#NAME?</v>
      </c>
      <c r="R240" s="373" t="e">
        <f ca="1">Bolts!$B240*2</f>
        <v>#NAME?</v>
      </c>
      <c r="S240" s="375">
        <v>0</v>
      </c>
      <c r="T240" s="375">
        <v>0</v>
      </c>
      <c r="U240" s="375">
        <v>0</v>
      </c>
      <c r="V240" s="375" t="e">
        <f t="shared" ca="1" si="0"/>
        <v>#NAME?</v>
      </c>
    </row>
    <row r="241" spans="1:22" ht="14.25" hidden="1" customHeight="1">
      <c r="A241" s="377" t="s">
        <v>211</v>
      </c>
      <c r="B241" s="370" t="e">
        <f ca="1">_xludf.IFNA(VLOOKUP(Bolts!$A241,'Kilter Holds'!$P$37:$S$662,4,0),0)</f>
        <v>#NAME?</v>
      </c>
      <c r="C241" s="371">
        <v>3</v>
      </c>
      <c r="D241" s="373">
        <v>0</v>
      </c>
      <c r="E241" s="373">
        <v>0</v>
      </c>
      <c r="F241" s="373">
        <v>0</v>
      </c>
      <c r="G241" s="373">
        <v>0</v>
      </c>
      <c r="H241" s="373" t="e">
        <f ca="1">Bolts!$B241*1</f>
        <v>#NAME?</v>
      </c>
      <c r="I241" s="373">
        <v>0</v>
      </c>
      <c r="J241" s="373">
        <v>0</v>
      </c>
      <c r="K241" s="373">
        <v>0</v>
      </c>
      <c r="L241" s="374">
        <v>0</v>
      </c>
      <c r="M241" s="373" t="e">
        <f ca="1">Bolts!$B241*2</f>
        <v>#NAME?</v>
      </c>
      <c r="N241" s="373">
        <v>0</v>
      </c>
      <c r="O241" s="373">
        <v>0</v>
      </c>
      <c r="P241" s="373">
        <v>0</v>
      </c>
      <c r="Q241" s="373" t="e">
        <f ca="1">Bolts!$B241*28</f>
        <v>#NAME?</v>
      </c>
      <c r="R241" s="373">
        <v>0</v>
      </c>
      <c r="S241" s="375">
        <v>0</v>
      </c>
      <c r="T241" s="375">
        <v>0</v>
      </c>
      <c r="U241" s="375">
        <v>0</v>
      </c>
      <c r="V241" s="375" t="e">
        <f t="shared" ca="1" si="0"/>
        <v>#NAME?</v>
      </c>
    </row>
    <row r="242" spans="1:22" ht="14.25" hidden="1" customHeight="1">
      <c r="A242" s="377" t="s">
        <v>213</v>
      </c>
      <c r="B242" s="370" t="e">
        <f ca="1">_xludf.IFNA(VLOOKUP(Bolts!$A242,'Kilter Holds'!$P$37:$S$662,4,0),0)</f>
        <v>#NAME?</v>
      </c>
      <c r="C242" s="371">
        <v>1</v>
      </c>
      <c r="D242" s="373">
        <v>0</v>
      </c>
      <c r="E242" s="373">
        <v>0</v>
      </c>
      <c r="F242" s="373">
        <v>0</v>
      </c>
      <c r="G242" s="373">
        <v>0</v>
      </c>
      <c r="H242" s="373">
        <v>0</v>
      </c>
      <c r="I242" s="373">
        <v>0</v>
      </c>
      <c r="J242" s="373">
        <v>0</v>
      </c>
      <c r="K242" s="373">
        <v>0</v>
      </c>
      <c r="L242" s="374">
        <v>0</v>
      </c>
      <c r="M242" s="373">
        <v>0</v>
      </c>
      <c r="N242" s="373">
        <v>0</v>
      </c>
      <c r="O242" s="373">
        <v>0</v>
      </c>
      <c r="P242" s="373" t="e">
        <f ca="1">Bolts!$B242*1</f>
        <v>#NAME?</v>
      </c>
      <c r="Q242" s="373" t="e">
        <f ca="1">Bolts!$B242*8</f>
        <v>#NAME?</v>
      </c>
      <c r="R242" s="373">
        <v>0</v>
      </c>
      <c r="S242" s="375">
        <v>0</v>
      </c>
      <c r="T242" s="375">
        <v>0</v>
      </c>
      <c r="U242" s="375">
        <v>0</v>
      </c>
      <c r="V242" s="375" t="e">
        <f t="shared" ca="1" si="0"/>
        <v>#NAME?</v>
      </c>
    </row>
    <row r="243" spans="1:22" ht="14.25" hidden="1" customHeight="1">
      <c r="A243" s="377" t="s">
        <v>317</v>
      </c>
      <c r="B243" s="370" t="e">
        <f ca="1">_xludf.IFNA(VLOOKUP(Bolts!$A243,'Kilter Holds'!$P$37:$S$662,4,0),0)</f>
        <v>#NAME?</v>
      </c>
      <c r="C243" s="371">
        <v>10</v>
      </c>
      <c r="D243" s="373" t="e">
        <f ca="1">Bolts!$B243*10</f>
        <v>#NAME?</v>
      </c>
      <c r="E243" s="373">
        <v>0</v>
      </c>
      <c r="F243" s="373">
        <v>0</v>
      </c>
      <c r="G243" s="373">
        <v>0</v>
      </c>
      <c r="H243" s="373">
        <v>0</v>
      </c>
      <c r="I243" s="373">
        <v>0</v>
      </c>
      <c r="J243" s="373">
        <v>0</v>
      </c>
      <c r="K243" s="373">
        <v>0</v>
      </c>
      <c r="L243" s="374">
        <v>0</v>
      </c>
      <c r="M243" s="373">
        <v>0</v>
      </c>
      <c r="N243" s="373">
        <v>0</v>
      </c>
      <c r="O243" s="373">
        <v>0</v>
      </c>
      <c r="P243" s="373">
        <v>0</v>
      </c>
      <c r="Q243" s="373" t="e">
        <f ca="1">Bolts!$B243*22</f>
        <v>#NAME?</v>
      </c>
      <c r="R243" s="373">
        <v>0</v>
      </c>
      <c r="S243" s="375">
        <v>0</v>
      </c>
      <c r="T243" s="375">
        <v>0</v>
      </c>
      <c r="U243" s="375">
        <v>0</v>
      </c>
      <c r="V243" s="375" t="e">
        <f t="shared" ca="1" si="0"/>
        <v>#NAME?</v>
      </c>
    </row>
    <row r="244" spans="1:22" ht="14.25" hidden="1" customHeight="1">
      <c r="A244" s="377" t="s">
        <v>373</v>
      </c>
      <c r="B244" s="370" t="e">
        <f ca="1">_xludf.IFNA(VLOOKUP(Bolts!$A244,'Kilter Holds'!$P$37:$S$662,4,0),0)</f>
        <v>#NAME?</v>
      </c>
      <c r="C244" s="371">
        <v>10</v>
      </c>
      <c r="D244" s="373">
        <v>0</v>
      </c>
      <c r="E244" s="373">
        <v>0</v>
      </c>
      <c r="F244" s="373">
        <v>0</v>
      </c>
      <c r="G244" s="373">
        <v>0</v>
      </c>
      <c r="H244" s="373">
        <v>0</v>
      </c>
      <c r="I244" s="373">
        <v>0</v>
      </c>
      <c r="J244" s="373">
        <v>0</v>
      </c>
      <c r="K244" s="373">
        <v>0</v>
      </c>
      <c r="L244" s="374">
        <v>0</v>
      </c>
      <c r="M244" s="373">
        <v>0</v>
      </c>
      <c r="N244" s="373">
        <v>0</v>
      </c>
      <c r="O244" s="373">
        <v>0</v>
      </c>
      <c r="P244" s="373">
        <v>0</v>
      </c>
      <c r="Q244" s="373" t="e">
        <f ca="1">Bolts!$B244*28</f>
        <v>#NAME?</v>
      </c>
      <c r="R244" s="373">
        <v>0</v>
      </c>
      <c r="S244" s="375">
        <v>0</v>
      </c>
      <c r="T244" s="375">
        <v>0</v>
      </c>
      <c r="U244" s="375">
        <v>0</v>
      </c>
      <c r="V244" s="375" t="e">
        <f t="shared" ca="1" si="0"/>
        <v>#NAME?</v>
      </c>
    </row>
    <row r="245" spans="1:22" ht="14.25" hidden="1" customHeight="1">
      <c r="A245" s="377" t="s">
        <v>319</v>
      </c>
      <c r="B245" s="370" t="e">
        <f ca="1">_xludf.IFNA(VLOOKUP(Bolts!$A245,'Kilter Holds'!$P$37:$S$662,4,0),0)</f>
        <v>#NAME?</v>
      </c>
      <c r="C245" s="371">
        <v>10</v>
      </c>
      <c r="D245" s="373" t="e">
        <f ca="1">Bolts!$B245*10</f>
        <v>#NAME?</v>
      </c>
      <c r="E245" s="373">
        <v>0</v>
      </c>
      <c r="F245" s="373">
        <v>0</v>
      </c>
      <c r="G245" s="373">
        <v>0</v>
      </c>
      <c r="H245" s="373">
        <v>0</v>
      </c>
      <c r="I245" s="373">
        <v>0</v>
      </c>
      <c r="J245" s="373">
        <v>0</v>
      </c>
      <c r="K245" s="373">
        <v>0</v>
      </c>
      <c r="L245" s="374">
        <v>0</v>
      </c>
      <c r="M245" s="373">
        <v>0</v>
      </c>
      <c r="N245" s="373">
        <v>0</v>
      </c>
      <c r="O245" s="373">
        <v>0</v>
      </c>
      <c r="P245" s="373">
        <v>0</v>
      </c>
      <c r="Q245" s="373" t="e">
        <f ca="1">Bolts!$B245*25</f>
        <v>#NAME?</v>
      </c>
      <c r="R245" s="373">
        <v>0</v>
      </c>
      <c r="S245" s="375">
        <v>0</v>
      </c>
      <c r="T245" s="375">
        <v>0</v>
      </c>
      <c r="U245" s="375">
        <v>0</v>
      </c>
      <c r="V245" s="375" t="e">
        <f t="shared" ca="1" si="0"/>
        <v>#NAME?</v>
      </c>
    </row>
    <row r="246" spans="1:22" ht="14.25" hidden="1" customHeight="1">
      <c r="A246" s="377" t="s">
        <v>247</v>
      </c>
      <c r="B246" s="370" t="e">
        <f ca="1">_xludf.IFNA(VLOOKUP(Bolts!$A246,'Kilter Holds'!$P$37:$S$662,4,0),0)</f>
        <v>#NAME?</v>
      </c>
      <c r="C246" s="371">
        <v>3</v>
      </c>
      <c r="D246" s="373">
        <v>0</v>
      </c>
      <c r="E246" s="373">
        <v>0</v>
      </c>
      <c r="F246" s="373">
        <v>0</v>
      </c>
      <c r="G246" s="373">
        <v>0</v>
      </c>
      <c r="H246" s="373">
        <v>0</v>
      </c>
      <c r="I246" s="373">
        <v>0</v>
      </c>
      <c r="J246" s="373">
        <v>0</v>
      </c>
      <c r="K246" s="373">
        <v>0</v>
      </c>
      <c r="L246" s="374">
        <v>0</v>
      </c>
      <c r="M246" s="373">
        <v>0</v>
      </c>
      <c r="N246" s="373">
        <v>0</v>
      </c>
      <c r="O246" s="373">
        <v>0</v>
      </c>
      <c r="P246" s="373">
        <v>0</v>
      </c>
      <c r="Q246" s="373" t="e">
        <f ca="1">17*Bolts!$B246</f>
        <v>#NAME?</v>
      </c>
      <c r="R246" s="373">
        <v>0</v>
      </c>
      <c r="S246" s="375">
        <v>0</v>
      </c>
      <c r="T246" s="375">
        <v>0</v>
      </c>
      <c r="U246" s="375">
        <v>0</v>
      </c>
      <c r="V246" s="375" t="e">
        <f t="shared" ca="1" si="0"/>
        <v>#NAME?</v>
      </c>
    </row>
    <row r="247" spans="1:22" ht="14.25" hidden="1" customHeight="1">
      <c r="A247" s="377" t="s">
        <v>215</v>
      </c>
      <c r="B247" s="370" t="e">
        <f ca="1">_xludf.IFNA(VLOOKUP(Bolts!$A247,'Kilter Holds'!$P$37:$S$662,4,0),0)</f>
        <v>#NAME?</v>
      </c>
      <c r="C247" s="371">
        <v>3</v>
      </c>
      <c r="D247" s="373">
        <v>0</v>
      </c>
      <c r="E247" s="373">
        <v>0</v>
      </c>
      <c r="F247" s="373">
        <v>0</v>
      </c>
      <c r="G247" s="373">
        <v>0</v>
      </c>
      <c r="H247" s="373">
        <v>0</v>
      </c>
      <c r="I247" s="373">
        <v>0</v>
      </c>
      <c r="J247" s="373">
        <v>0</v>
      </c>
      <c r="K247" s="373">
        <v>0</v>
      </c>
      <c r="L247" s="374">
        <v>0</v>
      </c>
      <c r="M247" s="373" t="e">
        <f ca="1">2*Bolts!$B247</f>
        <v>#NAME?</v>
      </c>
      <c r="N247" s="373">
        <v>0</v>
      </c>
      <c r="O247" s="373">
        <v>0</v>
      </c>
      <c r="P247" s="373" t="e">
        <f ca="1">1*Bolts!$B247</f>
        <v>#NAME?</v>
      </c>
      <c r="Q247" s="373" t="e">
        <f ca="1">21*Bolts!$B247</f>
        <v>#NAME?</v>
      </c>
      <c r="R247" s="373" t="e">
        <f ca="1">1*Bolts!$B247</f>
        <v>#NAME?</v>
      </c>
      <c r="S247" s="375">
        <v>0</v>
      </c>
      <c r="T247" s="375">
        <v>0</v>
      </c>
      <c r="U247" s="375">
        <v>0</v>
      </c>
      <c r="V247" s="375" t="e">
        <f t="shared" ca="1" si="0"/>
        <v>#NAME?</v>
      </c>
    </row>
    <row r="248" spans="1:22" ht="14.25" hidden="1" customHeight="1">
      <c r="A248" s="377" t="s">
        <v>343</v>
      </c>
      <c r="B248" s="370" t="e">
        <f ca="1">_xludf.IFNA(VLOOKUP(Bolts!$A248,'Kilter Holds'!$P$37:$S$662,4,0),0)</f>
        <v>#NAME?</v>
      </c>
      <c r="C248" s="371">
        <v>10</v>
      </c>
      <c r="D248" s="373" t="e">
        <f ca="1">Bolts!$B248*10</f>
        <v>#NAME?</v>
      </c>
      <c r="E248" s="373">
        <v>0</v>
      </c>
      <c r="F248" s="373">
        <v>0</v>
      </c>
      <c r="G248" s="373">
        <v>0</v>
      </c>
      <c r="H248" s="373">
        <v>0</v>
      </c>
      <c r="I248" s="373">
        <v>0</v>
      </c>
      <c r="J248" s="373">
        <v>0</v>
      </c>
      <c r="K248" s="373">
        <v>0</v>
      </c>
      <c r="L248" s="374">
        <v>0</v>
      </c>
      <c r="M248" s="373">
        <v>0</v>
      </c>
      <c r="N248" s="373">
        <v>0</v>
      </c>
      <c r="O248" s="373">
        <v>0</v>
      </c>
      <c r="P248" s="373">
        <v>0</v>
      </c>
      <c r="Q248" s="373" t="e">
        <f ca="1">Bolts!$B248*10</f>
        <v>#NAME?</v>
      </c>
      <c r="R248" s="373">
        <v>0</v>
      </c>
      <c r="S248" s="375">
        <v>0</v>
      </c>
      <c r="T248" s="375">
        <v>0</v>
      </c>
      <c r="U248" s="375">
        <v>0</v>
      </c>
      <c r="V248" s="375" t="e">
        <f t="shared" ca="1" si="0"/>
        <v>#NAME?</v>
      </c>
    </row>
    <row r="249" spans="1:22" ht="14.25" hidden="1" customHeight="1">
      <c r="A249" s="377" t="s">
        <v>345</v>
      </c>
      <c r="B249" s="370" t="e">
        <f ca="1">_xludf.IFNA(VLOOKUP(Bolts!$A249,'Kilter Holds'!$P$37:$S$662,4,0),0)</f>
        <v>#NAME?</v>
      </c>
      <c r="C249" s="371">
        <v>10</v>
      </c>
      <c r="D249" s="373" t="e">
        <f ca="1">10*Bolts!$B249</f>
        <v>#NAME?</v>
      </c>
      <c r="E249" s="373">
        <v>0</v>
      </c>
      <c r="F249" s="373">
        <v>0</v>
      </c>
      <c r="G249" s="373">
        <v>0</v>
      </c>
      <c r="H249" s="373">
        <v>0</v>
      </c>
      <c r="I249" s="373">
        <v>0</v>
      </c>
      <c r="J249" s="373">
        <v>0</v>
      </c>
      <c r="K249" s="373">
        <v>0</v>
      </c>
      <c r="L249" s="374">
        <v>0</v>
      </c>
      <c r="M249" s="373">
        <v>0</v>
      </c>
      <c r="N249" s="373">
        <v>0</v>
      </c>
      <c r="O249" s="373">
        <v>0</v>
      </c>
      <c r="P249" s="373">
        <v>0</v>
      </c>
      <c r="Q249" s="373" t="e">
        <f ca="1">20*Bolts!$B249</f>
        <v>#NAME?</v>
      </c>
      <c r="R249" s="373">
        <v>0</v>
      </c>
      <c r="S249" s="375">
        <v>0</v>
      </c>
      <c r="T249" s="375">
        <v>0</v>
      </c>
      <c r="U249" s="375">
        <v>0</v>
      </c>
      <c r="V249" s="375" t="e">
        <f t="shared" ca="1" si="0"/>
        <v>#NAME?</v>
      </c>
    </row>
    <row r="250" spans="1:22" ht="14.25" hidden="1" customHeight="1">
      <c r="A250" s="377" t="s">
        <v>497</v>
      </c>
      <c r="B250" s="370" t="e">
        <f ca="1">_xludf.IFNA(VLOOKUP(Bolts!$A250,'Kilter Holds'!$P$37:$S$662,4,0),0)</f>
        <v>#NAME?</v>
      </c>
      <c r="C250" s="371">
        <v>4</v>
      </c>
      <c r="D250" s="373">
        <v>0</v>
      </c>
      <c r="E250" s="373">
        <v>0</v>
      </c>
      <c r="F250" s="373">
        <v>0</v>
      </c>
      <c r="G250" s="373" t="e">
        <f ca="1">3*Bolts!$B250</f>
        <v>#NAME?</v>
      </c>
      <c r="H250" s="373" t="e">
        <f ca="1">1*Bolts!$B250</f>
        <v>#NAME?</v>
      </c>
      <c r="I250" s="373">
        <v>0</v>
      </c>
      <c r="J250" s="373">
        <v>0</v>
      </c>
      <c r="K250" s="373">
        <v>0</v>
      </c>
      <c r="L250" s="374">
        <v>0</v>
      </c>
      <c r="M250" s="373">
        <v>0</v>
      </c>
      <c r="N250" s="373">
        <v>0</v>
      </c>
      <c r="O250" s="373">
        <v>0</v>
      </c>
      <c r="P250" s="373">
        <v>0</v>
      </c>
      <c r="Q250" s="373" t="e">
        <f ca="1">24*Bolts!$B250</f>
        <v>#NAME?</v>
      </c>
      <c r="R250" s="373">
        <v>0</v>
      </c>
      <c r="S250" s="375">
        <v>0</v>
      </c>
      <c r="T250" s="375">
        <v>0</v>
      </c>
      <c r="U250" s="375">
        <v>0</v>
      </c>
      <c r="V250" s="375" t="e">
        <f t="shared" ca="1" si="0"/>
        <v>#NAME?</v>
      </c>
    </row>
    <row r="251" spans="1:22" ht="14.25" hidden="1" customHeight="1">
      <c r="A251" s="377" t="s">
        <v>225</v>
      </c>
      <c r="B251" s="370" t="e">
        <f ca="1">_xludf.IFNA(VLOOKUP(Bolts!$A251,'Kilter Holds'!$P$37:$S$662,4,0),0)</f>
        <v>#NAME?</v>
      </c>
      <c r="C251" s="371">
        <v>3</v>
      </c>
      <c r="D251" s="373">
        <v>0</v>
      </c>
      <c r="E251" s="373">
        <v>0</v>
      </c>
      <c r="F251" s="373">
        <v>0</v>
      </c>
      <c r="G251" s="373" t="e">
        <f ca="1">1*Bolts!$B251</f>
        <v>#NAME?</v>
      </c>
      <c r="H251" s="373" t="e">
        <f ca="1">1*Bolts!$B251</f>
        <v>#NAME?</v>
      </c>
      <c r="I251" s="373" t="e">
        <f ca="1">1*Bolts!$B251</f>
        <v>#NAME?</v>
      </c>
      <c r="J251" s="373">
        <v>0</v>
      </c>
      <c r="K251" s="373">
        <v>0</v>
      </c>
      <c r="L251" s="374">
        <v>0</v>
      </c>
      <c r="M251" s="373">
        <v>0</v>
      </c>
      <c r="N251" s="373">
        <v>0</v>
      </c>
      <c r="O251" s="373">
        <v>0</v>
      </c>
      <c r="P251" s="373">
        <v>0</v>
      </c>
      <c r="Q251" s="373" t="e">
        <f ca="1">18*Bolts!$B251</f>
        <v>#NAME?</v>
      </c>
      <c r="R251" s="373">
        <v>0</v>
      </c>
      <c r="S251" s="375">
        <v>0</v>
      </c>
      <c r="T251" s="375">
        <v>0</v>
      </c>
      <c r="U251" s="375">
        <v>0</v>
      </c>
      <c r="V251" s="375" t="e">
        <f t="shared" ca="1" si="0"/>
        <v>#NAME?</v>
      </c>
    </row>
    <row r="252" spans="1:22" ht="14.25" hidden="1" customHeight="1">
      <c r="A252" s="377" t="s">
        <v>227</v>
      </c>
      <c r="B252" s="370" t="e">
        <f ca="1">_xludf.IFNA(VLOOKUP(Bolts!$A252,'Kilter Holds'!$P$37:$S$662,4,0),0)</f>
        <v>#NAME?</v>
      </c>
      <c r="C252" s="371">
        <v>3</v>
      </c>
      <c r="D252" s="373">
        <v>0</v>
      </c>
      <c r="E252" s="373">
        <v>0</v>
      </c>
      <c r="F252" s="373">
        <v>0</v>
      </c>
      <c r="G252" s="373" t="e">
        <f ca="1">1*Bolts!$B252</f>
        <v>#NAME?</v>
      </c>
      <c r="H252" s="373" t="e">
        <f ca="1">1*Bolts!$B252</f>
        <v>#NAME?</v>
      </c>
      <c r="I252" s="373" t="e">
        <f ca="1">1*Bolts!$B252</f>
        <v>#NAME?</v>
      </c>
      <c r="J252" s="373">
        <v>0</v>
      </c>
      <c r="K252" s="373">
        <v>0</v>
      </c>
      <c r="L252" s="374">
        <v>0</v>
      </c>
      <c r="M252" s="373">
        <v>0</v>
      </c>
      <c r="N252" s="373">
        <v>0</v>
      </c>
      <c r="O252" s="373">
        <v>0</v>
      </c>
      <c r="P252" s="373">
        <v>0</v>
      </c>
      <c r="Q252" s="373" t="e">
        <f ca="1">18*Bolts!$B252</f>
        <v>#NAME?</v>
      </c>
      <c r="R252" s="373">
        <v>0</v>
      </c>
      <c r="S252" s="375">
        <v>0</v>
      </c>
      <c r="T252" s="375">
        <v>0</v>
      </c>
      <c r="U252" s="375">
        <v>0</v>
      </c>
      <c r="V252" s="375" t="e">
        <f t="shared" ca="1" si="0"/>
        <v>#NAME?</v>
      </c>
    </row>
    <row r="253" spans="1:22" ht="14.25" hidden="1" customHeight="1">
      <c r="A253" s="377" t="s">
        <v>161</v>
      </c>
      <c r="B253" s="370" t="e">
        <f ca="1">_xludf.IFNA(VLOOKUP(Bolts!$A253,'Kilter Holds'!$P$37:$S$662,4,0),0)</f>
        <v>#NAME?</v>
      </c>
      <c r="C253" s="371">
        <v>5</v>
      </c>
      <c r="D253" s="373">
        <v>0</v>
      </c>
      <c r="E253" s="373" t="e">
        <f ca="1">1*Bolts!$B253</f>
        <v>#NAME?</v>
      </c>
      <c r="F253" s="373" t="e">
        <f ca="1">4*Bolts!$B253</f>
        <v>#NAME?</v>
      </c>
      <c r="G253" s="373">
        <v>0</v>
      </c>
      <c r="H253" s="373">
        <v>0</v>
      </c>
      <c r="I253" s="373">
        <v>0</v>
      </c>
      <c r="J253" s="373">
        <v>0</v>
      </c>
      <c r="K253" s="373">
        <v>0</v>
      </c>
      <c r="L253" s="374">
        <v>0</v>
      </c>
      <c r="M253" s="373">
        <v>0</v>
      </c>
      <c r="N253" s="373">
        <v>0</v>
      </c>
      <c r="O253" s="373">
        <v>0</v>
      </c>
      <c r="P253" s="373">
        <v>0</v>
      </c>
      <c r="Q253" s="373">
        <v>0</v>
      </c>
      <c r="R253" s="373" t="e">
        <f ca="1">30*Bolts!$B253</f>
        <v>#NAME?</v>
      </c>
      <c r="S253" s="375">
        <v>0</v>
      </c>
      <c r="T253" s="375">
        <v>0</v>
      </c>
      <c r="U253" s="375">
        <v>0</v>
      </c>
      <c r="V253" s="375" t="e">
        <f t="shared" ca="1" si="0"/>
        <v>#NAME?</v>
      </c>
    </row>
    <row r="254" spans="1:22" ht="14.25" hidden="1" customHeight="1">
      <c r="A254" s="377" t="s">
        <v>229</v>
      </c>
      <c r="B254" s="370" t="e">
        <f ca="1">_xludf.IFNA(VLOOKUP(Bolts!$A254,'Kilter Holds'!$P$37:$S$662,4,0),0)</f>
        <v>#NAME?</v>
      </c>
      <c r="C254" s="371">
        <v>4</v>
      </c>
      <c r="D254" s="373">
        <v>0</v>
      </c>
      <c r="E254" s="373">
        <v>0</v>
      </c>
      <c r="F254" s="373">
        <v>0</v>
      </c>
      <c r="G254" s="373">
        <v>0</v>
      </c>
      <c r="H254" s="373" t="e">
        <f ca="1">3*Bolts!$B254</f>
        <v>#NAME?</v>
      </c>
      <c r="I254" s="373" t="e">
        <f ca="1">1*Bolts!$B254</f>
        <v>#NAME?</v>
      </c>
      <c r="J254" s="373">
        <v>0</v>
      </c>
      <c r="K254" s="373">
        <v>0</v>
      </c>
      <c r="L254" s="374">
        <v>0</v>
      </c>
      <c r="M254" s="373">
        <v>0</v>
      </c>
      <c r="N254" s="373">
        <v>0</v>
      </c>
      <c r="O254" s="373">
        <v>0</v>
      </c>
      <c r="P254" s="373">
        <v>0</v>
      </c>
      <c r="Q254" s="373" t="e">
        <f ca="1">23*Bolts!$B254</f>
        <v>#NAME?</v>
      </c>
      <c r="R254" s="373" t="e">
        <f ca="1">6*Bolts!$B254</f>
        <v>#NAME?</v>
      </c>
      <c r="S254" s="375">
        <v>0</v>
      </c>
      <c r="T254" s="375">
        <v>0</v>
      </c>
      <c r="U254" s="375">
        <v>0</v>
      </c>
      <c r="V254" s="375" t="e">
        <f t="shared" ca="1" si="0"/>
        <v>#NAME?</v>
      </c>
    </row>
    <row r="255" spans="1:22" ht="14.25" hidden="1" customHeight="1">
      <c r="A255" s="377" t="s">
        <v>163</v>
      </c>
      <c r="B255" s="370" t="e">
        <f ca="1">_xludf.IFNA(VLOOKUP(Bolts!$A255,'Kilter Holds'!$P$37:$S$662,4,0),0)</f>
        <v>#NAME?</v>
      </c>
      <c r="C255" s="379">
        <v>5</v>
      </c>
      <c r="D255" s="373">
        <v>0</v>
      </c>
      <c r="E255" s="373" t="e">
        <f ca="1">3*Bolts!$B255</f>
        <v>#NAME?</v>
      </c>
      <c r="F255" s="373" t="e">
        <f ca="1">2*Bolts!$B255</f>
        <v>#NAME?</v>
      </c>
      <c r="G255" s="373">
        <v>0</v>
      </c>
      <c r="H255" s="373">
        <v>0</v>
      </c>
      <c r="I255" s="373">
        <v>0</v>
      </c>
      <c r="J255" s="373">
        <v>0</v>
      </c>
      <c r="K255" s="373">
        <v>0</v>
      </c>
      <c r="L255" s="374">
        <v>0</v>
      </c>
      <c r="M255" s="373">
        <v>0</v>
      </c>
      <c r="N255" s="373">
        <v>0</v>
      </c>
      <c r="O255" s="373">
        <v>0</v>
      </c>
      <c r="P255" s="373">
        <v>0</v>
      </c>
      <c r="Q255" s="373" t="e">
        <f ca="1">30*Bolts!$B255</f>
        <v>#NAME?</v>
      </c>
      <c r="R255" s="373">
        <v>0</v>
      </c>
      <c r="S255" s="380">
        <v>0</v>
      </c>
      <c r="T255" s="380">
        <v>0</v>
      </c>
      <c r="U255" s="380">
        <v>0</v>
      </c>
      <c r="V255" s="375" t="e">
        <f t="shared" ca="1" si="0"/>
        <v>#NAME?</v>
      </c>
    </row>
    <row r="256" spans="1:22" ht="14.25" hidden="1" customHeight="1">
      <c r="A256" s="377" t="s">
        <v>183</v>
      </c>
      <c r="B256" s="370" t="e">
        <f ca="1">_xludf.IFNA(VLOOKUP(Bolts!$A256,'Kilter Holds'!$P$37:$S$662,4,0),0)</f>
        <v>#NAME?</v>
      </c>
      <c r="C256" s="379">
        <v>4</v>
      </c>
      <c r="D256" s="373">
        <v>0</v>
      </c>
      <c r="E256" s="373">
        <v>0</v>
      </c>
      <c r="F256" s="373">
        <v>0</v>
      </c>
      <c r="G256" s="373">
        <v>0</v>
      </c>
      <c r="H256" s="373">
        <v>0</v>
      </c>
      <c r="I256" s="373">
        <v>0</v>
      </c>
      <c r="J256" s="373">
        <v>0</v>
      </c>
      <c r="K256" s="373">
        <v>0</v>
      </c>
      <c r="L256" s="373">
        <v>0</v>
      </c>
      <c r="M256" s="373">
        <v>0</v>
      </c>
      <c r="N256" s="373">
        <v>0</v>
      </c>
      <c r="O256" s="373">
        <v>0</v>
      </c>
      <c r="P256" s="373">
        <v>0</v>
      </c>
      <c r="Q256" s="373" t="e">
        <f ca="1">17*Bolts!$B256</f>
        <v>#NAME?</v>
      </c>
      <c r="R256" s="373">
        <v>0</v>
      </c>
      <c r="S256" s="380">
        <v>0</v>
      </c>
      <c r="T256" s="380">
        <v>0</v>
      </c>
      <c r="U256" s="380">
        <v>0</v>
      </c>
      <c r="V256" s="375" t="e">
        <f t="shared" ca="1" si="0"/>
        <v>#NAME?</v>
      </c>
    </row>
    <row r="257" spans="1:22" ht="14.25" hidden="1" customHeight="1">
      <c r="A257" s="377" t="s">
        <v>159</v>
      </c>
      <c r="B257" s="370" t="e">
        <f ca="1">_xludf.IFNA(VLOOKUP(Bolts!$A257,'Kilter Holds'!$P$37:$S$662,4,0),0)</f>
        <v>#NAME?</v>
      </c>
      <c r="C257" s="379">
        <v>4</v>
      </c>
      <c r="D257" s="373">
        <v>0</v>
      </c>
      <c r="E257" s="373">
        <v>0</v>
      </c>
      <c r="F257" s="373" t="e">
        <f ca="1">2*Bolts!$B257</f>
        <v>#NAME?</v>
      </c>
      <c r="G257" s="373" t="e">
        <f ca="1">2*Bolts!$B257</f>
        <v>#NAME?</v>
      </c>
      <c r="H257" s="373">
        <v>0</v>
      </c>
      <c r="I257" s="373">
        <v>0</v>
      </c>
      <c r="J257" s="373">
        <v>0</v>
      </c>
      <c r="K257" s="373">
        <v>0</v>
      </c>
      <c r="L257" s="373">
        <v>0</v>
      </c>
      <c r="M257" s="373">
        <v>0</v>
      </c>
      <c r="N257" s="373">
        <v>0</v>
      </c>
      <c r="O257" s="373">
        <v>0</v>
      </c>
      <c r="P257" s="373">
        <v>0</v>
      </c>
      <c r="Q257" s="373" t="e">
        <f ca="1">29*Bolts!$B257</f>
        <v>#NAME?</v>
      </c>
      <c r="R257" s="373">
        <v>0</v>
      </c>
      <c r="S257" s="373">
        <v>0</v>
      </c>
      <c r="T257" s="373">
        <v>0</v>
      </c>
      <c r="U257" s="373">
        <v>0</v>
      </c>
      <c r="V257" s="375" t="e">
        <f t="shared" ca="1" si="0"/>
        <v>#NAME?</v>
      </c>
    </row>
    <row r="258" spans="1:22" ht="14.25" hidden="1" customHeight="1">
      <c r="A258" s="377" t="s">
        <v>185</v>
      </c>
      <c r="B258" s="370" t="e">
        <f ca="1">_xludf.IFNA(VLOOKUP(Bolts!$A258,'Kilter Holds'!$P$37:$S$662,4,0),0)</f>
        <v>#NAME?</v>
      </c>
      <c r="C258" s="379">
        <v>5</v>
      </c>
      <c r="D258" s="373">
        <v>0</v>
      </c>
      <c r="E258" s="373">
        <v>0</v>
      </c>
      <c r="F258" s="373">
        <v>0</v>
      </c>
      <c r="G258" s="373">
        <v>0</v>
      </c>
      <c r="H258" s="373">
        <v>0</v>
      </c>
      <c r="I258" s="373">
        <v>0</v>
      </c>
      <c r="J258" s="373">
        <v>0</v>
      </c>
      <c r="K258" s="373">
        <v>0</v>
      </c>
      <c r="L258" s="373">
        <v>0</v>
      </c>
      <c r="M258" s="373">
        <v>0</v>
      </c>
      <c r="N258" s="373">
        <v>0</v>
      </c>
      <c r="O258" s="373">
        <v>0</v>
      </c>
      <c r="P258" s="373">
        <v>0</v>
      </c>
      <c r="Q258" s="373" t="e">
        <f ca="1">20*Bolts!$B258</f>
        <v>#NAME?</v>
      </c>
      <c r="R258" s="373">
        <v>0</v>
      </c>
      <c r="S258" s="373">
        <v>0</v>
      </c>
      <c r="T258" s="373">
        <v>0</v>
      </c>
      <c r="U258" s="373">
        <v>0</v>
      </c>
      <c r="V258" s="375" t="e">
        <f t="shared" ca="1" si="0"/>
        <v>#NAME?</v>
      </c>
    </row>
    <row r="259" spans="1:22" ht="14.25" hidden="1" customHeight="1">
      <c r="A259" s="377" t="s">
        <v>187</v>
      </c>
      <c r="B259" s="370" t="e">
        <f ca="1">_xludf.IFNA(VLOOKUP(Bolts!$A259,'Kilter Holds'!$P$37:$S$662,4,0),0)</f>
        <v>#NAME?</v>
      </c>
      <c r="C259" s="379">
        <v>5</v>
      </c>
      <c r="D259" s="373">
        <v>0</v>
      </c>
      <c r="E259" s="373">
        <v>0</v>
      </c>
      <c r="F259" s="373">
        <v>0</v>
      </c>
      <c r="G259" s="373">
        <v>0</v>
      </c>
      <c r="H259" s="373">
        <v>0</v>
      </c>
      <c r="I259" s="373">
        <v>0</v>
      </c>
      <c r="J259" s="373">
        <v>0</v>
      </c>
      <c r="K259" s="373">
        <v>0</v>
      </c>
      <c r="L259" s="373">
        <v>0</v>
      </c>
      <c r="M259" s="373">
        <v>0</v>
      </c>
      <c r="N259" s="373">
        <v>0</v>
      </c>
      <c r="O259" s="373">
        <v>0</v>
      </c>
      <c r="P259" s="373">
        <v>0</v>
      </c>
      <c r="Q259" s="373" t="e">
        <f ca="1">17*Bolts!$B259</f>
        <v>#NAME?</v>
      </c>
      <c r="R259" s="373">
        <v>0</v>
      </c>
      <c r="S259" s="373">
        <v>0</v>
      </c>
      <c r="T259" s="373">
        <v>0</v>
      </c>
      <c r="U259" s="373">
        <v>0</v>
      </c>
      <c r="V259" s="375" t="e">
        <f t="shared" ref="V259:V513" ca="1" si="53">IF(B259&gt;0,"Added"," ")</f>
        <v>#NAME?</v>
      </c>
    </row>
    <row r="260" spans="1:22" ht="14.25" hidden="1" customHeight="1">
      <c r="A260" s="377" t="s">
        <v>655</v>
      </c>
      <c r="B260" s="370" t="e">
        <f ca="1">_xludf.IFNA(VLOOKUP(Bolts!$A260,'Kilter Holds'!$P$37:$S$662,4,0),0)</f>
        <v>#NAME?</v>
      </c>
      <c r="C260" s="379">
        <v>5</v>
      </c>
      <c r="D260" s="373">
        <v>0</v>
      </c>
      <c r="E260" s="373" t="e">
        <f ca="1">1*Bolts!$B260</f>
        <v>#NAME?</v>
      </c>
      <c r="F260" s="373" t="e">
        <f ca="1">1*Bolts!$B260</f>
        <v>#NAME?</v>
      </c>
      <c r="G260" s="373" t="e">
        <f ca="1">2*Bolts!$B260</f>
        <v>#NAME?</v>
      </c>
      <c r="H260" s="373">
        <v>0</v>
      </c>
      <c r="I260" s="373" t="e">
        <f ca="1">1*Bolts!$B260</f>
        <v>#NAME?</v>
      </c>
      <c r="J260" s="373">
        <v>0</v>
      </c>
      <c r="K260" s="373">
        <v>0</v>
      </c>
      <c r="L260" s="373">
        <v>0</v>
      </c>
      <c r="M260" s="373">
        <v>0</v>
      </c>
      <c r="N260" s="373">
        <v>0</v>
      </c>
      <c r="O260" s="373">
        <v>0</v>
      </c>
      <c r="P260" s="373">
        <v>0</v>
      </c>
      <c r="Q260" s="373">
        <v>0</v>
      </c>
      <c r="R260" s="373">
        <v>0</v>
      </c>
      <c r="S260" s="373">
        <v>0</v>
      </c>
      <c r="T260" s="373">
        <v>0</v>
      </c>
      <c r="U260" s="373">
        <v>0</v>
      </c>
      <c r="V260" s="375" t="e">
        <f t="shared" ca="1" si="53"/>
        <v>#NAME?</v>
      </c>
    </row>
    <row r="261" spans="1:22" ht="14.25" hidden="1" customHeight="1">
      <c r="A261" s="377" t="s">
        <v>169</v>
      </c>
      <c r="B261" s="370" t="e">
        <f ca="1">_xludf.IFNA(VLOOKUP(Bolts!$A261,'Kilter Holds'!$P$37:$S$662,4,0),0)</f>
        <v>#NAME?</v>
      </c>
      <c r="C261" s="379">
        <v>10</v>
      </c>
      <c r="D261" s="373" t="e">
        <f ca="1">10*Bolts!$B261</f>
        <v>#NAME?</v>
      </c>
      <c r="E261" s="373">
        <v>0</v>
      </c>
      <c r="F261" s="373">
        <v>0</v>
      </c>
      <c r="G261" s="373">
        <v>0</v>
      </c>
      <c r="H261" s="373">
        <v>0</v>
      </c>
      <c r="I261" s="373">
        <v>0</v>
      </c>
      <c r="J261" s="373">
        <v>0</v>
      </c>
      <c r="K261" s="373">
        <v>0</v>
      </c>
      <c r="L261" s="373">
        <v>0</v>
      </c>
      <c r="M261" s="373">
        <v>0</v>
      </c>
      <c r="N261" s="373">
        <v>0</v>
      </c>
      <c r="O261" s="373">
        <v>0</v>
      </c>
      <c r="P261" s="373">
        <v>0</v>
      </c>
      <c r="Q261" s="373" t="e">
        <f ca="1">22*Bolts!$B261</f>
        <v>#NAME?</v>
      </c>
      <c r="R261" s="373">
        <v>0</v>
      </c>
      <c r="S261" s="380">
        <v>0</v>
      </c>
      <c r="T261" s="380">
        <v>0</v>
      </c>
      <c r="U261" s="380">
        <v>0</v>
      </c>
      <c r="V261" s="375" t="e">
        <f t="shared" ca="1" si="53"/>
        <v>#NAME?</v>
      </c>
    </row>
    <row r="262" spans="1:22" ht="14.25" hidden="1" customHeight="1">
      <c r="A262" s="377" t="s">
        <v>175</v>
      </c>
      <c r="B262" s="370" t="e">
        <f ca="1">_xludf.IFNA(VLOOKUP(Bolts!$A262,'Kilter Holds'!$P$37:$S$662,4,0),0)</f>
        <v>#NAME?</v>
      </c>
      <c r="C262" s="379">
        <v>10</v>
      </c>
      <c r="D262" s="373" t="e">
        <f ca="1">10*Bolts!$B262</f>
        <v>#NAME?</v>
      </c>
      <c r="E262" s="373">
        <v>0</v>
      </c>
      <c r="F262" s="373">
        <v>0</v>
      </c>
      <c r="G262" s="373">
        <v>0</v>
      </c>
      <c r="H262" s="373">
        <v>0</v>
      </c>
      <c r="I262" s="373">
        <v>0</v>
      </c>
      <c r="J262" s="373">
        <v>0</v>
      </c>
      <c r="K262" s="373">
        <v>0</v>
      </c>
      <c r="L262" s="373">
        <v>0</v>
      </c>
      <c r="M262" s="373">
        <v>0</v>
      </c>
      <c r="N262" s="373">
        <v>0</v>
      </c>
      <c r="O262" s="373">
        <v>0</v>
      </c>
      <c r="P262" s="373">
        <v>0</v>
      </c>
      <c r="Q262" s="373" t="e">
        <f ca="1">20*Bolts!$B262</f>
        <v>#NAME?</v>
      </c>
      <c r="R262" s="373">
        <v>0</v>
      </c>
      <c r="S262" s="380">
        <v>0</v>
      </c>
      <c r="T262" s="380">
        <v>0</v>
      </c>
      <c r="U262" s="380">
        <v>0</v>
      </c>
      <c r="V262" s="375" t="e">
        <f t="shared" ca="1" si="53"/>
        <v>#NAME?</v>
      </c>
    </row>
    <row r="263" spans="1:22" ht="14.25" hidden="1" customHeight="1">
      <c r="A263" s="377" t="s">
        <v>177</v>
      </c>
      <c r="B263" s="370" t="e">
        <f ca="1">_xludf.IFNA(VLOOKUP(Bolts!$A263,'Kilter Holds'!$P$37:$S$662,4,0),0)</f>
        <v>#NAME?</v>
      </c>
      <c r="C263" s="379">
        <v>10</v>
      </c>
      <c r="D263" s="373">
        <v>0</v>
      </c>
      <c r="E263" s="373">
        <v>0</v>
      </c>
      <c r="F263" s="373">
        <v>0</v>
      </c>
      <c r="G263" s="373">
        <v>0</v>
      </c>
      <c r="H263" s="373">
        <v>0</v>
      </c>
      <c r="I263" s="373">
        <v>0</v>
      </c>
      <c r="J263" s="373">
        <v>0</v>
      </c>
      <c r="K263" s="373">
        <v>0</v>
      </c>
      <c r="L263" s="373">
        <v>0</v>
      </c>
      <c r="M263" s="373">
        <v>0</v>
      </c>
      <c r="N263" s="373">
        <v>0</v>
      </c>
      <c r="O263" s="373">
        <v>0</v>
      </c>
      <c r="P263" s="373">
        <v>0</v>
      </c>
      <c r="Q263" s="373" t="e">
        <f ca="1">20*Bolts!$B263</f>
        <v>#NAME?</v>
      </c>
      <c r="R263" s="373">
        <v>0</v>
      </c>
      <c r="S263" s="380">
        <v>0</v>
      </c>
      <c r="T263" s="380">
        <v>0</v>
      </c>
      <c r="U263" s="380">
        <v>0</v>
      </c>
      <c r="V263" s="375" t="e">
        <f t="shared" ca="1" si="53"/>
        <v>#NAME?</v>
      </c>
    </row>
    <row r="264" spans="1:22" ht="14.25" hidden="1" customHeight="1">
      <c r="A264" s="377" t="s">
        <v>171</v>
      </c>
      <c r="B264" s="370" t="e">
        <f ca="1">_xludf.IFNA(VLOOKUP(Bolts!$A264,'Kilter Holds'!$P$37:$S$662,4,0),0)</f>
        <v>#NAME?</v>
      </c>
      <c r="C264" s="379">
        <v>10</v>
      </c>
      <c r="D264" s="373">
        <v>0</v>
      </c>
      <c r="E264" s="373">
        <v>0</v>
      </c>
      <c r="F264" s="373">
        <v>0</v>
      </c>
      <c r="G264" s="373">
        <v>0</v>
      </c>
      <c r="H264" s="373">
        <v>0</v>
      </c>
      <c r="I264" s="373">
        <v>0</v>
      </c>
      <c r="J264" s="373">
        <v>0</v>
      </c>
      <c r="K264" s="373">
        <v>0</v>
      </c>
      <c r="L264" s="373">
        <v>0</v>
      </c>
      <c r="M264" s="373">
        <v>0</v>
      </c>
      <c r="N264" s="373">
        <v>0</v>
      </c>
      <c r="O264" s="373">
        <v>0</v>
      </c>
      <c r="P264" s="373">
        <v>0</v>
      </c>
      <c r="Q264" s="373" t="e">
        <f ca="1">20*Bolts!$B264</f>
        <v>#NAME?</v>
      </c>
      <c r="R264" s="373">
        <v>0</v>
      </c>
      <c r="S264" s="380">
        <v>0</v>
      </c>
      <c r="T264" s="380">
        <v>0</v>
      </c>
      <c r="U264" s="380">
        <v>0</v>
      </c>
      <c r="V264" s="375" t="e">
        <f t="shared" ca="1" si="53"/>
        <v>#NAME?</v>
      </c>
    </row>
    <row r="265" spans="1:22" ht="14.25" hidden="1" customHeight="1">
      <c r="A265" s="377" t="s">
        <v>167</v>
      </c>
      <c r="B265" s="370" t="e">
        <f ca="1">_xludf.IFNA(VLOOKUP(Bolts!$A265,'Kilter Holds'!$P$37:$S$662,4,0),0)</f>
        <v>#NAME?</v>
      </c>
      <c r="C265" s="379">
        <v>20</v>
      </c>
      <c r="D265" s="373" t="e">
        <f ca="1">10*Bolts!$B265</f>
        <v>#NAME?</v>
      </c>
      <c r="E265" s="373">
        <v>0</v>
      </c>
      <c r="F265" s="373">
        <v>0</v>
      </c>
      <c r="G265" s="373">
        <v>0</v>
      </c>
      <c r="H265" s="373">
        <v>0</v>
      </c>
      <c r="I265" s="373">
        <v>0</v>
      </c>
      <c r="J265" s="373">
        <v>0</v>
      </c>
      <c r="K265" s="373">
        <v>0</v>
      </c>
      <c r="L265" s="373">
        <v>0</v>
      </c>
      <c r="M265" s="373">
        <v>0</v>
      </c>
      <c r="N265" s="373">
        <v>0</v>
      </c>
      <c r="O265" s="373">
        <v>0</v>
      </c>
      <c r="P265" s="373">
        <v>0</v>
      </c>
      <c r="Q265" s="373" t="e">
        <f ca="1">42*Bolts!$B265</f>
        <v>#NAME?</v>
      </c>
      <c r="R265" s="373">
        <v>0</v>
      </c>
      <c r="S265" s="373">
        <v>0</v>
      </c>
      <c r="T265" s="373">
        <v>0</v>
      </c>
      <c r="U265" s="373">
        <v>0</v>
      </c>
      <c r="V265" s="375" t="e">
        <f t="shared" ca="1" si="53"/>
        <v>#NAME?</v>
      </c>
    </row>
    <row r="266" spans="1:22" ht="14.25" hidden="1" customHeight="1">
      <c r="A266" s="377" t="s">
        <v>173</v>
      </c>
      <c r="B266" s="370" t="e">
        <f ca="1">_xludf.IFNA(VLOOKUP(Bolts!$A266,'Kilter Holds'!$P$37:$S$662,4,0),0)</f>
        <v>#NAME?</v>
      </c>
      <c r="C266" s="379">
        <v>20</v>
      </c>
      <c r="D266" s="373" t="e">
        <f ca="1">10*Bolts!$B266</f>
        <v>#NAME?</v>
      </c>
      <c r="E266" s="373">
        <v>0</v>
      </c>
      <c r="F266" s="373">
        <v>0</v>
      </c>
      <c r="G266" s="373">
        <v>0</v>
      </c>
      <c r="H266" s="373">
        <v>0</v>
      </c>
      <c r="I266" s="373">
        <v>0</v>
      </c>
      <c r="J266" s="373">
        <v>0</v>
      </c>
      <c r="K266" s="373">
        <v>0</v>
      </c>
      <c r="L266" s="373">
        <v>0</v>
      </c>
      <c r="M266" s="373">
        <v>0</v>
      </c>
      <c r="N266" s="373">
        <v>0</v>
      </c>
      <c r="O266" s="373">
        <v>0</v>
      </c>
      <c r="P266" s="373">
        <v>0</v>
      </c>
      <c r="Q266" s="373" t="e">
        <f ca="1">40*Bolts!$B266</f>
        <v>#NAME?</v>
      </c>
      <c r="R266" s="373">
        <v>0</v>
      </c>
      <c r="S266" s="373">
        <v>0</v>
      </c>
      <c r="T266" s="373">
        <v>0</v>
      </c>
      <c r="U266" s="373">
        <v>0</v>
      </c>
      <c r="V266" s="375" t="e">
        <f t="shared" ca="1" si="53"/>
        <v>#NAME?</v>
      </c>
    </row>
    <row r="267" spans="1:22" ht="14.25" hidden="1" customHeight="1">
      <c r="A267" s="377" t="s">
        <v>249</v>
      </c>
      <c r="B267" s="370" t="e">
        <f ca="1">_xludf.IFNA(VLOOKUP(Bolts!$A267,'Kilter Holds'!$P$37:$S$662,4,0),0)</f>
        <v>#NAME?</v>
      </c>
      <c r="C267" s="379">
        <v>4</v>
      </c>
      <c r="D267" s="373">
        <v>0</v>
      </c>
      <c r="E267" s="373">
        <v>0</v>
      </c>
      <c r="F267" s="373">
        <v>0</v>
      </c>
      <c r="G267" s="373">
        <v>0</v>
      </c>
      <c r="H267" s="373">
        <v>0</v>
      </c>
      <c r="I267" s="373">
        <v>0</v>
      </c>
      <c r="J267" s="373">
        <v>0</v>
      </c>
      <c r="K267" s="373">
        <v>0</v>
      </c>
      <c r="L267" s="373">
        <v>0</v>
      </c>
      <c r="M267" s="373">
        <v>0</v>
      </c>
      <c r="N267" s="373">
        <v>0</v>
      </c>
      <c r="O267" s="373">
        <v>0</v>
      </c>
      <c r="P267" s="373">
        <v>0</v>
      </c>
      <c r="Q267" s="373">
        <v>0</v>
      </c>
      <c r="R267" s="373">
        <v>0</v>
      </c>
      <c r="S267" s="380" t="e">
        <f ca="1">18*Bolts!$B267</f>
        <v>#NAME?</v>
      </c>
      <c r="T267" s="380">
        <v>0</v>
      </c>
      <c r="U267" s="380">
        <v>0</v>
      </c>
      <c r="V267" s="375" t="e">
        <f t="shared" ca="1" si="53"/>
        <v>#NAME?</v>
      </c>
    </row>
    <row r="268" spans="1:22" ht="14.25" hidden="1" customHeight="1">
      <c r="A268" s="377" t="s">
        <v>645</v>
      </c>
      <c r="B268" s="370" t="e">
        <f ca="1">_xludf.IFNA(VLOOKUP(Bolts!$A268,'Kilter Holds'!$P$37:$S$662,4,0),0)</f>
        <v>#NAME?</v>
      </c>
      <c r="C268" s="379">
        <v>2</v>
      </c>
      <c r="D268" s="373">
        <v>0</v>
      </c>
      <c r="E268" s="373">
        <v>0</v>
      </c>
      <c r="F268" s="373">
        <v>0</v>
      </c>
      <c r="G268" s="373">
        <v>0</v>
      </c>
      <c r="H268" s="373">
        <v>0</v>
      </c>
      <c r="I268" s="373" t="e">
        <f ca="1">2*Bolts!$B268</f>
        <v>#NAME?</v>
      </c>
      <c r="J268" s="373">
        <v>0</v>
      </c>
      <c r="K268" s="373">
        <v>0</v>
      </c>
      <c r="L268" s="373">
        <v>0</v>
      </c>
      <c r="M268" s="373">
        <v>0</v>
      </c>
      <c r="N268" s="373">
        <v>0</v>
      </c>
      <c r="O268" s="373">
        <v>0</v>
      </c>
      <c r="P268" s="373">
        <v>0</v>
      </c>
      <c r="Q268" s="373" t="e">
        <f ca="1">9*Bolts!$B268</f>
        <v>#NAME?</v>
      </c>
      <c r="R268" s="373">
        <v>0</v>
      </c>
      <c r="S268" s="380">
        <v>0</v>
      </c>
      <c r="T268" s="380">
        <v>0</v>
      </c>
      <c r="U268" s="380">
        <v>0</v>
      </c>
      <c r="V268" s="375" t="e">
        <f t="shared" ca="1" si="53"/>
        <v>#NAME?</v>
      </c>
    </row>
    <row r="269" spans="1:22" ht="14.25" hidden="1" customHeight="1">
      <c r="A269" s="377" t="s">
        <v>657</v>
      </c>
      <c r="B269" s="370" t="e">
        <f ca="1">_xludf.IFNA(VLOOKUP(Bolts!$A269,'Kilter Holds'!$P$37:$S$662,4,0),0)</f>
        <v>#NAME?</v>
      </c>
      <c r="C269" s="379">
        <v>4</v>
      </c>
      <c r="D269" s="373">
        <v>0</v>
      </c>
      <c r="E269" s="373">
        <v>0</v>
      </c>
      <c r="F269" s="373">
        <v>0</v>
      </c>
      <c r="G269" s="373">
        <v>0</v>
      </c>
      <c r="H269" s="373">
        <v>0</v>
      </c>
      <c r="I269" s="373" t="e">
        <f ca="1">4*Bolts!$B269</f>
        <v>#NAME?</v>
      </c>
      <c r="J269" s="373">
        <v>0</v>
      </c>
      <c r="K269" s="373">
        <v>0</v>
      </c>
      <c r="L269" s="373">
        <v>0</v>
      </c>
      <c r="M269" s="373">
        <v>0</v>
      </c>
      <c r="N269" s="373">
        <v>0</v>
      </c>
      <c r="O269" s="373">
        <v>0</v>
      </c>
      <c r="P269" s="373">
        <v>0</v>
      </c>
      <c r="Q269" s="373" t="e">
        <f ca="1">16*Bolts!$B269</f>
        <v>#NAME?</v>
      </c>
      <c r="R269" s="373">
        <v>0</v>
      </c>
      <c r="S269" s="380">
        <v>0</v>
      </c>
      <c r="T269" s="380">
        <v>0</v>
      </c>
      <c r="U269" s="380">
        <v>0</v>
      </c>
      <c r="V269" s="375" t="e">
        <f t="shared" ca="1" si="53"/>
        <v>#NAME?</v>
      </c>
    </row>
    <row r="270" spans="1:22" ht="14.25" hidden="1" customHeight="1">
      <c r="A270" s="377" t="s">
        <v>165</v>
      </c>
      <c r="B270" s="370" t="e">
        <f ca="1">_xludf.IFNA(VLOOKUP(Bolts!$A270,'Kilter Holds'!$P$37:$S$662,4,0),0)</f>
        <v>#NAME?</v>
      </c>
      <c r="C270" s="379">
        <v>4</v>
      </c>
      <c r="D270" s="373">
        <v>0</v>
      </c>
      <c r="E270" s="373">
        <v>0</v>
      </c>
      <c r="F270" s="373">
        <v>0</v>
      </c>
      <c r="G270" s="373">
        <v>0</v>
      </c>
      <c r="H270" s="373" t="e">
        <f ca="1">3*Bolts!$B270</f>
        <v>#NAME?</v>
      </c>
      <c r="I270" s="373">
        <v>0</v>
      </c>
      <c r="J270" s="373" t="e">
        <f ca="1">1*Bolts!$B270</f>
        <v>#NAME?</v>
      </c>
      <c r="K270" s="373">
        <v>0</v>
      </c>
      <c r="L270" s="373">
        <v>0</v>
      </c>
      <c r="M270" s="373">
        <v>0</v>
      </c>
      <c r="N270" s="373">
        <v>0</v>
      </c>
      <c r="O270" s="373">
        <v>0</v>
      </c>
      <c r="P270" s="373">
        <v>0</v>
      </c>
      <c r="Q270" s="373">
        <v>0</v>
      </c>
      <c r="R270" s="373" t="e">
        <f ca="1">17*Bolts!$B270</f>
        <v>#NAME?</v>
      </c>
      <c r="S270" s="380">
        <v>0</v>
      </c>
      <c r="T270" s="380">
        <v>0</v>
      </c>
      <c r="U270" s="380">
        <v>0</v>
      </c>
      <c r="V270" s="375" t="e">
        <f t="shared" ca="1" si="53"/>
        <v>#NAME?</v>
      </c>
    </row>
    <row r="271" spans="1:22" ht="14.25" hidden="1" customHeight="1">
      <c r="A271" s="377" t="s">
        <v>251</v>
      </c>
      <c r="B271" s="370" t="e">
        <f ca="1">_xludf.IFNA(VLOOKUP(Bolts!$A271,'Kilter Holds'!$P$37:$S$662,4,0),0)</f>
        <v>#NAME?</v>
      </c>
      <c r="C271" s="379">
        <v>5</v>
      </c>
      <c r="D271" s="373">
        <v>0</v>
      </c>
      <c r="E271" s="373" t="e">
        <f ca="1">4*Bolts!$B271</f>
        <v>#NAME?</v>
      </c>
      <c r="F271" s="373">
        <v>0</v>
      </c>
      <c r="G271" s="373" t="e">
        <f ca="1">1*Bolts!$B271</f>
        <v>#NAME?</v>
      </c>
      <c r="H271" s="373">
        <v>0</v>
      </c>
      <c r="I271" s="373">
        <v>0</v>
      </c>
      <c r="J271" s="373">
        <v>0</v>
      </c>
      <c r="K271" s="373">
        <v>0</v>
      </c>
      <c r="L271" s="373">
        <v>0</v>
      </c>
      <c r="M271" s="373">
        <v>0</v>
      </c>
      <c r="N271" s="373">
        <v>0</v>
      </c>
      <c r="O271" s="373">
        <v>0</v>
      </c>
      <c r="P271" s="373">
        <v>0</v>
      </c>
      <c r="Q271" s="373" t="e">
        <f ca="1">25*Bolts!$B271</f>
        <v>#NAME?</v>
      </c>
      <c r="R271" s="373">
        <v>0</v>
      </c>
      <c r="S271" s="380">
        <v>0</v>
      </c>
      <c r="T271" s="380">
        <v>0</v>
      </c>
      <c r="U271" s="380">
        <v>0</v>
      </c>
      <c r="V271" s="375" t="e">
        <f t="shared" ca="1" si="53"/>
        <v>#NAME?</v>
      </c>
    </row>
    <row r="272" spans="1:22" ht="14.25" hidden="1" customHeight="1">
      <c r="A272" s="377" t="s">
        <v>253</v>
      </c>
      <c r="B272" s="370" t="e">
        <f ca="1">_xludf.IFNA(VLOOKUP(Bolts!$A272,'Kilter Holds'!$P$37:$S$662,4,0),0)</f>
        <v>#NAME?</v>
      </c>
      <c r="C272" s="379">
        <v>5</v>
      </c>
      <c r="D272" s="373" t="e">
        <f ca="1">1*Bolts!$B272</f>
        <v>#NAME?</v>
      </c>
      <c r="E272" s="373" t="e">
        <f ca="1">1*Bolts!$B272</f>
        <v>#NAME?</v>
      </c>
      <c r="F272" s="373" t="e">
        <f ca="1">3*Bolts!$B272</f>
        <v>#NAME?</v>
      </c>
      <c r="G272" s="373">
        <v>0</v>
      </c>
      <c r="H272" s="373">
        <v>0</v>
      </c>
      <c r="I272" s="373">
        <v>0</v>
      </c>
      <c r="J272" s="373">
        <v>0</v>
      </c>
      <c r="K272" s="373">
        <v>0</v>
      </c>
      <c r="L272" s="373">
        <v>0</v>
      </c>
      <c r="M272" s="373">
        <v>0</v>
      </c>
      <c r="N272" s="373">
        <v>0</v>
      </c>
      <c r="O272" s="373">
        <v>0</v>
      </c>
      <c r="P272" s="373">
        <v>0</v>
      </c>
      <c r="Q272" s="373">
        <v>0</v>
      </c>
      <c r="R272" s="373">
        <v>0</v>
      </c>
      <c r="S272" s="373">
        <v>0</v>
      </c>
      <c r="T272" s="373">
        <v>0</v>
      </c>
      <c r="U272" s="373">
        <v>0</v>
      </c>
      <c r="V272" s="375" t="e">
        <f t="shared" ca="1" si="53"/>
        <v>#NAME?</v>
      </c>
    </row>
    <row r="273" spans="1:22" ht="14.25" hidden="1" customHeight="1">
      <c r="A273" s="377" t="s">
        <v>155</v>
      </c>
      <c r="B273" s="370" t="e">
        <f ca="1">_xludf.IFNA(VLOOKUP(Bolts!$A273,'Kilter Holds'!$P$37:$S$662,4,0),0)</f>
        <v>#NAME?</v>
      </c>
      <c r="C273" s="379">
        <v>2</v>
      </c>
      <c r="D273" s="373">
        <v>0</v>
      </c>
      <c r="E273" s="373">
        <v>0</v>
      </c>
      <c r="F273" s="373">
        <v>0</v>
      </c>
      <c r="G273" s="373">
        <v>0</v>
      </c>
      <c r="H273" s="373">
        <v>0</v>
      </c>
      <c r="I273" s="373">
        <v>0</v>
      </c>
      <c r="J273" s="373" t="e">
        <f ca="1">2*Bolts!$B273</f>
        <v>#NAME?</v>
      </c>
      <c r="K273" s="373">
        <v>0</v>
      </c>
      <c r="L273" s="373">
        <v>0</v>
      </c>
      <c r="M273" s="373">
        <v>0</v>
      </c>
      <c r="N273" s="373">
        <v>0</v>
      </c>
      <c r="O273" s="373">
        <v>0</v>
      </c>
      <c r="P273" s="373">
        <v>0</v>
      </c>
      <c r="Q273" s="373" t="e">
        <f ca="1">15*Bolts!$B273</f>
        <v>#NAME?</v>
      </c>
      <c r="R273" s="373">
        <v>0</v>
      </c>
      <c r="S273" s="373">
        <v>0</v>
      </c>
      <c r="T273" s="373">
        <v>0</v>
      </c>
      <c r="U273" s="373">
        <v>0</v>
      </c>
      <c r="V273" s="375" t="e">
        <f t="shared" ca="1" si="53"/>
        <v>#NAME?</v>
      </c>
    </row>
    <row r="274" spans="1:22" ht="14.25" hidden="1" customHeight="1">
      <c r="A274" s="377" t="s">
        <v>255</v>
      </c>
      <c r="B274" s="370" t="e">
        <f ca="1">_xludf.IFNA(VLOOKUP(Bolts!$A274,'Kilter Holds'!$P$37:$S$662,4,0),0)</f>
        <v>#NAME?</v>
      </c>
      <c r="C274" s="381">
        <v>5</v>
      </c>
      <c r="D274" s="373">
        <v>0</v>
      </c>
      <c r="E274" s="373">
        <v>0</v>
      </c>
      <c r="F274" s="373" t="e">
        <f ca="1">1*Bolts!$B274</f>
        <v>#NAME?</v>
      </c>
      <c r="G274" s="373" t="e">
        <f ca="1">4*Bolts!$B274</f>
        <v>#NAME?</v>
      </c>
      <c r="H274" s="373">
        <v>0</v>
      </c>
      <c r="I274" s="373">
        <v>0</v>
      </c>
      <c r="J274" s="373">
        <v>0</v>
      </c>
      <c r="K274" s="373">
        <v>0</v>
      </c>
      <c r="L274" s="374">
        <v>0</v>
      </c>
      <c r="M274" s="373">
        <v>0</v>
      </c>
      <c r="N274" s="373">
        <v>0</v>
      </c>
      <c r="O274" s="373">
        <v>0</v>
      </c>
      <c r="P274" s="373">
        <v>0</v>
      </c>
      <c r="Q274" s="373" t="e">
        <f ca="1">25*Bolts!$B274</f>
        <v>#NAME?</v>
      </c>
      <c r="R274" s="373">
        <v>0</v>
      </c>
      <c r="S274" s="380">
        <v>0</v>
      </c>
      <c r="T274" s="380">
        <v>0</v>
      </c>
      <c r="U274" s="380">
        <v>0</v>
      </c>
      <c r="V274" s="373" t="e">
        <f t="shared" ca="1" si="53"/>
        <v>#NAME?</v>
      </c>
    </row>
    <row r="275" spans="1:22" ht="14.25" hidden="1" customHeight="1">
      <c r="A275" s="377" t="s">
        <v>347</v>
      </c>
      <c r="B275" s="370" t="e">
        <f ca="1">_xludf.IFNA(VLOOKUP(Bolts!$A275,'Kilter Holds'!$P$37:$S$662,4,0),0)</f>
        <v>#NAME?</v>
      </c>
      <c r="C275" s="381">
        <v>10</v>
      </c>
      <c r="D275" s="373" t="e">
        <f ca="1">10*Bolts!$B275</f>
        <v>#NAME?</v>
      </c>
      <c r="E275" s="373">
        <v>0</v>
      </c>
      <c r="F275" s="373">
        <v>0</v>
      </c>
      <c r="G275" s="373">
        <v>0</v>
      </c>
      <c r="H275" s="373">
        <v>0</v>
      </c>
      <c r="I275" s="373">
        <v>0</v>
      </c>
      <c r="J275" s="373">
        <v>0</v>
      </c>
      <c r="K275" s="373">
        <v>0</v>
      </c>
      <c r="L275" s="373">
        <v>0</v>
      </c>
      <c r="M275" s="373">
        <v>0</v>
      </c>
      <c r="N275" s="373">
        <v>0</v>
      </c>
      <c r="O275" s="373">
        <v>0</v>
      </c>
      <c r="P275" s="373">
        <v>0</v>
      </c>
      <c r="Q275" s="373" t="e">
        <f ca="1">5*Bolts!$B275</f>
        <v>#NAME?</v>
      </c>
      <c r="R275" s="373">
        <v>0</v>
      </c>
      <c r="S275" s="380">
        <v>0</v>
      </c>
      <c r="T275" s="380">
        <v>0</v>
      </c>
      <c r="U275" s="380">
        <v>0</v>
      </c>
      <c r="V275" s="375" t="e">
        <f t="shared" ca="1" si="53"/>
        <v>#NAME?</v>
      </c>
    </row>
    <row r="276" spans="1:22" ht="14.25" hidden="1" customHeight="1">
      <c r="A276" s="377" t="s">
        <v>284</v>
      </c>
      <c r="B276" s="370" t="e">
        <f ca="1">_xludf.IFNA(VLOOKUP(Bolts!$A276,'Kilter Holds'!$P$37:$S$662,4,0),0)</f>
        <v>#NAME?</v>
      </c>
      <c r="C276" s="381">
        <v>5</v>
      </c>
      <c r="D276" s="373">
        <v>0</v>
      </c>
      <c r="E276" s="373" t="e">
        <f ca="1">5*Bolts!$B276</f>
        <v>#NAME?</v>
      </c>
      <c r="F276" s="373">
        <v>0</v>
      </c>
      <c r="G276" s="373">
        <v>0</v>
      </c>
      <c r="H276" s="373">
        <v>0</v>
      </c>
      <c r="I276" s="373">
        <v>0</v>
      </c>
      <c r="J276" s="373">
        <v>0</v>
      </c>
      <c r="K276" s="373">
        <v>0</v>
      </c>
      <c r="L276" s="373">
        <v>0</v>
      </c>
      <c r="M276" s="373">
        <v>0</v>
      </c>
      <c r="N276" s="373">
        <v>0</v>
      </c>
      <c r="O276" s="373">
        <v>0</v>
      </c>
      <c r="P276" s="373">
        <v>0</v>
      </c>
      <c r="Q276" s="373" t="e">
        <f ca="1">18*Bolts!$B276</f>
        <v>#NAME?</v>
      </c>
      <c r="R276" s="373">
        <v>0</v>
      </c>
      <c r="S276" s="380">
        <v>0</v>
      </c>
      <c r="T276" s="380">
        <v>0</v>
      </c>
      <c r="U276" s="380">
        <v>0</v>
      </c>
      <c r="V276" s="375" t="e">
        <f t="shared" ca="1" si="53"/>
        <v>#NAME?</v>
      </c>
    </row>
    <row r="277" spans="1:22" ht="14.25" hidden="1" customHeight="1">
      <c r="A277" s="377" t="s">
        <v>231</v>
      </c>
      <c r="B277" s="370" t="e">
        <f ca="1">_xludf.IFNA(VLOOKUP(Bolts!$A277,'Kilter Holds'!$P$37:$S$662,4,0),0)</f>
        <v>#NAME?</v>
      </c>
      <c r="C277" s="379">
        <v>3</v>
      </c>
      <c r="D277" s="373">
        <v>0</v>
      </c>
      <c r="E277" s="373">
        <v>0</v>
      </c>
      <c r="F277" s="373">
        <v>0</v>
      </c>
      <c r="G277" s="373">
        <v>0</v>
      </c>
      <c r="H277" s="373">
        <v>0</v>
      </c>
      <c r="I277" s="373" t="e">
        <f ca="1">1*Bolts!$B277</f>
        <v>#NAME?</v>
      </c>
      <c r="J277" s="373" t="e">
        <f ca="1">2*Bolts!$B277</f>
        <v>#NAME?</v>
      </c>
      <c r="K277" s="373">
        <v>0</v>
      </c>
      <c r="L277" s="373">
        <v>0</v>
      </c>
      <c r="M277" s="373">
        <v>0</v>
      </c>
      <c r="N277" s="373">
        <v>0</v>
      </c>
      <c r="O277" s="373">
        <v>0</v>
      </c>
      <c r="P277" s="373">
        <v>0</v>
      </c>
      <c r="Q277" s="373" t="e">
        <f ca="1">19*Bolts!$B277</f>
        <v>#NAME?</v>
      </c>
      <c r="R277" s="373">
        <v>0</v>
      </c>
      <c r="S277" s="380">
        <v>0</v>
      </c>
      <c r="T277" s="380">
        <v>0</v>
      </c>
      <c r="U277" s="380">
        <v>0</v>
      </c>
      <c r="V277" s="375" t="e">
        <f t="shared" ca="1" si="53"/>
        <v>#NAME?</v>
      </c>
    </row>
    <row r="278" spans="1:22" ht="14.25" hidden="1" customHeight="1">
      <c r="A278" s="377" t="s">
        <v>1018</v>
      </c>
      <c r="B278" s="370" t="e">
        <f ca="1">_xludf.IFNA(VLOOKUP(Bolts!$A278,'Kilter Holds'!$P$37:$S$662,4,0),0)</f>
        <v>#NAME?</v>
      </c>
      <c r="C278" s="379">
        <v>10</v>
      </c>
      <c r="D278" s="373" t="e">
        <f ca="1">10*Bolts!$B278</f>
        <v>#NAME?</v>
      </c>
      <c r="E278" s="373">
        <v>0</v>
      </c>
      <c r="F278" s="373">
        <v>0</v>
      </c>
      <c r="G278" s="373">
        <v>0</v>
      </c>
      <c r="H278" s="373">
        <v>0</v>
      </c>
      <c r="I278" s="373">
        <v>0</v>
      </c>
      <c r="J278" s="373">
        <v>0</v>
      </c>
      <c r="K278" s="373">
        <v>0</v>
      </c>
      <c r="L278" s="373">
        <v>0</v>
      </c>
      <c r="M278" s="373">
        <v>0</v>
      </c>
      <c r="N278" s="373">
        <v>0</v>
      </c>
      <c r="O278" s="373">
        <v>0</v>
      </c>
      <c r="P278" s="373">
        <v>0</v>
      </c>
      <c r="Q278" s="373" t="e">
        <f ca="1">20*Bolts!$B278</f>
        <v>#NAME?</v>
      </c>
      <c r="R278" s="373">
        <v>0</v>
      </c>
      <c r="S278" s="380">
        <v>0</v>
      </c>
      <c r="T278" s="380">
        <v>0</v>
      </c>
      <c r="U278" s="380">
        <v>0</v>
      </c>
      <c r="V278" s="375" t="e">
        <f t="shared" ca="1" si="53"/>
        <v>#NAME?</v>
      </c>
    </row>
    <row r="279" spans="1:22" ht="14.25" hidden="1" customHeight="1">
      <c r="A279" s="377" t="s">
        <v>1036</v>
      </c>
      <c r="B279" s="370" t="e">
        <f ca="1">_xludf.IFNA(VLOOKUP(Bolts!$A279,'Kilter Holds'!$P$37:$S$662,4,0),0)</f>
        <v>#NAME?</v>
      </c>
      <c r="C279" s="379">
        <v>10</v>
      </c>
      <c r="D279" s="373" t="e">
        <f ca="1">10*Bolts!$B279</f>
        <v>#NAME?</v>
      </c>
      <c r="E279" s="373">
        <v>0</v>
      </c>
      <c r="F279" s="373">
        <v>0</v>
      </c>
      <c r="G279" s="373">
        <v>0</v>
      </c>
      <c r="H279" s="373">
        <v>0</v>
      </c>
      <c r="I279" s="373">
        <v>0</v>
      </c>
      <c r="J279" s="373">
        <v>0</v>
      </c>
      <c r="K279" s="373">
        <v>0</v>
      </c>
      <c r="L279" s="373">
        <v>0</v>
      </c>
      <c r="M279" s="373">
        <v>0</v>
      </c>
      <c r="N279" s="373">
        <v>0</v>
      </c>
      <c r="O279" s="373">
        <v>0</v>
      </c>
      <c r="P279" s="373">
        <v>0</v>
      </c>
      <c r="Q279" s="373" t="e">
        <f ca="1">20*Bolts!$B279</f>
        <v>#NAME?</v>
      </c>
      <c r="R279" s="373">
        <v>0</v>
      </c>
      <c r="S279" s="380">
        <v>0</v>
      </c>
      <c r="T279" s="380">
        <v>0</v>
      </c>
      <c r="U279" s="380">
        <v>0</v>
      </c>
      <c r="V279" s="375" t="e">
        <f t="shared" ca="1" si="53"/>
        <v>#NAME?</v>
      </c>
    </row>
    <row r="280" spans="1:22" ht="14.25" hidden="1" customHeight="1">
      <c r="A280" s="377" t="s">
        <v>1038</v>
      </c>
      <c r="B280" s="370" t="e">
        <f ca="1">_xludf.IFNA(VLOOKUP(Bolts!$A280,'Kilter Holds'!$P$37:$S$662,4,0),0)</f>
        <v>#NAME?</v>
      </c>
      <c r="C280" s="379">
        <v>10</v>
      </c>
      <c r="D280" s="373" t="e">
        <f ca="1">10*Bolts!$B280</f>
        <v>#NAME?</v>
      </c>
      <c r="E280" s="373">
        <v>0</v>
      </c>
      <c r="F280" s="373">
        <v>0</v>
      </c>
      <c r="G280" s="373">
        <v>0</v>
      </c>
      <c r="H280" s="373">
        <v>0</v>
      </c>
      <c r="I280" s="373">
        <v>0</v>
      </c>
      <c r="J280" s="373">
        <v>0</v>
      </c>
      <c r="K280" s="373">
        <v>0</v>
      </c>
      <c r="L280" s="373">
        <v>0</v>
      </c>
      <c r="M280" s="373">
        <v>0</v>
      </c>
      <c r="N280" s="373">
        <v>0</v>
      </c>
      <c r="O280" s="373">
        <v>0</v>
      </c>
      <c r="P280" s="373">
        <v>0</v>
      </c>
      <c r="Q280" s="373" t="e">
        <f ca="1">10*Bolts!$B280</f>
        <v>#NAME?</v>
      </c>
      <c r="R280" s="373">
        <v>0</v>
      </c>
      <c r="S280" s="380">
        <v>0</v>
      </c>
      <c r="T280" s="380">
        <v>0</v>
      </c>
      <c r="U280" s="380">
        <v>0</v>
      </c>
      <c r="V280" s="375" t="e">
        <f t="shared" ca="1" si="53"/>
        <v>#NAME?</v>
      </c>
    </row>
    <row r="281" spans="1:22" ht="14.25" hidden="1" customHeight="1">
      <c r="A281" s="377" t="s">
        <v>1040</v>
      </c>
      <c r="B281" s="370" t="e">
        <f ca="1">_xludf.IFNA(VLOOKUP(Bolts!$A281,'Kilter Holds'!$P$37:$S$662,4,0),0)</f>
        <v>#NAME?</v>
      </c>
      <c r="C281" s="379">
        <v>10</v>
      </c>
      <c r="D281" s="373" t="e">
        <f ca="1">10*Bolts!$B281</f>
        <v>#NAME?</v>
      </c>
      <c r="E281" s="373">
        <v>0</v>
      </c>
      <c r="F281" s="373">
        <v>0</v>
      </c>
      <c r="G281" s="373">
        <v>0</v>
      </c>
      <c r="H281" s="373">
        <v>0</v>
      </c>
      <c r="I281" s="373">
        <v>0</v>
      </c>
      <c r="J281" s="373">
        <v>0</v>
      </c>
      <c r="K281" s="373">
        <v>0</v>
      </c>
      <c r="L281" s="373">
        <v>0</v>
      </c>
      <c r="M281" s="373">
        <v>0</v>
      </c>
      <c r="N281" s="373">
        <v>0</v>
      </c>
      <c r="O281" s="373">
        <v>0</v>
      </c>
      <c r="P281" s="373">
        <v>0</v>
      </c>
      <c r="Q281" s="373" t="e">
        <f ca="1">20*Bolts!$B281</f>
        <v>#NAME?</v>
      </c>
      <c r="R281" s="373">
        <v>0</v>
      </c>
      <c r="S281" s="380">
        <v>0</v>
      </c>
      <c r="T281" s="380">
        <v>0</v>
      </c>
      <c r="U281" s="380">
        <v>0</v>
      </c>
      <c r="V281" s="375" t="e">
        <f t="shared" ca="1" si="53"/>
        <v>#NAME?</v>
      </c>
    </row>
    <row r="282" spans="1:22" ht="14.25" hidden="1" customHeight="1">
      <c r="A282" s="377" t="s">
        <v>321</v>
      </c>
      <c r="B282" s="370" t="e">
        <f ca="1">_xludf.IFNA(VLOOKUP(Bolts!$A282,'Kilter Holds'!$P$37:$S$662,4,0),0)</f>
        <v>#NAME?</v>
      </c>
      <c r="C282" s="379">
        <v>5</v>
      </c>
      <c r="D282" s="373" t="e">
        <f ca="1">5*Bolts!$B282</f>
        <v>#NAME?</v>
      </c>
      <c r="E282" s="373">
        <v>0</v>
      </c>
      <c r="F282" s="373">
        <v>0</v>
      </c>
      <c r="G282" s="373">
        <v>0</v>
      </c>
      <c r="H282" s="373">
        <v>0</v>
      </c>
      <c r="I282" s="373">
        <v>0</v>
      </c>
      <c r="J282" s="373">
        <v>0</v>
      </c>
      <c r="K282" s="373">
        <v>0</v>
      </c>
      <c r="L282" s="373">
        <v>0</v>
      </c>
      <c r="M282" s="373">
        <v>0</v>
      </c>
      <c r="N282" s="373">
        <v>0</v>
      </c>
      <c r="O282" s="373">
        <v>0</v>
      </c>
      <c r="P282" s="373">
        <v>0</v>
      </c>
      <c r="Q282" s="373" t="e">
        <f ca="1">5*Bolts!$B282</f>
        <v>#NAME?</v>
      </c>
      <c r="R282" s="373">
        <v>0</v>
      </c>
      <c r="S282" s="380">
        <v>0</v>
      </c>
      <c r="T282" s="380">
        <v>0</v>
      </c>
      <c r="U282" s="380">
        <v>0</v>
      </c>
      <c r="V282" s="375" t="e">
        <f t="shared" ca="1" si="53"/>
        <v>#NAME?</v>
      </c>
    </row>
    <row r="283" spans="1:22" ht="14.25" hidden="1" customHeight="1">
      <c r="A283" s="377" t="s">
        <v>323</v>
      </c>
      <c r="B283" s="370" t="e">
        <f ca="1">_xludf.IFNA(VLOOKUP(Bolts!$A283,'Kilter Holds'!$P$37:$S$662,4,0),0)</f>
        <v>#NAME?</v>
      </c>
      <c r="C283" s="379">
        <v>10</v>
      </c>
      <c r="D283" s="373" t="e">
        <f ca="1">10*Bolts!$B283</f>
        <v>#NAME?</v>
      </c>
      <c r="E283" s="373">
        <v>0</v>
      </c>
      <c r="F283" s="373">
        <v>0</v>
      </c>
      <c r="G283" s="373">
        <v>0</v>
      </c>
      <c r="H283" s="373">
        <v>0</v>
      </c>
      <c r="I283" s="373">
        <v>0</v>
      </c>
      <c r="J283" s="373">
        <v>0</v>
      </c>
      <c r="K283" s="373">
        <v>0</v>
      </c>
      <c r="L283" s="373">
        <v>0</v>
      </c>
      <c r="M283" s="373">
        <v>0</v>
      </c>
      <c r="N283" s="373">
        <v>0</v>
      </c>
      <c r="O283" s="373">
        <v>0</v>
      </c>
      <c r="P283" s="373">
        <v>0</v>
      </c>
      <c r="Q283" s="373" t="e">
        <f ca="1">10*Bolts!$B283</f>
        <v>#NAME?</v>
      </c>
      <c r="R283" s="373">
        <v>0</v>
      </c>
      <c r="S283" s="380">
        <v>0</v>
      </c>
      <c r="T283" s="380">
        <v>0</v>
      </c>
      <c r="U283" s="380">
        <v>0</v>
      </c>
      <c r="V283" s="375" t="e">
        <f t="shared" ca="1" si="53"/>
        <v>#NAME?</v>
      </c>
    </row>
    <row r="284" spans="1:22" ht="14.25" hidden="1" customHeight="1">
      <c r="A284" s="377" t="s">
        <v>1042</v>
      </c>
      <c r="B284" s="370" t="e">
        <f ca="1">_xludf.IFNA(VLOOKUP(Bolts!$A284,'Kilter Holds'!$P$37:$S$662,4,0),0)</f>
        <v>#NAME?</v>
      </c>
      <c r="C284" s="379">
        <v>10</v>
      </c>
      <c r="D284" s="373" t="e">
        <f ca="1">10*Bolts!$B284</f>
        <v>#NAME?</v>
      </c>
      <c r="E284" s="373">
        <v>0</v>
      </c>
      <c r="F284" s="373">
        <v>0</v>
      </c>
      <c r="G284" s="373">
        <v>0</v>
      </c>
      <c r="H284" s="373">
        <v>0</v>
      </c>
      <c r="I284" s="373">
        <v>0</v>
      </c>
      <c r="J284" s="373">
        <v>0</v>
      </c>
      <c r="K284" s="373">
        <v>0</v>
      </c>
      <c r="L284" s="373">
        <v>0</v>
      </c>
      <c r="M284" s="373">
        <v>0</v>
      </c>
      <c r="N284" s="373">
        <v>0</v>
      </c>
      <c r="O284" s="373">
        <v>0</v>
      </c>
      <c r="P284" s="373">
        <v>0</v>
      </c>
      <c r="Q284" s="373" t="e">
        <f ca="1">10*Bolts!$B284</f>
        <v>#NAME?</v>
      </c>
      <c r="R284" s="373">
        <v>0</v>
      </c>
      <c r="S284" s="380">
        <v>0</v>
      </c>
      <c r="T284" s="380">
        <v>0</v>
      </c>
      <c r="U284" s="380">
        <v>0</v>
      </c>
      <c r="V284" s="375" t="e">
        <f t="shared" ca="1" si="53"/>
        <v>#NAME?</v>
      </c>
    </row>
    <row r="285" spans="1:22" ht="14.25" hidden="1" customHeight="1">
      <c r="A285" s="377" t="s">
        <v>325</v>
      </c>
      <c r="B285" s="370" t="e">
        <f ca="1">_xludf.IFNA(VLOOKUP(Bolts!$A285,'Kilter Holds'!$P$37:$S$662,4,0),0)</f>
        <v>#NAME?</v>
      </c>
      <c r="C285" s="379">
        <v>10</v>
      </c>
      <c r="D285" s="373" t="e">
        <f ca="1">10*Bolts!$B285</f>
        <v>#NAME?</v>
      </c>
      <c r="E285" s="373">
        <v>0</v>
      </c>
      <c r="F285" s="373">
        <v>0</v>
      </c>
      <c r="G285" s="373">
        <v>0</v>
      </c>
      <c r="H285" s="373">
        <v>0</v>
      </c>
      <c r="I285" s="373">
        <v>0</v>
      </c>
      <c r="J285" s="373">
        <v>0</v>
      </c>
      <c r="K285" s="373">
        <v>0</v>
      </c>
      <c r="L285" s="373">
        <v>0</v>
      </c>
      <c r="M285" s="373">
        <v>0</v>
      </c>
      <c r="N285" s="373">
        <v>0</v>
      </c>
      <c r="O285" s="373">
        <v>0</v>
      </c>
      <c r="P285" s="373">
        <v>0</v>
      </c>
      <c r="Q285" s="373" t="e">
        <f ca="1">20*Bolts!$B285</f>
        <v>#NAME?</v>
      </c>
      <c r="R285" s="373">
        <v>0</v>
      </c>
      <c r="S285" s="380">
        <v>0</v>
      </c>
      <c r="T285" s="380">
        <v>0</v>
      </c>
      <c r="U285" s="380">
        <v>0</v>
      </c>
      <c r="V285" s="375" t="e">
        <f t="shared" ca="1" si="53"/>
        <v>#NAME?</v>
      </c>
    </row>
    <row r="286" spans="1:22" ht="14.25" hidden="1" customHeight="1">
      <c r="A286" s="377" t="s">
        <v>327</v>
      </c>
      <c r="B286" s="370" t="e">
        <f ca="1">_xludf.IFNA(VLOOKUP(Bolts!$A286,'Kilter Holds'!$P$37:$S$662,4,0),0)</f>
        <v>#NAME?</v>
      </c>
      <c r="C286" s="379">
        <v>10</v>
      </c>
      <c r="D286" s="373" t="e">
        <f ca="1">10*Bolts!$B286</f>
        <v>#NAME?</v>
      </c>
      <c r="E286" s="373">
        <v>0</v>
      </c>
      <c r="F286" s="373">
        <v>0</v>
      </c>
      <c r="G286" s="373">
        <v>0</v>
      </c>
      <c r="H286" s="373">
        <v>0</v>
      </c>
      <c r="I286" s="373">
        <v>0</v>
      </c>
      <c r="J286" s="373">
        <v>0</v>
      </c>
      <c r="K286" s="373">
        <v>0</v>
      </c>
      <c r="L286" s="373">
        <v>0</v>
      </c>
      <c r="M286" s="373">
        <v>0</v>
      </c>
      <c r="N286" s="373">
        <v>0</v>
      </c>
      <c r="O286" s="373">
        <v>0</v>
      </c>
      <c r="P286" s="373">
        <v>0</v>
      </c>
      <c r="Q286" s="373" t="e">
        <f ca="1">20*Bolts!$B286</f>
        <v>#NAME?</v>
      </c>
      <c r="R286" s="373">
        <v>0</v>
      </c>
      <c r="S286" s="380">
        <v>0</v>
      </c>
      <c r="T286" s="380">
        <v>0</v>
      </c>
      <c r="U286" s="380">
        <v>0</v>
      </c>
      <c r="V286" s="375" t="e">
        <f t="shared" ca="1" si="53"/>
        <v>#NAME?</v>
      </c>
    </row>
    <row r="287" spans="1:22" ht="14.25" hidden="1" customHeight="1">
      <c r="A287" s="377" t="s">
        <v>329</v>
      </c>
      <c r="B287" s="370" t="e">
        <f ca="1">_xludf.IFNA(VLOOKUP(Bolts!$A287,'Kilter Holds'!$P$37:$S$662,4,0),0)</f>
        <v>#NAME?</v>
      </c>
      <c r="C287" s="379">
        <v>5</v>
      </c>
      <c r="D287" s="373" t="e">
        <f ca="1">5*Bolts!$B287</f>
        <v>#NAME?</v>
      </c>
      <c r="E287" s="373">
        <v>0</v>
      </c>
      <c r="F287" s="373">
        <v>0</v>
      </c>
      <c r="G287" s="373">
        <v>0</v>
      </c>
      <c r="H287" s="373">
        <v>0</v>
      </c>
      <c r="I287" s="373">
        <v>0</v>
      </c>
      <c r="J287" s="373">
        <v>0</v>
      </c>
      <c r="K287" s="373">
        <v>0</v>
      </c>
      <c r="L287" s="373">
        <v>0</v>
      </c>
      <c r="M287" s="373">
        <v>0</v>
      </c>
      <c r="N287" s="373">
        <v>0</v>
      </c>
      <c r="O287" s="373">
        <v>0</v>
      </c>
      <c r="P287" s="373">
        <v>0</v>
      </c>
      <c r="Q287" s="373">
        <v>0</v>
      </c>
      <c r="R287" s="373" t="e">
        <f ca="1">9*Bolts!$B287</f>
        <v>#NAME?</v>
      </c>
      <c r="S287" s="380">
        <v>0</v>
      </c>
      <c r="T287" s="380">
        <v>0</v>
      </c>
      <c r="U287" s="380">
        <v>0</v>
      </c>
      <c r="V287" s="375" t="e">
        <f t="shared" ca="1" si="53"/>
        <v>#NAME?</v>
      </c>
    </row>
    <row r="288" spans="1:22" ht="14.25" hidden="1" customHeight="1">
      <c r="A288" s="377" t="s">
        <v>349</v>
      </c>
      <c r="B288" s="370" t="e">
        <f ca="1">_xludf.IFNA(VLOOKUP(Bolts!$A288,'Kilter Holds'!$P$37:$S$662,4,0),0)</f>
        <v>#NAME?</v>
      </c>
      <c r="C288" s="379">
        <v>10</v>
      </c>
      <c r="D288" s="373" t="e">
        <f ca="1">10*Bolts!$B288</f>
        <v>#NAME?</v>
      </c>
      <c r="E288" s="373">
        <v>0</v>
      </c>
      <c r="F288" s="373">
        <v>0</v>
      </c>
      <c r="G288" s="373">
        <v>0</v>
      </c>
      <c r="H288" s="373">
        <v>0</v>
      </c>
      <c r="I288" s="373">
        <v>0</v>
      </c>
      <c r="J288" s="373">
        <v>0</v>
      </c>
      <c r="K288" s="373">
        <v>0</v>
      </c>
      <c r="L288" s="373">
        <v>0</v>
      </c>
      <c r="M288" s="373">
        <v>0</v>
      </c>
      <c r="N288" s="373">
        <v>0</v>
      </c>
      <c r="O288" s="373">
        <v>0</v>
      </c>
      <c r="P288" s="373">
        <v>0</v>
      </c>
      <c r="Q288" s="373" t="e">
        <f ca="1">20*Bolts!$B288</f>
        <v>#NAME?</v>
      </c>
      <c r="R288" s="373">
        <v>0</v>
      </c>
      <c r="S288" s="380">
        <v>0</v>
      </c>
      <c r="T288" s="380">
        <v>0</v>
      </c>
      <c r="U288" s="380">
        <v>0</v>
      </c>
      <c r="V288" s="375" t="e">
        <f t="shared" ca="1" si="53"/>
        <v>#NAME?</v>
      </c>
    </row>
    <row r="289" spans="1:22" ht="14.25" hidden="1" customHeight="1">
      <c r="A289" s="377" t="s">
        <v>351</v>
      </c>
      <c r="B289" s="370" t="e">
        <f ca="1">_xludf.IFNA(VLOOKUP(Bolts!$A289,'Kilter Holds'!$P$37:$S$662,4,0),0)</f>
        <v>#NAME?</v>
      </c>
      <c r="C289" s="379">
        <v>10</v>
      </c>
      <c r="D289" s="373" t="e">
        <f ca="1">10*Bolts!$B289</f>
        <v>#NAME?</v>
      </c>
      <c r="E289" s="373">
        <v>0</v>
      </c>
      <c r="F289" s="373">
        <v>0</v>
      </c>
      <c r="G289" s="373">
        <v>0</v>
      </c>
      <c r="H289" s="373">
        <v>0</v>
      </c>
      <c r="I289" s="373">
        <v>0</v>
      </c>
      <c r="J289" s="373">
        <v>0</v>
      </c>
      <c r="K289" s="373">
        <v>0</v>
      </c>
      <c r="L289" s="373">
        <v>0</v>
      </c>
      <c r="M289" s="373">
        <v>0</v>
      </c>
      <c r="N289" s="373">
        <v>0</v>
      </c>
      <c r="O289" s="373">
        <v>0</v>
      </c>
      <c r="P289" s="373">
        <v>0</v>
      </c>
      <c r="Q289" s="373" t="e">
        <f ca="1">20*Bolts!$B289</f>
        <v>#NAME?</v>
      </c>
      <c r="R289" s="373">
        <v>0</v>
      </c>
      <c r="S289" s="380">
        <v>0</v>
      </c>
      <c r="T289" s="380">
        <v>0</v>
      </c>
      <c r="U289" s="380">
        <v>0</v>
      </c>
      <c r="V289" s="375" t="e">
        <f t="shared" ca="1" si="53"/>
        <v>#NAME?</v>
      </c>
    </row>
    <row r="290" spans="1:22" ht="14.25" hidden="1" customHeight="1">
      <c r="A290" s="377" t="s">
        <v>353</v>
      </c>
      <c r="B290" s="370" t="e">
        <f ca="1">_xludf.IFNA(VLOOKUP(Bolts!$A290,'Kilter Holds'!$P$37:$S$662,4,0),0)</f>
        <v>#NAME?</v>
      </c>
      <c r="C290" s="379">
        <v>10</v>
      </c>
      <c r="D290" s="373" t="e">
        <f ca="1">10*Bolts!$B290</f>
        <v>#NAME?</v>
      </c>
      <c r="E290" s="373">
        <v>0</v>
      </c>
      <c r="F290" s="373">
        <v>0</v>
      </c>
      <c r="G290" s="373">
        <v>0</v>
      </c>
      <c r="H290" s="373">
        <v>0</v>
      </c>
      <c r="I290" s="373">
        <v>0</v>
      </c>
      <c r="J290" s="373">
        <v>0</v>
      </c>
      <c r="K290" s="373">
        <v>0</v>
      </c>
      <c r="L290" s="373">
        <v>0</v>
      </c>
      <c r="M290" s="373">
        <v>0</v>
      </c>
      <c r="N290" s="373">
        <v>0</v>
      </c>
      <c r="O290" s="373">
        <v>0</v>
      </c>
      <c r="P290" s="373">
        <v>0</v>
      </c>
      <c r="Q290" s="373" t="e">
        <f ca="1">20*Bolts!$B290</f>
        <v>#NAME?</v>
      </c>
      <c r="R290" s="373">
        <v>0</v>
      </c>
      <c r="S290" s="380">
        <v>0</v>
      </c>
      <c r="T290" s="380">
        <v>0</v>
      </c>
      <c r="U290" s="380">
        <v>0</v>
      </c>
      <c r="V290" s="375" t="e">
        <f t="shared" ca="1" si="53"/>
        <v>#NAME?</v>
      </c>
    </row>
    <row r="291" spans="1:22" ht="14.25" hidden="1" customHeight="1">
      <c r="A291" s="377" t="s">
        <v>1044</v>
      </c>
      <c r="B291" s="370" t="e">
        <f ca="1">_xludf.IFNA(VLOOKUP(Bolts!$A291,'Kilter Holds'!$P$37:$S$662,4,0),0)</f>
        <v>#NAME?</v>
      </c>
      <c r="C291" s="379">
        <v>10</v>
      </c>
      <c r="D291" s="373" t="e">
        <f ca="1">10*Bolts!$B291</f>
        <v>#NAME?</v>
      </c>
      <c r="E291" s="373">
        <v>0</v>
      </c>
      <c r="F291" s="373">
        <v>0</v>
      </c>
      <c r="G291" s="373">
        <v>0</v>
      </c>
      <c r="H291" s="373">
        <v>0</v>
      </c>
      <c r="I291" s="373">
        <v>0</v>
      </c>
      <c r="J291" s="373">
        <v>0</v>
      </c>
      <c r="K291" s="373">
        <v>0</v>
      </c>
      <c r="L291" s="373">
        <v>0</v>
      </c>
      <c r="M291" s="373">
        <v>0</v>
      </c>
      <c r="N291" s="373">
        <v>0</v>
      </c>
      <c r="O291" s="373">
        <v>0</v>
      </c>
      <c r="P291" s="373">
        <v>0</v>
      </c>
      <c r="Q291" s="373" t="e">
        <f ca="1">20*Bolts!$B291</f>
        <v>#NAME?</v>
      </c>
      <c r="R291" s="373">
        <v>0</v>
      </c>
      <c r="S291" s="380">
        <v>0</v>
      </c>
      <c r="T291" s="380">
        <v>0</v>
      </c>
      <c r="U291" s="380">
        <v>0</v>
      </c>
      <c r="V291" s="375" t="e">
        <f t="shared" ca="1" si="53"/>
        <v>#NAME?</v>
      </c>
    </row>
    <row r="292" spans="1:22" ht="14.25" hidden="1" customHeight="1">
      <c r="A292" s="377" t="s">
        <v>355</v>
      </c>
      <c r="B292" s="370" t="e">
        <f ca="1">_xludf.IFNA(VLOOKUP(Bolts!$A292,'Kilter Holds'!$P$37:$S$662,4,0),0)</f>
        <v>#NAME?</v>
      </c>
      <c r="C292" s="379">
        <v>10</v>
      </c>
      <c r="D292" s="373" t="e">
        <f ca="1">10*Bolts!$B292</f>
        <v>#NAME?</v>
      </c>
      <c r="E292" s="373">
        <v>0</v>
      </c>
      <c r="F292" s="373">
        <v>0</v>
      </c>
      <c r="G292" s="373">
        <v>0</v>
      </c>
      <c r="H292" s="373">
        <v>0</v>
      </c>
      <c r="I292" s="373">
        <v>0</v>
      </c>
      <c r="J292" s="373">
        <v>0</v>
      </c>
      <c r="K292" s="373">
        <v>0</v>
      </c>
      <c r="L292" s="373">
        <v>0</v>
      </c>
      <c r="M292" s="373">
        <v>0</v>
      </c>
      <c r="N292" s="373">
        <v>0</v>
      </c>
      <c r="O292" s="373">
        <v>0</v>
      </c>
      <c r="P292" s="373">
        <v>0</v>
      </c>
      <c r="Q292" s="373" t="e">
        <f ca="1">20*Bolts!$B292</f>
        <v>#NAME?</v>
      </c>
      <c r="R292" s="373">
        <v>0</v>
      </c>
      <c r="S292" s="380">
        <v>0</v>
      </c>
      <c r="T292" s="380">
        <v>0</v>
      </c>
      <c r="U292" s="380">
        <v>0</v>
      </c>
      <c r="V292" s="375" t="e">
        <f t="shared" ca="1" si="53"/>
        <v>#NAME?</v>
      </c>
    </row>
    <row r="293" spans="1:22" ht="14.25" hidden="1" customHeight="1">
      <c r="A293" s="377" t="s">
        <v>1054</v>
      </c>
      <c r="B293" s="370" t="e">
        <f ca="1">_xludf.IFNA(VLOOKUP(Bolts!$A293,'Kilter Holds'!$P$37:$S$662,4,0),0)</f>
        <v>#NAME?</v>
      </c>
      <c r="C293" s="379">
        <v>10</v>
      </c>
      <c r="D293" s="373" t="e">
        <f ca="1">10*Bolts!$B293</f>
        <v>#NAME?</v>
      </c>
      <c r="E293" s="373">
        <v>0</v>
      </c>
      <c r="F293" s="373">
        <v>0</v>
      </c>
      <c r="G293" s="373">
        <v>0</v>
      </c>
      <c r="H293" s="373">
        <v>0</v>
      </c>
      <c r="I293" s="373">
        <v>0</v>
      </c>
      <c r="J293" s="373">
        <v>0</v>
      </c>
      <c r="K293" s="373">
        <v>0</v>
      </c>
      <c r="L293" s="373">
        <v>0</v>
      </c>
      <c r="M293" s="373">
        <v>0</v>
      </c>
      <c r="N293" s="373">
        <v>0</v>
      </c>
      <c r="O293" s="373">
        <v>0</v>
      </c>
      <c r="P293" s="373">
        <v>0</v>
      </c>
      <c r="Q293" s="373" t="e">
        <f ca="1">10*Bolts!$B293</f>
        <v>#NAME?</v>
      </c>
      <c r="R293" s="373">
        <v>0</v>
      </c>
      <c r="S293" s="380">
        <v>0</v>
      </c>
      <c r="T293" s="380">
        <v>0</v>
      </c>
      <c r="U293" s="380">
        <v>0</v>
      </c>
      <c r="V293" s="375" t="e">
        <f t="shared" ca="1" si="53"/>
        <v>#NAME?</v>
      </c>
    </row>
    <row r="294" spans="1:22" ht="14.25" hidden="1" customHeight="1">
      <c r="A294" s="377" t="s">
        <v>1046</v>
      </c>
      <c r="B294" s="370" t="e">
        <f ca="1">_xludf.IFNA(VLOOKUP(Bolts!$A294,'Kilter Holds'!$P$37:$S$662,4,0),0)</f>
        <v>#NAME?</v>
      </c>
      <c r="C294" s="379">
        <v>10</v>
      </c>
      <c r="D294" s="373" t="e">
        <f ca="1">10*Bolts!$B294</f>
        <v>#NAME?</v>
      </c>
      <c r="E294" s="373">
        <v>0</v>
      </c>
      <c r="F294" s="373">
        <v>0</v>
      </c>
      <c r="G294" s="373">
        <v>0</v>
      </c>
      <c r="H294" s="373">
        <v>0</v>
      </c>
      <c r="I294" s="373">
        <v>0</v>
      </c>
      <c r="J294" s="373">
        <v>0</v>
      </c>
      <c r="K294" s="373">
        <v>0</v>
      </c>
      <c r="L294" s="373">
        <v>0</v>
      </c>
      <c r="M294" s="373">
        <v>0</v>
      </c>
      <c r="N294" s="373">
        <v>0</v>
      </c>
      <c r="O294" s="373">
        <v>0</v>
      </c>
      <c r="P294" s="373">
        <v>0</v>
      </c>
      <c r="Q294" s="373" t="e">
        <f ca="1">18*Bolts!$B294</f>
        <v>#NAME?</v>
      </c>
      <c r="R294" s="373">
        <v>0</v>
      </c>
      <c r="S294" s="380">
        <v>0</v>
      </c>
      <c r="T294" s="380">
        <v>0</v>
      </c>
      <c r="U294" s="380">
        <v>0</v>
      </c>
      <c r="V294" s="375" t="e">
        <f t="shared" ca="1" si="53"/>
        <v>#NAME?</v>
      </c>
    </row>
    <row r="295" spans="1:22" ht="14.25" hidden="1" customHeight="1">
      <c r="A295" s="377" t="s">
        <v>1056</v>
      </c>
      <c r="B295" s="370" t="e">
        <f ca="1">_xludf.IFNA(VLOOKUP(Bolts!$A295,'Kilter Holds'!$P$37:$S$662,4,0),0)</f>
        <v>#NAME?</v>
      </c>
      <c r="C295" s="379">
        <v>10</v>
      </c>
      <c r="D295" s="373">
        <v>0</v>
      </c>
      <c r="E295" s="373">
        <v>0</v>
      </c>
      <c r="F295" s="373">
        <v>0</v>
      </c>
      <c r="G295" s="373">
        <v>0</v>
      </c>
      <c r="H295" s="373">
        <v>0</v>
      </c>
      <c r="I295" s="373">
        <v>0</v>
      </c>
      <c r="J295" s="373">
        <v>0</v>
      </c>
      <c r="K295" s="373">
        <v>0</v>
      </c>
      <c r="L295" s="373">
        <v>0</v>
      </c>
      <c r="M295" s="373">
        <v>0</v>
      </c>
      <c r="N295" s="373">
        <v>0</v>
      </c>
      <c r="O295" s="373">
        <v>0</v>
      </c>
      <c r="P295" s="373">
        <v>0</v>
      </c>
      <c r="Q295" s="373" t="e">
        <f ca="1">20*Bolts!$B295</f>
        <v>#NAME?</v>
      </c>
      <c r="R295" s="373">
        <v>0</v>
      </c>
      <c r="S295" s="380">
        <v>0</v>
      </c>
      <c r="T295" s="380">
        <v>0</v>
      </c>
      <c r="U295" s="380">
        <v>0</v>
      </c>
      <c r="V295" s="375" t="e">
        <f t="shared" ca="1" si="53"/>
        <v>#NAME?</v>
      </c>
    </row>
    <row r="296" spans="1:22" ht="14.25" hidden="1" customHeight="1">
      <c r="A296" s="377" t="s">
        <v>661</v>
      </c>
      <c r="B296" s="370" t="e">
        <f ca="1">_xludf.IFNA(VLOOKUP(Bolts!$A296,'Kilter Holds'!$P$37:$S$662,4,0),0)</f>
        <v>#NAME?</v>
      </c>
      <c r="C296" s="381">
        <v>8</v>
      </c>
      <c r="D296" s="373">
        <v>0</v>
      </c>
      <c r="E296" s="373">
        <v>0</v>
      </c>
      <c r="F296" s="373">
        <v>0</v>
      </c>
      <c r="G296" s="373">
        <v>0</v>
      </c>
      <c r="H296" s="373">
        <v>0</v>
      </c>
      <c r="I296" s="373">
        <v>0</v>
      </c>
      <c r="J296" s="373">
        <v>0</v>
      </c>
      <c r="K296" s="373">
        <v>0</v>
      </c>
      <c r="L296" s="374">
        <v>0</v>
      </c>
      <c r="M296" s="373">
        <v>0</v>
      </c>
      <c r="N296" s="373">
        <v>0</v>
      </c>
      <c r="O296" s="373">
        <v>0</v>
      </c>
      <c r="P296" s="373">
        <v>0</v>
      </c>
      <c r="Q296" s="373" t="e">
        <f ca="1">24*Bolts!$B296</f>
        <v>#NAME?</v>
      </c>
      <c r="R296" s="373">
        <v>0</v>
      </c>
      <c r="S296" s="380">
        <v>0</v>
      </c>
      <c r="T296" s="380">
        <v>0</v>
      </c>
      <c r="U296" s="380">
        <v>0</v>
      </c>
      <c r="V296" s="373" t="e">
        <f t="shared" ca="1" si="53"/>
        <v>#NAME?</v>
      </c>
    </row>
    <row r="297" spans="1:22" ht="14.25" hidden="1" customHeight="1">
      <c r="A297" s="377" t="s">
        <v>586</v>
      </c>
      <c r="B297" s="370" t="e">
        <f ca="1">_xludf.IFNA(VLOOKUP(Bolts!$A297,'Kilter Holds'!$P$37:$S$662,4,0),0)</f>
        <v>#NAME?</v>
      </c>
      <c r="C297" s="379">
        <v>10</v>
      </c>
      <c r="D297" s="373" t="e">
        <f ca="1">10*Bolts!$B297</f>
        <v>#NAME?</v>
      </c>
      <c r="E297" s="373">
        <v>0</v>
      </c>
      <c r="F297" s="373">
        <v>0</v>
      </c>
      <c r="G297" s="373">
        <v>0</v>
      </c>
      <c r="H297" s="373">
        <v>0</v>
      </c>
      <c r="I297" s="373">
        <v>0</v>
      </c>
      <c r="J297" s="373">
        <v>0</v>
      </c>
      <c r="K297" s="373">
        <v>0</v>
      </c>
      <c r="L297" s="373">
        <v>0</v>
      </c>
      <c r="M297" s="373">
        <v>0</v>
      </c>
      <c r="N297" s="373">
        <v>0</v>
      </c>
      <c r="O297" s="373">
        <v>0</v>
      </c>
      <c r="P297" s="373">
        <v>0</v>
      </c>
      <c r="Q297" s="373" t="e">
        <f ca="1">20*Bolts!$B297</f>
        <v>#NAME?</v>
      </c>
      <c r="R297" s="373">
        <v>0</v>
      </c>
      <c r="S297" s="380">
        <v>0</v>
      </c>
      <c r="T297" s="380">
        <v>0</v>
      </c>
      <c r="U297" s="380">
        <v>0</v>
      </c>
      <c r="V297" s="375" t="e">
        <f t="shared" ca="1" si="53"/>
        <v>#NAME?</v>
      </c>
    </row>
    <row r="298" spans="1:22" ht="14.25" hidden="1" customHeight="1">
      <c r="A298" s="377" t="s">
        <v>675</v>
      </c>
      <c r="B298" s="370" t="e">
        <f ca="1">_xludf.IFNA(VLOOKUP(Bolts!$A298,'Kilter Holds'!$P$37:$S$662,4,0),0)</f>
        <v>#NAME?</v>
      </c>
      <c r="C298" s="379">
        <v>4</v>
      </c>
      <c r="D298" s="373">
        <v>0</v>
      </c>
      <c r="E298" s="373">
        <v>0</v>
      </c>
      <c r="F298" s="373">
        <v>0</v>
      </c>
      <c r="G298" s="373">
        <v>0</v>
      </c>
      <c r="H298" s="373">
        <v>0</v>
      </c>
      <c r="I298" s="373">
        <v>0</v>
      </c>
      <c r="J298" s="373">
        <v>0</v>
      </c>
      <c r="K298" s="373">
        <v>0</v>
      </c>
      <c r="L298" s="373">
        <v>0</v>
      </c>
      <c r="M298" s="373">
        <v>0</v>
      </c>
      <c r="N298" s="373">
        <v>0</v>
      </c>
      <c r="O298" s="373">
        <v>0</v>
      </c>
      <c r="P298" s="373">
        <v>0</v>
      </c>
      <c r="Q298" s="373" t="e">
        <f ca="1">16*Bolts!$B298</f>
        <v>#NAME?</v>
      </c>
      <c r="R298" s="373">
        <v>0</v>
      </c>
      <c r="S298" s="380">
        <v>0</v>
      </c>
      <c r="T298" s="380">
        <v>0</v>
      </c>
      <c r="U298" s="380">
        <v>0</v>
      </c>
      <c r="V298" s="375" t="e">
        <f t="shared" ca="1" si="53"/>
        <v>#NAME?</v>
      </c>
    </row>
    <row r="299" spans="1:22" ht="14.25" hidden="1" customHeight="1">
      <c r="A299" s="377" t="s">
        <v>671</v>
      </c>
      <c r="B299" s="370" t="e">
        <f ca="1">_xludf.IFNA(VLOOKUP(Bolts!$A299,'Kilter Holds'!$P$37:$S$662,4,0),0)</f>
        <v>#NAME?</v>
      </c>
      <c r="C299" s="379">
        <v>3</v>
      </c>
      <c r="D299" s="373">
        <v>0</v>
      </c>
      <c r="E299" s="373">
        <v>0</v>
      </c>
      <c r="F299" s="373" t="e">
        <f ca="1">3*Bolts!$B299</f>
        <v>#NAME?</v>
      </c>
      <c r="G299" s="373">
        <v>0</v>
      </c>
      <c r="H299" s="373">
        <v>0</v>
      </c>
      <c r="I299" s="373">
        <v>0</v>
      </c>
      <c r="J299" s="373">
        <v>0</v>
      </c>
      <c r="K299" s="373">
        <v>0</v>
      </c>
      <c r="L299" s="374">
        <v>0</v>
      </c>
      <c r="M299" s="373">
        <v>0</v>
      </c>
      <c r="N299" s="373">
        <v>0</v>
      </c>
      <c r="O299" s="373">
        <v>0</v>
      </c>
      <c r="P299" s="373">
        <v>0</v>
      </c>
      <c r="Q299" s="373" t="e">
        <f ca="1">11*Bolts!$B299</f>
        <v>#NAME?</v>
      </c>
      <c r="R299" s="373">
        <v>0</v>
      </c>
      <c r="S299" s="380">
        <v>0</v>
      </c>
      <c r="T299" s="380">
        <v>0</v>
      </c>
      <c r="U299" s="380">
        <v>0</v>
      </c>
      <c r="V299" s="375" t="e">
        <f t="shared" ca="1" si="53"/>
        <v>#NAME?</v>
      </c>
    </row>
    <row r="300" spans="1:22" ht="14.25" hidden="1" customHeight="1">
      <c r="A300" s="377" t="s">
        <v>600</v>
      </c>
      <c r="B300" s="370" t="e">
        <f ca="1">_xludf.IFNA(VLOOKUP(Bolts!$A300,'Kilter Holds'!$P$37:$S$662,4,0),0)</f>
        <v>#NAME?</v>
      </c>
      <c r="C300" s="379">
        <v>10</v>
      </c>
      <c r="D300" s="373" t="e">
        <f ca="1">10*Bolts!$B300</f>
        <v>#NAME?</v>
      </c>
      <c r="E300" s="373">
        <v>0</v>
      </c>
      <c r="F300" s="373">
        <v>0</v>
      </c>
      <c r="G300" s="373">
        <v>0</v>
      </c>
      <c r="H300" s="373">
        <v>0</v>
      </c>
      <c r="I300" s="373">
        <v>0</v>
      </c>
      <c r="J300" s="373">
        <v>0</v>
      </c>
      <c r="K300" s="373">
        <v>0</v>
      </c>
      <c r="L300" s="373">
        <v>0</v>
      </c>
      <c r="M300" s="373">
        <v>0</v>
      </c>
      <c r="N300" s="373">
        <v>0</v>
      </c>
      <c r="O300" s="373">
        <v>0</v>
      </c>
      <c r="P300" s="373">
        <v>0</v>
      </c>
      <c r="Q300" s="373" t="e">
        <f ca="1">20*Bolts!$B300</f>
        <v>#NAME?</v>
      </c>
      <c r="R300" s="373">
        <v>0</v>
      </c>
      <c r="S300" s="380">
        <v>0</v>
      </c>
      <c r="T300" s="380">
        <v>0</v>
      </c>
      <c r="U300" s="380">
        <v>0</v>
      </c>
      <c r="V300" s="375" t="e">
        <f t="shared" ca="1" si="53"/>
        <v>#NAME?</v>
      </c>
    </row>
    <row r="301" spans="1:22" ht="14.25" hidden="1" customHeight="1">
      <c r="A301" s="377" t="s">
        <v>491</v>
      </c>
      <c r="B301" s="370" t="e">
        <f ca="1">_xludf.IFNA(VLOOKUP(Bolts!$A301,'Kilter Holds'!$P$37:$S$662,4,0),0)</f>
        <v>#NAME?</v>
      </c>
      <c r="C301" s="379">
        <v>2</v>
      </c>
      <c r="D301" s="373">
        <v>0</v>
      </c>
      <c r="E301" s="373">
        <v>0</v>
      </c>
      <c r="F301" s="373">
        <v>0</v>
      </c>
      <c r="G301" s="373" t="e">
        <f ca="1">1*Bolts!$B301</f>
        <v>#NAME?</v>
      </c>
      <c r="H301" s="373">
        <v>0</v>
      </c>
      <c r="I301" s="373">
        <v>0</v>
      </c>
      <c r="J301" s="373">
        <v>0</v>
      </c>
      <c r="K301" s="373">
        <v>0</v>
      </c>
      <c r="L301" s="374">
        <v>0</v>
      </c>
      <c r="M301" s="373">
        <v>0</v>
      </c>
      <c r="N301" s="373" t="e">
        <f ca="1">1*Bolts!$B301</f>
        <v>#NAME?</v>
      </c>
      <c r="O301" s="373">
        <v>0</v>
      </c>
      <c r="P301" s="373">
        <v>0</v>
      </c>
      <c r="Q301" s="373" t="e">
        <f ca="1">13*Bolts!$B301</f>
        <v>#NAME?</v>
      </c>
      <c r="R301" s="373">
        <v>0</v>
      </c>
      <c r="S301" s="380">
        <v>0</v>
      </c>
      <c r="T301" s="380">
        <v>0</v>
      </c>
      <c r="U301" s="380">
        <v>0</v>
      </c>
      <c r="V301" s="375" t="e">
        <f t="shared" ca="1" si="53"/>
        <v>#NAME?</v>
      </c>
    </row>
    <row r="302" spans="1:22" ht="14.25" hidden="1" customHeight="1">
      <c r="A302" s="377" t="s">
        <v>559</v>
      </c>
      <c r="B302" s="370" t="e">
        <f ca="1">_xludf.IFNA(VLOOKUP(Bolts!$A302,'Kilter Holds'!$P$37:$S$662,4,0),0)</f>
        <v>#NAME?</v>
      </c>
      <c r="C302" s="379">
        <v>5</v>
      </c>
      <c r="D302" s="373">
        <v>0</v>
      </c>
      <c r="E302" s="373">
        <v>0</v>
      </c>
      <c r="F302" s="373">
        <v>0</v>
      </c>
      <c r="G302" s="373">
        <v>0</v>
      </c>
      <c r="H302" s="373" t="e">
        <f ca="1">3*Bolts!$B302</f>
        <v>#NAME?</v>
      </c>
      <c r="I302" s="373" t="e">
        <f ca="1">2*Bolts!$B302</f>
        <v>#NAME?</v>
      </c>
      <c r="J302" s="373">
        <v>0</v>
      </c>
      <c r="K302" s="373">
        <v>0</v>
      </c>
      <c r="L302" s="374">
        <v>0</v>
      </c>
      <c r="M302" s="373">
        <v>0</v>
      </c>
      <c r="N302" s="373">
        <v>0</v>
      </c>
      <c r="O302" s="373">
        <v>0</v>
      </c>
      <c r="P302" s="373">
        <v>0</v>
      </c>
      <c r="Q302" s="373" t="e">
        <f ca="1">2*Bolts!$B302</f>
        <v>#NAME?</v>
      </c>
      <c r="R302" s="373">
        <v>0</v>
      </c>
      <c r="S302" s="380">
        <v>0</v>
      </c>
      <c r="T302" s="380">
        <v>0</v>
      </c>
      <c r="U302" s="380">
        <v>0</v>
      </c>
      <c r="V302" s="375" t="e">
        <f t="shared" ca="1" si="53"/>
        <v>#NAME?</v>
      </c>
    </row>
    <row r="303" spans="1:22" ht="14.25" hidden="1" customHeight="1">
      <c r="A303" s="377" t="s">
        <v>602</v>
      </c>
      <c r="B303" s="370" t="e">
        <f ca="1">_xludf.IFNA(VLOOKUP(Bolts!$A303,'Kilter Holds'!$P$37:$S$662,4,0),0)</f>
        <v>#NAME?</v>
      </c>
      <c r="C303" s="379">
        <v>10</v>
      </c>
      <c r="D303" s="373" t="e">
        <f ca="1">10*Bolts!$B303</f>
        <v>#NAME?</v>
      </c>
      <c r="E303" s="373">
        <v>0</v>
      </c>
      <c r="F303" s="373">
        <v>0</v>
      </c>
      <c r="G303" s="373">
        <v>0</v>
      </c>
      <c r="H303" s="373">
        <v>0</v>
      </c>
      <c r="I303" s="373">
        <v>0</v>
      </c>
      <c r="J303" s="373">
        <v>0</v>
      </c>
      <c r="K303" s="373">
        <v>0</v>
      </c>
      <c r="L303" s="374">
        <v>0</v>
      </c>
      <c r="M303" s="373">
        <v>0</v>
      </c>
      <c r="N303" s="373">
        <v>0</v>
      </c>
      <c r="O303" s="373">
        <v>0</v>
      </c>
      <c r="P303" s="373">
        <v>0</v>
      </c>
      <c r="Q303" s="373" t="e">
        <f ca="1">10*Bolts!$B303</f>
        <v>#NAME?</v>
      </c>
      <c r="R303" s="373">
        <v>0</v>
      </c>
      <c r="S303" s="380">
        <v>0</v>
      </c>
      <c r="T303" s="380">
        <v>0</v>
      </c>
      <c r="U303" s="380">
        <v>0</v>
      </c>
      <c r="V303" s="375" t="e">
        <f t="shared" ca="1" si="53"/>
        <v>#NAME?</v>
      </c>
    </row>
    <row r="304" spans="1:22" ht="14.25" hidden="1" customHeight="1">
      <c r="A304" s="377" t="s">
        <v>604</v>
      </c>
      <c r="B304" s="370" t="e">
        <f ca="1">_xludf.IFNA(VLOOKUP(Bolts!$A304,'Kilter Holds'!$P$37:$S$662,4,0),0)</f>
        <v>#NAME?</v>
      </c>
      <c r="C304" s="379">
        <v>10</v>
      </c>
      <c r="D304" s="373" t="e">
        <f ca="1">10*Bolts!$B304</f>
        <v>#NAME?</v>
      </c>
      <c r="E304" s="373">
        <v>0</v>
      </c>
      <c r="F304" s="373">
        <v>0</v>
      </c>
      <c r="G304" s="373">
        <v>0</v>
      </c>
      <c r="H304" s="373">
        <v>0</v>
      </c>
      <c r="I304" s="373">
        <v>0</v>
      </c>
      <c r="J304" s="373">
        <v>0</v>
      </c>
      <c r="K304" s="373">
        <v>0</v>
      </c>
      <c r="L304" s="374">
        <v>0</v>
      </c>
      <c r="M304" s="373">
        <v>0</v>
      </c>
      <c r="N304" s="373">
        <v>0</v>
      </c>
      <c r="O304" s="373">
        <v>0</v>
      </c>
      <c r="P304" s="373">
        <v>0</v>
      </c>
      <c r="Q304" s="373" t="e">
        <f ca="1">10*Bolts!$B304</f>
        <v>#NAME?</v>
      </c>
      <c r="R304" s="373">
        <v>0</v>
      </c>
      <c r="S304" s="380">
        <v>0</v>
      </c>
      <c r="T304" s="380">
        <v>0</v>
      </c>
      <c r="U304" s="380">
        <v>0</v>
      </c>
      <c r="V304" s="375" t="e">
        <f t="shared" ca="1" si="53"/>
        <v>#NAME?</v>
      </c>
    </row>
    <row r="305" spans="1:22" ht="14.25" hidden="1" customHeight="1">
      <c r="A305" s="377" t="s">
        <v>606</v>
      </c>
      <c r="B305" s="370" t="e">
        <f ca="1">_xludf.IFNA(VLOOKUP(Bolts!$A305,'Kilter Holds'!$P$37:$S$662,4,0),0)</f>
        <v>#NAME?</v>
      </c>
      <c r="C305" s="379">
        <v>10</v>
      </c>
      <c r="D305" s="373" t="e">
        <f ca="1">10*Bolts!$B305</f>
        <v>#NAME?</v>
      </c>
      <c r="E305" s="373">
        <v>0</v>
      </c>
      <c r="F305" s="373">
        <v>0</v>
      </c>
      <c r="G305" s="373">
        <v>0</v>
      </c>
      <c r="H305" s="373">
        <v>0</v>
      </c>
      <c r="I305" s="373">
        <v>0</v>
      </c>
      <c r="J305" s="373">
        <v>0</v>
      </c>
      <c r="K305" s="373">
        <v>0</v>
      </c>
      <c r="L305" s="374">
        <v>0</v>
      </c>
      <c r="M305" s="373">
        <v>0</v>
      </c>
      <c r="N305" s="373">
        <v>0</v>
      </c>
      <c r="O305" s="373">
        <v>0</v>
      </c>
      <c r="P305" s="373">
        <v>0</v>
      </c>
      <c r="Q305" s="373" t="e">
        <f ca="1">10*Bolts!$B305</f>
        <v>#NAME?</v>
      </c>
      <c r="R305" s="373">
        <v>0</v>
      </c>
      <c r="S305" s="380">
        <v>0</v>
      </c>
      <c r="T305" s="380">
        <v>0</v>
      </c>
      <c r="U305" s="380">
        <v>0</v>
      </c>
      <c r="V305" s="375" t="e">
        <f t="shared" ca="1" si="53"/>
        <v>#NAME?</v>
      </c>
    </row>
    <row r="306" spans="1:22" ht="14.25" hidden="1" customHeight="1">
      <c r="A306" s="377" t="s">
        <v>608</v>
      </c>
      <c r="B306" s="370" t="e">
        <f ca="1">_xludf.IFNA(VLOOKUP(Bolts!$A306,'Kilter Holds'!$P$37:$S$662,4,0),0)</f>
        <v>#NAME?</v>
      </c>
      <c r="C306" s="379">
        <v>10</v>
      </c>
      <c r="D306" s="373" t="e">
        <f ca="1">10*Bolts!$B306</f>
        <v>#NAME?</v>
      </c>
      <c r="E306" s="373">
        <v>0</v>
      </c>
      <c r="F306" s="373">
        <v>0</v>
      </c>
      <c r="G306" s="373">
        <v>0</v>
      </c>
      <c r="H306" s="373">
        <v>0</v>
      </c>
      <c r="I306" s="373">
        <v>0</v>
      </c>
      <c r="J306" s="373">
        <v>0</v>
      </c>
      <c r="K306" s="373">
        <v>0</v>
      </c>
      <c r="L306" s="374">
        <v>0</v>
      </c>
      <c r="M306" s="373">
        <v>0</v>
      </c>
      <c r="N306" s="373">
        <v>0</v>
      </c>
      <c r="O306" s="373">
        <v>0</v>
      </c>
      <c r="P306" s="373">
        <v>0</v>
      </c>
      <c r="Q306" s="373" t="e">
        <f ca="1">20*Bolts!$B306</f>
        <v>#NAME?</v>
      </c>
      <c r="R306" s="373">
        <v>0</v>
      </c>
      <c r="S306" s="380">
        <v>0</v>
      </c>
      <c r="T306" s="380">
        <v>0</v>
      </c>
      <c r="U306" s="380">
        <v>0</v>
      </c>
      <c r="V306" s="375" t="e">
        <f t="shared" ca="1" si="53"/>
        <v>#NAME?</v>
      </c>
    </row>
    <row r="307" spans="1:22" ht="14.25" hidden="1" customHeight="1">
      <c r="A307" s="377" t="s">
        <v>610</v>
      </c>
      <c r="B307" s="370" t="e">
        <f ca="1">_xludf.IFNA(VLOOKUP(Bolts!$A307,'Kilter Holds'!$P$37:$S$662,4,0),0)</f>
        <v>#NAME?</v>
      </c>
      <c r="C307" s="379">
        <v>10</v>
      </c>
      <c r="D307" s="373" t="e">
        <f ca="1">10*Bolts!$B307</f>
        <v>#NAME?</v>
      </c>
      <c r="E307" s="373">
        <v>0</v>
      </c>
      <c r="F307" s="373">
        <v>0</v>
      </c>
      <c r="G307" s="373">
        <v>0</v>
      </c>
      <c r="H307" s="373">
        <v>0</v>
      </c>
      <c r="I307" s="373">
        <v>0</v>
      </c>
      <c r="J307" s="373">
        <v>0</v>
      </c>
      <c r="K307" s="373">
        <v>0</v>
      </c>
      <c r="L307" s="374">
        <v>0</v>
      </c>
      <c r="M307" s="373">
        <v>0</v>
      </c>
      <c r="N307" s="373">
        <v>0</v>
      </c>
      <c r="O307" s="373">
        <v>0</v>
      </c>
      <c r="P307" s="373">
        <v>0</v>
      </c>
      <c r="Q307" s="373" t="e">
        <f ca="1">20*Bolts!$B307</f>
        <v>#NAME?</v>
      </c>
      <c r="R307" s="373">
        <v>0</v>
      </c>
      <c r="S307" s="380">
        <v>0</v>
      </c>
      <c r="T307" s="380">
        <v>0</v>
      </c>
      <c r="U307" s="380">
        <v>0</v>
      </c>
      <c r="V307" s="375" t="e">
        <f t="shared" ca="1" si="53"/>
        <v>#NAME?</v>
      </c>
    </row>
    <row r="308" spans="1:22" ht="14.25" hidden="1" customHeight="1">
      <c r="A308" s="377" t="s">
        <v>612</v>
      </c>
      <c r="B308" s="370" t="e">
        <f ca="1">_xludf.IFNA(VLOOKUP(Bolts!$A308,'Kilter Holds'!$P$37:$S$662,4,0),0)</f>
        <v>#NAME?</v>
      </c>
      <c r="C308" s="379">
        <v>10</v>
      </c>
      <c r="D308" s="373" t="e">
        <f ca="1">10*Bolts!$B308</f>
        <v>#NAME?</v>
      </c>
      <c r="E308" s="373">
        <v>0</v>
      </c>
      <c r="F308" s="373">
        <v>0</v>
      </c>
      <c r="G308" s="373">
        <v>0</v>
      </c>
      <c r="H308" s="373">
        <v>0</v>
      </c>
      <c r="I308" s="373">
        <v>0</v>
      </c>
      <c r="J308" s="373">
        <v>0</v>
      </c>
      <c r="K308" s="373">
        <v>0</v>
      </c>
      <c r="L308" s="374">
        <v>0</v>
      </c>
      <c r="M308" s="373">
        <v>0</v>
      </c>
      <c r="N308" s="373">
        <v>0</v>
      </c>
      <c r="O308" s="373">
        <v>0</v>
      </c>
      <c r="P308" s="373">
        <v>0</v>
      </c>
      <c r="Q308" s="373" t="e">
        <f ca="1">20*Bolts!$B308</f>
        <v>#NAME?</v>
      </c>
      <c r="R308" s="373">
        <v>0</v>
      </c>
      <c r="S308" s="380">
        <v>0</v>
      </c>
      <c r="T308" s="380">
        <v>0</v>
      </c>
      <c r="U308" s="380">
        <v>0</v>
      </c>
      <c r="V308" s="375" t="e">
        <f t="shared" ca="1" si="53"/>
        <v>#NAME?</v>
      </c>
    </row>
    <row r="309" spans="1:22" ht="14.25" hidden="1" customHeight="1">
      <c r="A309" s="377" t="s">
        <v>614</v>
      </c>
      <c r="B309" s="370" t="e">
        <f ca="1">_xludf.IFNA(VLOOKUP(Bolts!$A309,'Kilter Holds'!$P$37:$S$662,4,0),0)</f>
        <v>#NAME?</v>
      </c>
      <c r="C309" s="379">
        <v>10</v>
      </c>
      <c r="D309" s="373" t="e">
        <f ca="1">10*Bolts!$B309</f>
        <v>#NAME?</v>
      </c>
      <c r="E309" s="373">
        <v>0</v>
      </c>
      <c r="F309" s="373">
        <v>0</v>
      </c>
      <c r="G309" s="373">
        <v>0</v>
      </c>
      <c r="H309" s="373">
        <v>0</v>
      </c>
      <c r="I309" s="373">
        <v>0</v>
      </c>
      <c r="J309" s="373">
        <v>0</v>
      </c>
      <c r="K309" s="373">
        <v>0</v>
      </c>
      <c r="L309" s="374">
        <v>0</v>
      </c>
      <c r="M309" s="373">
        <v>0</v>
      </c>
      <c r="N309" s="373">
        <v>0</v>
      </c>
      <c r="O309" s="373">
        <v>0</v>
      </c>
      <c r="P309" s="373">
        <v>0</v>
      </c>
      <c r="Q309" s="373" t="e">
        <f ca="1">20*Bolts!$B309</f>
        <v>#NAME?</v>
      </c>
      <c r="R309" s="373">
        <v>0</v>
      </c>
      <c r="S309" s="380">
        <v>0</v>
      </c>
      <c r="T309" s="380">
        <v>0</v>
      </c>
      <c r="U309" s="380">
        <v>0</v>
      </c>
      <c r="V309" s="375" t="e">
        <f t="shared" ca="1" si="53"/>
        <v>#NAME?</v>
      </c>
    </row>
    <row r="310" spans="1:22" ht="14.25" hidden="1" customHeight="1">
      <c r="A310" s="377" t="s">
        <v>616</v>
      </c>
      <c r="B310" s="370" t="e">
        <f ca="1">_xludf.IFNA(VLOOKUP(Bolts!$A310,'Kilter Holds'!$P$37:$S$662,4,0),0)</f>
        <v>#NAME?</v>
      </c>
      <c r="C310" s="379">
        <v>10</v>
      </c>
      <c r="D310" s="373" t="e">
        <f ca="1">10*Bolts!$B310</f>
        <v>#NAME?</v>
      </c>
      <c r="E310" s="373">
        <v>0</v>
      </c>
      <c r="F310" s="373">
        <v>0</v>
      </c>
      <c r="G310" s="373">
        <v>0</v>
      </c>
      <c r="H310" s="373">
        <v>0</v>
      </c>
      <c r="I310" s="373">
        <v>0</v>
      </c>
      <c r="J310" s="373">
        <v>0</v>
      </c>
      <c r="K310" s="373">
        <v>0</v>
      </c>
      <c r="L310" s="374">
        <v>0</v>
      </c>
      <c r="M310" s="373">
        <v>0</v>
      </c>
      <c r="N310" s="373">
        <v>0</v>
      </c>
      <c r="O310" s="373">
        <v>0</v>
      </c>
      <c r="P310" s="373">
        <v>0</v>
      </c>
      <c r="Q310" s="373" t="e">
        <f ca="1">20*Bolts!$B310</f>
        <v>#NAME?</v>
      </c>
      <c r="R310" s="373">
        <v>0</v>
      </c>
      <c r="S310" s="380">
        <v>0</v>
      </c>
      <c r="T310" s="380">
        <v>0</v>
      </c>
      <c r="U310" s="380">
        <v>0</v>
      </c>
      <c r="V310" s="375" t="e">
        <f t="shared" ca="1" si="53"/>
        <v>#NAME?</v>
      </c>
    </row>
    <row r="311" spans="1:22" ht="14.25" hidden="1" customHeight="1">
      <c r="A311" s="377" t="s">
        <v>669</v>
      </c>
      <c r="B311" s="370" t="e">
        <f ca="1">_xludf.IFNA(VLOOKUP(Bolts!$A311,'Kilter Holds'!$P$37:$S$662,4,0),0)</f>
        <v>#NAME?</v>
      </c>
      <c r="C311" s="379">
        <v>3</v>
      </c>
      <c r="D311" s="373">
        <v>0</v>
      </c>
      <c r="E311" s="373">
        <v>0</v>
      </c>
      <c r="F311" s="373">
        <v>0</v>
      </c>
      <c r="G311" s="373" t="e">
        <f ca="1">1*Bolts!$B311</f>
        <v>#NAME?</v>
      </c>
      <c r="H311" s="373">
        <v>0</v>
      </c>
      <c r="I311" s="373" t="e">
        <f ca="1">1*Bolts!$B311</f>
        <v>#NAME?</v>
      </c>
      <c r="J311" s="373" t="e">
        <f ca="1">1*Bolts!$B311</f>
        <v>#NAME?</v>
      </c>
      <c r="K311" s="373">
        <v>0</v>
      </c>
      <c r="L311" s="374">
        <v>0</v>
      </c>
      <c r="M311" s="373">
        <v>0</v>
      </c>
      <c r="N311" s="373">
        <v>0</v>
      </c>
      <c r="O311" s="373">
        <v>0</v>
      </c>
      <c r="P311" s="373">
        <v>0</v>
      </c>
      <c r="Q311" s="373" t="e">
        <f ca="1">12*Bolts!$B311</f>
        <v>#NAME?</v>
      </c>
      <c r="R311" s="373">
        <v>0</v>
      </c>
      <c r="S311" s="380">
        <v>0</v>
      </c>
      <c r="T311" s="380">
        <v>0</v>
      </c>
      <c r="U311" s="380">
        <v>0</v>
      </c>
      <c r="V311" s="375" t="e">
        <f t="shared" ca="1" si="53"/>
        <v>#NAME?</v>
      </c>
    </row>
    <row r="312" spans="1:22" ht="14.25" hidden="1" customHeight="1">
      <c r="A312" s="377" t="s">
        <v>663</v>
      </c>
      <c r="B312" s="370" t="e">
        <f ca="1">_xludf.IFNA(VLOOKUP(Bolts!$A312,'Kilter Holds'!$P$37:$S$662,4,0),0)</f>
        <v>#NAME?</v>
      </c>
      <c r="C312" s="379">
        <v>6</v>
      </c>
      <c r="D312" s="373">
        <v>0</v>
      </c>
      <c r="E312" s="373" t="e">
        <f ca="1">1*Bolts!$B312</f>
        <v>#NAME?</v>
      </c>
      <c r="F312" s="373">
        <v>0</v>
      </c>
      <c r="G312" s="373">
        <v>0</v>
      </c>
      <c r="H312" s="373">
        <v>0</v>
      </c>
      <c r="I312" s="373" t="e">
        <f ca="1">1*Bolts!$B312</f>
        <v>#NAME?</v>
      </c>
      <c r="J312" s="373">
        <v>0</v>
      </c>
      <c r="K312" s="373">
        <v>0</v>
      </c>
      <c r="L312" s="374">
        <v>0</v>
      </c>
      <c r="M312" s="373">
        <v>0</v>
      </c>
      <c r="N312" s="373">
        <v>0</v>
      </c>
      <c r="O312" s="373">
        <v>0</v>
      </c>
      <c r="P312" s="373">
        <v>0</v>
      </c>
      <c r="Q312" s="373" t="e">
        <f ca="1">24*Bolts!$B312</f>
        <v>#NAME?</v>
      </c>
      <c r="R312" s="373">
        <v>0</v>
      </c>
      <c r="S312" s="380">
        <v>0</v>
      </c>
      <c r="T312" s="380">
        <v>0</v>
      </c>
      <c r="U312" s="380">
        <v>0</v>
      </c>
      <c r="V312" s="375" t="e">
        <f t="shared" ca="1" si="53"/>
        <v>#NAME?</v>
      </c>
    </row>
    <row r="313" spans="1:22" ht="14.25" hidden="1" customHeight="1">
      <c r="A313" s="377" t="s">
        <v>667</v>
      </c>
      <c r="B313" s="370" t="e">
        <f ca="1">_xludf.IFNA(VLOOKUP(Bolts!$A313,'Kilter Holds'!$P$37:$S$662,4,0),0)</f>
        <v>#NAME?</v>
      </c>
      <c r="C313" s="379">
        <v>4</v>
      </c>
      <c r="D313" s="373">
        <v>0</v>
      </c>
      <c r="E313" s="373" t="e">
        <f ca="1">1*Bolts!$B313</f>
        <v>#NAME?</v>
      </c>
      <c r="F313" s="373" t="e">
        <f ca="1">3*Bolts!$B313</f>
        <v>#NAME?</v>
      </c>
      <c r="G313" s="373">
        <v>0</v>
      </c>
      <c r="H313" s="373">
        <v>0</v>
      </c>
      <c r="I313" s="373">
        <v>0</v>
      </c>
      <c r="J313" s="373">
        <v>0</v>
      </c>
      <c r="K313" s="373">
        <v>0</v>
      </c>
      <c r="L313" s="374">
        <v>0</v>
      </c>
      <c r="M313" s="373">
        <v>0</v>
      </c>
      <c r="N313" s="373">
        <v>0</v>
      </c>
      <c r="O313" s="373">
        <v>0</v>
      </c>
      <c r="P313" s="373">
        <v>0</v>
      </c>
      <c r="Q313" s="373" t="e">
        <f ca="1">19*Bolts!$B313</f>
        <v>#NAME?</v>
      </c>
      <c r="R313" s="373">
        <v>0</v>
      </c>
      <c r="S313" s="380">
        <v>0</v>
      </c>
      <c r="T313" s="380">
        <v>0</v>
      </c>
      <c r="U313" s="380">
        <v>0</v>
      </c>
      <c r="V313" s="375" t="e">
        <f t="shared" ca="1" si="53"/>
        <v>#NAME?</v>
      </c>
    </row>
    <row r="314" spans="1:22" ht="14.25" hidden="1" customHeight="1">
      <c r="A314" s="377" t="s">
        <v>665</v>
      </c>
      <c r="B314" s="370" t="e">
        <f ca="1">_xludf.IFNA(VLOOKUP(Bolts!$A314,'Kilter Holds'!$P$37:$S$662,4,0),0)</f>
        <v>#NAME?</v>
      </c>
      <c r="C314" s="381">
        <v>3</v>
      </c>
      <c r="D314" s="373">
        <v>0</v>
      </c>
      <c r="E314" s="373">
        <v>0</v>
      </c>
      <c r="F314" s="373">
        <v>0</v>
      </c>
      <c r="G314" s="373" t="e">
        <f ca="1">1*Bolts!$B314</f>
        <v>#NAME?</v>
      </c>
      <c r="H314" s="373" t="e">
        <f ca="1">1*Bolts!$B314</f>
        <v>#NAME?</v>
      </c>
      <c r="I314" s="373" t="e">
        <f ca="1">1*Bolts!$B314</f>
        <v>#NAME?</v>
      </c>
      <c r="J314" s="373">
        <v>0</v>
      </c>
      <c r="K314" s="373">
        <v>0</v>
      </c>
      <c r="L314" s="374">
        <v>0</v>
      </c>
      <c r="M314" s="373">
        <v>0</v>
      </c>
      <c r="N314" s="373">
        <v>0</v>
      </c>
      <c r="O314" s="373">
        <v>0</v>
      </c>
      <c r="P314" s="373">
        <v>0</v>
      </c>
      <c r="Q314" s="373" t="e">
        <f ca="1">12*Bolts!$B314</f>
        <v>#NAME?</v>
      </c>
      <c r="R314" s="373">
        <v>0</v>
      </c>
      <c r="S314" s="380">
        <v>0</v>
      </c>
      <c r="T314" s="380">
        <v>0</v>
      </c>
      <c r="U314" s="380">
        <v>0</v>
      </c>
      <c r="V314" s="373" t="e">
        <f t="shared" ca="1" si="53"/>
        <v>#NAME?</v>
      </c>
    </row>
    <row r="315" spans="1:22" ht="14.25" hidden="1" customHeight="1">
      <c r="A315" s="377" t="s">
        <v>679</v>
      </c>
      <c r="B315" s="370" t="e">
        <f ca="1">_xludf.IFNA(VLOOKUP(Bolts!$A315,'Kilter Holds'!$P$37:$S$662,4,0),0)</f>
        <v>#NAME?</v>
      </c>
      <c r="C315" s="381">
        <v>6</v>
      </c>
      <c r="D315" s="373">
        <v>0</v>
      </c>
      <c r="E315" s="373">
        <v>0</v>
      </c>
      <c r="F315" s="373">
        <v>0</v>
      </c>
      <c r="G315" s="373">
        <v>0</v>
      </c>
      <c r="H315" s="373">
        <v>0</v>
      </c>
      <c r="I315" s="373">
        <v>0</v>
      </c>
      <c r="J315" s="373">
        <v>0</v>
      </c>
      <c r="K315" s="373">
        <v>0</v>
      </c>
      <c r="L315" s="374">
        <v>0</v>
      </c>
      <c r="M315" s="373">
        <v>0</v>
      </c>
      <c r="N315" s="373">
        <v>0</v>
      </c>
      <c r="O315" s="373">
        <v>0</v>
      </c>
      <c r="P315" s="373">
        <v>0</v>
      </c>
      <c r="Q315" s="373" t="e">
        <f ca="1">18*Bolts!$B315</f>
        <v>#NAME?</v>
      </c>
      <c r="R315" s="373">
        <v>0</v>
      </c>
      <c r="S315" s="380">
        <v>0</v>
      </c>
      <c r="T315" s="380">
        <v>0</v>
      </c>
      <c r="U315" s="380">
        <v>0</v>
      </c>
      <c r="V315" s="373" t="e">
        <f t="shared" ca="1" si="53"/>
        <v>#NAME?</v>
      </c>
    </row>
    <row r="316" spans="1:22" ht="14.25" hidden="1" customHeight="1">
      <c r="A316" s="377" t="s">
        <v>681</v>
      </c>
      <c r="B316" s="370" t="e">
        <f ca="1">_xludf.IFNA(VLOOKUP(Bolts!$A316,'Kilter Holds'!$P$37:$S$662,4,0),0)</f>
        <v>#NAME?</v>
      </c>
      <c r="C316" s="381">
        <v>6</v>
      </c>
      <c r="D316" s="373">
        <v>0</v>
      </c>
      <c r="E316" s="373">
        <v>0</v>
      </c>
      <c r="F316" s="373">
        <v>0</v>
      </c>
      <c r="G316" s="373">
        <v>0</v>
      </c>
      <c r="H316" s="373">
        <v>0</v>
      </c>
      <c r="I316" s="373">
        <v>0</v>
      </c>
      <c r="J316" s="373">
        <v>0</v>
      </c>
      <c r="K316" s="373">
        <v>0</v>
      </c>
      <c r="L316" s="374">
        <v>0</v>
      </c>
      <c r="M316" s="373">
        <v>0</v>
      </c>
      <c r="N316" s="373">
        <v>0</v>
      </c>
      <c r="O316" s="373">
        <v>0</v>
      </c>
      <c r="P316" s="373">
        <v>0</v>
      </c>
      <c r="Q316" s="373" t="e">
        <f ca="1">20*Bolts!$B316</f>
        <v>#NAME?</v>
      </c>
      <c r="R316" s="373">
        <v>0</v>
      </c>
      <c r="S316" s="380">
        <v>0</v>
      </c>
      <c r="T316" s="380">
        <v>0</v>
      </c>
      <c r="U316" s="380">
        <v>0</v>
      </c>
      <c r="V316" s="373" t="e">
        <f t="shared" ca="1" si="53"/>
        <v>#NAME?</v>
      </c>
    </row>
    <row r="317" spans="1:22" ht="14.25" hidden="1" customHeight="1">
      <c r="A317" s="377" t="s">
        <v>1217</v>
      </c>
      <c r="B317" s="370" t="e">
        <f ca="1">_xludf.IFNA(VLOOKUP(Bolts!$A317,'Kilter Holds'!$P$37:$S$662,4,0),0)</f>
        <v>#NAME?</v>
      </c>
      <c r="C317" s="381">
        <v>1</v>
      </c>
      <c r="D317" s="373" t="e">
        <f ca="1">1*Bolts!$B317</f>
        <v>#NAME?</v>
      </c>
      <c r="E317" s="373">
        <v>0</v>
      </c>
      <c r="F317" s="373">
        <v>0</v>
      </c>
      <c r="G317" s="373">
        <v>0</v>
      </c>
      <c r="H317" s="373">
        <v>0</v>
      </c>
      <c r="I317" s="373">
        <v>0</v>
      </c>
      <c r="J317" s="373">
        <v>0</v>
      </c>
      <c r="K317" s="373">
        <v>0</v>
      </c>
      <c r="L317" s="374">
        <v>0</v>
      </c>
      <c r="M317" s="373">
        <v>0</v>
      </c>
      <c r="N317" s="373">
        <v>0</v>
      </c>
      <c r="O317" s="373">
        <v>0</v>
      </c>
      <c r="P317" s="373">
        <v>0</v>
      </c>
      <c r="Q317" s="373" t="e">
        <f ca="1">3*Bolts!$B317</f>
        <v>#NAME?</v>
      </c>
      <c r="R317" s="373">
        <v>0</v>
      </c>
      <c r="S317" s="380">
        <v>0</v>
      </c>
      <c r="T317" s="380">
        <v>0</v>
      </c>
      <c r="U317" s="380">
        <v>0</v>
      </c>
      <c r="V317" s="373" t="e">
        <f t="shared" ca="1" si="53"/>
        <v>#NAME?</v>
      </c>
    </row>
    <row r="318" spans="1:22" ht="14.25" hidden="1" customHeight="1">
      <c r="A318" s="377" t="s">
        <v>1219</v>
      </c>
      <c r="B318" s="370" t="e">
        <f ca="1">_xludf.IFNA(VLOOKUP(Bolts!$A318,'Kilter Holds'!$P$37:$S$662,4,0),0)</f>
        <v>#NAME?</v>
      </c>
      <c r="C318" s="381">
        <v>1</v>
      </c>
      <c r="D318" s="373">
        <v>0</v>
      </c>
      <c r="E318" s="373">
        <v>0</v>
      </c>
      <c r="F318" s="373">
        <v>0</v>
      </c>
      <c r="G318" s="373">
        <v>0</v>
      </c>
      <c r="H318" s="373">
        <v>0</v>
      </c>
      <c r="I318" s="373">
        <v>0</v>
      </c>
      <c r="J318" s="373">
        <v>0</v>
      </c>
      <c r="K318" s="373">
        <v>0</v>
      </c>
      <c r="L318" s="374">
        <v>0</v>
      </c>
      <c r="M318" s="373">
        <v>0</v>
      </c>
      <c r="N318" s="373">
        <v>0</v>
      </c>
      <c r="O318" s="373">
        <v>0</v>
      </c>
      <c r="P318" s="373">
        <v>0</v>
      </c>
      <c r="Q318" s="373" t="e">
        <f ca="1">3*Bolts!$B318</f>
        <v>#NAME?</v>
      </c>
      <c r="R318" s="373">
        <v>0</v>
      </c>
      <c r="S318" s="380">
        <v>0</v>
      </c>
      <c r="T318" s="380">
        <v>0</v>
      </c>
      <c r="U318" s="380">
        <v>0</v>
      </c>
      <c r="V318" s="373" t="e">
        <f t="shared" ca="1" si="53"/>
        <v>#NAME?</v>
      </c>
    </row>
    <row r="319" spans="1:22" ht="14.25" hidden="1" customHeight="1">
      <c r="A319" s="377" t="s">
        <v>683</v>
      </c>
      <c r="B319" s="370" t="e">
        <f ca="1">_xludf.IFNA(VLOOKUP(Bolts!$A319,'Kilter Holds'!$P$37:$S$662,4,0),0)</f>
        <v>#NAME?</v>
      </c>
      <c r="C319" s="379">
        <v>5</v>
      </c>
      <c r="D319" s="373" t="e">
        <f ca="1">5*Bolts!$B319</f>
        <v>#NAME?</v>
      </c>
      <c r="E319" s="373">
        <v>0</v>
      </c>
      <c r="F319" s="373">
        <v>0</v>
      </c>
      <c r="G319" s="373">
        <v>0</v>
      </c>
      <c r="H319" s="373">
        <v>0</v>
      </c>
      <c r="I319" s="373">
        <v>0</v>
      </c>
      <c r="J319" s="373">
        <v>0</v>
      </c>
      <c r="K319" s="373">
        <v>0</v>
      </c>
      <c r="L319" s="374">
        <v>0</v>
      </c>
      <c r="M319" s="373">
        <v>0</v>
      </c>
      <c r="N319" s="373">
        <v>0</v>
      </c>
      <c r="O319" s="373">
        <v>0</v>
      </c>
      <c r="P319" s="373">
        <v>0</v>
      </c>
      <c r="Q319" s="373" t="e">
        <f ca="1">7*Bolts!$B319</f>
        <v>#NAME?</v>
      </c>
      <c r="R319" s="373">
        <v>0</v>
      </c>
      <c r="S319" s="380">
        <v>0</v>
      </c>
      <c r="T319" s="380">
        <v>0</v>
      </c>
      <c r="U319" s="380">
        <v>0</v>
      </c>
      <c r="V319" s="375" t="e">
        <f t="shared" ca="1" si="53"/>
        <v>#NAME?</v>
      </c>
    </row>
    <row r="320" spans="1:22" ht="14.25" hidden="1" customHeight="1">
      <c r="A320" s="377" t="s">
        <v>685</v>
      </c>
      <c r="B320" s="370" t="e">
        <f ca="1">_xludf.IFNA(VLOOKUP(Bolts!$A320,'Kilter Holds'!$P$37:$S$662,4,0),0)</f>
        <v>#NAME?</v>
      </c>
      <c r="C320" s="379">
        <v>10</v>
      </c>
      <c r="D320" s="373">
        <v>0</v>
      </c>
      <c r="E320" s="373">
        <v>0</v>
      </c>
      <c r="F320" s="373">
        <v>0</v>
      </c>
      <c r="G320" s="373">
        <v>0</v>
      </c>
      <c r="H320" s="373">
        <v>0</v>
      </c>
      <c r="I320" s="373">
        <v>0</v>
      </c>
      <c r="J320" s="373">
        <v>0</v>
      </c>
      <c r="K320" s="373">
        <v>0</v>
      </c>
      <c r="L320" s="374">
        <v>0</v>
      </c>
      <c r="M320" s="373">
        <v>0</v>
      </c>
      <c r="N320" s="373">
        <v>0</v>
      </c>
      <c r="O320" s="373">
        <v>0</v>
      </c>
      <c r="P320" s="373">
        <v>0</v>
      </c>
      <c r="Q320" s="373" t="e">
        <f ca="1">22*Bolts!$B320</f>
        <v>#NAME?</v>
      </c>
      <c r="R320" s="373">
        <v>0</v>
      </c>
      <c r="S320" s="380">
        <v>0</v>
      </c>
      <c r="T320" s="380">
        <v>0</v>
      </c>
      <c r="U320" s="380">
        <v>0</v>
      </c>
      <c r="V320" s="375" t="e">
        <f t="shared" ca="1" si="53"/>
        <v>#NAME?</v>
      </c>
    </row>
    <row r="321" spans="1:22" ht="14.25" hidden="1" customHeight="1">
      <c r="A321" s="376" t="s">
        <v>1182</v>
      </c>
      <c r="B321" s="370" t="e">
        <f ca="1">_xludf.IFNA(VLOOKUP(Bolts!$A321,'Kilter Holds'!$P$37:$S$662,4,0),0)</f>
        <v>#NAME?</v>
      </c>
      <c r="C321" s="371">
        <v>4</v>
      </c>
      <c r="D321" s="373">
        <v>0</v>
      </c>
      <c r="E321" s="373">
        <v>0</v>
      </c>
      <c r="F321" s="373">
        <v>0</v>
      </c>
      <c r="G321" s="373">
        <v>0</v>
      </c>
      <c r="H321" s="373">
        <v>0</v>
      </c>
      <c r="I321" s="373">
        <f ca="1">IFERROR(1*B321,0)</f>
        <v>0</v>
      </c>
      <c r="J321" s="373">
        <f ca="1">IFERROR(1*B321,0)</f>
        <v>0</v>
      </c>
      <c r="K321" s="373">
        <v>0</v>
      </c>
      <c r="L321" s="374">
        <v>0</v>
      </c>
      <c r="M321" s="373">
        <f ca="1">IFERROR(2*B321,0)</f>
        <v>0</v>
      </c>
      <c r="N321" s="373">
        <v>0</v>
      </c>
      <c r="O321" s="373">
        <v>0</v>
      </c>
      <c r="P321" s="373">
        <v>0</v>
      </c>
      <c r="Q321" s="373">
        <v>0</v>
      </c>
      <c r="R321" s="373">
        <v>0</v>
      </c>
      <c r="S321" s="375">
        <v>0</v>
      </c>
      <c r="T321" s="375">
        <v>0</v>
      </c>
      <c r="U321" s="375">
        <v>0</v>
      </c>
      <c r="V321" s="375" t="e">
        <f t="shared" ca="1" si="53"/>
        <v>#NAME?</v>
      </c>
    </row>
    <row r="322" spans="1:22" ht="14.25" hidden="1" customHeight="1">
      <c r="A322" s="376" t="s">
        <v>1184</v>
      </c>
      <c r="B322" s="370" t="e">
        <f ca="1">_xludf.IFNA(VLOOKUP(Bolts!$A322,'Kilter Holds'!$P$37:$S$662,4,0),0)</f>
        <v>#NAME?</v>
      </c>
      <c r="C322" s="371">
        <v>4</v>
      </c>
      <c r="D322" s="373">
        <v>0</v>
      </c>
      <c r="E322" s="373">
        <v>0</v>
      </c>
      <c r="F322" s="373">
        <v>0</v>
      </c>
      <c r="G322" s="373">
        <v>0</v>
      </c>
      <c r="H322" s="373">
        <f ca="1">IFERROR(1*B322,0)</f>
        <v>0</v>
      </c>
      <c r="I322" s="373">
        <v>0</v>
      </c>
      <c r="J322" s="373">
        <v>0</v>
      </c>
      <c r="K322" s="373">
        <v>0</v>
      </c>
      <c r="L322" s="374">
        <v>0</v>
      </c>
      <c r="M322" s="373">
        <f ca="1">IFERROR(3*B322,0)</f>
        <v>0</v>
      </c>
      <c r="N322" s="373">
        <v>0</v>
      </c>
      <c r="O322" s="373">
        <v>0</v>
      </c>
      <c r="P322" s="373">
        <v>0</v>
      </c>
      <c r="Q322" s="373">
        <v>0</v>
      </c>
      <c r="R322" s="373">
        <v>0</v>
      </c>
      <c r="S322" s="375">
        <v>0</v>
      </c>
      <c r="T322" s="375">
        <v>0</v>
      </c>
      <c r="U322" s="375">
        <v>0</v>
      </c>
      <c r="V322" s="375" t="e">
        <f t="shared" ca="1" si="53"/>
        <v>#NAME?</v>
      </c>
    </row>
    <row r="323" spans="1:22" ht="14.25" hidden="1" customHeight="1">
      <c r="A323" s="376" t="s">
        <v>493</v>
      </c>
      <c r="B323" s="370" t="e">
        <f ca="1">_xludf.IFNA(VLOOKUP(Bolts!$A323,'Kilter Holds'!$P$37:$S$662,4,0),0)</f>
        <v>#NAME?</v>
      </c>
      <c r="C323" s="371">
        <v>6</v>
      </c>
      <c r="D323" s="373">
        <v>0</v>
      </c>
      <c r="E323" s="373" t="e">
        <f ca="1">Bolts!$B323*1</f>
        <v>#NAME?</v>
      </c>
      <c r="F323" s="373" t="e">
        <f ca="1">Bolts!$B323*1</f>
        <v>#NAME?</v>
      </c>
      <c r="G323" s="373" t="e">
        <f ca="1">Bolts!$B323*2</f>
        <v>#NAME?</v>
      </c>
      <c r="H323" s="373">
        <v>0</v>
      </c>
      <c r="I323" s="373" t="e">
        <f ca="1">Bolts!$B323*2</f>
        <v>#NAME?</v>
      </c>
      <c r="J323" s="373">
        <v>0</v>
      </c>
      <c r="K323" s="373">
        <v>0</v>
      </c>
      <c r="L323" s="374">
        <v>0</v>
      </c>
      <c r="M323" s="373">
        <v>0</v>
      </c>
      <c r="N323" s="373">
        <v>0</v>
      </c>
      <c r="O323" s="373">
        <v>0</v>
      </c>
      <c r="P323" s="373">
        <v>0</v>
      </c>
      <c r="Q323" s="373" t="e">
        <f ca="1">Bolts!$B323*2</f>
        <v>#NAME?</v>
      </c>
      <c r="R323" s="375" t="e">
        <f ca="1">Bolts!$B323*5</f>
        <v>#NAME?</v>
      </c>
      <c r="S323" s="375">
        <v>0</v>
      </c>
      <c r="T323" s="375" t="e">
        <f ca="1">Bolts!$B323*5</f>
        <v>#NAME?</v>
      </c>
      <c r="U323" s="375">
        <v>0</v>
      </c>
      <c r="V323" s="375" t="e">
        <f t="shared" ca="1" si="53"/>
        <v>#NAME?</v>
      </c>
    </row>
    <row r="324" spans="1:22" ht="14.25" hidden="1" customHeight="1">
      <c r="A324" s="376" t="s">
        <v>499</v>
      </c>
      <c r="B324" s="370" t="e">
        <f ca="1">_xludf.IFNA(VLOOKUP(Bolts!$A324,'Kilter Holds'!$P$37:$S$662,4,0),0)</f>
        <v>#NAME?</v>
      </c>
      <c r="C324" s="371">
        <v>5</v>
      </c>
      <c r="D324" s="373">
        <v>0</v>
      </c>
      <c r="E324" s="373">
        <v>0</v>
      </c>
      <c r="F324" s="373" t="e">
        <f ca="1">1*Bolts!$B324</f>
        <v>#NAME?</v>
      </c>
      <c r="G324" s="373" t="e">
        <f ca="1">4*Bolts!$B324</f>
        <v>#NAME?</v>
      </c>
      <c r="H324" s="373">
        <v>0</v>
      </c>
      <c r="I324" s="373">
        <v>0</v>
      </c>
      <c r="J324" s="373">
        <v>0</v>
      </c>
      <c r="K324" s="373">
        <v>0</v>
      </c>
      <c r="L324" s="374">
        <v>0</v>
      </c>
      <c r="M324" s="373">
        <v>0</v>
      </c>
      <c r="N324" s="373">
        <v>0</v>
      </c>
      <c r="O324" s="373">
        <v>0</v>
      </c>
      <c r="P324" s="373">
        <v>0</v>
      </c>
      <c r="Q324" s="373" t="e">
        <f ca="1">30*Bolts!$B324</f>
        <v>#NAME?</v>
      </c>
      <c r="R324" s="375">
        <v>0</v>
      </c>
      <c r="S324" s="375">
        <v>0</v>
      </c>
      <c r="T324" s="375">
        <v>0</v>
      </c>
      <c r="U324" s="375">
        <v>0</v>
      </c>
      <c r="V324" s="375" t="e">
        <f t="shared" ca="1" si="53"/>
        <v>#NAME?</v>
      </c>
    </row>
    <row r="325" spans="1:22" ht="14.25" hidden="1" customHeight="1">
      <c r="A325" s="376" t="s">
        <v>509</v>
      </c>
      <c r="B325" s="370" t="e">
        <f ca="1">_xludf.IFNA(VLOOKUP(Bolts!$A325,'Kilter Holds'!$P$37:$S$662,4,0),0)</f>
        <v>#NAME?</v>
      </c>
      <c r="C325" s="371">
        <v>5</v>
      </c>
      <c r="D325" s="373">
        <v>0</v>
      </c>
      <c r="E325" s="373" t="e">
        <f ca="1">2*Bolts!$B325</f>
        <v>#NAME?</v>
      </c>
      <c r="F325" s="373" t="e">
        <f ca="1">3*Bolts!$B325</f>
        <v>#NAME?</v>
      </c>
      <c r="G325" s="373">
        <v>0</v>
      </c>
      <c r="H325" s="373">
        <v>0</v>
      </c>
      <c r="I325" s="373">
        <v>0</v>
      </c>
      <c r="J325" s="373">
        <v>0</v>
      </c>
      <c r="K325" s="373">
        <v>0</v>
      </c>
      <c r="L325" s="374">
        <v>0</v>
      </c>
      <c r="M325" s="373">
        <v>0</v>
      </c>
      <c r="N325" s="373">
        <v>0</v>
      </c>
      <c r="O325" s="373">
        <v>0</v>
      </c>
      <c r="P325" s="373">
        <v>0</v>
      </c>
      <c r="Q325" s="373" t="e">
        <f ca="1">20*Bolts!$B325</f>
        <v>#NAME?</v>
      </c>
      <c r="R325" s="375">
        <v>0</v>
      </c>
      <c r="S325" s="375">
        <v>0</v>
      </c>
      <c r="T325" s="375">
        <v>0</v>
      </c>
      <c r="U325" s="375">
        <v>0</v>
      </c>
      <c r="V325" s="375" t="e">
        <f t="shared" ca="1" si="53"/>
        <v>#NAME?</v>
      </c>
    </row>
    <row r="326" spans="1:22" ht="14.25" hidden="1" customHeight="1">
      <c r="A326" s="376" t="s">
        <v>471</v>
      </c>
      <c r="B326" s="370" t="e">
        <f ca="1">_xludf.IFNA(VLOOKUP(Bolts!$A326,'Kilter Holds'!$P$37:$S$662,4,0),0)</f>
        <v>#NAME?</v>
      </c>
      <c r="C326" s="371">
        <v>3</v>
      </c>
      <c r="D326" s="373">
        <v>0</v>
      </c>
      <c r="E326" s="373">
        <v>0</v>
      </c>
      <c r="F326" s="373">
        <v>0</v>
      </c>
      <c r="G326" s="373">
        <v>0</v>
      </c>
      <c r="H326" s="373">
        <v>0</v>
      </c>
      <c r="I326" s="373">
        <v>0</v>
      </c>
      <c r="J326" s="373" t="e">
        <f ca="1">2*Bolts!$B326</f>
        <v>#NAME?</v>
      </c>
      <c r="K326" s="373">
        <v>0</v>
      </c>
      <c r="L326" s="374">
        <v>0</v>
      </c>
      <c r="M326" s="373">
        <v>0</v>
      </c>
      <c r="N326" s="373" t="e">
        <f ca="1">1*Bolts!$B326</f>
        <v>#NAME?</v>
      </c>
      <c r="O326" s="373">
        <v>0</v>
      </c>
      <c r="P326" s="373">
        <v>0</v>
      </c>
      <c r="Q326" s="373" t="e">
        <f ca="1">23*Bolts!$B326</f>
        <v>#NAME?</v>
      </c>
      <c r="R326" s="375" t="e">
        <f ca="1">1*Bolts!$B326</f>
        <v>#NAME?</v>
      </c>
      <c r="S326" s="375">
        <v>0</v>
      </c>
      <c r="T326" s="375">
        <v>0</v>
      </c>
      <c r="U326" s="375">
        <v>0</v>
      </c>
      <c r="V326" s="375" t="e">
        <f t="shared" ca="1" si="53"/>
        <v>#NAME?</v>
      </c>
    </row>
    <row r="327" spans="1:22" ht="14.25" hidden="1" customHeight="1">
      <c r="A327" s="376" t="s">
        <v>473</v>
      </c>
      <c r="B327" s="370" t="e">
        <f ca="1">_xludf.IFNA(VLOOKUP(Bolts!$A327,'Kilter Holds'!$P$37:$S$662,4,0),0)</f>
        <v>#NAME?</v>
      </c>
      <c r="C327" s="381">
        <v>1</v>
      </c>
      <c r="D327" s="373">
        <v>0</v>
      </c>
      <c r="E327" s="373">
        <v>0</v>
      </c>
      <c r="F327" s="373">
        <v>0</v>
      </c>
      <c r="G327" s="373">
        <v>0</v>
      </c>
      <c r="H327" s="373">
        <v>0</v>
      </c>
      <c r="I327" s="373">
        <v>0</v>
      </c>
      <c r="J327" s="373">
        <v>0</v>
      </c>
      <c r="K327" s="373">
        <v>0</v>
      </c>
      <c r="L327" s="374">
        <v>0</v>
      </c>
      <c r="M327" s="373">
        <v>0</v>
      </c>
      <c r="N327" s="373" t="e">
        <f ca="1">1*Bolts!$B327</f>
        <v>#NAME?</v>
      </c>
      <c r="O327" s="373">
        <v>0</v>
      </c>
      <c r="P327" s="373">
        <v>0</v>
      </c>
      <c r="Q327" s="373" t="e">
        <f ca="1">8*Bolts!$B327</f>
        <v>#NAME?</v>
      </c>
      <c r="R327" s="373" t="e">
        <f ca="1">1*Bolts!$B327</f>
        <v>#NAME?</v>
      </c>
      <c r="S327" s="375">
        <v>0</v>
      </c>
      <c r="T327" s="375">
        <v>0</v>
      </c>
      <c r="U327" s="375">
        <v>0</v>
      </c>
      <c r="V327" s="373" t="e">
        <f t="shared" ca="1" si="53"/>
        <v>#NAME?</v>
      </c>
    </row>
    <row r="328" spans="1:22" ht="14.25" hidden="1" customHeight="1">
      <c r="A328" s="376" t="s">
        <v>475</v>
      </c>
      <c r="B328" s="370" t="e">
        <f ca="1">_xludf.IFNA(VLOOKUP(Bolts!$A328,'Kilter Holds'!$P$37:$S$662,4,0),0)</f>
        <v>#NAME?</v>
      </c>
      <c r="C328" s="381">
        <v>1</v>
      </c>
      <c r="D328" s="373">
        <v>0</v>
      </c>
      <c r="E328" s="373">
        <v>0</v>
      </c>
      <c r="F328" s="373">
        <v>0</v>
      </c>
      <c r="G328" s="373">
        <v>0</v>
      </c>
      <c r="H328" s="373">
        <v>0</v>
      </c>
      <c r="I328" s="373">
        <v>0</v>
      </c>
      <c r="J328" s="373" t="e">
        <f ca="1">1*Bolts!$B328</f>
        <v>#NAME?</v>
      </c>
      <c r="K328" s="373">
        <v>0</v>
      </c>
      <c r="L328" s="374">
        <v>0</v>
      </c>
      <c r="M328" s="373">
        <v>0</v>
      </c>
      <c r="N328" s="373">
        <v>0</v>
      </c>
      <c r="O328" s="373">
        <v>0</v>
      </c>
      <c r="P328" s="373">
        <v>0</v>
      </c>
      <c r="Q328" s="373" t="e">
        <f ca="1">8*Bolts!$B328</f>
        <v>#NAME?</v>
      </c>
      <c r="R328" s="373">
        <v>0</v>
      </c>
      <c r="S328" s="375">
        <v>0</v>
      </c>
      <c r="T328" s="375">
        <v>0</v>
      </c>
      <c r="U328" s="375">
        <v>0</v>
      </c>
      <c r="V328" s="373" t="e">
        <f t="shared" ca="1" si="53"/>
        <v>#NAME?</v>
      </c>
    </row>
    <row r="329" spans="1:22" ht="14.25" hidden="1" customHeight="1">
      <c r="A329" s="376" t="s">
        <v>477</v>
      </c>
      <c r="B329" s="370" t="e">
        <f ca="1">_xludf.IFNA(VLOOKUP(Bolts!$A329,'Kilter Holds'!$P$37:$S$662,4,0),0)</f>
        <v>#NAME?</v>
      </c>
      <c r="C329" s="381">
        <v>1</v>
      </c>
      <c r="D329" s="373">
        <v>0</v>
      </c>
      <c r="E329" s="373">
        <v>0</v>
      </c>
      <c r="F329" s="373">
        <v>0</v>
      </c>
      <c r="G329" s="373">
        <v>0</v>
      </c>
      <c r="H329" s="373">
        <v>0</v>
      </c>
      <c r="I329" s="373">
        <v>0</v>
      </c>
      <c r="J329" s="373" t="e">
        <f ca="1">1*Bolts!$B329</f>
        <v>#NAME?</v>
      </c>
      <c r="K329" s="373">
        <v>0</v>
      </c>
      <c r="L329" s="374">
        <v>0</v>
      </c>
      <c r="M329" s="373">
        <v>0</v>
      </c>
      <c r="N329" s="373">
        <v>0</v>
      </c>
      <c r="O329" s="373">
        <v>0</v>
      </c>
      <c r="P329" s="373">
        <v>0</v>
      </c>
      <c r="Q329" s="373" t="e">
        <f ca="1">7*Bolts!$B329</f>
        <v>#NAME?</v>
      </c>
      <c r="R329" s="373">
        <v>0</v>
      </c>
      <c r="S329" s="380">
        <v>0</v>
      </c>
      <c r="T329" s="380">
        <v>0</v>
      </c>
      <c r="U329" s="380">
        <v>0</v>
      </c>
      <c r="V329" s="373" t="e">
        <f t="shared" ca="1" si="53"/>
        <v>#NAME?</v>
      </c>
    </row>
    <row r="330" spans="1:22" ht="14.25" hidden="1" customHeight="1">
      <c r="A330" s="376" t="s">
        <v>487</v>
      </c>
      <c r="B330" s="370" t="e">
        <f ca="1">_xludf.IFNA(VLOOKUP(Bolts!$A330,'Kilter Holds'!$P$37:$S$662,4,0),0)</f>
        <v>#NAME?</v>
      </c>
      <c r="C330" s="371">
        <v>4</v>
      </c>
      <c r="D330" s="373">
        <v>0</v>
      </c>
      <c r="E330" s="373">
        <v>0</v>
      </c>
      <c r="F330" s="373">
        <v>0</v>
      </c>
      <c r="G330" s="373" t="e">
        <f ca="1">3*Bolts!$B330</f>
        <v>#NAME?</v>
      </c>
      <c r="H330" s="373" t="e">
        <f ca="1">1*Bolts!$B330</f>
        <v>#NAME?</v>
      </c>
      <c r="I330" s="373">
        <v>0</v>
      </c>
      <c r="J330" s="373">
        <v>0</v>
      </c>
      <c r="K330" s="373">
        <v>0</v>
      </c>
      <c r="L330" s="374">
        <v>0</v>
      </c>
      <c r="M330" s="373">
        <v>0</v>
      </c>
      <c r="N330" s="373">
        <v>0</v>
      </c>
      <c r="O330" s="373">
        <v>0</v>
      </c>
      <c r="P330" s="373">
        <v>0</v>
      </c>
      <c r="Q330" s="373" t="e">
        <f ca="1">24*Bolts!$B330</f>
        <v>#NAME?</v>
      </c>
      <c r="R330" s="375">
        <v>0</v>
      </c>
      <c r="S330" s="375">
        <v>0</v>
      </c>
      <c r="T330" s="375">
        <v>0</v>
      </c>
      <c r="U330" s="375">
        <v>0</v>
      </c>
      <c r="V330" s="375" t="e">
        <f t="shared" ca="1" si="53"/>
        <v>#NAME?</v>
      </c>
    </row>
    <row r="331" spans="1:22" ht="14.25" hidden="1" customHeight="1">
      <c r="A331" s="376" t="s">
        <v>503</v>
      </c>
      <c r="B331" s="370" t="e">
        <f ca="1">_xludf.IFNA(VLOOKUP(Bolts!$A331,'Kilter Holds'!$P$37:$S$662,4,0),0)</f>
        <v>#NAME?</v>
      </c>
      <c r="C331" s="371">
        <v>4</v>
      </c>
      <c r="D331" s="373">
        <v>0</v>
      </c>
      <c r="E331" s="373" t="e">
        <f ca="1">1*Bolts!$B331</f>
        <v>#NAME?</v>
      </c>
      <c r="F331" s="373" t="e">
        <f ca="1">3*Bolts!$B331</f>
        <v>#NAME?</v>
      </c>
      <c r="G331" s="373">
        <v>0</v>
      </c>
      <c r="H331" s="373">
        <v>0</v>
      </c>
      <c r="I331" s="373">
        <v>0</v>
      </c>
      <c r="J331" s="373">
        <v>0</v>
      </c>
      <c r="K331" s="373">
        <v>0</v>
      </c>
      <c r="L331" s="374">
        <v>0</v>
      </c>
      <c r="M331" s="373">
        <v>0</v>
      </c>
      <c r="N331" s="373">
        <v>0</v>
      </c>
      <c r="O331" s="373">
        <v>0</v>
      </c>
      <c r="P331" s="373">
        <v>0</v>
      </c>
      <c r="Q331" s="373" t="e">
        <f ca="1">23*Bolts!$B331</f>
        <v>#NAME?</v>
      </c>
      <c r="R331" s="375" t="e">
        <f ca="1">1*Bolts!$B331</f>
        <v>#NAME?</v>
      </c>
      <c r="S331" s="375">
        <v>0</v>
      </c>
      <c r="T331" s="375">
        <v>0</v>
      </c>
      <c r="U331" s="375">
        <v>0</v>
      </c>
      <c r="V331" s="375" t="e">
        <f t="shared" ca="1" si="53"/>
        <v>#NAME?</v>
      </c>
    </row>
    <row r="332" spans="1:22" ht="14.25" hidden="1" customHeight="1">
      <c r="A332" s="376" t="s">
        <v>489</v>
      </c>
      <c r="B332" s="370" t="e">
        <f ca="1">_xludf.IFNA(VLOOKUP(Bolts!$A332,'Kilter Holds'!$P$37:$S$662,4,0),0)</f>
        <v>#NAME?</v>
      </c>
      <c r="C332" s="371">
        <v>4</v>
      </c>
      <c r="D332" s="373">
        <v>0</v>
      </c>
      <c r="E332" s="373">
        <v>0</v>
      </c>
      <c r="F332" s="373" t="e">
        <f ca="1">2*Bolts!$B332</f>
        <v>#NAME?</v>
      </c>
      <c r="G332" s="373">
        <v>0</v>
      </c>
      <c r="H332" s="373">
        <v>0</v>
      </c>
      <c r="I332" s="373">
        <v>0</v>
      </c>
      <c r="J332" s="373">
        <v>0</v>
      </c>
      <c r="K332" s="373">
        <v>0</v>
      </c>
      <c r="L332" s="374">
        <v>0</v>
      </c>
      <c r="M332" s="373">
        <v>0</v>
      </c>
      <c r="N332" s="373">
        <v>0</v>
      </c>
      <c r="O332" s="373">
        <v>0</v>
      </c>
      <c r="P332" s="373">
        <v>0</v>
      </c>
      <c r="Q332" s="373" t="e">
        <f ca="1">23*Bolts!$B332</f>
        <v>#NAME?</v>
      </c>
      <c r="R332" s="375" t="e">
        <f ca="1">2*Bolts!$B332</f>
        <v>#NAME?</v>
      </c>
      <c r="S332" s="375">
        <v>0</v>
      </c>
      <c r="T332" s="375">
        <v>0</v>
      </c>
      <c r="U332" s="375">
        <v>0</v>
      </c>
      <c r="V332" s="375" t="e">
        <f t="shared" ca="1" si="53"/>
        <v>#NAME?</v>
      </c>
    </row>
    <row r="333" spans="1:22" ht="14.25" hidden="1" customHeight="1">
      <c r="A333" s="376" t="s">
        <v>505</v>
      </c>
      <c r="B333" s="370" t="e">
        <f ca="1">_xludf.IFNA(VLOOKUP(Bolts!$A333,'Kilter Holds'!$P$37:$S$662,4,0),0)</f>
        <v>#NAME?</v>
      </c>
      <c r="C333" s="371">
        <v>5</v>
      </c>
      <c r="D333" s="373">
        <v>0</v>
      </c>
      <c r="E333" s="373">
        <v>0</v>
      </c>
      <c r="F333" s="373">
        <v>0</v>
      </c>
      <c r="G333" s="373">
        <v>0</v>
      </c>
      <c r="H333" s="373">
        <v>0</v>
      </c>
      <c r="I333" s="373">
        <v>0</v>
      </c>
      <c r="J333" s="373">
        <v>0</v>
      </c>
      <c r="K333" s="373">
        <v>0</v>
      </c>
      <c r="L333" s="374">
        <v>0</v>
      </c>
      <c r="M333" s="373">
        <v>0</v>
      </c>
      <c r="N333" s="373">
        <v>0</v>
      </c>
      <c r="O333" s="373">
        <v>0</v>
      </c>
      <c r="P333" s="373">
        <v>0</v>
      </c>
      <c r="Q333" s="373" t="e">
        <f ca="1">20*Bolts!$B333</f>
        <v>#NAME?</v>
      </c>
      <c r="R333" s="375">
        <v>0</v>
      </c>
      <c r="S333" s="375">
        <v>0</v>
      </c>
      <c r="T333" s="375">
        <v>0</v>
      </c>
      <c r="U333" s="375">
        <v>0</v>
      </c>
      <c r="V333" s="375" t="e">
        <f t="shared" ca="1" si="53"/>
        <v>#NAME?</v>
      </c>
    </row>
    <row r="334" spans="1:22" ht="14.25" hidden="1" customHeight="1">
      <c r="A334" s="376" t="s">
        <v>501</v>
      </c>
      <c r="B334" s="370" t="e">
        <f ca="1">_xludf.IFNA(VLOOKUP(Bolts!$A334,'Kilter Holds'!$P$37:$S$662,4,0),0)</f>
        <v>#NAME?</v>
      </c>
      <c r="C334" s="371">
        <v>3</v>
      </c>
      <c r="D334" s="373">
        <v>0</v>
      </c>
      <c r="E334" s="373">
        <v>0</v>
      </c>
      <c r="F334" s="373">
        <v>0</v>
      </c>
      <c r="G334" s="373">
        <v>0</v>
      </c>
      <c r="H334" s="373">
        <v>0</v>
      </c>
      <c r="I334" s="373">
        <v>0</v>
      </c>
      <c r="J334" s="373">
        <v>0</v>
      </c>
      <c r="K334" s="373">
        <v>0</v>
      </c>
      <c r="L334" s="374">
        <v>0</v>
      </c>
      <c r="M334" s="373">
        <v>0</v>
      </c>
      <c r="N334" s="373">
        <v>0</v>
      </c>
      <c r="O334" s="373">
        <v>0</v>
      </c>
      <c r="P334" s="373">
        <v>0</v>
      </c>
      <c r="Q334" s="373" t="e">
        <f ca="1">14*Bolts!$B334</f>
        <v>#NAME?</v>
      </c>
      <c r="R334" s="375">
        <v>0</v>
      </c>
      <c r="S334" s="375">
        <v>0</v>
      </c>
      <c r="T334" s="375">
        <v>0</v>
      </c>
      <c r="U334" s="375">
        <v>0</v>
      </c>
      <c r="V334" s="375" t="e">
        <f t="shared" ca="1" si="53"/>
        <v>#NAME?</v>
      </c>
    </row>
    <row r="335" spans="1:22" ht="14.25" hidden="1" customHeight="1">
      <c r="A335" s="376" t="s">
        <v>465</v>
      </c>
      <c r="B335" s="370" t="e">
        <f ca="1">_xludf.IFNA(VLOOKUP(Bolts!$A335,'Kilter Holds'!$P$37:$S$662,4,0),0)</f>
        <v>#NAME?</v>
      </c>
      <c r="C335" s="371">
        <v>2</v>
      </c>
      <c r="D335" s="373">
        <v>0</v>
      </c>
      <c r="E335" s="373">
        <v>0</v>
      </c>
      <c r="F335" s="373">
        <v>0</v>
      </c>
      <c r="G335" s="373">
        <v>0</v>
      </c>
      <c r="H335" s="373" t="e">
        <f ca="1">1*Bolts!$B335</f>
        <v>#NAME?</v>
      </c>
      <c r="I335" s="373" t="e">
        <f ca="1">1*Bolts!$B335</f>
        <v>#NAME?</v>
      </c>
      <c r="J335" s="373">
        <v>0</v>
      </c>
      <c r="K335" s="373">
        <v>0</v>
      </c>
      <c r="L335" s="374">
        <v>0</v>
      </c>
      <c r="M335" s="373">
        <v>0</v>
      </c>
      <c r="N335" s="373">
        <v>0</v>
      </c>
      <c r="O335" s="373">
        <v>0</v>
      </c>
      <c r="P335" s="373">
        <v>0</v>
      </c>
      <c r="Q335" s="373" t="e">
        <f ca="1">2*Bolts!$B335</f>
        <v>#NAME?</v>
      </c>
      <c r="R335" s="375" t="e">
        <f ca="1">2*Bolts!$B335</f>
        <v>#NAME?</v>
      </c>
      <c r="S335" s="375">
        <v>0</v>
      </c>
      <c r="T335" s="375">
        <v>0</v>
      </c>
      <c r="U335" s="375">
        <v>0</v>
      </c>
      <c r="V335" s="375" t="e">
        <f t="shared" ca="1" si="53"/>
        <v>#NAME?</v>
      </c>
    </row>
    <row r="336" spans="1:22" ht="14.25" hidden="1" customHeight="1">
      <c r="A336" s="376" t="s">
        <v>467</v>
      </c>
      <c r="B336" s="370" t="e">
        <f ca="1">_xludf.IFNA(VLOOKUP(Bolts!$A336,'Kilter Holds'!$P$37:$S$662,4,0),0)</f>
        <v>#NAME?</v>
      </c>
      <c r="C336" s="381">
        <v>1</v>
      </c>
      <c r="D336" s="373">
        <v>0</v>
      </c>
      <c r="E336" s="373">
        <v>0</v>
      </c>
      <c r="F336" s="373">
        <v>0</v>
      </c>
      <c r="G336" s="373">
        <v>0</v>
      </c>
      <c r="H336" s="373">
        <v>0</v>
      </c>
      <c r="I336" s="373" t="e">
        <f ca="1">1*Bolts!$B336</f>
        <v>#NAME?</v>
      </c>
      <c r="J336" s="373">
        <v>0</v>
      </c>
      <c r="K336" s="373">
        <v>0</v>
      </c>
      <c r="L336" s="373">
        <v>0</v>
      </c>
      <c r="M336" s="373">
        <v>0</v>
      </c>
      <c r="N336" s="373">
        <v>0</v>
      </c>
      <c r="O336" s="373">
        <v>0</v>
      </c>
      <c r="P336" s="373">
        <v>0</v>
      </c>
      <c r="Q336" s="373" t="e">
        <f ca="1">2*Bolts!$B336</f>
        <v>#NAME?</v>
      </c>
      <c r="R336" s="373" t="e">
        <f ca="1">2*Bolts!$B336</f>
        <v>#NAME?</v>
      </c>
      <c r="S336" s="380">
        <v>0</v>
      </c>
      <c r="T336" s="380">
        <f t="shared" ref="T336:T337" ca="1" si="54">IFERROR(1*B336,0)</f>
        <v>0</v>
      </c>
      <c r="U336" s="380">
        <f t="shared" ref="U336:U337" ca="1" si="55">IFERROR(2*B336,0)</f>
        <v>0</v>
      </c>
      <c r="V336" s="373" t="e">
        <f t="shared" ca="1" si="53"/>
        <v>#NAME?</v>
      </c>
    </row>
    <row r="337" spans="1:22" ht="14.25" hidden="1" customHeight="1">
      <c r="A337" s="376" t="s">
        <v>469</v>
      </c>
      <c r="B337" s="370" t="e">
        <f ca="1">_xludf.IFNA(VLOOKUP(Bolts!$A337,'Kilter Holds'!$P$37:$S$662,4,0),0)</f>
        <v>#NAME?</v>
      </c>
      <c r="C337" s="381">
        <v>1</v>
      </c>
      <c r="D337" s="373">
        <v>0</v>
      </c>
      <c r="E337" s="373">
        <v>0</v>
      </c>
      <c r="F337" s="373">
        <v>0</v>
      </c>
      <c r="G337" s="373">
        <v>0</v>
      </c>
      <c r="H337" s="373">
        <v>0</v>
      </c>
      <c r="I337" s="373" t="e">
        <f ca="1">1*Bolts!$B337</f>
        <v>#NAME?</v>
      </c>
      <c r="J337" s="373">
        <v>0</v>
      </c>
      <c r="K337" s="373">
        <v>0</v>
      </c>
      <c r="L337" s="373">
        <v>0</v>
      </c>
      <c r="M337" s="373">
        <v>0</v>
      </c>
      <c r="N337" s="373">
        <v>0</v>
      </c>
      <c r="O337" s="373">
        <v>0</v>
      </c>
      <c r="P337" s="373">
        <v>0</v>
      </c>
      <c r="Q337" s="373" t="e">
        <f ca="1">2*Bolts!$B337</f>
        <v>#NAME?</v>
      </c>
      <c r="R337" s="373" t="e">
        <f ca="1">2*Bolts!$B337</f>
        <v>#NAME?</v>
      </c>
      <c r="S337" s="380">
        <v>0</v>
      </c>
      <c r="T337" s="380">
        <f t="shared" ca="1" si="54"/>
        <v>0</v>
      </c>
      <c r="U337" s="380">
        <f t="shared" ca="1" si="55"/>
        <v>0</v>
      </c>
      <c r="V337" s="373" t="e">
        <f t="shared" ca="1" si="53"/>
        <v>#NAME?</v>
      </c>
    </row>
    <row r="338" spans="1:22" ht="14.25" hidden="1" customHeight="1">
      <c r="A338" s="376" t="s">
        <v>507</v>
      </c>
      <c r="B338" s="370" t="e">
        <f ca="1">_xludf.IFNA(VLOOKUP(Bolts!$A338,'Kilter Holds'!$P$37:$S$662,4,0),0)</f>
        <v>#NAME?</v>
      </c>
      <c r="C338" s="379">
        <v>5</v>
      </c>
      <c r="D338" s="373">
        <v>0</v>
      </c>
      <c r="E338" s="373">
        <v>0</v>
      </c>
      <c r="F338" s="373">
        <v>0</v>
      </c>
      <c r="G338" s="373">
        <v>0</v>
      </c>
      <c r="H338" s="373">
        <v>0</v>
      </c>
      <c r="I338" s="373">
        <v>0</v>
      </c>
      <c r="J338" s="373">
        <v>0</v>
      </c>
      <c r="K338" s="373">
        <v>0</v>
      </c>
      <c r="L338" s="374">
        <v>0</v>
      </c>
      <c r="M338" s="373">
        <v>0</v>
      </c>
      <c r="N338" s="373">
        <v>0</v>
      </c>
      <c r="O338" s="373">
        <v>0</v>
      </c>
      <c r="P338" s="373">
        <v>0</v>
      </c>
      <c r="Q338" s="373" t="e">
        <f ca="1">20*Bolts!$B338</f>
        <v>#NAME?</v>
      </c>
      <c r="R338" s="375">
        <v>0</v>
      </c>
      <c r="S338" s="380">
        <v>0</v>
      </c>
      <c r="T338" s="380">
        <v>0</v>
      </c>
      <c r="U338" s="380">
        <v>0</v>
      </c>
      <c r="V338" s="375" t="e">
        <f t="shared" ca="1" si="53"/>
        <v>#NAME?</v>
      </c>
    </row>
    <row r="339" spans="1:22" ht="14.25" hidden="1" customHeight="1">
      <c r="A339" s="376" t="s">
        <v>535</v>
      </c>
      <c r="B339" s="370" t="e">
        <f ca="1">_xludf.IFNA(VLOOKUP(Bolts!$A339,'Kilter Holds'!$P$37:$S$662,4,0),0)</f>
        <v>#NAME?</v>
      </c>
      <c r="C339" s="379">
        <v>2</v>
      </c>
      <c r="D339" s="373">
        <v>0</v>
      </c>
      <c r="E339" s="373">
        <v>0</v>
      </c>
      <c r="F339" s="373">
        <v>0</v>
      </c>
      <c r="G339" s="373">
        <v>0</v>
      </c>
      <c r="H339" s="373">
        <v>0</v>
      </c>
      <c r="I339" s="373">
        <v>0</v>
      </c>
      <c r="J339" s="373" t="e">
        <f ca="1">1*Bolts!$B339</f>
        <v>#NAME?</v>
      </c>
      <c r="K339" s="373">
        <v>0</v>
      </c>
      <c r="L339" s="374">
        <v>0</v>
      </c>
      <c r="M339" s="373">
        <v>0</v>
      </c>
      <c r="N339" s="373" t="e">
        <f ca="1">1*Bolts!$B339</f>
        <v>#NAME?</v>
      </c>
      <c r="O339" s="373">
        <v>0</v>
      </c>
      <c r="P339" s="373">
        <v>0</v>
      </c>
      <c r="Q339" s="373" t="e">
        <f ca="1">17*Bolts!$B339</f>
        <v>#NAME?</v>
      </c>
      <c r="R339" s="375">
        <v>0</v>
      </c>
      <c r="S339" s="380">
        <v>0</v>
      </c>
      <c r="T339" s="380">
        <v>0</v>
      </c>
      <c r="U339" s="380">
        <v>0</v>
      </c>
      <c r="V339" s="375" t="e">
        <f t="shared" ca="1" si="53"/>
        <v>#NAME?</v>
      </c>
    </row>
    <row r="340" spans="1:22" ht="14.25" hidden="1" customHeight="1">
      <c r="A340" s="376" t="s">
        <v>537</v>
      </c>
      <c r="B340" s="370" t="e">
        <f ca="1">_xludf.IFNA(VLOOKUP(Bolts!$A340,'Kilter Holds'!$P$37:$S$662,4,0),0)</f>
        <v>#NAME?</v>
      </c>
      <c r="C340" s="379">
        <v>1</v>
      </c>
      <c r="D340" s="373">
        <v>0</v>
      </c>
      <c r="E340" s="373">
        <v>0</v>
      </c>
      <c r="F340" s="373">
        <v>0</v>
      </c>
      <c r="G340" s="373">
        <v>0</v>
      </c>
      <c r="H340" s="373">
        <v>0</v>
      </c>
      <c r="I340" s="373">
        <v>0</v>
      </c>
      <c r="J340" s="373">
        <v>0</v>
      </c>
      <c r="K340" s="373">
        <v>0</v>
      </c>
      <c r="L340" s="374">
        <v>0</v>
      </c>
      <c r="M340" s="373">
        <v>0</v>
      </c>
      <c r="N340" s="373" t="e">
        <f ca="1">1*Bolts!$B340</f>
        <v>#NAME?</v>
      </c>
      <c r="O340" s="373">
        <v>0</v>
      </c>
      <c r="P340" s="373">
        <v>0</v>
      </c>
      <c r="Q340" s="373" t="e">
        <f ca="1">8*Bolts!$B340</f>
        <v>#NAME?</v>
      </c>
      <c r="R340" s="375">
        <v>0</v>
      </c>
      <c r="S340" s="380">
        <v>0</v>
      </c>
      <c r="T340" s="380">
        <v>0</v>
      </c>
      <c r="U340" s="380">
        <v>0</v>
      </c>
      <c r="V340" s="375" t="e">
        <f t="shared" ca="1" si="53"/>
        <v>#NAME?</v>
      </c>
    </row>
    <row r="341" spans="1:22" ht="14.25" hidden="1" customHeight="1">
      <c r="A341" s="376" t="s">
        <v>539</v>
      </c>
      <c r="B341" s="370" t="e">
        <f ca="1">_xludf.IFNA(VLOOKUP(Bolts!$A341,'Kilter Holds'!$P$37:$S$662,4,0),0)</f>
        <v>#NAME?</v>
      </c>
      <c r="C341" s="379">
        <v>1</v>
      </c>
      <c r="D341" s="373">
        <v>0</v>
      </c>
      <c r="E341" s="373">
        <v>0</v>
      </c>
      <c r="F341" s="373">
        <v>0</v>
      </c>
      <c r="G341" s="373">
        <v>0</v>
      </c>
      <c r="H341" s="373">
        <v>0</v>
      </c>
      <c r="I341" s="373">
        <v>0</v>
      </c>
      <c r="J341" s="373" t="e">
        <f ca="1">1*Bolts!$B341</f>
        <v>#NAME?</v>
      </c>
      <c r="K341" s="373">
        <v>0</v>
      </c>
      <c r="L341" s="374">
        <v>0</v>
      </c>
      <c r="M341" s="373">
        <v>0</v>
      </c>
      <c r="N341" s="373">
        <v>0</v>
      </c>
      <c r="O341" s="373">
        <v>0</v>
      </c>
      <c r="P341" s="373">
        <v>0</v>
      </c>
      <c r="Q341" s="373" t="e">
        <f ca="1">8*Bolts!$B341</f>
        <v>#NAME?</v>
      </c>
      <c r="R341" s="375">
        <v>0</v>
      </c>
      <c r="S341" s="380">
        <v>0</v>
      </c>
      <c r="T341" s="380">
        <v>0</v>
      </c>
      <c r="U341" s="380">
        <v>0</v>
      </c>
      <c r="V341" s="375" t="e">
        <f t="shared" ca="1" si="53"/>
        <v>#NAME?</v>
      </c>
    </row>
    <row r="342" spans="1:22" ht="14.25" hidden="1" customHeight="1">
      <c r="A342" s="376" t="s">
        <v>545</v>
      </c>
      <c r="B342" s="370" t="e">
        <f ca="1">_xludf.IFNA(VLOOKUP(Bolts!$A342,'Kilter Holds'!$P$37:$S$662,4,0),0)</f>
        <v>#NAME?</v>
      </c>
      <c r="C342" s="379">
        <v>2</v>
      </c>
      <c r="D342" s="373">
        <v>0</v>
      </c>
      <c r="E342" s="373">
        <v>0</v>
      </c>
      <c r="F342" s="373">
        <v>0</v>
      </c>
      <c r="G342" s="373">
        <v>0</v>
      </c>
      <c r="H342" s="373">
        <v>0</v>
      </c>
      <c r="I342" s="373">
        <v>0</v>
      </c>
      <c r="J342" s="373">
        <v>0</v>
      </c>
      <c r="K342" s="373">
        <v>0</v>
      </c>
      <c r="L342" s="374">
        <v>0</v>
      </c>
      <c r="M342" s="373" t="e">
        <f ca="1">1*Bolts!$B342</f>
        <v>#NAME?</v>
      </c>
      <c r="N342" s="373">
        <v>0</v>
      </c>
      <c r="O342" s="373" t="e">
        <f ca="1">1*Bolts!$B342</f>
        <v>#NAME?</v>
      </c>
      <c r="P342" s="373">
        <v>0</v>
      </c>
      <c r="Q342" s="373" t="e">
        <f ca="1">14*Bolts!$B342</f>
        <v>#NAME?</v>
      </c>
      <c r="R342" s="375">
        <v>0</v>
      </c>
      <c r="S342" s="380">
        <v>0</v>
      </c>
      <c r="T342" s="380">
        <v>0</v>
      </c>
      <c r="U342" s="380">
        <v>0</v>
      </c>
      <c r="V342" s="375" t="e">
        <f t="shared" ca="1" si="53"/>
        <v>#NAME?</v>
      </c>
    </row>
    <row r="343" spans="1:22" ht="14.25" hidden="1" customHeight="1">
      <c r="A343" s="376" t="s">
        <v>511</v>
      </c>
      <c r="B343" s="370" t="e">
        <f ca="1">_xludf.IFNA(VLOOKUP(Bolts!$A343,'Kilter Holds'!$P$37:$S$662,4,0),0)</f>
        <v>#NAME?</v>
      </c>
      <c r="C343" s="379">
        <v>5</v>
      </c>
      <c r="D343" s="373">
        <v>0</v>
      </c>
      <c r="E343" s="373">
        <v>0</v>
      </c>
      <c r="F343" s="373">
        <v>0</v>
      </c>
      <c r="G343" s="373">
        <v>0</v>
      </c>
      <c r="H343" s="373">
        <v>0</v>
      </c>
      <c r="I343" s="373">
        <v>0</v>
      </c>
      <c r="J343" s="373">
        <v>0</v>
      </c>
      <c r="K343" s="373">
        <v>0</v>
      </c>
      <c r="L343" s="374">
        <v>0</v>
      </c>
      <c r="M343" s="373">
        <v>0</v>
      </c>
      <c r="N343" s="373">
        <v>0</v>
      </c>
      <c r="O343" s="373">
        <v>0</v>
      </c>
      <c r="P343" s="373">
        <v>0</v>
      </c>
      <c r="Q343" s="373" t="e">
        <f ca="1">17*Bolts!$B343</f>
        <v>#NAME?</v>
      </c>
      <c r="R343" s="375">
        <v>0</v>
      </c>
      <c r="S343" s="380">
        <v>0</v>
      </c>
      <c r="T343" s="380">
        <v>0</v>
      </c>
      <c r="U343" s="380">
        <v>0</v>
      </c>
      <c r="V343" s="375" t="e">
        <f t="shared" ca="1" si="53"/>
        <v>#NAME?</v>
      </c>
    </row>
    <row r="344" spans="1:22" ht="14.25" hidden="1" customHeight="1">
      <c r="A344" s="376" t="s">
        <v>875</v>
      </c>
      <c r="B344" s="370" t="e">
        <f ca="1">_xludf.IFNA(VLOOKUP(Bolts!$A344,'Kilter Holds'!$P$37:$S$662,4,0),0)</f>
        <v>#NAME?</v>
      </c>
      <c r="C344" s="371">
        <v>10</v>
      </c>
      <c r="D344" s="373">
        <v>0</v>
      </c>
      <c r="E344" s="373">
        <v>0</v>
      </c>
      <c r="F344" s="373">
        <v>0</v>
      </c>
      <c r="G344" s="373">
        <v>0</v>
      </c>
      <c r="H344" s="373">
        <v>0</v>
      </c>
      <c r="I344" s="373">
        <v>0</v>
      </c>
      <c r="J344" s="373">
        <v>0</v>
      </c>
      <c r="K344" s="373">
        <v>0</v>
      </c>
      <c r="L344" s="374">
        <v>0</v>
      </c>
      <c r="M344" s="373">
        <v>0</v>
      </c>
      <c r="N344" s="373">
        <v>0</v>
      </c>
      <c r="O344" s="373">
        <v>0</v>
      </c>
      <c r="P344" s="373">
        <v>0</v>
      </c>
      <c r="Q344" s="373">
        <f ca="1">IFERROR(24*B344,0)</f>
        <v>0</v>
      </c>
      <c r="R344" s="375">
        <v>0</v>
      </c>
      <c r="S344" s="375">
        <v>0</v>
      </c>
      <c r="T344" s="375">
        <v>0</v>
      </c>
      <c r="U344" s="375">
        <v>0</v>
      </c>
      <c r="V344" s="375" t="e">
        <f t="shared" ca="1" si="53"/>
        <v>#NAME?</v>
      </c>
    </row>
    <row r="345" spans="1:22" ht="14.25" hidden="1" customHeight="1">
      <c r="A345" s="376" t="s">
        <v>877</v>
      </c>
      <c r="B345" s="370" t="e">
        <f ca="1">_xludf.IFNA(VLOOKUP(Bolts!$A345,'Kilter Holds'!$P$37:$S$662,4,0),0)</f>
        <v>#NAME?</v>
      </c>
      <c r="C345" s="371">
        <v>5</v>
      </c>
      <c r="D345" s="373">
        <v>0</v>
      </c>
      <c r="E345" s="373">
        <v>0</v>
      </c>
      <c r="F345" s="373">
        <v>0</v>
      </c>
      <c r="G345" s="373">
        <v>0</v>
      </c>
      <c r="H345" s="373">
        <v>0</v>
      </c>
      <c r="I345" s="373">
        <v>0</v>
      </c>
      <c r="J345" s="373">
        <v>0</v>
      </c>
      <c r="K345" s="373">
        <v>0</v>
      </c>
      <c r="L345" s="374">
        <v>0</v>
      </c>
      <c r="M345" s="373">
        <v>0</v>
      </c>
      <c r="N345" s="373">
        <v>0</v>
      </c>
      <c r="O345" s="373">
        <v>0</v>
      </c>
      <c r="P345" s="373">
        <v>0</v>
      </c>
      <c r="Q345" s="373">
        <f ca="1">IFERROR(15*B345,0)</f>
        <v>0</v>
      </c>
      <c r="R345" s="375">
        <v>0</v>
      </c>
      <c r="S345" s="375">
        <v>0</v>
      </c>
      <c r="T345" s="375">
        <v>0</v>
      </c>
      <c r="U345" s="375">
        <v>0</v>
      </c>
      <c r="V345" s="375" t="e">
        <f t="shared" ca="1" si="53"/>
        <v>#NAME?</v>
      </c>
    </row>
    <row r="346" spans="1:22" ht="14.25" hidden="1" customHeight="1">
      <c r="A346" s="376" t="s">
        <v>879</v>
      </c>
      <c r="B346" s="370" t="e">
        <f ca="1">_xludf.IFNA(VLOOKUP(Bolts!$A346,'Kilter Holds'!$P$37:$S$662,4,0),0)</f>
        <v>#NAME?</v>
      </c>
      <c r="C346" s="371">
        <v>11</v>
      </c>
      <c r="D346" s="373">
        <v>0</v>
      </c>
      <c r="E346" s="373">
        <v>0</v>
      </c>
      <c r="F346" s="373">
        <v>0</v>
      </c>
      <c r="G346" s="373">
        <v>0</v>
      </c>
      <c r="H346" s="373">
        <v>0</v>
      </c>
      <c r="I346" s="373">
        <v>0</v>
      </c>
      <c r="J346" s="373">
        <v>0</v>
      </c>
      <c r="K346" s="373">
        <v>0</v>
      </c>
      <c r="L346" s="374">
        <v>0</v>
      </c>
      <c r="M346" s="373">
        <v>0</v>
      </c>
      <c r="N346" s="373">
        <v>0</v>
      </c>
      <c r="O346" s="373">
        <v>0</v>
      </c>
      <c r="P346" s="373">
        <v>0</v>
      </c>
      <c r="Q346" s="373">
        <f ca="1">IFERROR(32*B346,0)</f>
        <v>0</v>
      </c>
      <c r="R346" s="375">
        <v>0</v>
      </c>
      <c r="S346" s="375">
        <v>0</v>
      </c>
      <c r="T346" s="375">
        <v>0</v>
      </c>
      <c r="U346" s="375">
        <v>0</v>
      </c>
      <c r="V346" s="375" t="e">
        <f t="shared" ca="1" si="53"/>
        <v>#NAME?</v>
      </c>
    </row>
    <row r="347" spans="1:22" ht="14.25" hidden="1" customHeight="1">
      <c r="A347" s="376" t="s">
        <v>881</v>
      </c>
      <c r="B347" s="370" t="e">
        <f ca="1">_xludf.IFNA(VLOOKUP(Bolts!$A347,'Kilter Holds'!$P$37:$S$662,4,0),0)</f>
        <v>#NAME?</v>
      </c>
      <c r="C347" s="371">
        <v>5</v>
      </c>
      <c r="D347" s="373">
        <v>0</v>
      </c>
      <c r="E347" s="373">
        <v>0</v>
      </c>
      <c r="F347" s="373">
        <v>0</v>
      </c>
      <c r="G347" s="373">
        <v>0</v>
      </c>
      <c r="H347" s="373">
        <v>0</v>
      </c>
      <c r="I347" s="373">
        <v>0</v>
      </c>
      <c r="J347" s="373">
        <v>0</v>
      </c>
      <c r="K347" s="373">
        <v>0</v>
      </c>
      <c r="L347" s="374">
        <v>0</v>
      </c>
      <c r="M347" s="373">
        <v>0</v>
      </c>
      <c r="N347" s="373">
        <v>0</v>
      </c>
      <c r="O347" s="373">
        <v>0</v>
      </c>
      <c r="P347" s="373">
        <v>0</v>
      </c>
      <c r="Q347" s="373">
        <f ca="1">IFERROR(11*B347,0)</f>
        <v>0</v>
      </c>
      <c r="R347" s="373">
        <f ca="1">IFERROR(5*B347,0)</f>
        <v>0</v>
      </c>
      <c r="S347" s="375">
        <v>0</v>
      </c>
      <c r="T347" s="375">
        <v>0</v>
      </c>
      <c r="U347" s="375">
        <v>0</v>
      </c>
      <c r="V347" s="375" t="e">
        <f t="shared" ca="1" si="53"/>
        <v>#NAME?</v>
      </c>
    </row>
    <row r="348" spans="1:22" ht="14.25" hidden="1" customHeight="1">
      <c r="A348" s="376" t="s">
        <v>1222</v>
      </c>
      <c r="B348" s="370" t="e">
        <f ca="1">_xludf.IFNA(VLOOKUP(Bolts!$A348,'Kilter Holds'!$P$37:$S$662,4,0),0)</f>
        <v>#NAME?</v>
      </c>
      <c r="C348" s="371">
        <v>10</v>
      </c>
      <c r="D348" s="373">
        <v>0</v>
      </c>
      <c r="E348" s="373">
        <v>0</v>
      </c>
      <c r="F348" s="373">
        <v>0</v>
      </c>
      <c r="G348" s="373">
        <v>0</v>
      </c>
      <c r="H348" s="373">
        <v>0</v>
      </c>
      <c r="I348" s="373">
        <v>0</v>
      </c>
      <c r="J348" s="373">
        <v>0</v>
      </c>
      <c r="K348" s="373">
        <v>0</v>
      </c>
      <c r="L348" s="374">
        <v>0</v>
      </c>
      <c r="M348" s="373">
        <v>0</v>
      </c>
      <c r="N348" s="373">
        <v>0</v>
      </c>
      <c r="O348" s="373">
        <v>0</v>
      </c>
      <c r="P348" s="373">
        <v>0</v>
      </c>
      <c r="Q348" s="373">
        <f ca="1">IFERROR(31*B348,0)</f>
        <v>0</v>
      </c>
      <c r="R348" s="375">
        <v>0</v>
      </c>
      <c r="S348" s="375">
        <v>0</v>
      </c>
      <c r="T348" s="375">
        <v>0</v>
      </c>
      <c r="U348" s="375">
        <v>0</v>
      </c>
      <c r="V348" s="375" t="e">
        <f t="shared" ca="1" si="53"/>
        <v>#NAME?</v>
      </c>
    </row>
    <row r="349" spans="1:22" ht="14.25" hidden="1" customHeight="1">
      <c r="A349" s="376" t="s">
        <v>375</v>
      </c>
      <c r="B349" s="370" t="e">
        <f ca="1">_xludf.IFNA(VLOOKUP(Bolts!$A349,'Kilter Holds'!$P$37:$S$662,4,0),0)</f>
        <v>#NAME?</v>
      </c>
      <c r="C349" s="371">
        <v>3</v>
      </c>
      <c r="D349" s="373">
        <v>0</v>
      </c>
      <c r="E349" s="373">
        <v>0</v>
      </c>
      <c r="F349" s="373">
        <v>0</v>
      </c>
      <c r="G349" s="373">
        <v>0</v>
      </c>
      <c r="H349" s="373">
        <v>0</v>
      </c>
      <c r="I349" s="373">
        <v>0</v>
      </c>
      <c r="J349" s="373">
        <v>0</v>
      </c>
      <c r="K349" s="373">
        <v>0</v>
      </c>
      <c r="L349" s="374">
        <v>0</v>
      </c>
      <c r="M349" s="373">
        <v>0</v>
      </c>
      <c r="N349" s="373">
        <v>0</v>
      </c>
      <c r="O349" s="373">
        <v>0</v>
      </c>
      <c r="P349" s="373">
        <v>0</v>
      </c>
      <c r="Q349" s="373">
        <v>0</v>
      </c>
      <c r="R349" s="373">
        <f ca="1">IFERROR(9*B349,0)</f>
        <v>0</v>
      </c>
      <c r="S349" s="375">
        <v>0</v>
      </c>
      <c r="T349" s="375">
        <v>0</v>
      </c>
      <c r="U349" s="375">
        <v>0</v>
      </c>
      <c r="V349" s="375" t="e">
        <f t="shared" ca="1" si="53"/>
        <v>#NAME?</v>
      </c>
    </row>
    <row r="350" spans="1:22" ht="14.25" hidden="1" customHeight="1">
      <c r="A350" s="376" t="s">
        <v>629</v>
      </c>
      <c r="B350" s="370" t="e">
        <f ca="1">_xludf.IFNA(VLOOKUP(Bolts!$A350,'Kilter Holds'!$P$37:$S$662,4,0),0)</f>
        <v>#NAME?</v>
      </c>
      <c r="C350" s="371">
        <v>4</v>
      </c>
      <c r="D350" s="373">
        <v>0</v>
      </c>
      <c r="E350" s="373">
        <v>0</v>
      </c>
      <c r="F350" s="373">
        <v>0</v>
      </c>
      <c r="G350" s="373">
        <v>0</v>
      </c>
      <c r="H350" s="373">
        <v>0</v>
      </c>
      <c r="I350" s="373">
        <v>0</v>
      </c>
      <c r="J350" s="373">
        <v>0</v>
      </c>
      <c r="K350" s="373">
        <v>0</v>
      </c>
      <c r="L350" s="374">
        <v>0</v>
      </c>
      <c r="M350" s="373">
        <v>0</v>
      </c>
      <c r="N350" s="373">
        <v>0</v>
      </c>
      <c r="O350" s="373">
        <v>0</v>
      </c>
      <c r="P350" s="373">
        <v>0</v>
      </c>
      <c r="Q350" s="373">
        <f ca="1">IFERROR(11*B350,0)</f>
        <v>0</v>
      </c>
      <c r="R350" s="373">
        <f ca="1">IFERROR(4*B350,0)</f>
        <v>0</v>
      </c>
      <c r="S350" s="375">
        <v>0</v>
      </c>
      <c r="T350" s="375">
        <v>0</v>
      </c>
      <c r="U350" s="375">
        <v>0</v>
      </c>
      <c r="V350" s="375" t="e">
        <f t="shared" ca="1" si="53"/>
        <v>#NAME?</v>
      </c>
    </row>
    <row r="351" spans="1:22" ht="14.25" hidden="1" customHeight="1">
      <c r="A351" s="376" t="s">
        <v>377</v>
      </c>
      <c r="B351" s="370" t="e">
        <f ca="1">_xludf.IFNA(VLOOKUP(Bolts!$A351,'Kilter Holds'!$P$37:$S$662,4,0),0)</f>
        <v>#NAME?</v>
      </c>
      <c r="C351" s="371">
        <v>5</v>
      </c>
      <c r="D351" s="373">
        <v>0</v>
      </c>
      <c r="E351" s="373">
        <v>0</v>
      </c>
      <c r="F351" s="373">
        <v>0</v>
      </c>
      <c r="G351" s="373">
        <v>0</v>
      </c>
      <c r="H351" s="373">
        <v>0</v>
      </c>
      <c r="I351" s="373">
        <v>0</v>
      </c>
      <c r="J351" s="373">
        <v>0</v>
      </c>
      <c r="K351" s="373">
        <v>0</v>
      </c>
      <c r="L351" s="374">
        <v>0</v>
      </c>
      <c r="M351" s="373">
        <v>0</v>
      </c>
      <c r="N351" s="373">
        <v>0</v>
      </c>
      <c r="O351" s="373">
        <v>0</v>
      </c>
      <c r="P351" s="373">
        <v>0</v>
      </c>
      <c r="Q351" s="373">
        <f ca="1">IFERROR(20*B351,0)</f>
        <v>0</v>
      </c>
      <c r="R351" s="375">
        <v>0</v>
      </c>
      <c r="S351" s="375">
        <v>0</v>
      </c>
      <c r="T351" s="375">
        <v>0</v>
      </c>
      <c r="U351" s="375">
        <v>0</v>
      </c>
      <c r="V351" s="375" t="e">
        <f t="shared" ca="1" si="53"/>
        <v>#NAME?</v>
      </c>
    </row>
    <row r="352" spans="1:22" ht="14.25" hidden="1" customHeight="1">
      <c r="A352" s="376" t="s">
        <v>631</v>
      </c>
      <c r="B352" s="370" t="e">
        <f ca="1">_xludf.IFNA(VLOOKUP(Bolts!$A352,'Kilter Holds'!$P$37:$S$662,4,0),0)</f>
        <v>#NAME?</v>
      </c>
      <c r="C352" s="371">
        <v>4</v>
      </c>
      <c r="D352" s="373">
        <v>0</v>
      </c>
      <c r="E352" s="373">
        <v>0</v>
      </c>
      <c r="F352" s="373">
        <v>0</v>
      </c>
      <c r="G352" s="373">
        <v>0</v>
      </c>
      <c r="H352" s="373">
        <v>0</v>
      </c>
      <c r="I352" s="373">
        <v>0</v>
      </c>
      <c r="J352" s="373">
        <v>0</v>
      </c>
      <c r="K352" s="373">
        <v>0</v>
      </c>
      <c r="L352" s="374">
        <v>0</v>
      </c>
      <c r="M352" s="373">
        <v>0</v>
      </c>
      <c r="N352" s="373">
        <v>0</v>
      </c>
      <c r="O352" s="373">
        <v>0</v>
      </c>
      <c r="P352" s="373">
        <v>0</v>
      </c>
      <c r="Q352" s="373">
        <f ca="1">IFERROR(12*B352,0)</f>
        <v>0</v>
      </c>
      <c r="R352" s="375">
        <v>0</v>
      </c>
      <c r="S352" s="375">
        <v>0</v>
      </c>
      <c r="T352" s="375">
        <v>0</v>
      </c>
      <c r="U352" s="375">
        <v>0</v>
      </c>
      <c r="V352" s="375" t="e">
        <f t="shared" ca="1" si="53"/>
        <v>#NAME?</v>
      </c>
    </row>
    <row r="353" spans="1:22" ht="14.25" hidden="1" customHeight="1">
      <c r="A353" s="376" t="s">
        <v>1224</v>
      </c>
      <c r="B353" s="370" t="e">
        <f ca="1">_xludf.IFNA(VLOOKUP(Bolts!$A353,'Kilter Holds'!$P$37:$S$662,4,0),0)</f>
        <v>#NAME?</v>
      </c>
      <c r="C353" s="371">
        <v>11</v>
      </c>
      <c r="D353" s="373">
        <v>0</v>
      </c>
      <c r="E353" s="373">
        <v>0</v>
      </c>
      <c r="F353" s="373">
        <v>0</v>
      </c>
      <c r="G353" s="373">
        <v>0</v>
      </c>
      <c r="H353" s="373">
        <v>0</v>
      </c>
      <c r="I353" s="373">
        <v>0</v>
      </c>
      <c r="J353" s="373">
        <v>0</v>
      </c>
      <c r="K353" s="373">
        <v>0</v>
      </c>
      <c r="L353" s="374">
        <v>0</v>
      </c>
      <c r="M353" s="373">
        <v>0</v>
      </c>
      <c r="N353" s="373">
        <v>0</v>
      </c>
      <c r="O353" s="373">
        <v>0</v>
      </c>
      <c r="P353" s="373">
        <v>0</v>
      </c>
      <c r="Q353" s="373">
        <f ca="1">IFERROR(44*B353,0)</f>
        <v>0</v>
      </c>
      <c r="R353" s="375">
        <v>0</v>
      </c>
      <c r="S353" s="375">
        <v>0</v>
      </c>
      <c r="T353" s="375">
        <v>0</v>
      </c>
      <c r="U353" s="375">
        <v>0</v>
      </c>
      <c r="V353" s="375" t="e">
        <f t="shared" ca="1" si="53"/>
        <v>#NAME?</v>
      </c>
    </row>
    <row r="354" spans="1:22" ht="14.25" hidden="1" customHeight="1">
      <c r="A354" s="377" t="s">
        <v>529</v>
      </c>
      <c r="B354" s="370" t="e">
        <f ca="1">_xludf.IFNA(VLOOKUP(Bolts!$A354,'Kilter Holds'!$P$37:$S$662,4,0),0)</f>
        <v>#NAME?</v>
      </c>
      <c r="C354" s="371">
        <v>2</v>
      </c>
      <c r="D354" s="373">
        <v>0</v>
      </c>
      <c r="E354" s="373">
        <v>0</v>
      </c>
      <c r="F354" s="373">
        <v>0</v>
      </c>
      <c r="G354" s="373">
        <v>0</v>
      </c>
      <c r="H354" s="373">
        <v>0</v>
      </c>
      <c r="I354" s="373">
        <v>0</v>
      </c>
      <c r="J354" s="373">
        <v>0</v>
      </c>
      <c r="K354" s="373">
        <v>0</v>
      </c>
      <c r="L354" s="374">
        <v>0</v>
      </c>
      <c r="M354" s="373" t="e">
        <f ca="1">Bolts!$B354*1</f>
        <v>#NAME?</v>
      </c>
      <c r="N354" s="373" t="e">
        <f ca="1">Bolts!$B354*1</f>
        <v>#NAME?</v>
      </c>
      <c r="O354" s="373">
        <v>0</v>
      </c>
      <c r="P354" s="373">
        <v>0</v>
      </c>
      <c r="Q354" s="373">
        <v>0</v>
      </c>
      <c r="R354" s="373">
        <v>0</v>
      </c>
      <c r="S354" s="375">
        <v>0</v>
      </c>
      <c r="T354" s="375">
        <v>0</v>
      </c>
      <c r="U354" s="375">
        <v>0</v>
      </c>
      <c r="V354" s="375" t="e">
        <f t="shared" ca="1" si="53"/>
        <v>#NAME?</v>
      </c>
    </row>
    <row r="355" spans="1:22" ht="14.25" hidden="1" customHeight="1">
      <c r="A355" s="376" t="s">
        <v>531</v>
      </c>
      <c r="B355" s="370" t="e">
        <f ca="1">_xludf.IFNA(VLOOKUP(Bolts!$A355,'Kilter Holds'!$P$37:$S$662,4,0),0)</f>
        <v>#NAME?</v>
      </c>
      <c r="C355" s="371">
        <v>1</v>
      </c>
      <c r="D355" s="373">
        <v>0</v>
      </c>
      <c r="E355" s="373">
        <v>0</v>
      </c>
      <c r="F355" s="373">
        <v>0</v>
      </c>
      <c r="G355" s="373">
        <v>0</v>
      </c>
      <c r="H355" s="373">
        <v>0</v>
      </c>
      <c r="I355" s="373">
        <v>0</v>
      </c>
      <c r="J355" s="373">
        <v>0</v>
      </c>
      <c r="K355" s="373">
        <v>0</v>
      </c>
      <c r="L355" s="374">
        <v>0</v>
      </c>
      <c r="M355" s="373" t="e">
        <f ca="1">Bolts!$B355*1</f>
        <v>#NAME?</v>
      </c>
      <c r="N355" s="373">
        <v>0</v>
      </c>
      <c r="O355" s="373">
        <v>0</v>
      </c>
      <c r="P355" s="373">
        <v>0</v>
      </c>
      <c r="Q355" s="373">
        <v>0</v>
      </c>
      <c r="R355" s="373">
        <v>0</v>
      </c>
      <c r="S355" s="375">
        <v>0</v>
      </c>
      <c r="T355" s="375">
        <v>0</v>
      </c>
      <c r="U355" s="375">
        <v>0</v>
      </c>
      <c r="V355" s="375" t="e">
        <f t="shared" ca="1" si="53"/>
        <v>#NAME?</v>
      </c>
    </row>
    <row r="356" spans="1:22" ht="14.25" hidden="1" customHeight="1">
      <c r="A356" s="376" t="s">
        <v>533</v>
      </c>
      <c r="B356" s="370" t="e">
        <f ca="1">_xludf.IFNA(VLOOKUP(Bolts!$A356,'Kilter Holds'!$P$37:$S$662,4,0),0)</f>
        <v>#NAME?</v>
      </c>
      <c r="C356" s="371">
        <v>1</v>
      </c>
      <c r="D356" s="373">
        <v>0</v>
      </c>
      <c r="E356" s="373">
        <v>0</v>
      </c>
      <c r="F356" s="373">
        <v>0</v>
      </c>
      <c r="G356" s="373">
        <v>0</v>
      </c>
      <c r="H356" s="373">
        <v>0</v>
      </c>
      <c r="I356" s="373">
        <v>0</v>
      </c>
      <c r="J356" s="373">
        <v>0</v>
      </c>
      <c r="K356" s="373">
        <v>0</v>
      </c>
      <c r="L356" s="374">
        <v>0</v>
      </c>
      <c r="M356" s="373">
        <v>0</v>
      </c>
      <c r="N356" s="373" t="e">
        <f ca="1">Bolts!$B356*1</f>
        <v>#NAME?</v>
      </c>
      <c r="O356" s="373">
        <v>0</v>
      </c>
      <c r="P356" s="373">
        <v>0</v>
      </c>
      <c r="Q356" s="373">
        <v>0</v>
      </c>
      <c r="R356" s="373">
        <v>0</v>
      </c>
      <c r="S356" s="375">
        <v>0</v>
      </c>
      <c r="T356" s="375">
        <v>0</v>
      </c>
      <c r="U356" s="375">
        <v>0</v>
      </c>
      <c r="V356" s="375" t="e">
        <f t="shared" ca="1" si="53"/>
        <v>#NAME?</v>
      </c>
    </row>
    <row r="357" spans="1:22" ht="14.25" hidden="1" customHeight="1">
      <c r="A357" s="377" t="s">
        <v>618</v>
      </c>
      <c r="B357" s="370" t="e">
        <f ca="1">_xludf.IFNA(VLOOKUP(Bolts!$A357,'Kilter Holds'!$P$37:$S$662,4,0),0)</f>
        <v>#NAME?</v>
      </c>
      <c r="C357" s="371">
        <v>20</v>
      </c>
      <c r="D357" s="373">
        <f t="shared" ref="D357:D360" ca="1" si="56">IFERROR(20*B357,0)</f>
        <v>0</v>
      </c>
      <c r="E357" s="373">
        <v>0</v>
      </c>
      <c r="F357" s="373">
        <v>0</v>
      </c>
      <c r="G357" s="373">
        <v>0</v>
      </c>
      <c r="H357" s="373">
        <v>0</v>
      </c>
      <c r="I357" s="373">
        <v>0</v>
      </c>
      <c r="J357" s="373">
        <v>0</v>
      </c>
      <c r="K357" s="373">
        <v>0</v>
      </c>
      <c r="L357" s="374">
        <v>0</v>
      </c>
      <c r="M357" s="373">
        <v>0</v>
      </c>
      <c r="N357" s="373">
        <v>0</v>
      </c>
      <c r="O357" s="373">
        <v>0</v>
      </c>
      <c r="P357" s="373">
        <v>0</v>
      </c>
      <c r="Q357" s="373">
        <v>0</v>
      </c>
      <c r="R357" s="373">
        <v>0</v>
      </c>
      <c r="S357" s="375">
        <v>0</v>
      </c>
      <c r="T357" s="375">
        <v>0</v>
      </c>
      <c r="U357" s="375">
        <v>0</v>
      </c>
      <c r="V357" s="375" t="e">
        <f t="shared" ca="1" si="53"/>
        <v>#NAME?</v>
      </c>
    </row>
    <row r="358" spans="1:22" ht="14.25" hidden="1" customHeight="1">
      <c r="A358" s="377" t="s">
        <v>673</v>
      </c>
      <c r="B358" s="370" t="e">
        <f ca="1">_xludf.IFNA(VLOOKUP(Bolts!$A358,'Kilter Holds'!$P$37:$S$662,4,0),0)</f>
        <v>#NAME?</v>
      </c>
      <c r="C358" s="371">
        <v>20</v>
      </c>
      <c r="D358" s="373">
        <f t="shared" ca="1" si="56"/>
        <v>0</v>
      </c>
      <c r="E358" s="373">
        <v>0</v>
      </c>
      <c r="F358" s="373">
        <v>0</v>
      </c>
      <c r="G358" s="373">
        <v>0</v>
      </c>
      <c r="H358" s="373">
        <v>0</v>
      </c>
      <c r="I358" s="373">
        <v>0</v>
      </c>
      <c r="J358" s="373">
        <v>0</v>
      </c>
      <c r="K358" s="373">
        <v>0</v>
      </c>
      <c r="L358" s="374">
        <v>0</v>
      </c>
      <c r="M358" s="373">
        <v>0</v>
      </c>
      <c r="N358" s="373">
        <v>0</v>
      </c>
      <c r="O358" s="373">
        <v>0</v>
      </c>
      <c r="P358" s="373">
        <v>0</v>
      </c>
      <c r="Q358" s="373">
        <v>0</v>
      </c>
      <c r="R358" s="373">
        <v>0</v>
      </c>
      <c r="S358" s="375">
        <v>0</v>
      </c>
      <c r="T358" s="375">
        <v>0</v>
      </c>
      <c r="U358" s="375">
        <v>0</v>
      </c>
      <c r="V358" s="375" t="e">
        <f t="shared" ca="1" si="53"/>
        <v>#NAME?</v>
      </c>
    </row>
    <row r="359" spans="1:22" ht="14.25" hidden="1" customHeight="1">
      <c r="A359" s="377" t="s">
        <v>620</v>
      </c>
      <c r="B359" s="370" t="e">
        <f ca="1">_xludf.IFNA(VLOOKUP(Bolts!$A359,'Kilter Holds'!$P$37:$S$662,4,0),0)</f>
        <v>#NAME?</v>
      </c>
      <c r="C359" s="371">
        <v>20</v>
      </c>
      <c r="D359" s="373">
        <f t="shared" ca="1" si="56"/>
        <v>0</v>
      </c>
      <c r="E359" s="373">
        <v>0</v>
      </c>
      <c r="F359" s="373">
        <v>0</v>
      </c>
      <c r="G359" s="373">
        <v>0</v>
      </c>
      <c r="H359" s="373">
        <v>0</v>
      </c>
      <c r="I359" s="373">
        <v>0</v>
      </c>
      <c r="J359" s="373">
        <v>0</v>
      </c>
      <c r="K359" s="373">
        <v>0</v>
      </c>
      <c r="L359" s="374">
        <v>0</v>
      </c>
      <c r="M359" s="373">
        <v>0</v>
      </c>
      <c r="N359" s="373">
        <v>0</v>
      </c>
      <c r="O359" s="373">
        <v>0</v>
      </c>
      <c r="P359" s="373">
        <v>0</v>
      </c>
      <c r="Q359" s="373">
        <v>0</v>
      </c>
      <c r="R359" s="373">
        <v>0</v>
      </c>
      <c r="S359" s="375">
        <v>0</v>
      </c>
      <c r="T359" s="375">
        <v>0</v>
      </c>
      <c r="U359" s="375">
        <v>0</v>
      </c>
      <c r="V359" s="375" t="e">
        <f t="shared" ca="1" si="53"/>
        <v>#NAME?</v>
      </c>
    </row>
    <row r="360" spans="1:22" ht="14.25" hidden="1" customHeight="1">
      <c r="A360" s="377" t="s">
        <v>622</v>
      </c>
      <c r="B360" s="370" t="e">
        <f ca="1">_xludf.IFNA(VLOOKUP(Bolts!$A360,'Kilter Holds'!$P$37:$S$662,4,0),0)</f>
        <v>#NAME?</v>
      </c>
      <c r="C360" s="371">
        <v>20</v>
      </c>
      <c r="D360" s="373">
        <f t="shared" ca="1" si="56"/>
        <v>0</v>
      </c>
      <c r="E360" s="373">
        <v>0</v>
      </c>
      <c r="F360" s="373">
        <v>0</v>
      </c>
      <c r="G360" s="373">
        <v>0</v>
      </c>
      <c r="H360" s="373">
        <v>0</v>
      </c>
      <c r="I360" s="373">
        <v>0</v>
      </c>
      <c r="J360" s="373">
        <v>0</v>
      </c>
      <c r="K360" s="373">
        <v>0</v>
      </c>
      <c r="L360" s="374">
        <v>0</v>
      </c>
      <c r="M360" s="373">
        <v>0</v>
      </c>
      <c r="N360" s="373">
        <v>0</v>
      </c>
      <c r="O360" s="373">
        <v>0</v>
      </c>
      <c r="P360" s="373">
        <v>0</v>
      </c>
      <c r="Q360" s="373">
        <v>0</v>
      </c>
      <c r="R360" s="373">
        <v>0</v>
      </c>
      <c r="S360" s="375">
        <v>0</v>
      </c>
      <c r="T360" s="375">
        <v>0</v>
      </c>
      <c r="U360" s="375">
        <v>0</v>
      </c>
      <c r="V360" s="375" t="e">
        <f t="shared" ca="1" si="53"/>
        <v>#NAME?</v>
      </c>
    </row>
    <row r="361" spans="1:22" ht="14.25" hidden="1" customHeight="1">
      <c r="A361" s="377" t="s">
        <v>633</v>
      </c>
      <c r="B361" s="370" t="e">
        <f ca="1">_xludf.IFNA(VLOOKUP(Bolts!$A361,'Kilter Holds'!$P$37:$S$662,4,0),0)</f>
        <v>#NAME?</v>
      </c>
      <c r="C361" s="371">
        <v>22</v>
      </c>
      <c r="D361" s="373">
        <v>0</v>
      </c>
      <c r="E361" s="373">
        <v>0</v>
      </c>
      <c r="F361" s="373">
        <v>0</v>
      </c>
      <c r="G361" s="373">
        <v>0</v>
      </c>
      <c r="H361" s="373">
        <v>0</v>
      </c>
      <c r="I361" s="373">
        <v>0</v>
      </c>
      <c r="J361" s="373">
        <v>0</v>
      </c>
      <c r="K361" s="373">
        <v>0</v>
      </c>
      <c r="L361" s="374">
        <v>0</v>
      </c>
      <c r="M361" s="373">
        <v>0</v>
      </c>
      <c r="N361" s="373">
        <v>0</v>
      </c>
      <c r="O361" s="373">
        <v>0</v>
      </c>
      <c r="P361" s="373">
        <v>0</v>
      </c>
      <c r="Q361" s="373">
        <v>0</v>
      </c>
      <c r="R361" s="373">
        <f ca="1">IFERROR(66*B361,0)</f>
        <v>0</v>
      </c>
      <c r="S361" s="375">
        <v>0</v>
      </c>
      <c r="T361" s="375">
        <v>0</v>
      </c>
      <c r="U361" s="375">
        <v>0</v>
      </c>
      <c r="V361" s="375" t="e">
        <f t="shared" ca="1" si="53"/>
        <v>#NAME?</v>
      </c>
    </row>
    <row r="362" spans="1:22" ht="14.25" hidden="1" customHeight="1">
      <c r="A362" s="377" t="s">
        <v>578</v>
      </c>
      <c r="B362" s="370" t="e">
        <f ca="1">_xludf.IFNA(VLOOKUP(Bolts!$A362,'Kilter Holds'!$P$37:$S$662,4,0),0)</f>
        <v>#NAME?</v>
      </c>
      <c r="C362" s="371">
        <v>10</v>
      </c>
      <c r="D362" s="373">
        <f ca="1">IFERROR(10*B362,0)</f>
        <v>0</v>
      </c>
      <c r="E362" s="373">
        <v>0</v>
      </c>
      <c r="F362" s="373">
        <v>0</v>
      </c>
      <c r="G362" s="373">
        <v>0</v>
      </c>
      <c r="H362" s="373">
        <v>0</v>
      </c>
      <c r="I362" s="373">
        <v>0</v>
      </c>
      <c r="J362" s="373">
        <v>0</v>
      </c>
      <c r="K362" s="373">
        <v>0</v>
      </c>
      <c r="L362" s="374">
        <v>0</v>
      </c>
      <c r="M362" s="373">
        <v>0</v>
      </c>
      <c r="N362" s="373">
        <v>0</v>
      </c>
      <c r="O362" s="373">
        <v>0</v>
      </c>
      <c r="P362" s="373">
        <v>0</v>
      </c>
      <c r="Q362" s="373">
        <v>0</v>
      </c>
      <c r="R362" s="373">
        <v>0</v>
      </c>
      <c r="S362" s="375">
        <v>0</v>
      </c>
      <c r="T362" s="375">
        <v>0</v>
      </c>
      <c r="U362" s="375">
        <v>0</v>
      </c>
      <c r="V362" s="375" t="e">
        <f t="shared" ca="1" si="53"/>
        <v>#NAME?</v>
      </c>
    </row>
    <row r="363" spans="1:22" ht="14.25" hidden="1" customHeight="1">
      <c r="A363" s="377" t="s">
        <v>562</v>
      </c>
      <c r="B363" s="370" t="e">
        <f ca="1">_xludf.IFNA(VLOOKUP(Bolts!$A363,'Kilter Holds'!$P$37:$S$662,4,0),0)</f>
        <v>#NAME?</v>
      </c>
      <c r="C363" s="371">
        <v>10</v>
      </c>
      <c r="D363" s="373">
        <f ca="1">IFERROR(8*B363,0)</f>
        <v>0</v>
      </c>
      <c r="E363" s="373">
        <f t="shared" ref="E363:E364" ca="1" si="57">IFERROR(2*B363,0)</f>
        <v>0</v>
      </c>
      <c r="F363" s="373">
        <v>0</v>
      </c>
      <c r="G363" s="373">
        <v>0</v>
      </c>
      <c r="H363" s="373">
        <v>0</v>
      </c>
      <c r="I363" s="373">
        <v>0</v>
      </c>
      <c r="J363" s="373">
        <v>0</v>
      </c>
      <c r="K363" s="373">
        <v>0</v>
      </c>
      <c r="L363" s="374">
        <v>0</v>
      </c>
      <c r="M363" s="373">
        <v>0</v>
      </c>
      <c r="N363" s="373">
        <v>0</v>
      </c>
      <c r="O363" s="373">
        <v>0</v>
      </c>
      <c r="P363" s="373">
        <v>0</v>
      </c>
      <c r="Q363" s="373">
        <v>0</v>
      </c>
      <c r="R363" s="373">
        <v>0</v>
      </c>
      <c r="S363" s="375">
        <v>0</v>
      </c>
      <c r="T363" s="375">
        <v>0</v>
      </c>
      <c r="U363" s="375">
        <v>0</v>
      </c>
      <c r="V363" s="375" t="e">
        <f t="shared" ca="1" si="53"/>
        <v>#NAME?</v>
      </c>
    </row>
    <row r="364" spans="1:22" ht="14.25" hidden="1" customHeight="1">
      <c r="A364" s="377" t="s">
        <v>564</v>
      </c>
      <c r="B364" s="370" t="e">
        <f ca="1">_xludf.IFNA(VLOOKUP(Bolts!$A364,'Kilter Holds'!$P$37:$S$662,4,0),0)</f>
        <v>#NAME?</v>
      </c>
      <c r="C364" s="371">
        <v>6</v>
      </c>
      <c r="D364" s="373">
        <f ca="1">IFERROR(4*B364,0)</f>
        <v>0</v>
      </c>
      <c r="E364" s="373">
        <f t="shared" ca="1" si="57"/>
        <v>0</v>
      </c>
      <c r="F364" s="373">
        <v>0</v>
      </c>
      <c r="G364" s="373">
        <v>0</v>
      </c>
      <c r="H364" s="373">
        <v>0</v>
      </c>
      <c r="I364" s="373">
        <v>0</v>
      </c>
      <c r="J364" s="373">
        <v>0</v>
      </c>
      <c r="K364" s="373">
        <v>0</v>
      </c>
      <c r="L364" s="374">
        <v>0</v>
      </c>
      <c r="M364" s="373">
        <v>0</v>
      </c>
      <c r="N364" s="373">
        <v>0</v>
      </c>
      <c r="O364" s="373">
        <v>0</v>
      </c>
      <c r="P364" s="373">
        <v>0</v>
      </c>
      <c r="Q364" s="373">
        <v>0</v>
      </c>
      <c r="R364" s="373">
        <v>0</v>
      </c>
      <c r="S364" s="375">
        <v>0</v>
      </c>
      <c r="T364" s="375">
        <v>0</v>
      </c>
      <c r="U364" s="375">
        <v>0</v>
      </c>
      <c r="V364" s="375" t="e">
        <f t="shared" ca="1" si="53"/>
        <v>#NAME?</v>
      </c>
    </row>
    <row r="365" spans="1:22" ht="14.25" hidden="1" customHeight="1">
      <c r="A365" s="377" t="s">
        <v>580</v>
      </c>
      <c r="B365" s="370" t="e">
        <f ca="1">_xludf.IFNA(VLOOKUP(Bolts!$A365,'Kilter Holds'!$P$37:$S$662,4,0),0)</f>
        <v>#NAME?</v>
      </c>
      <c r="C365" s="371">
        <v>14</v>
      </c>
      <c r="D365" s="373">
        <f ca="1">IFERROR(13*B365,0)</f>
        <v>0</v>
      </c>
      <c r="E365" s="373">
        <f ca="1">IFERROR(1*B365,0)</f>
        <v>0</v>
      </c>
      <c r="F365" s="373">
        <v>0</v>
      </c>
      <c r="G365" s="373">
        <v>0</v>
      </c>
      <c r="H365" s="373">
        <v>0</v>
      </c>
      <c r="I365" s="373">
        <v>0</v>
      </c>
      <c r="J365" s="373">
        <v>0</v>
      </c>
      <c r="K365" s="373">
        <v>0</v>
      </c>
      <c r="L365" s="374">
        <v>0</v>
      </c>
      <c r="M365" s="373">
        <v>0</v>
      </c>
      <c r="N365" s="373">
        <v>0</v>
      </c>
      <c r="O365" s="373">
        <v>0</v>
      </c>
      <c r="P365" s="373">
        <v>0</v>
      </c>
      <c r="Q365" s="373">
        <v>0</v>
      </c>
      <c r="R365" s="373">
        <v>0</v>
      </c>
      <c r="S365" s="375">
        <v>0</v>
      </c>
      <c r="T365" s="375">
        <v>0</v>
      </c>
      <c r="U365" s="375">
        <v>0</v>
      </c>
      <c r="V365" s="375" t="e">
        <f t="shared" ca="1" si="53"/>
        <v>#NAME?</v>
      </c>
    </row>
    <row r="366" spans="1:22" ht="14.25" hidden="1" customHeight="1">
      <c r="A366" s="377" t="s">
        <v>547</v>
      </c>
      <c r="B366" s="370" t="e">
        <f ca="1">_xludf.IFNA(VLOOKUP(Bolts!$A366,'Kilter Holds'!$P$37:$S$662,4,0),0)</f>
        <v>#NAME?</v>
      </c>
      <c r="C366" s="371">
        <v>5</v>
      </c>
      <c r="D366" s="373">
        <v>0</v>
      </c>
      <c r="E366" s="373">
        <v>0</v>
      </c>
      <c r="F366" s="373">
        <f ca="1">IFERROR(5*B366,0)</f>
        <v>0</v>
      </c>
      <c r="G366" s="373">
        <v>0</v>
      </c>
      <c r="H366" s="373">
        <v>0</v>
      </c>
      <c r="I366" s="373">
        <v>0</v>
      </c>
      <c r="J366" s="373">
        <v>0</v>
      </c>
      <c r="K366" s="373">
        <v>0</v>
      </c>
      <c r="L366" s="374">
        <v>0</v>
      </c>
      <c r="M366" s="373">
        <v>0</v>
      </c>
      <c r="N366" s="373">
        <v>0</v>
      </c>
      <c r="O366" s="373">
        <v>0</v>
      </c>
      <c r="P366" s="373">
        <v>0</v>
      </c>
      <c r="Q366" s="373">
        <v>0</v>
      </c>
      <c r="R366" s="373">
        <v>0</v>
      </c>
      <c r="S366" s="375">
        <v>0</v>
      </c>
      <c r="T366" s="375">
        <v>0</v>
      </c>
      <c r="U366" s="375">
        <v>0</v>
      </c>
      <c r="V366" s="375" t="e">
        <f t="shared" ca="1" si="53"/>
        <v>#NAME?</v>
      </c>
    </row>
    <row r="367" spans="1:22" ht="14.25" hidden="1" customHeight="1">
      <c r="A367" s="377" t="s">
        <v>549</v>
      </c>
      <c r="B367" s="370" t="e">
        <f ca="1">_xludf.IFNA(VLOOKUP(Bolts!$A367,'Kilter Holds'!$P$37:$S$662,4,0),0)</f>
        <v>#NAME?</v>
      </c>
      <c r="C367" s="371">
        <v>5</v>
      </c>
      <c r="D367" s="373">
        <v>0</v>
      </c>
      <c r="E367" s="373">
        <v>0</v>
      </c>
      <c r="F367" s="373">
        <f ca="1">IFERROR(3*B367,0)</f>
        <v>0</v>
      </c>
      <c r="G367" s="373">
        <f ca="1">IFERROR(2*B367,0)</f>
        <v>0</v>
      </c>
      <c r="H367" s="373">
        <v>0</v>
      </c>
      <c r="I367" s="373">
        <v>0</v>
      </c>
      <c r="J367" s="373">
        <v>0</v>
      </c>
      <c r="K367" s="373">
        <v>0</v>
      </c>
      <c r="L367" s="374">
        <v>0</v>
      </c>
      <c r="M367" s="373">
        <v>0</v>
      </c>
      <c r="N367" s="373">
        <v>0</v>
      </c>
      <c r="O367" s="373">
        <v>0</v>
      </c>
      <c r="P367" s="373">
        <v>0</v>
      </c>
      <c r="Q367" s="373">
        <v>0</v>
      </c>
      <c r="R367" s="373">
        <v>0</v>
      </c>
      <c r="S367" s="375">
        <v>0</v>
      </c>
      <c r="T367" s="375">
        <v>0</v>
      </c>
      <c r="U367" s="375">
        <v>0</v>
      </c>
      <c r="V367" s="375" t="e">
        <f t="shared" ca="1" si="53"/>
        <v>#NAME?</v>
      </c>
    </row>
    <row r="368" spans="1:22" ht="14.25" hidden="1" customHeight="1">
      <c r="A368" s="377" t="s">
        <v>551</v>
      </c>
      <c r="B368" s="370" t="e">
        <f ca="1">_xludf.IFNA(VLOOKUP(Bolts!$A368,'Kilter Holds'!$P$37:$S$662,4,0),0)</f>
        <v>#NAME?</v>
      </c>
      <c r="C368" s="371">
        <v>5</v>
      </c>
      <c r="D368" s="373">
        <v>0</v>
      </c>
      <c r="E368" s="373">
        <f ca="1">IFERROR(4*B368,0)</f>
        <v>0</v>
      </c>
      <c r="F368" s="373">
        <v>0</v>
      </c>
      <c r="G368" s="373">
        <f ca="1">IFERROR(1*B368,0)</f>
        <v>0</v>
      </c>
      <c r="H368" s="373">
        <v>0</v>
      </c>
      <c r="I368" s="373">
        <v>0</v>
      </c>
      <c r="J368" s="373">
        <v>0</v>
      </c>
      <c r="K368" s="373">
        <v>0</v>
      </c>
      <c r="L368" s="374">
        <v>0</v>
      </c>
      <c r="M368" s="373">
        <v>0</v>
      </c>
      <c r="N368" s="373">
        <v>0</v>
      </c>
      <c r="O368" s="373">
        <v>0</v>
      </c>
      <c r="P368" s="373">
        <v>0</v>
      </c>
      <c r="Q368" s="373">
        <v>0</v>
      </c>
      <c r="R368" s="373">
        <v>0</v>
      </c>
      <c r="S368" s="375">
        <v>0</v>
      </c>
      <c r="T368" s="375">
        <v>0</v>
      </c>
      <c r="U368" s="375">
        <v>0</v>
      </c>
      <c r="V368" s="375" t="e">
        <f t="shared" ca="1" si="53"/>
        <v>#NAME?</v>
      </c>
    </row>
    <row r="369" spans="1:22" ht="14.25" hidden="1" customHeight="1">
      <c r="A369" s="377" t="s">
        <v>582</v>
      </c>
      <c r="B369" s="370" t="e">
        <f ca="1">_xludf.IFNA(VLOOKUP(Bolts!$A369,'Kilter Holds'!$P$37:$S$662,4,0),0)</f>
        <v>#NAME?</v>
      </c>
      <c r="C369" s="371">
        <v>10</v>
      </c>
      <c r="D369" s="373">
        <f ca="1">IFERROR(9*B369,0)</f>
        <v>0</v>
      </c>
      <c r="E369" s="373">
        <f ca="1">IFERROR(1*B369,0)</f>
        <v>0</v>
      </c>
      <c r="F369" s="373">
        <v>0</v>
      </c>
      <c r="G369" s="373">
        <v>0</v>
      </c>
      <c r="H369" s="373">
        <v>0</v>
      </c>
      <c r="I369" s="373">
        <v>0</v>
      </c>
      <c r="J369" s="373">
        <v>0</v>
      </c>
      <c r="K369" s="373">
        <v>0</v>
      </c>
      <c r="L369" s="374">
        <v>0</v>
      </c>
      <c r="M369" s="373">
        <v>0</v>
      </c>
      <c r="N369" s="373">
        <v>0</v>
      </c>
      <c r="O369" s="373">
        <v>0</v>
      </c>
      <c r="P369" s="373">
        <v>0</v>
      </c>
      <c r="Q369" s="373">
        <v>0</v>
      </c>
      <c r="R369" s="373">
        <v>0</v>
      </c>
      <c r="S369" s="375">
        <v>0</v>
      </c>
      <c r="T369" s="375">
        <v>0</v>
      </c>
      <c r="U369" s="375">
        <v>0</v>
      </c>
      <c r="V369" s="375" t="e">
        <f t="shared" ca="1" si="53"/>
        <v>#NAME?</v>
      </c>
    </row>
    <row r="370" spans="1:22" ht="14.25" hidden="1" customHeight="1">
      <c r="A370" s="377" t="s">
        <v>584</v>
      </c>
      <c r="B370" s="370" t="e">
        <f ca="1">_xludf.IFNA(VLOOKUP(Bolts!$A370,'Kilter Holds'!$P$37:$S$662,4,0),0)</f>
        <v>#NAME?</v>
      </c>
      <c r="C370" s="371">
        <v>10</v>
      </c>
      <c r="D370" s="373">
        <f ca="1">IFERROR(10*B370,0)</f>
        <v>0</v>
      </c>
      <c r="E370" s="373">
        <v>0</v>
      </c>
      <c r="F370" s="373">
        <v>0</v>
      </c>
      <c r="G370" s="373">
        <v>0</v>
      </c>
      <c r="H370" s="373">
        <v>0</v>
      </c>
      <c r="I370" s="373">
        <v>0</v>
      </c>
      <c r="J370" s="373">
        <v>0</v>
      </c>
      <c r="K370" s="373">
        <v>0</v>
      </c>
      <c r="L370" s="374">
        <v>0</v>
      </c>
      <c r="M370" s="373">
        <v>0</v>
      </c>
      <c r="N370" s="373">
        <v>0</v>
      </c>
      <c r="O370" s="373">
        <v>0</v>
      </c>
      <c r="P370" s="373">
        <v>0</v>
      </c>
      <c r="Q370" s="373">
        <v>0</v>
      </c>
      <c r="R370" s="373">
        <v>0</v>
      </c>
      <c r="S370" s="375">
        <v>0</v>
      </c>
      <c r="T370" s="375">
        <v>0</v>
      </c>
      <c r="U370" s="375">
        <v>0</v>
      </c>
      <c r="V370" s="375" t="e">
        <f t="shared" ca="1" si="53"/>
        <v>#NAME?</v>
      </c>
    </row>
    <row r="371" spans="1:22" ht="14.25" hidden="1" customHeight="1">
      <c r="A371" s="377" t="s">
        <v>515</v>
      </c>
      <c r="B371" s="370" t="e">
        <f ca="1">_xludf.IFNA(VLOOKUP(Bolts!$A371,'Kilter Holds'!$P$37:$S$662,4,0),0)</f>
        <v>#NAME?</v>
      </c>
      <c r="C371" s="371">
        <v>21</v>
      </c>
      <c r="D371" s="373">
        <f ca="1">IFERROR(5*B371,0)</f>
        <v>0</v>
      </c>
      <c r="E371" s="373">
        <f ca="1">IFERROR(5*B371,0)</f>
        <v>0</v>
      </c>
      <c r="F371" s="373">
        <v>0</v>
      </c>
      <c r="G371" s="373">
        <v>0</v>
      </c>
      <c r="H371" s="373">
        <v>0</v>
      </c>
      <c r="I371" s="373">
        <v>0</v>
      </c>
      <c r="J371" s="373">
        <v>0</v>
      </c>
      <c r="K371" s="373">
        <v>0</v>
      </c>
      <c r="L371" s="374">
        <v>0</v>
      </c>
      <c r="M371" s="373">
        <v>0</v>
      </c>
      <c r="N371" s="373">
        <v>0</v>
      </c>
      <c r="O371" s="373">
        <v>0</v>
      </c>
      <c r="P371" s="373">
        <v>0</v>
      </c>
      <c r="Q371" s="373">
        <f ca="1">IFERROR(42*B371,0)</f>
        <v>0</v>
      </c>
      <c r="R371" s="373">
        <v>0</v>
      </c>
      <c r="S371" s="375">
        <v>0</v>
      </c>
      <c r="T371" s="375">
        <v>0</v>
      </c>
      <c r="U371" s="375">
        <v>0</v>
      </c>
      <c r="V371" s="375" t="e">
        <f t="shared" ca="1" si="53"/>
        <v>#NAME?</v>
      </c>
    </row>
    <row r="372" spans="1:22" ht="14.25" hidden="1" customHeight="1">
      <c r="A372" s="377" t="s">
        <v>444</v>
      </c>
      <c r="B372" s="370" t="e">
        <f ca="1">_xludf.IFNA(VLOOKUP(Bolts!$A372,'Kilter Holds'!$P$37:$S$662,4,0),0)</f>
        <v>#NAME?</v>
      </c>
      <c r="C372" s="371">
        <v>2</v>
      </c>
      <c r="D372" s="373">
        <v>0</v>
      </c>
      <c r="E372" s="373">
        <v>0</v>
      </c>
      <c r="F372" s="373">
        <v>0</v>
      </c>
      <c r="G372" s="373">
        <v>0</v>
      </c>
      <c r="H372" s="373">
        <v>0</v>
      </c>
      <c r="I372" s="373">
        <f t="shared" ref="I372:I375" ca="1" si="58">IFERROR(1*B372,0)</f>
        <v>0</v>
      </c>
      <c r="J372" s="373">
        <v>0</v>
      </c>
      <c r="K372" s="373">
        <v>0</v>
      </c>
      <c r="L372" s="374">
        <v>0</v>
      </c>
      <c r="M372" s="373">
        <v>0</v>
      </c>
      <c r="N372" s="373">
        <v>0</v>
      </c>
      <c r="O372" s="373">
        <f ca="1">IFERROR(1*B372,0)</f>
        <v>0</v>
      </c>
      <c r="P372" s="373">
        <v>0</v>
      </c>
      <c r="Q372" s="373">
        <f t="shared" ref="Q372:Q374" ca="1" si="59">IFERROR(5*B372,0)</f>
        <v>0</v>
      </c>
      <c r="R372" s="373">
        <f t="shared" ref="R372:R374" ca="1" si="60">IFERROR(2*B372,0)</f>
        <v>0</v>
      </c>
      <c r="S372" s="375">
        <v>0</v>
      </c>
      <c r="T372" s="375">
        <v>0</v>
      </c>
      <c r="U372" s="375">
        <v>0</v>
      </c>
      <c r="V372" s="375" t="e">
        <f t="shared" ca="1" si="53"/>
        <v>#NAME?</v>
      </c>
    </row>
    <row r="373" spans="1:22" ht="14.25" hidden="1" customHeight="1">
      <c r="A373" s="377" t="s">
        <v>447</v>
      </c>
      <c r="B373" s="370" t="e">
        <f ca="1">_xludf.IFNA(VLOOKUP(Bolts!$A373,'Kilter Holds'!$P$37:$S$662,4,0),0)</f>
        <v>#NAME?</v>
      </c>
      <c r="C373" s="371">
        <v>1</v>
      </c>
      <c r="D373" s="373">
        <v>0</v>
      </c>
      <c r="E373" s="373">
        <v>0</v>
      </c>
      <c r="F373" s="373">
        <v>0</v>
      </c>
      <c r="G373" s="373">
        <v>0</v>
      </c>
      <c r="H373" s="373">
        <v>0</v>
      </c>
      <c r="I373" s="373">
        <f t="shared" ca="1" si="58"/>
        <v>0</v>
      </c>
      <c r="J373" s="373">
        <v>0</v>
      </c>
      <c r="K373" s="373">
        <v>0</v>
      </c>
      <c r="L373" s="374">
        <v>0</v>
      </c>
      <c r="M373" s="373">
        <v>0</v>
      </c>
      <c r="N373" s="373">
        <v>0</v>
      </c>
      <c r="O373" s="373">
        <v>0</v>
      </c>
      <c r="P373" s="373">
        <v>0</v>
      </c>
      <c r="Q373" s="373">
        <f t="shared" ca="1" si="59"/>
        <v>0</v>
      </c>
      <c r="R373" s="373">
        <f t="shared" ca="1" si="60"/>
        <v>0</v>
      </c>
      <c r="S373" s="375">
        <v>0</v>
      </c>
      <c r="T373" s="375">
        <v>0</v>
      </c>
      <c r="U373" s="375">
        <v>0</v>
      </c>
      <c r="V373" s="375" t="e">
        <f t="shared" ca="1" si="53"/>
        <v>#NAME?</v>
      </c>
    </row>
    <row r="374" spans="1:22" ht="14.25" hidden="1" customHeight="1">
      <c r="A374" s="377" t="s">
        <v>449</v>
      </c>
      <c r="B374" s="370" t="e">
        <f ca="1">_xludf.IFNA(VLOOKUP(Bolts!$A374,'Kilter Holds'!$P$37:$S$662,4,0),0)</f>
        <v>#NAME?</v>
      </c>
      <c r="C374" s="371">
        <v>1</v>
      </c>
      <c r="D374" s="373">
        <v>0</v>
      </c>
      <c r="E374" s="373">
        <v>0</v>
      </c>
      <c r="F374" s="373">
        <v>0</v>
      </c>
      <c r="G374" s="373">
        <v>0</v>
      </c>
      <c r="H374" s="373">
        <v>0</v>
      </c>
      <c r="I374" s="373">
        <f t="shared" ca="1" si="58"/>
        <v>0</v>
      </c>
      <c r="J374" s="373">
        <v>0</v>
      </c>
      <c r="K374" s="373">
        <v>0</v>
      </c>
      <c r="L374" s="374">
        <v>0</v>
      </c>
      <c r="M374" s="373">
        <v>0</v>
      </c>
      <c r="N374" s="373">
        <v>0</v>
      </c>
      <c r="O374" s="373">
        <f ca="1">IFERROR(1*B374,0)</f>
        <v>0</v>
      </c>
      <c r="P374" s="373">
        <v>0</v>
      </c>
      <c r="Q374" s="373">
        <f t="shared" ca="1" si="59"/>
        <v>0</v>
      </c>
      <c r="R374" s="373">
        <f t="shared" ca="1" si="60"/>
        <v>0</v>
      </c>
      <c r="S374" s="375">
        <v>0</v>
      </c>
      <c r="T374" s="375">
        <v>0</v>
      </c>
      <c r="U374" s="375">
        <v>0</v>
      </c>
      <c r="V374" s="375" t="e">
        <f t="shared" ca="1" si="53"/>
        <v>#NAME?</v>
      </c>
    </row>
    <row r="375" spans="1:22" ht="14.25" hidden="1" customHeight="1">
      <c r="A375" s="377" t="s">
        <v>479</v>
      </c>
      <c r="B375" s="370" t="e">
        <f ca="1">_xludf.IFNA(VLOOKUP(Bolts!$A375,'Kilter Holds'!$P$37:$S$662,4,0),0)</f>
        <v>#NAME?</v>
      </c>
      <c r="C375" s="371">
        <v>5</v>
      </c>
      <c r="D375" s="373">
        <v>0</v>
      </c>
      <c r="E375" s="373">
        <v>0</v>
      </c>
      <c r="F375" s="373">
        <v>0</v>
      </c>
      <c r="G375" s="373">
        <v>0</v>
      </c>
      <c r="H375" s="373">
        <v>0</v>
      </c>
      <c r="I375" s="373">
        <f t="shared" ca="1" si="58"/>
        <v>0</v>
      </c>
      <c r="J375" s="373">
        <f ca="1">IFERROR(1*B375,0)</f>
        <v>0</v>
      </c>
      <c r="K375" s="373">
        <v>0</v>
      </c>
      <c r="L375" s="374">
        <v>0</v>
      </c>
      <c r="M375" s="373">
        <v>0</v>
      </c>
      <c r="N375" s="373">
        <v>0</v>
      </c>
      <c r="O375" s="373">
        <v>0</v>
      </c>
      <c r="P375" s="373">
        <v>0</v>
      </c>
      <c r="Q375" s="373">
        <f ca="1">IFERROR(19*B375,0)</f>
        <v>0</v>
      </c>
      <c r="R375" s="373">
        <v>0</v>
      </c>
      <c r="S375" s="375">
        <v>0</v>
      </c>
      <c r="T375" s="375">
        <v>0</v>
      </c>
      <c r="U375" s="375">
        <v>0</v>
      </c>
      <c r="V375" s="375" t="e">
        <f t="shared" ca="1" si="53"/>
        <v>#NAME?</v>
      </c>
    </row>
    <row r="376" spans="1:22" ht="14.25" hidden="1" customHeight="1">
      <c r="A376" s="377" t="s">
        <v>451</v>
      </c>
      <c r="B376" s="370" t="e">
        <f ca="1">_xludf.IFNA(VLOOKUP(Bolts!$A376,'Kilter Holds'!$P$37:$S$662,4,0),0)</f>
        <v>#NAME?</v>
      </c>
      <c r="C376" s="371">
        <v>2</v>
      </c>
      <c r="D376" s="373">
        <v>0</v>
      </c>
      <c r="E376" s="373">
        <v>0</v>
      </c>
      <c r="F376" s="373">
        <v>0</v>
      </c>
      <c r="G376" s="373">
        <v>0</v>
      </c>
      <c r="H376" s="373">
        <v>0</v>
      </c>
      <c r="I376" s="373">
        <f ca="1">IFERROR(2*B376,0)</f>
        <v>0</v>
      </c>
      <c r="J376" s="373">
        <v>0</v>
      </c>
      <c r="K376" s="373">
        <v>0</v>
      </c>
      <c r="L376" s="374">
        <v>0</v>
      </c>
      <c r="M376" s="373">
        <v>0</v>
      </c>
      <c r="N376" s="373">
        <v>0</v>
      </c>
      <c r="O376" s="373">
        <v>0</v>
      </c>
      <c r="P376" s="373">
        <v>0</v>
      </c>
      <c r="Q376" s="373">
        <f ca="1">IFERROR(21*B376,0)</f>
        <v>0</v>
      </c>
      <c r="R376" s="373">
        <f ca="1">IFERROR(1*B376,0)</f>
        <v>0</v>
      </c>
      <c r="S376" s="375">
        <v>0</v>
      </c>
      <c r="T376" s="375">
        <v>0</v>
      </c>
      <c r="U376" s="375">
        <v>0</v>
      </c>
      <c r="V376" s="375" t="e">
        <f t="shared" ca="1" si="53"/>
        <v>#NAME?</v>
      </c>
    </row>
    <row r="377" spans="1:22" ht="14.25" hidden="1" customHeight="1">
      <c r="A377" s="377" t="s">
        <v>810</v>
      </c>
      <c r="B377" s="370" t="e">
        <f ca="1">_xludf.IFNA(VLOOKUP(Bolts!$A377,'Kilter Holds'!$P$37:$S$662,4,0),0)</f>
        <v>#NAME?</v>
      </c>
      <c r="C377" s="371">
        <v>4</v>
      </c>
      <c r="D377" s="373">
        <v>0</v>
      </c>
      <c r="E377" s="373">
        <v>0</v>
      </c>
      <c r="F377" s="373">
        <v>0</v>
      </c>
      <c r="G377" s="373">
        <v>0</v>
      </c>
      <c r="H377" s="373">
        <v>0</v>
      </c>
      <c r="I377" s="373">
        <v>0</v>
      </c>
      <c r="J377" s="373">
        <v>0</v>
      </c>
      <c r="K377" s="373" t="e">
        <f ca="1">Bolts!$B377*4</f>
        <v>#NAME?</v>
      </c>
      <c r="L377" s="374">
        <v>0</v>
      </c>
      <c r="M377" s="373">
        <v>0</v>
      </c>
      <c r="N377" s="373">
        <v>0</v>
      </c>
      <c r="O377" s="373">
        <v>0</v>
      </c>
      <c r="P377" s="373">
        <v>0</v>
      </c>
      <c r="Q377" s="373">
        <v>0</v>
      </c>
      <c r="R377" s="373">
        <v>0</v>
      </c>
      <c r="S377" s="373">
        <v>0</v>
      </c>
      <c r="T377" s="373">
        <v>0</v>
      </c>
      <c r="U377" s="373">
        <v>0</v>
      </c>
      <c r="V377" s="375" t="e">
        <f t="shared" ca="1" si="53"/>
        <v>#NAME?</v>
      </c>
    </row>
    <row r="378" spans="1:22" ht="14.25" hidden="1" customHeight="1">
      <c r="A378" s="377" t="s">
        <v>812</v>
      </c>
      <c r="B378" s="370" t="e">
        <f ca="1">_xludf.IFNA(VLOOKUP(Bolts!$A378,'Kilter Holds'!$P$37:$S$662,4,0),0)</f>
        <v>#NAME?</v>
      </c>
      <c r="C378" s="371">
        <v>4</v>
      </c>
      <c r="D378" s="373">
        <v>0</v>
      </c>
      <c r="E378" s="373">
        <v>0</v>
      </c>
      <c r="F378" s="373">
        <v>0</v>
      </c>
      <c r="G378" s="373">
        <v>0</v>
      </c>
      <c r="H378" s="373" t="e">
        <f ca="1">1*Bolts!$B378</f>
        <v>#NAME?</v>
      </c>
      <c r="I378" s="373" t="e">
        <f ca="1">1*Bolts!$B378</f>
        <v>#NAME?</v>
      </c>
      <c r="J378" s="373">
        <v>0</v>
      </c>
      <c r="K378" s="373">
        <v>0</v>
      </c>
      <c r="L378" s="374">
        <v>0</v>
      </c>
      <c r="M378" s="373" t="e">
        <f ca="1">2*Bolts!$B378</f>
        <v>#NAME?</v>
      </c>
      <c r="N378" s="373">
        <v>0</v>
      </c>
      <c r="O378" s="373">
        <v>0</v>
      </c>
      <c r="P378" s="373">
        <v>0</v>
      </c>
      <c r="Q378" s="373" t="e">
        <f ca="1">4*Bolts!$B378</f>
        <v>#NAME?</v>
      </c>
      <c r="R378" s="373">
        <v>0</v>
      </c>
      <c r="S378" s="375">
        <v>0</v>
      </c>
      <c r="T378" s="375">
        <v>0</v>
      </c>
      <c r="U378" s="375">
        <v>0</v>
      </c>
      <c r="V378" s="375" t="e">
        <f t="shared" ca="1" si="53"/>
        <v>#NAME?</v>
      </c>
    </row>
    <row r="379" spans="1:22" ht="14.25" hidden="1" customHeight="1">
      <c r="A379" s="377" t="s">
        <v>814</v>
      </c>
      <c r="B379" s="370" t="e">
        <f ca="1">_xludf.IFNA(VLOOKUP(Bolts!$A379,'Kilter Holds'!$P$37:$S$662,4,0),0)</f>
        <v>#NAME?</v>
      </c>
      <c r="C379" s="371">
        <v>4</v>
      </c>
      <c r="D379" s="373">
        <v>0</v>
      </c>
      <c r="E379" s="373">
        <v>0</v>
      </c>
      <c r="F379" s="373" t="e">
        <f ca="1">2*Bolts!$B379</f>
        <v>#NAME?</v>
      </c>
      <c r="G379" s="373" t="e">
        <f ca="1">2*Bolts!$B379</f>
        <v>#NAME?</v>
      </c>
      <c r="H379" s="373">
        <v>0</v>
      </c>
      <c r="I379" s="373">
        <v>0</v>
      </c>
      <c r="J379" s="373">
        <v>0</v>
      </c>
      <c r="K379" s="373">
        <v>0</v>
      </c>
      <c r="L379" s="374">
        <v>0</v>
      </c>
      <c r="M379" s="373">
        <v>0</v>
      </c>
      <c r="N379" s="373">
        <v>0</v>
      </c>
      <c r="O379" s="373">
        <v>0</v>
      </c>
      <c r="P379" s="373">
        <v>0</v>
      </c>
      <c r="Q379" s="373" t="e">
        <f ca="1">27*Bolts!$B379</f>
        <v>#NAME?</v>
      </c>
      <c r="R379" s="373">
        <v>0</v>
      </c>
      <c r="S379" s="375">
        <v>0</v>
      </c>
      <c r="T379" s="375">
        <v>0</v>
      </c>
      <c r="U379" s="375">
        <v>0</v>
      </c>
      <c r="V379" s="375" t="e">
        <f t="shared" ca="1" si="53"/>
        <v>#NAME?</v>
      </c>
    </row>
    <row r="380" spans="1:22" ht="14.25" hidden="1" customHeight="1">
      <c r="A380" s="377" t="s">
        <v>820</v>
      </c>
      <c r="B380" s="370" t="e">
        <f ca="1">_xludf.IFNA(VLOOKUP(Bolts!$A380,'Kilter Holds'!$P$37:$S$662,4,0),0)</f>
        <v>#NAME?</v>
      </c>
      <c r="C380" s="371">
        <v>5</v>
      </c>
      <c r="D380" s="373">
        <v>0</v>
      </c>
      <c r="E380" s="373">
        <v>0</v>
      </c>
      <c r="F380" s="373" t="e">
        <f ca="1">4*Bolts!$B380</f>
        <v>#NAME?</v>
      </c>
      <c r="G380" s="373" t="e">
        <f ca="1">1*Bolts!$B380</f>
        <v>#NAME?</v>
      </c>
      <c r="H380" s="373">
        <v>0</v>
      </c>
      <c r="I380" s="373">
        <v>0</v>
      </c>
      <c r="J380" s="373">
        <v>0</v>
      </c>
      <c r="K380" s="373">
        <v>0</v>
      </c>
      <c r="L380" s="374">
        <v>0</v>
      </c>
      <c r="M380" s="373">
        <v>0</v>
      </c>
      <c r="N380" s="373">
        <v>0</v>
      </c>
      <c r="O380" s="373">
        <v>0</v>
      </c>
      <c r="P380" s="373">
        <v>0</v>
      </c>
      <c r="Q380" s="373" t="e">
        <f ca="1">20*Bolts!$B380</f>
        <v>#NAME?</v>
      </c>
      <c r="R380" s="373">
        <v>0</v>
      </c>
      <c r="S380" s="375">
        <v>0</v>
      </c>
      <c r="T380" s="375">
        <v>0</v>
      </c>
      <c r="U380" s="375">
        <v>0</v>
      </c>
      <c r="V380" s="375" t="e">
        <f t="shared" ca="1" si="53"/>
        <v>#NAME?</v>
      </c>
    </row>
    <row r="381" spans="1:22" ht="14.25" hidden="1" customHeight="1">
      <c r="A381" s="377" t="s">
        <v>816</v>
      </c>
      <c r="B381" s="370" t="e">
        <f ca="1">_xludf.IFNA(VLOOKUP(Bolts!$A381,'Kilter Holds'!$P$37:$S$662,4,0),0)</f>
        <v>#NAME?</v>
      </c>
      <c r="C381" s="371">
        <v>4</v>
      </c>
      <c r="D381" s="373">
        <v>0</v>
      </c>
      <c r="E381" s="373" t="e">
        <f ca="1">1*Bolts!$B381</f>
        <v>#NAME?</v>
      </c>
      <c r="F381" s="373" t="e">
        <f ca="1">3*Bolts!$B381</f>
        <v>#NAME?</v>
      </c>
      <c r="G381" s="373">
        <v>0</v>
      </c>
      <c r="H381" s="373">
        <v>0</v>
      </c>
      <c r="I381" s="373">
        <v>0</v>
      </c>
      <c r="J381" s="373">
        <v>0</v>
      </c>
      <c r="K381" s="373">
        <v>0</v>
      </c>
      <c r="L381" s="374">
        <v>0</v>
      </c>
      <c r="M381" s="373">
        <v>0</v>
      </c>
      <c r="N381" s="373">
        <v>0</v>
      </c>
      <c r="O381" s="373">
        <v>0</v>
      </c>
      <c r="P381" s="373">
        <v>0</v>
      </c>
      <c r="Q381" s="373" t="e">
        <f ca="1">4*Bolts!$B381</f>
        <v>#NAME?</v>
      </c>
      <c r="R381" s="373">
        <v>0</v>
      </c>
      <c r="S381" s="375">
        <v>0</v>
      </c>
      <c r="T381" s="375">
        <v>0</v>
      </c>
      <c r="U381" s="375">
        <v>0</v>
      </c>
      <c r="V381" s="375" t="e">
        <f t="shared" ca="1" si="53"/>
        <v>#NAME?</v>
      </c>
    </row>
    <row r="382" spans="1:22" ht="14.25" hidden="1" customHeight="1">
      <c r="A382" s="377" t="s">
        <v>818</v>
      </c>
      <c r="B382" s="370" t="e">
        <f ca="1">_xludf.IFNA(VLOOKUP(Bolts!$A382,'Kilter Holds'!$P$37:$S$662,4,0),0)</f>
        <v>#NAME?</v>
      </c>
      <c r="C382" s="371">
        <v>5</v>
      </c>
      <c r="D382" s="373">
        <v>0</v>
      </c>
      <c r="E382" s="373">
        <v>0</v>
      </c>
      <c r="F382" s="373">
        <v>0</v>
      </c>
      <c r="G382" s="373" t="e">
        <f ca="1">2*Bolts!$B382</f>
        <v>#NAME?</v>
      </c>
      <c r="H382" s="373" t="e">
        <f ca="1">3*Bolts!$B382</f>
        <v>#NAME?</v>
      </c>
      <c r="I382" s="373">
        <v>0</v>
      </c>
      <c r="J382" s="373">
        <v>0</v>
      </c>
      <c r="K382" s="373">
        <v>0</v>
      </c>
      <c r="L382" s="374">
        <v>0</v>
      </c>
      <c r="M382" s="373">
        <v>0</v>
      </c>
      <c r="N382" s="373">
        <v>0</v>
      </c>
      <c r="O382" s="373">
        <v>0</v>
      </c>
      <c r="P382" s="373">
        <v>0</v>
      </c>
      <c r="Q382" s="373" t="e">
        <f ca="1">20*Bolts!$B382</f>
        <v>#NAME?</v>
      </c>
      <c r="R382" s="373">
        <v>0</v>
      </c>
      <c r="S382" s="375">
        <v>0</v>
      </c>
      <c r="T382" s="375">
        <v>0</v>
      </c>
      <c r="U382" s="375">
        <v>0</v>
      </c>
      <c r="V382" s="375" t="e">
        <f t="shared" ca="1" si="53"/>
        <v>#NAME?</v>
      </c>
    </row>
    <row r="383" spans="1:22" ht="14.25" hidden="1" customHeight="1">
      <c r="A383" s="377" t="s">
        <v>822</v>
      </c>
      <c r="B383" s="370" t="e">
        <f ca="1">_xludf.IFNA(VLOOKUP(Bolts!$A383,'Kilter Holds'!$P$37:$S$662,4,0),0)</f>
        <v>#NAME?</v>
      </c>
      <c r="C383" s="371">
        <v>5</v>
      </c>
      <c r="D383" s="373">
        <v>0</v>
      </c>
      <c r="E383" s="373" t="e">
        <f ca="1">5*Bolts!$B383</f>
        <v>#NAME?</v>
      </c>
      <c r="F383" s="373">
        <v>0</v>
      </c>
      <c r="G383" s="373">
        <v>0</v>
      </c>
      <c r="H383" s="373">
        <v>0</v>
      </c>
      <c r="I383" s="373">
        <v>0</v>
      </c>
      <c r="J383" s="373">
        <v>0</v>
      </c>
      <c r="K383" s="373">
        <v>0</v>
      </c>
      <c r="L383" s="373">
        <v>0</v>
      </c>
      <c r="M383" s="373">
        <v>0</v>
      </c>
      <c r="N383" s="373">
        <v>0</v>
      </c>
      <c r="O383" s="373">
        <v>0</v>
      </c>
      <c r="P383" s="373">
        <v>0</v>
      </c>
      <c r="Q383" s="373" t="e">
        <f ca="1">5*Bolts!$B383</f>
        <v>#NAME?</v>
      </c>
      <c r="R383" s="373">
        <v>0</v>
      </c>
      <c r="S383" s="375">
        <v>0</v>
      </c>
      <c r="T383" s="375">
        <v>0</v>
      </c>
      <c r="U383" s="375">
        <v>0</v>
      </c>
      <c r="V383" s="375" t="e">
        <f t="shared" ca="1" si="53"/>
        <v>#NAME?</v>
      </c>
    </row>
    <row r="384" spans="1:22" ht="14.25" hidden="1" customHeight="1">
      <c r="A384" s="377" t="s">
        <v>824</v>
      </c>
      <c r="B384" s="370" t="e">
        <f ca="1">_xludf.IFNA(VLOOKUP(Bolts!$A384,'Kilter Holds'!$P$37:$S$662,4,0),0)</f>
        <v>#NAME?</v>
      </c>
      <c r="C384" s="371">
        <v>5</v>
      </c>
      <c r="D384" s="373">
        <v>0</v>
      </c>
      <c r="E384" s="373" t="e">
        <f ca="1">5*Bolts!$B384</f>
        <v>#NAME?</v>
      </c>
      <c r="F384" s="373">
        <v>0</v>
      </c>
      <c r="G384" s="373">
        <v>0</v>
      </c>
      <c r="H384" s="373">
        <v>0</v>
      </c>
      <c r="I384" s="373">
        <v>0</v>
      </c>
      <c r="J384" s="373">
        <v>0</v>
      </c>
      <c r="K384" s="373">
        <v>0</v>
      </c>
      <c r="L384" s="373">
        <v>0</v>
      </c>
      <c r="M384" s="373">
        <v>0</v>
      </c>
      <c r="N384" s="373">
        <v>0</v>
      </c>
      <c r="O384" s="373">
        <v>0</v>
      </c>
      <c r="P384" s="373">
        <v>0</v>
      </c>
      <c r="Q384" s="373" t="e">
        <f ca="1">5*Bolts!$B384</f>
        <v>#NAME?</v>
      </c>
      <c r="R384" s="373">
        <v>0</v>
      </c>
      <c r="S384" s="375">
        <v>0</v>
      </c>
      <c r="T384" s="375">
        <v>0</v>
      </c>
      <c r="U384" s="375">
        <v>0</v>
      </c>
      <c r="V384" s="375" t="e">
        <f t="shared" ca="1" si="53"/>
        <v>#NAME?</v>
      </c>
    </row>
    <row r="385" spans="1:22" ht="14.25" hidden="1" customHeight="1">
      <c r="A385" s="377" t="s">
        <v>836</v>
      </c>
      <c r="B385" s="370" t="e">
        <f ca="1">_xludf.IFNA(VLOOKUP(Bolts!$A385,'Kilter Holds'!$P$37:$S$662,4,0),0)</f>
        <v>#NAME?</v>
      </c>
      <c r="C385" s="371">
        <v>5</v>
      </c>
      <c r="D385" s="373" t="e">
        <f ca="1">4*Bolts!$B385</f>
        <v>#NAME?</v>
      </c>
      <c r="E385" s="373" t="e">
        <f ca="1">1*Bolts!$B385</f>
        <v>#NAME?</v>
      </c>
      <c r="F385" s="373">
        <v>0</v>
      </c>
      <c r="G385" s="373">
        <v>0</v>
      </c>
      <c r="H385" s="373">
        <v>0</v>
      </c>
      <c r="I385" s="373">
        <v>0</v>
      </c>
      <c r="J385" s="373">
        <v>0</v>
      </c>
      <c r="K385" s="373">
        <v>0</v>
      </c>
      <c r="L385" s="374">
        <v>0</v>
      </c>
      <c r="M385" s="373">
        <v>0</v>
      </c>
      <c r="N385" s="373">
        <v>0</v>
      </c>
      <c r="O385" s="373">
        <v>0</v>
      </c>
      <c r="P385" s="373">
        <v>0</v>
      </c>
      <c r="Q385" s="373" t="e">
        <f ca="1">17*Bolts!$B385</f>
        <v>#NAME?</v>
      </c>
      <c r="R385" s="373">
        <v>0</v>
      </c>
      <c r="S385" s="375">
        <v>0</v>
      </c>
      <c r="T385" s="375">
        <v>0</v>
      </c>
      <c r="U385" s="375">
        <v>0</v>
      </c>
      <c r="V385" s="375" t="e">
        <f t="shared" ca="1" si="53"/>
        <v>#NAME?</v>
      </c>
    </row>
    <row r="386" spans="1:22" ht="14.25" hidden="1" customHeight="1">
      <c r="A386" s="377" t="s">
        <v>453</v>
      </c>
      <c r="B386" s="370" t="e">
        <f ca="1">_xludf.IFNA(VLOOKUP(Bolts!$A386,'Kilter Holds'!$P$37:$S$662,4,0),0)</f>
        <v>#NAME?</v>
      </c>
      <c r="C386" s="371">
        <v>1</v>
      </c>
      <c r="D386" s="373">
        <v>0</v>
      </c>
      <c r="E386" s="373">
        <v>0</v>
      </c>
      <c r="F386" s="373">
        <v>0</v>
      </c>
      <c r="G386" s="373">
        <v>0</v>
      </c>
      <c r="H386" s="373">
        <v>0</v>
      </c>
      <c r="I386" s="373">
        <f t="shared" ref="I386:I388" ca="1" si="61">IFERROR(1*B386,0)</f>
        <v>0</v>
      </c>
      <c r="J386" s="373">
        <v>0</v>
      </c>
      <c r="K386" s="373">
        <v>0</v>
      </c>
      <c r="L386" s="374">
        <v>0</v>
      </c>
      <c r="M386" s="373">
        <v>0</v>
      </c>
      <c r="N386" s="373">
        <v>0</v>
      </c>
      <c r="O386" s="373">
        <v>0</v>
      </c>
      <c r="P386" s="373">
        <v>0</v>
      </c>
      <c r="Q386" s="373">
        <f t="shared" ref="Q386:Q387" ca="1" si="62">IFERROR(21*B386,0)</f>
        <v>0</v>
      </c>
      <c r="R386" s="373">
        <f t="shared" ref="R386:R387" ca="1" si="63">IFERROR(1*B386,0)</f>
        <v>0</v>
      </c>
      <c r="S386" s="375">
        <v>0</v>
      </c>
      <c r="T386" s="375">
        <v>0</v>
      </c>
      <c r="U386" s="375">
        <v>0</v>
      </c>
      <c r="V386" s="375" t="e">
        <f t="shared" ca="1" si="53"/>
        <v>#NAME?</v>
      </c>
    </row>
    <row r="387" spans="1:22" ht="14.25" hidden="1" customHeight="1">
      <c r="A387" s="377" t="s">
        <v>455</v>
      </c>
      <c r="B387" s="370" t="e">
        <f ca="1">_xludf.IFNA(VLOOKUP(Bolts!$A387,'Kilter Holds'!$P$37:$S$662,4,0),0)</f>
        <v>#NAME?</v>
      </c>
      <c r="C387" s="371">
        <v>1</v>
      </c>
      <c r="D387" s="373">
        <v>0</v>
      </c>
      <c r="E387" s="373">
        <v>0</v>
      </c>
      <c r="F387" s="373">
        <v>0</v>
      </c>
      <c r="G387" s="373">
        <v>0</v>
      </c>
      <c r="H387" s="373">
        <v>0</v>
      </c>
      <c r="I387" s="373">
        <f t="shared" ca="1" si="61"/>
        <v>0</v>
      </c>
      <c r="J387" s="373">
        <v>0</v>
      </c>
      <c r="K387" s="373">
        <v>0</v>
      </c>
      <c r="L387" s="374">
        <v>0</v>
      </c>
      <c r="M387" s="373">
        <v>0</v>
      </c>
      <c r="N387" s="373">
        <v>0</v>
      </c>
      <c r="O387" s="373">
        <v>0</v>
      </c>
      <c r="P387" s="373">
        <v>0</v>
      </c>
      <c r="Q387" s="373">
        <f t="shared" ca="1" si="62"/>
        <v>0</v>
      </c>
      <c r="R387" s="373">
        <f t="shared" ca="1" si="63"/>
        <v>0</v>
      </c>
      <c r="S387" s="375">
        <v>0</v>
      </c>
      <c r="T387" s="375">
        <v>0</v>
      </c>
      <c r="U387" s="375">
        <v>0</v>
      </c>
      <c r="V387" s="375" t="e">
        <f t="shared" ca="1" si="53"/>
        <v>#NAME?</v>
      </c>
    </row>
    <row r="388" spans="1:22" ht="14.25" hidden="1" customHeight="1">
      <c r="A388" s="377" t="s">
        <v>481</v>
      </c>
      <c r="B388" s="370" t="e">
        <f ca="1">_xludf.IFNA(VLOOKUP(Bolts!$A388,'Kilter Holds'!$P$37:$S$662,4,0),0)</f>
        <v>#NAME?</v>
      </c>
      <c r="C388" s="371">
        <v>11</v>
      </c>
      <c r="D388" s="373">
        <v>0</v>
      </c>
      <c r="E388" s="373">
        <v>0</v>
      </c>
      <c r="F388" s="373">
        <v>0</v>
      </c>
      <c r="G388" s="373">
        <f ca="1">IFERROR(2*B388,0)</f>
        <v>0</v>
      </c>
      <c r="H388" s="373">
        <v>0</v>
      </c>
      <c r="I388" s="373">
        <f t="shared" ca="1" si="61"/>
        <v>0</v>
      </c>
      <c r="J388" s="373">
        <v>0</v>
      </c>
      <c r="K388" s="373">
        <v>0</v>
      </c>
      <c r="L388" s="374">
        <v>0</v>
      </c>
      <c r="M388" s="373">
        <v>0</v>
      </c>
      <c r="N388" s="373">
        <v>0</v>
      </c>
      <c r="O388" s="373">
        <v>0</v>
      </c>
      <c r="P388" s="373">
        <v>0</v>
      </c>
      <c r="Q388" s="373">
        <f ca="1">IFERROR(43*B388,0)</f>
        <v>0</v>
      </c>
      <c r="R388" s="373">
        <f ca="1">IFERROR(2*B388,0)</f>
        <v>0</v>
      </c>
      <c r="S388" s="375">
        <f ca="1">IFERROR(2*B388,0)</f>
        <v>0</v>
      </c>
      <c r="T388" s="375">
        <v>0</v>
      </c>
      <c r="U388" s="375">
        <v>0</v>
      </c>
      <c r="V388" s="375" t="e">
        <f t="shared" ca="1" si="53"/>
        <v>#NAME?</v>
      </c>
    </row>
    <row r="389" spans="1:22" ht="14.25" hidden="1" customHeight="1">
      <c r="A389" s="377" t="s">
        <v>457</v>
      </c>
      <c r="B389" s="370" t="e">
        <f ca="1">_xludf.IFNA(VLOOKUP(Bolts!$A389,'Kilter Holds'!$P$37:$S$662,4,0),0)</f>
        <v>#NAME?</v>
      </c>
      <c r="C389" s="371">
        <v>3</v>
      </c>
      <c r="D389" s="373">
        <v>0</v>
      </c>
      <c r="E389" s="373">
        <v>0</v>
      </c>
      <c r="F389" s="373">
        <v>0</v>
      </c>
      <c r="G389" s="373">
        <v>0</v>
      </c>
      <c r="H389" s="373">
        <v>0</v>
      </c>
      <c r="I389" s="373">
        <v>0</v>
      </c>
      <c r="J389" s="373">
        <v>0</v>
      </c>
      <c r="K389" s="373" t="e">
        <f ca="1">Bolts!$B389*1</f>
        <v>#NAME?</v>
      </c>
      <c r="L389" s="374">
        <v>0</v>
      </c>
      <c r="M389" s="373" t="e">
        <f ca="1">1*Bolts!$B389</f>
        <v>#NAME?</v>
      </c>
      <c r="N389" s="373">
        <v>0</v>
      </c>
      <c r="O389" s="373">
        <v>0</v>
      </c>
      <c r="P389" s="373" t="e">
        <f ca="1">Bolts!$B389*1</f>
        <v>#NAME?</v>
      </c>
      <c r="Q389" s="373" t="e">
        <f ca="1">4*Bolts!$B389</f>
        <v>#NAME?</v>
      </c>
      <c r="R389" s="373" t="e">
        <f ca="1">3*Bolts!$B389</f>
        <v>#NAME?</v>
      </c>
      <c r="S389" s="375">
        <v>0</v>
      </c>
      <c r="T389" s="375">
        <v>0</v>
      </c>
      <c r="U389" s="375">
        <v>0</v>
      </c>
      <c r="V389" s="375" t="e">
        <f t="shared" ca="1" si="53"/>
        <v>#NAME?</v>
      </c>
    </row>
    <row r="390" spans="1:22" ht="14.25" hidden="1" customHeight="1">
      <c r="A390" s="377" t="s">
        <v>459</v>
      </c>
      <c r="B390" s="370" t="e">
        <f ca="1">_xludf.IFNA(VLOOKUP(Bolts!$A390,'Kilter Holds'!$P$37:$S$662,4,0),0)</f>
        <v>#NAME?</v>
      </c>
      <c r="C390" s="371">
        <v>1</v>
      </c>
      <c r="D390" s="373">
        <v>0</v>
      </c>
      <c r="E390" s="373">
        <v>0</v>
      </c>
      <c r="F390" s="373">
        <v>0</v>
      </c>
      <c r="G390" s="373">
        <v>0</v>
      </c>
      <c r="H390" s="373">
        <v>0</v>
      </c>
      <c r="I390" s="373">
        <v>0</v>
      </c>
      <c r="J390" s="373">
        <v>0</v>
      </c>
      <c r="K390" s="373">
        <v>0</v>
      </c>
      <c r="L390" s="374">
        <v>0</v>
      </c>
      <c r="M390" s="373">
        <v>0</v>
      </c>
      <c r="N390" s="373">
        <v>0</v>
      </c>
      <c r="O390" s="373">
        <v>0</v>
      </c>
      <c r="P390" s="373" t="e">
        <f ca="1">Bolts!$B390*1</f>
        <v>#NAME?</v>
      </c>
      <c r="Q390" s="373">
        <v>0</v>
      </c>
      <c r="R390" s="373">
        <v>0</v>
      </c>
      <c r="S390" s="375">
        <v>0</v>
      </c>
      <c r="T390" s="375">
        <v>0</v>
      </c>
      <c r="U390" s="375">
        <v>0</v>
      </c>
      <c r="V390" s="375" t="e">
        <f t="shared" ca="1" si="53"/>
        <v>#NAME?</v>
      </c>
    </row>
    <row r="391" spans="1:22" ht="14.25" hidden="1" customHeight="1">
      <c r="A391" s="377" t="s">
        <v>461</v>
      </c>
      <c r="B391" s="370" t="e">
        <f ca="1">_xludf.IFNA(VLOOKUP(Bolts!$A391,'Kilter Holds'!$P$37:$S$662,4,0),0)</f>
        <v>#NAME?</v>
      </c>
      <c r="C391" s="371">
        <v>1</v>
      </c>
      <c r="D391" s="373">
        <v>0</v>
      </c>
      <c r="E391" s="373">
        <v>0</v>
      </c>
      <c r="F391" s="373">
        <v>0</v>
      </c>
      <c r="G391" s="373">
        <v>0</v>
      </c>
      <c r="H391" s="373">
        <v>0</v>
      </c>
      <c r="I391" s="373">
        <v>0</v>
      </c>
      <c r="J391" s="373">
        <v>0</v>
      </c>
      <c r="K391" s="373" t="e">
        <f ca="1">Bolts!$B391*1</f>
        <v>#NAME?</v>
      </c>
      <c r="L391" s="374">
        <v>0</v>
      </c>
      <c r="M391" s="373">
        <v>0</v>
      </c>
      <c r="N391" s="373">
        <v>0</v>
      </c>
      <c r="O391" s="373">
        <v>0</v>
      </c>
      <c r="P391" s="373">
        <v>0</v>
      </c>
      <c r="Q391" s="373">
        <v>0</v>
      </c>
      <c r="R391" s="373">
        <v>0</v>
      </c>
      <c r="S391" s="375">
        <v>0</v>
      </c>
      <c r="T391" s="375">
        <v>0</v>
      </c>
      <c r="U391" s="375">
        <v>0</v>
      </c>
      <c r="V391" s="375" t="e">
        <f t="shared" ca="1" si="53"/>
        <v>#NAME?</v>
      </c>
    </row>
    <row r="392" spans="1:22" ht="14.25" hidden="1" customHeight="1">
      <c r="A392" s="377" t="s">
        <v>463</v>
      </c>
      <c r="B392" s="370" t="e">
        <f ca="1">_xludf.IFNA(VLOOKUP(Bolts!$A392,'Kilter Holds'!$P$37:$S$662,4,0),0)</f>
        <v>#NAME?</v>
      </c>
      <c r="C392" s="371">
        <v>1</v>
      </c>
      <c r="D392" s="373">
        <v>0</v>
      </c>
      <c r="E392" s="373">
        <v>0</v>
      </c>
      <c r="F392" s="373">
        <v>0</v>
      </c>
      <c r="G392" s="373">
        <v>0</v>
      </c>
      <c r="H392" s="373">
        <v>0</v>
      </c>
      <c r="I392" s="373">
        <v>0</v>
      </c>
      <c r="J392" s="373">
        <v>0</v>
      </c>
      <c r="K392" s="373">
        <v>0</v>
      </c>
      <c r="L392" s="374">
        <v>0</v>
      </c>
      <c r="M392" s="373" t="e">
        <f ca="1">1*Bolts!$B392</f>
        <v>#NAME?</v>
      </c>
      <c r="N392" s="373">
        <v>0</v>
      </c>
      <c r="O392" s="373">
        <v>0</v>
      </c>
      <c r="P392" s="373">
        <v>0</v>
      </c>
      <c r="Q392" s="373" t="e">
        <f ca="1">4*Bolts!$B392</f>
        <v>#NAME?</v>
      </c>
      <c r="R392" s="373" t="e">
        <f ca="1">3*Bolts!$B392</f>
        <v>#NAME?</v>
      </c>
      <c r="S392" s="375">
        <v>0</v>
      </c>
      <c r="T392" s="375">
        <v>0</v>
      </c>
      <c r="U392" s="375">
        <v>0</v>
      </c>
      <c r="V392" s="375" t="e">
        <f t="shared" ca="1" si="53"/>
        <v>#NAME?</v>
      </c>
    </row>
    <row r="393" spans="1:22" ht="14.25" hidden="1" customHeight="1">
      <c r="A393" s="377" t="s">
        <v>495</v>
      </c>
      <c r="B393" s="370" t="e">
        <f ca="1">_xludf.IFNA(VLOOKUP(Bolts!$A393,'Kilter Holds'!$P$37:$S$662,4,0),0)</f>
        <v>#NAME?</v>
      </c>
      <c r="C393" s="371">
        <v>6</v>
      </c>
      <c r="D393" s="373">
        <v>0</v>
      </c>
      <c r="E393" s="373">
        <v>0</v>
      </c>
      <c r="F393" s="373" t="e">
        <f ca="1">Bolts!$B393*2</f>
        <v>#NAME?</v>
      </c>
      <c r="G393" s="373">
        <f ca="1">IFERROR(2*B393,0)</f>
        <v>0</v>
      </c>
      <c r="H393" s="373">
        <v>0</v>
      </c>
      <c r="I393" s="373">
        <f ca="1">IFERROR(1*B393,0)</f>
        <v>0</v>
      </c>
      <c r="J393" s="373" t="e">
        <f ca="1">Bolts!$B393*1</f>
        <v>#NAME?</v>
      </c>
      <c r="K393" s="373">
        <v>0</v>
      </c>
      <c r="L393" s="374">
        <v>0</v>
      </c>
      <c r="M393" s="373">
        <v>0</v>
      </c>
      <c r="N393" s="373">
        <v>0</v>
      </c>
      <c r="O393" s="373">
        <v>0</v>
      </c>
      <c r="P393" s="373">
        <v>0</v>
      </c>
      <c r="Q393" s="373">
        <f ca="1">IFERROR(16*B393,0)</f>
        <v>0</v>
      </c>
      <c r="R393" s="373">
        <f ca="1">IFERROR(1*B393,0)</f>
        <v>0</v>
      </c>
      <c r="S393" s="375">
        <f ca="1">IFERROR(2*B393,0)</f>
        <v>0</v>
      </c>
      <c r="T393" s="375" t="e">
        <f ca="1">Bolts!$B393*5</f>
        <v>#NAME?</v>
      </c>
      <c r="U393" s="375">
        <v>0</v>
      </c>
      <c r="V393" s="375" t="e">
        <f t="shared" ca="1" si="53"/>
        <v>#NAME?</v>
      </c>
    </row>
    <row r="394" spans="1:22" ht="14.25" hidden="1" customHeight="1">
      <c r="A394" s="377" t="s">
        <v>519</v>
      </c>
      <c r="B394" s="370" t="e">
        <f ca="1">_xludf.IFNA(VLOOKUP(Bolts!$A394,'Kilter Holds'!$P$37:$S$662,4,0),0)</f>
        <v>#NAME?</v>
      </c>
      <c r="C394" s="371">
        <v>10</v>
      </c>
      <c r="D394" s="373" t="e">
        <f ca="1">Bolts!$B394*10</f>
        <v>#NAME?</v>
      </c>
      <c r="E394" s="373">
        <v>0</v>
      </c>
      <c r="F394" s="373">
        <v>0</v>
      </c>
      <c r="G394" s="373">
        <v>0</v>
      </c>
      <c r="H394" s="373">
        <v>0</v>
      </c>
      <c r="I394" s="373">
        <v>0</v>
      </c>
      <c r="J394" s="373">
        <v>0</v>
      </c>
      <c r="K394" s="373">
        <v>0</v>
      </c>
      <c r="L394" s="374">
        <v>0</v>
      </c>
      <c r="M394" s="373">
        <v>0</v>
      </c>
      <c r="N394" s="373">
        <v>0</v>
      </c>
      <c r="O394" s="373">
        <v>0</v>
      </c>
      <c r="P394" s="373">
        <v>0</v>
      </c>
      <c r="Q394" s="373">
        <f ca="1">IFERROR(10*B394,0)</f>
        <v>0</v>
      </c>
      <c r="R394" s="373">
        <v>0</v>
      </c>
      <c r="S394" s="375">
        <v>0</v>
      </c>
      <c r="T394" s="375">
        <v>0</v>
      </c>
      <c r="U394" s="375">
        <v>0</v>
      </c>
      <c r="V394" s="375" t="e">
        <f t="shared" ca="1" si="53"/>
        <v>#NAME?</v>
      </c>
    </row>
    <row r="395" spans="1:22" ht="14.25" hidden="1" customHeight="1">
      <c r="A395" s="377" t="s">
        <v>483</v>
      </c>
      <c r="B395" s="370" t="e">
        <f ca="1">_xludf.IFNA(VLOOKUP(Bolts!$A395,'Kilter Holds'!$P$37:$S$662,4,0),0)</f>
        <v>#NAME?</v>
      </c>
      <c r="C395" s="371">
        <v>2</v>
      </c>
      <c r="D395" s="373">
        <v>0</v>
      </c>
      <c r="E395" s="373">
        <v>0</v>
      </c>
      <c r="F395" s="373">
        <v>0</v>
      </c>
      <c r="G395" s="373" t="e">
        <f ca="1">Bolts!$B395*1</f>
        <v>#NAME?</v>
      </c>
      <c r="H395" s="373" t="e">
        <f ca="1">Bolts!$B395*1</f>
        <v>#NAME?</v>
      </c>
      <c r="I395" s="373">
        <v>0</v>
      </c>
      <c r="J395" s="373">
        <v>0</v>
      </c>
      <c r="K395" s="373">
        <v>0</v>
      </c>
      <c r="L395" s="374">
        <v>0</v>
      </c>
      <c r="M395" s="373">
        <v>0</v>
      </c>
      <c r="N395" s="373">
        <v>0</v>
      </c>
      <c r="O395" s="373">
        <v>0</v>
      </c>
      <c r="P395" s="373">
        <v>0</v>
      </c>
      <c r="Q395" s="373" t="e">
        <f ca="1">Bolts!$B395*12</f>
        <v>#NAME?</v>
      </c>
      <c r="R395" s="373" t="e">
        <f ca="1">Bolts!$B395*1</f>
        <v>#NAME?</v>
      </c>
      <c r="S395" s="375">
        <v>0</v>
      </c>
      <c r="T395" s="375">
        <v>0</v>
      </c>
      <c r="U395" s="375">
        <v>0</v>
      </c>
      <c r="V395" s="375" t="e">
        <f t="shared" ca="1" si="53"/>
        <v>#NAME?</v>
      </c>
    </row>
    <row r="396" spans="1:22" ht="14.25" hidden="1" customHeight="1">
      <c r="A396" s="377" t="s">
        <v>517</v>
      </c>
      <c r="B396" s="370" t="e">
        <f ca="1">_xludf.IFNA(VLOOKUP(Bolts!$A396,'Kilter Holds'!$P$37:$S$662,4,0),0)</f>
        <v>#NAME?</v>
      </c>
      <c r="C396" s="371">
        <v>10</v>
      </c>
      <c r="D396" s="373">
        <v>0</v>
      </c>
      <c r="E396" s="373">
        <v>0</v>
      </c>
      <c r="F396" s="373">
        <v>0</v>
      </c>
      <c r="G396" s="373">
        <v>0</v>
      </c>
      <c r="H396" s="373">
        <v>0</v>
      </c>
      <c r="I396" s="373">
        <v>0</v>
      </c>
      <c r="J396" s="373">
        <v>0</v>
      </c>
      <c r="K396" s="373">
        <v>0</v>
      </c>
      <c r="L396" s="374">
        <v>0</v>
      </c>
      <c r="M396" s="373">
        <v>0</v>
      </c>
      <c r="N396" s="373">
        <v>0</v>
      </c>
      <c r="O396" s="373">
        <v>0</v>
      </c>
      <c r="P396" s="373">
        <v>0</v>
      </c>
      <c r="Q396" s="373" t="e">
        <f ca="1">Bolts!$B396*28</f>
        <v>#NAME?</v>
      </c>
      <c r="R396" s="373">
        <v>0</v>
      </c>
      <c r="S396" s="375">
        <v>0</v>
      </c>
      <c r="T396" s="375">
        <v>0</v>
      </c>
      <c r="U396" s="375">
        <v>0</v>
      </c>
      <c r="V396" s="375" t="e">
        <f t="shared" ca="1" si="53"/>
        <v>#NAME?</v>
      </c>
    </row>
    <row r="397" spans="1:22" ht="14.25" hidden="1" customHeight="1">
      <c r="A397" s="377" t="s">
        <v>485</v>
      </c>
      <c r="B397" s="370" t="e">
        <f ca="1">_xludf.IFNA(VLOOKUP(Bolts!$A397,'Kilter Holds'!$P$37:$S$662,4,0),0)</f>
        <v>#NAME?</v>
      </c>
      <c r="C397" s="371">
        <v>2</v>
      </c>
      <c r="D397" s="373">
        <v>0</v>
      </c>
      <c r="E397" s="373">
        <v>0</v>
      </c>
      <c r="F397" s="373">
        <v>0</v>
      </c>
      <c r="G397" s="373" t="e">
        <f ca="1">Bolts!$B397*1</f>
        <v>#NAME?</v>
      </c>
      <c r="H397" s="373">
        <v>0</v>
      </c>
      <c r="I397" s="373">
        <v>0</v>
      </c>
      <c r="J397" s="373" t="e">
        <f ca="1">Bolts!$B397*1</f>
        <v>#NAME?</v>
      </c>
      <c r="K397" s="373">
        <v>0</v>
      </c>
      <c r="L397" s="374">
        <v>0</v>
      </c>
      <c r="M397" s="373">
        <v>0</v>
      </c>
      <c r="N397" s="373">
        <v>0</v>
      </c>
      <c r="O397" s="373">
        <v>0</v>
      </c>
      <c r="P397" s="373">
        <v>0</v>
      </c>
      <c r="Q397" s="373" t="e">
        <f ca="1">Bolts!$B397*11</f>
        <v>#NAME?</v>
      </c>
      <c r="R397" s="373" t="e">
        <f ca="1">Bolts!$B397*3</f>
        <v>#NAME?</v>
      </c>
      <c r="S397" s="375">
        <v>0</v>
      </c>
      <c r="T397" s="375">
        <v>0</v>
      </c>
      <c r="U397" s="375">
        <v>0</v>
      </c>
      <c r="V397" s="375" t="e">
        <f t="shared" ca="1" si="53"/>
        <v>#NAME?</v>
      </c>
    </row>
    <row r="398" spans="1:22" ht="14.25" hidden="1" customHeight="1">
      <c r="A398" s="376" t="s">
        <v>834</v>
      </c>
      <c r="B398" s="370" t="e">
        <f ca="1">_xludf.IFNA(VLOOKUP(Bolts!$A398,'Kilter Holds'!$P$37:$S$662,4,0),0)</f>
        <v>#NAME?</v>
      </c>
      <c r="C398" s="371">
        <v>4</v>
      </c>
      <c r="D398" s="373">
        <v>0</v>
      </c>
      <c r="E398" s="373">
        <f ca="1">IFERROR(1*B398,0)</f>
        <v>0</v>
      </c>
      <c r="F398" s="373">
        <f ca="1">IFERROR(3*B398,0)</f>
        <v>0</v>
      </c>
      <c r="G398" s="373">
        <v>0</v>
      </c>
      <c r="H398" s="373">
        <v>0</v>
      </c>
      <c r="I398" s="373">
        <v>0</v>
      </c>
      <c r="J398" s="373">
        <v>0</v>
      </c>
      <c r="K398" s="373">
        <v>0</v>
      </c>
      <c r="L398" s="374">
        <v>0</v>
      </c>
      <c r="M398" s="373">
        <v>0</v>
      </c>
      <c r="N398" s="373">
        <v>0</v>
      </c>
      <c r="O398" s="373">
        <v>0</v>
      </c>
      <c r="P398" s="373">
        <v>0</v>
      </c>
      <c r="Q398" s="373">
        <v>0</v>
      </c>
      <c r="R398" s="373">
        <v>0</v>
      </c>
      <c r="S398" s="375">
        <v>0</v>
      </c>
      <c r="T398" s="375">
        <v>0</v>
      </c>
      <c r="U398" s="375">
        <v>0</v>
      </c>
      <c r="V398" s="375" t="e">
        <f t="shared" ca="1" si="53"/>
        <v>#NAME?</v>
      </c>
    </row>
    <row r="399" spans="1:22" ht="14.25" hidden="1" customHeight="1">
      <c r="A399" s="377" t="s">
        <v>826</v>
      </c>
      <c r="B399" s="370" t="e">
        <f ca="1">_xludf.IFNA(VLOOKUP(Bolts!$A399,'Kilter Holds'!$P$37:$S$662,4,0),0)</f>
        <v>#NAME?</v>
      </c>
      <c r="C399" s="371">
        <v>10</v>
      </c>
      <c r="D399" s="373">
        <f t="shared" ref="D399:D400" ca="1" si="64">IFERROR(10*B399,0)</f>
        <v>0</v>
      </c>
      <c r="E399" s="373">
        <v>0</v>
      </c>
      <c r="F399" s="373">
        <v>0</v>
      </c>
      <c r="G399" s="373">
        <v>0</v>
      </c>
      <c r="H399" s="373">
        <v>0</v>
      </c>
      <c r="I399" s="373">
        <v>0</v>
      </c>
      <c r="J399" s="373">
        <v>0</v>
      </c>
      <c r="K399" s="373">
        <v>0</v>
      </c>
      <c r="L399" s="374">
        <v>0</v>
      </c>
      <c r="M399" s="373">
        <v>0</v>
      </c>
      <c r="N399" s="373">
        <v>0</v>
      </c>
      <c r="O399" s="373">
        <v>0</v>
      </c>
      <c r="P399" s="373">
        <v>0</v>
      </c>
      <c r="Q399" s="373">
        <v>0</v>
      </c>
      <c r="R399" s="373">
        <v>0</v>
      </c>
      <c r="S399" s="375">
        <v>0</v>
      </c>
      <c r="T399" s="375">
        <v>0</v>
      </c>
      <c r="U399" s="375">
        <v>0</v>
      </c>
      <c r="V399" s="375" t="e">
        <f t="shared" ca="1" si="53"/>
        <v>#NAME?</v>
      </c>
    </row>
    <row r="400" spans="1:22" ht="14.25" hidden="1" customHeight="1">
      <c r="A400" s="377" t="s">
        <v>828</v>
      </c>
      <c r="B400" s="370" t="e">
        <f ca="1">_xludf.IFNA(VLOOKUP(Bolts!$A400,'Kilter Holds'!$P$37:$S$662,4,0),0)</f>
        <v>#NAME?</v>
      </c>
      <c r="C400" s="371">
        <v>10</v>
      </c>
      <c r="D400" s="373">
        <f t="shared" ca="1" si="64"/>
        <v>0</v>
      </c>
      <c r="E400" s="373">
        <v>0</v>
      </c>
      <c r="F400" s="373">
        <v>0</v>
      </c>
      <c r="G400" s="373">
        <v>0</v>
      </c>
      <c r="H400" s="373">
        <v>0</v>
      </c>
      <c r="I400" s="373">
        <v>0</v>
      </c>
      <c r="J400" s="373">
        <v>0</v>
      </c>
      <c r="K400" s="373">
        <v>0</v>
      </c>
      <c r="L400" s="374">
        <v>0</v>
      </c>
      <c r="M400" s="373">
        <v>0</v>
      </c>
      <c r="N400" s="373">
        <v>0</v>
      </c>
      <c r="O400" s="373">
        <v>0</v>
      </c>
      <c r="P400" s="373">
        <v>0</v>
      </c>
      <c r="Q400" s="373">
        <v>0</v>
      </c>
      <c r="R400" s="373">
        <v>0</v>
      </c>
      <c r="S400" s="375">
        <v>0</v>
      </c>
      <c r="T400" s="375">
        <v>0</v>
      </c>
      <c r="U400" s="375">
        <v>0</v>
      </c>
      <c r="V400" s="375" t="e">
        <f t="shared" ca="1" si="53"/>
        <v>#NAME?</v>
      </c>
    </row>
    <row r="401" spans="1:22" ht="14.25" hidden="1" customHeight="1">
      <c r="A401" s="377" t="s">
        <v>830</v>
      </c>
      <c r="B401" s="370" t="e">
        <f ca="1">_xludf.IFNA(VLOOKUP(Bolts!$A401,'Kilter Holds'!$P$37:$S$662,4,0),0)</f>
        <v>#NAME?</v>
      </c>
      <c r="C401" s="371">
        <v>10</v>
      </c>
      <c r="D401" s="373">
        <f ca="1">IFERROR(6*B401,0)</f>
        <v>0</v>
      </c>
      <c r="E401" s="373">
        <f ca="1">IFERROR(4*B401,0)</f>
        <v>0</v>
      </c>
      <c r="F401" s="373">
        <v>0</v>
      </c>
      <c r="G401" s="373">
        <v>0</v>
      </c>
      <c r="H401" s="373">
        <v>0</v>
      </c>
      <c r="I401" s="373">
        <v>0</v>
      </c>
      <c r="J401" s="373">
        <v>0</v>
      </c>
      <c r="K401" s="373">
        <v>0</v>
      </c>
      <c r="L401" s="374">
        <v>0</v>
      </c>
      <c r="M401" s="373">
        <v>0</v>
      </c>
      <c r="N401" s="373">
        <v>0</v>
      </c>
      <c r="O401" s="373">
        <v>0</v>
      </c>
      <c r="P401" s="373">
        <v>0</v>
      </c>
      <c r="Q401" s="373">
        <v>0</v>
      </c>
      <c r="R401" s="373">
        <v>0</v>
      </c>
      <c r="S401" s="375">
        <v>0</v>
      </c>
      <c r="T401" s="375">
        <v>0</v>
      </c>
      <c r="U401" s="375">
        <v>0</v>
      </c>
      <c r="V401" s="375" t="e">
        <f t="shared" ca="1" si="53"/>
        <v>#NAME?</v>
      </c>
    </row>
    <row r="402" spans="1:22" ht="14.25" hidden="1" customHeight="1">
      <c r="A402" s="377" t="s">
        <v>832</v>
      </c>
      <c r="B402" s="370" t="e">
        <f ca="1">_xludf.IFNA(VLOOKUP(Bolts!$A402,'Kilter Holds'!$P$37:$S$662,4,0),0)</f>
        <v>#NAME?</v>
      </c>
      <c r="C402" s="371">
        <v>10</v>
      </c>
      <c r="D402" s="373">
        <f ca="1">IFERROR(10*B402,0)</f>
        <v>0</v>
      </c>
      <c r="E402" s="373">
        <v>0</v>
      </c>
      <c r="F402" s="373">
        <v>0</v>
      </c>
      <c r="G402" s="373">
        <v>0</v>
      </c>
      <c r="H402" s="373">
        <v>0</v>
      </c>
      <c r="I402" s="373">
        <v>0</v>
      </c>
      <c r="J402" s="373">
        <v>0</v>
      </c>
      <c r="K402" s="373">
        <v>0</v>
      </c>
      <c r="L402" s="374">
        <v>0</v>
      </c>
      <c r="M402" s="373">
        <v>0</v>
      </c>
      <c r="N402" s="373">
        <v>0</v>
      </c>
      <c r="O402" s="373">
        <v>0</v>
      </c>
      <c r="P402" s="373">
        <v>0</v>
      </c>
      <c r="Q402" s="373">
        <v>0</v>
      </c>
      <c r="R402" s="373">
        <v>0</v>
      </c>
      <c r="S402" s="375">
        <v>0</v>
      </c>
      <c r="T402" s="375">
        <v>0</v>
      </c>
      <c r="U402" s="375">
        <v>0</v>
      </c>
      <c r="V402" s="375" t="e">
        <f t="shared" ca="1" si="53"/>
        <v>#NAME?</v>
      </c>
    </row>
    <row r="403" spans="1:22" ht="14.25" hidden="1" customHeight="1">
      <c r="A403" s="377" t="s">
        <v>1930</v>
      </c>
      <c r="B403" s="370" t="e">
        <f ca="1">_xludf.IFNA(VLOOKUP(Bolts!$A403,'Kilter Holds'!$P$37:$S$662,4,0),0)</f>
        <v>#NAME?</v>
      </c>
      <c r="C403" s="371">
        <v>3</v>
      </c>
      <c r="D403" s="373">
        <v>0</v>
      </c>
      <c r="E403" s="373">
        <v>0</v>
      </c>
      <c r="F403" s="373">
        <v>0</v>
      </c>
      <c r="G403" s="373">
        <v>0</v>
      </c>
      <c r="H403" s="373">
        <v>0</v>
      </c>
      <c r="I403" s="373">
        <v>0</v>
      </c>
      <c r="J403" s="373">
        <v>0</v>
      </c>
      <c r="K403" s="373">
        <f ca="1">IFERROR(2*B403,0)</f>
        <v>0</v>
      </c>
      <c r="L403" s="374">
        <v>0</v>
      </c>
      <c r="M403" s="373">
        <f ca="1">IFERROR(1*B403,0)</f>
        <v>0</v>
      </c>
      <c r="N403" s="373">
        <v>0</v>
      </c>
      <c r="O403" s="373">
        <v>0</v>
      </c>
      <c r="P403" s="373">
        <v>0</v>
      </c>
      <c r="Q403" s="373">
        <f ca="1">IFERROR(22*B403,0)</f>
        <v>0</v>
      </c>
      <c r="R403" s="373">
        <v>0</v>
      </c>
      <c r="S403" s="375">
        <v>0</v>
      </c>
      <c r="T403" s="375">
        <v>0</v>
      </c>
      <c r="U403" s="375">
        <v>0</v>
      </c>
      <c r="V403" s="375" t="e">
        <f t="shared" ca="1" si="53"/>
        <v>#NAME?</v>
      </c>
    </row>
    <row r="404" spans="1:22" ht="14.25" hidden="1" customHeight="1">
      <c r="A404" s="376" t="s">
        <v>789</v>
      </c>
      <c r="B404" s="370" t="e">
        <f ca="1">_xludf.IFNA(VLOOKUP(Bolts!$A404,'Kilter Holds'!$P$37:$S$662,4,0),0)</f>
        <v>#NAME?</v>
      </c>
      <c r="C404" s="371">
        <v>5</v>
      </c>
      <c r="D404" s="373">
        <f ca="1">IFERROR(5*B404,0)</f>
        <v>0</v>
      </c>
      <c r="E404" s="373">
        <v>0</v>
      </c>
      <c r="F404" s="373">
        <v>0</v>
      </c>
      <c r="G404" s="373">
        <v>0</v>
      </c>
      <c r="H404" s="373">
        <v>0</v>
      </c>
      <c r="I404" s="373">
        <v>0</v>
      </c>
      <c r="J404" s="373">
        <v>0</v>
      </c>
      <c r="K404" s="373">
        <v>0</v>
      </c>
      <c r="L404" s="374">
        <v>0</v>
      </c>
      <c r="M404" s="373">
        <v>0</v>
      </c>
      <c r="N404" s="373">
        <v>0</v>
      </c>
      <c r="O404" s="373">
        <v>0</v>
      </c>
      <c r="P404" s="373">
        <v>0</v>
      </c>
      <c r="Q404" s="373">
        <v>0</v>
      </c>
      <c r="R404" s="373">
        <v>0</v>
      </c>
      <c r="S404" s="375">
        <v>0</v>
      </c>
      <c r="T404" s="375">
        <v>0</v>
      </c>
      <c r="U404" s="375">
        <v>0</v>
      </c>
      <c r="V404" s="375" t="e">
        <f t="shared" ca="1" si="53"/>
        <v>#NAME?</v>
      </c>
    </row>
    <row r="405" spans="1:22" ht="14.25" hidden="1" customHeight="1">
      <c r="A405" s="377" t="s">
        <v>760</v>
      </c>
      <c r="B405" s="370" t="e">
        <f ca="1">_xludf.IFNA(VLOOKUP(Bolts!$A405,'Kilter Holds'!$P$37:$S$662,4,0),0)</f>
        <v>#NAME?</v>
      </c>
      <c r="C405" s="371">
        <v>3</v>
      </c>
      <c r="D405" s="373">
        <v>0</v>
      </c>
      <c r="E405" s="373">
        <v>0</v>
      </c>
      <c r="F405" s="373">
        <v>0</v>
      </c>
      <c r="G405" s="373">
        <v>0</v>
      </c>
      <c r="H405" s="373">
        <v>0</v>
      </c>
      <c r="I405" s="373">
        <v>0</v>
      </c>
      <c r="J405" s="373">
        <v>0</v>
      </c>
      <c r="K405" s="373">
        <v>0</v>
      </c>
      <c r="L405" s="374">
        <v>0</v>
      </c>
      <c r="M405" s="373">
        <v>0</v>
      </c>
      <c r="N405" s="373" t="e">
        <f ca="1">Bolts!$B405*1</f>
        <v>#NAME?</v>
      </c>
      <c r="O405" s="373" t="e">
        <f ca="1">Bolts!$B405*2</f>
        <v>#NAME?</v>
      </c>
      <c r="P405" s="373">
        <v>0</v>
      </c>
      <c r="Q405" s="373">
        <v>0</v>
      </c>
      <c r="R405" s="373">
        <v>0</v>
      </c>
      <c r="S405" s="375">
        <v>0</v>
      </c>
      <c r="T405" s="375">
        <v>0</v>
      </c>
      <c r="U405" s="375">
        <v>0</v>
      </c>
      <c r="V405" s="375" t="e">
        <f t="shared" ca="1" si="53"/>
        <v>#NAME?</v>
      </c>
    </row>
    <row r="406" spans="1:22" ht="14.25" hidden="1" customHeight="1">
      <c r="A406" s="376" t="s">
        <v>762</v>
      </c>
      <c r="B406" s="370" t="e">
        <f ca="1">_xludf.IFNA(VLOOKUP(Bolts!$A406,'Kilter Holds'!$P$37:$S$662,4,0),0)</f>
        <v>#NAME?</v>
      </c>
      <c r="C406" s="371">
        <v>1</v>
      </c>
      <c r="D406" s="373">
        <v>0</v>
      </c>
      <c r="E406" s="373">
        <v>0</v>
      </c>
      <c r="F406" s="373">
        <v>0</v>
      </c>
      <c r="G406" s="373">
        <v>0</v>
      </c>
      <c r="H406" s="373">
        <v>0</v>
      </c>
      <c r="I406" s="373">
        <v>0</v>
      </c>
      <c r="J406" s="373">
        <v>0</v>
      </c>
      <c r="K406" s="373">
        <v>0</v>
      </c>
      <c r="L406" s="374">
        <v>0</v>
      </c>
      <c r="M406" s="373">
        <v>0</v>
      </c>
      <c r="N406" s="373">
        <v>0</v>
      </c>
      <c r="O406" s="373" t="e">
        <f ca="1">Bolts!$B406*1</f>
        <v>#NAME?</v>
      </c>
      <c r="P406" s="373">
        <v>0</v>
      </c>
      <c r="Q406" s="373">
        <v>0</v>
      </c>
      <c r="R406" s="373">
        <v>0</v>
      </c>
      <c r="S406" s="375">
        <v>0</v>
      </c>
      <c r="T406" s="375">
        <v>0</v>
      </c>
      <c r="U406" s="375">
        <v>0</v>
      </c>
      <c r="V406" s="375" t="e">
        <f t="shared" ca="1" si="53"/>
        <v>#NAME?</v>
      </c>
    </row>
    <row r="407" spans="1:22" ht="14.25" hidden="1" customHeight="1">
      <c r="A407" s="376" t="s">
        <v>764</v>
      </c>
      <c r="B407" s="370" t="e">
        <f ca="1">_xludf.IFNA(VLOOKUP(Bolts!$A407,'Kilter Holds'!$P$37:$S$662,4,0),0)</f>
        <v>#NAME?</v>
      </c>
      <c r="C407" s="371">
        <v>1</v>
      </c>
      <c r="D407" s="373">
        <v>0</v>
      </c>
      <c r="E407" s="373">
        <v>0</v>
      </c>
      <c r="F407" s="373">
        <v>0</v>
      </c>
      <c r="G407" s="373">
        <v>0</v>
      </c>
      <c r="H407" s="373">
        <v>0</v>
      </c>
      <c r="I407" s="373">
        <v>0</v>
      </c>
      <c r="J407" s="373">
        <v>0</v>
      </c>
      <c r="K407" s="373">
        <v>0</v>
      </c>
      <c r="L407" s="374">
        <v>0</v>
      </c>
      <c r="M407" s="373">
        <v>0</v>
      </c>
      <c r="N407" s="373" t="e">
        <f ca="1">Bolts!$B407*1</f>
        <v>#NAME?</v>
      </c>
      <c r="O407" s="373">
        <v>0</v>
      </c>
      <c r="P407" s="373">
        <v>0</v>
      </c>
      <c r="Q407" s="373">
        <v>0</v>
      </c>
      <c r="R407" s="373">
        <v>0</v>
      </c>
      <c r="S407" s="375">
        <v>0</v>
      </c>
      <c r="T407" s="375">
        <v>0</v>
      </c>
      <c r="U407" s="375">
        <v>0</v>
      </c>
      <c r="V407" s="375" t="e">
        <f t="shared" ca="1" si="53"/>
        <v>#NAME?</v>
      </c>
    </row>
    <row r="408" spans="1:22" ht="14.25" hidden="1" customHeight="1">
      <c r="A408" s="376" t="s">
        <v>766</v>
      </c>
      <c r="B408" s="370" t="e">
        <f ca="1">_xludf.IFNA(VLOOKUP(Bolts!$A408,'Kilter Holds'!$P$37:$S$662,4,0),0)</f>
        <v>#NAME?</v>
      </c>
      <c r="C408" s="371">
        <v>1</v>
      </c>
      <c r="D408" s="373">
        <v>0</v>
      </c>
      <c r="E408" s="373">
        <v>0</v>
      </c>
      <c r="F408" s="373">
        <v>0</v>
      </c>
      <c r="G408" s="373">
        <v>0</v>
      </c>
      <c r="H408" s="373">
        <v>0</v>
      </c>
      <c r="I408" s="373">
        <v>0</v>
      </c>
      <c r="J408" s="373">
        <v>0</v>
      </c>
      <c r="K408" s="373">
        <v>0</v>
      </c>
      <c r="L408" s="374">
        <v>0</v>
      </c>
      <c r="M408" s="373">
        <v>0</v>
      </c>
      <c r="N408" s="373">
        <v>0</v>
      </c>
      <c r="O408" s="373" t="e">
        <f ca="1">Bolts!$B408*1</f>
        <v>#NAME?</v>
      </c>
      <c r="P408" s="373">
        <v>0</v>
      </c>
      <c r="Q408" s="373">
        <v>0</v>
      </c>
      <c r="R408" s="373">
        <v>0</v>
      </c>
      <c r="S408" s="375">
        <v>0</v>
      </c>
      <c r="T408" s="375">
        <v>0</v>
      </c>
      <c r="U408" s="375">
        <v>0</v>
      </c>
      <c r="V408" s="375" t="e">
        <f t="shared" ca="1" si="53"/>
        <v>#NAME?</v>
      </c>
    </row>
    <row r="409" spans="1:22" ht="14.25" hidden="1" customHeight="1">
      <c r="A409" s="377" t="s">
        <v>804</v>
      </c>
      <c r="B409" s="370" t="e">
        <f ca="1">_xludf.IFNA(VLOOKUP(Bolts!$A409,'Kilter Holds'!$P$37:$S$662,4,0),0)</f>
        <v>#NAME?</v>
      </c>
      <c r="C409" s="371">
        <v>2</v>
      </c>
      <c r="D409" s="373">
        <v>0</v>
      </c>
      <c r="E409" s="373">
        <v>0</v>
      </c>
      <c r="F409" s="373">
        <v>0</v>
      </c>
      <c r="G409" s="373">
        <v>0</v>
      </c>
      <c r="H409" s="373">
        <v>0</v>
      </c>
      <c r="I409" s="373">
        <v>0</v>
      </c>
      <c r="J409" s="373">
        <v>0</v>
      </c>
      <c r="K409" s="373" t="e">
        <f ca="1">Bolts!$B409*2</f>
        <v>#NAME?</v>
      </c>
      <c r="L409" s="374">
        <v>0</v>
      </c>
      <c r="M409" s="373">
        <v>0</v>
      </c>
      <c r="N409" s="373">
        <v>0</v>
      </c>
      <c r="O409" s="373">
        <v>0</v>
      </c>
      <c r="P409" s="373">
        <v>0</v>
      </c>
      <c r="Q409" s="373">
        <v>0</v>
      </c>
      <c r="R409" s="373">
        <v>0</v>
      </c>
      <c r="S409" s="375">
        <v>0</v>
      </c>
      <c r="T409" s="375">
        <v>0</v>
      </c>
      <c r="U409" s="375">
        <v>0</v>
      </c>
      <c r="V409" s="375" t="e">
        <f t="shared" ca="1" si="53"/>
        <v>#NAME?</v>
      </c>
    </row>
    <row r="410" spans="1:22" ht="14.25" hidden="1" customHeight="1">
      <c r="A410" s="377" t="s">
        <v>1931</v>
      </c>
      <c r="B410" s="370" t="e">
        <f ca="1">_xludf.IFNA(VLOOKUP(Bolts!$A410,'Kilter Holds'!$P$37:$S$662,4,0),0)</f>
        <v>#NAME?</v>
      </c>
      <c r="C410" s="371">
        <v>1</v>
      </c>
      <c r="D410" s="373">
        <v>0</v>
      </c>
      <c r="E410" s="373">
        <v>0</v>
      </c>
      <c r="F410" s="373">
        <v>0</v>
      </c>
      <c r="G410" s="373">
        <v>0</v>
      </c>
      <c r="H410" s="373">
        <v>0</v>
      </c>
      <c r="I410" s="373">
        <v>0</v>
      </c>
      <c r="J410" s="373">
        <v>0</v>
      </c>
      <c r="K410" s="373" t="e">
        <f ca="1">Bolts!$B410*1</f>
        <v>#NAME?</v>
      </c>
      <c r="L410" s="374">
        <v>0</v>
      </c>
      <c r="M410" s="373">
        <v>0</v>
      </c>
      <c r="N410" s="373">
        <v>0</v>
      </c>
      <c r="O410" s="373">
        <v>0</v>
      </c>
      <c r="P410" s="373">
        <v>0</v>
      </c>
      <c r="Q410" s="373">
        <v>0</v>
      </c>
      <c r="R410" s="373">
        <v>0</v>
      </c>
      <c r="S410" s="375">
        <v>0</v>
      </c>
      <c r="T410" s="375">
        <v>0</v>
      </c>
      <c r="U410" s="375">
        <v>0</v>
      </c>
      <c r="V410" s="375" t="e">
        <f t="shared" ca="1" si="53"/>
        <v>#NAME?</v>
      </c>
    </row>
    <row r="411" spans="1:22" ht="14.25" hidden="1" customHeight="1">
      <c r="A411" s="377" t="s">
        <v>806</v>
      </c>
      <c r="B411" s="370" t="e">
        <f ca="1">_xludf.IFNA(VLOOKUP(Bolts!$A411,'Kilter Holds'!$P$37:$S$662,4,0),0)</f>
        <v>#NAME?</v>
      </c>
      <c r="C411" s="371">
        <v>1</v>
      </c>
      <c r="D411" s="373">
        <v>0</v>
      </c>
      <c r="E411" s="373">
        <v>0</v>
      </c>
      <c r="F411" s="373">
        <v>0</v>
      </c>
      <c r="G411" s="373">
        <v>0</v>
      </c>
      <c r="H411" s="373">
        <v>0</v>
      </c>
      <c r="I411" s="373">
        <v>0</v>
      </c>
      <c r="J411" s="373">
        <v>0</v>
      </c>
      <c r="K411" s="373" t="e">
        <f ca="1">Bolts!$B411*1</f>
        <v>#NAME?</v>
      </c>
      <c r="L411" s="374">
        <v>0</v>
      </c>
      <c r="M411" s="373">
        <v>0</v>
      </c>
      <c r="N411" s="373">
        <v>0</v>
      </c>
      <c r="O411" s="373">
        <v>0</v>
      </c>
      <c r="P411" s="373">
        <v>0</v>
      </c>
      <c r="Q411" s="373">
        <v>0</v>
      </c>
      <c r="R411" s="373">
        <v>0</v>
      </c>
      <c r="S411" s="375">
        <v>0</v>
      </c>
      <c r="T411" s="375">
        <v>0</v>
      </c>
      <c r="U411" s="375">
        <v>0</v>
      </c>
      <c r="V411" s="375" t="e">
        <f t="shared" ca="1" si="53"/>
        <v>#NAME?</v>
      </c>
    </row>
    <row r="412" spans="1:22" ht="14.25" hidden="1" customHeight="1">
      <c r="A412" s="376" t="s">
        <v>783</v>
      </c>
      <c r="B412" s="370" t="e">
        <f ca="1">_xludf.IFNA(VLOOKUP(Bolts!$A412,'Kilter Holds'!$P$37:$S$662,4,0),0)</f>
        <v>#NAME?</v>
      </c>
      <c r="C412" s="371">
        <v>5</v>
      </c>
      <c r="D412" s="373">
        <v>0</v>
      </c>
      <c r="E412" s="373">
        <v>0</v>
      </c>
      <c r="F412" s="373">
        <v>0</v>
      </c>
      <c r="G412" s="373">
        <f ca="1">IFERROR(3*B412,0)</f>
        <v>0</v>
      </c>
      <c r="H412" s="373">
        <f ca="1">IFERROR(1*B412,0)</f>
        <v>0</v>
      </c>
      <c r="I412" s="373">
        <f ca="1">IFERROR(1*B412,0)</f>
        <v>0</v>
      </c>
      <c r="J412" s="373">
        <v>0</v>
      </c>
      <c r="K412" s="373">
        <v>0</v>
      </c>
      <c r="L412" s="374">
        <v>0</v>
      </c>
      <c r="M412" s="373">
        <v>0</v>
      </c>
      <c r="N412" s="373">
        <v>0</v>
      </c>
      <c r="O412" s="373">
        <v>0</v>
      </c>
      <c r="P412" s="373">
        <v>0</v>
      </c>
      <c r="Q412" s="373">
        <v>0</v>
      </c>
      <c r="R412" s="373">
        <v>0</v>
      </c>
      <c r="S412" s="375">
        <v>0</v>
      </c>
      <c r="T412" s="375">
        <v>0</v>
      </c>
      <c r="U412" s="375">
        <v>0</v>
      </c>
      <c r="V412" s="375" t="e">
        <f t="shared" ca="1" si="53"/>
        <v>#NAME?</v>
      </c>
    </row>
    <row r="413" spans="1:22" ht="14.25" hidden="1" customHeight="1">
      <c r="A413" s="377" t="s">
        <v>777</v>
      </c>
      <c r="B413" s="370" t="e">
        <f ca="1">_xludf.IFNA(VLOOKUP(Bolts!$A413,'Kilter Holds'!$P$37:$S$662,4,0),0)</f>
        <v>#NAME?</v>
      </c>
      <c r="C413" s="371">
        <v>4</v>
      </c>
      <c r="D413" s="373">
        <v>0</v>
      </c>
      <c r="E413" s="373">
        <v>0</v>
      </c>
      <c r="F413" s="373">
        <v>0</v>
      </c>
      <c r="G413" s="373">
        <v>0</v>
      </c>
      <c r="H413" s="373">
        <v>0</v>
      </c>
      <c r="I413" s="373">
        <v>0</v>
      </c>
      <c r="J413" s="373">
        <f ca="1">IFERROR(2*B413,0)</f>
        <v>0</v>
      </c>
      <c r="K413" s="373">
        <v>0</v>
      </c>
      <c r="L413" s="374">
        <v>0</v>
      </c>
      <c r="M413" s="373">
        <f ca="1">IFERROR(1*B413,0)</f>
        <v>0</v>
      </c>
      <c r="N413" s="373">
        <f ca="1">IFERROR(1*B413,0)</f>
        <v>0</v>
      </c>
      <c r="O413" s="373">
        <v>0</v>
      </c>
      <c r="P413" s="373">
        <v>0</v>
      </c>
      <c r="Q413" s="373">
        <v>0</v>
      </c>
      <c r="R413" s="373">
        <v>0</v>
      </c>
      <c r="S413" s="375">
        <v>0</v>
      </c>
      <c r="T413" s="375">
        <v>0</v>
      </c>
      <c r="U413" s="375">
        <v>0</v>
      </c>
      <c r="V413" s="375" t="e">
        <f t="shared" ca="1" si="53"/>
        <v>#NAME?</v>
      </c>
    </row>
    <row r="414" spans="1:22" ht="14.25" hidden="1" customHeight="1">
      <c r="A414" s="377" t="s">
        <v>779</v>
      </c>
      <c r="B414" s="370" t="e">
        <f ca="1">_xludf.IFNA(VLOOKUP(Bolts!$A414,'Kilter Holds'!$P$37:$S$662,4,0),0)</f>
        <v>#NAME?</v>
      </c>
      <c r="C414" s="371">
        <v>4</v>
      </c>
      <c r="D414" s="373">
        <v>0</v>
      </c>
      <c r="E414" s="373">
        <v>0</v>
      </c>
      <c r="F414" s="373">
        <v>0</v>
      </c>
      <c r="G414" s="373">
        <f ca="1">IFERROR(1*B414,0)</f>
        <v>0</v>
      </c>
      <c r="H414" s="373">
        <f ca="1">IFERROR(1*B414,0)</f>
        <v>0</v>
      </c>
      <c r="I414" s="373">
        <f ca="1">IFERROR(1*B414,0)</f>
        <v>0</v>
      </c>
      <c r="J414" s="373">
        <f ca="1">IFERROR(1*B414,0)</f>
        <v>0</v>
      </c>
      <c r="K414" s="373">
        <v>0</v>
      </c>
      <c r="L414" s="374">
        <v>0</v>
      </c>
      <c r="M414" s="373">
        <v>0</v>
      </c>
      <c r="N414" s="373">
        <v>0</v>
      </c>
      <c r="O414" s="373">
        <v>0</v>
      </c>
      <c r="P414" s="373">
        <v>0</v>
      </c>
      <c r="Q414" s="373">
        <v>0</v>
      </c>
      <c r="R414" s="373">
        <v>0</v>
      </c>
      <c r="S414" s="375">
        <v>0</v>
      </c>
      <c r="T414" s="375">
        <v>0</v>
      </c>
      <c r="U414" s="375">
        <v>0</v>
      </c>
      <c r="V414" s="375" t="e">
        <f t="shared" ca="1" si="53"/>
        <v>#NAME?</v>
      </c>
    </row>
    <row r="415" spans="1:22" ht="14.25" hidden="1" customHeight="1">
      <c r="A415" s="377" t="s">
        <v>795</v>
      </c>
      <c r="B415" s="370" t="e">
        <f ca="1">_xludf.IFNA(VLOOKUP(Bolts!$A415,'Kilter Holds'!$P$37:$S$662,4,0),0)</f>
        <v>#NAME?</v>
      </c>
      <c r="C415" s="371">
        <v>10</v>
      </c>
      <c r="D415" s="373">
        <f t="shared" ref="D415:D416" ca="1" si="65">IFERROR(10*B415,0)</f>
        <v>0</v>
      </c>
      <c r="E415" s="373">
        <v>0</v>
      </c>
      <c r="F415" s="373">
        <v>0</v>
      </c>
      <c r="G415" s="373">
        <v>0</v>
      </c>
      <c r="H415" s="373">
        <v>0</v>
      </c>
      <c r="I415" s="373">
        <v>0</v>
      </c>
      <c r="J415" s="373">
        <v>0</v>
      </c>
      <c r="K415" s="373">
        <v>0</v>
      </c>
      <c r="L415" s="374">
        <v>0</v>
      </c>
      <c r="M415" s="373">
        <v>0</v>
      </c>
      <c r="N415" s="373">
        <v>0</v>
      </c>
      <c r="O415" s="373">
        <v>0</v>
      </c>
      <c r="P415" s="373">
        <v>0</v>
      </c>
      <c r="Q415" s="373">
        <v>0</v>
      </c>
      <c r="R415" s="373">
        <v>0</v>
      </c>
      <c r="S415" s="375">
        <v>0</v>
      </c>
      <c r="T415" s="375">
        <v>0</v>
      </c>
      <c r="U415" s="375">
        <v>0</v>
      </c>
      <c r="V415" s="375" t="e">
        <f t="shared" ca="1" si="53"/>
        <v>#NAME?</v>
      </c>
    </row>
    <row r="416" spans="1:22" ht="14.25" hidden="1" customHeight="1">
      <c r="A416" s="377" t="s">
        <v>797</v>
      </c>
      <c r="B416" s="370" t="e">
        <f ca="1">_xludf.IFNA(VLOOKUP(Bolts!$A416,'Kilter Holds'!$P$37:$S$662,4,0),0)</f>
        <v>#NAME?</v>
      </c>
      <c r="C416" s="371">
        <v>10</v>
      </c>
      <c r="D416" s="373">
        <f t="shared" ca="1" si="65"/>
        <v>0</v>
      </c>
      <c r="E416" s="373">
        <v>0</v>
      </c>
      <c r="F416" s="373">
        <v>0</v>
      </c>
      <c r="G416" s="373">
        <v>0</v>
      </c>
      <c r="H416" s="373">
        <v>0</v>
      </c>
      <c r="I416" s="373">
        <v>0</v>
      </c>
      <c r="J416" s="373">
        <v>0</v>
      </c>
      <c r="K416" s="373">
        <v>0</v>
      </c>
      <c r="L416" s="374">
        <v>0</v>
      </c>
      <c r="M416" s="373">
        <v>0</v>
      </c>
      <c r="N416" s="373">
        <v>0</v>
      </c>
      <c r="O416" s="373">
        <v>0</v>
      </c>
      <c r="P416" s="373">
        <v>0</v>
      </c>
      <c r="Q416" s="373">
        <v>0</v>
      </c>
      <c r="R416" s="373">
        <v>0</v>
      </c>
      <c r="S416" s="375">
        <v>0</v>
      </c>
      <c r="T416" s="375">
        <v>0</v>
      </c>
      <c r="U416" s="375">
        <v>0</v>
      </c>
      <c r="V416" s="375" t="e">
        <f t="shared" ca="1" si="53"/>
        <v>#NAME?</v>
      </c>
    </row>
    <row r="417" spans="1:22" ht="14.25" hidden="1" customHeight="1">
      <c r="A417" s="377" t="s">
        <v>785</v>
      </c>
      <c r="B417" s="370" t="e">
        <f ca="1">_xludf.IFNA(VLOOKUP(Bolts!$A417,'Kilter Holds'!$P$37:$S$662,4,0),0)</f>
        <v>#NAME?</v>
      </c>
      <c r="C417" s="371">
        <v>5</v>
      </c>
      <c r="D417" s="373">
        <v>0</v>
      </c>
      <c r="E417" s="373">
        <v>0</v>
      </c>
      <c r="F417" s="373">
        <v>0</v>
      </c>
      <c r="G417" s="373">
        <v>0</v>
      </c>
      <c r="H417" s="373">
        <v>0</v>
      </c>
      <c r="I417" s="373">
        <v>0</v>
      </c>
      <c r="J417" s="373">
        <v>0</v>
      </c>
      <c r="K417" s="373">
        <f ca="1">IFERROR(5*B417,0)</f>
        <v>0</v>
      </c>
      <c r="L417" s="374">
        <v>0</v>
      </c>
      <c r="M417" s="373">
        <v>0</v>
      </c>
      <c r="N417" s="373">
        <v>0</v>
      </c>
      <c r="O417" s="373">
        <v>0</v>
      </c>
      <c r="P417" s="373">
        <v>0</v>
      </c>
      <c r="Q417" s="373">
        <v>0</v>
      </c>
      <c r="R417" s="373">
        <v>0</v>
      </c>
      <c r="S417" s="375">
        <v>0</v>
      </c>
      <c r="T417" s="375">
        <v>0</v>
      </c>
      <c r="U417" s="375">
        <v>0</v>
      </c>
      <c r="V417" s="375" t="e">
        <f t="shared" ca="1" si="53"/>
        <v>#NAME?</v>
      </c>
    </row>
    <row r="418" spans="1:22" ht="14.25" hidden="1" customHeight="1">
      <c r="A418" s="377" t="s">
        <v>801</v>
      </c>
      <c r="B418" s="370" t="e">
        <f ca="1">_xludf.IFNA(VLOOKUP(Bolts!$A418,'Kilter Holds'!$P$37:$S$662,4,0),0)</f>
        <v>#NAME?</v>
      </c>
      <c r="C418" s="371">
        <v>20</v>
      </c>
      <c r="D418" s="373">
        <f ca="1">IFERROR(20*B418,0)</f>
        <v>0</v>
      </c>
      <c r="E418" s="373">
        <v>0</v>
      </c>
      <c r="F418" s="373">
        <v>0</v>
      </c>
      <c r="G418" s="373">
        <v>0</v>
      </c>
      <c r="H418" s="373">
        <v>0</v>
      </c>
      <c r="I418" s="373">
        <v>0</v>
      </c>
      <c r="J418" s="373">
        <v>0</v>
      </c>
      <c r="K418" s="373">
        <v>0</v>
      </c>
      <c r="L418" s="374">
        <v>0</v>
      </c>
      <c r="M418" s="373">
        <v>0</v>
      </c>
      <c r="N418" s="373">
        <v>0</v>
      </c>
      <c r="O418" s="373">
        <v>0</v>
      </c>
      <c r="P418" s="373">
        <v>0</v>
      </c>
      <c r="Q418" s="373">
        <v>0</v>
      </c>
      <c r="R418" s="373">
        <v>0</v>
      </c>
      <c r="S418" s="375">
        <v>0</v>
      </c>
      <c r="T418" s="375">
        <v>0</v>
      </c>
      <c r="U418" s="375">
        <v>0</v>
      </c>
      <c r="V418" s="375" t="e">
        <f t="shared" ca="1" si="53"/>
        <v>#NAME?</v>
      </c>
    </row>
    <row r="419" spans="1:22" ht="14.25" hidden="1" customHeight="1">
      <c r="A419" s="377" t="s">
        <v>799</v>
      </c>
      <c r="B419" s="370" t="e">
        <f ca="1">_xludf.IFNA(VLOOKUP(Bolts!$A419,'Kilter Holds'!$P$37:$S$662,4,0),0)</f>
        <v>#NAME?</v>
      </c>
      <c r="C419" s="371">
        <v>10</v>
      </c>
      <c r="D419" s="373">
        <f ca="1">IFERROR(10*B419,0)</f>
        <v>0</v>
      </c>
      <c r="E419" s="373">
        <v>0</v>
      </c>
      <c r="F419" s="373">
        <v>0</v>
      </c>
      <c r="G419" s="373">
        <v>0</v>
      </c>
      <c r="H419" s="373">
        <v>0</v>
      </c>
      <c r="I419" s="373">
        <v>0</v>
      </c>
      <c r="J419" s="373">
        <v>0</v>
      </c>
      <c r="K419" s="373">
        <v>0</v>
      </c>
      <c r="L419" s="374">
        <v>0</v>
      </c>
      <c r="M419" s="373">
        <v>0</v>
      </c>
      <c r="N419" s="373">
        <v>0</v>
      </c>
      <c r="O419" s="373">
        <v>0</v>
      </c>
      <c r="P419" s="373">
        <v>0</v>
      </c>
      <c r="Q419" s="373">
        <v>0</v>
      </c>
      <c r="R419" s="373">
        <v>0</v>
      </c>
      <c r="S419" s="375">
        <v>0</v>
      </c>
      <c r="T419" s="375">
        <v>0</v>
      </c>
      <c r="U419" s="375">
        <v>0</v>
      </c>
      <c r="V419" s="375" t="e">
        <f t="shared" ca="1" si="53"/>
        <v>#NAME?</v>
      </c>
    </row>
    <row r="420" spans="1:22" ht="14.25" hidden="1" customHeight="1">
      <c r="A420" s="377" t="s">
        <v>781</v>
      </c>
      <c r="B420" s="370" t="e">
        <f ca="1">_xludf.IFNA(VLOOKUP(Bolts!$A420,'Kilter Holds'!$P$37:$S$662,4,0),0)</f>
        <v>#NAME?</v>
      </c>
      <c r="C420" s="371">
        <v>4</v>
      </c>
      <c r="D420" s="373">
        <v>0</v>
      </c>
      <c r="E420" s="373">
        <v>0</v>
      </c>
      <c r="F420" s="373">
        <v>0</v>
      </c>
      <c r="G420" s="373">
        <v>0</v>
      </c>
      <c r="H420" s="373">
        <v>0</v>
      </c>
      <c r="I420" s="373">
        <v>0</v>
      </c>
      <c r="J420" s="373">
        <f ca="1">IFERROR(4*B420,0)</f>
        <v>0</v>
      </c>
      <c r="K420" s="373">
        <v>0</v>
      </c>
      <c r="L420" s="374">
        <v>0</v>
      </c>
      <c r="M420" s="373">
        <v>0</v>
      </c>
      <c r="N420" s="373">
        <v>0</v>
      </c>
      <c r="O420" s="373">
        <v>0</v>
      </c>
      <c r="P420" s="373">
        <v>0</v>
      </c>
      <c r="Q420" s="373">
        <v>0</v>
      </c>
      <c r="R420" s="373">
        <v>0</v>
      </c>
      <c r="S420" s="375">
        <v>0</v>
      </c>
      <c r="T420" s="375">
        <v>0</v>
      </c>
      <c r="U420" s="375">
        <v>0</v>
      </c>
      <c r="V420" s="375" t="e">
        <f t="shared" ca="1" si="53"/>
        <v>#NAME?</v>
      </c>
    </row>
    <row r="421" spans="1:22" ht="14.25" hidden="1" customHeight="1">
      <c r="A421" s="377" t="s">
        <v>787</v>
      </c>
      <c r="B421" s="370" t="e">
        <f ca="1">_xludf.IFNA(VLOOKUP(Bolts!$A421,'Kilter Holds'!$P$37:$S$662,4,0),0)</f>
        <v>#NAME?</v>
      </c>
      <c r="C421" s="371">
        <v>5</v>
      </c>
      <c r="D421" s="373">
        <v>0</v>
      </c>
      <c r="E421" s="373">
        <v>0</v>
      </c>
      <c r="F421" s="373">
        <f t="shared" ref="F421:F422" ca="1" si="66">IFERROR(2*B421,0)</f>
        <v>0</v>
      </c>
      <c r="G421" s="373">
        <f t="shared" ref="G421:G422" ca="1" si="67">IFERROR(1*B421,0)</f>
        <v>0</v>
      </c>
      <c r="H421" s="373">
        <v>0</v>
      </c>
      <c r="I421" s="373">
        <f ca="1">IFERROR(2*B421,0)</f>
        <v>0</v>
      </c>
      <c r="J421" s="373">
        <v>0</v>
      </c>
      <c r="K421" s="373">
        <v>0</v>
      </c>
      <c r="L421" s="374">
        <v>0</v>
      </c>
      <c r="M421" s="373">
        <v>0</v>
      </c>
      <c r="N421" s="373">
        <v>0</v>
      </c>
      <c r="O421" s="373">
        <v>0</v>
      </c>
      <c r="P421" s="373">
        <v>0</v>
      </c>
      <c r="Q421" s="373">
        <v>0</v>
      </c>
      <c r="R421" s="373">
        <v>0</v>
      </c>
      <c r="S421" s="375">
        <v>0</v>
      </c>
      <c r="T421" s="375">
        <v>0</v>
      </c>
      <c r="U421" s="375">
        <v>0</v>
      </c>
      <c r="V421" s="375" t="e">
        <f t="shared" ca="1" si="53"/>
        <v>#NAME?</v>
      </c>
    </row>
    <row r="422" spans="1:22" ht="14.25" hidden="1" customHeight="1">
      <c r="A422" s="377" t="s">
        <v>791</v>
      </c>
      <c r="B422" s="370" t="e">
        <f ca="1">_xludf.IFNA(VLOOKUP(Bolts!$A422,'Kilter Holds'!$P$37:$S$662,4,0),0)</f>
        <v>#NAME?</v>
      </c>
      <c r="C422" s="371">
        <v>6</v>
      </c>
      <c r="D422" s="373">
        <v>0</v>
      </c>
      <c r="E422" s="373">
        <f t="shared" ref="E422:E423" ca="1" si="68">IFERROR(1*B422,0)</f>
        <v>0</v>
      </c>
      <c r="F422" s="373">
        <f t="shared" ca="1" si="66"/>
        <v>0</v>
      </c>
      <c r="G422" s="373">
        <f t="shared" ca="1" si="67"/>
        <v>0</v>
      </c>
      <c r="H422" s="373">
        <f ca="1">IFERROR(2*B422,0)</f>
        <v>0</v>
      </c>
      <c r="I422" s="373">
        <v>0</v>
      </c>
      <c r="J422" s="373">
        <v>0</v>
      </c>
      <c r="K422" s="373">
        <v>0</v>
      </c>
      <c r="L422" s="374">
        <v>0</v>
      </c>
      <c r="M422" s="373">
        <v>0</v>
      </c>
      <c r="N422" s="373">
        <v>0</v>
      </c>
      <c r="O422" s="373">
        <v>0</v>
      </c>
      <c r="P422" s="373">
        <v>0</v>
      </c>
      <c r="Q422" s="373">
        <v>0</v>
      </c>
      <c r="R422" s="373">
        <v>0</v>
      </c>
      <c r="S422" s="375">
        <v>0</v>
      </c>
      <c r="T422" s="375">
        <v>0</v>
      </c>
      <c r="U422" s="375">
        <v>0</v>
      </c>
      <c r="V422" s="375" t="e">
        <f t="shared" ca="1" si="53"/>
        <v>#NAME?</v>
      </c>
    </row>
    <row r="423" spans="1:22" ht="14.25" hidden="1" customHeight="1">
      <c r="A423" s="376" t="s">
        <v>793</v>
      </c>
      <c r="B423" s="370" t="e">
        <f ca="1">_xludf.IFNA(VLOOKUP(Bolts!$A423,'Kilter Holds'!$P$37:$S$662,4,0),0)</f>
        <v>#NAME?</v>
      </c>
      <c r="C423" s="371">
        <v>5</v>
      </c>
      <c r="D423" s="373">
        <v>0</v>
      </c>
      <c r="E423" s="373">
        <f t="shared" ca="1" si="68"/>
        <v>0</v>
      </c>
      <c r="F423" s="373">
        <f ca="1">IFERROR(3*B423,0)</f>
        <v>0</v>
      </c>
      <c r="G423" s="373">
        <v>0</v>
      </c>
      <c r="H423" s="373">
        <f ca="1">IFERROR(1*B423,0)</f>
        <v>0</v>
      </c>
      <c r="I423" s="373">
        <v>0</v>
      </c>
      <c r="J423" s="373">
        <v>0</v>
      </c>
      <c r="K423" s="373">
        <v>0</v>
      </c>
      <c r="L423" s="374">
        <v>0</v>
      </c>
      <c r="M423" s="373">
        <v>0</v>
      </c>
      <c r="N423" s="373">
        <v>0</v>
      </c>
      <c r="O423" s="373">
        <v>0</v>
      </c>
      <c r="P423" s="373">
        <v>0</v>
      </c>
      <c r="Q423" s="373">
        <v>0</v>
      </c>
      <c r="R423" s="373">
        <v>0</v>
      </c>
      <c r="S423" s="375">
        <v>0</v>
      </c>
      <c r="T423" s="375">
        <v>0</v>
      </c>
      <c r="U423" s="375">
        <v>0</v>
      </c>
      <c r="V423" s="375" t="e">
        <f t="shared" ca="1" si="53"/>
        <v>#NAME?</v>
      </c>
    </row>
    <row r="424" spans="1:22" ht="14.25" hidden="1" customHeight="1">
      <c r="A424" s="376" t="s">
        <v>768</v>
      </c>
      <c r="B424" s="370" t="e">
        <f ca="1">_xludf.IFNA(VLOOKUP(Bolts!$A424,'Kilter Holds'!$P$37:$S$662,4,0),0)</f>
        <v>#NAME?</v>
      </c>
      <c r="C424" s="371">
        <v>3</v>
      </c>
      <c r="D424" s="373">
        <v>0</v>
      </c>
      <c r="E424" s="373">
        <v>0</v>
      </c>
      <c r="F424" s="373">
        <v>0</v>
      </c>
      <c r="G424" s="373">
        <v>0</v>
      </c>
      <c r="H424" s="373">
        <v>0</v>
      </c>
      <c r="I424" s="373">
        <v>0</v>
      </c>
      <c r="J424" s="373">
        <v>0</v>
      </c>
      <c r="K424" s="373">
        <v>0</v>
      </c>
      <c r="L424" s="374">
        <v>0</v>
      </c>
      <c r="M424" s="373">
        <v>0</v>
      </c>
      <c r="N424" s="373">
        <v>0</v>
      </c>
      <c r="O424" s="373" t="e">
        <f ca="1">1*Bolts!$B424</f>
        <v>#NAME?</v>
      </c>
      <c r="P424" s="373" t="e">
        <f ca="1">2*Bolts!$B424</f>
        <v>#NAME?</v>
      </c>
      <c r="Q424" s="373" t="e">
        <f ca="1">24*Bolts!$B424</f>
        <v>#NAME?</v>
      </c>
      <c r="R424" s="373">
        <v>0</v>
      </c>
      <c r="S424" s="375">
        <v>0</v>
      </c>
      <c r="T424" s="375">
        <v>0</v>
      </c>
      <c r="U424" s="375">
        <v>0</v>
      </c>
      <c r="V424" s="375" t="e">
        <f t="shared" ca="1" si="53"/>
        <v>#NAME?</v>
      </c>
    </row>
    <row r="425" spans="1:22" ht="14.25" hidden="1" customHeight="1">
      <c r="A425" s="376" t="s">
        <v>771</v>
      </c>
      <c r="B425" s="370" t="e">
        <f ca="1">_xludf.IFNA(VLOOKUP(Bolts!$A425,'Kilter Holds'!$P$37:$S$662,4,0),0)</f>
        <v>#NAME?</v>
      </c>
      <c r="C425" s="371">
        <v>1</v>
      </c>
      <c r="D425" s="373">
        <v>0</v>
      </c>
      <c r="E425" s="373">
        <v>0</v>
      </c>
      <c r="F425" s="373">
        <v>0</v>
      </c>
      <c r="G425" s="373">
        <v>0</v>
      </c>
      <c r="H425" s="373">
        <v>0</v>
      </c>
      <c r="I425" s="373">
        <v>0</v>
      </c>
      <c r="J425" s="373">
        <v>0</v>
      </c>
      <c r="K425" s="373">
        <v>0</v>
      </c>
      <c r="L425" s="374">
        <v>0</v>
      </c>
      <c r="M425" s="373">
        <v>0</v>
      </c>
      <c r="N425" s="373">
        <v>0</v>
      </c>
      <c r="O425" s="373">
        <v>0</v>
      </c>
      <c r="P425" s="373" t="e">
        <f ca="1">1*Bolts!$B425</f>
        <v>#NAME?</v>
      </c>
      <c r="Q425" s="373" t="e">
        <f ca="1">8*Bolts!$B425</f>
        <v>#NAME?</v>
      </c>
      <c r="R425" s="373">
        <v>0</v>
      </c>
      <c r="S425" s="375">
        <v>0</v>
      </c>
      <c r="T425" s="375">
        <v>0</v>
      </c>
      <c r="U425" s="375">
        <v>0</v>
      </c>
      <c r="V425" s="375" t="e">
        <f t="shared" ca="1" si="53"/>
        <v>#NAME?</v>
      </c>
    </row>
    <row r="426" spans="1:22" ht="14.25" hidden="1" customHeight="1">
      <c r="A426" s="376" t="s">
        <v>773</v>
      </c>
      <c r="B426" s="370" t="e">
        <f ca="1">_xludf.IFNA(VLOOKUP(Bolts!$A426,'Kilter Holds'!$P$37:$S$662,4,0),0)</f>
        <v>#NAME?</v>
      </c>
      <c r="C426" s="371">
        <v>1</v>
      </c>
      <c r="D426" s="373">
        <v>0</v>
      </c>
      <c r="E426" s="373">
        <v>0</v>
      </c>
      <c r="F426" s="373">
        <v>0</v>
      </c>
      <c r="G426" s="373">
        <v>0</v>
      </c>
      <c r="H426" s="373">
        <v>0</v>
      </c>
      <c r="I426" s="373">
        <v>0</v>
      </c>
      <c r="J426" s="373">
        <v>0</v>
      </c>
      <c r="K426" s="373">
        <v>0</v>
      </c>
      <c r="L426" s="374">
        <v>0</v>
      </c>
      <c r="M426" s="373">
        <v>0</v>
      </c>
      <c r="N426" s="373">
        <v>0</v>
      </c>
      <c r="O426" s="373">
        <v>0</v>
      </c>
      <c r="P426" s="373" t="e">
        <f ca="1">1*Bolts!$B426</f>
        <v>#NAME?</v>
      </c>
      <c r="Q426" s="373" t="e">
        <f ca="1">8*Bolts!$B426</f>
        <v>#NAME?</v>
      </c>
      <c r="R426" s="373">
        <v>0</v>
      </c>
      <c r="S426" s="375">
        <v>0</v>
      </c>
      <c r="T426" s="375">
        <v>0</v>
      </c>
      <c r="U426" s="375">
        <v>0</v>
      </c>
      <c r="V426" s="375" t="e">
        <f t="shared" ca="1" si="53"/>
        <v>#NAME?</v>
      </c>
    </row>
    <row r="427" spans="1:22" ht="14.25" hidden="1" customHeight="1">
      <c r="A427" s="376" t="s">
        <v>775</v>
      </c>
      <c r="B427" s="370" t="e">
        <f ca="1">_xludf.IFNA(VLOOKUP(Bolts!$A427,'Kilter Holds'!$P$37:$S$662,4,0),0)</f>
        <v>#NAME?</v>
      </c>
      <c r="C427" s="371">
        <v>1</v>
      </c>
      <c r="D427" s="373">
        <v>0</v>
      </c>
      <c r="E427" s="373">
        <v>0</v>
      </c>
      <c r="F427" s="373">
        <v>0</v>
      </c>
      <c r="G427" s="373">
        <v>0</v>
      </c>
      <c r="H427" s="373">
        <v>0</v>
      </c>
      <c r="I427" s="373">
        <v>0</v>
      </c>
      <c r="J427" s="373">
        <v>0</v>
      </c>
      <c r="K427" s="373">
        <v>0</v>
      </c>
      <c r="L427" s="374">
        <v>0</v>
      </c>
      <c r="M427" s="373">
        <v>0</v>
      </c>
      <c r="N427" s="373">
        <v>0</v>
      </c>
      <c r="O427" s="373">
        <v>0</v>
      </c>
      <c r="P427" s="373" t="e">
        <f ca="1">1*Bolts!$B427</f>
        <v>#NAME?</v>
      </c>
      <c r="Q427" s="373" t="e">
        <f ca="1">8*Bolts!$B427</f>
        <v>#NAME?</v>
      </c>
      <c r="R427" s="373">
        <v>0</v>
      </c>
      <c r="S427" s="375">
        <v>0</v>
      </c>
      <c r="T427" s="375">
        <v>0</v>
      </c>
      <c r="U427" s="375">
        <v>0</v>
      </c>
      <c r="V427" s="375" t="e">
        <f t="shared" ca="1" si="53"/>
        <v>#NAME?</v>
      </c>
    </row>
    <row r="428" spans="1:22" ht="14.25" hidden="1" customHeight="1">
      <c r="A428" s="376" t="s">
        <v>687</v>
      </c>
      <c r="B428" s="370" t="e">
        <f ca="1">_xludf.IFNA(VLOOKUP(Bolts!$A428,'Kilter Holds'!$P$37:$S$662,4,0),0)</f>
        <v>#NAME?</v>
      </c>
      <c r="C428" s="381">
        <v>1</v>
      </c>
      <c r="D428" s="373">
        <v>0</v>
      </c>
      <c r="E428" s="373">
        <v>0</v>
      </c>
      <c r="F428" s="373">
        <v>0</v>
      </c>
      <c r="G428" s="373">
        <v>0</v>
      </c>
      <c r="H428" s="373">
        <v>0</v>
      </c>
      <c r="I428" s="373">
        <v>0</v>
      </c>
      <c r="J428" s="373">
        <v>0</v>
      </c>
      <c r="K428" s="373">
        <v>0</v>
      </c>
      <c r="L428" s="374">
        <v>0</v>
      </c>
      <c r="M428" s="373" t="e">
        <f ca="1">1*Bolts!$B428</f>
        <v>#NAME?</v>
      </c>
      <c r="N428" s="373">
        <v>0</v>
      </c>
      <c r="O428" s="373">
        <v>0</v>
      </c>
      <c r="P428" s="373">
        <v>0</v>
      </c>
      <c r="Q428" s="373" t="e">
        <f ca="1">7*Bolts!$B428</f>
        <v>#NAME?</v>
      </c>
      <c r="R428" s="373">
        <v>0</v>
      </c>
      <c r="S428" s="380">
        <v>0</v>
      </c>
      <c r="T428" s="380">
        <v>0</v>
      </c>
      <c r="U428" s="380">
        <v>0</v>
      </c>
      <c r="V428" s="373" t="e">
        <f t="shared" ca="1" si="53"/>
        <v>#NAME?</v>
      </c>
    </row>
    <row r="429" spans="1:22" ht="14.25" hidden="1" customHeight="1">
      <c r="A429" s="376" t="s">
        <v>689</v>
      </c>
      <c r="B429" s="370" t="e">
        <f ca="1">_xludf.IFNA(VLOOKUP(Bolts!$A429,'Kilter Holds'!$P$37:$S$662,4,0),0)</f>
        <v>#NAME?</v>
      </c>
      <c r="C429" s="371">
        <v>3</v>
      </c>
      <c r="D429" s="373">
        <v>0</v>
      </c>
      <c r="E429" s="373">
        <v>0</v>
      </c>
      <c r="F429" s="373">
        <v>0</v>
      </c>
      <c r="G429" s="373">
        <v>0</v>
      </c>
      <c r="H429" s="373">
        <v>0</v>
      </c>
      <c r="I429" s="373">
        <v>0</v>
      </c>
      <c r="J429" s="373">
        <v>0</v>
      </c>
      <c r="K429" s="373">
        <v>0</v>
      </c>
      <c r="L429" s="374">
        <v>0</v>
      </c>
      <c r="M429" s="373">
        <v>0</v>
      </c>
      <c r="N429" s="373">
        <v>0</v>
      </c>
      <c r="O429" s="373">
        <v>0</v>
      </c>
      <c r="P429" s="373">
        <v>0</v>
      </c>
      <c r="Q429" s="373" t="e">
        <f ca="1">16*Bolts!$B429</f>
        <v>#NAME?</v>
      </c>
      <c r="R429" s="373">
        <v>0</v>
      </c>
      <c r="S429" s="375">
        <v>0</v>
      </c>
      <c r="T429" s="375">
        <v>0</v>
      </c>
      <c r="U429" s="375">
        <v>0</v>
      </c>
      <c r="V429" s="375" t="e">
        <f t="shared" ca="1" si="53"/>
        <v>#NAME?</v>
      </c>
    </row>
    <row r="430" spans="1:22" ht="14.25" hidden="1" customHeight="1">
      <c r="A430" s="376" t="s">
        <v>691</v>
      </c>
      <c r="B430" s="370" t="e">
        <f ca="1">_xludf.IFNA(VLOOKUP(Bolts!$A430,'Kilter Holds'!$P$37:$S$662,4,0),0)</f>
        <v>#NAME?</v>
      </c>
      <c r="C430" s="381">
        <v>3</v>
      </c>
      <c r="D430" s="373">
        <v>0</v>
      </c>
      <c r="E430" s="373">
        <v>0</v>
      </c>
      <c r="F430" s="373">
        <v>0</v>
      </c>
      <c r="G430" s="373">
        <v>0</v>
      </c>
      <c r="H430" s="373" t="e">
        <f ca="1">1*Bolts!$B430</f>
        <v>#NAME?</v>
      </c>
      <c r="I430" s="373">
        <v>0</v>
      </c>
      <c r="J430" s="373" t="e">
        <f ca="1">2*Bolts!$B430</f>
        <v>#NAME?</v>
      </c>
      <c r="K430" s="373">
        <v>0</v>
      </c>
      <c r="L430" s="374">
        <v>0</v>
      </c>
      <c r="M430" s="373">
        <v>0</v>
      </c>
      <c r="N430" s="373">
        <v>0</v>
      </c>
      <c r="O430" s="373">
        <v>0</v>
      </c>
      <c r="P430" s="373">
        <v>0</v>
      </c>
      <c r="Q430" s="373" t="e">
        <f ca="1">17*Bolts!$B430</f>
        <v>#NAME?</v>
      </c>
      <c r="R430" s="373">
        <v>0</v>
      </c>
      <c r="S430" s="380">
        <v>0</v>
      </c>
      <c r="T430" s="380">
        <v>0</v>
      </c>
      <c r="U430" s="380">
        <v>0</v>
      </c>
      <c r="V430" s="373" t="e">
        <f t="shared" ca="1" si="53"/>
        <v>#NAME?</v>
      </c>
    </row>
    <row r="431" spans="1:22" ht="14.25" hidden="1" customHeight="1">
      <c r="A431" s="376" t="s">
        <v>716</v>
      </c>
      <c r="B431" s="370" t="e">
        <f ca="1">_xludf.IFNA(VLOOKUP(Bolts!$A431,'Kilter Holds'!$P$37:$S$662,4,0),0)</f>
        <v>#NAME?</v>
      </c>
      <c r="C431" s="371">
        <v>10</v>
      </c>
      <c r="D431" s="373">
        <f t="shared" ref="D431:D433" ca="1" si="69">IFERROR(10*B431,0)</f>
        <v>0</v>
      </c>
      <c r="E431" s="373">
        <v>0</v>
      </c>
      <c r="F431" s="373">
        <v>0</v>
      </c>
      <c r="G431" s="373">
        <v>0</v>
      </c>
      <c r="H431" s="373">
        <v>0</v>
      </c>
      <c r="I431" s="373">
        <v>0</v>
      </c>
      <c r="J431" s="373">
        <v>0</v>
      </c>
      <c r="K431" s="373">
        <v>0</v>
      </c>
      <c r="L431" s="374">
        <v>0</v>
      </c>
      <c r="M431" s="373">
        <v>0</v>
      </c>
      <c r="N431" s="373">
        <v>0</v>
      </c>
      <c r="O431" s="373">
        <v>0</v>
      </c>
      <c r="P431" s="373">
        <v>0</v>
      </c>
      <c r="Q431" s="373">
        <v>0</v>
      </c>
      <c r="R431" s="373">
        <v>0</v>
      </c>
      <c r="S431" s="375">
        <v>0</v>
      </c>
      <c r="T431" s="375">
        <v>0</v>
      </c>
      <c r="U431" s="375">
        <v>0</v>
      </c>
      <c r="V431" s="375" t="e">
        <f t="shared" ca="1" si="53"/>
        <v>#NAME?</v>
      </c>
    </row>
    <row r="432" spans="1:22" ht="14.25" hidden="1" customHeight="1">
      <c r="A432" s="376" t="s">
        <v>718</v>
      </c>
      <c r="B432" s="370" t="e">
        <f ca="1">_xludf.IFNA(VLOOKUP(Bolts!$A432,'Kilter Holds'!$P$37:$S$662,4,0),0)</f>
        <v>#NAME?</v>
      </c>
      <c r="C432" s="371">
        <v>10</v>
      </c>
      <c r="D432" s="373">
        <f t="shared" ca="1" si="69"/>
        <v>0</v>
      </c>
      <c r="E432" s="373">
        <v>0</v>
      </c>
      <c r="F432" s="373">
        <v>0</v>
      </c>
      <c r="G432" s="373">
        <v>0</v>
      </c>
      <c r="H432" s="373">
        <v>0</v>
      </c>
      <c r="I432" s="373">
        <v>0</v>
      </c>
      <c r="J432" s="373">
        <v>0</v>
      </c>
      <c r="K432" s="373">
        <v>0</v>
      </c>
      <c r="L432" s="374">
        <v>0</v>
      </c>
      <c r="M432" s="373">
        <v>0</v>
      </c>
      <c r="N432" s="373">
        <v>0</v>
      </c>
      <c r="O432" s="373">
        <v>0</v>
      </c>
      <c r="P432" s="373">
        <v>0</v>
      </c>
      <c r="Q432" s="373">
        <v>0</v>
      </c>
      <c r="R432" s="373">
        <v>0</v>
      </c>
      <c r="S432" s="375">
        <v>0</v>
      </c>
      <c r="T432" s="375">
        <v>0</v>
      </c>
      <c r="U432" s="375">
        <v>0</v>
      </c>
      <c r="V432" s="375" t="e">
        <f t="shared" ca="1" si="53"/>
        <v>#NAME?</v>
      </c>
    </row>
    <row r="433" spans="1:22" ht="14.25" hidden="1" customHeight="1">
      <c r="A433" s="376" t="s">
        <v>720</v>
      </c>
      <c r="B433" s="370" t="e">
        <f ca="1">_xludf.IFNA(VLOOKUP(Bolts!$A433,'Kilter Holds'!$P$37:$S$662,4,0),0)</f>
        <v>#NAME?</v>
      </c>
      <c r="C433" s="371">
        <v>10</v>
      </c>
      <c r="D433" s="373">
        <f t="shared" ca="1" si="69"/>
        <v>0</v>
      </c>
      <c r="E433" s="373">
        <v>0</v>
      </c>
      <c r="F433" s="373">
        <v>0</v>
      </c>
      <c r="G433" s="373">
        <v>0</v>
      </c>
      <c r="H433" s="373">
        <v>0</v>
      </c>
      <c r="I433" s="373">
        <v>0</v>
      </c>
      <c r="J433" s="373">
        <v>0</v>
      </c>
      <c r="K433" s="373">
        <v>0</v>
      </c>
      <c r="L433" s="374">
        <v>0</v>
      </c>
      <c r="M433" s="373">
        <v>0</v>
      </c>
      <c r="N433" s="373">
        <v>0</v>
      </c>
      <c r="O433" s="373">
        <v>0</v>
      </c>
      <c r="P433" s="373">
        <v>0</v>
      </c>
      <c r="Q433" s="373">
        <v>0</v>
      </c>
      <c r="R433" s="373">
        <v>0</v>
      </c>
      <c r="S433" s="375">
        <v>0</v>
      </c>
      <c r="T433" s="375">
        <v>0</v>
      </c>
      <c r="U433" s="375">
        <v>0</v>
      </c>
      <c r="V433" s="375" t="e">
        <f t="shared" ca="1" si="53"/>
        <v>#NAME?</v>
      </c>
    </row>
    <row r="434" spans="1:22" ht="14.25" hidden="1" customHeight="1">
      <c r="A434" s="376" t="s">
        <v>722</v>
      </c>
      <c r="B434" s="370" t="e">
        <f ca="1">_xludf.IFNA(VLOOKUP(Bolts!$A434,'Kilter Holds'!$P$37:$S$662,4,0),0)</f>
        <v>#NAME?</v>
      </c>
      <c r="C434" s="371">
        <v>20</v>
      </c>
      <c r="D434" s="373">
        <f ca="1">IFERROR(20*B434,0)</f>
        <v>0</v>
      </c>
      <c r="E434" s="373">
        <v>0</v>
      </c>
      <c r="F434" s="373">
        <v>0</v>
      </c>
      <c r="G434" s="373">
        <v>0</v>
      </c>
      <c r="H434" s="373">
        <v>0</v>
      </c>
      <c r="I434" s="373">
        <v>0</v>
      </c>
      <c r="J434" s="373">
        <v>0</v>
      </c>
      <c r="K434" s="373">
        <v>0</v>
      </c>
      <c r="L434" s="374">
        <v>0</v>
      </c>
      <c r="M434" s="373">
        <v>0</v>
      </c>
      <c r="N434" s="373">
        <v>0</v>
      </c>
      <c r="O434" s="373">
        <v>0</v>
      </c>
      <c r="P434" s="373">
        <v>0</v>
      </c>
      <c r="Q434" s="373">
        <v>0</v>
      </c>
      <c r="R434" s="373">
        <v>0</v>
      </c>
      <c r="S434" s="375">
        <v>0</v>
      </c>
      <c r="T434" s="375">
        <v>0</v>
      </c>
      <c r="U434" s="375">
        <v>0</v>
      </c>
      <c r="V434" s="375" t="e">
        <f t="shared" ca="1" si="53"/>
        <v>#NAME?</v>
      </c>
    </row>
    <row r="435" spans="1:22" ht="14.25" hidden="1" customHeight="1">
      <c r="A435" s="376" t="s">
        <v>708</v>
      </c>
      <c r="B435" s="370" t="e">
        <f ca="1">_xludf.IFNA(VLOOKUP(Bolts!$A435,'Kilter Holds'!$P$37:$S$662,4,0),0)</f>
        <v>#NAME?</v>
      </c>
      <c r="C435" s="371">
        <v>10</v>
      </c>
      <c r="D435" s="373">
        <f ca="1">IFERROR(3*B435,0)</f>
        <v>0</v>
      </c>
      <c r="E435" s="373">
        <f ca="1">IFERROR(7*B435,0)</f>
        <v>0</v>
      </c>
      <c r="F435" s="373">
        <v>0</v>
      </c>
      <c r="G435" s="373">
        <v>0</v>
      </c>
      <c r="H435" s="373">
        <v>0</v>
      </c>
      <c r="I435" s="373">
        <v>0</v>
      </c>
      <c r="J435" s="373">
        <v>0</v>
      </c>
      <c r="K435" s="373">
        <v>0</v>
      </c>
      <c r="L435" s="374">
        <v>0</v>
      </c>
      <c r="M435" s="373">
        <v>0</v>
      </c>
      <c r="N435" s="373">
        <v>0</v>
      </c>
      <c r="O435" s="373">
        <v>0</v>
      </c>
      <c r="P435" s="373">
        <v>0</v>
      </c>
      <c r="Q435" s="373">
        <v>0</v>
      </c>
      <c r="R435" s="373">
        <v>0</v>
      </c>
      <c r="S435" s="375">
        <v>0</v>
      </c>
      <c r="T435" s="375">
        <v>0</v>
      </c>
      <c r="U435" s="375">
        <v>0</v>
      </c>
      <c r="V435" s="375" t="e">
        <f t="shared" ca="1" si="53"/>
        <v>#NAME?</v>
      </c>
    </row>
    <row r="436" spans="1:22" ht="14.25" hidden="1" customHeight="1">
      <c r="A436" s="376" t="s">
        <v>702</v>
      </c>
      <c r="B436" s="370" t="e">
        <f ca="1">_xludf.IFNA(VLOOKUP(Bolts!$A436,'Kilter Holds'!$P$37:$S$662,4,0),0)</f>
        <v>#NAME?</v>
      </c>
      <c r="C436" s="371">
        <v>5</v>
      </c>
      <c r="D436" s="373">
        <v>0</v>
      </c>
      <c r="E436" s="373">
        <v>0</v>
      </c>
      <c r="F436" s="373">
        <v>0</v>
      </c>
      <c r="G436" s="373">
        <v>0</v>
      </c>
      <c r="H436" s="373">
        <f ca="1">IFERROR(1*B436,0)</f>
        <v>0</v>
      </c>
      <c r="I436" s="373">
        <f ca="1">IFERROR(4*B436,0)</f>
        <v>0</v>
      </c>
      <c r="J436" s="373">
        <v>0</v>
      </c>
      <c r="K436" s="373">
        <v>0</v>
      </c>
      <c r="L436" s="374">
        <v>0</v>
      </c>
      <c r="M436" s="373">
        <v>0</v>
      </c>
      <c r="N436" s="373">
        <v>0</v>
      </c>
      <c r="O436" s="373">
        <v>0</v>
      </c>
      <c r="P436" s="373">
        <v>0</v>
      </c>
      <c r="Q436" s="373">
        <v>0</v>
      </c>
      <c r="R436" s="373">
        <v>0</v>
      </c>
      <c r="S436" s="375">
        <v>0</v>
      </c>
      <c r="T436" s="375">
        <v>0</v>
      </c>
      <c r="U436" s="375">
        <v>0</v>
      </c>
      <c r="V436" s="375" t="e">
        <f t="shared" ca="1" si="53"/>
        <v>#NAME?</v>
      </c>
    </row>
    <row r="437" spans="1:22" ht="14.25" hidden="1" customHeight="1">
      <c r="A437" s="377" t="s">
        <v>694</v>
      </c>
      <c r="B437" s="370" t="e">
        <f ca="1">_xludf.IFNA(VLOOKUP(Bolts!$A437,'Kilter Holds'!$P$37:$S$662,4,0),0)</f>
        <v>#NAME?</v>
      </c>
      <c r="C437" s="371">
        <v>3</v>
      </c>
      <c r="D437" s="373">
        <v>0</v>
      </c>
      <c r="E437" s="373">
        <v>0</v>
      </c>
      <c r="F437" s="373">
        <v>0</v>
      </c>
      <c r="G437" s="373">
        <v>0</v>
      </c>
      <c r="H437" s="373">
        <v>0</v>
      </c>
      <c r="I437" s="373">
        <v>0</v>
      </c>
      <c r="J437" s="373">
        <f ca="1">IFERROR(1*B437,0)</f>
        <v>0</v>
      </c>
      <c r="K437" s="373">
        <f ca="1">IFERROR(1*B437,0)</f>
        <v>0</v>
      </c>
      <c r="L437" s="374">
        <v>0</v>
      </c>
      <c r="M437" s="373">
        <f t="shared" ref="M437:M438" ca="1" si="70">IFERROR(1*B437,0)</f>
        <v>0</v>
      </c>
      <c r="N437" s="373">
        <v>0</v>
      </c>
      <c r="O437" s="373">
        <v>0</v>
      </c>
      <c r="P437" s="373">
        <v>0</v>
      </c>
      <c r="Q437" s="373">
        <v>0</v>
      </c>
      <c r="R437" s="373">
        <v>0</v>
      </c>
      <c r="S437" s="375">
        <v>0</v>
      </c>
      <c r="T437" s="375">
        <v>0</v>
      </c>
      <c r="U437" s="375">
        <v>0</v>
      </c>
      <c r="V437" s="375" t="e">
        <f t="shared" ca="1" si="53"/>
        <v>#NAME?</v>
      </c>
    </row>
    <row r="438" spans="1:22" ht="14.25" hidden="1" customHeight="1">
      <c r="A438" s="376" t="s">
        <v>696</v>
      </c>
      <c r="B438" s="370" t="e">
        <f ca="1">_xludf.IFNA(VLOOKUP(Bolts!$A438,'Kilter Holds'!$P$37:$S$662,4,0),0)</f>
        <v>#NAME?</v>
      </c>
      <c r="C438" s="371">
        <v>1</v>
      </c>
      <c r="D438" s="373">
        <v>0</v>
      </c>
      <c r="E438" s="373">
        <v>0</v>
      </c>
      <c r="F438" s="373">
        <v>0</v>
      </c>
      <c r="G438" s="373">
        <v>0</v>
      </c>
      <c r="H438" s="373">
        <v>0</v>
      </c>
      <c r="I438" s="373">
        <v>0</v>
      </c>
      <c r="J438" s="373">
        <v>0</v>
      </c>
      <c r="K438" s="373">
        <v>0</v>
      </c>
      <c r="L438" s="374">
        <v>0</v>
      </c>
      <c r="M438" s="373">
        <f t="shared" ca="1" si="70"/>
        <v>0</v>
      </c>
      <c r="N438" s="373">
        <v>0</v>
      </c>
      <c r="O438" s="373">
        <v>0</v>
      </c>
      <c r="P438" s="373">
        <v>0</v>
      </c>
      <c r="Q438" s="373">
        <v>0</v>
      </c>
      <c r="R438" s="373">
        <v>0</v>
      </c>
      <c r="S438" s="375">
        <v>0</v>
      </c>
      <c r="T438" s="375">
        <v>0</v>
      </c>
      <c r="U438" s="375">
        <v>0</v>
      </c>
      <c r="V438" s="375" t="e">
        <f t="shared" ca="1" si="53"/>
        <v>#NAME?</v>
      </c>
    </row>
    <row r="439" spans="1:22" ht="14.25" hidden="1" customHeight="1">
      <c r="A439" s="376" t="s">
        <v>698</v>
      </c>
      <c r="B439" s="370" t="e">
        <f ca="1">_xludf.IFNA(VLOOKUP(Bolts!$A439,'Kilter Holds'!$P$37:$S$662,4,0),0)</f>
        <v>#NAME?</v>
      </c>
      <c r="C439" s="371">
        <v>1</v>
      </c>
      <c r="D439" s="373">
        <v>0</v>
      </c>
      <c r="E439" s="373">
        <v>0</v>
      </c>
      <c r="F439" s="373">
        <v>0</v>
      </c>
      <c r="G439" s="373">
        <v>0</v>
      </c>
      <c r="H439" s="373">
        <v>0</v>
      </c>
      <c r="I439" s="373">
        <v>0</v>
      </c>
      <c r="J439" s="373">
        <f ca="1">IFERROR(1*B439,0)</f>
        <v>0</v>
      </c>
      <c r="K439" s="373">
        <v>0</v>
      </c>
      <c r="L439" s="374">
        <v>0</v>
      </c>
      <c r="M439" s="373">
        <v>0</v>
      </c>
      <c r="N439" s="373">
        <v>0</v>
      </c>
      <c r="O439" s="373">
        <v>0</v>
      </c>
      <c r="P439" s="373">
        <v>0</v>
      </c>
      <c r="Q439" s="373">
        <v>0</v>
      </c>
      <c r="R439" s="373">
        <v>0</v>
      </c>
      <c r="S439" s="375">
        <v>0</v>
      </c>
      <c r="T439" s="375">
        <v>0</v>
      </c>
      <c r="U439" s="375">
        <v>0</v>
      </c>
      <c r="V439" s="375" t="e">
        <f t="shared" ca="1" si="53"/>
        <v>#NAME?</v>
      </c>
    </row>
    <row r="440" spans="1:22" ht="14.25" hidden="1" customHeight="1">
      <c r="A440" s="376" t="s">
        <v>700</v>
      </c>
      <c r="B440" s="370" t="e">
        <f ca="1">_xludf.IFNA(VLOOKUP(Bolts!$A440,'Kilter Holds'!$P$37:$S$662,4,0),0)</f>
        <v>#NAME?</v>
      </c>
      <c r="C440" s="371">
        <v>1</v>
      </c>
      <c r="D440" s="373">
        <v>0</v>
      </c>
      <c r="E440" s="373">
        <v>0</v>
      </c>
      <c r="F440" s="373">
        <v>0</v>
      </c>
      <c r="G440" s="373">
        <v>0</v>
      </c>
      <c r="H440" s="373">
        <v>0</v>
      </c>
      <c r="I440" s="373">
        <v>0</v>
      </c>
      <c r="J440" s="373">
        <v>0</v>
      </c>
      <c r="K440" s="373">
        <f ca="1">IFERROR(1*B440,0)</f>
        <v>0</v>
      </c>
      <c r="L440" s="374">
        <v>0</v>
      </c>
      <c r="M440" s="373">
        <v>0</v>
      </c>
      <c r="N440" s="373">
        <v>0</v>
      </c>
      <c r="O440" s="373">
        <v>0</v>
      </c>
      <c r="P440" s="373">
        <v>0</v>
      </c>
      <c r="Q440" s="373">
        <v>0</v>
      </c>
      <c r="R440" s="373">
        <v>0</v>
      </c>
      <c r="S440" s="375">
        <v>0</v>
      </c>
      <c r="T440" s="375">
        <v>0</v>
      </c>
      <c r="U440" s="375">
        <v>0</v>
      </c>
      <c r="V440" s="375" t="e">
        <f t="shared" ca="1" si="53"/>
        <v>#NAME?</v>
      </c>
    </row>
    <row r="441" spans="1:22" ht="14.25" hidden="1" customHeight="1">
      <c r="A441" s="376" t="s">
        <v>710</v>
      </c>
      <c r="B441" s="370" t="e">
        <f ca="1">_xludf.IFNA(VLOOKUP(Bolts!$A441,'Kilter Holds'!$P$37:$S$662,4,0),0)</f>
        <v>#NAME?</v>
      </c>
      <c r="C441" s="371">
        <v>10</v>
      </c>
      <c r="D441" s="373">
        <v>0</v>
      </c>
      <c r="E441" s="373">
        <f ca="1">IFERROR(7*B441,0)</f>
        <v>0</v>
      </c>
      <c r="F441" s="373">
        <f ca="1">IFERROR(3*B441,0)</f>
        <v>0</v>
      </c>
      <c r="G441" s="373">
        <v>0</v>
      </c>
      <c r="H441" s="373">
        <v>0</v>
      </c>
      <c r="I441" s="373">
        <v>0</v>
      </c>
      <c r="J441" s="373">
        <v>0</v>
      </c>
      <c r="K441" s="373">
        <v>0</v>
      </c>
      <c r="L441" s="374">
        <v>0</v>
      </c>
      <c r="M441" s="373">
        <v>0</v>
      </c>
      <c r="N441" s="373">
        <v>0</v>
      </c>
      <c r="O441" s="373">
        <v>0</v>
      </c>
      <c r="P441" s="373">
        <v>0</v>
      </c>
      <c r="Q441" s="373">
        <v>0</v>
      </c>
      <c r="R441" s="373">
        <v>0</v>
      </c>
      <c r="S441" s="375">
        <v>0</v>
      </c>
      <c r="T441" s="375">
        <v>0</v>
      </c>
      <c r="U441" s="375">
        <v>0</v>
      </c>
      <c r="V441" s="375" t="e">
        <f t="shared" ca="1" si="53"/>
        <v>#NAME?</v>
      </c>
    </row>
    <row r="442" spans="1:22" ht="14.25" hidden="1" customHeight="1">
      <c r="A442" s="376" t="s">
        <v>724</v>
      </c>
      <c r="B442" s="370" t="e">
        <f ca="1">_xludf.IFNA(VLOOKUP(Bolts!$A442,'Kilter Holds'!$P$37:$S$662,4,0),0)</f>
        <v>#NAME?</v>
      </c>
      <c r="C442" s="371">
        <v>20</v>
      </c>
      <c r="D442" s="373">
        <f ca="1">IFERROR(20*B442,0)</f>
        <v>0</v>
      </c>
      <c r="E442" s="373">
        <v>0</v>
      </c>
      <c r="F442" s="373">
        <v>0</v>
      </c>
      <c r="G442" s="373">
        <v>0</v>
      </c>
      <c r="H442" s="373">
        <v>0</v>
      </c>
      <c r="I442" s="373">
        <v>0</v>
      </c>
      <c r="J442" s="373">
        <v>0</v>
      </c>
      <c r="K442" s="373">
        <v>0</v>
      </c>
      <c r="L442" s="374">
        <v>0</v>
      </c>
      <c r="M442" s="373">
        <v>0</v>
      </c>
      <c r="N442" s="373">
        <v>0</v>
      </c>
      <c r="O442" s="373">
        <v>0</v>
      </c>
      <c r="P442" s="373">
        <v>0</v>
      </c>
      <c r="Q442" s="373">
        <v>0</v>
      </c>
      <c r="R442" s="375">
        <v>0</v>
      </c>
      <c r="S442" s="375">
        <v>0</v>
      </c>
      <c r="T442" s="375">
        <v>0</v>
      </c>
      <c r="U442" s="375">
        <v>0</v>
      </c>
      <c r="V442" s="375" t="e">
        <f t="shared" ca="1" si="53"/>
        <v>#NAME?</v>
      </c>
    </row>
    <row r="443" spans="1:22" ht="14.25" hidden="1" customHeight="1">
      <c r="A443" s="376" t="s">
        <v>712</v>
      </c>
      <c r="B443" s="370" t="e">
        <f ca="1">_xludf.IFNA(VLOOKUP(Bolts!$A443,'Kilter Holds'!$P$37:$S$662,4,0),0)</f>
        <v>#NAME?</v>
      </c>
      <c r="C443" s="371">
        <v>10</v>
      </c>
      <c r="D443" s="373">
        <v>0</v>
      </c>
      <c r="E443" s="373">
        <f ca="1">IFERROR(9*B443,0)</f>
        <v>0</v>
      </c>
      <c r="F443" s="373">
        <f ca="1">IFERROR(1*B443,0)</f>
        <v>0</v>
      </c>
      <c r="G443" s="373">
        <v>0</v>
      </c>
      <c r="H443" s="373">
        <v>0</v>
      </c>
      <c r="I443" s="373">
        <v>0</v>
      </c>
      <c r="J443" s="373">
        <v>0</v>
      </c>
      <c r="K443" s="373">
        <v>0</v>
      </c>
      <c r="L443" s="374">
        <v>0</v>
      </c>
      <c r="M443" s="373">
        <v>0</v>
      </c>
      <c r="N443" s="373">
        <v>0</v>
      </c>
      <c r="O443" s="373">
        <v>0</v>
      </c>
      <c r="P443" s="373">
        <v>0</v>
      </c>
      <c r="Q443" s="373">
        <v>0</v>
      </c>
      <c r="R443" s="373">
        <v>0</v>
      </c>
      <c r="S443" s="375">
        <v>0</v>
      </c>
      <c r="T443" s="375">
        <v>0</v>
      </c>
      <c r="U443" s="375">
        <v>0</v>
      </c>
      <c r="V443" s="375" t="e">
        <f t="shared" ca="1" si="53"/>
        <v>#NAME?</v>
      </c>
    </row>
    <row r="444" spans="1:22" ht="14.25" hidden="1" customHeight="1">
      <c r="A444" s="376" t="s">
        <v>714</v>
      </c>
      <c r="B444" s="370" t="e">
        <f ca="1">_xludf.IFNA(VLOOKUP(Bolts!$A444,'Kilter Holds'!$P$37:$S$662,4,0),0)</f>
        <v>#NAME?</v>
      </c>
      <c r="C444" s="371">
        <v>10</v>
      </c>
      <c r="D444" s="373">
        <v>0</v>
      </c>
      <c r="E444" s="373">
        <f ca="1">IFERROR(10*B444,0)</f>
        <v>0</v>
      </c>
      <c r="F444" s="373">
        <v>0</v>
      </c>
      <c r="G444" s="373">
        <v>0</v>
      </c>
      <c r="H444" s="373">
        <v>0</v>
      </c>
      <c r="I444" s="373">
        <v>0</v>
      </c>
      <c r="J444" s="373">
        <v>0</v>
      </c>
      <c r="K444" s="373">
        <v>0</v>
      </c>
      <c r="L444" s="374">
        <v>0</v>
      </c>
      <c r="M444" s="373">
        <v>0</v>
      </c>
      <c r="N444" s="373">
        <v>0</v>
      </c>
      <c r="O444" s="373">
        <v>0</v>
      </c>
      <c r="P444" s="373">
        <v>0</v>
      </c>
      <c r="Q444" s="373">
        <v>0</v>
      </c>
      <c r="R444" s="373">
        <v>0</v>
      </c>
      <c r="S444" s="375">
        <v>0</v>
      </c>
      <c r="T444" s="375">
        <v>0</v>
      </c>
      <c r="U444" s="375">
        <v>0</v>
      </c>
      <c r="V444" s="375" t="e">
        <f t="shared" ca="1" si="53"/>
        <v>#NAME?</v>
      </c>
    </row>
    <row r="445" spans="1:22" ht="14.25" hidden="1" customHeight="1">
      <c r="A445" s="376" t="s">
        <v>706</v>
      </c>
      <c r="B445" s="370" t="e">
        <f ca="1">_xludf.IFNA(VLOOKUP(Bolts!$A445,'Kilter Holds'!$P$37:$S$662,4,0),0)</f>
        <v>#NAME?</v>
      </c>
      <c r="C445" s="371">
        <v>5</v>
      </c>
      <c r="D445" s="373">
        <v>0</v>
      </c>
      <c r="E445" s="373">
        <v>0</v>
      </c>
      <c r="F445" s="373">
        <v>0</v>
      </c>
      <c r="G445" s="373">
        <f ca="1">IFERROR(5*B445,0)</f>
        <v>0</v>
      </c>
      <c r="H445" s="373">
        <v>0</v>
      </c>
      <c r="I445" s="373">
        <v>0</v>
      </c>
      <c r="J445" s="373">
        <v>0</v>
      </c>
      <c r="K445" s="373">
        <v>0</v>
      </c>
      <c r="L445" s="374">
        <v>0</v>
      </c>
      <c r="M445" s="373">
        <v>0</v>
      </c>
      <c r="N445" s="373">
        <v>0</v>
      </c>
      <c r="O445" s="373">
        <v>0</v>
      </c>
      <c r="P445" s="373">
        <v>0</v>
      </c>
      <c r="Q445" s="373">
        <v>0</v>
      </c>
      <c r="R445" s="373">
        <v>0</v>
      </c>
      <c r="S445" s="375">
        <v>0</v>
      </c>
      <c r="T445" s="375">
        <v>0</v>
      </c>
      <c r="U445" s="375">
        <v>0</v>
      </c>
      <c r="V445" s="375" t="e">
        <f t="shared" ca="1" si="53"/>
        <v>#NAME?</v>
      </c>
    </row>
    <row r="446" spans="1:22" ht="14.25" hidden="1" customHeight="1">
      <c r="A446" s="376" t="s">
        <v>704</v>
      </c>
      <c r="B446" s="370" t="e">
        <f ca="1">_xludf.IFNA(VLOOKUP(Bolts!$A446,'Kilter Holds'!$P$37:$S$662,4,0),0)</f>
        <v>#NAME?</v>
      </c>
      <c r="C446" s="371">
        <v>5</v>
      </c>
      <c r="D446" s="373">
        <v>0</v>
      </c>
      <c r="E446" s="373">
        <v>0</v>
      </c>
      <c r="F446" s="373">
        <f ca="1">IFERROR(2*B446,0)</f>
        <v>0</v>
      </c>
      <c r="G446" s="373">
        <f ca="1">IFERROR(1*B446,0)</f>
        <v>0</v>
      </c>
      <c r="H446" s="373">
        <f ca="1">IFERROR(2*B446,0)</f>
        <v>0</v>
      </c>
      <c r="I446" s="373">
        <v>0</v>
      </c>
      <c r="J446" s="373">
        <v>0</v>
      </c>
      <c r="K446" s="373">
        <v>0</v>
      </c>
      <c r="L446" s="374">
        <v>0</v>
      </c>
      <c r="M446" s="373">
        <v>0</v>
      </c>
      <c r="N446" s="373">
        <v>0</v>
      </c>
      <c r="O446" s="373">
        <v>0</v>
      </c>
      <c r="P446" s="373">
        <v>0</v>
      </c>
      <c r="Q446" s="373">
        <v>0</v>
      </c>
      <c r="R446" s="373">
        <v>0</v>
      </c>
      <c r="S446" s="375">
        <v>0</v>
      </c>
      <c r="T446" s="375">
        <v>0</v>
      </c>
      <c r="U446" s="375">
        <v>0</v>
      </c>
      <c r="V446" s="375" t="e">
        <f t="shared" ca="1" si="53"/>
        <v>#NAME?</v>
      </c>
    </row>
    <row r="447" spans="1:22" ht="14.25" hidden="1" customHeight="1">
      <c r="A447" s="376" t="s">
        <v>381</v>
      </c>
      <c r="B447" s="370" t="e">
        <f ca="1">_xludf.IFNA(VLOOKUP(Bolts!$A447,'Kilter Holds'!$P$37:$S$662,4,0),0)</f>
        <v>#NAME?</v>
      </c>
      <c r="C447" s="371">
        <v>4</v>
      </c>
      <c r="D447" s="373">
        <f ca="1">IFERROR(4*B447,0)</f>
        <v>0</v>
      </c>
      <c r="E447" s="373">
        <v>0</v>
      </c>
      <c r="F447" s="373">
        <v>0</v>
      </c>
      <c r="G447" s="373">
        <v>0</v>
      </c>
      <c r="H447" s="373">
        <v>0</v>
      </c>
      <c r="I447" s="373">
        <v>0</v>
      </c>
      <c r="J447" s="373">
        <v>0</v>
      </c>
      <c r="K447" s="373">
        <v>0</v>
      </c>
      <c r="L447" s="374">
        <v>0</v>
      </c>
      <c r="M447" s="373">
        <v>0</v>
      </c>
      <c r="N447" s="373">
        <v>0</v>
      </c>
      <c r="O447" s="373">
        <v>0</v>
      </c>
      <c r="P447" s="373">
        <v>0</v>
      </c>
      <c r="Q447" s="373">
        <v>0</v>
      </c>
      <c r="R447" s="373">
        <v>0</v>
      </c>
      <c r="S447" s="375">
        <v>0</v>
      </c>
      <c r="T447" s="375">
        <v>0</v>
      </c>
      <c r="U447" s="375">
        <v>0</v>
      </c>
      <c r="V447" s="375" t="e">
        <f t="shared" ca="1" si="53"/>
        <v>#NAME?</v>
      </c>
    </row>
    <row r="448" spans="1:22" ht="14.25" hidden="1" customHeight="1">
      <c r="A448" s="376" t="s">
        <v>391</v>
      </c>
      <c r="B448" s="370" t="e">
        <f ca="1">_xludf.IFNA(VLOOKUP(Bolts!$A448,'Kilter Holds'!$P$37:$S$662,4,0),0)</f>
        <v>#NAME?</v>
      </c>
      <c r="C448" s="371">
        <v>10</v>
      </c>
      <c r="D448" s="373">
        <f t="shared" ref="D448:D449" ca="1" si="71">IFERROR(10*B448,0)</f>
        <v>0</v>
      </c>
      <c r="E448" s="373">
        <v>0</v>
      </c>
      <c r="F448" s="373">
        <v>0</v>
      </c>
      <c r="G448" s="373">
        <v>0</v>
      </c>
      <c r="H448" s="373">
        <v>0</v>
      </c>
      <c r="I448" s="373">
        <v>0</v>
      </c>
      <c r="J448" s="373">
        <v>0</v>
      </c>
      <c r="K448" s="373">
        <v>0</v>
      </c>
      <c r="L448" s="374">
        <v>0</v>
      </c>
      <c r="M448" s="373">
        <v>0</v>
      </c>
      <c r="N448" s="373">
        <v>0</v>
      </c>
      <c r="O448" s="373">
        <v>0</v>
      </c>
      <c r="P448" s="373">
        <v>0</v>
      </c>
      <c r="Q448" s="373">
        <v>0</v>
      </c>
      <c r="R448" s="373">
        <v>0</v>
      </c>
      <c r="S448" s="375">
        <v>0</v>
      </c>
      <c r="T448" s="375">
        <v>0</v>
      </c>
      <c r="U448" s="375">
        <v>0</v>
      </c>
      <c r="V448" s="375" t="e">
        <f t="shared" ca="1" si="53"/>
        <v>#NAME?</v>
      </c>
    </row>
    <row r="449" spans="1:22" ht="14.25" hidden="1" customHeight="1">
      <c r="A449" s="376" t="s">
        <v>387</v>
      </c>
      <c r="B449" s="370" t="e">
        <f ca="1">_xludf.IFNA(VLOOKUP(Bolts!$A449,'Kilter Holds'!$P$37:$S$662,4,0),0)</f>
        <v>#NAME?</v>
      </c>
      <c r="C449" s="371">
        <v>10</v>
      </c>
      <c r="D449" s="373">
        <f t="shared" ca="1" si="71"/>
        <v>0</v>
      </c>
      <c r="E449" s="373">
        <v>0</v>
      </c>
      <c r="F449" s="373">
        <v>0</v>
      </c>
      <c r="G449" s="373">
        <v>0</v>
      </c>
      <c r="H449" s="373">
        <v>0</v>
      </c>
      <c r="I449" s="373">
        <v>0</v>
      </c>
      <c r="J449" s="373">
        <v>0</v>
      </c>
      <c r="K449" s="373">
        <v>0</v>
      </c>
      <c r="L449" s="374">
        <v>0</v>
      </c>
      <c r="M449" s="373">
        <v>0</v>
      </c>
      <c r="N449" s="373">
        <v>0</v>
      </c>
      <c r="O449" s="373">
        <v>0</v>
      </c>
      <c r="P449" s="373">
        <v>0</v>
      </c>
      <c r="Q449" s="373">
        <v>0</v>
      </c>
      <c r="R449" s="373">
        <v>0</v>
      </c>
      <c r="S449" s="375">
        <v>0</v>
      </c>
      <c r="T449" s="375">
        <v>0</v>
      </c>
      <c r="U449" s="375">
        <v>0</v>
      </c>
      <c r="V449" s="375" t="e">
        <f t="shared" ca="1" si="53"/>
        <v>#NAME?</v>
      </c>
    </row>
    <row r="450" spans="1:22" ht="14.25" hidden="1" customHeight="1">
      <c r="A450" s="376" t="s">
        <v>383</v>
      </c>
      <c r="B450" s="370" t="e">
        <f ca="1">_xludf.IFNA(VLOOKUP(Bolts!$A450,'Kilter Holds'!$P$37:$S$662,4,0),0)</f>
        <v>#NAME?</v>
      </c>
      <c r="C450" s="371">
        <v>5</v>
      </c>
      <c r="D450" s="373">
        <f ca="1">IFERROR(5*B450,0)</f>
        <v>0</v>
      </c>
      <c r="E450" s="373">
        <v>0</v>
      </c>
      <c r="F450" s="373">
        <v>0</v>
      </c>
      <c r="G450" s="373">
        <v>0</v>
      </c>
      <c r="H450" s="373">
        <v>0</v>
      </c>
      <c r="I450" s="373">
        <v>0</v>
      </c>
      <c r="J450" s="373">
        <v>0</v>
      </c>
      <c r="K450" s="373">
        <v>0</v>
      </c>
      <c r="L450" s="374">
        <v>0</v>
      </c>
      <c r="M450" s="373">
        <v>0</v>
      </c>
      <c r="N450" s="373">
        <v>0</v>
      </c>
      <c r="O450" s="373">
        <v>0</v>
      </c>
      <c r="P450" s="373">
        <v>0</v>
      </c>
      <c r="Q450" s="373">
        <v>0</v>
      </c>
      <c r="R450" s="373">
        <v>0</v>
      </c>
      <c r="S450" s="375">
        <v>0</v>
      </c>
      <c r="T450" s="375">
        <v>0</v>
      </c>
      <c r="U450" s="375">
        <v>0</v>
      </c>
      <c r="V450" s="375" t="e">
        <f t="shared" ca="1" si="53"/>
        <v>#NAME?</v>
      </c>
    </row>
    <row r="451" spans="1:22" ht="14.25" hidden="1" customHeight="1">
      <c r="A451" s="377" t="s">
        <v>385</v>
      </c>
      <c r="B451" s="370" t="e">
        <f ca="1">_xludf.IFNA(VLOOKUP(Bolts!$A451,'Kilter Holds'!$P$37:$S$662,4,0),0)</f>
        <v>#NAME?</v>
      </c>
      <c r="C451" s="371">
        <v>5</v>
      </c>
      <c r="D451" s="373">
        <f ca="1">IFERROR(4*B451,0)</f>
        <v>0</v>
      </c>
      <c r="E451" s="373">
        <f ca="1">IFERROR(1*B451,0)</f>
        <v>0</v>
      </c>
      <c r="F451" s="373">
        <v>0</v>
      </c>
      <c r="G451" s="373">
        <v>0</v>
      </c>
      <c r="H451" s="373">
        <v>0</v>
      </c>
      <c r="I451" s="373">
        <v>0</v>
      </c>
      <c r="J451" s="373">
        <v>0</v>
      </c>
      <c r="K451" s="373">
        <v>0</v>
      </c>
      <c r="L451" s="374">
        <v>0</v>
      </c>
      <c r="M451" s="373">
        <v>0</v>
      </c>
      <c r="N451" s="373">
        <v>0</v>
      </c>
      <c r="O451" s="373">
        <v>0</v>
      </c>
      <c r="P451" s="373">
        <v>0</v>
      </c>
      <c r="Q451" s="373">
        <v>0</v>
      </c>
      <c r="R451" s="373">
        <v>0</v>
      </c>
      <c r="S451" s="375">
        <v>0</v>
      </c>
      <c r="T451" s="375">
        <v>0</v>
      </c>
      <c r="U451" s="375">
        <v>0</v>
      </c>
      <c r="V451" s="375" t="e">
        <f t="shared" ca="1" si="53"/>
        <v>#NAME?</v>
      </c>
    </row>
    <row r="452" spans="1:22" ht="14.25" hidden="1" customHeight="1">
      <c r="A452" s="377" t="s">
        <v>389</v>
      </c>
      <c r="B452" s="370" t="e">
        <f ca="1">_xludf.IFNA(VLOOKUP(Bolts!$A452,'Kilter Holds'!$P$37:$S$662,4,0),0)</f>
        <v>#NAME?</v>
      </c>
      <c r="C452" s="371">
        <v>10</v>
      </c>
      <c r="D452" s="373">
        <f ca="1">IFERROR(10*B452,0)</f>
        <v>0</v>
      </c>
      <c r="E452" s="373">
        <v>0</v>
      </c>
      <c r="F452" s="373">
        <v>0</v>
      </c>
      <c r="G452" s="373">
        <v>0</v>
      </c>
      <c r="H452" s="373">
        <v>0</v>
      </c>
      <c r="I452" s="373">
        <v>0</v>
      </c>
      <c r="J452" s="373">
        <v>0</v>
      </c>
      <c r="K452" s="373">
        <v>0</v>
      </c>
      <c r="L452" s="374">
        <v>0</v>
      </c>
      <c r="M452" s="373">
        <v>0</v>
      </c>
      <c r="N452" s="373">
        <v>0</v>
      </c>
      <c r="O452" s="373">
        <v>0</v>
      </c>
      <c r="P452" s="373">
        <v>0</v>
      </c>
      <c r="Q452" s="373">
        <v>0</v>
      </c>
      <c r="R452" s="373">
        <v>0</v>
      </c>
      <c r="S452" s="375">
        <v>0</v>
      </c>
      <c r="T452" s="375">
        <v>0</v>
      </c>
      <c r="U452" s="375">
        <v>0</v>
      </c>
      <c r="V452" s="375" t="e">
        <f t="shared" ca="1" si="53"/>
        <v>#NAME?</v>
      </c>
    </row>
    <row r="453" spans="1:22" ht="14.25" hidden="1" customHeight="1">
      <c r="A453" s="376" t="s">
        <v>1226</v>
      </c>
      <c r="B453" s="370" t="e">
        <f ca="1">_xludf.IFNA(VLOOKUP(Bolts!$A453,'Kilter Holds'!$P$37:$S$662,4,0),0)</f>
        <v>#NAME?</v>
      </c>
      <c r="C453" s="371">
        <v>6</v>
      </c>
      <c r="D453" s="373">
        <v>0</v>
      </c>
      <c r="E453" s="373">
        <v>0</v>
      </c>
      <c r="F453" s="373">
        <v>0</v>
      </c>
      <c r="G453" s="373">
        <v>0</v>
      </c>
      <c r="H453" s="373">
        <v>0</v>
      </c>
      <c r="I453" s="373">
        <v>0</v>
      </c>
      <c r="J453" s="373">
        <v>0</v>
      </c>
      <c r="K453" s="373">
        <v>0</v>
      </c>
      <c r="L453" s="374">
        <v>0</v>
      </c>
      <c r="M453" s="373">
        <v>0</v>
      </c>
      <c r="N453" s="373">
        <v>0</v>
      </c>
      <c r="O453" s="373">
        <v>0</v>
      </c>
      <c r="P453" s="373">
        <v>0</v>
      </c>
      <c r="Q453" s="373">
        <f ca="1">IFERROR(24*B453,0)</f>
        <v>0</v>
      </c>
      <c r="R453" s="375">
        <v>0</v>
      </c>
      <c r="S453" s="375">
        <v>0</v>
      </c>
      <c r="T453" s="375">
        <v>0</v>
      </c>
      <c r="U453" s="375">
        <v>0</v>
      </c>
      <c r="V453" s="375" t="e">
        <f t="shared" ca="1" si="53"/>
        <v>#NAME?</v>
      </c>
    </row>
    <row r="454" spans="1:22" ht="14.25" hidden="1" customHeight="1">
      <c r="A454" s="376" t="s">
        <v>845</v>
      </c>
      <c r="B454" s="370" t="e">
        <f ca="1">_xludf.IFNA(VLOOKUP(Bolts!$A454,'Kilter Holds'!$P$37:$S$662,4,0),0)</f>
        <v>#NAME?</v>
      </c>
      <c r="C454" s="371">
        <v>12</v>
      </c>
      <c r="D454" s="373">
        <v>0</v>
      </c>
      <c r="E454" s="373">
        <v>0</v>
      </c>
      <c r="F454" s="373">
        <v>0</v>
      </c>
      <c r="G454" s="373">
        <f ca="1">IFERROR(2*B454,0)</f>
        <v>0</v>
      </c>
      <c r="H454" s="373">
        <f ca="1">IFERROR(1*B454,0)</f>
        <v>0</v>
      </c>
      <c r="I454" s="373">
        <v>0</v>
      </c>
      <c r="J454" s="373">
        <v>0</v>
      </c>
      <c r="K454" s="373">
        <v>0</v>
      </c>
      <c r="L454" s="374">
        <v>0</v>
      </c>
      <c r="M454" s="373">
        <v>0</v>
      </c>
      <c r="N454" s="373">
        <v>0</v>
      </c>
      <c r="O454" s="373">
        <v>0</v>
      </c>
      <c r="P454" s="373">
        <v>0</v>
      </c>
      <c r="Q454" s="373">
        <f ca="1">IFERROR(30*B454,0)</f>
        <v>0</v>
      </c>
      <c r="R454" s="375">
        <f ca="1">IFERROR(5*B454,0)</f>
        <v>0</v>
      </c>
      <c r="S454" s="375">
        <f ca="1">IFERROR(1*B454,0)</f>
        <v>0</v>
      </c>
      <c r="T454" s="375">
        <v>0</v>
      </c>
      <c r="U454" s="375">
        <v>0</v>
      </c>
      <c r="V454" s="375" t="e">
        <f t="shared" ca="1" si="53"/>
        <v>#NAME?</v>
      </c>
    </row>
    <row r="455" spans="1:22" ht="14.25" hidden="1" customHeight="1">
      <c r="A455" s="376" t="s">
        <v>853</v>
      </c>
      <c r="B455" s="370" t="e">
        <f ca="1">_xludf.IFNA(VLOOKUP(Bolts!$A455,'Kilter Holds'!$P$37:$S$662,4,0),0)</f>
        <v>#NAME?</v>
      </c>
      <c r="C455" s="371">
        <v>14</v>
      </c>
      <c r="D455" s="373">
        <v>0</v>
      </c>
      <c r="E455" s="373">
        <v>0</v>
      </c>
      <c r="F455" s="373">
        <f ca="1">IFERROR(2*B455,0)</f>
        <v>0</v>
      </c>
      <c r="G455" s="373">
        <f ca="1">IFERROR(1*B455,0)</f>
        <v>0</v>
      </c>
      <c r="H455" s="373">
        <f ca="1">IFERROR(2*B455,0)</f>
        <v>0</v>
      </c>
      <c r="I455" s="373">
        <v>0</v>
      </c>
      <c r="J455" s="373">
        <v>0</v>
      </c>
      <c r="K455" s="373">
        <v>0</v>
      </c>
      <c r="L455" s="374">
        <v>0</v>
      </c>
      <c r="M455" s="373">
        <v>0</v>
      </c>
      <c r="N455" s="373">
        <v>0</v>
      </c>
      <c r="O455" s="373">
        <v>0</v>
      </c>
      <c r="P455" s="373">
        <v>0</v>
      </c>
      <c r="Q455" s="373">
        <f ca="1">IFERROR(32*B455,0)</f>
        <v>0</v>
      </c>
      <c r="R455" s="375">
        <f t="shared" ref="R455:R456" ca="1" si="72">IFERROR(4*B455,0)</f>
        <v>0</v>
      </c>
      <c r="S455" s="375">
        <v>0</v>
      </c>
      <c r="T455" s="375">
        <v>0</v>
      </c>
      <c r="U455" s="375">
        <v>0</v>
      </c>
      <c r="V455" s="375" t="e">
        <f t="shared" ca="1" si="53"/>
        <v>#NAME?</v>
      </c>
    </row>
    <row r="456" spans="1:22" ht="14.25" hidden="1" customHeight="1">
      <c r="A456" s="376" t="s">
        <v>855</v>
      </c>
      <c r="B456" s="370" t="e">
        <f ca="1">_xludf.IFNA(VLOOKUP(Bolts!$A456,'Kilter Holds'!$P$37:$S$662,4,0),0)</f>
        <v>#NAME?</v>
      </c>
      <c r="C456" s="371">
        <v>14</v>
      </c>
      <c r="D456" s="373">
        <v>0</v>
      </c>
      <c r="E456" s="373">
        <f ca="1">IFERROR(4*B456,0)</f>
        <v>0</v>
      </c>
      <c r="F456" s="373">
        <v>0</v>
      </c>
      <c r="G456" s="373">
        <v>0</v>
      </c>
      <c r="H456" s="373">
        <v>0</v>
      </c>
      <c r="I456" s="373">
        <v>0</v>
      </c>
      <c r="J456" s="373">
        <v>0</v>
      </c>
      <c r="K456" s="373">
        <v>0</v>
      </c>
      <c r="L456" s="374">
        <v>0</v>
      </c>
      <c r="M456" s="373">
        <v>0</v>
      </c>
      <c r="N456" s="373">
        <v>0</v>
      </c>
      <c r="O456" s="373">
        <v>0</v>
      </c>
      <c r="P456" s="373">
        <v>0</v>
      </c>
      <c r="Q456" s="373">
        <f ca="1">IFERROR(28*B456,0)</f>
        <v>0</v>
      </c>
      <c r="R456" s="375">
        <f t="shared" ca="1" si="72"/>
        <v>0</v>
      </c>
      <c r="S456" s="375">
        <v>0</v>
      </c>
      <c r="T456" s="375">
        <v>0</v>
      </c>
      <c r="U456" s="375">
        <v>0</v>
      </c>
      <c r="V456" s="375" t="e">
        <f t="shared" ca="1" si="53"/>
        <v>#NAME?</v>
      </c>
    </row>
    <row r="457" spans="1:22" ht="14.25" hidden="1" customHeight="1">
      <c r="A457" s="376" t="s">
        <v>867</v>
      </c>
      <c r="B457" s="370" t="e">
        <f ca="1">_xludf.IFNA(VLOOKUP(Bolts!$A457,'Kilter Holds'!$P$37:$S$662,4,0),0)</f>
        <v>#NAME?</v>
      </c>
      <c r="C457" s="371">
        <v>20</v>
      </c>
      <c r="D457" s="373">
        <f ca="1">IFERROR(20*B457,0)</f>
        <v>0</v>
      </c>
      <c r="E457" s="373">
        <v>0</v>
      </c>
      <c r="F457" s="373">
        <v>0</v>
      </c>
      <c r="G457" s="373">
        <v>0</v>
      </c>
      <c r="H457" s="373">
        <v>0</v>
      </c>
      <c r="I457" s="373">
        <v>0</v>
      </c>
      <c r="J457" s="373">
        <v>0</v>
      </c>
      <c r="K457" s="373">
        <v>0</v>
      </c>
      <c r="L457" s="374">
        <v>0</v>
      </c>
      <c r="M457" s="373">
        <v>0</v>
      </c>
      <c r="N457" s="373">
        <v>0</v>
      </c>
      <c r="O457" s="373">
        <v>0</v>
      </c>
      <c r="P457" s="373">
        <v>0</v>
      </c>
      <c r="Q457" s="373">
        <v>0</v>
      </c>
      <c r="R457" s="373">
        <v>0</v>
      </c>
      <c r="S457" s="375">
        <v>0</v>
      </c>
      <c r="T457" s="375">
        <v>0</v>
      </c>
      <c r="U457" s="375">
        <v>0</v>
      </c>
      <c r="V457" s="375" t="e">
        <f t="shared" ca="1" si="53"/>
        <v>#NAME?</v>
      </c>
    </row>
    <row r="458" spans="1:22" ht="14.25" hidden="1" customHeight="1">
      <c r="A458" s="376" t="s">
        <v>869</v>
      </c>
      <c r="B458" s="370" t="e">
        <f ca="1">_xludf.IFNA(VLOOKUP(Bolts!$A458,'Kilter Holds'!$P$37:$S$662,4,0),0)</f>
        <v>#NAME?</v>
      </c>
      <c r="C458" s="371">
        <v>19</v>
      </c>
      <c r="D458" s="373">
        <f ca="1">IFERROR(19*B458,0)</f>
        <v>0</v>
      </c>
      <c r="E458" s="373">
        <v>0</v>
      </c>
      <c r="F458" s="373">
        <v>0</v>
      </c>
      <c r="G458" s="373">
        <v>0</v>
      </c>
      <c r="H458" s="373">
        <v>0</v>
      </c>
      <c r="I458" s="373">
        <v>0</v>
      </c>
      <c r="J458" s="373">
        <v>0</v>
      </c>
      <c r="K458" s="373">
        <v>0</v>
      </c>
      <c r="L458" s="374">
        <v>0</v>
      </c>
      <c r="M458" s="373">
        <v>0</v>
      </c>
      <c r="N458" s="373">
        <v>0</v>
      </c>
      <c r="O458" s="373">
        <v>0</v>
      </c>
      <c r="P458" s="373">
        <v>0</v>
      </c>
      <c r="Q458" s="373">
        <v>0</v>
      </c>
      <c r="R458" s="373">
        <v>0</v>
      </c>
      <c r="S458" s="375">
        <v>0</v>
      </c>
      <c r="T458" s="375">
        <v>0</v>
      </c>
      <c r="U458" s="375">
        <v>0</v>
      </c>
      <c r="V458" s="375" t="e">
        <f t="shared" ca="1" si="53"/>
        <v>#NAME?</v>
      </c>
    </row>
    <row r="459" spans="1:22" ht="14.25" hidden="1" customHeight="1">
      <c r="A459" s="376" t="s">
        <v>873</v>
      </c>
      <c r="B459" s="370" t="e">
        <f ca="1">_xludf.IFNA(VLOOKUP(Bolts!$A459,'Kilter Holds'!$P$37:$S$662,4,0),0)</f>
        <v>#NAME?</v>
      </c>
      <c r="C459" s="371">
        <v>19</v>
      </c>
      <c r="D459" s="373">
        <v>0</v>
      </c>
      <c r="E459" s="373">
        <v>0</v>
      </c>
      <c r="F459" s="373">
        <v>0</v>
      </c>
      <c r="G459" s="373">
        <v>0</v>
      </c>
      <c r="H459" s="373">
        <v>0</v>
      </c>
      <c r="I459" s="373">
        <v>0</v>
      </c>
      <c r="J459" s="373">
        <v>0</v>
      </c>
      <c r="K459" s="373">
        <v>0</v>
      </c>
      <c r="L459" s="374">
        <v>0</v>
      </c>
      <c r="M459" s="373">
        <v>0</v>
      </c>
      <c r="N459" s="373">
        <v>0</v>
      </c>
      <c r="O459" s="373">
        <v>0</v>
      </c>
      <c r="P459" s="373">
        <v>0</v>
      </c>
      <c r="Q459" s="373">
        <f ca="1">IFERROR(38*B459,0)</f>
        <v>0</v>
      </c>
      <c r="R459" s="373">
        <v>0</v>
      </c>
      <c r="S459" s="375">
        <v>0</v>
      </c>
      <c r="T459" s="375">
        <v>0</v>
      </c>
      <c r="U459" s="375">
        <v>0</v>
      </c>
      <c r="V459" s="375" t="e">
        <f t="shared" ca="1" si="53"/>
        <v>#NAME?</v>
      </c>
    </row>
    <row r="460" spans="1:22" ht="14.25" hidden="1" customHeight="1">
      <c r="A460" s="376" t="s">
        <v>859</v>
      </c>
      <c r="B460" s="370" t="e">
        <f ca="1">_xludf.IFNA(VLOOKUP(Bolts!$A460,'Kilter Holds'!$P$37:$S$662,4,0),0)</f>
        <v>#NAME?</v>
      </c>
      <c r="C460" s="371">
        <v>10</v>
      </c>
      <c r="D460" s="373">
        <f ca="1">IFERROR(10*B460,0)</f>
        <v>0</v>
      </c>
      <c r="E460" s="373">
        <v>0</v>
      </c>
      <c r="F460" s="373">
        <v>0</v>
      </c>
      <c r="G460" s="373">
        <v>0</v>
      </c>
      <c r="H460" s="373">
        <v>0</v>
      </c>
      <c r="I460" s="373">
        <v>0</v>
      </c>
      <c r="J460" s="373">
        <v>0</v>
      </c>
      <c r="K460" s="373">
        <v>0</v>
      </c>
      <c r="L460" s="374">
        <v>0</v>
      </c>
      <c r="M460" s="373">
        <v>0</v>
      </c>
      <c r="N460" s="373">
        <v>0</v>
      </c>
      <c r="O460" s="373">
        <v>0</v>
      </c>
      <c r="P460" s="373">
        <v>0</v>
      </c>
      <c r="Q460" s="373">
        <v>0</v>
      </c>
      <c r="R460" s="373">
        <v>0</v>
      </c>
      <c r="S460" s="375">
        <v>0</v>
      </c>
      <c r="T460" s="375">
        <v>0</v>
      </c>
      <c r="U460" s="375">
        <v>0</v>
      </c>
      <c r="V460" s="375" t="e">
        <f t="shared" ca="1" si="53"/>
        <v>#NAME?</v>
      </c>
    </row>
    <row r="461" spans="1:22" ht="14.25" hidden="1" customHeight="1">
      <c r="A461" s="376" t="s">
        <v>861</v>
      </c>
      <c r="B461" s="370" t="e">
        <f ca="1">_xludf.IFNA(VLOOKUP(Bolts!$A461,'Kilter Holds'!$P$37:$S$662,4,0),0)</f>
        <v>#NAME?</v>
      </c>
      <c r="C461" s="371">
        <v>10</v>
      </c>
      <c r="D461" s="373">
        <f ca="1">IFERROR(5*B461,0)</f>
        <v>0</v>
      </c>
      <c r="E461" s="373">
        <v>0</v>
      </c>
      <c r="F461" s="373">
        <v>0</v>
      </c>
      <c r="G461" s="373">
        <v>0</v>
      </c>
      <c r="H461" s="373">
        <v>0</v>
      </c>
      <c r="I461" s="373">
        <v>0</v>
      </c>
      <c r="J461" s="373">
        <v>0</v>
      </c>
      <c r="K461" s="373">
        <v>0</v>
      </c>
      <c r="L461" s="374">
        <v>0</v>
      </c>
      <c r="M461" s="373">
        <v>0</v>
      </c>
      <c r="N461" s="373">
        <v>0</v>
      </c>
      <c r="O461" s="373">
        <v>0</v>
      </c>
      <c r="P461" s="373">
        <v>0</v>
      </c>
      <c r="Q461" s="373">
        <f ca="1">IFERROR(15*B461,0)</f>
        <v>0</v>
      </c>
      <c r="R461" s="373">
        <v>0</v>
      </c>
      <c r="S461" s="375">
        <v>0</v>
      </c>
      <c r="T461" s="375">
        <v>0</v>
      </c>
      <c r="U461" s="375">
        <v>0</v>
      </c>
      <c r="V461" s="375" t="e">
        <f t="shared" ca="1" si="53"/>
        <v>#NAME?</v>
      </c>
    </row>
    <row r="462" spans="1:22" ht="14.25" hidden="1" customHeight="1">
      <c r="A462" s="376" t="s">
        <v>1233</v>
      </c>
      <c r="B462" s="370" t="e">
        <f ca="1">_xludf.IFNA(VLOOKUP(Bolts!$A462,'Kilter Holds'!$P$37:$S$662,4,0),0)</f>
        <v>#NAME?</v>
      </c>
      <c r="C462" s="371">
        <v>40</v>
      </c>
      <c r="D462" s="373" t="e">
        <f ca="1">Bolts!$B462*23</f>
        <v>#NAME?</v>
      </c>
      <c r="E462" s="373" t="e">
        <f ca="1">17*Bolts!$B462</f>
        <v>#NAME?</v>
      </c>
      <c r="F462" s="373">
        <v>0</v>
      </c>
      <c r="G462" s="373">
        <v>0</v>
      </c>
      <c r="H462" s="373">
        <v>0</v>
      </c>
      <c r="I462" s="373">
        <v>0</v>
      </c>
      <c r="J462" s="373">
        <v>0</v>
      </c>
      <c r="K462" s="373">
        <v>0</v>
      </c>
      <c r="L462" s="374">
        <v>0</v>
      </c>
      <c r="M462" s="373">
        <v>0</v>
      </c>
      <c r="N462" s="373">
        <v>0</v>
      </c>
      <c r="O462" s="373">
        <v>0</v>
      </c>
      <c r="P462" s="373">
        <v>0</v>
      </c>
      <c r="Q462" s="373">
        <v>0</v>
      </c>
      <c r="R462" s="373">
        <v>0</v>
      </c>
      <c r="S462" s="375">
        <v>0</v>
      </c>
      <c r="T462" s="375">
        <v>0</v>
      </c>
      <c r="U462" s="375">
        <v>0</v>
      </c>
      <c r="V462" s="375" t="e">
        <f t="shared" ca="1" si="53"/>
        <v>#NAME?</v>
      </c>
    </row>
    <row r="463" spans="1:22" ht="14.25" hidden="1" customHeight="1">
      <c r="A463" s="376" t="s">
        <v>1235</v>
      </c>
      <c r="B463" s="370" t="e">
        <f ca="1">_xludf.IFNA(VLOOKUP(Bolts!$A463,'Kilter Holds'!$P$37:$S$662,4,0),0)</f>
        <v>#NAME?</v>
      </c>
      <c r="C463" s="371">
        <v>40</v>
      </c>
      <c r="D463" s="373" t="e">
        <f ca="1">37*Bolts!$B463</f>
        <v>#NAME?</v>
      </c>
      <c r="E463" s="373" t="e">
        <f ca="1">3*Bolts!$B463</f>
        <v>#NAME?</v>
      </c>
      <c r="F463" s="373">
        <v>0</v>
      </c>
      <c r="G463" s="373">
        <v>0</v>
      </c>
      <c r="H463" s="373">
        <v>0</v>
      </c>
      <c r="I463" s="373">
        <v>0</v>
      </c>
      <c r="J463" s="373">
        <v>0</v>
      </c>
      <c r="K463" s="373">
        <v>0</v>
      </c>
      <c r="L463" s="374">
        <v>0</v>
      </c>
      <c r="M463" s="373">
        <v>0</v>
      </c>
      <c r="N463" s="373">
        <v>0</v>
      </c>
      <c r="O463" s="373">
        <v>0</v>
      </c>
      <c r="P463" s="373">
        <v>0</v>
      </c>
      <c r="Q463" s="373">
        <v>0</v>
      </c>
      <c r="R463" s="373">
        <v>0</v>
      </c>
      <c r="S463" s="375">
        <v>0</v>
      </c>
      <c r="T463" s="375">
        <v>0</v>
      </c>
      <c r="U463" s="375">
        <v>0</v>
      </c>
      <c r="V463" s="375" t="e">
        <f t="shared" ca="1" si="53"/>
        <v>#NAME?</v>
      </c>
    </row>
    <row r="464" spans="1:22" ht="14.25" hidden="1" customHeight="1">
      <c r="A464" s="376" t="s">
        <v>1237</v>
      </c>
      <c r="B464" s="370" t="e">
        <f ca="1">_xludf.IFNA(VLOOKUP(Bolts!$A464,'Kilter Holds'!$P$37:$S$662,4,0),0)</f>
        <v>#NAME?</v>
      </c>
      <c r="C464" s="371">
        <v>40</v>
      </c>
      <c r="D464" s="373" t="e">
        <f ca="1">20*Bolts!$B464</f>
        <v>#NAME?</v>
      </c>
      <c r="E464" s="373" t="e">
        <f ca="1">12*Bolts!$B464</f>
        <v>#NAME?</v>
      </c>
      <c r="F464" s="373" t="e">
        <f ca="1">3*Bolts!$B464</f>
        <v>#NAME?</v>
      </c>
      <c r="G464" s="373" t="e">
        <f ca="1">5*Bolts!$B464</f>
        <v>#NAME?</v>
      </c>
      <c r="H464" s="373">
        <v>0</v>
      </c>
      <c r="I464" s="373">
        <v>0</v>
      </c>
      <c r="J464" s="373">
        <v>0</v>
      </c>
      <c r="K464" s="373">
        <v>0</v>
      </c>
      <c r="L464" s="374">
        <v>0</v>
      </c>
      <c r="M464" s="373">
        <v>0</v>
      </c>
      <c r="N464" s="373">
        <v>0</v>
      </c>
      <c r="O464" s="373">
        <v>0</v>
      </c>
      <c r="P464" s="373">
        <v>0</v>
      </c>
      <c r="Q464" s="373">
        <v>0</v>
      </c>
      <c r="R464" s="373">
        <v>0</v>
      </c>
      <c r="S464" s="375">
        <v>0</v>
      </c>
      <c r="T464" s="375">
        <v>0</v>
      </c>
      <c r="U464" s="375">
        <v>0</v>
      </c>
      <c r="V464" s="375" t="e">
        <f t="shared" ca="1" si="53"/>
        <v>#NAME?</v>
      </c>
    </row>
    <row r="465" spans="1:22" ht="14.25" hidden="1" customHeight="1">
      <c r="A465" s="376" t="s">
        <v>1239</v>
      </c>
      <c r="B465" s="370" t="e">
        <f ca="1">_xludf.IFNA(VLOOKUP(Bolts!$A465,'Kilter Holds'!$P$37:$S$662,4,0),0)</f>
        <v>#NAME?</v>
      </c>
      <c r="C465" s="371">
        <v>40</v>
      </c>
      <c r="D465" s="373" t="e">
        <f ca="1">40*Bolts!$B465</f>
        <v>#NAME?</v>
      </c>
      <c r="E465" s="373">
        <v>0</v>
      </c>
      <c r="F465" s="373">
        <v>0</v>
      </c>
      <c r="G465" s="373">
        <v>0</v>
      </c>
      <c r="H465" s="373">
        <v>0</v>
      </c>
      <c r="I465" s="373">
        <v>0</v>
      </c>
      <c r="J465" s="373">
        <v>0</v>
      </c>
      <c r="K465" s="373">
        <v>0</v>
      </c>
      <c r="L465" s="374">
        <v>0</v>
      </c>
      <c r="M465" s="373">
        <v>0</v>
      </c>
      <c r="N465" s="373">
        <v>0</v>
      </c>
      <c r="O465" s="373">
        <v>0</v>
      </c>
      <c r="P465" s="373">
        <v>0</v>
      </c>
      <c r="Q465" s="373">
        <v>0</v>
      </c>
      <c r="R465" s="373">
        <v>0</v>
      </c>
      <c r="S465" s="375">
        <v>0</v>
      </c>
      <c r="T465" s="375">
        <v>0</v>
      </c>
      <c r="U465" s="375">
        <v>0</v>
      </c>
      <c r="V465" s="375" t="e">
        <f t="shared" ca="1" si="53"/>
        <v>#NAME?</v>
      </c>
    </row>
    <row r="466" spans="1:22" ht="14.25" hidden="1" customHeight="1">
      <c r="A466" s="376" t="s">
        <v>1241</v>
      </c>
      <c r="B466" s="370" t="e">
        <f ca="1">_xludf.IFNA(VLOOKUP(Bolts!$A466,'Kilter Holds'!$P$37:$S$662,4,0),0)</f>
        <v>#NAME?</v>
      </c>
      <c r="C466" s="371">
        <v>40</v>
      </c>
      <c r="D466" s="373" t="e">
        <f ca="1">40*Bolts!$B466</f>
        <v>#NAME?</v>
      </c>
      <c r="E466" s="373">
        <v>0</v>
      </c>
      <c r="F466" s="373">
        <v>0</v>
      </c>
      <c r="G466" s="373">
        <v>0</v>
      </c>
      <c r="H466" s="373">
        <v>0</v>
      </c>
      <c r="I466" s="373">
        <v>0</v>
      </c>
      <c r="J466" s="373">
        <v>0</v>
      </c>
      <c r="K466" s="373">
        <v>0</v>
      </c>
      <c r="L466" s="374">
        <v>0</v>
      </c>
      <c r="M466" s="373">
        <v>0</v>
      </c>
      <c r="N466" s="373">
        <v>0</v>
      </c>
      <c r="O466" s="373">
        <v>0</v>
      </c>
      <c r="P466" s="373">
        <v>0</v>
      </c>
      <c r="Q466" s="373">
        <v>0</v>
      </c>
      <c r="R466" s="373">
        <v>0</v>
      </c>
      <c r="S466" s="375">
        <v>0</v>
      </c>
      <c r="T466" s="375">
        <v>0</v>
      </c>
      <c r="U466" s="375">
        <v>0</v>
      </c>
      <c r="V466" s="375" t="e">
        <f t="shared" ca="1" si="53"/>
        <v>#NAME?</v>
      </c>
    </row>
    <row r="467" spans="1:22" ht="14.25" hidden="1" customHeight="1">
      <c r="A467" s="376" t="s">
        <v>1243</v>
      </c>
      <c r="B467" s="370" t="e">
        <f ca="1">_xludf.IFNA(VLOOKUP(Bolts!$A467,'Kilter Holds'!$P$37:$S$662,4,0),0)</f>
        <v>#NAME?</v>
      </c>
      <c r="C467" s="371">
        <v>40</v>
      </c>
      <c r="D467" s="373" t="e">
        <f ca="1">40*Bolts!$B467</f>
        <v>#NAME?</v>
      </c>
      <c r="E467" s="373">
        <v>0</v>
      </c>
      <c r="F467" s="373">
        <v>0</v>
      </c>
      <c r="G467" s="373">
        <v>0</v>
      </c>
      <c r="H467" s="373">
        <v>0</v>
      </c>
      <c r="I467" s="373">
        <v>0</v>
      </c>
      <c r="J467" s="373">
        <v>0</v>
      </c>
      <c r="K467" s="373">
        <v>0</v>
      </c>
      <c r="L467" s="374">
        <v>0</v>
      </c>
      <c r="M467" s="373">
        <v>0</v>
      </c>
      <c r="N467" s="373">
        <v>0</v>
      </c>
      <c r="O467" s="373">
        <v>0</v>
      </c>
      <c r="P467" s="373">
        <v>0</v>
      </c>
      <c r="Q467" s="373">
        <v>0</v>
      </c>
      <c r="R467" s="373">
        <v>0</v>
      </c>
      <c r="S467" s="375">
        <v>0</v>
      </c>
      <c r="T467" s="375">
        <v>0</v>
      </c>
      <c r="U467" s="375">
        <v>0</v>
      </c>
      <c r="V467" s="375" t="e">
        <f t="shared" ca="1" si="53"/>
        <v>#NAME?</v>
      </c>
    </row>
    <row r="468" spans="1:22" ht="14.25" hidden="1" customHeight="1">
      <c r="A468" s="376" t="s">
        <v>863</v>
      </c>
      <c r="B468" s="370" t="e">
        <f ca="1">_xludf.IFNA(VLOOKUP(Bolts!$A468,'Kilter Holds'!$P$37:$S$662,4,0),0)</f>
        <v>#NAME?</v>
      </c>
      <c r="C468" s="371">
        <v>16</v>
      </c>
      <c r="D468" s="373">
        <f ca="1">IFERROR(6*B468,0)</f>
        <v>0</v>
      </c>
      <c r="E468" s="373">
        <v>0</v>
      </c>
      <c r="F468" s="373">
        <v>0</v>
      </c>
      <c r="G468" s="373">
        <v>0</v>
      </c>
      <c r="H468" s="373">
        <v>0</v>
      </c>
      <c r="I468" s="373">
        <v>0</v>
      </c>
      <c r="J468" s="373">
        <v>0</v>
      </c>
      <c r="K468" s="373">
        <v>0</v>
      </c>
      <c r="L468" s="374">
        <v>0</v>
      </c>
      <c r="M468" s="373">
        <v>0</v>
      </c>
      <c r="N468" s="373">
        <v>0</v>
      </c>
      <c r="O468" s="373">
        <v>0</v>
      </c>
      <c r="P468" s="373">
        <v>0</v>
      </c>
      <c r="Q468" s="373">
        <f ca="1">IFERROR(33*B468,0)</f>
        <v>0</v>
      </c>
      <c r="R468" s="373">
        <f ca="1">IFERROR(3*B468,0)</f>
        <v>0</v>
      </c>
      <c r="S468" s="375">
        <v>0</v>
      </c>
      <c r="T468" s="375">
        <v>0</v>
      </c>
      <c r="U468" s="375">
        <v>0</v>
      </c>
      <c r="V468" s="375" t="e">
        <f t="shared" ca="1" si="53"/>
        <v>#NAME?</v>
      </c>
    </row>
    <row r="469" spans="1:22" ht="14.25" hidden="1" customHeight="1">
      <c r="A469" s="376" t="s">
        <v>624</v>
      </c>
      <c r="B469" s="370" t="e">
        <f ca="1">_xludf.IFNA(VLOOKUP(Bolts!$A469,'Kilter Holds'!$P$37:$S$662,4,0),0)</f>
        <v>#NAME?</v>
      </c>
      <c r="C469" s="371">
        <v>20</v>
      </c>
      <c r="D469" s="373">
        <v>0</v>
      </c>
      <c r="E469" s="373">
        <v>0</v>
      </c>
      <c r="F469" s="373">
        <v>0</v>
      </c>
      <c r="G469" s="373">
        <v>0</v>
      </c>
      <c r="H469" s="373">
        <v>0</v>
      </c>
      <c r="I469" s="373">
        <v>0</v>
      </c>
      <c r="J469" s="373">
        <v>0</v>
      </c>
      <c r="K469" s="373">
        <v>0</v>
      </c>
      <c r="L469" s="374">
        <v>0</v>
      </c>
      <c r="M469" s="373">
        <v>0</v>
      </c>
      <c r="N469" s="373">
        <v>0</v>
      </c>
      <c r="O469" s="373">
        <v>0</v>
      </c>
      <c r="P469" s="373">
        <v>0</v>
      </c>
      <c r="Q469" s="373">
        <f ca="1">IFERROR(60*B469,0)</f>
        <v>0</v>
      </c>
      <c r="R469" s="373">
        <v>0</v>
      </c>
      <c r="S469" s="375">
        <v>0</v>
      </c>
      <c r="T469" s="375">
        <v>0</v>
      </c>
      <c r="U469" s="375">
        <v>0</v>
      </c>
      <c r="V469" s="375" t="e">
        <f t="shared" ca="1" si="53"/>
        <v>#NAME?</v>
      </c>
    </row>
    <row r="470" spans="1:22" ht="14.25" hidden="1" customHeight="1">
      <c r="A470" s="376" t="s">
        <v>628</v>
      </c>
      <c r="B470" s="370" t="e">
        <f ca="1">_xludf.IFNA(VLOOKUP(Bolts!$A470,'Kilter Holds'!$P$37:$S$662,4,0),0)</f>
        <v>#NAME?</v>
      </c>
      <c r="C470" s="371">
        <v>6</v>
      </c>
      <c r="D470" s="373">
        <v>0</v>
      </c>
      <c r="E470" s="373">
        <v>0</v>
      </c>
      <c r="F470" s="373">
        <v>0</v>
      </c>
      <c r="G470" s="373">
        <v>0</v>
      </c>
      <c r="H470" s="373">
        <v>0</v>
      </c>
      <c r="I470" s="373">
        <v>0</v>
      </c>
      <c r="J470" s="373">
        <v>0</v>
      </c>
      <c r="K470" s="373">
        <v>0</v>
      </c>
      <c r="L470" s="374">
        <v>0</v>
      </c>
      <c r="M470" s="373">
        <v>0</v>
      </c>
      <c r="N470" s="373">
        <v>0</v>
      </c>
      <c r="O470" s="373">
        <v>0</v>
      </c>
      <c r="P470" s="373">
        <v>0</v>
      </c>
      <c r="Q470" s="373">
        <f ca="1">IFERROR(24*B470,0)</f>
        <v>0</v>
      </c>
      <c r="R470" s="375">
        <v>0</v>
      </c>
      <c r="S470" s="375">
        <v>0</v>
      </c>
      <c r="T470" s="375">
        <v>0</v>
      </c>
      <c r="U470" s="375">
        <v>0</v>
      </c>
      <c r="V470" s="375" t="e">
        <f t="shared" ca="1" si="53"/>
        <v>#NAME?</v>
      </c>
    </row>
    <row r="471" spans="1:22" ht="14.25" hidden="1" customHeight="1">
      <c r="A471" s="376" t="s">
        <v>865</v>
      </c>
      <c r="B471" s="370" t="e">
        <f ca="1">_xludf.IFNA(VLOOKUP(Bolts!$A471,'Kilter Holds'!$P$37:$S$662,4,0),0)</f>
        <v>#NAME?</v>
      </c>
      <c r="C471" s="371">
        <v>20</v>
      </c>
      <c r="D471" s="373">
        <f ca="1">IFERROR(10*B471,0)</f>
        <v>0</v>
      </c>
      <c r="E471" s="373">
        <v>0</v>
      </c>
      <c r="F471" s="373">
        <v>0</v>
      </c>
      <c r="G471" s="373">
        <v>0</v>
      </c>
      <c r="H471" s="373">
        <v>0</v>
      </c>
      <c r="I471" s="373">
        <v>0</v>
      </c>
      <c r="J471" s="373">
        <v>0</v>
      </c>
      <c r="K471" s="373">
        <v>0</v>
      </c>
      <c r="L471" s="374">
        <v>0</v>
      </c>
      <c r="M471" s="373">
        <v>0</v>
      </c>
      <c r="N471" s="373">
        <v>0</v>
      </c>
      <c r="O471" s="373">
        <v>0</v>
      </c>
      <c r="P471" s="373">
        <v>0</v>
      </c>
      <c r="Q471" s="373">
        <f ca="1">IFERROR(35*B471,0)</f>
        <v>0</v>
      </c>
      <c r="R471" s="373">
        <v>0</v>
      </c>
      <c r="S471" s="375">
        <v>0</v>
      </c>
      <c r="T471" s="375">
        <v>0</v>
      </c>
      <c r="U471" s="375">
        <v>0</v>
      </c>
      <c r="V471" s="375" t="e">
        <f t="shared" ca="1" si="53"/>
        <v>#NAME?</v>
      </c>
    </row>
    <row r="472" spans="1:22" ht="14.25" hidden="1" customHeight="1">
      <c r="A472" s="376" t="s">
        <v>871</v>
      </c>
      <c r="B472" s="370" t="e">
        <f ca="1">_xludf.IFNA(VLOOKUP(Bolts!$A472,'Kilter Holds'!$P$37:$S$662,4,0),0)</f>
        <v>#NAME?</v>
      </c>
      <c r="C472" s="371">
        <v>19</v>
      </c>
      <c r="D472" s="373">
        <f ca="1">IFERROR(19*B472,0)</f>
        <v>0</v>
      </c>
      <c r="E472" s="373">
        <v>0</v>
      </c>
      <c r="F472" s="373">
        <v>0</v>
      </c>
      <c r="G472" s="373">
        <v>0</v>
      </c>
      <c r="H472" s="373">
        <v>0</v>
      </c>
      <c r="I472" s="373">
        <v>0</v>
      </c>
      <c r="J472" s="373">
        <v>0</v>
      </c>
      <c r="K472" s="373">
        <v>0</v>
      </c>
      <c r="L472" s="374">
        <v>0</v>
      </c>
      <c r="M472" s="373">
        <v>0</v>
      </c>
      <c r="N472" s="373">
        <v>0</v>
      </c>
      <c r="O472" s="373">
        <v>0</v>
      </c>
      <c r="P472" s="373">
        <v>0</v>
      </c>
      <c r="Q472" s="373">
        <v>0</v>
      </c>
      <c r="R472" s="373">
        <v>0</v>
      </c>
      <c r="S472" s="375">
        <v>0</v>
      </c>
      <c r="T472" s="375">
        <v>0</v>
      </c>
      <c r="U472" s="375">
        <v>0</v>
      </c>
      <c r="V472" s="375" t="e">
        <f t="shared" ca="1" si="53"/>
        <v>#NAME?</v>
      </c>
    </row>
    <row r="473" spans="1:22" ht="14.25" hidden="1" customHeight="1">
      <c r="A473" s="376" t="s">
        <v>847</v>
      </c>
      <c r="B473" s="370" t="e">
        <f ca="1">_xludf.IFNA(VLOOKUP(Bolts!$A473,'Kilter Holds'!$P$37:$S$662,4,0),0)</f>
        <v>#NAME?</v>
      </c>
      <c r="C473" s="371">
        <v>3</v>
      </c>
      <c r="D473" s="373">
        <v>0</v>
      </c>
      <c r="E473" s="373">
        <v>0</v>
      </c>
      <c r="F473" s="373">
        <v>0</v>
      </c>
      <c r="G473" s="373">
        <f t="shared" ref="G473:G474" ca="1" si="73">IFERROR(3*B473,0)</f>
        <v>0</v>
      </c>
      <c r="H473" s="373">
        <v>0</v>
      </c>
      <c r="I473" s="373">
        <v>0</v>
      </c>
      <c r="J473" s="373">
        <v>0</v>
      </c>
      <c r="K473" s="373">
        <v>0</v>
      </c>
      <c r="L473" s="374">
        <v>0</v>
      </c>
      <c r="M473" s="373">
        <v>0</v>
      </c>
      <c r="N473" s="373">
        <v>0</v>
      </c>
      <c r="O473" s="373">
        <v>0</v>
      </c>
      <c r="P473" s="373">
        <v>0</v>
      </c>
      <c r="Q473" s="373">
        <v>0</v>
      </c>
      <c r="R473" s="373">
        <v>0</v>
      </c>
      <c r="S473" s="373">
        <v>0</v>
      </c>
      <c r="T473" s="375">
        <v>0</v>
      </c>
      <c r="U473" s="375">
        <v>0</v>
      </c>
      <c r="V473" s="375" t="e">
        <f t="shared" ca="1" si="53"/>
        <v>#NAME?</v>
      </c>
    </row>
    <row r="474" spans="1:22" ht="14.25" hidden="1" customHeight="1">
      <c r="A474" s="376" t="s">
        <v>1932</v>
      </c>
      <c r="B474" s="370" t="e">
        <f ca="1">_xludf.IFNA(VLOOKUP(Bolts!$A474,'Kilter Holds'!$P$37:$S$662,4,0),0)</f>
        <v>#NAME?</v>
      </c>
      <c r="C474" s="371">
        <v>0</v>
      </c>
      <c r="D474" s="373">
        <v>0</v>
      </c>
      <c r="E474" s="373">
        <v>0</v>
      </c>
      <c r="F474" s="373">
        <v>0</v>
      </c>
      <c r="G474" s="373">
        <f t="shared" ca="1" si="73"/>
        <v>0</v>
      </c>
      <c r="H474" s="373">
        <v>0</v>
      </c>
      <c r="I474" s="373">
        <v>0</v>
      </c>
      <c r="J474" s="373">
        <v>0</v>
      </c>
      <c r="K474" s="373">
        <v>0</v>
      </c>
      <c r="L474" s="374">
        <v>0</v>
      </c>
      <c r="M474" s="373">
        <v>0</v>
      </c>
      <c r="N474" s="373">
        <v>0</v>
      </c>
      <c r="O474" s="373">
        <v>0</v>
      </c>
      <c r="P474" s="373">
        <v>0</v>
      </c>
      <c r="Q474" s="373">
        <v>0</v>
      </c>
      <c r="R474" s="373">
        <v>0</v>
      </c>
      <c r="S474" s="373">
        <v>0</v>
      </c>
      <c r="T474" s="375">
        <v>0</v>
      </c>
      <c r="U474" s="375">
        <v>0</v>
      </c>
      <c r="V474" s="375" t="e">
        <f t="shared" ca="1" si="53"/>
        <v>#NAME?</v>
      </c>
    </row>
    <row r="475" spans="1:22" ht="14.25" hidden="1" customHeight="1">
      <c r="A475" s="376" t="s">
        <v>849</v>
      </c>
      <c r="B475" s="370" t="e">
        <f ca="1">_xludf.IFNA(VLOOKUP(Bolts!$A475,'Kilter Holds'!$P$37:$S$662,4,0),0)</f>
        <v>#NAME?</v>
      </c>
      <c r="C475" s="371">
        <v>3</v>
      </c>
      <c r="D475" s="373">
        <v>0</v>
      </c>
      <c r="E475" s="373">
        <f ca="1">IFERROR(1*B475,0)</f>
        <v>0</v>
      </c>
      <c r="F475" s="373">
        <f ca="1">IFERROR(2*B475,0)</f>
        <v>0</v>
      </c>
      <c r="G475" s="373">
        <v>0</v>
      </c>
      <c r="H475" s="373">
        <v>0</v>
      </c>
      <c r="I475" s="373">
        <v>0</v>
      </c>
      <c r="J475" s="373">
        <v>0</v>
      </c>
      <c r="K475" s="373">
        <v>0</v>
      </c>
      <c r="L475" s="374">
        <v>0</v>
      </c>
      <c r="M475" s="373">
        <v>0</v>
      </c>
      <c r="N475" s="373">
        <v>0</v>
      </c>
      <c r="O475" s="373">
        <v>0</v>
      </c>
      <c r="P475" s="373">
        <v>0</v>
      </c>
      <c r="Q475" s="373">
        <v>0</v>
      </c>
      <c r="R475" s="373">
        <v>0</v>
      </c>
      <c r="S475" s="373">
        <v>0</v>
      </c>
      <c r="T475" s="375">
        <v>0</v>
      </c>
      <c r="U475" s="375">
        <v>0</v>
      </c>
      <c r="V475" s="375" t="e">
        <f t="shared" ca="1" si="53"/>
        <v>#NAME?</v>
      </c>
    </row>
    <row r="476" spans="1:22" ht="14.25" hidden="1" customHeight="1">
      <c r="A476" s="376" t="s">
        <v>839</v>
      </c>
      <c r="B476" s="370" t="e">
        <f ca="1">_xludf.IFNA(VLOOKUP(Bolts!$A476,'Kilter Holds'!$P$37:$S$662,4,0),0)</f>
        <v>#NAME?</v>
      </c>
      <c r="C476" s="371">
        <v>3</v>
      </c>
      <c r="D476" s="373">
        <v>0</v>
      </c>
      <c r="E476" s="373">
        <v>0</v>
      </c>
      <c r="F476" s="373">
        <v>0</v>
      </c>
      <c r="G476" s="373">
        <v>0</v>
      </c>
      <c r="H476" s="373">
        <f ca="1">IFERROR(3*B476,0)</f>
        <v>0</v>
      </c>
      <c r="I476" s="373">
        <v>0</v>
      </c>
      <c r="J476" s="373">
        <v>0</v>
      </c>
      <c r="K476" s="373">
        <v>0</v>
      </c>
      <c r="L476" s="374">
        <v>0</v>
      </c>
      <c r="M476" s="373">
        <v>0</v>
      </c>
      <c r="N476" s="373">
        <v>0</v>
      </c>
      <c r="O476" s="373">
        <v>0</v>
      </c>
      <c r="P476" s="373">
        <v>0</v>
      </c>
      <c r="Q476" s="373">
        <v>0</v>
      </c>
      <c r="R476" s="373">
        <v>0</v>
      </c>
      <c r="S476" s="373">
        <v>0</v>
      </c>
      <c r="T476" s="375">
        <v>0</v>
      </c>
      <c r="U476" s="375">
        <v>0</v>
      </c>
      <c r="V476" s="375" t="e">
        <f t="shared" ca="1" si="53"/>
        <v>#NAME?</v>
      </c>
    </row>
    <row r="477" spans="1:22" ht="14.25" hidden="1" customHeight="1">
      <c r="A477" s="376" t="s">
        <v>841</v>
      </c>
      <c r="B477" s="370" t="e">
        <f ca="1">_xludf.IFNA(VLOOKUP(Bolts!$A477,'Kilter Holds'!$P$37:$S$662,4,0),0)</f>
        <v>#NAME?</v>
      </c>
      <c r="C477" s="371">
        <v>3</v>
      </c>
      <c r="D477" s="373">
        <v>0</v>
      </c>
      <c r="E477" s="373">
        <v>0</v>
      </c>
      <c r="F477" s="373">
        <v>0</v>
      </c>
      <c r="G477" s="373">
        <v>0</v>
      </c>
      <c r="H477" s="373">
        <v>0</v>
      </c>
      <c r="I477" s="373">
        <f ca="1">IFERROR(3*B477,0)</f>
        <v>0</v>
      </c>
      <c r="J477" s="373">
        <v>0</v>
      </c>
      <c r="K477" s="373">
        <v>0</v>
      </c>
      <c r="L477" s="374">
        <v>0</v>
      </c>
      <c r="M477" s="373">
        <v>0</v>
      </c>
      <c r="N477" s="373">
        <v>0</v>
      </c>
      <c r="O477" s="373">
        <v>0</v>
      </c>
      <c r="P477" s="373">
        <v>0</v>
      </c>
      <c r="Q477" s="373">
        <v>0</v>
      </c>
      <c r="R477" s="373">
        <v>0</v>
      </c>
      <c r="S477" s="373">
        <v>0</v>
      </c>
      <c r="T477" s="375">
        <v>0</v>
      </c>
      <c r="U477" s="375">
        <v>0</v>
      </c>
      <c r="V477" s="375" t="e">
        <f t="shared" ca="1" si="53"/>
        <v>#NAME?</v>
      </c>
    </row>
    <row r="478" spans="1:22" ht="14.25" hidden="1" customHeight="1">
      <c r="A478" s="376" t="s">
        <v>857</v>
      </c>
      <c r="B478" s="370" t="e">
        <f ca="1">_xludf.IFNA(VLOOKUP(Bolts!$A478,'Kilter Holds'!$P$37:$S$662,4,0),0)</f>
        <v>#NAME?</v>
      </c>
      <c r="C478" s="371">
        <v>2</v>
      </c>
      <c r="D478" s="373">
        <v>0</v>
      </c>
      <c r="E478" s="373">
        <v>0</v>
      </c>
      <c r="F478" s="373">
        <v>0</v>
      </c>
      <c r="G478" s="373">
        <f ca="1">IFERROR(3*B478,0)</f>
        <v>0</v>
      </c>
      <c r="H478" s="373">
        <v>0</v>
      </c>
      <c r="I478" s="373">
        <v>0</v>
      </c>
      <c r="J478" s="373">
        <v>0</v>
      </c>
      <c r="K478" s="373">
        <v>0</v>
      </c>
      <c r="L478" s="374">
        <v>0</v>
      </c>
      <c r="M478" s="373">
        <v>0</v>
      </c>
      <c r="N478" s="373">
        <v>0</v>
      </c>
      <c r="O478" s="373">
        <v>0</v>
      </c>
      <c r="P478" s="373">
        <v>0</v>
      </c>
      <c r="Q478" s="373">
        <v>0</v>
      </c>
      <c r="R478" s="373">
        <f ca="1">IFERROR(8*B478,0)</f>
        <v>0</v>
      </c>
      <c r="S478" s="373">
        <v>0</v>
      </c>
      <c r="T478" s="375">
        <v>0</v>
      </c>
      <c r="U478" s="375">
        <v>0</v>
      </c>
      <c r="V478" s="375" t="e">
        <f t="shared" ca="1" si="53"/>
        <v>#NAME?</v>
      </c>
    </row>
    <row r="479" spans="1:22" ht="14.25" hidden="1" customHeight="1">
      <c r="A479" s="376" t="s">
        <v>677</v>
      </c>
      <c r="B479" s="370" t="e">
        <f ca="1">_xludf.IFNA(VLOOKUP(Bolts!$A479,'Kilter Holds'!$P$37:$S$662,4,0),0)</f>
        <v>#NAME?</v>
      </c>
      <c r="C479" s="371">
        <v>5</v>
      </c>
      <c r="D479" s="373" t="e">
        <f ca="1">2*Bolts!$B479</f>
        <v>#NAME?</v>
      </c>
      <c r="E479" s="373" t="e">
        <f ca="1">3*Bolts!$B479</f>
        <v>#NAME?</v>
      </c>
      <c r="F479" s="373">
        <v>0</v>
      </c>
      <c r="G479" s="373">
        <v>0</v>
      </c>
      <c r="H479" s="373">
        <v>0</v>
      </c>
      <c r="I479" s="373">
        <v>0</v>
      </c>
      <c r="J479" s="373">
        <v>0</v>
      </c>
      <c r="K479" s="373">
        <v>0</v>
      </c>
      <c r="L479" s="374">
        <v>0</v>
      </c>
      <c r="M479" s="373">
        <v>0</v>
      </c>
      <c r="N479" s="373">
        <v>0</v>
      </c>
      <c r="O479" s="373">
        <v>0</v>
      </c>
      <c r="P479" s="373">
        <v>0</v>
      </c>
      <c r="Q479" s="373" t="e">
        <f ca="1">10*Bolts!$B479</f>
        <v>#NAME?</v>
      </c>
      <c r="R479" s="373">
        <v>0</v>
      </c>
      <c r="S479" s="373">
        <v>0</v>
      </c>
      <c r="T479" s="375">
        <v>0</v>
      </c>
      <c r="U479" s="375">
        <v>0</v>
      </c>
      <c r="V479" s="375" t="e">
        <f t="shared" ca="1" si="53"/>
        <v>#NAME?</v>
      </c>
    </row>
    <row r="480" spans="1:22" ht="14.25" hidden="1" customHeight="1">
      <c r="A480" s="376" t="s">
        <v>843</v>
      </c>
      <c r="B480" s="370" t="e">
        <f ca="1">_xludf.IFNA(VLOOKUP(Bolts!$A480,'Kilter Holds'!$P$37:$S$662,4,0),0)</f>
        <v>#NAME?</v>
      </c>
      <c r="C480" s="371">
        <v>2</v>
      </c>
      <c r="D480" s="373">
        <v>0</v>
      </c>
      <c r="E480" s="373">
        <v>0</v>
      </c>
      <c r="F480" s="373">
        <v>0</v>
      </c>
      <c r="G480" s="373">
        <v>0</v>
      </c>
      <c r="H480" s="373">
        <v>0</v>
      </c>
      <c r="I480" s="373">
        <f t="shared" ref="I480:I481" ca="1" si="74">IFERROR(1*B480,0)</f>
        <v>0</v>
      </c>
      <c r="J480" s="373">
        <v>0</v>
      </c>
      <c r="K480" s="373">
        <v>0</v>
      </c>
      <c r="L480" s="374">
        <v>0</v>
      </c>
      <c r="M480" s="373">
        <v>0</v>
      </c>
      <c r="N480" s="373">
        <v>0</v>
      </c>
      <c r="O480" s="373">
        <v>0</v>
      </c>
      <c r="P480" s="373">
        <v>0</v>
      </c>
      <c r="Q480" s="373">
        <v>0</v>
      </c>
      <c r="R480" s="373">
        <v>0</v>
      </c>
      <c r="S480" s="373">
        <v>0</v>
      </c>
      <c r="T480" s="375">
        <f ca="1">IFERROR(1*B481,0)</f>
        <v>0</v>
      </c>
      <c r="U480" s="375">
        <f ca="1">IFERROR(2*B481,0)</f>
        <v>0</v>
      </c>
      <c r="V480" s="375" t="e">
        <f t="shared" ca="1" si="53"/>
        <v>#NAME?</v>
      </c>
    </row>
    <row r="481" spans="1:22" ht="14.25" hidden="1" customHeight="1">
      <c r="A481" s="376" t="s">
        <v>851</v>
      </c>
      <c r="B481" s="370" t="e">
        <f ca="1">_xludf.IFNA(VLOOKUP(Bolts!$A481,'Kilter Holds'!$P$37:$S$662,4,0),0)</f>
        <v>#NAME?</v>
      </c>
      <c r="C481" s="371">
        <v>6</v>
      </c>
      <c r="D481" s="373">
        <v>0</v>
      </c>
      <c r="E481" s="373">
        <v>0</v>
      </c>
      <c r="F481" s="373">
        <v>0</v>
      </c>
      <c r="G481" s="373">
        <v>0</v>
      </c>
      <c r="H481" s="373">
        <f ca="1">IFERROR(4*B481,0)</f>
        <v>0</v>
      </c>
      <c r="I481" s="373">
        <f t="shared" ca="1" si="74"/>
        <v>0</v>
      </c>
      <c r="J481" s="373">
        <f ca="1">IFERROR(1*B481,0)</f>
        <v>0</v>
      </c>
      <c r="K481" s="373">
        <v>0</v>
      </c>
      <c r="L481" s="374">
        <v>0</v>
      </c>
      <c r="M481" s="373">
        <v>0</v>
      </c>
      <c r="N481" s="373">
        <v>0</v>
      </c>
      <c r="O481" s="373">
        <v>0</v>
      </c>
      <c r="P481" s="373">
        <v>0</v>
      </c>
      <c r="Q481" s="373">
        <v>0</v>
      </c>
      <c r="R481" s="373">
        <v>0</v>
      </c>
      <c r="S481" s="373">
        <v>0</v>
      </c>
      <c r="T481" s="375">
        <v>0</v>
      </c>
      <c r="U481" s="375">
        <v>0</v>
      </c>
      <c r="V481" s="375" t="e">
        <f t="shared" ca="1" si="53"/>
        <v>#NAME?</v>
      </c>
    </row>
    <row r="482" spans="1:22" ht="14.25" hidden="1" customHeight="1">
      <c r="A482" s="377" t="s">
        <v>1213</v>
      </c>
      <c r="B482" s="370" t="e">
        <f ca="1">_xludf.IFNA(VLOOKUP(Bolts!$A482,'Kilter Holds'!$P$37:$S$662,4,0),0)</f>
        <v>#NAME?</v>
      </c>
      <c r="C482" s="371">
        <v>10</v>
      </c>
      <c r="D482" s="373">
        <v>0</v>
      </c>
      <c r="E482" s="373">
        <v>0</v>
      </c>
      <c r="F482" s="373">
        <v>0</v>
      </c>
      <c r="G482" s="373">
        <v>0</v>
      </c>
      <c r="H482" s="373">
        <v>0</v>
      </c>
      <c r="I482" s="373">
        <v>0</v>
      </c>
      <c r="J482" s="373">
        <v>0</v>
      </c>
      <c r="K482" s="373">
        <v>0</v>
      </c>
      <c r="L482" s="374">
        <v>0</v>
      </c>
      <c r="M482" s="373">
        <v>0</v>
      </c>
      <c r="N482" s="373">
        <v>0</v>
      </c>
      <c r="O482" s="373">
        <v>0</v>
      </c>
      <c r="P482" s="373">
        <v>0</v>
      </c>
      <c r="Q482" s="373">
        <f ca="1">IFERROR(10*B482,0)</f>
        <v>0</v>
      </c>
      <c r="R482" s="375">
        <v>0</v>
      </c>
      <c r="S482" s="375">
        <v>0</v>
      </c>
      <c r="T482" s="375">
        <v>0</v>
      </c>
      <c r="U482" s="375">
        <v>0</v>
      </c>
      <c r="V482" s="375" t="e">
        <f t="shared" ca="1" si="53"/>
        <v>#NAME?</v>
      </c>
    </row>
    <row r="483" spans="1:22" ht="14.25" hidden="1" customHeight="1">
      <c r="A483" s="377" t="s">
        <v>1201</v>
      </c>
      <c r="B483" s="370" t="e">
        <f ca="1">_xludf.IFNA(VLOOKUP(Bolts!$A483,'Kilter Holds'!$P$37:$S$662,4,0),0)</f>
        <v>#NAME?</v>
      </c>
      <c r="C483" s="371">
        <v>10</v>
      </c>
      <c r="D483" s="373">
        <v>0</v>
      </c>
      <c r="E483" s="373">
        <v>0</v>
      </c>
      <c r="F483" s="373">
        <v>0</v>
      </c>
      <c r="G483" s="373">
        <v>0</v>
      </c>
      <c r="H483" s="373">
        <v>0</v>
      </c>
      <c r="I483" s="373">
        <v>0</v>
      </c>
      <c r="J483" s="373">
        <v>0</v>
      </c>
      <c r="K483" s="373">
        <v>0</v>
      </c>
      <c r="L483" s="374">
        <v>0</v>
      </c>
      <c r="M483" s="373">
        <v>0</v>
      </c>
      <c r="N483" s="373">
        <v>0</v>
      </c>
      <c r="O483" s="373">
        <v>0</v>
      </c>
      <c r="P483" s="373">
        <v>0</v>
      </c>
      <c r="Q483" s="373">
        <f ca="1">IFERROR(24*B483,0)</f>
        <v>0</v>
      </c>
      <c r="R483" s="373">
        <v>0</v>
      </c>
      <c r="S483" s="375">
        <v>0</v>
      </c>
      <c r="T483" s="375">
        <v>0</v>
      </c>
      <c r="U483" s="375">
        <v>0</v>
      </c>
      <c r="V483" s="375" t="e">
        <f t="shared" ca="1" si="53"/>
        <v>#NAME?</v>
      </c>
    </row>
    <row r="484" spans="1:22" ht="14.25" hidden="1" customHeight="1">
      <c r="A484" s="377" t="s">
        <v>1203</v>
      </c>
      <c r="B484" s="370" t="e">
        <f ca="1">_xludf.IFNA(VLOOKUP(Bolts!$A484,'Kilter Holds'!$P$37:$S$662,4,0),0)</f>
        <v>#NAME?</v>
      </c>
      <c r="C484" s="371">
        <v>5</v>
      </c>
      <c r="D484" s="373">
        <v>0</v>
      </c>
      <c r="E484" s="373">
        <v>0</v>
      </c>
      <c r="F484" s="373">
        <v>0</v>
      </c>
      <c r="G484" s="373">
        <v>0</v>
      </c>
      <c r="H484" s="373">
        <v>0</v>
      </c>
      <c r="I484" s="373">
        <v>0</v>
      </c>
      <c r="J484" s="373">
        <v>0</v>
      </c>
      <c r="K484" s="373">
        <v>0</v>
      </c>
      <c r="L484" s="374">
        <v>0</v>
      </c>
      <c r="M484" s="373">
        <v>0</v>
      </c>
      <c r="N484" s="373">
        <v>0</v>
      </c>
      <c r="O484" s="373">
        <v>0</v>
      </c>
      <c r="P484" s="373">
        <v>0</v>
      </c>
      <c r="Q484" s="373">
        <f ca="1">IFERROR(12*B484,0)</f>
        <v>0</v>
      </c>
      <c r="R484" s="373">
        <v>0</v>
      </c>
      <c r="S484" s="375">
        <v>0</v>
      </c>
      <c r="T484" s="375">
        <v>0</v>
      </c>
      <c r="U484" s="375">
        <v>0</v>
      </c>
      <c r="V484" s="375" t="e">
        <f t="shared" ca="1" si="53"/>
        <v>#NAME?</v>
      </c>
    </row>
    <row r="485" spans="1:22" ht="14.25" hidden="1" customHeight="1">
      <c r="A485" s="377" t="s">
        <v>1199</v>
      </c>
      <c r="B485" s="370" t="e">
        <f ca="1">_xludf.IFNA(VLOOKUP(Bolts!$A485,'Kilter Holds'!$P$37:$S$662,4,0),0)</f>
        <v>#NAME?</v>
      </c>
      <c r="C485" s="371">
        <v>10</v>
      </c>
      <c r="D485" s="373">
        <f t="shared" ref="D485:D486" ca="1" si="75">IFERROR(10*B485,0)</f>
        <v>0</v>
      </c>
      <c r="E485" s="373">
        <v>0</v>
      </c>
      <c r="F485" s="373">
        <v>0</v>
      </c>
      <c r="G485" s="373">
        <v>0</v>
      </c>
      <c r="H485" s="373">
        <v>0</v>
      </c>
      <c r="I485" s="373">
        <v>0</v>
      </c>
      <c r="J485" s="373">
        <v>0</v>
      </c>
      <c r="K485" s="373">
        <v>0</v>
      </c>
      <c r="L485" s="374">
        <v>0</v>
      </c>
      <c r="M485" s="373">
        <v>0</v>
      </c>
      <c r="N485" s="373">
        <v>0</v>
      </c>
      <c r="O485" s="373">
        <v>0</v>
      </c>
      <c r="P485" s="373">
        <v>0</v>
      </c>
      <c r="Q485" s="373">
        <v>0</v>
      </c>
      <c r="R485" s="373">
        <v>0</v>
      </c>
      <c r="S485" s="375">
        <v>0</v>
      </c>
      <c r="T485" s="375">
        <v>0</v>
      </c>
      <c r="U485" s="375">
        <v>0</v>
      </c>
      <c r="V485" s="375" t="e">
        <f t="shared" ca="1" si="53"/>
        <v>#NAME?</v>
      </c>
    </row>
    <row r="486" spans="1:22" ht="14.25" hidden="1" customHeight="1">
      <c r="A486" s="377" t="s">
        <v>1193</v>
      </c>
      <c r="B486" s="370" t="e">
        <f ca="1">_xludf.IFNA(VLOOKUP(Bolts!$A486,'Kilter Holds'!$P$37:$S$662,4,0),0)</f>
        <v>#NAME?</v>
      </c>
      <c r="C486" s="371">
        <v>10</v>
      </c>
      <c r="D486" s="373">
        <f t="shared" ca="1" si="75"/>
        <v>0</v>
      </c>
      <c r="E486" s="373">
        <v>0</v>
      </c>
      <c r="F486" s="373">
        <v>0</v>
      </c>
      <c r="G486" s="373">
        <v>0</v>
      </c>
      <c r="H486" s="373">
        <v>0</v>
      </c>
      <c r="I486" s="373">
        <v>0</v>
      </c>
      <c r="J486" s="373">
        <v>0</v>
      </c>
      <c r="K486" s="373">
        <v>0</v>
      </c>
      <c r="L486" s="374">
        <v>0</v>
      </c>
      <c r="M486" s="373">
        <v>0</v>
      </c>
      <c r="N486" s="373">
        <v>0</v>
      </c>
      <c r="O486" s="373">
        <v>0</v>
      </c>
      <c r="P486" s="373">
        <v>0</v>
      </c>
      <c r="Q486" s="373">
        <v>0</v>
      </c>
      <c r="R486" s="373">
        <v>0</v>
      </c>
      <c r="S486" s="375">
        <v>0</v>
      </c>
      <c r="T486" s="375">
        <v>0</v>
      </c>
      <c r="U486" s="375">
        <v>0</v>
      </c>
      <c r="V486" s="375" t="e">
        <f t="shared" ca="1" si="53"/>
        <v>#NAME?</v>
      </c>
    </row>
    <row r="487" spans="1:22" ht="14.25" hidden="1" customHeight="1">
      <c r="A487" s="377" t="s">
        <v>1187</v>
      </c>
      <c r="B487" s="370" t="e">
        <f ca="1">_xludf.IFNA(VLOOKUP(Bolts!$A487,'Kilter Holds'!$P$37:$S$662,4,0),0)</f>
        <v>#NAME?</v>
      </c>
      <c r="C487" s="371">
        <v>5</v>
      </c>
      <c r="D487" s="373">
        <f ca="1">IFERROR(5*B487,0)</f>
        <v>0</v>
      </c>
      <c r="E487" s="373">
        <v>0</v>
      </c>
      <c r="F487" s="373">
        <v>0</v>
      </c>
      <c r="G487" s="373">
        <v>0</v>
      </c>
      <c r="H487" s="373">
        <v>0</v>
      </c>
      <c r="I487" s="373">
        <v>0</v>
      </c>
      <c r="J487" s="373">
        <v>0</v>
      </c>
      <c r="K487" s="373">
        <v>0</v>
      </c>
      <c r="L487" s="374">
        <v>0</v>
      </c>
      <c r="M487" s="373">
        <v>0</v>
      </c>
      <c r="N487" s="373">
        <v>0</v>
      </c>
      <c r="O487" s="373">
        <v>0</v>
      </c>
      <c r="P487" s="373">
        <v>0</v>
      </c>
      <c r="Q487" s="373">
        <v>0</v>
      </c>
      <c r="R487" s="373">
        <v>0</v>
      </c>
      <c r="S487" s="375">
        <v>0</v>
      </c>
      <c r="T487" s="375">
        <v>0</v>
      </c>
      <c r="U487" s="375">
        <v>0</v>
      </c>
      <c r="V487" s="375" t="e">
        <f t="shared" ca="1" si="53"/>
        <v>#NAME?</v>
      </c>
    </row>
    <row r="488" spans="1:22" ht="14.25" hidden="1" customHeight="1">
      <c r="A488" s="377" t="s">
        <v>1189</v>
      </c>
      <c r="B488" s="370" t="e">
        <f ca="1">_xludf.IFNA(VLOOKUP(Bolts!$A488,'Kilter Holds'!$P$37:$S$662,4,0),0)</f>
        <v>#NAME?</v>
      </c>
      <c r="C488" s="371">
        <v>10</v>
      </c>
      <c r="D488" s="373">
        <v>0</v>
      </c>
      <c r="E488" s="373">
        <v>0</v>
      </c>
      <c r="F488" s="373">
        <v>0</v>
      </c>
      <c r="G488" s="373">
        <v>0</v>
      </c>
      <c r="H488" s="373">
        <v>0</v>
      </c>
      <c r="I488" s="373">
        <v>0</v>
      </c>
      <c r="J488" s="373">
        <v>0</v>
      </c>
      <c r="K488" s="373">
        <v>0</v>
      </c>
      <c r="L488" s="374">
        <v>0</v>
      </c>
      <c r="M488" s="373">
        <v>0</v>
      </c>
      <c r="N488" s="373">
        <v>0</v>
      </c>
      <c r="O488" s="373">
        <v>0</v>
      </c>
      <c r="P488" s="373">
        <v>0</v>
      </c>
      <c r="Q488" s="373">
        <f ca="1">IFERROR(24*B488,0)</f>
        <v>0</v>
      </c>
      <c r="R488" s="373">
        <v>0</v>
      </c>
      <c r="S488" s="375">
        <v>0</v>
      </c>
      <c r="T488" s="375">
        <v>0</v>
      </c>
      <c r="U488" s="375">
        <v>0</v>
      </c>
      <c r="V488" s="375" t="e">
        <f t="shared" ca="1" si="53"/>
        <v>#NAME?</v>
      </c>
    </row>
    <row r="489" spans="1:22" ht="14.25" hidden="1" customHeight="1">
      <c r="A489" s="377" t="s">
        <v>1205</v>
      </c>
      <c r="B489" s="370" t="e">
        <f ca="1">_xludf.IFNA(VLOOKUP(Bolts!$A489,'Kilter Holds'!$P$37:$S$662,4,0),0)</f>
        <v>#NAME?</v>
      </c>
      <c r="C489" s="371">
        <v>15</v>
      </c>
      <c r="D489" s="373">
        <v>0</v>
      </c>
      <c r="E489" s="373">
        <v>0</v>
      </c>
      <c r="F489" s="373">
        <v>0</v>
      </c>
      <c r="G489" s="373">
        <v>0</v>
      </c>
      <c r="H489" s="373">
        <v>0</v>
      </c>
      <c r="I489" s="373">
        <v>0</v>
      </c>
      <c r="J489" s="373">
        <v>0</v>
      </c>
      <c r="K489" s="373">
        <v>0</v>
      </c>
      <c r="L489" s="374">
        <v>0</v>
      </c>
      <c r="M489" s="373">
        <v>0</v>
      </c>
      <c r="N489" s="373">
        <v>0</v>
      </c>
      <c r="O489" s="373">
        <v>0</v>
      </c>
      <c r="P489" s="373">
        <v>0</v>
      </c>
      <c r="Q489" s="373">
        <f ca="1">IFERROR(30*B489,0)</f>
        <v>0</v>
      </c>
      <c r="R489" s="373">
        <v>0</v>
      </c>
      <c r="S489" s="375">
        <v>0</v>
      </c>
      <c r="T489" s="375">
        <v>0</v>
      </c>
      <c r="U489" s="375">
        <v>0</v>
      </c>
      <c r="V489" s="375" t="e">
        <f t="shared" ca="1" si="53"/>
        <v>#NAME?</v>
      </c>
    </row>
    <row r="490" spans="1:22" ht="14.25" hidden="1" customHeight="1">
      <c r="A490" s="377" t="s">
        <v>1207</v>
      </c>
      <c r="B490" s="370" t="e">
        <f ca="1">_xludf.IFNA(VLOOKUP(Bolts!$A490,'Kilter Holds'!$P$37:$S$662,4,0),0)</f>
        <v>#NAME?</v>
      </c>
      <c r="C490" s="371">
        <v>5</v>
      </c>
      <c r="D490" s="373">
        <v>0</v>
      </c>
      <c r="E490" s="373">
        <v>0</v>
      </c>
      <c r="F490" s="373">
        <v>0</v>
      </c>
      <c r="G490" s="373">
        <v>0</v>
      </c>
      <c r="H490" s="373">
        <v>0</v>
      </c>
      <c r="I490" s="373">
        <v>0</v>
      </c>
      <c r="J490" s="373">
        <v>0</v>
      </c>
      <c r="K490" s="373">
        <v>0</v>
      </c>
      <c r="L490" s="374">
        <v>0</v>
      </c>
      <c r="M490" s="373">
        <v>0</v>
      </c>
      <c r="N490" s="373">
        <v>0</v>
      </c>
      <c r="O490" s="373">
        <v>0</v>
      </c>
      <c r="P490" s="373">
        <v>0</v>
      </c>
      <c r="Q490" s="373">
        <f ca="1">IFERROR(15*B490,0)</f>
        <v>0</v>
      </c>
      <c r="R490" s="373">
        <v>0</v>
      </c>
      <c r="S490" s="375">
        <v>0</v>
      </c>
      <c r="T490" s="375">
        <v>0</v>
      </c>
      <c r="U490" s="375">
        <v>0</v>
      </c>
      <c r="V490" s="375" t="e">
        <f t="shared" ca="1" si="53"/>
        <v>#NAME?</v>
      </c>
    </row>
    <row r="491" spans="1:22" ht="14.25" hidden="1" customHeight="1">
      <c r="A491" s="377" t="s">
        <v>1195</v>
      </c>
      <c r="B491" s="370" t="e">
        <f ca="1">_xludf.IFNA(VLOOKUP(Bolts!$A491,'Kilter Holds'!$P$37:$S$662,4,0),0)</f>
        <v>#NAME?</v>
      </c>
      <c r="C491" s="371">
        <v>10</v>
      </c>
      <c r="D491" s="373">
        <f t="shared" ref="D491:D494" ca="1" si="76">IFERROR(10*B491,0)</f>
        <v>0</v>
      </c>
      <c r="E491" s="373">
        <v>0</v>
      </c>
      <c r="F491" s="373">
        <v>0</v>
      </c>
      <c r="G491" s="373">
        <v>0</v>
      </c>
      <c r="H491" s="373">
        <v>0</v>
      </c>
      <c r="I491" s="373">
        <v>0</v>
      </c>
      <c r="J491" s="373">
        <v>0</v>
      </c>
      <c r="K491" s="373">
        <v>0</v>
      </c>
      <c r="L491" s="374">
        <v>0</v>
      </c>
      <c r="M491" s="373">
        <v>0</v>
      </c>
      <c r="N491" s="373">
        <v>0</v>
      </c>
      <c r="O491" s="373">
        <v>0</v>
      </c>
      <c r="P491" s="373">
        <v>0</v>
      </c>
      <c r="Q491" s="373">
        <v>0</v>
      </c>
      <c r="R491" s="373">
        <v>0</v>
      </c>
      <c r="S491" s="375">
        <v>0</v>
      </c>
      <c r="T491" s="375">
        <v>0</v>
      </c>
      <c r="U491" s="375">
        <v>0</v>
      </c>
      <c r="V491" s="375" t="e">
        <f t="shared" ca="1" si="53"/>
        <v>#NAME?</v>
      </c>
    </row>
    <row r="492" spans="1:22" ht="14.25" hidden="1" customHeight="1">
      <c r="A492" s="377" t="s">
        <v>1197</v>
      </c>
      <c r="B492" s="370" t="e">
        <f ca="1">_xludf.IFNA(VLOOKUP(Bolts!$A492,'Kilter Holds'!$P$37:$S$662,4,0),0)</f>
        <v>#NAME?</v>
      </c>
      <c r="C492" s="371">
        <v>10</v>
      </c>
      <c r="D492" s="373">
        <f t="shared" ca="1" si="76"/>
        <v>0</v>
      </c>
      <c r="E492" s="373">
        <v>0</v>
      </c>
      <c r="F492" s="373">
        <v>0</v>
      </c>
      <c r="G492" s="373">
        <v>0</v>
      </c>
      <c r="H492" s="373">
        <v>0</v>
      </c>
      <c r="I492" s="373">
        <v>0</v>
      </c>
      <c r="J492" s="373">
        <v>0</v>
      </c>
      <c r="K492" s="373">
        <v>0</v>
      </c>
      <c r="L492" s="374">
        <v>0</v>
      </c>
      <c r="M492" s="373">
        <v>0</v>
      </c>
      <c r="N492" s="373">
        <v>0</v>
      </c>
      <c r="O492" s="373">
        <v>0</v>
      </c>
      <c r="P492" s="373">
        <v>0</v>
      </c>
      <c r="Q492" s="373">
        <v>0</v>
      </c>
      <c r="R492" s="373">
        <v>0</v>
      </c>
      <c r="S492" s="375">
        <v>0</v>
      </c>
      <c r="T492" s="375">
        <v>0</v>
      </c>
      <c r="U492" s="375">
        <v>0</v>
      </c>
      <c r="V492" s="375" t="e">
        <f t="shared" ca="1" si="53"/>
        <v>#NAME?</v>
      </c>
    </row>
    <row r="493" spans="1:22" ht="14.25" hidden="1" customHeight="1">
      <c r="A493" s="377" t="s">
        <v>1191</v>
      </c>
      <c r="B493" s="370" t="e">
        <f ca="1">_xludf.IFNA(VLOOKUP(Bolts!$A493,'Kilter Holds'!$P$37:$S$662,4,0),0)</f>
        <v>#NAME?</v>
      </c>
      <c r="C493" s="371">
        <v>10</v>
      </c>
      <c r="D493" s="373">
        <f t="shared" ca="1" si="76"/>
        <v>0</v>
      </c>
      <c r="E493" s="373">
        <v>0</v>
      </c>
      <c r="F493" s="373">
        <v>0</v>
      </c>
      <c r="G493" s="373">
        <v>0</v>
      </c>
      <c r="H493" s="373">
        <v>0</v>
      </c>
      <c r="I493" s="373">
        <v>0</v>
      </c>
      <c r="J493" s="373">
        <v>0</v>
      </c>
      <c r="K493" s="373">
        <v>0</v>
      </c>
      <c r="L493" s="374">
        <v>0</v>
      </c>
      <c r="M493" s="373">
        <v>0</v>
      </c>
      <c r="N493" s="373">
        <v>0</v>
      </c>
      <c r="O493" s="373">
        <v>0</v>
      </c>
      <c r="P493" s="373">
        <v>0</v>
      </c>
      <c r="Q493" s="373">
        <v>0</v>
      </c>
      <c r="R493" s="373">
        <v>0</v>
      </c>
      <c r="S493" s="375">
        <v>0</v>
      </c>
      <c r="T493" s="375">
        <v>0</v>
      </c>
      <c r="U493" s="375">
        <v>0</v>
      </c>
      <c r="V493" s="375" t="e">
        <f t="shared" ca="1" si="53"/>
        <v>#NAME?</v>
      </c>
    </row>
    <row r="494" spans="1:22" ht="14.25" hidden="1" customHeight="1">
      <c r="A494" s="376" t="s">
        <v>1245</v>
      </c>
      <c r="B494" s="370" t="e">
        <f ca="1">_xludf.IFNA(VLOOKUP(Bolts!$A494,'Kilter Holds'!$P$37:$S$662,4,0),0)</f>
        <v>#NAME?</v>
      </c>
      <c r="C494" s="371">
        <v>10</v>
      </c>
      <c r="D494" s="373">
        <f t="shared" ca="1" si="76"/>
        <v>0</v>
      </c>
      <c r="E494" s="373">
        <v>0</v>
      </c>
      <c r="F494" s="373">
        <v>0</v>
      </c>
      <c r="G494" s="373">
        <v>0</v>
      </c>
      <c r="H494" s="373">
        <v>0</v>
      </c>
      <c r="I494" s="373">
        <v>0</v>
      </c>
      <c r="J494" s="373">
        <v>0</v>
      </c>
      <c r="K494" s="373">
        <v>0</v>
      </c>
      <c r="L494" s="374">
        <v>0</v>
      </c>
      <c r="M494" s="373">
        <v>0</v>
      </c>
      <c r="N494" s="373">
        <v>0</v>
      </c>
      <c r="O494" s="373">
        <v>0</v>
      </c>
      <c r="P494" s="373">
        <v>0</v>
      </c>
      <c r="Q494" s="373">
        <v>0</v>
      </c>
      <c r="R494" s="373">
        <v>0</v>
      </c>
      <c r="S494" s="375">
        <v>0</v>
      </c>
      <c r="T494" s="375">
        <v>0</v>
      </c>
      <c r="U494" s="375">
        <v>0</v>
      </c>
      <c r="V494" s="375" t="e">
        <f t="shared" ca="1" si="53"/>
        <v>#NAME?</v>
      </c>
    </row>
    <row r="495" spans="1:22" ht="14.25" hidden="1" customHeight="1">
      <c r="A495" s="376" t="s">
        <v>566</v>
      </c>
      <c r="B495" s="370" t="e">
        <f ca="1">_xludf.IFNA(VLOOKUP(Bolts!$A495,'Kilter Holds'!$P$37:$S$662,4,0),0)</f>
        <v>#NAME?</v>
      </c>
      <c r="C495" s="371">
        <v>5</v>
      </c>
      <c r="D495" s="373">
        <v>0</v>
      </c>
      <c r="E495" s="373">
        <v>0</v>
      </c>
      <c r="F495" s="373">
        <f ca="1">IFERROR(3*B495,0)</f>
        <v>0</v>
      </c>
      <c r="G495" s="373">
        <f ca="1">IFERROR(2*B495,0)</f>
        <v>0</v>
      </c>
      <c r="H495" s="373">
        <v>0</v>
      </c>
      <c r="I495" s="373">
        <v>0</v>
      </c>
      <c r="J495" s="373">
        <v>0</v>
      </c>
      <c r="K495" s="373">
        <v>0</v>
      </c>
      <c r="L495" s="374">
        <v>0</v>
      </c>
      <c r="M495" s="373">
        <v>0</v>
      </c>
      <c r="N495" s="373">
        <v>0</v>
      </c>
      <c r="O495" s="373">
        <v>0</v>
      </c>
      <c r="P495" s="373">
        <v>0</v>
      </c>
      <c r="Q495" s="373">
        <v>0</v>
      </c>
      <c r="R495" s="373">
        <v>0</v>
      </c>
      <c r="S495" s="375">
        <v>0</v>
      </c>
      <c r="T495" s="375">
        <v>0</v>
      </c>
      <c r="U495" s="375">
        <v>0</v>
      </c>
      <c r="V495" s="375" t="e">
        <f t="shared" ca="1" si="53"/>
        <v>#NAME?</v>
      </c>
    </row>
    <row r="496" spans="1:22" ht="14.25" hidden="1" customHeight="1">
      <c r="A496" s="376" t="s">
        <v>588</v>
      </c>
      <c r="B496" s="370" t="e">
        <f ca="1">_xludf.IFNA(VLOOKUP(Bolts!$A496,'Kilter Holds'!$P$37:$S$662,4,0),0)</f>
        <v>#NAME?</v>
      </c>
      <c r="C496" s="371">
        <v>10</v>
      </c>
      <c r="D496" s="373">
        <f ca="1">IFERROR(7*B496,0)</f>
        <v>0</v>
      </c>
      <c r="E496" s="373">
        <f ca="1">IFERROR(3*B496,0)</f>
        <v>0</v>
      </c>
      <c r="F496" s="373">
        <v>0</v>
      </c>
      <c r="G496" s="373">
        <v>0</v>
      </c>
      <c r="H496" s="373">
        <v>0</v>
      </c>
      <c r="I496" s="373">
        <v>0</v>
      </c>
      <c r="J496" s="373">
        <v>0</v>
      </c>
      <c r="K496" s="373">
        <v>0</v>
      </c>
      <c r="L496" s="374">
        <v>0</v>
      </c>
      <c r="M496" s="373">
        <v>0</v>
      </c>
      <c r="N496" s="373">
        <v>0</v>
      </c>
      <c r="O496" s="373">
        <v>0</v>
      </c>
      <c r="P496" s="373">
        <v>0</v>
      </c>
      <c r="Q496" s="373">
        <v>0</v>
      </c>
      <c r="R496" s="373">
        <v>0</v>
      </c>
      <c r="S496" s="375">
        <v>0</v>
      </c>
      <c r="T496" s="375">
        <v>0</v>
      </c>
      <c r="U496" s="375">
        <v>0</v>
      </c>
      <c r="V496" s="375" t="e">
        <f t="shared" ca="1" si="53"/>
        <v>#NAME?</v>
      </c>
    </row>
    <row r="497" spans="1:22" ht="14.25" hidden="1" customHeight="1">
      <c r="A497" s="376" t="s">
        <v>626</v>
      </c>
      <c r="B497" s="370" t="e">
        <f ca="1">_xludf.IFNA(VLOOKUP(Bolts!$A497,'Kilter Holds'!$P$37:$S$662,4,0),0)</f>
        <v>#NAME?</v>
      </c>
      <c r="C497" s="371">
        <v>20</v>
      </c>
      <c r="D497" s="373">
        <f ca="1">IFERROR(20*B497,0)</f>
        <v>0</v>
      </c>
      <c r="E497" s="373">
        <v>0</v>
      </c>
      <c r="F497" s="373">
        <v>0</v>
      </c>
      <c r="G497" s="373">
        <v>0</v>
      </c>
      <c r="H497" s="373">
        <v>0</v>
      </c>
      <c r="I497" s="373">
        <v>0</v>
      </c>
      <c r="J497" s="373">
        <v>0</v>
      </c>
      <c r="K497" s="373">
        <v>0</v>
      </c>
      <c r="L497" s="374">
        <v>0</v>
      </c>
      <c r="M497" s="373">
        <v>0</v>
      </c>
      <c r="N497" s="373">
        <v>0</v>
      </c>
      <c r="O497" s="373">
        <v>0</v>
      </c>
      <c r="P497" s="373">
        <v>0</v>
      </c>
      <c r="Q497" s="373">
        <v>0</v>
      </c>
      <c r="R497" s="373">
        <v>0</v>
      </c>
      <c r="S497" s="375">
        <v>0</v>
      </c>
      <c r="T497" s="375">
        <v>0</v>
      </c>
      <c r="U497" s="375">
        <v>0</v>
      </c>
      <c r="V497" s="375" t="e">
        <f t="shared" ca="1" si="53"/>
        <v>#NAME?</v>
      </c>
    </row>
    <row r="498" spans="1:22" ht="14.25" hidden="1" customHeight="1">
      <c r="A498" s="376" t="s">
        <v>596</v>
      </c>
      <c r="B498" s="370" t="e">
        <f ca="1">_xludf.IFNA(VLOOKUP(Bolts!$A498,'Kilter Holds'!$P$37:$S$662,4,0),0)</f>
        <v>#NAME?</v>
      </c>
      <c r="C498" s="371">
        <v>10</v>
      </c>
      <c r="D498" s="373">
        <f ca="1">IFERROR(10*B498,0)</f>
        <v>0</v>
      </c>
      <c r="E498" s="373">
        <v>0</v>
      </c>
      <c r="F498" s="373">
        <v>0</v>
      </c>
      <c r="G498" s="373">
        <v>0</v>
      </c>
      <c r="H498" s="373">
        <v>0</v>
      </c>
      <c r="I498" s="373">
        <v>0</v>
      </c>
      <c r="J498" s="373">
        <v>0</v>
      </c>
      <c r="K498" s="373">
        <v>0</v>
      </c>
      <c r="L498" s="374">
        <v>0</v>
      </c>
      <c r="M498" s="373">
        <v>0</v>
      </c>
      <c r="N498" s="373">
        <v>0</v>
      </c>
      <c r="O498" s="373">
        <v>0</v>
      </c>
      <c r="P498" s="373">
        <v>0</v>
      </c>
      <c r="Q498" s="373">
        <v>0</v>
      </c>
      <c r="R498" s="373">
        <v>0</v>
      </c>
      <c r="S498" s="375">
        <v>0</v>
      </c>
      <c r="T498" s="375">
        <v>0</v>
      </c>
      <c r="U498" s="375">
        <v>0</v>
      </c>
      <c r="V498" s="375" t="e">
        <f t="shared" ca="1" si="53"/>
        <v>#NAME?</v>
      </c>
    </row>
    <row r="499" spans="1:22" ht="14.25" hidden="1" customHeight="1">
      <c r="A499" s="376" t="s">
        <v>590</v>
      </c>
      <c r="B499" s="370" t="e">
        <f ca="1">_xludf.IFNA(VLOOKUP(Bolts!$A499,'Kilter Holds'!$P$37:$S$662,4,0),0)</f>
        <v>#NAME?</v>
      </c>
      <c r="C499" s="371">
        <v>10</v>
      </c>
      <c r="D499" s="373">
        <f ca="1">IFERROR(7*B499,0)</f>
        <v>0</v>
      </c>
      <c r="E499" s="373">
        <f ca="1">IFERROR(3*B499,0)</f>
        <v>0</v>
      </c>
      <c r="F499" s="373">
        <v>0</v>
      </c>
      <c r="G499" s="373">
        <v>0</v>
      </c>
      <c r="H499" s="373">
        <v>0</v>
      </c>
      <c r="I499" s="373">
        <v>0</v>
      </c>
      <c r="J499" s="373">
        <v>0</v>
      </c>
      <c r="K499" s="373">
        <v>0</v>
      </c>
      <c r="L499" s="374">
        <v>0</v>
      </c>
      <c r="M499" s="373">
        <v>0</v>
      </c>
      <c r="N499" s="373">
        <v>0</v>
      </c>
      <c r="O499" s="373">
        <v>0</v>
      </c>
      <c r="P499" s="373">
        <v>0</v>
      </c>
      <c r="Q499" s="373">
        <v>0</v>
      </c>
      <c r="R499" s="373">
        <v>0</v>
      </c>
      <c r="S499" s="375">
        <v>0</v>
      </c>
      <c r="T499" s="375">
        <v>0</v>
      </c>
      <c r="U499" s="375">
        <v>0</v>
      </c>
      <c r="V499" s="375" t="e">
        <f t="shared" ca="1" si="53"/>
        <v>#NAME?</v>
      </c>
    </row>
    <row r="500" spans="1:22" ht="14.25" hidden="1" customHeight="1">
      <c r="A500" s="376" t="s">
        <v>592</v>
      </c>
      <c r="B500" s="370" t="e">
        <f ca="1">_xludf.IFNA(VLOOKUP(Bolts!$A500,'Kilter Holds'!$P$37:$S$662,4,0),0)</f>
        <v>#NAME?</v>
      </c>
      <c r="C500" s="371">
        <v>10</v>
      </c>
      <c r="D500" s="373">
        <f ca="1">IFERROR(6*B500,0)</f>
        <v>0</v>
      </c>
      <c r="E500" s="373">
        <f ca="1">IFERROR(4*B500,0)</f>
        <v>0</v>
      </c>
      <c r="F500" s="373">
        <v>0</v>
      </c>
      <c r="G500" s="373">
        <v>0</v>
      </c>
      <c r="H500" s="373">
        <v>0</v>
      </c>
      <c r="I500" s="373">
        <v>0</v>
      </c>
      <c r="J500" s="373">
        <v>0</v>
      </c>
      <c r="K500" s="373">
        <v>0</v>
      </c>
      <c r="L500" s="374">
        <v>0</v>
      </c>
      <c r="M500" s="373">
        <v>0</v>
      </c>
      <c r="N500" s="373">
        <v>0</v>
      </c>
      <c r="O500" s="373">
        <v>0</v>
      </c>
      <c r="P500" s="373">
        <v>0</v>
      </c>
      <c r="Q500" s="373">
        <v>0</v>
      </c>
      <c r="R500" s="373">
        <v>0</v>
      </c>
      <c r="S500" s="375">
        <v>0</v>
      </c>
      <c r="T500" s="375">
        <v>0</v>
      </c>
      <c r="U500" s="375">
        <v>0</v>
      </c>
      <c r="V500" s="375" t="e">
        <f t="shared" ca="1" si="53"/>
        <v>#NAME?</v>
      </c>
    </row>
    <row r="501" spans="1:22" ht="14.25" hidden="1" customHeight="1">
      <c r="A501" s="376" t="s">
        <v>568</v>
      </c>
      <c r="B501" s="370" t="e">
        <f ca="1">_xludf.IFNA(VLOOKUP(Bolts!$A501,'Kilter Holds'!$P$37:$S$662,4,0),0)</f>
        <v>#NAME?</v>
      </c>
      <c r="C501" s="371">
        <v>5</v>
      </c>
      <c r="D501" s="373">
        <v>0</v>
      </c>
      <c r="E501" s="373">
        <f t="shared" ref="E501:E502" ca="1" si="77">IFERROR(5*B501,0)</f>
        <v>0</v>
      </c>
      <c r="F501" s="373">
        <v>0</v>
      </c>
      <c r="G501" s="373">
        <v>0</v>
      </c>
      <c r="H501" s="373">
        <v>0</v>
      </c>
      <c r="I501" s="373">
        <v>0</v>
      </c>
      <c r="J501" s="373">
        <v>0</v>
      </c>
      <c r="K501" s="373">
        <v>0</v>
      </c>
      <c r="L501" s="374">
        <v>0</v>
      </c>
      <c r="M501" s="373">
        <v>0</v>
      </c>
      <c r="N501" s="373">
        <v>0</v>
      </c>
      <c r="O501" s="373">
        <v>0</v>
      </c>
      <c r="P501" s="373">
        <v>0</v>
      </c>
      <c r="Q501" s="373">
        <v>0</v>
      </c>
      <c r="R501" s="373">
        <v>0</v>
      </c>
      <c r="S501" s="375">
        <v>0</v>
      </c>
      <c r="T501" s="375">
        <v>0</v>
      </c>
      <c r="U501" s="375">
        <v>0</v>
      </c>
      <c r="V501" s="375" t="e">
        <f t="shared" ca="1" si="53"/>
        <v>#NAME?</v>
      </c>
    </row>
    <row r="502" spans="1:22" ht="14.25" hidden="1" customHeight="1">
      <c r="A502" s="376" t="s">
        <v>570</v>
      </c>
      <c r="B502" s="370" t="e">
        <f ca="1">_xludf.IFNA(VLOOKUP(Bolts!$A502,'Kilter Holds'!$P$37:$S$662,4,0),0)</f>
        <v>#NAME?</v>
      </c>
      <c r="C502" s="371">
        <v>5</v>
      </c>
      <c r="D502" s="373">
        <v>0</v>
      </c>
      <c r="E502" s="373">
        <f t="shared" ca="1" si="77"/>
        <v>0</v>
      </c>
      <c r="F502" s="373">
        <v>0</v>
      </c>
      <c r="G502" s="373">
        <v>0</v>
      </c>
      <c r="H502" s="373">
        <v>0</v>
      </c>
      <c r="I502" s="373">
        <v>0</v>
      </c>
      <c r="J502" s="373">
        <v>0</v>
      </c>
      <c r="K502" s="373">
        <v>0</v>
      </c>
      <c r="L502" s="374">
        <v>0</v>
      </c>
      <c r="M502" s="373">
        <v>0</v>
      </c>
      <c r="N502" s="373">
        <v>0</v>
      </c>
      <c r="O502" s="373">
        <v>0</v>
      </c>
      <c r="P502" s="373">
        <v>0</v>
      </c>
      <c r="Q502" s="373">
        <v>0</v>
      </c>
      <c r="R502" s="373">
        <v>0</v>
      </c>
      <c r="S502" s="375">
        <v>0</v>
      </c>
      <c r="T502" s="375">
        <v>0</v>
      </c>
      <c r="U502" s="375">
        <v>0</v>
      </c>
      <c r="V502" s="375" t="e">
        <f t="shared" ca="1" si="53"/>
        <v>#NAME?</v>
      </c>
    </row>
    <row r="503" spans="1:22" ht="14.25" hidden="1" customHeight="1">
      <c r="A503" s="376" t="s">
        <v>598</v>
      </c>
      <c r="B503" s="370" t="e">
        <f ca="1">_xludf.IFNA(VLOOKUP(Bolts!$A503,'Kilter Holds'!$P$37:$S$662,4,0),0)</f>
        <v>#NAME?</v>
      </c>
      <c r="C503" s="371">
        <v>10</v>
      </c>
      <c r="D503" s="373">
        <f ca="1">IFERROR(10*B503,0)</f>
        <v>0</v>
      </c>
      <c r="E503" s="373">
        <v>0</v>
      </c>
      <c r="F503" s="373">
        <v>0</v>
      </c>
      <c r="G503" s="373">
        <v>0</v>
      </c>
      <c r="H503" s="373">
        <v>0</v>
      </c>
      <c r="I503" s="373">
        <v>0</v>
      </c>
      <c r="J503" s="373">
        <v>0</v>
      </c>
      <c r="K503" s="373">
        <v>0</v>
      </c>
      <c r="L503" s="374">
        <v>0</v>
      </c>
      <c r="M503" s="373">
        <v>0</v>
      </c>
      <c r="N503" s="373">
        <v>0</v>
      </c>
      <c r="O503" s="373">
        <v>0</v>
      </c>
      <c r="P503" s="373">
        <v>0</v>
      </c>
      <c r="Q503" s="373">
        <v>0</v>
      </c>
      <c r="R503" s="373">
        <v>0</v>
      </c>
      <c r="S503" s="375">
        <v>0</v>
      </c>
      <c r="T503" s="375">
        <v>0</v>
      </c>
      <c r="U503" s="375">
        <v>0</v>
      </c>
      <c r="V503" s="375" t="e">
        <f t="shared" ca="1" si="53"/>
        <v>#NAME?</v>
      </c>
    </row>
    <row r="504" spans="1:22" ht="14.25" hidden="1" customHeight="1">
      <c r="A504" s="376" t="s">
        <v>572</v>
      </c>
      <c r="B504" s="370" t="e">
        <f ca="1">_xludf.IFNA(VLOOKUP(Bolts!$A504,'Kilter Holds'!$P$37:$S$662,4,0),0)</f>
        <v>#NAME?</v>
      </c>
      <c r="C504" s="371">
        <v>5</v>
      </c>
      <c r="D504" s="373">
        <f ca="1">IFERROR(1*B504,0)</f>
        <v>0</v>
      </c>
      <c r="E504" s="373">
        <f ca="1">IFERROR(4*B504,0)</f>
        <v>0</v>
      </c>
      <c r="F504" s="373">
        <v>0</v>
      </c>
      <c r="G504" s="373">
        <v>0</v>
      </c>
      <c r="H504" s="373">
        <v>0</v>
      </c>
      <c r="I504" s="373">
        <v>0</v>
      </c>
      <c r="J504" s="373">
        <v>0</v>
      </c>
      <c r="K504" s="373">
        <v>0</v>
      </c>
      <c r="L504" s="374">
        <v>0</v>
      </c>
      <c r="M504" s="373">
        <v>0</v>
      </c>
      <c r="N504" s="373">
        <v>0</v>
      </c>
      <c r="O504" s="373">
        <v>0</v>
      </c>
      <c r="P504" s="373">
        <v>0</v>
      </c>
      <c r="Q504" s="373">
        <v>0</v>
      </c>
      <c r="R504" s="373">
        <v>0</v>
      </c>
      <c r="S504" s="375">
        <v>0</v>
      </c>
      <c r="T504" s="375">
        <v>0</v>
      </c>
      <c r="U504" s="375">
        <v>0</v>
      </c>
      <c r="V504" s="375" t="e">
        <f t="shared" ca="1" si="53"/>
        <v>#NAME?</v>
      </c>
    </row>
    <row r="505" spans="1:22" ht="14.25" hidden="1" customHeight="1">
      <c r="A505" s="376" t="s">
        <v>574</v>
      </c>
      <c r="B505" s="370" t="e">
        <f ca="1">_xludf.IFNA(VLOOKUP(Bolts!$A505,'Kilter Holds'!$P$37:$S$662,4,0),0)</f>
        <v>#NAME?</v>
      </c>
      <c r="C505" s="371">
        <v>5</v>
      </c>
      <c r="D505" s="373">
        <v>0</v>
      </c>
      <c r="E505" s="373">
        <f ca="1">IFERROR(3*B505,0)</f>
        <v>0</v>
      </c>
      <c r="F505" s="373">
        <f ca="1">IFERROR(2*B505,0)</f>
        <v>0</v>
      </c>
      <c r="G505" s="373">
        <v>0</v>
      </c>
      <c r="H505" s="373">
        <v>0</v>
      </c>
      <c r="I505" s="373">
        <v>0</v>
      </c>
      <c r="J505" s="373">
        <v>0</v>
      </c>
      <c r="K505" s="373">
        <v>0</v>
      </c>
      <c r="L505" s="374">
        <v>0</v>
      </c>
      <c r="M505" s="373">
        <v>0</v>
      </c>
      <c r="N505" s="373">
        <v>0</v>
      </c>
      <c r="O505" s="373">
        <v>0</v>
      </c>
      <c r="P505" s="373">
        <v>0</v>
      </c>
      <c r="Q505" s="373">
        <v>0</v>
      </c>
      <c r="R505" s="373">
        <v>0</v>
      </c>
      <c r="S505" s="375">
        <v>0</v>
      </c>
      <c r="T505" s="375">
        <v>0</v>
      </c>
      <c r="U505" s="375">
        <v>0</v>
      </c>
      <c r="V505" s="375" t="e">
        <f t="shared" ca="1" si="53"/>
        <v>#NAME?</v>
      </c>
    </row>
    <row r="506" spans="1:22" ht="14.25" hidden="1" customHeight="1">
      <c r="A506" s="376" t="s">
        <v>553</v>
      </c>
      <c r="B506" s="370" t="e">
        <f ca="1">_xludf.IFNA(VLOOKUP(Bolts!$A506,'Kilter Holds'!$P$37:$S$662,4,0),0)</f>
        <v>#NAME?</v>
      </c>
      <c r="C506" s="371">
        <v>5</v>
      </c>
      <c r="D506" s="373">
        <v>0</v>
      </c>
      <c r="E506" s="373">
        <v>0</v>
      </c>
      <c r="F506" s="373">
        <f ca="1">IFERROR(1*B506,0)</f>
        <v>0</v>
      </c>
      <c r="G506" s="373">
        <f ca="1">IFERROR(4*B506,0)</f>
        <v>0</v>
      </c>
      <c r="H506" s="373">
        <v>0</v>
      </c>
      <c r="I506" s="373">
        <v>0</v>
      </c>
      <c r="J506" s="373">
        <v>0</v>
      </c>
      <c r="K506" s="373">
        <v>0</v>
      </c>
      <c r="L506" s="374">
        <v>0</v>
      </c>
      <c r="M506" s="373">
        <v>0</v>
      </c>
      <c r="N506" s="373">
        <v>0</v>
      </c>
      <c r="O506" s="373">
        <v>0</v>
      </c>
      <c r="P506" s="373">
        <v>0</v>
      </c>
      <c r="Q506" s="373">
        <v>0</v>
      </c>
      <c r="R506" s="373">
        <v>0</v>
      </c>
      <c r="S506" s="375">
        <v>0</v>
      </c>
      <c r="T506" s="375">
        <v>0</v>
      </c>
      <c r="U506" s="375">
        <v>0</v>
      </c>
      <c r="V506" s="375" t="e">
        <f t="shared" ca="1" si="53"/>
        <v>#NAME?</v>
      </c>
    </row>
    <row r="507" spans="1:22" ht="14.25" hidden="1" customHeight="1">
      <c r="A507" s="376" t="s">
        <v>541</v>
      </c>
      <c r="B507" s="370" t="e">
        <f ca="1">_xludf.IFNA(VLOOKUP(Bolts!$A507,'Kilter Holds'!$P$37:$S$662,4,0),0)</f>
        <v>#NAME?</v>
      </c>
      <c r="C507" s="371">
        <v>4</v>
      </c>
      <c r="D507" s="373">
        <v>0</v>
      </c>
      <c r="E507" s="373">
        <v>0</v>
      </c>
      <c r="F507" s="373">
        <v>0</v>
      </c>
      <c r="G507" s="373">
        <v>0</v>
      </c>
      <c r="H507" s="373">
        <f ca="1">IFERROR(2*B507,0)</f>
        <v>0</v>
      </c>
      <c r="I507" s="373">
        <f ca="1">IFERROR(1*B507,0)</f>
        <v>0</v>
      </c>
      <c r="J507" s="373">
        <v>0</v>
      </c>
      <c r="K507" s="373">
        <f ca="1">IFERROR(1*B507,0)</f>
        <v>0</v>
      </c>
      <c r="L507" s="374">
        <v>0</v>
      </c>
      <c r="M507" s="373">
        <v>0</v>
      </c>
      <c r="N507" s="373">
        <v>0</v>
      </c>
      <c r="O507" s="373">
        <v>0</v>
      </c>
      <c r="P507" s="373">
        <v>0</v>
      </c>
      <c r="Q507" s="373">
        <v>0</v>
      </c>
      <c r="R507" s="375">
        <v>0</v>
      </c>
      <c r="S507" s="375">
        <v>0</v>
      </c>
      <c r="T507" s="375">
        <v>0</v>
      </c>
      <c r="U507" s="375">
        <v>0</v>
      </c>
      <c r="V507" s="375" t="e">
        <f t="shared" ca="1" si="53"/>
        <v>#NAME?</v>
      </c>
    </row>
    <row r="508" spans="1:22" ht="14.25" hidden="1" customHeight="1">
      <c r="A508" s="377" t="s">
        <v>521</v>
      </c>
      <c r="B508" s="370" t="e">
        <f ca="1">_xludf.IFNA(VLOOKUP(Bolts!$A508,'Kilter Holds'!$P$37:$S$662,4,0),0)</f>
        <v>#NAME?</v>
      </c>
      <c r="C508" s="371">
        <v>3</v>
      </c>
      <c r="D508" s="373">
        <v>0</v>
      </c>
      <c r="E508" s="373">
        <v>0</v>
      </c>
      <c r="F508" s="373">
        <v>0</v>
      </c>
      <c r="G508" s="373">
        <v>0</v>
      </c>
      <c r="H508" s="373">
        <v>0</v>
      </c>
      <c r="I508" s="373">
        <v>0</v>
      </c>
      <c r="J508" s="373">
        <v>0</v>
      </c>
      <c r="K508" s="373">
        <v>0</v>
      </c>
      <c r="L508" s="374">
        <v>0</v>
      </c>
      <c r="M508" s="373">
        <f ca="1">IFERROR(2*B508,0)</f>
        <v>0</v>
      </c>
      <c r="N508" s="373">
        <f ca="1">IFERROR(1*B508,0)</f>
        <v>0</v>
      </c>
      <c r="O508" s="373">
        <v>0</v>
      </c>
      <c r="P508" s="373">
        <v>0</v>
      </c>
      <c r="Q508" s="373">
        <v>0</v>
      </c>
      <c r="R508" s="373">
        <v>0</v>
      </c>
      <c r="S508" s="375">
        <v>0</v>
      </c>
      <c r="T508" s="375">
        <v>0</v>
      </c>
      <c r="U508" s="375">
        <v>0</v>
      </c>
      <c r="V508" s="375" t="e">
        <f t="shared" ca="1" si="53"/>
        <v>#NAME?</v>
      </c>
    </row>
    <row r="509" spans="1:22" ht="14.25" hidden="1" customHeight="1">
      <c r="A509" s="376" t="s">
        <v>523</v>
      </c>
      <c r="B509" s="370" t="e">
        <f ca="1">_xludf.IFNA(VLOOKUP(Bolts!$A509,'Kilter Holds'!$P$37:$S$662,4,0),0)</f>
        <v>#NAME?</v>
      </c>
      <c r="C509" s="371">
        <v>1</v>
      </c>
      <c r="D509" s="373">
        <v>0</v>
      </c>
      <c r="E509" s="373">
        <v>0</v>
      </c>
      <c r="F509" s="373">
        <v>0</v>
      </c>
      <c r="G509" s="373">
        <v>0</v>
      </c>
      <c r="H509" s="373">
        <v>0</v>
      </c>
      <c r="I509" s="373">
        <v>0</v>
      </c>
      <c r="J509" s="373">
        <v>0</v>
      </c>
      <c r="K509" s="373">
        <v>0</v>
      </c>
      <c r="L509" s="374">
        <v>0</v>
      </c>
      <c r="M509" s="373">
        <f ca="1">IFERROR(1*B509,0)</f>
        <v>0</v>
      </c>
      <c r="N509" s="373">
        <v>0</v>
      </c>
      <c r="O509" s="373">
        <v>0</v>
      </c>
      <c r="P509" s="373">
        <v>0</v>
      </c>
      <c r="Q509" s="373">
        <v>0</v>
      </c>
      <c r="R509" s="373">
        <v>0</v>
      </c>
      <c r="S509" s="375">
        <v>0</v>
      </c>
      <c r="T509" s="375">
        <v>0</v>
      </c>
      <c r="U509" s="375">
        <v>0</v>
      </c>
      <c r="V509" s="375" t="e">
        <f t="shared" ca="1" si="53"/>
        <v>#NAME?</v>
      </c>
    </row>
    <row r="510" spans="1:22" ht="14.25" hidden="1" customHeight="1">
      <c r="A510" s="376" t="s">
        <v>525</v>
      </c>
      <c r="B510" s="370" t="e">
        <f ca="1">_xludf.IFNA(VLOOKUP(Bolts!$A510,'Kilter Holds'!$P$37:$S$662,4,0),0)</f>
        <v>#NAME?</v>
      </c>
      <c r="C510" s="371">
        <v>1</v>
      </c>
      <c r="D510" s="373">
        <v>0</v>
      </c>
      <c r="E510" s="373">
        <v>0</v>
      </c>
      <c r="F510" s="373">
        <v>0</v>
      </c>
      <c r="G510" s="373">
        <v>0</v>
      </c>
      <c r="H510" s="373">
        <v>0</v>
      </c>
      <c r="I510" s="373">
        <v>0</v>
      </c>
      <c r="J510" s="373">
        <v>0</v>
      </c>
      <c r="K510" s="373">
        <v>0</v>
      </c>
      <c r="L510" s="374">
        <v>0</v>
      </c>
      <c r="M510" s="373">
        <v>0</v>
      </c>
      <c r="N510" s="373">
        <f ca="1">IFERROR(1*B510,0)</f>
        <v>0</v>
      </c>
      <c r="O510" s="373">
        <v>0</v>
      </c>
      <c r="P510" s="373">
        <v>0</v>
      </c>
      <c r="Q510" s="373">
        <v>0</v>
      </c>
      <c r="R510" s="373">
        <v>0</v>
      </c>
      <c r="S510" s="375">
        <v>0</v>
      </c>
      <c r="T510" s="375">
        <v>0</v>
      </c>
      <c r="U510" s="375">
        <v>0</v>
      </c>
      <c r="V510" s="375" t="e">
        <f t="shared" ca="1" si="53"/>
        <v>#NAME?</v>
      </c>
    </row>
    <row r="511" spans="1:22" ht="14.25" hidden="1" customHeight="1">
      <c r="A511" s="376" t="s">
        <v>527</v>
      </c>
      <c r="B511" s="370" t="e">
        <f ca="1">_xludf.IFNA(VLOOKUP(Bolts!$A511,'Kilter Holds'!$P$37:$S$662,4,0),0)</f>
        <v>#NAME?</v>
      </c>
      <c r="C511" s="371">
        <v>1</v>
      </c>
      <c r="D511" s="373">
        <v>0</v>
      </c>
      <c r="E511" s="373">
        <v>0</v>
      </c>
      <c r="F511" s="373">
        <v>0</v>
      </c>
      <c r="G511" s="373">
        <v>0</v>
      </c>
      <c r="H511" s="373">
        <v>0</v>
      </c>
      <c r="I511" s="373">
        <v>0</v>
      </c>
      <c r="J511" s="373">
        <v>0</v>
      </c>
      <c r="K511" s="373">
        <v>0</v>
      </c>
      <c r="L511" s="374">
        <v>0</v>
      </c>
      <c r="M511" s="373">
        <f ca="1">IFERROR(1*B511,0)</f>
        <v>0</v>
      </c>
      <c r="N511" s="373">
        <v>0</v>
      </c>
      <c r="O511" s="373">
        <v>0</v>
      </c>
      <c r="P511" s="373">
        <v>0</v>
      </c>
      <c r="Q511" s="373">
        <v>0</v>
      </c>
      <c r="R511" s="373">
        <v>0</v>
      </c>
      <c r="S511" s="375">
        <v>0</v>
      </c>
      <c r="T511" s="375">
        <v>0</v>
      </c>
      <c r="U511" s="375">
        <v>0</v>
      </c>
      <c r="V511" s="375" t="e">
        <f t="shared" ca="1" si="53"/>
        <v>#NAME?</v>
      </c>
    </row>
    <row r="512" spans="1:22" ht="14.25" hidden="1" customHeight="1">
      <c r="A512" s="376" t="s">
        <v>543</v>
      </c>
      <c r="B512" s="370" t="e">
        <f ca="1">_xludf.IFNA(VLOOKUP(Bolts!$A512,'Kilter Holds'!$P$37:$S$662,4,0),0)</f>
        <v>#NAME?</v>
      </c>
      <c r="C512" s="371">
        <v>4</v>
      </c>
      <c r="D512" s="373">
        <v>0</v>
      </c>
      <c r="E512" s="373">
        <v>0</v>
      </c>
      <c r="F512" s="373">
        <v>0</v>
      </c>
      <c r="G512" s="373">
        <v>0</v>
      </c>
      <c r="H512" s="373">
        <f ca="1">IFERROR(1*B512,0)</f>
        <v>0</v>
      </c>
      <c r="I512" s="373">
        <f ca="1">IFERROR(1*B512,0)</f>
        <v>0</v>
      </c>
      <c r="J512" s="373">
        <f ca="1">IFERROR(2*B512,0)</f>
        <v>0</v>
      </c>
      <c r="K512" s="373">
        <v>0</v>
      </c>
      <c r="L512" s="374">
        <v>0</v>
      </c>
      <c r="M512" s="373">
        <v>0</v>
      </c>
      <c r="N512" s="373">
        <v>0</v>
      </c>
      <c r="O512" s="373">
        <v>0</v>
      </c>
      <c r="P512" s="373">
        <v>0</v>
      </c>
      <c r="Q512" s="373">
        <v>0</v>
      </c>
      <c r="R512" s="373">
        <v>0</v>
      </c>
      <c r="S512" s="375">
        <v>0</v>
      </c>
      <c r="T512" s="375">
        <v>0</v>
      </c>
      <c r="U512" s="375">
        <v>0</v>
      </c>
      <c r="V512" s="375" t="e">
        <f t="shared" ca="1" si="53"/>
        <v>#NAME?</v>
      </c>
    </row>
    <row r="513" spans="1:22" ht="14.25" hidden="1" customHeight="1">
      <c r="A513" s="376" t="s">
        <v>576</v>
      </c>
      <c r="B513" s="370" t="e">
        <f ca="1">_xludf.IFNA(VLOOKUP(Bolts!$A513,'Kilter Holds'!$P$37:$S$662,4,0),0)</f>
        <v>#NAME?</v>
      </c>
      <c r="C513" s="371">
        <v>10</v>
      </c>
      <c r="D513" s="373">
        <f ca="1">IFERROR(1*B513,0)</f>
        <v>0</v>
      </c>
      <c r="E513" s="373">
        <f ca="1">IFERROR(5*B513,0)</f>
        <v>0</v>
      </c>
      <c r="F513" s="373">
        <f ca="1">IFERROR(4*B513,0)</f>
        <v>0</v>
      </c>
      <c r="G513" s="373">
        <v>0</v>
      </c>
      <c r="H513" s="373">
        <v>0</v>
      </c>
      <c r="I513" s="373">
        <v>0</v>
      </c>
      <c r="J513" s="373">
        <v>0</v>
      </c>
      <c r="K513" s="373">
        <v>0</v>
      </c>
      <c r="L513" s="374">
        <v>0</v>
      </c>
      <c r="M513" s="373">
        <v>0</v>
      </c>
      <c r="N513" s="373">
        <v>0</v>
      </c>
      <c r="O513" s="373">
        <v>0</v>
      </c>
      <c r="P513" s="373">
        <v>0</v>
      </c>
      <c r="Q513" s="373">
        <v>0</v>
      </c>
      <c r="R513" s="373">
        <v>0</v>
      </c>
      <c r="S513" s="375">
        <v>0</v>
      </c>
      <c r="T513" s="375">
        <v>0</v>
      </c>
      <c r="U513" s="375">
        <v>0</v>
      </c>
      <c r="V513" s="375" t="e">
        <f t="shared" ca="1" si="53"/>
        <v>#NAME?</v>
      </c>
    </row>
    <row r="514" spans="1:22" ht="14.25" hidden="1" customHeight="1">
      <c r="A514" s="376" t="s">
        <v>555</v>
      </c>
      <c r="B514" s="370" t="e">
        <f ca="1">_xludf.IFNA(VLOOKUP(Bolts!$A514,'Kilter Holds'!$P$37:$S$662,4,0),0)</f>
        <v>#NAME?</v>
      </c>
      <c r="C514" s="371">
        <v>5</v>
      </c>
      <c r="D514" s="373">
        <v>0</v>
      </c>
      <c r="E514" s="373">
        <f ca="1">IFERROR(2*B514,0)</f>
        <v>0</v>
      </c>
      <c r="F514" s="373">
        <f ca="1">IFERROR(3*B514,0)</f>
        <v>0</v>
      </c>
      <c r="G514" s="373">
        <v>0</v>
      </c>
      <c r="H514" s="373">
        <v>0</v>
      </c>
      <c r="I514" s="373">
        <v>0</v>
      </c>
      <c r="J514" s="373">
        <v>0</v>
      </c>
      <c r="K514" s="373">
        <v>0</v>
      </c>
      <c r="L514" s="374">
        <v>0</v>
      </c>
      <c r="M514" s="373">
        <v>0</v>
      </c>
      <c r="N514" s="373">
        <v>0</v>
      </c>
      <c r="O514" s="373">
        <v>0</v>
      </c>
      <c r="P514" s="373">
        <v>0</v>
      </c>
      <c r="Q514" s="373">
        <v>0</v>
      </c>
      <c r="R514" s="373">
        <v>0</v>
      </c>
      <c r="S514" s="375">
        <v>0</v>
      </c>
      <c r="T514" s="375">
        <v>0</v>
      </c>
      <c r="U514" s="375">
        <v>0</v>
      </c>
      <c r="V514" s="375" t="e">
        <f t="shared" ref="V514:V768" ca="1" si="78">IF(B514&gt;0,"Added"," ")</f>
        <v>#NAME?</v>
      </c>
    </row>
    <row r="515" spans="1:22" ht="14.25" hidden="1" customHeight="1">
      <c r="A515" s="382" t="s">
        <v>557</v>
      </c>
      <c r="B515" s="370" t="e">
        <f ca="1">_xludf.IFNA(VLOOKUP(Bolts!$A515,'Kilter Holds'!$P$37:$S$662,4,0),0)</f>
        <v>#NAME?</v>
      </c>
      <c r="C515" s="371">
        <v>5</v>
      </c>
      <c r="D515" s="374">
        <v>0</v>
      </c>
      <c r="E515" s="373">
        <f ca="1">IFERROR(1*B515,0)</f>
        <v>0</v>
      </c>
      <c r="F515" s="373">
        <f ca="1">IFERROR(4*B515,0)</f>
        <v>0</v>
      </c>
      <c r="G515" s="374">
        <v>0</v>
      </c>
      <c r="H515" s="374">
        <v>0</v>
      </c>
      <c r="I515" s="374">
        <v>0</v>
      </c>
      <c r="J515" s="374">
        <v>0</v>
      </c>
      <c r="K515" s="374">
        <v>0</v>
      </c>
      <c r="L515" s="374">
        <v>0</v>
      </c>
      <c r="M515" s="374">
        <v>0</v>
      </c>
      <c r="N515" s="374">
        <v>0</v>
      </c>
      <c r="O515" s="374">
        <v>0</v>
      </c>
      <c r="P515" s="374">
        <v>0</v>
      </c>
      <c r="Q515" s="374">
        <v>0</v>
      </c>
      <c r="R515" s="374">
        <v>0</v>
      </c>
      <c r="S515" s="375">
        <v>0</v>
      </c>
      <c r="T515" s="375">
        <v>0</v>
      </c>
      <c r="U515" s="375">
        <v>0</v>
      </c>
      <c r="V515" s="375" t="e">
        <f t="shared" ca="1" si="78"/>
        <v>#NAME?</v>
      </c>
    </row>
    <row r="516" spans="1:22" ht="14.25" hidden="1" customHeight="1">
      <c r="A516" s="382" t="s">
        <v>594</v>
      </c>
      <c r="B516" s="370" t="e">
        <f ca="1">_xludf.IFNA(VLOOKUP(Bolts!$A516,'Kilter Holds'!$P$37:$S$662,4,0),0)</f>
        <v>#NAME?</v>
      </c>
      <c r="C516" s="371">
        <v>10</v>
      </c>
      <c r="D516" s="374">
        <v>0</v>
      </c>
      <c r="E516" s="373">
        <f ca="1">IFERROR(10*B516,0)</f>
        <v>0</v>
      </c>
      <c r="F516" s="373">
        <v>0</v>
      </c>
      <c r="G516" s="374">
        <v>0</v>
      </c>
      <c r="H516" s="374">
        <v>0</v>
      </c>
      <c r="I516" s="374">
        <v>0</v>
      </c>
      <c r="J516" s="374">
        <v>0</v>
      </c>
      <c r="K516" s="374">
        <v>0</v>
      </c>
      <c r="L516" s="374">
        <v>0</v>
      </c>
      <c r="M516" s="374">
        <v>0</v>
      </c>
      <c r="N516" s="374">
        <v>0</v>
      </c>
      <c r="O516" s="374">
        <v>0</v>
      </c>
      <c r="P516" s="374">
        <v>0</v>
      </c>
      <c r="Q516" s="374">
        <v>0</v>
      </c>
      <c r="R516" s="374">
        <v>0</v>
      </c>
      <c r="S516" s="375">
        <v>0</v>
      </c>
      <c r="T516" s="375">
        <v>0</v>
      </c>
      <c r="U516" s="375">
        <v>0</v>
      </c>
      <c r="V516" s="375" t="e">
        <f t="shared" ca="1" si="78"/>
        <v>#NAME?</v>
      </c>
    </row>
    <row r="517" spans="1:22" ht="14.25" hidden="1" customHeight="1">
      <c r="A517" s="383" t="s">
        <v>429</v>
      </c>
      <c r="B517" s="370" t="e">
        <f ca="1">_xludf.IFNA(VLOOKUP(Bolts!$A517,'Kilter Holds'!$P$37:$S$662,4,0),0)</f>
        <v>#NAME?</v>
      </c>
      <c r="C517" s="371">
        <v>20</v>
      </c>
      <c r="D517" s="373">
        <f ca="1">IFERROR(20*B517,0)</f>
        <v>0</v>
      </c>
      <c r="E517" s="373">
        <v>0</v>
      </c>
      <c r="F517" s="373">
        <v>0</v>
      </c>
      <c r="G517" s="373">
        <v>0</v>
      </c>
      <c r="H517" s="373">
        <v>0</v>
      </c>
      <c r="I517" s="373">
        <v>0</v>
      </c>
      <c r="J517" s="373">
        <v>0</v>
      </c>
      <c r="K517" s="373">
        <v>0</v>
      </c>
      <c r="L517" s="374">
        <v>0</v>
      </c>
      <c r="M517" s="373">
        <v>0</v>
      </c>
      <c r="N517" s="373">
        <v>0</v>
      </c>
      <c r="O517" s="373">
        <v>0</v>
      </c>
      <c r="P517" s="373">
        <v>0</v>
      </c>
      <c r="Q517" s="373">
        <v>0</v>
      </c>
      <c r="R517" s="373">
        <v>0</v>
      </c>
      <c r="S517" s="375">
        <v>0</v>
      </c>
      <c r="T517" s="375">
        <v>0</v>
      </c>
      <c r="U517" s="375">
        <v>0</v>
      </c>
      <c r="V517" s="375" t="e">
        <f t="shared" ca="1" si="78"/>
        <v>#NAME?</v>
      </c>
    </row>
    <row r="518" spans="1:22" ht="14.25" hidden="1" customHeight="1">
      <c r="A518" s="383" t="s">
        <v>415</v>
      </c>
      <c r="B518" s="370" t="e">
        <f ca="1">_xludf.IFNA(VLOOKUP(Bolts!$A518,'Kilter Holds'!$P$37:$S$662,4,0),0)</f>
        <v>#NAME?</v>
      </c>
      <c r="C518" s="371">
        <v>10</v>
      </c>
      <c r="D518" s="373">
        <f t="shared" ref="D518:D519" ca="1" si="79">IFERROR(10*B518,0)</f>
        <v>0</v>
      </c>
      <c r="E518" s="374">
        <v>0</v>
      </c>
      <c r="F518" s="374">
        <v>0</v>
      </c>
      <c r="G518" s="374">
        <v>0</v>
      </c>
      <c r="H518" s="374">
        <v>0</v>
      </c>
      <c r="I518" s="374">
        <v>0</v>
      </c>
      <c r="J518" s="374">
        <v>0</v>
      </c>
      <c r="K518" s="374">
        <v>0</v>
      </c>
      <c r="L518" s="374">
        <v>0</v>
      </c>
      <c r="M518" s="374">
        <v>0</v>
      </c>
      <c r="N518" s="374">
        <v>0</v>
      </c>
      <c r="O518" s="374">
        <v>0</v>
      </c>
      <c r="P518" s="374">
        <v>0</v>
      </c>
      <c r="Q518" s="374">
        <v>0</v>
      </c>
      <c r="R518" s="374">
        <v>0</v>
      </c>
      <c r="S518" s="375">
        <v>0</v>
      </c>
      <c r="T518" s="375">
        <v>0</v>
      </c>
      <c r="U518" s="375">
        <v>0</v>
      </c>
      <c r="V518" s="380" t="e">
        <f t="shared" ca="1" si="78"/>
        <v>#NAME?</v>
      </c>
    </row>
    <row r="519" spans="1:22" ht="14.25" hidden="1" customHeight="1">
      <c r="A519" s="383" t="s">
        <v>417</v>
      </c>
      <c r="B519" s="370" t="e">
        <f ca="1">_xludf.IFNA(VLOOKUP(Bolts!$A519,'Kilter Holds'!$P$37:$S$662,4,0),0)</f>
        <v>#NAME?</v>
      </c>
      <c r="C519" s="371">
        <v>10</v>
      </c>
      <c r="D519" s="373">
        <f t="shared" ca="1" si="79"/>
        <v>0</v>
      </c>
      <c r="E519" s="374">
        <v>0</v>
      </c>
      <c r="F519" s="374">
        <v>0</v>
      </c>
      <c r="G519" s="374">
        <v>0</v>
      </c>
      <c r="H519" s="374">
        <v>0</v>
      </c>
      <c r="I519" s="374">
        <v>0</v>
      </c>
      <c r="J519" s="374">
        <v>0</v>
      </c>
      <c r="K519" s="374">
        <v>0</v>
      </c>
      <c r="L519" s="374">
        <v>0</v>
      </c>
      <c r="M519" s="374">
        <v>0</v>
      </c>
      <c r="N519" s="374">
        <v>0</v>
      </c>
      <c r="O519" s="374">
        <v>0</v>
      </c>
      <c r="P519" s="374">
        <v>0</v>
      </c>
      <c r="Q519" s="374">
        <v>0</v>
      </c>
      <c r="R519" s="374">
        <v>0</v>
      </c>
      <c r="S519" s="375">
        <v>0</v>
      </c>
      <c r="T519" s="375">
        <v>0</v>
      </c>
      <c r="U519" s="375">
        <v>0</v>
      </c>
      <c r="V519" s="380" t="e">
        <f t="shared" ca="1" si="78"/>
        <v>#NAME?</v>
      </c>
    </row>
    <row r="520" spans="1:22" ht="14.25" hidden="1" customHeight="1">
      <c r="A520" s="383" t="s">
        <v>437</v>
      </c>
      <c r="B520" s="370" t="e">
        <f ca="1">_xludf.IFNA(VLOOKUP(Bolts!$A520,'Kilter Holds'!$P$37:$S$662,4,0),0)</f>
        <v>#NAME?</v>
      </c>
      <c r="C520" s="371">
        <v>10</v>
      </c>
      <c r="D520" s="373">
        <v>0</v>
      </c>
      <c r="E520" s="373">
        <v>0</v>
      </c>
      <c r="F520" s="373">
        <v>0</v>
      </c>
      <c r="G520" s="373">
        <v>0</v>
      </c>
      <c r="H520" s="373">
        <v>0</v>
      </c>
      <c r="I520" s="373">
        <v>0</v>
      </c>
      <c r="J520" s="373">
        <v>0</v>
      </c>
      <c r="K520" s="373">
        <v>0</v>
      </c>
      <c r="L520" s="374">
        <v>0</v>
      </c>
      <c r="M520" s="373">
        <v>0</v>
      </c>
      <c r="N520" s="373">
        <v>0</v>
      </c>
      <c r="O520" s="373">
        <v>0</v>
      </c>
      <c r="P520" s="373">
        <v>0</v>
      </c>
      <c r="Q520" s="373">
        <f ca="1">IFERROR(20*B520,0)</f>
        <v>0</v>
      </c>
      <c r="R520" s="374">
        <v>0</v>
      </c>
      <c r="S520" s="375">
        <v>0</v>
      </c>
      <c r="T520" s="375">
        <v>0</v>
      </c>
      <c r="U520" s="375">
        <v>0</v>
      </c>
      <c r="V520" s="380" t="e">
        <f t="shared" ca="1" si="78"/>
        <v>#NAME?</v>
      </c>
    </row>
    <row r="521" spans="1:22" ht="14.25" hidden="1" customHeight="1">
      <c r="A521" s="383" t="s">
        <v>397</v>
      </c>
      <c r="B521" s="370" t="e">
        <f ca="1">_xludf.IFNA(VLOOKUP(Bolts!$A521,'Kilter Holds'!$P$37:$S$662,4,0),0)</f>
        <v>#NAME?</v>
      </c>
      <c r="C521" s="371">
        <v>10</v>
      </c>
      <c r="D521" s="373">
        <f ca="1">IFERROR(8*B521,0)</f>
        <v>0</v>
      </c>
      <c r="E521" s="373">
        <f ca="1">IFERROR(2*B521,0)</f>
        <v>0</v>
      </c>
      <c r="F521" s="374">
        <v>0</v>
      </c>
      <c r="G521" s="374">
        <v>0</v>
      </c>
      <c r="H521" s="374">
        <v>0</v>
      </c>
      <c r="I521" s="374">
        <v>0</v>
      </c>
      <c r="J521" s="374">
        <v>0</v>
      </c>
      <c r="K521" s="374">
        <v>0</v>
      </c>
      <c r="L521" s="374">
        <v>0</v>
      </c>
      <c r="M521" s="374">
        <v>0</v>
      </c>
      <c r="N521" s="374">
        <v>0</v>
      </c>
      <c r="O521" s="374">
        <v>0</v>
      </c>
      <c r="P521" s="374">
        <v>0</v>
      </c>
      <c r="Q521" s="374">
        <v>0</v>
      </c>
      <c r="R521" s="374">
        <v>0</v>
      </c>
      <c r="S521" s="375">
        <v>0</v>
      </c>
      <c r="T521" s="375">
        <v>0</v>
      </c>
      <c r="U521" s="375">
        <v>0</v>
      </c>
      <c r="V521" s="380" t="e">
        <f t="shared" ca="1" si="78"/>
        <v>#NAME?</v>
      </c>
    </row>
    <row r="522" spans="1:22" ht="14.25" hidden="1" customHeight="1">
      <c r="A522" s="383" t="s">
        <v>399</v>
      </c>
      <c r="B522" s="370" t="e">
        <f ca="1">_xludf.IFNA(VLOOKUP(Bolts!$A522,'Kilter Holds'!$P$37:$S$662,4,0),0)</f>
        <v>#NAME?</v>
      </c>
      <c r="C522" s="371">
        <v>5</v>
      </c>
      <c r="D522" s="373">
        <f ca="1">IFERROR(5*B522,0)</f>
        <v>0</v>
      </c>
      <c r="E522" s="374">
        <v>0</v>
      </c>
      <c r="F522" s="374">
        <v>0</v>
      </c>
      <c r="G522" s="374">
        <v>0</v>
      </c>
      <c r="H522" s="374">
        <v>0</v>
      </c>
      <c r="I522" s="374">
        <v>0</v>
      </c>
      <c r="J522" s="374">
        <v>0</v>
      </c>
      <c r="K522" s="374">
        <v>0</v>
      </c>
      <c r="L522" s="374">
        <v>0</v>
      </c>
      <c r="M522" s="374">
        <v>0</v>
      </c>
      <c r="N522" s="374">
        <v>0</v>
      </c>
      <c r="O522" s="374">
        <v>0</v>
      </c>
      <c r="P522" s="374">
        <v>0</v>
      </c>
      <c r="Q522" s="374">
        <v>0</v>
      </c>
      <c r="R522" s="374">
        <v>0</v>
      </c>
      <c r="S522" s="375">
        <v>0</v>
      </c>
      <c r="T522" s="375">
        <v>0</v>
      </c>
      <c r="U522" s="375">
        <v>0</v>
      </c>
      <c r="V522" s="380" t="e">
        <f t="shared" ca="1" si="78"/>
        <v>#NAME?</v>
      </c>
    </row>
    <row r="523" spans="1:22" ht="14.25" hidden="1" customHeight="1">
      <c r="A523" s="383" t="s">
        <v>401</v>
      </c>
      <c r="B523" s="370" t="e">
        <f ca="1">_xludf.IFNA(VLOOKUP(Bolts!$A523,'Kilter Holds'!$P$37:$S$662,4,0),0)</f>
        <v>#NAME?</v>
      </c>
      <c r="C523" s="371">
        <v>5</v>
      </c>
      <c r="D523" s="373">
        <f ca="1">IFERROR(4*B523,0)</f>
        <v>0</v>
      </c>
      <c r="E523" s="373">
        <f ca="1">IFERROR(1*B523,0)</f>
        <v>0</v>
      </c>
      <c r="F523" s="374">
        <v>0</v>
      </c>
      <c r="G523" s="374">
        <v>0</v>
      </c>
      <c r="H523" s="374">
        <v>0</v>
      </c>
      <c r="I523" s="374">
        <v>0</v>
      </c>
      <c r="J523" s="374">
        <v>0</v>
      </c>
      <c r="K523" s="374">
        <v>0</v>
      </c>
      <c r="L523" s="374">
        <v>0</v>
      </c>
      <c r="M523" s="374">
        <v>0</v>
      </c>
      <c r="N523" s="374">
        <v>0</v>
      </c>
      <c r="O523" s="374">
        <v>0</v>
      </c>
      <c r="P523" s="374">
        <v>0</v>
      </c>
      <c r="Q523" s="374">
        <v>0</v>
      </c>
      <c r="R523" s="374">
        <v>0</v>
      </c>
      <c r="S523" s="375">
        <v>0</v>
      </c>
      <c r="T523" s="375">
        <v>0</v>
      </c>
      <c r="U523" s="375">
        <v>0</v>
      </c>
      <c r="V523" s="380" t="e">
        <f t="shared" ca="1" si="78"/>
        <v>#NAME?</v>
      </c>
    </row>
    <row r="524" spans="1:22" ht="14.25" hidden="1" customHeight="1">
      <c r="A524" s="383" t="s">
        <v>403</v>
      </c>
      <c r="B524" s="370" t="e">
        <f ca="1">_xludf.IFNA(VLOOKUP(Bolts!$A524,'Kilter Holds'!$P$37:$S$662,4,0),0)</f>
        <v>#NAME?</v>
      </c>
      <c r="C524" s="371">
        <v>10</v>
      </c>
      <c r="D524" s="373">
        <f ca="1">IFERROR(10*B524,0)</f>
        <v>0</v>
      </c>
      <c r="E524" s="374">
        <v>0</v>
      </c>
      <c r="F524" s="374">
        <v>0</v>
      </c>
      <c r="G524" s="374">
        <v>0</v>
      </c>
      <c r="H524" s="374">
        <v>0</v>
      </c>
      <c r="I524" s="374">
        <v>0</v>
      </c>
      <c r="J524" s="374">
        <v>0</v>
      </c>
      <c r="K524" s="374">
        <v>0</v>
      </c>
      <c r="L524" s="374">
        <v>0</v>
      </c>
      <c r="M524" s="374">
        <v>0</v>
      </c>
      <c r="N524" s="374">
        <v>0</v>
      </c>
      <c r="O524" s="374">
        <v>0</v>
      </c>
      <c r="P524" s="374">
        <v>0</v>
      </c>
      <c r="Q524" s="374">
        <v>0</v>
      </c>
      <c r="R524" s="374">
        <v>0</v>
      </c>
      <c r="S524" s="375">
        <v>0</v>
      </c>
      <c r="T524" s="375">
        <v>0</v>
      </c>
      <c r="U524" s="375">
        <v>0</v>
      </c>
      <c r="V524" s="380" t="e">
        <f t="shared" ca="1" si="78"/>
        <v>#NAME?</v>
      </c>
    </row>
    <row r="525" spans="1:22" ht="14.25" hidden="1" customHeight="1">
      <c r="A525" s="383" t="s">
        <v>431</v>
      </c>
      <c r="B525" s="370" t="e">
        <f ca="1">_xludf.IFNA(VLOOKUP(Bolts!$A525,'Kilter Holds'!$P$37:$S$662,4,0),0)</f>
        <v>#NAME?</v>
      </c>
      <c r="C525" s="371">
        <v>20</v>
      </c>
      <c r="D525" s="373">
        <f ca="1">IFERROR(20*B525,0)</f>
        <v>0</v>
      </c>
      <c r="E525" s="374">
        <v>0</v>
      </c>
      <c r="F525" s="374">
        <v>0</v>
      </c>
      <c r="G525" s="374">
        <v>0</v>
      </c>
      <c r="H525" s="374">
        <v>0</v>
      </c>
      <c r="I525" s="374">
        <v>0</v>
      </c>
      <c r="J525" s="374">
        <v>0</v>
      </c>
      <c r="K525" s="374">
        <v>0</v>
      </c>
      <c r="L525" s="374">
        <v>0</v>
      </c>
      <c r="M525" s="374">
        <v>0</v>
      </c>
      <c r="N525" s="374">
        <v>0</v>
      </c>
      <c r="O525" s="374">
        <v>0</v>
      </c>
      <c r="P525" s="374">
        <v>0</v>
      </c>
      <c r="Q525" s="374">
        <v>0</v>
      </c>
      <c r="R525" s="374">
        <v>0</v>
      </c>
      <c r="S525" s="375">
        <v>0</v>
      </c>
      <c r="T525" s="375">
        <v>0</v>
      </c>
      <c r="U525" s="375">
        <v>0</v>
      </c>
      <c r="V525" s="380" t="e">
        <f t="shared" ca="1" si="78"/>
        <v>#NAME?</v>
      </c>
    </row>
    <row r="526" spans="1:22" ht="14.25" hidden="1" customHeight="1">
      <c r="A526" s="383" t="s">
        <v>405</v>
      </c>
      <c r="B526" s="370" t="e">
        <f ca="1">_xludf.IFNA(VLOOKUP(Bolts!$A526,'Kilter Holds'!$P$37:$S$662,4,0),0)</f>
        <v>#NAME?</v>
      </c>
      <c r="C526" s="371">
        <v>5</v>
      </c>
      <c r="D526" s="373">
        <f t="shared" ref="D526:D527" ca="1" si="80">IFERROR(5*B526,0)</f>
        <v>0</v>
      </c>
      <c r="E526" s="373">
        <v>0</v>
      </c>
      <c r="F526" s="373">
        <v>0</v>
      </c>
      <c r="G526" s="373">
        <v>0</v>
      </c>
      <c r="H526" s="373">
        <v>0</v>
      </c>
      <c r="I526" s="373">
        <v>0</v>
      </c>
      <c r="J526" s="373">
        <v>0</v>
      </c>
      <c r="K526" s="373">
        <v>0</v>
      </c>
      <c r="L526" s="374">
        <v>0</v>
      </c>
      <c r="M526" s="373">
        <v>0</v>
      </c>
      <c r="N526" s="373">
        <v>0</v>
      </c>
      <c r="O526" s="373">
        <v>0</v>
      </c>
      <c r="P526" s="373">
        <v>0</v>
      </c>
      <c r="Q526" s="373">
        <v>0</v>
      </c>
      <c r="R526" s="373">
        <v>0</v>
      </c>
      <c r="S526" s="375">
        <v>0</v>
      </c>
      <c r="T526" s="375">
        <v>0</v>
      </c>
      <c r="U526" s="375">
        <v>0</v>
      </c>
      <c r="V526" s="375" t="e">
        <f t="shared" ca="1" si="78"/>
        <v>#NAME?</v>
      </c>
    </row>
    <row r="527" spans="1:22" ht="14.25" hidden="1" customHeight="1">
      <c r="A527" s="383" t="s">
        <v>407</v>
      </c>
      <c r="B527" s="370" t="e">
        <f ca="1">_xludf.IFNA(VLOOKUP(Bolts!$A527,'Kilter Holds'!$P$37:$S$662,4,0),0)</f>
        <v>#NAME?</v>
      </c>
      <c r="C527" s="371">
        <v>5</v>
      </c>
      <c r="D527" s="373">
        <f t="shared" ca="1" si="80"/>
        <v>0</v>
      </c>
      <c r="E527" s="374">
        <v>0</v>
      </c>
      <c r="F527" s="374">
        <v>0</v>
      </c>
      <c r="G527" s="374">
        <v>0</v>
      </c>
      <c r="H527" s="374">
        <v>0</v>
      </c>
      <c r="I527" s="374">
        <v>0</v>
      </c>
      <c r="J527" s="374">
        <v>0</v>
      </c>
      <c r="K527" s="374">
        <v>0</v>
      </c>
      <c r="L527" s="374">
        <v>0</v>
      </c>
      <c r="M527" s="374">
        <v>0</v>
      </c>
      <c r="N527" s="374">
        <v>0</v>
      </c>
      <c r="O527" s="374">
        <v>0</v>
      </c>
      <c r="P527" s="374">
        <v>0</v>
      </c>
      <c r="Q527" s="374">
        <v>0</v>
      </c>
      <c r="R527" s="374">
        <v>0</v>
      </c>
      <c r="S527" s="375">
        <v>0</v>
      </c>
      <c r="T527" s="375">
        <v>0</v>
      </c>
      <c r="U527" s="375">
        <v>0</v>
      </c>
      <c r="V527" s="375" t="e">
        <f t="shared" ca="1" si="78"/>
        <v>#NAME?</v>
      </c>
    </row>
    <row r="528" spans="1:22" ht="14.25" hidden="1" customHeight="1">
      <c r="A528" s="383" t="s">
        <v>439</v>
      </c>
      <c r="B528" s="370" t="e">
        <f ca="1">_xludf.IFNA(VLOOKUP(Bolts!$A528,'Kilter Holds'!$P$37:$S$662,4,0),0)</f>
        <v>#NAME?</v>
      </c>
      <c r="C528" s="371">
        <v>5</v>
      </c>
      <c r="D528" s="373">
        <v>0</v>
      </c>
      <c r="E528" s="373">
        <v>0</v>
      </c>
      <c r="F528" s="373">
        <v>0</v>
      </c>
      <c r="G528" s="373">
        <v>0</v>
      </c>
      <c r="H528" s="373">
        <v>0</v>
      </c>
      <c r="I528" s="373">
        <v>0</v>
      </c>
      <c r="J528" s="373">
        <v>0</v>
      </c>
      <c r="K528" s="373">
        <v>0</v>
      </c>
      <c r="L528" s="374">
        <v>0</v>
      </c>
      <c r="M528" s="373">
        <v>0</v>
      </c>
      <c r="N528" s="373">
        <v>0</v>
      </c>
      <c r="O528" s="373">
        <v>0</v>
      </c>
      <c r="P528" s="373">
        <v>0</v>
      </c>
      <c r="Q528" s="373">
        <f t="shared" ref="Q528:Q529" ca="1" si="81">IFERROR(10*B528,0)</f>
        <v>0</v>
      </c>
      <c r="R528" s="374">
        <v>0</v>
      </c>
      <c r="S528" s="375">
        <v>0</v>
      </c>
      <c r="T528" s="375">
        <v>0</v>
      </c>
      <c r="U528" s="375">
        <v>0</v>
      </c>
      <c r="V528" s="375" t="e">
        <f t="shared" ca="1" si="78"/>
        <v>#NAME?</v>
      </c>
    </row>
    <row r="529" spans="1:22" ht="14.25" hidden="1" customHeight="1">
      <c r="A529" s="383" t="s">
        <v>441</v>
      </c>
      <c r="B529" s="370" t="e">
        <f ca="1">_xludf.IFNA(VLOOKUP(Bolts!$A529,'Kilter Holds'!$P$37:$S$662,4,0),0)</f>
        <v>#NAME?</v>
      </c>
      <c r="C529" s="371">
        <v>5</v>
      </c>
      <c r="D529" s="373">
        <v>0</v>
      </c>
      <c r="E529" s="373">
        <v>0</v>
      </c>
      <c r="F529" s="373">
        <v>0</v>
      </c>
      <c r="G529" s="373">
        <v>0</v>
      </c>
      <c r="H529" s="373">
        <v>0</v>
      </c>
      <c r="I529" s="373">
        <v>0</v>
      </c>
      <c r="J529" s="373">
        <v>0</v>
      </c>
      <c r="K529" s="373">
        <v>0</v>
      </c>
      <c r="L529" s="374">
        <v>0</v>
      </c>
      <c r="M529" s="373">
        <v>0</v>
      </c>
      <c r="N529" s="373">
        <v>0</v>
      </c>
      <c r="O529" s="373">
        <v>0</v>
      </c>
      <c r="P529" s="373">
        <v>0</v>
      </c>
      <c r="Q529" s="373">
        <f t="shared" ca="1" si="81"/>
        <v>0</v>
      </c>
      <c r="R529" s="373">
        <v>0</v>
      </c>
      <c r="S529" s="375">
        <v>0</v>
      </c>
      <c r="T529" s="375">
        <v>0</v>
      </c>
      <c r="U529" s="375">
        <v>0</v>
      </c>
      <c r="V529" s="375" t="e">
        <f t="shared" ca="1" si="78"/>
        <v>#NAME?</v>
      </c>
    </row>
    <row r="530" spans="1:22" ht="14.25" hidden="1" customHeight="1">
      <c r="A530" s="383" t="s">
        <v>419</v>
      </c>
      <c r="B530" s="370" t="e">
        <f ca="1">_xludf.IFNA(VLOOKUP(Bolts!$A530,'Kilter Holds'!$P$37:$S$662,4,0),0)</f>
        <v>#NAME?</v>
      </c>
      <c r="C530" s="371">
        <v>10</v>
      </c>
      <c r="D530" s="373">
        <f t="shared" ref="D530:D533" ca="1" si="82">IFERROR(10*B530,0)</f>
        <v>0</v>
      </c>
      <c r="E530" s="374">
        <v>0</v>
      </c>
      <c r="F530" s="374">
        <v>0</v>
      </c>
      <c r="G530" s="374">
        <v>0</v>
      </c>
      <c r="H530" s="374">
        <v>0</v>
      </c>
      <c r="I530" s="374">
        <v>0</v>
      </c>
      <c r="J530" s="374">
        <v>0</v>
      </c>
      <c r="K530" s="374">
        <v>0</v>
      </c>
      <c r="L530" s="374">
        <v>0</v>
      </c>
      <c r="M530" s="374">
        <v>0</v>
      </c>
      <c r="N530" s="374">
        <v>0</v>
      </c>
      <c r="O530" s="374">
        <v>0</v>
      </c>
      <c r="P530" s="374">
        <v>0</v>
      </c>
      <c r="Q530" s="374">
        <v>0</v>
      </c>
      <c r="R530" s="374">
        <v>0</v>
      </c>
      <c r="S530" s="375">
        <v>0</v>
      </c>
      <c r="T530" s="375">
        <v>0</v>
      </c>
      <c r="U530" s="375">
        <v>0</v>
      </c>
      <c r="V530" s="380" t="e">
        <f t="shared" ca="1" si="78"/>
        <v>#NAME?</v>
      </c>
    </row>
    <row r="531" spans="1:22" ht="14.25" hidden="1" customHeight="1">
      <c r="A531" s="383" t="s">
        <v>421</v>
      </c>
      <c r="B531" s="370" t="e">
        <f ca="1">_xludf.IFNA(VLOOKUP(Bolts!$A531,'Kilter Holds'!$P$37:$S$662,4,0),0)</f>
        <v>#NAME?</v>
      </c>
      <c r="C531" s="371">
        <v>10</v>
      </c>
      <c r="D531" s="373">
        <f t="shared" ca="1" si="82"/>
        <v>0</v>
      </c>
      <c r="E531" s="374">
        <v>0</v>
      </c>
      <c r="F531" s="374">
        <v>0</v>
      </c>
      <c r="G531" s="374">
        <v>0</v>
      </c>
      <c r="H531" s="374">
        <v>0</v>
      </c>
      <c r="I531" s="374">
        <v>0</v>
      </c>
      <c r="J531" s="374">
        <v>0</v>
      </c>
      <c r="K531" s="374">
        <v>0</v>
      </c>
      <c r="L531" s="374">
        <v>0</v>
      </c>
      <c r="M531" s="374">
        <v>0</v>
      </c>
      <c r="N531" s="374">
        <v>0</v>
      </c>
      <c r="O531" s="374">
        <v>0</v>
      </c>
      <c r="P531" s="374">
        <v>0</v>
      </c>
      <c r="Q531" s="374">
        <v>0</v>
      </c>
      <c r="R531" s="374">
        <v>0</v>
      </c>
      <c r="S531" s="375">
        <v>0</v>
      </c>
      <c r="T531" s="375">
        <v>0</v>
      </c>
      <c r="U531" s="375">
        <v>0</v>
      </c>
      <c r="V531" s="380" t="e">
        <f t="shared" ca="1" si="78"/>
        <v>#NAME?</v>
      </c>
    </row>
    <row r="532" spans="1:22" ht="14.25" hidden="1" customHeight="1">
      <c r="A532" s="383" t="s">
        <v>423</v>
      </c>
      <c r="B532" s="370" t="e">
        <f ca="1">_xludf.IFNA(VLOOKUP(Bolts!$A532,'Kilter Holds'!$P$37:$S$662,4,0),0)</f>
        <v>#NAME?</v>
      </c>
      <c r="C532" s="371">
        <v>10</v>
      </c>
      <c r="D532" s="373">
        <f t="shared" ca="1" si="82"/>
        <v>0</v>
      </c>
      <c r="E532" s="374">
        <v>0</v>
      </c>
      <c r="F532" s="374">
        <v>0</v>
      </c>
      <c r="G532" s="374">
        <v>0</v>
      </c>
      <c r="H532" s="374">
        <v>0</v>
      </c>
      <c r="I532" s="374">
        <v>0</v>
      </c>
      <c r="J532" s="374">
        <v>0</v>
      </c>
      <c r="K532" s="374">
        <v>0</v>
      </c>
      <c r="L532" s="374">
        <v>0</v>
      </c>
      <c r="M532" s="374">
        <v>0</v>
      </c>
      <c r="N532" s="374">
        <v>0</v>
      </c>
      <c r="O532" s="374">
        <v>0</v>
      </c>
      <c r="P532" s="374">
        <v>0</v>
      </c>
      <c r="Q532" s="374">
        <v>0</v>
      </c>
      <c r="R532" s="374">
        <v>0</v>
      </c>
      <c r="S532" s="375">
        <v>0</v>
      </c>
      <c r="T532" s="375">
        <v>0</v>
      </c>
      <c r="U532" s="375">
        <v>0</v>
      </c>
      <c r="V532" s="380" t="e">
        <f t="shared" ca="1" si="78"/>
        <v>#NAME?</v>
      </c>
    </row>
    <row r="533" spans="1:22" ht="14.25" hidden="1" customHeight="1">
      <c r="A533" s="383" t="s">
        <v>425</v>
      </c>
      <c r="B533" s="370" t="e">
        <f ca="1">_xludf.IFNA(VLOOKUP(Bolts!$A533,'Kilter Holds'!$P$37:$S$662,4,0),0)</f>
        <v>#NAME?</v>
      </c>
      <c r="C533" s="371">
        <v>10</v>
      </c>
      <c r="D533" s="373">
        <f t="shared" ca="1" si="82"/>
        <v>0</v>
      </c>
      <c r="E533" s="374">
        <v>0</v>
      </c>
      <c r="F533" s="374">
        <v>0</v>
      </c>
      <c r="G533" s="374">
        <v>0</v>
      </c>
      <c r="H533" s="374">
        <v>0</v>
      </c>
      <c r="I533" s="374">
        <v>0</v>
      </c>
      <c r="J533" s="374">
        <v>0</v>
      </c>
      <c r="K533" s="374">
        <v>0</v>
      </c>
      <c r="L533" s="374">
        <v>0</v>
      </c>
      <c r="M533" s="374">
        <v>0</v>
      </c>
      <c r="N533" s="374">
        <v>0</v>
      </c>
      <c r="O533" s="374">
        <v>0</v>
      </c>
      <c r="P533" s="374">
        <v>0</v>
      </c>
      <c r="Q533" s="374">
        <v>0</v>
      </c>
      <c r="R533" s="374">
        <v>0</v>
      </c>
      <c r="S533" s="375">
        <v>0</v>
      </c>
      <c r="T533" s="375">
        <v>0</v>
      </c>
      <c r="U533" s="375">
        <v>0</v>
      </c>
      <c r="V533" s="380" t="e">
        <f t="shared" ca="1" si="78"/>
        <v>#NAME?</v>
      </c>
    </row>
    <row r="534" spans="1:22" ht="14.25" hidden="1" customHeight="1">
      <c r="A534" s="383" t="s">
        <v>433</v>
      </c>
      <c r="B534" s="370" t="e">
        <f ca="1">_xludf.IFNA(VLOOKUP(Bolts!$A534,'Kilter Holds'!$P$37:$S$662,4,0),0)</f>
        <v>#NAME?</v>
      </c>
      <c r="C534" s="371">
        <v>21</v>
      </c>
      <c r="D534" s="373">
        <f ca="1">IFERROR(21*B534,0)</f>
        <v>0</v>
      </c>
      <c r="E534" s="374">
        <v>0</v>
      </c>
      <c r="F534" s="374">
        <v>0</v>
      </c>
      <c r="G534" s="374">
        <v>0</v>
      </c>
      <c r="H534" s="374">
        <v>0</v>
      </c>
      <c r="I534" s="374">
        <v>0</v>
      </c>
      <c r="J534" s="374">
        <v>0</v>
      </c>
      <c r="K534" s="374">
        <v>0</v>
      </c>
      <c r="L534" s="374">
        <v>0</v>
      </c>
      <c r="M534" s="374">
        <v>0</v>
      </c>
      <c r="N534" s="374">
        <v>0</v>
      </c>
      <c r="O534" s="374">
        <v>0</v>
      </c>
      <c r="P534" s="374">
        <v>0</v>
      </c>
      <c r="Q534" s="374">
        <v>0</v>
      </c>
      <c r="R534" s="374">
        <v>0</v>
      </c>
      <c r="S534" s="375">
        <v>0</v>
      </c>
      <c r="T534" s="375">
        <v>0</v>
      </c>
      <c r="U534" s="375">
        <v>0</v>
      </c>
      <c r="V534" s="380" t="e">
        <f t="shared" ca="1" si="78"/>
        <v>#NAME?</v>
      </c>
    </row>
    <row r="535" spans="1:22" ht="14.25" hidden="1" customHeight="1">
      <c r="A535" s="383" t="s">
        <v>395</v>
      </c>
      <c r="B535" s="370" t="e">
        <f ca="1">_xludf.IFNA(VLOOKUP(Bolts!$A535,'Kilter Holds'!$P$37:$S$662,4,0),0)</f>
        <v>#NAME?</v>
      </c>
      <c r="C535" s="371">
        <v>5</v>
      </c>
      <c r="D535" s="373">
        <f ca="1">IFERROR(2*B535,0)</f>
        <v>0</v>
      </c>
      <c r="E535" s="374">
        <v>0</v>
      </c>
      <c r="F535" s="373">
        <f ca="1">IFERROR(3*B535,0)</f>
        <v>0</v>
      </c>
      <c r="G535" s="374">
        <v>0</v>
      </c>
      <c r="H535" s="374">
        <v>0</v>
      </c>
      <c r="I535" s="374">
        <v>0</v>
      </c>
      <c r="J535" s="374">
        <v>0</v>
      </c>
      <c r="K535" s="374">
        <v>0</v>
      </c>
      <c r="L535" s="374">
        <v>0</v>
      </c>
      <c r="M535" s="374">
        <v>0</v>
      </c>
      <c r="N535" s="374">
        <v>0</v>
      </c>
      <c r="O535" s="374">
        <v>0</v>
      </c>
      <c r="P535" s="374">
        <v>0</v>
      </c>
      <c r="Q535" s="374">
        <v>0</v>
      </c>
      <c r="R535" s="374">
        <v>0</v>
      </c>
      <c r="S535" s="375">
        <v>0</v>
      </c>
      <c r="T535" s="375">
        <v>0</v>
      </c>
      <c r="U535" s="375">
        <v>0</v>
      </c>
      <c r="V535" s="380" t="e">
        <f t="shared" ca="1" si="78"/>
        <v>#NAME?</v>
      </c>
    </row>
    <row r="536" spans="1:22" ht="14.25" hidden="1" customHeight="1">
      <c r="A536" s="383" t="s">
        <v>409</v>
      </c>
      <c r="B536" s="370" t="e">
        <f ca="1">_xludf.IFNA(VLOOKUP(Bolts!$A536,'Kilter Holds'!$P$37:$S$662,4,0),0)</f>
        <v>#NAME?</v>
      </c>
      <c r="C536" s="371">
        <v>5</v>
      </c>
      <c r="D536" s="373">
        <f ca="1">IFERROR(4*B536,0)</f>
        <v>0</v>
      </c>
      <c r="E536" s="373">
        <f ca="1">IFERROR(1*B536,0)</f>
        <v>0</v>
      </c>
      <c r="F536" s="374">
        <v>0</v>
      </c>
      <c r="G536" s="374">
        <v>0</v>
      </c>
      <c r="H536" s="374">
        <v>0</v>
      </c>
      <c r="I536" s="374">
        <v>0</v>
      </c>
      <c r="J536" s="374">
        <v>0</v>
      </c>
      <c r="K536" s="374">
        <v>0</v>
      </c>
      <c r="L536" s="374">
        <v>0</v>
      </c>
      <c r="M536" s="374">
        <v>0</v>
      </c>
      <c r="N536" s="374">
        <v>0</v>
      </c>
      <c r="O536" s="374">
        <v>0</v>
      </c>
      <c r="P536" s="374">
        <v>0</v>
      </c>
      <c r="Q536" s="374">
        <v>0</v>
      </c>
      <c r="R536" s="374">
        <v>0</v>
      </c>
      <c r="S536" s="375">
        <v>0</v>
      </c>
      <c r="T536" s="375">
        <v>0</v>
      </c>
      <c r="U536" s="375">
        <v>0</v>
      </c>
      <c r="V536" s="380" t="e">
        <f t="shared" ca="1" si="78"/>
        <v>#NAME?</v>
      </c>
    </row>
    <row r="537" spans="1:22" ht="14.25" hidden="1" customHeight="1">
      <c r="A537" s="383" t="s">
        <v>435</v>
      </c>
      <c r="B537" s="370" t="e">
        <f ca="1">_xludf.IFNA(VLOOKUP(Bolts!$A537,'Kilter Holds'!$P$37:$S$662,4,0),0)</f>
        <v>#NAME?</v>
      </c>
      <c r="C537" s="371">
        <v>12</v>
      </c>
      <c r="D537" s="373">
        <f ca="1">IFERROR(12*B537,0)</f>
        <v>0</v>
      </c>
      <c r="E537" s="374">
        <v>0</v>
      </c>
      <c r="F537" s="374">
        <v>0</v>
      </c>
      <c r="G537" s="374">
        <v>0</v>
      </c>
      <c r="H537" s="374">
        <v>0</v>
      </c>
      <c r="I537" s="374">
        <v>0</v>
      </c>
      <c r="J537" s="374">
        <v>0</v>
      </c>
      <c r="K537" s="374">
        <v>0</v>
      </c>
      <c r="L537" s="374">
        <v>0</v>
      </c>
      <c r="M537" s="374">
        <v>0</v>
      </c>
      <c r="N537" s="374">
        <v>0</v>
      </c>
      <c r="O537" s="374">
        <v>0</v>
      </c>
      <c r="P537" s="374">
        <v>0</v>
      </c>
      <c r="Q537" s="374">
        <v>0</v>
      </c>
      <c r="R537" s="374">
        <v>0</v>
      </c>
      <c r="S537" s="375">
        <v>0</v>
      </c>
      <c r="T537" s="375">
        <v>0</v>
      </c>
      <c r="U537" s="375">
        <v>0</v>
      </c>
      <c r="V537" s="380" t="e">
        <f t="shared" ca="1" si="78"/>
        <v>#NAME?</v>
      </c>
    </row>
    <row r="538" spans="1:22" ht="14.25" hidden="1" customHeight="1">
      <c r="A538" s="383" t="s">
        <v>411</v>
      </c>
      <c r="B538" s="370" t="e">
        <f ca="1">_xludf.IFNA(VLOOKUP(Bolts!$A538,'Kilter Holds'!$P$37:$S$662,4,0),0)</f>
        <v>#NAME?</v>
      </c>
      <c r="C538" s="371">
        <v>5</v>
      </c>
      <c r="D538" s="373">
        <f ca="1">IFERROR(5*B538,0)</f>
        <v>0</v>
      </c>
      <c r="E538" s="374">
        <v>0</v>
      </c>
      <c r="F538" s="374">
        <v>0</v>
      </c>
      <c r="G538" s="374">
        <v>0</v>
      </c>
      <c r="H538" s="374">
        <v>0</v>
      </c>
      <c r="I538" s="374">
        <v>0</v>
      </c>
      <c r="J538" s="374">
        <v>0</v>
      </c>
      <c r="K538" s="374">
        <v>0</v>
      </c>
      <c r="L538" s="374">
        <v>0</v>
      </c>
      <c r="M538" s="374">
        <v>0</v>
      </c>
      <c r="N538" s="374">
        <v>0</v>
      </c>
      <c r="O538" s="374">
        <v>0</v>
      </c>
      <c r="P538" s="374">
        <v>0</v>
      </c>
      <c r="Q538" s="374">
        <v>0</v>
      </c>
      <c r="R538" s="374">
        <v>0</v>
      </c>
      <c r="S538" s="375">
        <v>0</v>
      </c>
      <c r="T538" s="375">
        <v>0</v>
      </c>
      <c r="U538" s="375">
        <v>0</v>
      </c>
      <c r="V538" s="380" t="e">
        <f t="shared" ca="1" si="78"/>
        <v>#NAME?</v>
      </c>
    </row>
    <row r="539" spans="1:22" ht="14.25" hidden="1" customHeight="1">
      <c r="A539" s="383" t="s">
        <v>427</v>
      </c>
      <c r="B539" s="370" t="e">
        <f ca="1">_xludf.IFNA(VLOOKUP(Bolts!$A539,'Kilter Holds'!$P$37:$S$662,4,0),0)</f>
        <v>#NAME?</v>
      </c>
      <c r="C539" s="371">
        <v>10</v>
      </c>
      <c r="D539" s="373">
        <f ca="1">IFERROR(8*B539,0)</f>
        <v>0</v>
      </c>
      <c r="E539" s="373">
        <f ca="1">IFERROR(2*B539,0)</f>
        <v>0</v>
      </c>
      <c r="F539" s="374">
        <v>0</v>
      </c>
      <c r="G539" s="374">
        <v>0</v>
      </c>
      <c r="H539" s="374">
        <v>0</v>
      </c>
      <c r="I539" s="374">
        <v>0</v>
      </c>
      <c r="J539" s="374">
        <v>0</v>
      </c>
      <c r="K539" s="374">
        <v>0</v>
      </c>
      <c r="L539" s="374">
        <v>0</v>
      </c>
      <c r="M539" s="374">
        <v>0</v>
      </c>
      <c r="N539" s="374">
        <v>0</v>
      </c>
      <c r="O539" s="374">
        <v>0</v>
      </c>
      <c r="P539" s="374">
        <v>0</v>
      </c>
      <c r="Q539" s="374">
        <v>0</v>
      </c>
      <c r="R539" s="374">
        <v>0</v>
      </c>
      <c r="S539" s="375">
        <v>0</v>
      </c>
      <c r="T539" s="375">
        <v>0</v>
      </c>
      <c r="U539" s="375">
        <v>0</v>
      </c>
      <c r="V539" s="380" t="e">
        <f t="shared" ca="1" si="78"/>
        <v>#NAME?</v>
      </c>
    </row>
    <row r="540" spans="1:22" ht="14.25" hidden="1" customHeight="1">
      <c r="A540" s="383" t="s">
        <v>413</v>
      </c>
      <c r="B540" s="370" t="e">
        <f ca="1">_xludf.IFNA(VLOOKUP(Bolts!$A540,'Kilter Holds'!$P$37:$S$662,4,0),0)</f>
        <v>#NAME?</v>
      </c>
      <c r="C540" s="371">
        <v>5</v>
      </c>
      <c r="D540" s="373">
        <f ca="1">IFERROR(5*B540,0)</f>
        <v>0</v>
      </c>
      <c r="E540" s="373">
        <v>0</v>
      </c>
      <c r="F540" s="374">
        <v>0</v>
      </c>
      <c r="G540" s="374">
        <v>0</v>
      </c>
      <c r="H540" s="374">
        <v>0</v>
      </c>
      <c r="I540" s="374">
        <v>0</v>
      </c>
      <c r="J540" s="374">
        <v>0</v>
      </c>
      <c r="K540" s="374">
        <v>0</v>
      </c>
      <c r="L540" s="374">
        <v>0</v>
      </c>
      <c r="M540" s="374">
        <v>0</v>
      </c>
      <c r="N540" s="374">
        <v>0</v>
      </c>
      <c r="O540" s="374">
        <v>0</v>
      </c>
      <c r="P540" s="374">
        <v>0</v>
      </c>
      <c r="Q540" s="374">
        <v>0</v>
      </c>
      <c r="R540" s="374">
        <v>0</v>
      </c>
      <c r="S540" s="375">
        <v>0</v>
      </c>
      <c r="T540" s="375">
        <v>0</v>
      </c>
      <c r="U540" s="375">
        <v>0</v>
      </c>
      <c r="V540" s="380" t="e">
        <f t="shared" ca="1" si="78"/>
        <v>#NAME?</v>
      </c>
    </row>
    <row r="541" spans="1:22" ht="14.25" hidden="1" customHeight="1">
      <c r="A541" s="383" t="s">
        <v>1211</v>
      </c>
      <c r="B541" s="370" t="e">
        <f ca="1">_xludf.IFNA(VLOOKUP(Bolts!$A541,'Kilter Holds'!$P$37:$S$662,4,0),0)</f>
        <v>#NAME?</v>
      </c>
      <c r="C541" s="371">
        <v>4</v>
      </c>
      <c r="D541" s="373">
        <v>0</v>
      </c>
      <c r="E541" s="374">
        <v>0</v>
      </c>
      <c r="F541" s="374">
        <v>0</v>
      </c>
      <c r="G541" s="374">
        <v>0</v>
      </c>
      <c r="H541" s="374">
        <v>0</v>
      </c>
      <c r="I541" s="374">
        <v>0</v>
      </c>
      <c r="J541" s="374">
        <v>0</v>
      </c>
      <c r="K541" s="374">
        <v>0</v>
      </c>
      <c r="L541" s="374">
        <v>0</v>
      </c>
      <c r="M541" s="374">
        <v>0</v>
      </c>
      <c r="N541" s="374">
        <v>0</v>
      </c>
      <c r="O541" s="374">
        <v>0</v>
      </c>
      <c r="P541" s="374">
        <v>0</v>
      </c>
      <c r="Q541" s="373">
        <f ca="1">IFERROR(21*B541,0)</f>
        <v>0</v>
      </c>
      <c r="R541" s="374">
        <v>0</v>
      </c>
      <c r="S541" s="375">
        <v>0</v>
      </c>
      <c r="T541" s="375">
        <v>0</v>
      </c>
      <c r="U541" s="375">
        <v>0</v>
      </c>
      <c r="V541" s="380" t="e">
        <f t="shared" ca="1" si="78"/>
        <v>#NAME?</v>
      </c>
    </row>
    <row r="542" spans="1:22" ht="14.25" hidden="1" customHeight="1">
      <c r="A542" s="383" t="s">
        <v>1933</v>
      </c>
      <c r="B542" s="370" t="e">
        <f ca="1">_xludf.IFNA(VLOOKUP(Bolts!$A542,'Kilter Holds'!$P$37:$S$662,4,0),0)</f>
        <v>#NAME?</v>
      </c>
      <c r="C542" s="384">
        <v>1</v>
      </c>
      <c r="D542" s="373">
        <f ca="1">IFERROR(1*B542,0)</f>
        <v>0</v>
      </c>
      <c r="E542" s="374">
        <v>0</v>
      </c>
      <c r="F542" s="374">
        <v>0</v>
      </c>
      <c r="G542" s="374">
        <v>0</v>
      </c>
      <c r="H542" s="374">
        <v>0</v>
      </c>
      <c r="I542" s="374">
        <v>0</v>
      </c>
      <c r="J542" s="374">
        <v>0</v>
      </c>
      <c r="K542" s="374">
        <v>0</v>
      </c>
      <c r="L542" s="374">
        <v>0</v>
      </c>
      <c r="M542" s="374">
        <v>0</v>
      </c>
      <c r="N542" s="374">
        <v>0</v>
      </c>
      <c r="O542" s="374">
        <v>0</v>
      </c>
      <c r="P542" s="374">
        <v>0</v>
      </c>
      <c r="Q542" s="373">
        <v>0</v>
      </c>
      <c r="R542" s="374">
        <v>0</v>
      </c>
      <c r="S542" s="375">
        <v>0</v>
      </c>
      <c r="T542" s="375">
        <v>0</v>
      </c>
      <c r="U542" s="375">
        <v>0</v>
      </c>
      <c r="V542" s="380" t="e">
        <f t="shared" ca="1" si="78"/>
        <v>#NAME?</v>
      </c>
    </row>
    <row r="543" spans="1:22" ht="14.25" hidden="1" customHeight="1">
      <c r="A543" s="383" t="s">
        <v>1934</v>
      </c>
      <c r="B543" s="370" t="e">
        <f ca="1">_xludf.IFNA(VLOOKUP(Bolts!$A543,'Kilter Holds'!$P$37:$S$662,4,0),0)</f>
        <v>#NAME?</v>
      </c>
      <c r="C543" s="384">
        <v>3</v>
      </c>
      <c r="D543" s="373">
        <v>0</v>
      </c>
      <c r="E543" s="374">
        <v>0</v>
      </c>
      <c r="F543" s="374">
        <v>0</v>
      </c>
      <c r="G543" s="374">
        <v>0</v>
      </c>
      <c r="H543" s="374">
        <v>0</v>
      </c>
      <c r="I543" s="374">
        <v>0</v>
      </c>
      <c r="J543" s="374">
        <v>0</v>
      </c>
      <c r="K543" s="374">
        <f t="shared" ref="K543:K544" ca="1" si="83">IFERROR(3*B543,0)</f>
        <v>0</v>
      </c>
      <c r="L543" s="374">
        <v>0</v>
      </c>
      <c r="M543" s="374">
        <v>0</v>
      </c>
      <c r="N543" s="374">
        <v>0</v>
      </c>
      <c r="O543" s="374">
        <v>0</v>
      </c>
      <c r="P543" s="374">
        <v>0</v>
      </c>
      <c r="Q543" s="373">
        <v>0</v>
      </c>
      <c r="R543" s="374">
        <v>0</v>
      </c>
      <c r="S543" s="375">
        <v>0</v>
      </c>
      <c r="T543" s="375">
        <v>0</v>
      </c>
      <c r="U543" s="375">
        <v>0</v>
      </c>
      <c r="V543" s="380" t="e">
        <f t="shared" ca="1" si="78"/>
        <v>#NAME?</v>
      </c>
    </row>
    <row r="544" spans="1:22" ht="14.25" hidden="1" customHeight="1">
      <c r="A544" s="383" t="s">
        <v>1935</v>
      </c>
      <c r="B544" s="370" t="e">
        <f ca="1">_xludf.IFNA(VLOOKUP(Bolts!$A544,'Kilter Holds'!$P$37:$S$662,4,0),0)</f>
        <v>#NAME?</v>
      </c>
      <c r="C544" s="384">
        <v>3</v>
      </c>
      <c r="D544" s="373">
        <v>0</v>
      </c>
      <c r="E544" s="374">
        <v>0</v>
      </c>
      <c r="F544" s="374">
        <v>0</v>
      </c>
      <c r="G544" s="374">
        <v>0</v>
      </c>
      <c r="H544" s="374">
        <v>0</v>
      </c>
      <c r="I544" s="374">
        <v>0</v>
      </c>
      <c r="J544" s="374">
        <v>0</v>
      </c>
      <c r="K544" s="374">
        <f t="shared" ca="1" si="83"/>
        <v>0</v>
      </c>
      <c r="L544" s="374">
        <v>0</v>
      </c>
      <c r="M544" s="374">
        <v>0</v>
      </c>
      <c r="N544" s="374">
        <v>0</v>
      </c>
      <c r="O544" s="374">
        <v>0</v>
      </c>
      <c r="P544" s="374">
        <v>0</v>
      </c>
      <c r="Q544" s="373">
        <v>0</v>
      </c>
      <c r="R544" s="374">
        <v>0</v>
      </c>
      <c r="S544" s="375">
        <v>0</v>
      </c>
      <c r="T544" s="375">
        <v>0</v>
      </c>
      <c r="U544" s="375">
        <v>0</v>
      </c>
      <c r="V544" s="380" t="e">
        <f t="shared" ca="1" si="78"/>
        <v>#NAME?</v>
      </c>
    </row>
    <row r="545" spans="1:22" ht="14.25" hidden="1" customHeight="1">
      <c r="A545" s="383" t="s">
        <v>1936</v>
      </c>
      <c r="B545" s="370" t="e">
        <f ca="1">_xludf.IFNA(VLOOKUP(Bolts!$A545,'Kilter Holds'!$P$37:$S$662,4,0),0)</f>
        <v>#NAME?</v>
      </c>
      <c r="C545" s="384">
        <v>2</v>
      </c>
      <c r="D545" s="373">
        <v>0</v>
      </c>
      <c r="E545" s="374">
        <v>0</v>
      </c>
      <c r="F545" s="374">
        <v>0</v>
      </c>
      <c r="G545" s="374">
        <v>0</v>
      </c>
      <c r="H545" s="374">
        <v>0</v>
      </c>
      <c r="I545" s="374">
        <v>0</v>
      </c>
      <c r="J545" s="374">
        <v>0</v>
      </c>
      <c r="K545" s="374">
        <f ca="1">IFERROR(2*B545,0)</f>
        <v>0</v>
      </c>
      <c r="L545" s="374">
        <v>0</v>
      </c>
      <c r="M545" s="374">
        <v>0</v>
      </c>
      <c r="N545" s="374">
        <v>0</v>
      </c>
      <c r="O545" s="374">
        <v>0</v>
      </c>
      <c r="P545" s="374">
        <v>0</v>
      </c>
      <c r="Q545" s="373">
        <v>0</v>
      </c>
      <c r="R545" s="374">
        <v>0</v>
      </c>
      <c r="S545" s="375">
        <v>0</v>
      </c>
      <c r="T545" s="375">
        <v>0</v>
      </c>
      <c r="U545" s="375">
        <v>0</v>
      </c>
      <c r="V545" s="380" t="e">
        <f t="shared" ca="1" si="78"/>
        <v>#NAME?</v>
      </c>
    </row>
    <row r="546" spans="1:22" ht="14.25" hidden="1" customHeight="1">
      <c r="A546" s="383" t="s">
        <v>1937</v>
      </c>
      <c r="B546" s="370" t="e">
        <f ca="1">_xludf.IFNA(VLOOKUP(Bolts!$A546,'Kilter Holds'!$P$37:$S$662,4,0),0)</f>
        <v>#NAME?</v>
      </c>
      <c r="C546" s="384">
        <v>5</v>
      </c>
      <c r="D546" s="373">
        <v>0</v>
      </c>
      <c r="E546" s="374">
        <v>0</v>
      </c>
      <c r="F546" s="374">
        <v>0</v>
      </c>
      <c r="G546" s="374">
        <v>0</v>
      </c>
      <c r="H546" s="374">
        <v>0</v>
      </c>
      <c r="I546" s="374">
        <f t="shared" ref="I546:I549" ca="1" si="84">IFERROR(5*B546,0)</f>
        <v>0</v>
      </c>
      <c r="J546" s="374">
        <v>0</v>
      </c>
      <c r="K546" s="374">
        <v>0</v>
      </c>
      <c r="L546" s="374">
        <v>0</v>
      </c>
      <c r="M546" s="374">
        <v>0</v>
      </c>
      <c r="N546" s="374">
        <v>0</v>
      </c>
      <c r="O546" s="374">
        <v>0</v>
      </c>
      <c r="P546" s="374">
        <v>0</v>
      </c>
      <c r="Q546" s="373">
        <v>0</v>
      </c>
      <c r="R546" s="374">
        <v>0</v>
      </c>
      <c r="S546" s="375">
        <v>0</v>
      </c>
      <c r="T546" s="375">
        <v>0</v>
      </c>
      <c r="U546" s="375">
        <v>0</v>
      </c>
      <c r="V546" s="380" t="e">
        <f t="shared" ca="1" si="78"/>
        <v>#NAME?</v>
      </c>
    </row>
    <row r="547" spans="1:22" ht="14.25" hidden="1" customHeight="1">
      <c r="A547" s="383" t="s">
        <v>1938</v>
      </c>
      <c r="B547" s="370" t="e">
        <f ca="1">_xludf.IFNA(VLOOKUP(Bolts!$A547,'Kilter Holds'!$P$37:$S$662,4,0),0)</f>
        <v>#NAME?</v>
      </c>
      <c r="C547" s="384">
        <v>5</v>
      </c>
      <c r="D547" s="373">
        <v>0</v>
      </c>
      <c r="E547" s="374">
        <v>0</v>
      </c>
      <c r="F547" s="374">
        <v>0</v>
      </c>
      <c r="G547" s="374">
        <v>0</v>
      </c>
      <c r="H547" s="374">
        <v>0</v>
      </c>
      <c r="I547" s="374">
        <f t="shared" ca="1" si="84"/>
        <v>0</v>
      </c>
      <c r="J547" s="374">
        <v>0</v>
      </c>
      <c r="K547" s="374">
        <v>0</v>
      </c>
      <c r="L547" s="374">
        <v>0</v>
      </c>
      <c r="M547" s="374">
        <v>0</v>
      </c>
      <c r="N547" s="374">
        <v>0</v>
      </c>
      <c r="O547" s="374">
        <v>0</v>
      </c>
      <c r="P547" s="374">
        <v>0</v>
      </c>
      <c r="Q547" s="373">
        <v>0</v>
      </c>
      <c r="R547" s="374">
        <v>0</v>
      </c>
      <c r="S547" s="375">
        <v>0</v>
      </c>
      <c r="T547" s="375">
        <v>0</v>
      </c>
      <c r="U547" s="375">
        <v>0</v>
      </c>
      <c r="V547" s="380" t="e">
        <f t="shared" ca="1" si="78"/>
        <v>#NAME?</v>
      </c>
    </row>
    <row r="548" spans="1:22" ht="14.25" hidden="1" customHeight="1">
      <c r="A548" s="383" t="s">
        <v>1939</v>
      </c>
      <c r="B548" s="370" t="e">
        <f ca="1">_xludf.IFNA(VLOOKUP(Bolts!$A548,'Kilter Holds'!$P$37:$S$662,4,0),0)</f>
        <v>#NAME?</v>
      </c>
      <c r="C548" s="384">
        <v>5</v>
      </c>
      <c r="D548" s="373">
        <v>0</v>
      </c>
      <c r="E548" s="374">
        <v>0</v>
      </c>
      <c r="F548" s="374">
        <v>0</v>
      </c>
      <c r="G548" s="374">
        <v>0</v>
      </c>
      <c r="H548" s="374">
        <v>0</v>
      </c>
      <c r="I548" s="374">
        <f t="shared" ca="1" si="84"/>
        <v>0</v>
      </c>
      <c r="J548" s="374">
        <v>0</v>
      </c>
      <c r="K548" s="374">
        <v>0</v>
      </c>
      <c r="L548" s="374">
        <v>0</v>
      </c>
      <c r="M548" s="374">
        <v>0</v>
      </c>
      <c r="N548" s="374">
        <v>0</v>
      </c>
      <c r="O548" s="374">
        <v>0</v>
      </c>
      <c r="P548" s="374">
        <v>0</v>
      </c>
      <c r="Q548" s="373">
        <v>0</v>
      </c>
      <c r="R548" s="374">
        <v>0</v>
      </c>
      <c r="S548" s="375">
        <v>0</v>
      </c>
      <c r="T548" s="375">
        <v>0</v>
      </c>
      <c r="U548" s="375">
        <v>0</v>
      </c>
      <c r="V548" s="380" t="e">
        <f t="shared" ca="1" si="78"/>
        <v>#NAME?</v>
      </c>
    </row>
    <row r="549" spans="1:22" ht="14.25" hidden="1" customHeight="1">
      <c r="A549" s="383" t="s">
        <v>1940</v>
      </c>
      <c r="B549" s="370" t="e">
        <f ca="1">_xludf.IFNA(VLOOKUP(Bolts!$A549,'Kilter Holds'!$P$37:$S$662,4,0),0)</f>
        <v>#NAME?</v>
      </c>
      <c r="C549" s="384">
        <v>5</v>
      </c>
      <c r="D549" s="373">
        <v>0</v>
      </c>
      <c r="E549" s="374">
        <v>0</v>
      </c>
      <c r="F549" s="374">
        <v>0</v>
      </c>
      <c r="G549" s="374">
        <v>0</v>
      </c>
      <c r="H549" s="374">
        <v>0</v>
      </c>
      <c r="I549" s="374">
        <f t="shared" ca="1" si="84"/>
        <v>0</v>
      </c>
      <c r="J549" s="374">
        <v>0</v>
      </c>
      <c r="K549" s="374">
        <v>0</v>
      </c>
      <c r="L549" s="374">
        <v>0</v>
      </c>
      <c r="M549" s="374">
        <v>0</v>
      </c>
      <c r="N549" s="374">
        <v>0</v>
      </c>
      <c r="O549" s="374">
        <v>0</v>
      </c>
      <c r="P549" s="374">
        <v>0</v>
      </c>
      <c r="Q549" s="373">
        <v>0</v>
      </c>
      <c r="R549" s="374">
        <v>0</v>
      </c>
      <c r="S549" s="375">
        <v>0</v>
      </c>
      <c r="T549" s="375">
        <v>0</v>
      </c>
      <c r="U549" s="375">
        <v>0</v>
      </c>
      <c r="V549" s="380" t="e">
        <f t="shared" ca="1" si="78"/>
        <v>#NAME?</v>
      </c>
    </row>
    <row r="550" spans="1:22" ht="14.25" hidden="1" customHeight="1">
      <c r="A550" s="383" t="s">
        <v>1941</v>
      </c>
      <c r="B550" s="370" t="e">
        <f ca="1">_xludf.IFNA(VLOOKUP(Bolts!$A550,'Kilter Holds'!$P$37:$S$662,4,0),0)</f>
        <v>#NAME?</v>
      </c>
      <c r="C550" s="384">
        <v>5</v>
      </c>
      <c r="D550" s="373">
        <v>0</v>
      </c>
      <c r="E550" s="374">
        <v>0</v>
      </c>
      <c r="F550" s="374">
        <v>0</v>
      </c>
      <c r="G550" s="374">
        <v>0</v>
      </c>
      <c r="H550" s="374">
        <f t="shared" ref="H550:H551" ca="1" si="85">IFERROR(5*B550,0)</f>
        <v>0</v>
      </c>
      <c r="I550" s="374">
        <v>0</v>
      </c>
      <c r="J550" s="374">
        <v>0</v>
      </c>
      <c r="K550" s="374">
        <v>0</v>
      </c>
      <c r="L550" s="374">
        <v>0</v>
      </c>
      <c r="M550" s="374">
        <v>0</v>
      </c>
      <c r="N550" s="374">
        <v>0</v>
      </c>
      <c r="O550" s="374">
        <v>0</v>
      </c>
      <c r="P550" s="374">
        <v>0</v>
      </c>
      <c r="Q550" s="373">
        <v>0</v>
      </c>
      <c r="R550" s="374">
        <v>0</v>
      </c>
      <c r="S550" s="375">
        <v>0</v>
      </c>
      <c r="T550" s="375">
        <v>0</v>
      </c>
      <c r="U550" s="375">
        <v>0</v>
      </c>
      <c r="V550" s="380" t="e">
        <f t="shared" ca="1" si="78"/>
        <v>#NAME?</v>
      </c>
    </row>
    <row r="551" spans="1:22" ht="14.25" hidden="1" customHeight="1">
      <c r="A551" s="383" t="s">
        <v>1942</v>
      </c>
      <c r="B551" s="370" t="e">
        <f ca="1">_xludf.IFNA(VLOOKUP(Bolts!$A551,'Kilter Holds'!$P$37:$S$662,4,0),0)</f>
        <v>#NAME?</v>
      </c>
      <c r="C551" s="384">
        <v>5</v>
      </c>
      <c r="D551" s="373">
        <v>0</v>
      </c>
      <c r="E551" s="374">
        <v>0</v>
      </c>
      <c r="F551" s="374">
        <v>0</v>
      </c>
      <c r="G551" s="374">
        <v>0</v>
      </c>
      <c r="H551" s="374">
        <f t="shared" ca="1" si="85"/>
        <v>0</v>
      </c>
      <c r="I551" s="374">
        <v>0</v>
      </c>
      <c r="J551" s="374">
        <v>0</v>
      </c>
      <c r="K551" s="374">
        <v>0</v>
      </c>
      <c r="L551" s="374">
        <v>0</v>
      </c>
      <c r="M551" s="374">
        <v>0</v>
      </c>
      <c r="N551" s="374">
        <v>0</v>
      </c>
      <c r="O551" s="374">
        <v>0</v>
      </c>
      <c r="P551" s="374">
        <v>0</v>
      </c>
      <c r="Q551" s="373">
        <v>0</v>
      </c>
      <c r="R551" s="374">
        <v>0</v>
      </c>
      <c r="S551" s="375">
        <v>0</v>
      </c>
      <c r="T551" s="375">
        <v>0</v>
      </c>
      <c r="U551" s="375">
        <v>0</v>
      </c>
      <c r="V551" s="380" t="e">
        <f t="shared" ca="1" si="78"/>
        <v>#NAME?</v>
      </c>
    </row>
    <row r="552" spans="1:22" ht="14.25" hidden="1" customHeight="1">
      <c r="A552" s="383" t="s">
        <v>1943</v>
      </c>
      <c r="B552" s="370" t="e">
        <f ca="1">_xludf.IFNA(VLOOKUP(Bolts!$A552,'Kilter Holds'!$P$37:$S$662,4,0),0)</f>
        <v>#NAME?</v>
      </c>
      <c r="C552" s="384">
        <v>5</v>
      </c>
      <c r="D552" s="373">
        <v>0</v>
      </c>
      <c r="E552" s="374">
        <v>0</v>
      </c>
      <c r="F552" s="374">
        <v>0</v>
      </c>
      <c r="G552" s="374">
        <v>0</v>
      </c>
      <c r="H552" s="374">
        <v>0</v>
      </c>
      <c r="I552" s="374">
        <f ca="1">IFERROR(5*B552,0)</f>
        <v>0</v>
      </c>
      <c r="J552" s="374">
        <v>0</v>
      </c>
      <c r="K552" s="374">
        <v>0</v>
      </c>
      <c r="L552" s="374">
        <v>0</v>
      </c>
      <c r="M552" s="374">
        <v>0</v>
      </c>
      <c r="N552" s="374">
        <v>0</v>
      </c>
      <c r="O552" s="374">
        <v>0</v>
      </c>
      <c r="P552" s="374">
        <v>0</v>
      </c>
      <c r="Q552" s="373">
        <v>0</v>
      </c>
      <c r="R552" s="374">
        <v>0</v>
      </c>
      <c r="S552" s="375">
        <v>0</v>
      </c>
      <c r="T552" s="375">
        <v>0</v>
      </c>
      <c r="U552" s="375">
        <v>0</v>
      </c>
      <c r="V552" s="380" t="e">
        <f t="shared" ca="1" si="78"/>
        <v>#NAME?</v>
      </c>
    </row>
    <row r="553" spans="1:22" ht="14.25" hidden="1" customHeight="1">
      <c r="A553" s="383" t="s">
        <v>1944</v>
      </c>
      <c r="B553" s="370" t="e">
        <f ca="1">_xludf.IFNA(VLOOKUP(Bolts!$A553,'Kilter Holds'!$P$37:$S$662,4,0),0)</f>
        <v>#NAME?</v>
      </c>
      <c r="C553" s="384">
        <v>5</v>
      </c>
      <c r="D553" s="373">
        <v>0</v>
      </c>
      <c r="E553" s="374">
        <v>0</v>
      </c>
      <c r="F553" s="374">
        <v>0</v>
      </c>
      <c r="G553" s="374">
        <v>0</v>
      </c>
      <c r="H553" s="374">
        <f ca="1">IFERROR(5*B553,0)</f>
        <v>0</v>
      </c>
      <c r="I553" s="374">
        <v>0</v>
      </c>
      <c r="J553" s="374">
        <v>0</v>
      </c>
      <c r="K553" s="374">
        <v>0</v>
      </c>
      <c r="L553" s="374">
        <v>0</v>
      </c>
      <c r="M553" s="374">
        <v>0</v>
      </c>
      <c r="N553" s="374">
        <v>0</v>
      </c>
      <c r="O553" s="374">
        <v>0</v>
      </c>
      <c r="P553" s="374">
        <v>0</v>
      </c>
      <c r="Q553" s="373">
        <v>0</v>
      </c>
      <c r="R553" s="374">
        <v>0</v>
      </c>
      <c r="S553" s="375">
        <v>0</v>
      </c>
      <c r="T553" s="375">
        <v>0</v>
      </c>
      <c r="U553" s="375">
        <v>0</v>
      </c>
      <c r="V553" s="380" t="e">
        <f t="shared" ca="1" si="78"/>
        <v>#NAME?</v>
      </c>
    </row>
    <row r="554" spans="1:22" ht="14.25" hidden="1" customHeight="1">
      <c r="A554" s="383" t="s">
        <v>1945</v>
      </c>
      <c r="B554" s="370" t="e">
        <f ca="1">_xludf.IFNA(VLOOKUP(Bolts!$A554,'Kilter Holds'!$P$37:$S$662,4,0),0)</f>
        <v>#NAME?</v>
      </c>
      <c r="C554" s="384">
        <v>4</v>
      </c>
      <c r="D554" s="373">
        <v>0</v>
      </c>
      <c r="E554" s="374">
        <v>0</v>
      </c>
      <c r="F554" s="374">
        <v>0</v>
      </c>
      <c r="G554" s="374" t="e">
        <f ca="1">4*Bolts!$B554</f>
        <v>#NAME?</v>
      </c>
      <c r="H554" s="374">
        <v>0</v>
      </c>
      <c r="I554" s="374">
        <v>0</v>
      </c>
      <c r="J554" s="374">
        <v>0</v>
      </c>
      <c r="K554" s="374">
        <v>0</v>
      </c>
      <c r="L554" s="374">
        <v>0</v>
      </c>
      <c r="M554" s="374">
        <v>0</v>
      </c>
      <c r="N554" s="374">
        <v>0</v>
      </c>
      <c r="O554" s="374">
        <v>0</v>
      </c>
      <c r="P554" s="374">
        <v>0</v>
      </c>
      <c r="Q554" s="373" t="e">
        <f ca="1">4*Bolts!$B554</f>
        <v>#NAME?</v>
      </c>
      <c r="R554" s="374">
        <v>0</v>
      </c>
      <c r="S554" s="375">
        <v>0</v>
      </c>
      <c r="T554" s="375">
        <v>0</v>
      </c>
      <c r="U554" s="375">
        <v>0</v>
      </c>
      <c r="V554" s="380" t="e">
        <f t="shared" ca="1" si="78"/>
        <v>#NAME?</v>
      </c>
    </row>
    <row r="555" spans="1:22" ht="14.25" hidden="1" customHeight="1">
      <c r="A555" s="383" t="s">
        <v>1946</v>
      </c>
      <c r="B555" s="370" t="e">
        <f ca="1">_xludf.IFNA(VLOOKUP(Bolts!$A555,'Kilter Holds'!$P$37:$S$662,4,0),0)</f>
        <v>#NAME?</v>
      </c>
      <c r="C555" s="384">
        <v>5</v>
      </c>
      <c r="D555" s="373">
        <v>0</v>
      </c>
      <c r="E555" s="374">
        <v>0</v>
      </c>
      <c r="F555" s="374">
        <v>0</v>
      </c>
      <c r="G555" s="374">
        <v>0</v>
      </c>
      <c r="H555" s="374">
        <v>0</v>
      </c>
      <c r="I555" s="374">
        <v>0</v>
      </c>
      <c r="J555" s="374">
        <v>0</v>
      </c>
      <c r="K555" s="374">
        <v>0</v>
      </c>
      <c r="L555" s="374">
        <v>0</v>
      </c>
      <c r="M555" s="374">
        <v>0</v>
      </c>
      <c r="N555" s="374">
        <v>0</v>
      </c>
      <c r="O555" s="374">
        <v>0</v>
      </c>
      <c r="P555" s="374">
        <v>0</v>
      </c>
      <c r="Q555" s="373">
        <v>0</v>
      </c>
      <c r="R555" s="374">
        <f t="shared" ref="R555:R556" ca="1" si="86">IFERROR(25*B555,0)</f>
        <v>0</v>
      </c>
      <c r="S555" s="375">
        <v>0</v>
      </c>
      <c r="T555" s="375">
        <v>0</v>
      </c>
      <c r="U555" s="375">
        <v>0</v>
      </c>
      <c r="V555" s="380" t="e">
        <f t="shared" ca="1" si="78"/>
        <v>#NAME?</v>
      </c>
    </row>
    <row r="556" spans="1:22" ht="14.25" hidden="1" customHeight="1">
      <c r="A556" s="383" t="s">
        <v>1947</v>
      </c>
      <c r="B556" s="370" t="e">
        <f ca="1">_xludf.IFNA(VLOOKUP(Bolts!$A556,'Kilter Holds'!$P$37:$S$662,4,0),0)</f>
        <v>#NAME?</v>
      </c>
      <c r="C556" s="384">
        <v>5</v>
      </c>
      <c r="D556" s="373">
        <v>0</v>
      </c>
      <c r="E556" s="374">
        <v>0</v>
      </c>
      <c r="F556" s="374">
        <v>0</v>
      </c>
      <c r="G556" s="374">
        <v>0</v>
      </c>
      <c r="H556" s="374">
        <v>0</v>
      </c>
      <c r="I556" s="374">
        <v>0</v>
      </c>
      <c r="J556" s="374">
        <v>0</v>
      </c>
      <c r="K556" s="374">
        <v>0</v>
      </c>
      <c r="L556" s="374">
        <v>0</v>
      </c>
      <c r="M556" s="374">
        <v>0</v>
      </c>
      <c r="N556" s="374">
        <v>0</v>
      </c>
      <c r="O556" s="374">
        <v>0</v>
      </c>
      <c r="P556" s="374">
        <v>0</v>
      </c>
      <c r="Q556" s="373">
        <v>0</v>
      </c>
      <c r="R556" s="374">
        <f t="shared" ca="1" si="86"/>
        <v>0</v>
      </c>
      <c r="S556" s="375">
        <v>0</v>
      </c>
      <c r="T556" s="375">
        <v>0</v>
      </c>
      <c r="U556" s="375">
        <v>0</v>
      </c>
      <c r="V556" s="380" t="e">
        <f t="shared" ca="1" si="78"/>
        <v>#NAME?</v>
      </c>
    </row>
    <row r="557" spans="1:22" ht="14.25" hidden="1" customHeight="1">
      <c r="A557" s="383" t="s">
        <v>1948</v>
      </c>
      <c r="B557" s="370" t="e">
        <f ca="1">_xludf.IFNA(VLOOKUP(Bolts!$A557,'Kilter Holds'!$P$37:$S$662,4,0),0)</f>
        <v>#NAME?</v>
      </c>
      <c r="C557" s="384">
        <v>5</v>
      </c>
      <c r="D557" s="373">
        <v>0</v>
      </c>
      <c r="E557" s="374">
        <v>0</v>
      </c>
      <c r="F557" s="374">
        <v>0</v>
      </c>
      <c r="G557" s="374">
        <v>0</v>
      </c>
      <c r="H557" s="374">
        <v>0</v>
      </c>
      <c r="I557" s="374">
        <f ca="1">IFERROR(5*B557,0)</f>
        <v>0</v>
      </c>
      <c r="J557" s="374">
        <v>0</v>
      </c>
      <c r="K557" s="374">
        <v>0</v>
      </c>
      <c r="L557" s="374">
        <v>0</v>
      </c>
      <c r="M557" s="374">
        <v>0</v>
      </c>
      <c r="N557" s="374">
        <v>0</v>
      </c>
      <c r="O557" s="374">
        <v>0</v>
      </c>
      <c r="P557" s="374">
        <v>0</v>
      </c>
      <c r="Q557" s="373">
        <v>0</v>
      </c>
      <c r="R557" s="374">
        <v>0</v>
      </c>
      <c r="S557" s="375">
        <v>0</v>
      </c>
      <c r="T557" s="375">
        <v>0</v>
      </c>
      <c r="U557" s="375">
        <v>0</v>
      </c>
      <c r="V557" s="380" t="e">
        <f t="shared" ca="1" si="78"/>
        <v>#NAME?</v>
      </c>
    </row>
    <row r="558" spans="1:22" ht="14.25" hidden="1" customHeight="1">
      <c r="A558" s="383" t="s">
        <v>1949</v>
      </c>
      <c r="B558" s="370" t="e">
        <f ca="1">_xludf.IFNA(VLOOKUP(Bolts!$A558,'Kilter Holds'!$P$37:$S$662,4,0),0)</f>
        <v>#NAME?</v>
      </c>
      <c r="C558" s="384">
        <v>1</v>
      </c>
      <c r="D558" s="373">
        <v>0</v>
      </c>
      <c r="E558" s="374">
        <v>0</v>
      </c>
      <c r="F558" s="374">
        <v>0</v>
      </c>
      <c r="G558" s="374">
        <v>0</v>
      </c>
      <c r="H558" s="374">
        <v>0</v>
      </c>
      <c r="I558" s="374">
        <f t="shared" ref="I558:I577" ca="1" si="87">IFERROR(1*B558,0)</f>
        <v>0</v>
      </c>
      <c r="J558" s="374">
        <v>0</v>
      </c>
      <c r="K558" s="374">
        <v>0</v>
      </c>
      <c r="L558" s="374">
        <v>0</v>
      </c>
      <c r="M558" s="374">
        <v>0</v>
      </c>
      <c r="N558" s="374">
        <v>0</v>
      </c>
      <c r="O558" s="374">
        <v>0</v>
      </c>
      <c r="P558" s="374">
        <v>0</v>
      </c>
      <c r="Q558" s="373">
        <v>0</v>
      </c>
      <c r="R558" s="374">
        <v>0</v>
      </c>
      <c r="S558" s="375">
        <v>0</v>
      </c>
      <c r="T558" s="375">
        <v>0</v>
      </c>
      <c r="U558" s="375">
        <v>0</v>
      </c>
      <c r="V558" s="380" t="e">
        <f t="shared" ca="1" si="78"/>
        <v>#NAME?</v>
      </c>
    </row>
    <row r="559" spans="1:22" ht="14.25" hidden="1" customHeight="1">
      <c r="A559" s="383" t="s">
        <v>1950</v>
      </c>
      <c r="B559" s="370" t="e">
        <f ca="1">_xludf.IFNA(VLOOKUP(Bolts!$A559,'Kilter Holds'!$P$37:$S$662,4,0),0)</f>
        <v>#NAME?</v>
      </c>
      <c r="C559" s="384">
        <v>1</v>
      </c>
      <c r="D559" s="373">
        <v>0</v>
      </c>
      <c r="E559" s="374">
        <v>0</v>
      </c>
      <c r="F559" s="374">
        <v>0</v>
      </c>
      <c r="G559" s="374">
        <v>0</v>
      </c>
      <c r="H559" s="374">
        <v>0</v>
      </c>
      <c r="I559" s="374">
        <f t="shared" ca="1" si="87"/>
        <v>0</v>
      </c>
      <c r="J559" s="374">
        <v>0</v>
      </c>
      <c r="K559" s="374">
        <v>0</v>
      </c>
      <c r="L559" s="374">
        <v>0</v>
      </c>
      <c r="M559" s="374">
        <v>0</v>
      </c>
      <c r="N559" s="374">
        <v>0</v>
      </c>
      <c r="O559" s="374">
        <v>0</v>
      </c>
      <c r="P559" s="374">
        <v>0</v>
      </c>
      <c r="Q559" s="373">
        <v>0</v>
      </c>
      <c r="R559" s="374">
        <v>0</v>
      </c>
      <c r="S559" s="375">
        <v>0</v>
      </c>
      <c r="T559" s="375">
        <v>0</v>
      </c>
      <c r="U559" s="375">
        <v>0</v>
      </c>
      <c r="V559" s="380" t="e">
        <f t="shared" ca="1" si="78"/>
        <v>#NAME?</v>
      </c>
    </row>
    <row r="560" spans="1:22" ht="14.25" hidden="1" customHeight="1">
      <c r="A560" s="383" t="s">
        <v>1951</v>
      </c>
      <c r="B560" s="370" t="e">
        <f ca="1">_xludf.IFNA(VLOOKUP(Bolts!$A560,'Kilter Holds'!$P$37:$S$662,4,0),0)</f>
        <v>#NAME?</v>
      </c>
      <c r="C560" s="384">
        <v>1</v>
      </c>
      <c r="D560" s="373">
        <v>0</v>
      </c>
      <c r="E560" s="374">
        <v>0</v>
      </c>
      <c r="F560" s="374">
        <v>0</v>
      </c>
      <c r="G560" s="374">
        <v>0</v>
      </c>
      <c r="H560" s="374">
        <v>0</v>
      </c>
      <c r="I560" s="374">
        <f t="shared" ca="1" si="87"/>
        <v>0</v>
      </c>
      <c r="J560" s="374">
        <v>0</v>
      </c>
      <c r="K560" s="374">
        <v>0</v>
      </c>
      <c r="L560" s="374">
        <v>0</v>
      </c>
      <c r="M560" s="374">
        <v>0</v>
      </c>
      <c r="N560" s="374">
        <v>0</v>
      </c>
      <c r="O560" s="374">
        <v>0</v>
      </c>
      <c r="P560" s="374">
        <v>0</v>
      </c>
      <c r="Q560" s="373">
        <v>0</v>
      </c>
      <c r="R560" s="374">
        <v>0</v>
      </c>
      <c r="S560" s="375">
        <v>0</v>
      </c>
      <c r="T560" s="375">
        <v>0</v>
      </c>
      <c r="U560" s="375">
        <v>0</v>
      </c>
      <c r="V560" s="380" t="e">
        <f t="shared" ca="1" si="78"/>
        <v>#NAME?</v>
      </c>
    </row>
    <row r="561" spans="1:22" ht="14.25" hidden="1" customHeight="1">
      <c r="A561" s="383" t="s">
        <v>1952</v>
      </c>
      <c r="B561" s="370" t="e">
        <f ca="1">_xludf.IFNA(VLOOKUP(Bolts!$A561,'Kilter Holds'!$P$37:$S$662,4,0),0)</f>
        <v>#NAME?</v>
      </c>
      <c r="C561" s="384">
        <v>1</v>
      </c>
      <c r="D561" s="373">
        <v>0</v>
      </c>
      <c r="E561" s="374">
        <v>0</v>
      </c>
      <c r="F561" s="374">
        <v>0</v>
      </c>
      <c r="G561" s="374">
        <v>0</v>
      </c>
      <c r="H561" s="374">
        <v>0</v>
      </c>
      <c r="I561" s="374">
        <f t="shared" ca="1" si="87"/>
        <v>0</v>
      </c>
      <c r="J561" s="374">
        <v>0</v>
      </c>
      <c r="K561" s="374">
        <v>0</v>
      </c>
      <c r="L561" s="374">
        <v>0</v>
      </c>
      <c r="M561" s="374">
        <v>0</v>
      </c>
      <c r="N561" s="374">
        <v>0</v>
      </c>
      <c r="O561" s="374">
        <v>0</v>
      </c>
      <c r="P561" s="374">
        <v>0</v>
      </c>
      <c r="Q561" s="373">
        <v>0</v>
      </c>
      <c r="R561" s="374">
        <v>0</v>
      </c>
      <c r="S561" s="375">
        <v>0</v>
      </c>
      <c r="T561" s="375">
        <v>0</v>
      </c>
      <c r="U561" s="375">
        <v>0</v>
      </c>
      <c r="V561" s="380" t="e">
        <f t="shared" ca="1" si="78"/>
        <v>#NAME?</v>
      </c>
    </row>
    <row r="562" spans="1:22" ht="14.25" hidden="1" customHeight="1">
      <c r="A562" s="383" t="s">
        <v>1953</v>
      </c>
      <c r="B562" s="370" t="e">
        <f ca="1">_xludf.IFNA(VLOOKUP(Bolts!$A562,'Kilter Holds'!$P$37:$S$662,4,0),0)</f>
        <v>#NAME?</v>
      </c>
      <c r="C562" s="384">
        <v>1</v>
      </c>
      <c r="D562" s="373">
        <v>0</v>
      </c>
      <c r="E562" s="374">
        <v>0</v>
      </c>
      <c r="F562" s="374">
        <v>0</v>
      </c>
      <c r="G562" s="374">
        <v>0</v>
      </c>
      <c r="H562" s="374">
        <v>0</v>
      </c>
      <c r="I562" s="374">
        <f t="shared" ca="1" si="87"/>
        <v>0</v>
      </c>
      <c r="J562" s="374">
        <v>0</v>
      </c>
      <c r="K562" s="374">
        <v>0</v>
      </c>
      <c r="L562" s="374">
        <v>0</v>
      </c>
      <c r="M562" s="374">
        <v>0</v>
      </c>
      <c r="N562" s="374">
        <v>0</v>
      </c>
      <c r="O562" s="374">
        <v>0</v>
      </c>
      <c r="P562" s="374">
        <v>0</v>
      </c>
      <c r="Q562" s="373">
        <v>0</v>
      </c>
      <c r="R562" s="374">
        <v>0</v>
      </c>
      <c r="S562" s="375">
        <v>0</v>
      </c>
      <c r="T562" s="375">
        <v>0</v>
      </c>
      <c r="U562" s="375">
        <v>0</v>
      </c>
      <c r="V562" s="380" t="e">
        <f t="shared" ca="1" si="78"/>
        <v>#NAME?</v>
      </c>
    </row>
    <row r="563" spans="1:22" ht="14.25" hidden="1" customHeight="1">
      <c r="A563" s="383" t="s">
        <v>1954</v>
      </c>
      <c r="B563" s="370" t="e">
        <f ca="1">_xludf.IFNA(VLOOKUP(Bolts!$A563,'Kilter Holds'!$P$37:$S$662,4,0),0)</f>
        <v>#NAME?</v>
      </c>
      <c r="C563" s="384">
        <v>1</v>
      </c>
      <c r="D563" s="373">
        <v>0</v>
      </c>
      <c r="E563" s="374">
        <v>0</v>
      </c>
      <c r="F563" s="374">
        <v>0</v>
      </c>
      <c r="G563" s="374">
        <v>0</v>
      </c>
      <c r="H563" s="374">
        <v>0</v>
      </c>
      <c r="I563" s="374">
        <f t="shared" ca="1" si="87"/>
        <v>0</v>
      </c>
      <c r="J563" s="374">
        <v>0</v>
      </c>
      <c r="K563" s="374">
        <v>0</v>
      </c>
      <c r="L563" s="374">
        <v>0</v>
      </c>
      <c r="M563" s="374">
        <v>0</v>
      </c>
      <c r="N563" s="374">
        <v>0</v>
      </c>
      <c r="O563" s="374">
        <v>0</v>
      </c>
      <c r="P563" s="374">
        <v>0</v>
      </c>
      <c r="Q563" s="373">
        <v>0</v>
      </c>
      <c r="R563" s="374">
        <v>0</v>
      </c>
      <c r="S563" s="375">
        <v>0</v>
      </c>
      <c r="T563" s="375">
        <v>0</v>
      </c>
      <c r="U563" s="375">
        <v>0</v>
      </c>
      <c r="V563" s="380" t="e">
        <f t="shared" ca="1" si="78"/>
        <v>#NAME?</v>
      </c>
    </row>
    <row r="564" spans="1:22" ht="14.25" hidden="1" customHeight="1">
      <c r="A564" s="383" t="s">
        <v>1955</v>
      </c>
      <c r="B564" s="370" t="e">
        <f ca="1">_xludf.IFNA(VLOOKUP(Bolts!$A564,'Kilter Holds'!$P$37:$S$662,4,0),0)</f>
        <v>#NAME?</v>
      </c>
      <c r="C564" s="384">
        <v>1</v>
      </c>
      <c r="D564" s="373">
        <v>0</v>
      </c>
      <c r="E564" s="374">
        <v>0</v>
      </c>
      <c r="F564" s="374">
        <v>0</v>
      </c>
      <c r="G564" s="374">
        <v>0</v>
      </c>
      <c r="H564" s="374">
        <v>0</v>
      </c>
      <c r="I564" s="374">
        <f t="shared" ca="1" si="87"/>
        <v>0</v>
      </c>
      <c r="J564" s="374">
        <v>0</v>
      </c>
      <c r="K564" s="374">
        <v>0</v>
      </c>
      <c r="L564" s="374">
        <v>0</v>
      </c>
      <c r="M564" s="374">
        <v>0</v>
      </c>
      <c r="N564" s="374">
        <v>0</v>
      </c>
      <c r="O564" s="374">
        <v>0</v>
      </c>
      <c r="P564" s="374">
        <v>0</v>
      </c>
      <c r="Q564" s="373">
        <v>0</v>
      </c>
      <c r="R564" s="374">
        <v>0</v>
      </c>
      <c r="S564" s="375">
        <v>0</v>
      </c>
      <c r="T564" s="375">
        <v>0</v>
      </c>
      <c r="U564" s="375">
        <v>0</v>
      </c>
      <c r="V564" s="380" t="e">
        <f t="shared" ca="1" si="78"/>
        <v>#NAME?</v>
      </c>
    </row>
    <row r="565" spans="1:22" ht="14.25" hidden="1" customHeight="1">
      <c r="A565" s="383" t="s">
        <v>1956</v>
      </c>
      <c r="B565" s="370" t="e">
        <f ca="1">_xludf.IFNA(VLOOKUP(Bolts!$A565,'Kilter Holds'!$P$37:$S$662,4,0),0)</f>
        <v>#NAME?</v>
      </c>
      <c r="C565" s="384">
        <v>1</v>
      </c>
      <c r="D565" s="373">
        <v>0</v>
      </c>
      <c r="E565" s="374">
        <v>0</v>
      </c>
      <c r="F565" s="374">
        <v>0</v>
      </c>
      <c r="G565" s="374">
        <v>0</v>
      </c>
      <c r="H565" s="374">
        <v>0</v>
      </c>
      <c r="I565" s="374">
        <f t="shared" ca="1" si="87"/>
        <v>0</v>
      </c>
      <c r="J565" s="374">
        <v>0</v>
      </c>
      <c r="K565" s="374">
        <v>0</v>
      </c>
      <c r="L565" s="374">
        <v>0</v>
      </c>
      <c r="M565" s="374">
        <v>0</v>
      </c>
      <c r="N565" s="374">
        <v>0</v>
      </c>
      <c r="O565" s="374">
        <v>0</v>
      </c>
      <c r="P565" s="374">
        <v>0</v>
      </c>
      <c r="Q565" s="373">
        <v>0</v>
      </c>
      <c r="R565" s="374">
        <v>0</v>
      </c>
      <c r="S565" s="375">
        <v>0</v>
      </c>
      <c r="T565" s="375">
        <v>0</v>
      </c>
      <c r="U565" s="375">
        <v>0</v>
      </c>
      <c r="V565" s="380" t="e">
        <f t="shared" ca="1" si="78"/>
        <v>#NAME?</v>
      </c>
    </row>
    <row r="566" spans="1:22" ht="14.25" hidden="1" customHeight="1">
      <c r="A566" s="383" t="s">
        <v>1957</v>
      </c>
      <c r="B566" s="370" t="e">
        <f ca="1">_xludf.IFNA(VLOOKUP(Bolts!$A566,'Kilter Holds'!$P$37:$S$662,4,0),0)</f>
        <v>#NAME?</v>
      </c>
      <c r="C566" s="384">
        <v>1</v>
      </c>
      <c r="D566" s="373">
        <v>0</v>
      </c>
      <c r="E566" s="374">
        <v>0</v>
      </c>
      <c r="F566" s="374">
        <v>0</v>
      </c>
      <c r="G566" s="374">
        <v>0</v>
      </c>
      <c r="H566" s="374">
        <v>0</v>
      </c>
      <c r="I566" s="374">
        <f t="shared" ca="1" si="87"/>
        <v>0</v>
      </c>
      <c r="J566" s="374">
        <v>0</v>
      </c>
      <c r="K566" s="374">
        <v>0</v>
      </c>
      <c r="L566" s="374">
        <v>0</v>
      </c>
      <c r="M566" s="374">
        <v>0</v>
      </c>
      <c r="N566" s="374">
        <v>0</v>
      </c>
      <c r="O566" s="374">
        <v>0</v>
      </c>
      <c r="P566" s="374">
        <v>0</v>
      </c>
      <c r="Q566" s="373">
        <v>0</v>
      </c>
      <c r="R566" s="374">
        <v>0</v>
      </c>
      <c r="S566" s="375">
        <v>0</v>
      </c>
      <c r="T566" s="375">
        <v>0</v>
      </c>
      <c r="U566" s="375">
        <v>0</v>
      </c>
      <c r="V566" s="380" t="e">
        <f t="shared" ca="1" si="78"/>
        <v>#NAME?</v>
      </c>
    </row>
    <row r="567" spans="1:22" ht="14.25" hidden="1" customHeight="1">
      <c r="A567" s="383" t="s">
        <v>1958</v>
      </c>
      <c r="B567" s="370" t="e">
        <f ca="1">_xludf.IFNA(VLOOKUP(Bolts!$A567,'Kilter Holds'!$P$37:$S$662,4,0),0)</f>
        <v>#NAME?</v>
      </c>
      <c r="C567" s="384">
        <v>1</v>
      </c>
      <c r="D567" s="373">
        <v>0</v>
      </c>
      <c r="E567" s="374">
        <v>0</v>
      </c>
      <c r="F567" s="374">
        <v>0</v>
      </c>
      <c r="G567" s="374">
        <v>0</v>
      </c>
      <c r="H567" s="374">
        <v>0</v>
      </c>
      <c r="I567" s="374">
        <f t="shared" ca="1" si="87"/>
        <v>0</v>
      </c>
      <c r="J567" s="374">
        <v>0</v>
      </c>
      <c r="K567" s="374">
        <v>0</v>
      </c>
      <c r="L567" s="374">
        <v>0</v>
      </c>
      <c r="M567" s="374">
        <v>0</v>
      </c>
      <c r="N567" s="374">
        <v>0</v>
      </c>
      <c r="O567" s="374">
        <v>0</v>
      </c>
      <c r="P567" s="374">
        <v>0</v>
      </c>
      <c r="Q567" s="373">
        <v>0</v>
      </c>
      <c r="R567" s="374">
        <v>0</v>
      </c>
      <c r="S567" s="375">
        <v>0</v>
      </c>
      <c r="T567" s="375">
        <v>0</v>
      </c>
      <c r="U567" s="375">
        <v>0</v>
      </c>
      <c r="V567" s="380" t="e">
        <f t="shared" ca="1" si="78"/>
        <v>#NAME?</v>
      </c>
    </row>
    <row r="568" spans="1:22" ht="14.25" hidden="1" customHeight="1">
      <c r="A568" s="383" t="s">
        <v>1959</v>
      </c>
      <c r="B568" s="370" t="e">
        <f ca="1">_xludf.IFNA(VLOOKUP(Bolts!$A568,'Kilter Holds'!$P$37:$S$662,4,0),0)</f>
        <v>#NAME?</v>
      </c>
      <c r="C568" s="384">
        <v>1</v>
      </c>
      <c r="D568" s="373">
        <v>0</v>
      </c>
      <c r="E568" s="374">
        <v>0</v>
      </c>
      <c r="F568" s="374">
        <v>0</v>
      </c>
      <c r="G568" s="374">
        <v>0</v>
      </c>
      <c r="H568" s="374">
        <v>0</v>
      </c>
      <c r="I568" s="374">
        <f t="shared" ca="1" si="87"/>
        <v>0</v>
      </c>
      <c r="J568" s="374">
        <v>0</v>
      </c>
      <c r="K568" s="374">
        <v>0</v>
      </c>
      <c r="L568" s="374">
        <v>0</v>
      </c>
      <c r="M568" s="374">
        <v>0</v>
      </c>
      <c r="N568" s="374">
        <v>0</v>
      </c>
      <c r="O568" s="374">
        <v>0</v>
      </c>
      <c r="P568" s="374">
        <v>0</v>
      </c>
      <c r="Q568" s="373">
        <v>0</v>
      </c>
      <c r="R568" s="374">
        <v>0</v>
      </c>
      <c r="S568" s="375">
        <v>0</v>
      </c>
      <c r="T568" s="375">
        <v>0</v>
      </c>
      <c r="U568" s="375">
        <v>0</v>
      </c>
      <c r="V568" s="380" t="e">
        <f t="shared" ca="1" si="78"/>
        <v>#NAME?</v>
      </c>
    </row>
    <row r="569" spans="1:22" ht="14.25" hidden="1" customHeight="1">
      <c r="A569" s="383" t="s">
        <v>1960</v>
      </c>
      <c r="B569" s="370" t="e">
        <f ca="1">_xludf.IFNA(VLOOKUP(Bolts!$A569,'Kilter Holds'!$P$37:$S$662,4,0),0)</f>
        <v>#NAME?</v>
      </c>
      <c r="C569" s="384">
        <v>1</v>
      </c>
      <c r="D569" s="373">
        <v>0</v>
      </c>
      <c r="E569" s="374">
        <v>0</v>
      </c>
      <c r="F569" s="374">
        <v>0</v>
      </c>
      <c r="G569" s="374">
        <v>0</v>
      </c>
      <c r="H569" s="374">
        <v>0</v>
      </c>
      <c r="I569" s="374">
        <f t="shared" ca="1" si="87"/>
        <v>0</v>
      </c>
      <c r="J569" s="374">
        <v>0</v>
      </c>
      <c r="K569" s="374">
        <v>0</v>
      </c>
      <c r="L569" s="374">
        <v>0</v>
      </c>
      <c r="M569" s="374">
        <v>0</v>
      </c>
      <c r="N569" s="374">
        <v>0</v>
      </c>
      <c r="O569" s="374">
        <v>0</v>
      </c>
      <c r="P569" s="374">
        <v>0</v>
      </c>
      <c r="Q569" s="373">
        <v>0</v>
      </c>
      <c r="R569" s="374">
        <v>0</v>
      </c>
      <c r="S569" s="375">
        <v>0</v>
      </c>
      <c r="T569" s="375">
        <v>0</v>
      </c>
      <c r="U569" s="375">
        <v>0</v>
      </c>
      <c r="V569" s="380" t="e">
        <f t="shared" ca="1" si="78"/>
        <v>#NAME?</v>
      </c>
    </row>
    <row r="570" spans="1:22" ht="14.25" hidden="1" customHeight="1">
      <c r="A570" s="383" t="s">
        <v>1961</v>
      </c>
      <c r="B570" s="370" t="e">
        <f ca="1">_xludf.IFNA(VLOOKUP(Bolts!$A570,'Kilter Holds'!$P$37:$S$662,4,0),0)</f>
        <v>#NAME?</v>
      </c>
      <c r="C570" s="384">
        <v>1</v>
      </c>
      <c r="D570" s="373">
        <v>0</v>
      </c>
      <c r="E570" s="374">
        <v>0</v>
      </c>
      <c r="F570" s="374">
        <v>0</v>
      </c>
      <c r="G570" s="374">
        <v>0</v>
      </c>
      <c r="H570" s="374">
        <v>0</v>
      </c>
      <c r="I570" s="374">
        <f t="shared" ca="1" si="87"/>
        <v>0</v>
      </c>
      <c r="J570" s="374">
        <v>0</v>
      </c>
      <c r="K570" s="374">
        <v>0</v>
      </c>
      <c r="L570" s="374">
        <v>0</v>
      </c>
      <c r="M570" s="374">
        <v>0</v>
      </c>
      <c r="N570" s="374">
        <v>0</v>
      </c>
      <c r="O570" s="374">
        <v>0</v>
      </c>
      <c r="P570" s="374">
        <v>0</v>
      </c>
      <c r="Q570" s="373">
        <v>0</v>
      </c>
      <c r="R570" s="374">
        <v>0</v>
      </c>
      <c r="S570" s="375">
        <v>0</v>
      </c>
      <c r="T570" s="375">
        <v>0</v>
      </c>
      <c r="U570" s="375">
        <v>0</v>
      </c>
      <c r="V570" s="380" t="e">
        <f t="shared" ca="1" si="78"/>
        <v>#NAME?</v>
      </c>
    </row>
    <row r="571" spans="1:22" ht="14.25" hidden="1" customHeight="1">
      <c r="A571" s="383" t="s">
        <v>1962</v>
      </c>
      <c r="B571" s="370" t="e">
        <f ca="1">_xludf.IFNA(VLOOKUP(Bolts!$A571,'Kilter Holds'!$P$37:$S$662,4,0),0)</f>
        <v>#NAME?</v>
      </c>
      <c r="C571" s="384">
        <v>1</v>
      </c>
      <c r="D571" s="373">
        <v>0</v>
      </c>
      <c r="E571" s="374">
        <v>0</v>
      </c>
      <c r="F571" s="374">
        <v>0</v>
      </c>
      <c r="G571" s="374">
        <v>0</v>
      </c>
      <c r="H571" s="374">
        <v>0</v>
      </c>
      <c r="I571" s="374">
        <f t="shared" ca="1" si="87"/>
        <v>0</v>
      </c>
      <c r="J571" s="374">
        <v>0</v>
      </c>
      <c r="K571" s="374">
        <v>0</v>
      </c>
      <c r="L571" s="374">
        <v>0</v>
      </c>
      <c r="M571" s="374">
        <v>0</v>
      </c>
      <c r="N571" s="374">
        <v>0</v>
      </c>
      <c r="O571" s="374">
        <v>0</v>
      </c>
      <c r="P571" s="374">
        <v>0</v>
      </c>
      <c r="Q571" s="373">
        <v>0</v>
      </c>
      <c r="R571" s="374">
        <v>0</v>
      </c>
      <c r="S571" s="375">
        <v>0</v>
      </c>
      <c r="T571" s="375">
        <v>0</v>
      </c>
      <c r="U571" s="375">
        <v>0</v>
      </c>
      <c r="V571" s="380" t="e">
        <f t="shared" ca="1" si="78"/>
        <v>#NAME?</v>
      </c>
    </row>
    <row r="572" spans="1:22" ht="14.25" hidden="1" customHeight="1">
      <c r="A572" s="383" t="s">
        <v>1963</v>
      </c>
      <c r="B572" s="370" t="e">
        <f ca="1">_xludf.IFNA(VLOOKUP(Bolts!$A572,'Kilter Holds'!$P$37:$S$662,4,0),0)</f>
        <v>#NAME?</v>
      </c>
      <c r="C572" s="384">
        <v>1</v>
      </c>
      <c r="D572" s="373">
        <v>0</v>
      </c>
      <c r="E572" s="374">
        <v>0</v>
      </c>
      <c r="F572" s="374">
        <v>0</v>
      </c>
      <c r="G572" s="374">
        <v>0</v>
      </c>
      <c r="H572" s="374">
        <v>0</v>
      </c>
      <c r="I572" s="374">
        <f t="shared" ca="1" si="87"/>
        <v>0</v>
      </c>
      <c r="J572" s="374">
        <v>0</v>
      </c>
      <c r="K572" s="374">
        <v>0</v>
      </c>
      <c r="L572" s="374">
        <v>0</v>
      </c>
      <c r="M572" s="374">
        <v>0</v>
      </c>
      <c r="N572" s="374">
        <v>0</v>
      </c>
      <c r="O572" s="374">
        <v>0</v>
      </c>
      <c r="P572" s="374">
        <v>0</v>
      </c>
      <c r="Q572" s="373">
        <v>0</v>
      </c>
      <c r="R572" s="374">
        <v>0</v>
      </c>
      <c r="S572" s="375">
        <v>0</v>
      </c>
      <c r="T572" s="375">
        <v>0</v>
      </c>
      <c r="U572" s="375">
        <v>0</v>
      </c>
      <c r="V572" s="380" t="e">
        <f t="shared" ca="1" si="78"/>
        <v>#NAME?</v>
      </c>
    </row>
    <row r="573" spans="1:22" ht="14.25" hidden="1" customHeight="1">
      <c r="A573" s="383" t="s">
        <v>1964</v>
      </c>
      <c r="B573" s="370" t="e">
        <f ca="1">_xludf.IFNA(VLOOKUP(Bolts!$A573,'Kilter Holds'!$P$37:$S$662,4,0),0)</f>
        <v>#NAME?</v>
      </c>
      <c r="C573" s="384">
        <v>1</v>
      </c>
      <c r="D573" s="373">
        <v>0</v>
      </c>
      <c r="E573" s="374">
        <v>0</v>
      </c>
      <c r="F573" s="374">
        <v>0</v>
      </c>
      <c r="G573" s="374">
        <v>0</v>
      </c>
      <c r="H573" s="374">
        <v>0</v>
      </c>
      <c r="I573" s="374">
        <f t="shared" ca="1" si="87"/>
        <v>0</v>
      </c>
      <c r="J573" s="374">
        <v>0</v>
      </c>
      <c r="K573" s="374">
        <v>0</v>
      </c>
      <c r="L573" s="374">
        <v>0</v>
      </c>
      <c r="M573" s="374">
        <v>0</v>
      </c>
      <c r="N573" s="374">
        <v>0</v>
      </c>
      <c r="O573" s="374">
        <v>0</v>
      </c>
      <c r="P573" s="374">
        <v>0</v>
      </c>
      <c r="Q573" s="373">
        <v>0</v>
      </c>
      <c r="R573" s="374">
        <v>0</v>
      </c>
      <c r="S573" s="375">
        <v>0</v>
      </c>
      <c r="T573" s="375">
        <v>0</v>
      </c>
      <c r="U573" s="375">
        <v>0</v>
      </c>
      <c r="V573" s="380" t="e">
        <f t="shared" ca="1" si="78"/>
        <v>#NAME?</v>
      </c>
    </row>
    <row r="574" spans="1:22" ht="14.25" hidden="1" customHeight="1">
      <c r="A574" s="383" t="s">
        <v>1965</v>
      </c>
      <c r="B574" s="370" t="e">
        <f ca="1">_xludf.IFNA(VLOOKUP(Bolts!$A574,'Kilter Holds'!$P$37:$S$662,4,0),0)</f>
        <v>#NAME?</v>
      </c>
      <c r="C574" s="384">
        <v>1</v>
      </c>
      <c r="D574" s="373">
        <v>0</v>
      </c>
      <c r="E574" s="374">
        <v>0</v>
      </c>
      <c r="F574" s="374">
        <v>0</v>
      </c>
      <c r="G574" s="374">
        <v>0</v>
      </c>
      <c r="H574" s="374">
        <v>0</v>
      </c>
      <c r="I574" s="374">
        <f t="shared" ca="1" si="87"/>
        <v>0</v>
      </c>
      <c r="J574" s="374">
        <v>0</v>
      </c>
      <c r="K574" s="374">
        <v>0</v>
      </c>
      <c r="L574" s="374">
        <v>0</v>
      </c>
      <c r="M574" s="374">
        <v>0</v>
      </c>
      <c r="N574" s="374">
        <v>0</v>
      </c>
      <c r="O574" s="374">
        <v>0</v>
      </c>
      <c r="P574" s="374">
        <v>0</v>
      </c>
      <c r="Q574" s="373">
        <v>0</v>
      </c>
      <c r="R574" s="374">
        <v>0</v>
      </c>
      <c r="S574" s="375">
        <v>0</v>
      </c>
      <c r="T574" s="375">
        <v>0</v>
      </c>
      <c r="U574" s="375">
        <v>0</v>
      </c>
      <c r="V574" s="380" t="e">
        <f t="shared" ca="1" si="78"/>
        <v>#NAME?</v>
      </c>
    </row>
    <row r="575" spans="1:22" ht="14.25" hidden="1" customHeight="1">
      <c r="A575" s="383" t="s">
        <v>1966</v>
      </c>
      <c r="B575" s="370" t="e">
        <f ca="1">_xludf.IFNA(VLOOKUP(Bolts!$A575,'Kilter Holds'!$P$37:$S$662,4,0),0)</f>
        <v>#NAME?</v>
      </c>
      <c r="C575" s="384">
        <v>1</v>
      </c>
      <c r="D575" s="373">
        <v>0</v>
      </c>
      <c r="E575" s="374">
        <v>0</v>
      </c>
      <c r="F575" s="374">
        <v>0</v>
      </c>
      <c r="G575" s="374">
        <v>0</v>
      </c>
      <c r="H575" s="374">
        <v>0</v>
      </c>
      <c r="I575" s="374">
        <f t="shared" ca="1" si="87"/>
        <v>0</v>
      </c>
      <c r="J575" s="374">
        <v>0</v>
      </c>
      <c r="K575" s="374">
        <v>0</v>
      </c>
      <c r="L575" s="374">
        <v>0</v>
      </c>
      <c r="M575" s="374">
        <v>0</v>
      </c>
      <c r="N575" s="374">
        <v>0</v>
      </c>
      <c r="O575" s="374">
        <v>0</v>
      </c>
      <c r="P575" s="374">
        <v>0</v>
      </c>
      <c r="Q575" s="373">
        <v>0</v>
      </c>
      <c r="R575" s="374">
        <v>0</v>
      </c>
      <c r="S575" s="375">
        <v>0</v>
      </c>
      <c r="T575" s="375">
        <v>0</v>
      </c>
      <c r="U575" s="375">
        <v>0</v>
      </c>
      <c r="V575" s="380" t="e">
        <f t="shared" ca="1" si="78"/>
        <v>#NAME?</v>
      </c>
    </row>
    <row r="576" spans="1:22" ht="14.25" hidden="1" customHeight="1">
      <c r="A576" s="383" t="s">
        <v>1967</v>
      </c>
      <c r="B576" s="370" t="e">
        <f ca="1">_xludf.IFNA(VLOOKUP(Bolts!$A576,'Kilter Holds'!$P$37:$S$662,4,0),0)</f>
        <v>#NAME?</v>
      </c>
      <c r="C576" s="384">
        <v>1</v>
      </c>
      <c r="D576" s="373">
        <v>0</v>
      </c>
      <c r="E576" s="374">
        <v>0</v>
      </c>
      <c r="F576" s="374">
        <v>0</v>
      </c>
      <c r="G576" s="374">
        <v>0</v>
      </c>
      <c r="H576" s="374">
        <v>0</v>
      </c>
      <c r="I576" s="374">
        <f t="shared" ca="1" si="87"/>
        <v>0</v>
      </c>
      <c r="J576" s="374">
        <v>0</v>
      </c>
      <c r="K576" s="374">
        <v>0</v>
      </c>
      <c r="L576" s="374">
        <v>0</v>
      </c>
      <c r="M576" s="374">
        <v>0</v>
      </c>
      <c r="N576" s="374">
        <v>0</v>
      </c>
      <c r="O576" s="374">
        <v>0</v>
      </c>
      <c r="P576" s="374">
        <v>0</v>
      </c>
      <c r="Q576" s="373">
        <v>0</v>
      </c>
      <c r="R576" s="374">
        <v>0</v>
      </c>
      <c r="S576" s="375">
        <v>0</v>
      </c>
      <c r="T576" s="375">
        <v>0</v>
      </c>
      <c r="U576" s="375">
        <v>0</v>
      </c>
      <c r="V576" s="380" t="e">
        <f t="shared" ca="1" si="78"/>
        <v>#NAME?</v>
      </c>
    </row>
    <row r="577" spans="1:22" ht="14.25" hidden="1" customHeight="1">
      <c r="A577" s="383" t="s">
        <v>1968</v>
      </c>
      <c r="B577" s="370" t="e">
        <f ca="1">_xludf.IFNA(VLOOKUP(Bolts!$A577,'Kilter Holds'!$P$37:$S$662,4,0),0)</f>
        <v>#NAME?</v>
      </c>
      <c r="C577" s="384">
        <v>1</v>
      </c>
      <c r="D577" s="373">
        <v>0</v>
      </c>
      <c r="E577" s="374">
        <v>0</v>
      </c>
      <c r="F577" s="374">
        <v>0</v>
      </c>
      <c r="G577" s="374">
        <v>0</v>
      </c>
      <c r="H577" s="374">
        <v>0</v>
      </c>
      <c r="I577" s="374">
        <f t="shared" ca="1" si="87"/>
        <v>0</v>
      </c>
      <c r="J577" s="374">
        <v>0</v>
      </c>
      <c r="K577" s="374">
        <v>0</v>
      </c>
      <c r="L577" s="374">
        <v>0</v>
      </c>
      <c r="M577" s="374">
        <v>0</v>
      </c>
      <c r="N577" s="374">
        <v>0</v>
      </c>
      <c r="O577" s="374">
        <v>0</v>
      </c>
      <c r="P577" s="374">
        <v>0</v>
      </c>
      <c r="Q577" s="373">
        <v>0</v>
      </c>
      <c r="R577" s="374">
        <v>0</v>
      </c>
      <c r="S577" s="375">
        <v>0</v>
      </c>
      <c r="T577" s="375">
        <v>0</v>
      </c>
      <c r="U577" s="375">
        <v>0</v>
      </c>
      <c r="V577" s="380" t="e">
        <f t="shared" ca="1" si="78"/>
        <v>#NAME?</v>
      </c>
    </row>
    <row r="578" spans="1:22" ht="14.25" hidden="1" customHeight="1">
      <c r="A578" s="383" t="s">
        <v>1969</v>
      </c>
      <c r="B578" s="370" t="e">
        <f ca="1">_xludf.IFNA(VLOOKUP(Bolts!$A578,'Kilter Holds'!$P$37:$S$662,4,0),0)</f>
        <v>#NAME?</v>
      </c>
      <c r="C578" s="384">
        <v>5</v>
      </c>
      <c r="D578" s="373">
        <v>0</v>
      </c>
      <c r="E578" s="374">
        <v>0</v>
      </c>
      <c r="F578" s="374">
        <v>0</v>
      </c>
      <c r="G578" s="374">
        <v>0</v>
      </c>
      <c r="H578" s="374">
        <v>0</v>
      </c>
      <c r="I578" s="374">
        <v>0</v>
      </c>
      <c r="J578" s="374">
        <v>0</v>
      </c>
      <c r="K578" s="374">
        <v>0</v>
      </c>
      <c r="L578" s="374">
        <v>0</v>
      </c>
      <c r="M578" s="374">
        <v>0</v>
      </c>
      <c r="N578" s="374">
        <v>0</v>
      </c>
      <c r="O578" s="374">
        <v>0</v>
      </c>
      <c r="P578" s="374">
        <v>0</v>
      </c>
      <c r="Q578" s="373">
        <v>0</v>
      </c>
      <c r="R578" s="374">
        <f ca="1">IFERROR(15*B578,0)</f>
        <v>0</v>
      </c>
      <c r="S578" s="375">
        <v>0</v>
      </c>
      <c r="T578" s="375">
        <v>0</v>
      </c>
      <c r="U578" s="375">
        <v>0</v>
      </c>
      <c r="V578" s="380" t="e">
        <f t="shared" ca="1" si="78"/>
        <v>#NAME?</v>
      </c>
    </row>
    <row r="579" spans="1:22" ht="14.25" hidden="1" customHeight="1">
      <c r="A579" s="383" t="s">
        <v>1970</v>
      </c>
      <c r="B579" s="370" t="e">
        <f ca="1">_xludf.IFNA(VLOOKUP(Bolts!$A579,'Kilter Holds'!$P$37:$S$662,4,0),0)</f>
        <v>#NAME?</v>
      </c>
      <c r="C579" s="384">
        <v>1</v>
      </c>
      <c r="D579" s="373">
        <v>0</v>
      </c>
      <c r="E579" s="374">
        <v>0</v>
      </c>
      <c r="F579" s="374">
        <v>0</v>
      </c>
      <c r="G579" s="374">
        <v>0</v>
      </c>
      <c r="H579" s="374">
        <v>0</v>
      </c>
      <c r="I579" s="374">
        <f t="shared" ref="I579:I608" ca="1" si="88">IFERROR(1*B579,0)</f>
        <v>0</v>
      </c>
      <c r="J579" s="374">
        <v>0</v>
      </c>
      <c r="K579" s="374">
        <v>0</v>
      </c>
      <c r="L579" s="374">
        <v>0</v>
      </c>
      <c r="M579" s="374">
        <v>0</v>
      </c>
      <c r="N579" s="374">
        <v>0</v>
      </c>
      <c r="O579" s="374">
        <v>0</v>
      </c>
      <c r="P579" s="374">
        <v>0</v>
      </c>
      <c r="Q579" s="373">
        <v>0</v>
      </c>
      <c r="R579" s="374">
        <v>0</v>
      </c>
      <c r="S579" s="375">
        <v>0</v>
      </c>
      <c r="T579" s="375">
        <v>0</v>
      </c>
      <c r="U579" s="375">
        <v>0</v>
      </c>
      <c r="V579" s="380" t="e">
        <f t="shared" ca="1" si="78"/>
        <v>#NAME?</v>
      </c>
    </row>
    <row r="580" spans="1:22" ht="14.25" hidden="1" customHeight="1">
      <c r="A580" s="383" t="s">
        <v>1971</v>
      </c>
      <c r="B580" s="370" t="e">
        <f ca="1">_xludf.IFNA(VLOOKUP(Bolts!$A580,'Kilter Holds'!$P$37:$S$662,4,0),0)</f>
        <v>#NAME?</v>
      </c>
      <c r="C580" s="384">
        <v>1</v>
      </c>
      <c r="D580" s="373">
        <v>0</v>
      </c>
      <c r="E580" s="374">
        <v>0</v>
      </c>
      <c r="F580" s="374">
        <v>0</v>
      </c>
      <c r="G580" s="374">
        <v>0</v>
      </c>
      <c r="H580" s="374">
        <v>0</v>
      </c>
      <c r="I580" s="374">
        <f t="shared" ca="1" si="88"/>
        <v>0</v>
      </c>
      <c r="J580" s="374">
        <v>0</v>
      </c>
      <c r="K580" s="374">
        <v>0</v>
      </c>
      <c r="L580" s="374">
        <v>0</v>
      </c>
      <c r="M580" s="374">
        <v>0</v>
      </c>
      <c r="N580" s="374">
        <v>0</v>
      </c>
      <c r="O580" s="374">
        <v>0</v>
      </c>
      <c r="P580" s="374">
        <v>0</v>
      </c>
      <c r="Q580" s="373">
        <v>0</v>
      </c>
      <c r="R580" s="374">
        <v>0</v>
      </c>
      <c r="S580" s="375">
        <v>0</v>
      </c>
      <c r="T580" s="375">
        <v>0</v>
      </c>
      <c r="U580" s="375">
        <v>0</v>
      </c>
      <c r="V580" s="380" t="e">
        <f t="shared" ca="1" si="78"/>
        <v>#NAME?</v>
      </c>
    </row>
    <row r="581" spans="1:22" ht="14.25" hidden="1" customHeight="1">
      <c r="A581" s="383" t="s">
        <v>1972</v>
      </c>
      <c r="B581" s="370" t="e">
        <f ca="1">_xludf.IFNA(VLOOKUP(Bolts!$A581,'Kilter Holds'!$P$37:$S$662,4,0),0)</f>
        <v>#NAME?</v>
      </c>
      <c r="C581" s="384">
        <v>1</v>
      </c>
      <c r="D581" s="373">
        <v>0</v>
      </c>
      <c r="E581" s="374">
        <v>0</v>
      </c>
      <c r="F581" s="374">
        <v>0</v>
      </c>
      <c r="G581" s="374">
        <v>0</v>
      </c>
      <c r="H581" s="374">
        <v>0</v>
      </c>
      <c r="I581" s="374">
        <f t="shared" ca="1" si="88"/>
        <v>0</v>
      </c>
      <c r="J581" s="374">
        <v>0</v>
      </c>
      <c r="K581" s="374">
        <v>0</v>
      </c>
      <c r="L581" s="374">
        <v>0</v>
      </c>
      <c r="M581" s="374">
        <v>0</v>
      </c>
      <c r="N581" s="374">
        <v>0</v>
      </c>
      <c r="O581" s="374">
        <v>0</v>
      </c>
      <c r="P581" s="374">
        <v>0</v>
      </c>
      <c r="Q581" s="373">
        <v>0</v>
      </c>
      <c r="R581" s="374">
        <v>0</v>
      </c>
      <c r="S581" s="375">
        <v>0</v>
      </c>
      <c r="T581" s="375">
        <v>0</v>
      </c>
      <c r="U581" s="375">
        <v>0</v>
      </c>
      <c r="V581" s="380" t="e">
        <f t="shared" ca="1" si="78"/>
        <v>#NAME?</v>
      </c>
    </row>
    <row r="582" spans="1:22" ht="14.25" hidden="1" customHeight="1">
      <c r="A582" s="383" t="s">
        <v>1973</v>
      </c>
      <c r="B582" s="370" t="e">
        <f ca="1">_xludf.IFNA(VLOOKUP(Bolts!$A582,'Kilter Holds'!$P$37:$S$662,4,0),0)</f>
        <v>#NAME?</v>
      </c>
      <c r="C582" s="384">
        <v>1</v>
      </c>
      <c r="D582" s="373">
        <v>0</v>
      </c>
      <c r="E582" s="374">
        <v>0</v>
      </c>
      <c r="F582" s="374">
        <v>0</v>
      </c>
      <c r="G582" s="374">
        <v>0</v>
      </c>
      <c r="H582" s="374">
        <v>0</v>
      </c>
      <c r="I582" s="374">
        <f t="shared" ca="1" si="88"/>
        <v>0</v>
      </c>
      <c r="J582" s="374">
        <v>0</v>
      </c>
      <c r="K582" s="374">
        <v>0</v>
      </c>
      <c r="L582" s="374">
        <v>0</v>
      </c>
      <c r="M582" s="374">
        <v>0</v>
      </c>
      <c r="N582" s="374">
        <v>0</v>
      </c>
      <c r="O582" s="374">
        <v>0</v>
      </c>
      <c r="P582" s="374">
        <v>0</v>
      </c>
      <c r="Q582" s="373">
        <v>0</v>
      </c>
      <c r="R582" s="374">
        <v>0</v>
      </c>
      <c r="S582" s="375">
        <v>0</v>
      </c>
      <c r="T582" s="375">
        <v>0</v>
      </c>
      <c r="U582" s="375">
        <v>0</v>
      </c>
      <c r="V582" s="380" t="e">
        <f t="shared" ca="1" si="78"/>
        <v>#NAME?</v>
      </c>
    </row>
    <row r="583" spans="1:22" ht="14.25" hidden="1" customHeight="1">
      <c r="A583" s="383" t="s">
        <v>1974</v>
      </c>
      <c r="B583" s="370" t="e">
        <f ca="1">_xludf.IFNA(VLOOKUP(Bolts!$A583,'Kilter Holds'!$P$37:$S$662,4,0),0)</f>
        <v>#NAME?</v>
      </c>
      <c r="C583" s="384">
        <v>1</v>
      </c>
      <c r="D583" s="373">
        <v>0</v>
      </c>
      <c r="E583" s="374">
        <v>0</v>
      </c>
      <c r="F583" s="374">
        <v>0</v>
      </c>
      <c r="G583" s="374">
        <v>0</v>
      </c>
      <c r="H583" s="374">
        <v>0</v>
      </c>
      <c r="I583" s="374">
        <f t="shared" ca="1" si="88"/>
        <v>0</v>
      </c>
      <c r="J583" s="374">
        <v>0</v>
      </c>
      <c r="K583" s="374">
        <v>0</v>
      </c>
      <c r="L583" s="374">
        <v>0</v>
      </c>
      <c r="M583" s="374">
        <v>0</v>
      </c>
      <c r="N583" s="374">
        <v>0</v>
      </c>
      <c r="O583" s="374">
        <v>0</v>
      </c>
      <c r="P583" s="374">
        <v>0</v>
      </c>
      <c r="Q583" s="373">
        <v>0</v>
      </c>
      <c r="R583" s="374">
        <v>0</v>
      </c>
      <c r="S583" s="375">
        <v>0</v>
      </c>
      <c r="T583" s="375">
        <v>0</v>
      </c>
      <c r="U583" s="375">
        <v>0</v>
      </c>
      <c r="V583" s="380" t="e">
        <f t="shared" ca="1" si="78"/>
        <v>#NAME?</v>
      </c>
    </row>
    <row r="584" spans="1:22" ht="14.25" hidden="1" customHeight="1">
      <c r="A584" s="383" t="s">
        <v>1975</v>
      </c>
      <c r="B584" s="370" t="e">
        <f ca="1">_xludf.IFNA(VLOOKUP(Bolts!$A584,'Kilter Holds'!$P$37:$S$662,4,0),0)</f>
        <v>#NAME?</v>
      </c>
      <c r="C584" s="384">
        <v>1</v>
      </c>
      <c r="D584" s="373">
        <v>0</v>
      </c>
      <c r="E584" s="374">
        <v>0</v>
      </c>
      <c r="F584" s="374">
        <v>0</v>
      </c>
      <c r="G584" s="374">
        <v>0</v>
      </c>
      <c r="H584" s="374">
        <v>0</v>
      </c>
      <c r="I584" s="374">
        <f t="shared" ca="1" si="88"/>
        <v>0</v>
      </c>
      <c r="J584" s="374">
        <v>0</v>
      </c>
      <c r="K584" s="374">
        <v>0</v>
      </c>
      <c r="L584" s="374">
        <v>0</v>
      </c>
      <c r="M584" s="374">
        <v>0</v>
      </c>
      <c r="N584" s="374">
        <v>0</v>
      </c>
      <c r="O584" s="374">
        <v>0</v>
      </c>
      <c r="P584" s="374">
        <v>0</v>
      </c>
      <c r="Q584" s="373">
        <v>0</v>
      </c>
      <c r="R584" s="374">
        <v>0</v>
      </c>
      <c r="S584" s="375">
        <v>0</v>
      </c>
      <c r="T584" s="375">
        <v>0</v>
      </c>
      <c r="U584" s="375">
        <v>0</v>
      </c>
      <c r="V584" s="380" t="e">
        <f t="shared" ca="1" si="78"/>
        <v>#NAME?</v>
      </c>
    </row>
    <row r="585" spans="1:22" ht="14.25" hidden="1" customHeight="1">
      <c r="A585" s="383" t="s">
        <v>1976</v>
      </c>
      <c r="B585" s="370" t="e">
        <f ca="1">_xludf.IFNA(VLOOKUP(Bolts!$A585,'Kilter Holds'!$P$37:$S$662,4,0),0)</f>
        <v>#NAME?</v>
      </c>
      <c r="C585" s="384">
        <v>1</v>
      </c>
      <c r="D585" s="373">
        <v>0</v>
      </c>
      <c r="E585" s="374">
        <v>0</v>
      </c>
      <c r="F585" s="374">
        <v>0</v>
      </c>
      <c r="G585" s="374">
        <v>0</v>
      </c>
      <c r="H585" s="374">
        <v>0</v>
      </c>
      <c r="I585" s="374">
        <f t="shared" ca="1" si="88"/>
        <v>0</v>
      </c>
      <c r="J585" s="374">
        <v>0</v>
      </c>
      <c r="K585" s="374">
        <v>0</v>
      </c>
      <c r="L585" s="374">
        <v>0</v>
      </c>
      <c r="M585" s="374">
        <v>0</v>
      </c>
      <c r="N585" s="374">
        <v>0</v>
      </c>
      <c r="O585" s="374">
        <v>0</v>
      </c>
      <c r="P585" s="374">
        <v>0</v>
      </c>
      <c r="Q585" s="373">
        <v>0</v>
      </c>
      <c r="R585" s="374">
        <v>0</v>
      </c>
      <c r="S585" s="375">
        <v>0</v>
      </c>
      <c r="T585" s="375">
        <v>0</v>
      </c>
      <c r="U585" s="375">
        <v>0</v>
      </c>
      <c r="V585" s="380" t="e">
        <f t="shared" ca="1" si="78"/>
        <v>#NAME?</v>
      </c>
    </row>
    <row r="586" spans="1:22" ht="14.25" hidden="1" customHeight="1">
      <c r="A586" s="383" t="s">
        <v>1977</v>
      </c>
      <c r="B586" s="370" t="e">
        <f ca="1">_xludf.IFNA(VLOOKUP(Bolts!$A586,'Kilter Holds'!$P$37:$S$662,4,0),0)</f>
        <v>#NAME?</v>
      </c>
      <c r="C586" s="384">
        <v>1</v>
      </c>
      <c r="D586" s="373">
        <v>0</v>
      </c>
      <c r="E586" s="374">
        <v>0</v>
      </c>
      <c r="F586" s="374">
        <v>0</v>
      </c>
      <c r="G586" s="374">
        <v>0</v>
      </c>
      <c r="H586" s="374">
        <v>0</v>
      </c>
      <c r="I586" s="374">
        <f t="shared" ca="1" si="88"/>
        <v>0</v>
      </c>
      <c r="J586" s="374">
        <v>0</v>
      </c>
      <c r="K586" s="374">
        <v>0</v>
      </c>
      <c r="L586" s="374">
        <v>0</v>
      </c>
      <c r="M586" s="374">
        <v>0</v>
      </c>
      <c r="N586" s="374">
        <v>0</v>
      </c>
      <c r="O586" s="374">
        <v>0</v>
      </c>
      <c r="P586" s="374">
        <v>0</v>
      </c>
      <c r="Q586" s="373">
        <v>0</v>
      </c>
      <c r="R586" s="374">
        <v>0</v>
      </c>
      <c r="S586" s="375">
        <v>0</v>
      </c>
      <c r="T586" s="375">
        <v>0</v>
      </c>
      <c r="U586" s="375">
        <v>0</v>
      </c>
      <c r="V586" s="380" t="e">
        <f t="shared" ca="1" si="78"/>
        <v>#NAME?</v>
      </c>
    </row>
    <row r="587" spans="1:22" ht="14.25" hidden="1" customHeight="1">
      <c r="A587" s="383" t="s">
        <v>1978</v>
      </c>
      <c r="B587" s="370" t="e">
        <f ca="1">_xludf.IFNA(VLOOKUP(Bolts!$A587,'Kilter Holds'!$P$37:$S$662,4,0),0)</f>
        <v>#NAME?</v>
      </c>
      <c r="C587" s="384">
        <v>1</v>
      </c>
      <c r="D587" s="373">
        <v>0</v>
      </c>
      <c r="E587" s="374">
        <v>0</v>
      </c>
      <c r="F587" s="374">
        <v>0</v>
      </c>
      <c r="G587" s="374">
        <v>0</v>
      </c>
      <c r="H587" s="374">
        <v>0</v>
      </c>
      <c r="I587" s="374">
        <f t="shared" ca="1" si="88"/>
        <v>0</v>
      </c>
      <c r="J587" s="374">
        <v>0</v>
      </c>
      <c r="K587" s="374">
        <v>0</v>
      </c>
      <c r="L587" s="374">
        <v>0</v>
      </c>
      <c r="M587" s="374">
        <v>0</v>
      </c>
      <c r="N587" s="374">
        <v>0</v>
      </c>
      <c r="O587" s="374">
        <v>0</v>
      </c>
      <c r="P587" s="374">
        <v>0</v>
      </c>
      <c r="Q587" s="373">
        <v>0</v>
      </c>
      <c r="R587" s="374">
        <v>0</v>
      </c>
      <c r="S587" s="375">
        <v>0</v>
      </c>
      <c r="T587" s="375">
        <v>0</v>
      </c>
      <c r="U587" s="375">
        <v>0</v>
      </c>
      <c r="V587" s="380" t="e">
        <f t="shared" ca="1" si="78"/>
        <v>#NAME?</v>
      </c>
    </row>
    <row r="588" spans="1:22" ht="14.25" hidden="1" customHeight="1">
      <c r="A588" s="383" t="s">
        <v>1979</v>
      </c>
      <c r="B588" s="370" t="e">
        <f ca="1">_xludf.IFNA(VLOOKUP(Bolts!$A588,'Kilter Holds'!$P$37:$S$662,4,0),0)</f>
        <v>#NAME?</v>
      </c>
      <c r="C588" s="384">
        <v>1</v>
      </c>
      <c r="D588" s="373">
        <v>0</v>
      </c>
      <c r="E588" s="374">
        <v>0</v>
      </c>
      <c r="F588" s="374">
        <v>0</v>
      </c>
      <c r="G588" s="374">
        <v>0</v>
      </c>
      <c r="H588" s="374">
        <v>0</v>
      </c>
      <c r="I588" s="374">
        <f t="shared" ca="1" si="88"/>
        <v>0</v>
      </c>
      <c r="J588" s="374">
        <v>0</v>
      </c>
      <c r="K588" s="374">
        <v>0</v>
      </c>
      <c r="L588" s="374">
        <v>0</v>
      </c>
      <c r="M588" s="374">
        <v>0</v>
      </c>
      <c r="N588" s="374">
        <v>0</v>
      </c>
      <c r="O588" s="374">
        <v>0</v>
      </c>
      <c r="P588" s="374">
        <v>0</v>
      </c>
      <c r="Q588" s="373">
        <v>0</v>
      </c>
      <c r="R588" s="374">
        <v>0</v>
      </c>
      <c r="S588" s="375">
        <v>0</v>
      </c>
      <c r="T588" s="375">
        <v>0</v>
      </c>
      <c r="U588" s="375">
        <v>0</v>
      </c>
      <c r="V588" s="380" t="e">
        <f t="shared" ca="1" si="78"/>
        <v>#NAME?</v>
      </c>
    </row>
    <row r="589" spans="1:22" ht="14.25" hidden="1" customHeight="1">
      <c r="A589" s="383" t="s">
        <v>1980</v>
      </c>
      <c r="B589" s="370" t="e">
        <f ca="1">_xludf.IFNA(VLOOKUP(Bolts!$A589,'Kilter Holds'!$P$37:$S$662,4,0),0)</f>
        <v>#NAME?</v>
      </c>
      <c r="C589" s="384">
        <v>1</v>
      </c>
      <c r="D589" s="373">
        <v>0</v>
      </c>
      <c r="E589" s="374">
        <v>0</v>
      </c>
      <c r="F589" s="374">
        <v>0</v>
      </c>
      <c r="G589" s="374">
        <v>0</v>
      </c>
      <c r="H589" s="374">
        <v>0</v>
      </c>
      <c r="I589" s="374">
        <f t="shared" ca="1" si="88"/>
        <v>0</v>
      </c>
      <c r="J589" s="374">
        <v>0</v>
      </c>
      <c r="K589" s="374">
        <v>0</v>
      </c>
      <c r="L589" s="374">
        <v>0</v>
      </c>
      <c r="M589" s="374">
        <v>0</v>
      </c>
      <c r="N589" s="374">
        <v>0</v>
      </c>
      <c r="O589" s="374">
        <v>0</v>
      </c>
      <c r="P589" s="374">
        <v>0</v>
      </c>
      <c r="Q589" s="373">
        <v>0</v>
      </c>
      <c r="R589" s="374">
        <v>0</v>
      </c>
      <c r="S589" s="375">
        <v>0</v>
      </c>
      <c r="T589" s="375">
        <v>0</v>
      </c>
      <c r="U589" s="375">
        <v>0</v>
      </c>
      <c r="V589" s="380" t="e">
        <f t="shared" ca="1" si="78"/>
        <v>#NAME?</v>
      </c>
    </row>
    <row r="590" spans="1:22" ht="14.25" hidden="1" customHeight="1">
      <c r="A590" s="383" t="s">
        <v>1981</v>
      </c>
      <c r="B590" s="370" t="e">
        <f ca="1">_xludf.IFNA(VLOOKUP(Bolts!$A590,'Kilter Holds'!$P$37:$S$662,4,0),0)</f>
        <v>#NAME?</v>
      </c>
      <c r="C590" s="384">
        <v>1</v>
      </c>
      <c r="D590" s="373">
        <v>0</v>
      </c>
      <c r="E590" s="374">
        <v>0</v>
      </c>
      <c r="F590" s="374">
        <v>0</v>
      </c>
      <c r="G590" s="374">
        <v>0</v>
      </c>
      <c r="H590" s="374">
        <v>0</v>
      </c>
      <c r="I590" s="374">
        <f t="shared" ca="1" si="88"/>
        <v>0</v>
      </c>
      <c r="J590" s="374">
        <v>0</v>
      </c>
      <c r="K590" s="374">
        <v>0</v>
      </c>
      <c r="L590" s="374">
        <v>0</v>
      </c>
      <c r="M590" s="374">
        <v>0</v>
      </c>
      <c r="N590" s="374">
        <v>0</v>
      </c>
      <c r="O590" s="374">
        <v>0</v>
      </c>
      <c r="P590" s="374">
        <v>0</v>
      </c>
      <c r="Q590" s="373">
        <v>0</v>
      </c>
      <c r="R590" s="374">
        <v>0</v>
      </c>
      <c r="S590" s="375">
        <v>0</v>
      </c>
      <c r="T590" s="375">
        <v>0</v>
      </c>
      <c r="U590" s="375">
        <v>0</v>
      </c>
      <c r="V590" s="380" t="e">
        <f t="shared" ca="1" si="78"/>
        <v>#NAME?</v>
      </c>
    </row>
    <row r="591" spans="1:22" ht="14.25" hidden="1" customHeight="1">
      <c r="A591" s="383" t="s">
        <v>1982</v>
      </c>
      <c r="B591" s="370" t="e">
        <f ca="1">_xludf.IFNA(VLOOKUP(Bolts!$A591,'Kilter Holds'!$P$37:$S$662,4,0),0)</f>
        <v>#NAME?</v>
      </c>
      <c r="C591" s="384">
        <v>1</v>
      </c>
      <c r="D591" s="373">
        <v>0</v>
      </c>
      <c r="E591" s="374">
        <v>0</v>
      </c>
      <c r="F591" s="374">
        <v>0</v>
      </c>
      <c r="G591" s="374">
        <v>0</v>
      </c>
      <c r="H591" s="374">
        <v>0</v>
      </c>
      <c r="I591" s="374">
        <f t="shared" ca="1" si="88"/>
        <v>0</v>
      </c>
      <c r="J591" s="374">
        <v>0</v>
      </c>
      <c r="K591" s="374">
        <v>0</v>
      </c>
      <c r="L591" s="374">
        <v>0</v>
      </c>
      <c r="M591" s="374">
        <v>0</v>
      </c>
      <c r="N591" s="374">
        <v>0</v>
      </c>
      <c r="O591" s="374">
        <v>0</v>
      </c>
      <c r="P591" s="374">
        <v>0</v>
      </c>
      <c r="Q591" s="373">
        <v>0</v>
      </c>
      <c r="R591" s="374">
        <v>0</v>
      </c>
      <c r="S591" s="375">
        <v>0</v>
      </c>
      <c r="T591" s="375">
        <v>0</v>
      </c>
      <c r="U591" s="375">
        <v>0</v>
      </c>
      <c r="V591" s="380" t="e">
        <f t="shared" ca="1" si="78"/>
        <v>#NAME?</v>
      </c>
    </row>
    <row r="592" spans="1:22" ht="14.25" hidden="1" customHeight="1">
      <c r="A592" s="383" t="s">
        <v>1983</v>
      </c>
      <c r="B592" s="370" t="e">
        <f ca="1">_xludf.IFNA(VLOOKUP(Bolts!$A592,'Kilter Holds'!$P$37:$S$662,4,0),0)</f>
        <v>#NAME?</v>
      </c>
      <c r="C592" s="384">
        <v>1</v>
      </c>
      <c r="D592" s="373">
        <v>0</v>
      </c>
      <c r="E592" s="374">
        <v>0</v>
      </c>
      <c r="F592" s="374">
        <v>0</v>
      </c>
      <c r="G592" s="374">
        <v>0</v>
      </c>
      <c r="H592" s="374">
        <v>0</v>
      </c>
      <c r="I592" s="374">
        <f t="shared" ca="1" si="88"/>
        <v>0</v>
      </c>
      <c r="J592" s="374">
        <v>0</v>
      </c>
      <c r="K592" s="374">
        <v>0</v>
      </c>
      <c r="L592" s="374">
        <v>0</v>
      </c>
      <c r="M592" s="374">
        <v>0</v>
      </c>
      <c r="N592" s="374">
        <v>0</v>
      </c>
      <c r="O592" s="374">
        <v>0</v>
      </c>
      <c r="P592" s="374">
        <v>0</v>
      </c>
      <c r="Q592" s="373">
        <v>0</v>
      </c>
      <c r="R592" s="374">
        <v>0</v>
      </c>
      <c r="S592" s="375">
        <v>0</v>
      </c>
      <c r="T592" s="375">
        <v>0</v>
      </c>
      <c r="U592" s="375">
        <v>0</v>
      </c>
      <c r="V592" s="380" t="e">
        <f t="shared" ca="1" si="78"/>
        <v>#NAME?</v>
      </c>
    </row>
    <row r="593" spans="1:22" ht="14.25" hidden="1" customHeight="1">
      <c r="A593" s="383" t="s">
        <v>1984</v>
      </c>
      <c r="B593" s="370" t="e">
        <f ca="1">_xludf.IFNA(VLOOKUP(Bolts!$A593,'Kilter Holds'!$P$37:$S$662,4,0),0)</f>
        <v>#NAME?</v>
      </c>
      <c r="C593" s="384">
        <v>1</v>
      </c>
      <c r="D593" s="373">
        <v>0</v>
      </c>
      <c r="E593" s="374">
        <v>0</v>
      </c>
      <c r="F593" s="374">
        <v>0</v>
      </c>
      <c r="G593" s="374">
        <v>0</v>
      </c>
      <c r="H593" s="374">
        <v>0</v>
      </c>
      <c r="I593" s="374">
        <f t="shared" ca="1" si="88"/>
        <v>0</v>
      </c>
      <c r="J593" s="374">
        <v>0</v>
      </c>
      <c r="K593" s="374">
        <v>0</v>
      </c>
      <c r="L593" s="374">
        <v>0</v>
      </c>
      <c r="M593" s="374">
        <v>0</v>
      </c>
      <c r="N593" s="374">
        <v>0</v>
      </c>
      <c r="O593" s="374">
        <v>0</v>
      </c>
      <c r="P593" s="374">
        <v>0</v>
      </c>
      <c r="Q593" s="373">
        <v>0</v>
      </c>
      <c r="R593" s="374">
        <v>0</v>
      </c>
      <c r="S593" s="375">
        <v>0</v>
      </c>
      <c r="T593" s="375">
        <v>0</v>
      </c>
      <c r="U593" s="375">
        <v>0</v>
      </c>
      <c r="V593" s="380" t="e">
        <f t="shared" ca="1" si="78"/>
        <v>#NAME?</v>
      </c>
    </row>
    <row r="594" spans="1:22" ht="14.25" hidden="1" customHeight="1">
      <c r="A594" s="383" t="s">
        <v>1985</v>
      </c>
      <c r="B594" s="370" t="e">
        <f ca="1">_xludf.IFNA(VLOOKUP(Bolts!$A594,'Kilter Holds'!$P$37:$S$662,4,0),0)</f>
        <v>#NAME?</v>
      </c>
      <c r="C594" s="384">
        <v>1</v>
      </c>
      <c r="D594" s="373">
        <v>0</v>
      </c>
      <c r="E594" s="374">
        <v>0</v>
      </c>
      <c r="F594" s="374">
        <v>0</v>
      </c>
      <c r="G594" s="374">
        <v>0</v>
      </c>
      <c r="H594" s="374">
        <v>0</v>
      </c>
      <c r="I594" s="374">
        <f t="shared" ca="1" si="88"/>
        <v>0</v>
      </c>
      <c r="J594" s="374">
        <v>0</v>
      </c>
      <c r="K594" s="374">
        <v>0</v>
      </c>
      <c r="L594" s="374">
        <v>0</v>
      </c>
      <c r="M594" s="374">
        <v>0</v>
      </c>
      <c r="N594" s="374">
        <v>0</v>
      </c>
      <c r="O594" s="374">
        <v>0</v>
      </c>
      <c r="P594" s="374">
        <v>0</v>
      </c>
      <c r="Q594" s="373">
        <v>0</v>
      </c>
      <c r="R594" s="374">
        <v>0</v>
      </c>
      <c r="S594" s="375">
        <v>0</v>
      </c>
      <c r="T594" s="375">
        <v>0</v>
      </c>
      <c r="U594" s="375">
        <v>0</v>
      </c>
      <c r="V594" s="380" t="e">
        <f t="shared" ca="1" si="78"/>
        <v>#NAME?</v>
      </c>
    </row>
    <row r="595" spans="1:22" ht="14.25" hidden="1" customHeight="1">
      <c r="A595" s="383" t="s">
        <v>1986</v>
      </c>
      <c r="B595" s="370" t="e">
        <f ca="1">_xludf.IFNA(VLOOKUP(Bolts!$A595,'Kilter Holds'!$P$37:$S$662,4,0),0)</f>
        <v>#NAME?</v>
      </c>
      <c r="C595" s="384">
        <v>1</v>
      </c>
      <c r="D595" s="373">
        <v>0</v>
      </c>
      <c r="E595" s="374">
        <v>0</v>
      </c>
      <c r="F595" s="374">
        <v>0</v>
      </c>
      <c r="G595" s="374">
        <v>0</v>
      </c>
      <c r="H595" s="374">
        <v>0</v>
      </c>
      <c r="I595" s="374">
        <f t="shared" ca="1" si="88"/>
        <v>0</v>
      </c>
      <c r="J595" s="374">
        <v>0</v>
      </c>
      <c r="K595" s="374">
        <v>0</v>
      </c>
      <c r="L595" s="374">
        <v>0</v>
      </c>
      <c r="M595" s="374">
        <v>0</v>
      </c>
      <c r="N595" s="374">
        <v>0</v>
      </c>
      <c r="O595" s="374">
        <v>0</v>
      </c>
      <c r="P595" s="374">
        <v>0</v>
      </c>
      <c r="Q595" s="373">
        <v>0</v>
      </c>
      <c r="R595" s="374">
        <v>0</v>
      </c>
      <c r="S595" s="375">
        <v>0</v>
      </c>
      <c r="T595" s="375">
        <v>0</v>
      </c>
      <c r="U595" s="375">
        <v>0</v>
      </c>
      <c r="V595" s="380" t="e">
        <f t="shared" ca="1" si="78"/>
        <v>#NAME?</v>
      </c>
    </row>
    <row r="596" spans="1:22" ht="14.25" hidden="1" customHeight="1">
      <c r="A596" s="383" t="s">
        <v>1987</v>
      </c>
      <c r="B596" s="370" t="e">
        <f ca="1">_xludf.IFNA(VLOOKUP(Bolts!$A596,'Kilter Holds'!$P$37:$S$662,4,0),0)</f>
        <v>#NAME?</v>
      </c>
      <c r="C596" s="384">
        <v>1</v>
      </c>
      <c r="D596" s="373">
        <v>0</v>
      </c>
      <c r="E596" s="374">
        <v>0</v>
      </c>
      <c r="F596" s="374">
        <v>0</v>
      </c>
      <c r="G596" s="374">
        <v>0</v>
      </c>
      <c r="H596" s="374">
        <v>0</v>
      </c>
      <c r="I596" s="374">
        <f t="shared" ca="1" si="88"/>
        <v>0</v>
      </c>
      <c r="J596" s="374">
        <v>0</v>
      </c>
      <c r="K596" s="374">
        <v>0</v>
      </c>
      <c r="L596" s="374">
        <v>0</v>
      </c>
      <c r="M596" s="374">
        <v>0</v>
      </c>
      <c r="N596" s="374">
        <v>0</v>
      </c>
      <c r="O596" s="374">
        <v>0</v>
      </c>
      <c r="P596" s="374">
        <v>0</v>
      </c>
      <c r="Q596" s="373">
        <v>0</v>
      </c>
      <c r="R596" s="374">
        <v>0</v>
      </c>
      <c r="S596" s="375">
        <v>0</v>
      </c>
      <c r="T596" s="375">
        <v>0</v>
      </c>
      <c r="U596" s="375">
        <v>0</v>
      </c>
      <c r="V596" s="380" t="e">
        <f t="shared" ca="1" si="78"/>
        <v>#NAME?</v>
      </c>
    </row>
    <row r="597" spans="1:22" ht="14.25" hidden="1" customHeight="1">
      <c r="A597" s="383" t="s">
        <v>1988</v>
      </c>
      <c r="B597" s="370" t="e">
        <f ca="1">_xludf.IFNA(VLOOKUP(Bolts!$A597,'Kilter Holds'!$P$37:$S$662,4,0),0)</f>
        <v>#NAME?</v>
      </c>
      <c r="C597" s="384">
        <v>1</v>
      </c>
      <c r="D597" s="373">
        <v>0</v>
      </c>
      <c r="E597" s="374">
        <v>0</v>
      </c>
      <c r="F597" s="374">
        <v>0</v>
      </c>
      <c r="G597" s="374">
        <v>0</v>
      </c>
      <c r="H597" s="374">
        <v>0</v>
      </c>
      <c r="I597" s="374">
        <f t="shared" ca="1" si="88"/>
        <v>0</v>
      </c>
      <c r="J597" s="374">
        <v>0</v>
      </c>
      <c r="K597" s="374">
        <v>0</v>
      </c>
      <c r="L597" s="374">
        <v>0</v>
      </c>
      <c r="M597" s="374">
        <v>0</v>
      </c>
      <c r="N597" s="374">
        <v>0</v>
      </c>
      <c r="O597" s="374">
        <v>0</v>
      </c>
      <c r="P597" s="374">
        <v>0</v>
      </c>
      <c r="Q597" s="373">
        <v>0</v>
      </c>
      <c r="R597" s="374">
        <v>0</v>
      </c>
      <c r="S597" s="375">
        <v>0</v>
      </c>
      <c r="T597" s="375">
        <v>0</v>
      </c>
      <c r="U597" s="375">
        <v>0</v>
      </c>
      <c r="V597" s="380" t="e">
        <f t="shared" ca="1" si="78"/>
        <v>#NAME?</v>
      </c>
    </row>
    <row r="598" spans="1:22" ht="14.25" hidden="1" customHeight="1">
      <c r="A598" s="383" t="s">
        <v>1989</v>
      </c>
      <c r="B598" s="370" t="e">
        <f ca="1">_xludf.IFNA(VLOOKUP(Bolts!$A598,'Kilter Holds'!$P$37:$S$662,4,0),0)</f>
        <v>#NAME?</v>
      </c>
      <c r="C598" s="384">
        <v>1</v>
      </c>
      <c r="D598" s="373">
        <v>0</v>
      </c>
      <c r="E598" s="374">
        <v>0</v>
      </c>
      <c r="F598" s="374">
        <v>0</v>
      </c>
      <c r="G598" s="374">
        <v>0</v>
      </c>
      <c r="H598" s="374">
        <v>0</v>
      </c>
      <c r="I598" s="374">
        <f t="shared" ca="1" si="88"/>
        <v>0</v>
      </c>
      <c r="J598" s="374">
        <v>0</v>
      </c>
      <c r="K598" s="374">
        <v>0</v>
      </c>
      <c r="L598" s="374">
        <v>0</v>
      </c>
      <c r="M598" s="374">
        <v>0</v>
      </c>
      <c r="N598" s="374">
        <v>0</v>
      </c>
      <c r="O598" s="374">
        <v>0</v>
      </c>
      <c r="P598" s="374">
        <v>0</v>
      </c>
      <c r="Q598" s="373">
        <v>0</v>
      </c>
      <c r="R598" s="374">
        <v>0</v>
      </c>
      <c r="S598" s="375">
        <v>0</v>
      </c>
      <c r="T598" s="375">
        <v>0</v>
      </c>
      <c r="U598" s="375">
        <v>0</v>
      </c>
      <c r="V598" s="380" t="e">
        <f t="shared" ca="1" si="78"/>
        <v>#NAME?</v>
      </c>
    </row>
    <row r="599" spans="1:22" ht="14.25" hidden="1" customHeight="1">
      <c r="A599" s="383" t="s">
        <v>1990</v>
      </c>
      <c r="B599" s="370" t="e">
        <f ca="1">_xludf.IFNA(VLOOKUP(Bolts!$A599,'Kilter Holds'!$P$37:$S$662,4,0),0)</f>
        <v>#NAME?</v>
      </c>
      <c r="C599" s="384">
        <v>1</v>
      </c>
      <c r="D599" s="373">
        <v>0</v>
      </c>
      <c r="E599" s="374">
        <v>0</v>
      </c>
      <c r="F599" s="374">
        <v>0</v>
      </c>
      <c r="G599" s="374">
        <v>0</v>
      </c>
      <c r="H599" s="374">
        <v>0</v>
      </c>
      <c r="I599" s="374">
        <f t="shared" ca="1" si="88"/>
        <v>0</v>
      </c>
      <c r="J599" s="374">
        <v>0</v>
      </c>
      <c r="K599" s="374">
        <v>0</v>
      </c>
      <c r="L599" s="374">
        <v>0</v>
      </c>
      <c r="M599" s="374">
        <v>0</v>
      </c>
      <c r="N599" s="374">
        <v>0</v>
      </c>
      <c r="O599" s="374">
        <v>0</v>
      </c>
      <c r="P599" s="374">
        <v>0</v>
      </c>
      <c r="Q599" s="373">
        <v>0</v>
      </c>
      <c r="R599" s="374">
        <v>0</v>
      </c>
      <c r="S599" s="375">
        <v>0</v>
      </c>
      <c r="T599" s="375">
        <v>0</v>
      </c>
      <c r="U599" s="375">
        <v>0</v>
      </c>
      <c r="V599" s="380" t="e">
        <f t="shared" ca="1" si="78"/>
        <v>#NAME?</v>
      </c>
    </row>
    <row r="600" spans="1:22" ht="14.25" hidden="1" customHeight="1">
      <c r="A600" s="383" t="s">
        <v>1991</v>
      </c>
      <c r="B600" s="370" t="e">
        <f ca="1">_xludf.IFNA(VLOOKUP(Bolts!$A600,'Kilter Holds'!$P$37:$S$662,4,0),0)</f>
        <v>#NAME?</v>
      </c>
      <c r="C600" s="384">
        <v>1</v>
      </c>
      <c r="D600" s="373">
        <v>0</v>
      </c>
      <c r="E600" s="374">
        <v>0</v>
      </c>
      <c r="F600" s="374">
        <v>0</v>
      </c>
      <c r="G600" s="374">
        <v>0</v>
      </c>
      <c r="H600" s="374">
        <v>0</v>
      </c>
      <c r="I600" s="374">
        <f t="shared" ca="1" si="88"/>
        <v>0</v>
      </c>
      <c r="J600" s="374">
        <v>0</v>
      </c>
      <c r="K600" s="374">
        <v>0</v>
      </c>
      <c r="L600" s="374">
        <v>0</v>
      </c>
      <c r="M600" s="374">
        <v>0</v>
      </c>
      <c r="N600" s="374">
        <v>0</v>
      </c>
      <c r="O600" s="374">
        <v>0</v>
      </c>
      <c r="P600" s="374">
        <v>0</v>
      </c>
      <c r="Q600" s="373">
        <v>0</v>
      </c>
      <c r="R600" s="374">
        <v>0</v>
      </c>
      <c r="S600" s="375">
        <v>0</v>
      </c>
      <c r="T600" s="375">
        <v>0</v>
      </c>
      <c r="U600" s="375">
        <v>0</v>
      </c>
      <c r="V600" s="380" t="e">
        <f t="shared" ca="1" si="78"/>
        <v>#NAME?</v>
      </c>
    </row>
    <row r="601" spans="1:22" ht="14.25" hidden="1" customHeight="1">
      <c r="A601" s="383" t="s">
        <v>1992</v>
      </c>
      <c r="B601" s="370" t="e">
        <f ca="1">_xludf.IFNA(VLOOKUP(Bolts!$A601,'Kilter Holds'!$P$37:$S$662,4,0),0)</f>
        <v>#NAME?</v>
      </c>
      <c r="C601" s="384">
        <v>1</v>
      </c>
      <c r="D601" s="373">
        <v>0</v>
      </c>
      <c r="E601" s="374">
        <v>0</v>
      </c>
      <c r="F601" s="374">
        <v>0</v>
      </c>
      <c r="G601" s="374">
        <v>0</v>
      </c>
      <c r="H601" s="374">
        <v>0</v>
      </c>
      <c r="I601" s="374">
        <f t="shared" ca="1" si="88"/>
        <v>0</v>
      </c>
      <c r="J601" s="374">
        <v>0</v>
      </c>
      <c r="K601" s="374">
        <v>0</v>
      </c>
      <c r="L601" s="374">
        <v>0</v>
      </c>
      <c r="M601" s="374">
        <v>0</v>
      </c>
      <c r="N601" s="374">
        <v>0</v>
      </c>
      <c r="O601" s="374">
        <v>0</v>
      </c>
      <c r="P601" s="374">
        <v>0</v>
      </c>
      <c r="Q601" s="373">
        <v>0</v>
      </c>
      <c r="R601" s="374">
        <v>0</v>
      </c>
      <c r="S601" s="375">
        <v>0</v>
      </c>
      <c r="T601" s="375">
        <v>0</v>
      </c>
      <c r="U601" s="375">
        <v>0</v>
      </c>
      <c r="V601" s="380" t="e">
        <f t="shared" ca="1" si="78"/>
        <v>#NAME?</v>
      </c>
    </row>
    <row r="602" spans="1:22" ht="14.25" hidden="1" customHeight="1">
      <c r="A602" s="383" t="s">
        <v>1993</v>
      </c>
      <c r="B602" s="370" t="e">
        <f ca="1">_xludf.IFNA(VLOOKUP(Bolts!$A602,'Kilter Holds'!$P$37:$S$662,4,0),0)</f>
        <v>#NAME?</v>
      </c>
      <c r="C602" s="384">
        <v>1</v>
      </c>
      <c r="D602" s="373">
        <v>0</v>
      </c>
      <c r="E602" s="374">
        <v>0</v>
      </c>
      <c r="F602" s="374">
        <v>0</v>
      </c>
      <c r="G602" s="374">
        <v>0</v>
      </c>
      <c r="H602" s="374">
        <v>0</v>
      </c>
      <c r="I602" s="374">
        <f t="shared" ca="1" si="88"/>
        <v>0</v>
      </c>
      <c r="J602" s="374">
        <v>0</v>
      </c>
      <c r="K602" s="374">
        <v>0</v>
      </c>
      <c r="L602" s="374">
        <v>0</v>
      </c>
      <c r="M602" s="374">
        <v>0</v>
      </c>
      <c r="N602" s="374">
        <v>0</v>
      </c>
      <c r="O602" s="374">
        <v>0</v>
      </c>
      <c r="P602" s="374">
        <v>0</v>
      </c>
      <c r="Q602" s="373">
        <v>0</v>
      </c>
      <c r="R602" s="374">
        <v>0</v>
      </c>
      <c r="S602" s="375">
        <v>0</v>
      </c>
      <c r="T602" s="375">
        <v>0</v>
      </c>
      <c r="U602" s="375">
        <v>0</v>
      </c>
      <c r="V602" s="380" t="e">
        <f t="shared" ca="1" si="78"/>
        <v>#NAME?</v>
      </c>
    </row>
    <row r="603" spans="1:22" ht="14.25" hidden="1" customHeight="1">
      <c r="A603" s="383" t="s">
        <v>1994</v>
      </c>
      <c r="B603" s="370" t="e">
        <f ca="1">_xludf.IFNA(VLOOKUP(Bolts!$A603,'Kilter Holds'!$P$37:$S$662,4,0),0)</f>
        <v>#NAME?</v>
      </c>
      <c r="C603" s="384">
        <v>1</v>
      </c>
      <c r="D603" s="373">
        <v>0</v>
      </c>
      <c r="E603" s="374">
        <v>0</v>
      </c>
      <c r="F603" s="374">
        <v>0</v>
      </c>
      <c r="G603" s="374">
        <v>0</v>
      </c>
      <c r="H603" s="374">
        <v>0</v>
      </c>
      <c r="I603" s="374">
        <f t="shared" ca="1" si="88"/>
        <v>0</v>
      </c>
      <c r="J603" s="374">
        <v>0</v>
      </c>
      <c r="K603" s="374">
        <v>0</v>
      </c>
      <c r="L603" s="374">
        <v>0</v>
      </c>
      <c r="M603" s="374">
        <v>0</v>
      </c>
      <c r="N603" s="374">
        <v>0</v>
      </c>
      <c r="O603" s="374">
        <v>0</v>
      </c>
      <c r="P603" s="374">
        <v>0</v>
      </c>
      <c r="Q603" s="373">
        <v>0</v>
      </c>
      <c r="R603" s="374">
        <v>0</v>
      </c>
      <c r="S603" s="375">
        <v>0</v>
      </c>
      <c r="T603" s="375">
        <v>0</v>
      </c>
      <c r="U603" s="375">
        <v>0</v>
      </c>
      <c r="V603" s="380" t="e">
        <f t="shared" ca="1" si="78"/>
        <v>#NAME?</v>
      </c>
    </row>
    <row r="604" spans="1:22" ht="14.25" hidden="1" customHeight="1">
      <c r="A604" s="383" t="s">
        <v>1995</v>
      </c>
      <c r="B604" s="370" t="e">
        <f ca="1">_xludf.IFNA(VLOOKUP(Bolts!$A604,'Kilter Holds'!$P$37:$S$662,4,0),0)</f>
        <v>#NAME?</v>
      </c>
      <c r="C604" s="384">
        <v>1</v>
      </c>
      <c r="D604" s="373">
        <v>0</v>
      </c>
      <c r="E604" s="374">
        <v>0</v>
      </c>
      <c r="F604" s="374">
        <v>0</v>
      </c>
      <c r="G604" s="374">
        <v>0</v>
      </c>
      <c r="H604" s="374">
        <v>0</v>
      </c>
      <c r="I604" s="374">
        <f t="shared" ca="1" si="88"/>
        <v>0</v>
      </c>
      <c r="J604" s="374">
        <v>0</v>
      </c>
      <c r="K604" s="374">
        <v>0</v>
      </c>
      <c r="L604" s="374">
        <v>0</v>
      </c>
      <c r="M604" s="374">
        <v>0</v>
      </c>
      <c r="N604" s="374">
        <v>0</v>
      </c>
      <c r="O604" s="374">
        <v>0</v>
      </c>
      <c r="P604" s="374">
        <v>0</v>
      </c>
      <c r="Q604" s="373">
        <v>0</v>
      </c>
      <c r="R604" s="374">
        <v>0</v>
      </c>
      <c r="S604" s="375">
        <v>0</v>
      </c>
      <c r="T604" s="375">
        <v>0</v>
      </c>
      <c r="U604" s="375">
        <v>0</v>
      </c>
      <c r="V604" s="380" t="e">
        <f t="shared" ca="1" si="78"/>
        <v>#NAME?</v>
      </c>
    </row>
    <row r="605" spans="1:22" ht="14.25" hidden="1" customHeight="1">
      <c r="A605" s="383" t="s">
        <v>1996</v>
      </c>
      <c r="B605" s="370" t="e">
        <f ca="1">_xludf.IFNA(VLOOKUP(Bolts!$A605,'Kilter Holds'!$P$37:$S$662,4,0),0)</f>
        <v>#NAME?</v>
      </c>
      <c r="C605" s="384">
        <v>1</v>
      </c>
      <c r="D605" s="373">
        <v>0</v>
      </c>
      <c r="E605" s="374">
        <v>0</v>
      </c>
      <c r="F605" s="374">
        <v>0</v>
      </c>
      <c r="G605" s="374">
        <v>0</v>
      </c>
      <c r="H605" s="374">
        <v>0</v>
      </c>
      <c r="I605" s="374">
        <f t="shared" ca="1" si="88"/>
        <v>0</v>
      </c>
      <c r="J605" s="374">
        <v>0</v>
      </c>
      <c r="K605" s="374">
        <v>0</v>
      </c>
      <c r="L605" s="374">
        <v>0</v>
      </c>
      <c r="M605" s="374">
        <v>0</v>
      </c>
      <c r="N605" s="374">
        <v>0</v>
      </c>
      <c r="O605" s="374">
        <v>0</v>
      </c>
      <c r="P605" s="374">
        <v>0</v>
      </c>
      <c r="Q605" s="373">
        <v>0</v>
      </c>
      <c r="R605" s="374">
        <v>0</v>
      </c>
      <c r="S605" s="375">
        <v>0</v>
      </c>
      <c r="T605" s="375">
        <v>0</v>
      </c>
      <c r="U605" s="375">
        <v>0</v>
      </c>
      <c r="V605" s="380" t="e">
        <f t="shared" ca="1" si="78"/>
        <v>#NAME?</v>
      </c>
    </row>
    <row r="606" spans="1:22" ht="14.25" hidden="1" customHeight="1">
      <c r="A606" s="383" t="s">
        <v>1997</v>
      </c>
      <c r="B606" s="370" t="e">
        <f ca="1">_xludf.IFNA(VLOOKUP(Bolts!$A606,'Kilter Holds'!$P$37:$S$662,4,0),0)</f>
        <v>#NAME?</v>
      </c>
      <c r="C606" s="384">
        <v>1</v>
      </c>
      <c r="D606" s="373">
        <v>0</v>
      </c>
      <c r="E606" s="374">
        <v>0</v>
      </c>
      <c r="F606" s="374">
        <v>0</v>
      </c>
      <c r="G606" s="374">
        <v>0</v>
      </c>
      <c r="H606" s="374">
        <v>0</v>
      </c>
      <c r="I606" s="374">
        <f t="shared" ca="1" si="88"/>
        <v>0</v>
      </c>
      <c r="J606" s="374">
        <v>0</v>
      </c>
      <c r="K606" s="374">
        <v>0</v>
      </c>
      <c r="L606" s="374">
        <v>0</v>
      </c>
      <c r="M606" s="374">
        <v>0</v>
      </c>
      <c r="N606" s="374">
        <v>0</v>
      </c>
      <c r="O606" s="374">
        <v>0</v>
      </c>
      <c r="P606" s="374">
        <v>0</v>
      </c>
      <c r="Q606" s="373">
        <v>0</v>
      </c>
      <c r="R606" s="374">
        <v>0</v>
      </c>
      <c r="S606" s="375">
        <v>0</v>
      </c>
      <c r="T606" s="375">
        <v>0</v>
      </c>
      <c r="U606" s="375">
        <v>0</v>
      </c>
      <c r="V606" s="380" t="e">
        <f t="shared" ca="1" si="78"/>
        <v>#NAME?</v>
      </c>
    </row>
    <row r="607" spans="1:22" ht="14.25" hidden="1" customHeight="1">
      <c r="A607" s="383" t="s">
        <v>1998</v>
      </c>
      <c r="B607" s="370" t="e">
        <f ca="1">_xludf.IFNA(VLOOKUP(Bolts!$A607,'Kilter Holds'!$P$37:$S$662,4,0),0)</f>
        <v>#NAME?</v>
      </c>
      <c r="C607" s="384">
        <v>1</v>
      </c>
      <c r="D607" s="373">
        <v>0</v>
      </c>
      <c r="E607" s="374">
        <v>0</v>
      </c>
      <c r="F607" s="374">
        <v>0</v>
      </c>
      <c r="G607" s="374">
        <v>0</v>
      </c>
      <c r="H607" s="374">
        <v>0</v>
      </c>
      <c r="I607" s="374">
        <f t="shared" ca="1" si="88"/>
        <v>0</v>
      </c>
      <c r="J607" s="374">
        <v>0</v>
      </c>
      <c r="K607" s="374">
        <v>0</v>
      </c>
      <c r="L607" s="374">
        <v>0</v>
      </c>
      <c r="M607" s="374">
        <v>0</v>
      </c>
      <c r="N607" s="374">
        <v>0</v>
      </c>
      <c r="O607" s="374">
        <v>0</v>
      </c>
      <c r="P607" s="374">
        <v>0</v>
      </c>
      <c r="Q607" s="373">
        <v>0</v>
      </c>
      <c r="R607" s="374">
        <v>0</v>
      </c>
      <c r="S607" s="375">
        <v>0</v>
      </c>
      <c r="T607" s="375">
        <v>0</v>
      </c>
      <c r="U607" s="375">
        <v>0</v>
      </c>
      <c r="V607" s="380" t="e">
        <f t="shared" ca="1" si="78"/>
        <v>#NAME?</v>
      </c>
    </row>
    <row r="608" spans="1:22" ht="14.25" hidden="1" customHeight="1">
      <c r="A608" s="383" t="s">
        <v>1999</v>
      </c>
      <c r="B608" s="370" t="e">
        <f ca="1">_xludf.IFNA(VLOOKUP(Bolts!$A608,'Kilter Holds'!$P$37:$S$662,4,0),0)</f>
        <v>#NAME?</v>
      </c>
      <c r="C608" s="384">
        <v>1</v>
      </c>
      <c r="D608" s="373">
        <v>0</v>
      </c>
      <c r="E608" s="374">
        <v>0</v>
      </c>
      <c r="F608" s="374">
        <v>0</v>
      </c>
      <c r="G608" s="374">
        <v>0</v>
      </c>
      <c r="H608" s="374">
        <v>0</v>
      </c>
      <c r="I608" s="374">
        <f t="shared" ca="1" si="88"/>
        <v>0</v>
      </c>
      <c r="J608" s="374">
        <v>0</v>
      </c>
      <c r="K608" s="374">
        <v>0</v>
      </c>
      <c r="L608" s="374">
        <v>0</v>
      </c>
      <c r="M608" s="374">
        <v>0</v>
      </c>
      <c r="N608" s="374">
        <v>0</v>
      </c>
      <c r="O608" s="374">
        <v>0</v>
      </c>
      <c r="P608" s="374">
        <v>0</v>
      </c>
      <c r="Q608" s="373">
        <v>0</v>
      </c>
      <c r="R608" s="374">
        <v>0</v>
      </c>
      <c r="S608" s="375">
        <v>0</v>
      </c>
      <c r="T608" s="375">
        <v>0</v>
      </c>
      <c r="U608" s="375">
        <v>0</v>
      </c>
      <c r="V608" s="380" t="e">
        <f t="shared" ca="1" si="78"/>
        <v>#NAME?</v>
      </c>
    </row>
    <row r="609" spans="1:22" ht="14.25" hidden="1" customHeight="1">
      <c r="A609" s="383" t="s">
        <v>2000</v>
      </c>
      <c r="B609" s="370" t="e">
        <f ca="1">_xludf.IFNA(VLOOKUP(Bolts!$A609,'Kilter Holds'!$P$37:$S$662,4,0),0)</f>
        <v>#NAME?</v>
      </c>
      <c r="C609" s="384">
        <v>5</v>
      </c>
      <c r="D609" s="373">
        <v>0</v>
      </c>
      <c r="E609" s="374">
        <v>0</v>
      </c>
      <c r="F609" s="374">
        <v>0</v>
      </c>
      <c r="G609" s="374">
        <v>0</v>
      </c>
      <c r="H609" s="374">
        <v>0</v>
      </c>
      <c r="I609" s="374">
        <v>0</v>
      </c>
      <c r="J609" s="374">
        <v>0</v>
      </c>
      <c r="K609" s="374">
        <v>0</v>
      </c>
      <c r="L609" s="374">
        <v>0</v>
      </c>
      <c r="M609" s="374">
        <v>0</v>
      </c>
      <c r="N609" s="374">
        <v>0</v>
      </c>
      <c r="O609" s="374">
        <v>0</v>
      </c>
      <c r="P609" s="374">
        <v>0</v>
      </c>
      <c r="Q609" s="373">
        <f ca="1">IFERROR(15*B609,0)</f>
        <v>0</v>
      </c>
      <c r="R609" s="374">
        <v>0</v>
      </c>
      <c r="S609" s="375">
        <v>0</v>
      </c>
      <c r="T609" s="375">
        <v>0</v>
      </c>
      <c r="U609" s="375">
        <v>0</v>
      </c>
      <c r="V609" s="380" t="e">
        <f t="shared" ca="1" si="78"/>
        <v>#NAME?</v>
      </c>
    </row>
    <row r="610" spans="1:22" ht="14.25" hidden="1" customHeight="1">
      <c r="A610" s="383" t="s">
        <v>2001</v>
      </c>
      <c r="B610" s="370" t="e">
        <f ca="1">_xludf.IFNA(VLOOKUP(Bolts!$A610,'Kilter Holds'!$P$37:$S$662,4,0),0)</f>
        <v>#NAME?</v>
      </c>
      <c r="C610" s="384">
        <v>10</v>
      </c>
      <c r="D610" s="373">
        <v>0</v>
      </c>
      <c r="E610" s="374">
        <v>0</v>
      </c>
      <c r="F610" s="374">
        <v>0</v>
      </c>
      <c r="G610" s="374">
        <v>0</v>
      </c>
      <c r="H610" s="374">
        <v>0</v>
      </c>
      <c r="I610" s="374">
        <v>0</v>
      </c>
      <c r="J610" s="374">
        <v>0</v>
      </c>
      <c r="K610" s="374">
        <v>0</v>
      </c>
      <c r="L610" s="374">
        <v>0</v>
      </c>
      <c r="M610" s="374">
        <v>0</v>
      </c>
      <c r="N610" s="374">
        <v>0</v>
      </c>
      <c r="O610" s="374">
        <v>0</v>
      </c>
      <c r="P610" s="374">
        <v>0</v>
      </c>
      <c r="Q610" s="373">
        <f t="shared" ref="Q610:Q615" ca="1" si="89">IFERROR(30*B610,0)</f>
        <v>0</v>
      </c>
      <c r="R610" s="374">
        <v>0</v>
      </c>
      <c r="S610" s="375">
        <v>0</v>
      </c>
      <c r="T610" s="375">
        <v>0</v>
      </c>
      <c r="U610" s="375">
        <v>0</v>
      </c>
      <c r="V610" s="380" t="e">
        <f t="shared" ca="1" si="78"/>
        <v>#NAME?</v>
      </c>
    </row>
    <row r="611" spans="1:22" ht="14.25" hidden="1" customHeight="1">
      <c r="A611" s="383" t="s">
        <v>2002</v>
      </c>
      <c r="B611" s="370" t="e">
        <f ca="1">_xludf.IFNA(VLOOKUP(Bolts!$A611,'Kilter Holds'!$P$37:$S$662,4,0),0)</f>
        <v>#NAME?</v>
      </c>
      <c r="C611" s="384">
        <v>10</v>
      </c>
      <c r="D611" s="373">
        <v>0</v>
      </c>
      <c r="E611" s="374">
        <v>0</v>
      </c>
      <c r="F611" s="374">
        <v>0</v>
      </c>
      <c r="G611" s="374">
        <v>0</v>
      </c>
      <c r="H611" s="374">
        <v>0</v>
      </c>
      <c r="I611" s="374">
        <v>0</v>
      </c>
      <c r="J611" s="374">
        <v>0</v>
      </c>
      <c r="K611" s="374">
        <v>0</v>
      </c>
      <c r="L611" s="374">
        <v>0</v>
      </c>
      <c r="M611" s="374">
        <v>0</v>
      </c>
      <c r="N611" s="374">
        <v>0</v>
      </c>
      <c r="O611" s="374">
        <v>0</v>
      </c>
      <c r="P611" s="374">
        <v>0</v>
      </c>
      <c r="Q611" s="373">
        <f t="shared" ca="1" si="89"/>
        <v>0</v>
      </c>
      <c r="R611" s="374">
        <v>0</v>
      </c>
      <c r="S611" s="375">
        <v>0</v>
      </c>
      <c r="T611" s="375">
        <v>0</v>
      </c>
      <c r="U611" s="375">
        <v>0</v>
      </c>
      <c r="V611" s="380" t="e">
        <f t="shared" ca="1" si="78"/>
        <v>#NAME?</v>
      </c>
    </row>
    <row r="612" spans="1:22" ht="14.25" hidden="1" customHeight="1">
      <c r="A612" s="383" t="s">
        <v>2003</v>
      </c>
      <c r="B612" s="370" t="e">
        <f ca="1">_xludf.IFNA(VLOOKUP(Bolts!$A612,'Kilter Holds'!$P$37:$S$662,4,0),0)</f>
        <v>#NAME?</v>
      </c>
      <c r="C612" s="384">
        <v>10</v>
      </c>
      <c r="D612" s="373">
        <v>0</v>
      </c>
      <c r="E612" s="374">
        <v>0</v>
      </c>
      <c r="F612" s="374">
        <v>0</v>
      </c>
      <c r="G612" s="374">
        <v>0</v>
      </c>
      <c r="H612" s="374">
        <v>0</v>
      </c>
      <c r="I612" s="374">
        <v>0</v>
      </c>
      <c r="J612" s="374">
        <v>0</v>
      </c>
      <c r="K612" s="374">
        <v>0</v>
      </c>
      <c r="L612" s="374">
        <v>0</v>
      </c>
      <c r="M612" s="374">
        <v>0</v>
      </c>
      <c r="N612" s="374">
        <v>0</v>
      </c>
      <c r="O612" s="374">
        <v>0</v>
      </c>
      <c r="P612" s="374">
        <v>0</v>
      </c>
      <c r="Q612" s="373">
        <f t="shared" ca="1" si="89"/>
        <v>0</v>
      </c>
      <c r="R612" s="374">
        <v>0</v>
      </c>
      <c r="S612" s="375">
        <v>0</v>
      </c>
      <c r="T612" s="375">
        <v>0</v>
      </c>
      <c r="U612" s="375">
        <v>0</v>
      </c>
      <c r="V612" s="380" t="e">
        <f t="shared" ca="1" si="78"/>
        <v>#NAME?</v>
      </c>
    </row>
    <row r="613" spans="1:22" ht="14.25" hidden="1" customHeight="1">
      <c r="A613" s="383" t="s">
        <v>2004</v>
      </c>
      <c r="B613" s="370" t="e">
        <f ca="1">_xludf.IFNA(VLOOKUP(Bolts!$A613,'Kilter Holds'!$P$37:$S$662,4,0),0)</f>
        <v>#NAME?</v>
      </c>
      <c r="C613" s="384">
        <v>10</v>
      </c>
      <c r="D613" s="373">
        <v>0</v>
      </c>
      <c r="E613" s="374">
        <v>0</v>
      </c>
      <c r="F613" s="374">
        <v>0</v>
      </c>
      <c r="G613" s="374">
        <v>0</v>
      </c>
      <c r="H613" s="374">
        <v>0</v>
      </c>
      <c r="I613" s="374">
        <v>0</v>
      </c>
      <c r="J613" s="374">
        <v>0</v>
      </c>
      <c r="K613" s="374">
        <v>0</v>
      </c>
      <c r="L613" s="374">
        <v>0</v>
      </c>
      <c r="M613" s="374">
        <v>0</v>
      </c>
      <c r="N613" s="374">
        <v>0</v>
      </c>
      <c r="O613" s="374">
        <v>0</v>
      </c>
      <c r="P613" s="374">
        <v>0</v>
      </c>
      <c r="Q613" s="373">
        <f t="shared" ca="1" si="89"/>
        <v>0</v>
      </c>
      <c r="R613" s="374">
        <v>0</v>
      </c>
      <c r="S613" s="375">
        <v>0</v>
      </c>
      <c r="T613" s="375">
        <v>0</v>
      </c>
      <c r="U613" s="375">
        <v>0</v>
      </c>
      <c r="V613" s="380" t="e">
        <f t="shared" ca="1" si="78"/>
        <v>#NAME?</v>
      </c>
    </row>
    <row r="614" spans="1:22" ht="14.25" hidden="1" customHeight="1">
      <c r="A614" s="383" t="s">
        <v>2005</v>
      </c>
      <c r="B614" s="370" t="e">
        <f ca="1">_xludf.IFNA(VLOOKUP(Bolts!$A614,'Kilter Holds'!$P$37:$S$662,4,0),0)</f>
        <v>#NAME?</v>
      </c>
      <c r="C614" s="384">
        <v>10</v>
      </c>
      <c r="D614" s="373">
        <v>0</v>
      </c>
      <c r="E614" s="374">
        <v>0</v>
      </c>
      <c r="F614" s="374">
        <v>0</v>
      </c>
      <c r="G614" s="374">
        <v>0</v>
      </c>
      <c r="H614" s="374">
        <v>0</v>
      </c>
      <c r="I614" s="374">
        <v>0</v>
      </c>
      <c r="J614" s="374">
        <v>0</v>
      </c>
      <c r="K614" s="374">
        <v>0</v>
      </c>
      <c r="L614" s="374">
        <v>0</v>
      </c>
      <c r="M614" s="374">
        <v>0</v>
      </c>
      <c r="N614" s="374">
        <v>0</v>
      </c>
      <c r="O614" s="374">
        <v>0</v>
      </c>
      <c r="P614" s="374">
        <v>0</v>
      </c>
      <c r="Q614" s="373">
        <f t="shared" ca="1" si="89"/>
        <v>0</v>
      </c>
      <c r="R614" s="374">
        <v>0</v>
      </c>
      <c r="S614" s="375">
        <v>0</v>
      </c>
      <c r="T614" s="375">
        <v>0</v>
      </c>
      <c r="U614" s="375">
        <v>0</v>
      </c>
      <c r="V614" s="380" t="e">
        <f t="shared" ca="1" si="78"/>
        <v>#NAME?</v>
      </c>
    </row>
    <row r="615" spans="1:22" ht="14.25" hidden="1" customHeight="1">
      <c r="A615" s="383" t="s">
        <v>2006</v>
      </c>
      <c r="B615" s="370" t="e">
        <f ca="1">_xludf.IFNA(VLOOKUP(Bolts!$A615,'Kilter Holds'!$P$37:$S$662,4,0),0)</f>
        <v>#NAME?</v>
      </c>
      <c r="C615" s="384">
        <v>10</v>
      </c>
      <c r="D615" s="373">
        <v>0</v>
      </c>
      <c r="E615" s="374">
        <v>0</v>
      </c>
      <c r="F615" s="374">
        <v>0</v>
      </c>
      <c r="G615" s="374">
        <v>0</v>
      </c>
      <c r="H615" s="374">
        <v>0</v>
      </c>
      <c r="I615" s="374">
        <v>0</v>
      </c>
      <c r="J615" s="374">
        <v>0</v>
      </c>
      <c r="K615" s="374">
        <v>0</v>
      </c>
      <c r="L615" s="374">
        <v>0</v>
      </c>
      <c r="M615" s="374">
        <v>0</v>
      </c>
      <c r="N615" s="374">
        <v>0</v>
      </c>
      <c r="O615" s="374">
        <v>0</v>
      </c>
      <c r="P615" s="374">
        <v>0</v>
      </c>
      <c r="Q615" s="373">
        <f t="shared" ca="1" si="89"/>
        <v>0</v>
      </c>
      <c r="R615" s="374">
        <v>0</v>
      </c>
      <c r="S615" s="375">
        <v>0</v>
      </c>
      <c r="T615" s="375">
        <v>0</v>
      </c>
      <c r="U615" s="375">
        <v>0</v>
      </c>
      <c r="V615" s="380" t="e">
        <f t="shared" ca="1" si="78"/>
        <v>#NAME?</v>
      </c>
    </row>
    <row r="616" spans="1:22" ht="14.25" hidden="1" customHeight="1">
      <c r="A616" s="383" t="s">
        <v>2007</v>
      </c>
      <c r="B616" s="370" t="e">
        <f ca="1">_xludf.IFNA(VLOOKUP(Bolts!$A616,'Kilter Holds'!$P$37:$S$662,4,0),0)</f>
        <v>#NAME?</v>
      </c>
      <c r="C616" s="384">
        <v>1</v>
      </c>
      <c r="D616" s="373">
        <v>0</v>
      </c>
      <c r="E616" s="374">
        <v>0</v>
      </c>
      <c r="F616" s="374">
        <v>0</v>
      </c>
      <c r="G616" s="374">
        <v>0</v>
      </c>
      <c r="H616" s="374">
        <v>0</v>
      </c>
      <c r="I616" s="374">
        <v>0</v>
      </c>
      <c r="J616" s="374">
        <v>0</v>
      </c>
      <c r="K616" s="374">
        <v>0</v>
      </c>
      <c r="L616" s="374">
        <v>0</v>
      </c>
      <c r="M616" s="374">
        <f ca="1">IFERROR(1*B616,0)</f>
        <v>0</v>
      </c>
      <c r="N616" s="374">
        <v>0</v>
      </c>
      <c r="O616" s="374">
        <v>0</v>
      </c>
      <c r="P616" s="374">
        <v>0</v>
      </c>
      <c r="Q616" s="373">
        <v>0</v>
      </c>
      <c r="R616" s="374">
        <v>0</v>
      </c>
      <c r="S616" s="375">
        <v>0</v>
      </c>
      <c r="T616" s="375">
        <v>0</v>
      </c>
      <c r="U616" s="375">
        <v>0</v>
      </c>
      <c r="V616" s="380" t="e">
        <f t="shared" ca="1" si="78"/>
        <v>#NAME?</v>
      </c>
    </row>
    <row r="617" spans="1:22" ht="14.25" hidden="1" customHeight="1">
      <c r="A617" s="383" t="s">
        <v>2008</v>
      </c>
      <c r="B617" s="370" t="e">
        <f ca="1">_xludf.IFNA(VLOOKUP(Bolts!$A617,'Kilter Holds'!$P$37:$S$662,4,0),0)</f>
        <v>#NAME?</v>
      </c>
      <c r="C617" s="384">
        <v>2</v>
      </c>
      <c r="D617" s="373">
        <v>0</v>
      </c>
      <c r="E617" s="374">
        <v>0</v>
      </c>
      <c r="F617" s="374">
        <v>0</v>
      </c>
      <c r="G617" s="374">
        <v>0</v>
      </c>
      <c r="H617" s="374">
        <v>0</v>
      </c>
      <c r="I617" s="374">
        <v>0</v>
      </c>
      <c r="J617" s="374">
        <v>0</v>
      </c>
      <c r="K617" s="374">
        <f ca="1">IFERROR(2*B617,0)</f>
        <v>0</v>
      </c>
      <c r="L617" s="374">
        <v>0</v>
      </c>
      <c r="M617" s="374">
        <v>0</v>
      </c>
      <c r="N617" s="374">
        <v>0</v>
      </c>
      <c r="O617" s="374">
        <v>0</v>
      </c>
      <c r="P617" s="374">
        <v>0</v>
      </c>
      <c r="Q617" s="373">
        <v>0</v>
      </c>
      <c r="R617" s="374">
        <v>0</v>
      </c>
      <c r="S617" s="375">
        <v>0</v>
      </c>
      <c r="T617" s="375">
        <v>0</v>
      </c>
      <c r="U617" s="375">
        <v>0</v>
      </c>
      <c r="V617" s="380" t="e">
        <f t="shared" ca="1" si="78"/>
        <v>#NAME?</v>
      </c>
    </row>
    <row r="618" spans="1:22" ht="14.25" hidden="1" customHeight="1">
      <c r="A618" s="383" t="s">
        <v>2009</v>
      </c>
      <c r="B618" s="370" t="e">
        <f ca="1">_xludf.IFNA(VLOOKUP(Bolts!$A618,'Kilter Holds'!$P$37:$S$662,4,0),0)</f>
        <v>#NAME?</v>
      </c>
      <c r="C618" s="384">
        <v>6</v>
      </c>
      <c r="D618" s="373">
        <v>0</v>
      </c>
      <c r="E618" s="374">
        <v>0</v>
      </c>
      <c r="F618" s="374">
        <v>0</v>
      </c>
      <c r="G618" s="374">
        <v>0</v>
      </c>
      <c r="H618" s="374">
        <v>0</v>
      </c>
      <c r="I618" s="374">
        <v>0</v>
      </c>
      <c r="J618" s="374">
        <v>0</v>
      </c>
      <c r="K618" s="374">
        <f t="shared" ref="K618:K619" ca="1" si="90">IFERROR(3*B618,0)</f>
        <v>0</v>
      </c>
      <c r="L618" s="374">
        <v>0</v>
      </c>
      <c r="M618" s="374">
        <v>0</v>
      </c>
      <c r="N618" s="374">
        <v>0</v>
      </c>
      <c r="O618" s="374">
        <v>0</v>
      </c>
      <c r="P618" s="374">
        <v>0</v>
      </c>
      <c r="Q618" s="373">
        <v>0</v>
      </c>
      <c r="R618" s="374" t="e">
        <f ca="1">Bolts!$B618*12</f>
        <v>#NAME?</v>
      </c>
      <c r="S618" s="375">
        <v>0</v>
      </c>
      <c r="T618" s="375">
        <v>0</v>
      </c>
      <c r="U618" s="375">
        <v>0</v>
      </c>
      <c r="V618" s="380" t="e">
        <f t="shared" ca="1" si="78"/>
        <v>#NAME?</v>
      </c>
    </row>
    <row r="619" spans="1:22" ht="14.25" hidden="1" customHeight="1">
      <c r="A619" s="383" t="s">
        <v>2010</v>
      </c>
      <c r="B619" s="370" t="e">
        <f ca="1">_xludf.IFNA(VLOOKUP(Bolts!$A619,'Kilter Holds'!$P$37:$S$662,4,0),0)</f>
        <v>#NAME?</v>
      </c>
      <c r="C619" s="384">
        <v>3</v>
      </c>
      <c r="D619" s="373">
        <v>0</v>
      </c>
      <c r="E619" s="374">
        <v>0</v>
      </c>
      <c r="F619" s="374">
        <v>0</v>
      </c>
      <c r="G619" s="374">
        <v>0</v>
      </c>
      <c r="H619" s="374">
        <v>0</v>
      </c>
      <c r="I619" s="374">
        <v>0</v>
      </c>
      <c r="J619" s="374">
        <v>0</v>
      </c>
      <c r="K619" s="374">
        <f t="shared" ca="1" si="90"/>
        <v>0</v>
      </c>
      <c r="L619" s="374">
        <v>0</v>
      </c>
      <c r="M619" s="374">
        <v>0</v>
      </c>
      <c r="N619" s="374">
        <v>0</v>
      </c>
      <c r="O619" s="374">
        <v>0</v>
      </c>
      <c r="P619" s="374">
        <v>0</v>
      </c>
      <c r="Q619" s="373">
        <v>0</v>
      </c>
      <c r="R619" s="374">
        <v>0</v>
      </c>
      <c r="S619" s="375">
        <v>0</v>
      </c>
      <c r="T619" s="375">
        <v>0</v>
      </c>
      <c r="U619" s="375">
        <v>0</v>
      </c>
      <c r="V619" s="380" t="e">
        <f t="shared" ca="1" si="78"/>
        <v>#NAME?</v>
      </c>
    </row>
    <row r="620" spans="1:22" ht="14.25" hidden="1" customHeight="1">
      <c r="A620" s="383" t="s">
        <v>2011</v>
      </c>
      <c r="B620" s="370" t="e">
        <f ca="1">_xludf.IFNA(VLOOKUP(Bolts!$A620,'Kilter Holds'!$P$37:$S$662,4,0),0)</f>
        <v>#NAME?</v>
      </c>
      <c r="C620" s="384">
        <v>3</v>
      </c>
      <c r="D620" s="373">
        <v>0</v>
      </c>
      <c r="E620" s="374">
        <v>0</v>
      </c>
      <c r="F620" s="374">
        <v>0</v>
      </c>
      <c r="G620" s="374">
        <v>0</v>
      </c>
      <c r="H620" s="374">
        <v>0</v>
      </c>
      <c r="I620" s="374">
        <v>0</v>
      </c>
      <c r="J620" s="374">
        <v>0</v>
      </c>
      <c r="K620" s="374">
        <v>0</v>
      </c>
      <c r="L620" s="374">
        <v>0</v>
      </c>
      <c r="M620" s="374">
        <v>0</v>
      </c>
      <c r="N620" s="374">
        <v>0</v>
      </c>
      <c r="O620" s="374">
        <v>0</v>
      </c>
      <c r="P620" s="374">
        <v>0</v>
      </c>
      <c r="Q620" s="373">
        <v>0</v>
      </c>
      <c r="R620" s="374">
        <f ca="1">IFERROR(12*B620,0)</f>
        <v>0</v>
      </c>
      <c r="S620" s="375">
        <v>0</v>
      </c>
      <c r="T620" s="375">
        <v>0</v>
      </c>
      <c r="U620" s="375">
        <v>0</v>
      </c>
      <c r="V620" s="380" t="e">
        <f t="shared" ca="1" si="78"/>
        <v>#NAME?</v>
      </c>
    </row>
    <row r="621" spans="1:22" ht="14.25" hidden="1" customHeight="1">
      <c r="A621" s="383" t="s">
        <v>2012</v>
      </c>
      <c r="B621" s="370" t="e">
        <f ca="1">_xludf.IFNA(VLOOKUP(Bolts!$A621,'Kilter Holds'!$P$37:$S$662,4,0),0)</f>
        <v>#NAME?</v>
      </c>
      <c r="C621" s="384">
        <v>6</v>
      </c>
      <c r="D621" s="373">
        <v>0</v>
      </c>
      <c r="E621" s="374">
        <v>0</v>
      </c>
      <c r="F621" s="374">
        <v>0</v>
      </c>
      <c r="G621" s="374">
        <v>0</v>
      </c>
      <c r="H621" s="374">
        <v>0</v>
      </c>
      <c r="I621" s="374">
        <v>0</v>
      </c>
      <c r="J621" s="374">
        <v>0</v>
      </c>
      <c r="K621" s="374">
        <f t="shared" ref="K621:K622" ca="1" si="91">IFERROR(3*B621,0)</f>
        <v>0</v>
      </c>
      <c r="L621" s="374">
        <v>0</v>
      </c>
      <c r="M621" s="374">
        <v>0</v>
      </c>
      <c r="N621" s="374">
        <v>0</v>
      </c>
      <c r="O621" s="374">
        <v>0</v>
      </c>
      <c r="P621" s="374">
        <v>0</v>
      </c>
      <c r="Q621" s="373">
        <v>0</v>
      </c>
      <c r="R621" s="374" t="e">
        <f ca="1">Bolts!$B621*12</f>
        <v>#NAME?</v>
      </c>
      <c r="S621" s="375">
        <v>0</v>
      </c>
      <c r="T621" s="375">
        <v>0</v>
      </c>
      <c r="U621" s="375">
        <v>0</v>
      </c>
      <c r="V621" s="380" t="e">
        <f t="shared" ca="1" si="78"/>
        <v>#NAME?</v>
      </c>
    </row>
    <row r="622" spans="1:22" ht="14.25" hidden="1" customHeight="1">
      <c r="A622" s="383" t="s">
        <v>2013</v>
      </c>
      <c r="B622" s="370" t="e">
        <f ca="1">_xludf.IFNA(VLOOKUP(Bolts!$A622,'Kilter Holds'!$P$37:$S$662,4,0),0)</f>
        <v>#NAME?</v>
      </c>
      <c r="C622" s="384">
        <v>3</v>
      </c>
      <c r="D622" s="373">
        <v>0</v>
      </c>
      <c r="E622" s="374">
        <v>0</v>
      </c>
      <c r="F622" s="374">
        <v>0</v>
      </c>
      <c r="G622" s="374">
        <v>0</v>
      </c>
      <c r="H622" s="374">
        <v>0</v>
      </c>
      <c r="I622" s="374">
        <v>0</v>
      </c>
      <c r="J622" s="374">
        <v>0</v>
      </c>
      <c r="K622" s="374">
        <f t="shared" ca="1" si="91"/>
        <v>0</v>
      </c>
      <c r="L622" s="374">
        <v>0</v>
      </c>
      <c r="M622" s="374">
        <v>0</v>
      </c>
      <c r="N622" s="374">
        <v>0</v>
      </c>
      <c r="O622" s="374">
        <v>0</v>
      </c>
      <c r="P622" s="374">
        <v>0</v>
      </c>
      <c r="Q622" s="373">
        <v>0</v>
      </c>
      <c r="R622" s="374">
        <v>0</v>
      </c>
      <c r="S622" s="375">
        <v>0</v>
      </c>
      <c r="T622" s="375">
        <v>0</v>
      </c>
      <c r="U622" s="375">
        <v>0</v>
      </c>
      <c r="V622" s="380" t="e">
        <f t="shared" ca="1" si="78"/>
        <v>#NAME?</v>
      </c>
    </row>
    <row r="623" spans="1:22" ht="14.25" hidden="1" customHeight="1">
      <c r="A623" s="383" t="s">
        <v>2014</v>
      </c>
      <c r="B623" s="370" t="e">
        <f ca="1">_xludf.IFNA(VLOOKUP(Bolts!$A623,'Kilter Holds'!$P$37:$S$662,4,0),0)</f>
        <v>#NAME?</v>
      </c>
      <c r="C623" s="384">
        <v>3</v>
      </c>
      <c r="D623" s="373">
        <v>0</v>
      </c>
      <c r="E623" s="374">
        <v>0</v>
      </c>
      <c r="F623" s="374">
        <v>0</v>
      </c>
      <c r="G623" s="374">
        <v>0</v>
      </c>
      <c r="H623" s="374">
        <v>0</v>
      </c>
      <c r="I623" s="374">
        <v>0</v>
      </c>
      <c r="J623" s="374">
        <v>0</v>
      </c>
      <c r="K623" s="374">
        <v>0</v>
      </c>
      <c r="L623" s="374">
        <v>0</v>
      </c>
      <c r="M623" s="374">
        <v>0</v>
      </c>
      <c r="N623" s="374">
        <v>0</v>
      </c>
      <c r="O623" s="374">
        <v>0</v>
      </c>
      <c r="P623" s="374">
        <v>0</v>
      </c>
      <c r="Q623" s="373">
        <v>0</v>
      </c>
      <c r="R623" s="374">
        <f ca="1">IFERROR(12*B623,0)</f>
        <v>0</v>
      </c>
      <c r="S623" s="375">
        <v>0</v>
      </c>
      <c r="T623" s="375">
        <v>0</v>
      </c>
      <c r="U623" s="375">
        <v>0</v>
      </c>
      <c r="V623" s="380" t="e">
        <f t="shared" ca="1" si="78"/>
        <v>#NAME?</v>
      </c>
    </row>
    <row r="624" spans="1:22" ht="14.25" hidden="1" customHeight="1">
      <c r="A624" s="383" t="s">
        <v>2015</v>
      </c>
      <c r="B624" s="370" t="e">
        <f ca="1">_xludf.IFNA(VLOOKUP(Bolts!$A624,'Kilter Holds'!$P$37:$S$662,4,0),0)</f>
        <v>#NAME?</v>
      </c>
      <c r="C624" s="384">
        <v>3</v>
      </c>
      <c r="D624" s="373">
        <v>0</v>
      </c>
      <c r="E624" s="374">
        <v>0</v>
      </c>
      <c r="F624" s="374">
        <v>0</v>
      </c>
      <c r="G624" s="374">
        <v>0</v>
      </c>
      <c r="H624" s="374">
        <v>0</v>
      </c>
      <c r="I624" s="374">
        <v>0</v>
      </c>
      <c r="J624" s="374">
        <v>0</v>
      </c>
      <c r="K624" s="374">
        <f ca="1">IFERROR(3*B624,0)</f>
        <v>0</v>
      </c>
      <c r="L624" s="374">
        <v>0</v>
      </c>
      <c r="M624" s="374">
        <v>0</v>
      </c>
      <c r="N624" s="374">
        <v>0</v>
      </c>
      <c r="O624" s="374">
        <v>0</v>
      </c>
      <c r="P624" s="374">
        <v>0</v>
      </c>
      <c r="Q624" s="373">
        <v>0</v>
      </c>
      <c r="R624" s="374">
        <v>0</v>
      </c>
      <c r="S624" s="375">
        <v>0</v>
      </c>
      <c r="T624" s="375">
        <v>0</v>
      </c>
      <c r="U624" s="375">
        <v>0</v>
      </c>
      <c r="V624" s="380" t="e">
        <f t="shared" ca="1" si="78"/>
        <v>#NAME?</v>
      </c>
    </row>
    <row r="625" spans="1:22" ht="14.25" hidden="1" customHeight="1">
      <c r="A625" s="383" t="s">
        <v>2016</v>
      </c>
      <c r="B625" s="370" t="e">
        <f ca="1">_xludf.IFNA(VLOOKUP(Bolts!$A625,'Kilter Holds'!$P$37:$S$662,4,0),0)</f>
        <v>#NAME?</v>
      </c>
      <c r="C625" s="384">
        <v>6</v>
      </c>
      <c r="D625" s="373">
        <v>0</v>
      </c>
      <c r="E625" s="374">
        <v>0</v>
      </c>
      <c r="F625" s="374">
        <v>0</v>
      </c>
      <c r="G625" s="374">
        <v>0</v>
      </c>
      <c r="H625" s="374">
        <v>0</v>
      </c>
      <c r="I625" s="374" t="e">
        <f ca="1">6*Bolts!$B625</f>
        <v>#NAME?</v>
      </c>
      <c r="J625" s="374">
        <v>0</v>
      </c>
      <c r="K625" s="374">
        <v>0</v>
      </c>
      <c r="L625" s="374">
        <v>0</v>
      </c>
      <c r="M625" s="374">
        <v>0</v>
      </c>
      <c r="N625" s="374">
        <v>0</v>
      </c>
      <c r="O625" s="374">
        <v>0</v>
      </c>
      <c r="P625" s="374">
        <v>0</v>
      </c>
      <c r="Q625" s="373">
        <v>0</v>
      </c>
      <c r="R625" s="374">
        <v>0</v>
      </c>
      <c r="S625" s="375">
        <v>0</v>
      </c>
      <c r="T625" s="375">
        <f ca="1">IFERROR(1*B625,0)</f>
        <v>0</v>
      </c>
      <c r="U625" s="375">
        <f ca="1">IFERROR(2*B625,0)</f>
        <v>0</v>
      </c>
      <c r="V625" s="380" t="e">
        <f t="shared" ca="1" si="78"/>
        <v>#NAME?</v>
      </c>
    </row>
    <row r="626" spans="1:22" ht="14.25" hidden="1" customHeight="1">
      <c r="A626" s="383" t="s">
        <v>2017</v>
      </c>
      <c r="B626" s="370" t="e">
        <f ca="1">_xludf.IFNA(VLOOKUP(Bolts!$A626,'Kilter Holds'!$P$37:$S$662,4,0),0)</f>
        <v>#NAME?</v>
      </c>
      <c r="C626" s="384">
        <v>10</v>
      </c>
      <c r="D626" s="373">
        <v>0</v>
      </c>
      <c r="E626" s="374">
        <v>0</v>
      </c>
      <c r="F626" s="374">
        <v>0</v>
      </c>
      <c r="G626" s="374" t="e">
        <f ca="1">10*Bolts!$B626</f>
        <v>#NAME?</v>
      </c>
      <c r="H626" s="374">
        <v>0</v>
      </c>
      <c r="I626" s="374">
        <v>0</v>
      </c>
      <c r="J626" s="374">
        <v>0</v>
      </c>
      <c r="K626" s="374">
        <v>0</v>
      </c>
      <c r="L626" s="374">
        <v>0</v>
      </c>
      <c r="M626" s="374">
        <v>0</v>
      </c>
      <c r="N626" s="374">
        <v>0</v>
      </c>
      <c r="O626" s="374">
        <v>0</v>
      </c>
      <c r="P626" s="374">
        <v>0</v>
      </c>
      <c r="Q626" s="373">
        <v>0</v>
      </c>
      <c r="R626" s="374">
        <v>0</v>
      </c>
      <c r="S626" s="375">
        <v>0</v>
      </c>
      <c r="T626" s="375">
        <v>0</v>
      </c>
      <c r="U626" s="375">
        <v>0</v>
      </c>
      <c r="V626" s="380" t="e">
        <f t="shared" ca="1" si="78"/>
        <v>#NAME?</v>
      </c>
    </row>
    <row r="627" spans="1:22" ht="14.25" hidden="1" customHeight="1">
      <c r="A627" s="383" t="s">
        <v>2018</v>
      </c>
      <c r="B627" s="370" t="e">
        <f ca="1">_xludf.IFNA(VLOOKUP(Bolts!$A627,'Kilter Holds'!$P$37:$S$662,4,0),0)</f>
        <v>#NAME?</v>
      </c>
      <c r="C627" s="384">
        <v>8</v>
      </c>
      <c r="D627" s="373">
        <v>0</v>
      </c>
      <c r="E627" s="374">
        <v>0</v>
      </c>
      <c r="F627" s="374">
        <v>0</v>
      </c>
      <c r="G627" s="374">
        <v>0</v>
      </c>
      <c r="H627" s="374">
        <v>0</v>
      </c>
      <c r="I627" s="374" t="e">
        <f ca="1">8*Bolts!$B627</f>
        <v>#NAME?</v>
      </c>
      <c r="J627" s="374">
        <v>0</v>
      </c>
      <c r="K627" s="374">
        <v>0</v>
      </c>
      <c r="L627" s="374">
        <v>0</v>
      </c>
      <c r="M627" s="374">
        <v>0</v>
      </c>
      <c r="N627" s="374">
        <v>0</v>
      </c>
      <c r="O627" s="374">
        <v>0</v>
      </c>
      <c r="P627" s="374">
        <v>0</v>
      </c>
      <c r="Q627" s="373">
        <v>0</v>
      </c>
      <c r="R627" s="374">
        <v>0</v>
      </c>
      <c r="S627" s="375">
        <v>0</v>
      </c>
      <c r="T627" s="375">
        <v>0</v>
      </c>
      <c r="U627" s="375">
        <v>0</v>
      </c>
      <c r="V627" s="380" t="e">
        <f t="shared" ca="1" si="78"/>
        <v>#NAME?</v>
      </c>
    </row>
    <row r="628" spans="1:22" ht="14.25" hidden="1" customHeight="1">
      <c r="A628" s="383" t="s">
        <v>2019</v>
      </c>
      <c r="B628" s="370" t="e">
        <f ca="1">_xludf.IFNA(VLOOKUP(Bolts!$A628,'Kilter Holds'!$P$37:$S$662,4,0),0)</f>
        <v>#NAME?</v>
      </c>
      <c r="C628" s="384">
        <v>4</v>
      </c>
      <c r="D628" s="373">
        <v>0</v>
      </c>
      <c r="E628" s="374">
        <v>0</v>
      </c>
      <c r="F628" s="374">
        <v>0</v>
      </c>
      <c r="G628" s="374">
        <v>0</v>
      </c>
      <c r="H628" s="374">
        <v>0</v>
      </c>
      <c r="I628" s="374">
        <v>0</v>
      </c>
      <c r="J628" s="374" t="e">
        <f ca="1">4*Bolts!$B628</f>
        <v>#NAME?</v>
      </c>
      <c r="K628" s="374">
        <v>0</v>
      </c>
      <c r="L628" s="374">
        <v>0</v>
      </c>
      <c r="M628" s="374">
        <v>0</v>
      </c>
      <c r="N628" s="374">
        <v>0</v>
      </c>
      <c r="O628" s="374">
        <v>0</v>
      </c>
      <c r="P628" s="374">
        <v>0</v>
      </c>
      <c r="Q628" s="373">
        <v>0</v>
      </c>
      <c r="R628" s="374">
        <v>0</v>
      </c>
      <c r="S628" s="375">
        <v>0</v>
      </c>
      <c r="T628" s="375">
        <v>0</v>
      </c>
      <c r="U628" s="375">
        <v>0</v>
      </c>
      <c r="V628" s="380" t="e">
        <f t="shared" ca="1" si="78"/>
        <v>#NAME?</v>
      </c>
    </row>
    <row r="629" spans="1:22" ht="14.25" hidden="1" customHeight="1">
      <c r="A629" s="383" t="s">
        <v>2020</v>
      </c>
      <c r="B629" s="370" t="e">
        <f ca="1">_xludf.IFNA(VLOOKUP(Bolts!$A629,'Kilter Holds'!$P$37:$S$662,4,0),0)</f>
        <v>#NAME?</v>
      </c>
      <c r="C629" s="384">
        <v>4</v>
      </c>
      <c r="D629" s="373">
        <v>0</v>
      </c>
      <c r="E629" s="374">
        <v>0</v>
      </c>
      <c r="F629" s="374">
        <v>0</v>
      </c>
      <c r="G629" s="374">
        <v>0</v>
      </c>
      <c r="H629" s="374">
        <v>0</v>
      </c>
      <c r="I629" s="374">
        <v>0</v>
      </c>
      <c r="J629" s="374" t="e">
        <f ca="1">4*Bolts!$B629</f>
        <v>#NAME?</v>
      </c>
      <c r="K629" s="374">
        <v>0</v>
      </c>
      <c r="L629" s="374">
        <v>0</v>
      </c>
      <c r="M629" s="374">
        <v>0</v>
      </c>
      <c r="N629" s="374">
        <v>0</v>
      </c>
      <c r="O629" s="374">
        <v>0</v>
      </c>
      <c r="P629" s="374">
        <v>0</v>
      </c>
      <c r="Q629" s="373">
        <v>0</v>
      </c>
      <c r="R629" s="374">
        <v>0</v>
      </c>
      <c r="S629" s="375">
        <v>0</v>
      </c>
      <c r="T629" s="375">
        <v>0</v>
      </c>
      <c r="U629" s="375">
        <v>0</v>
      </c>
      <c r="V629" s="380" t="e">
        <f t="shared" ca="1" si="78"/>
        <v>#NAME?</v>
      </c>
    </row>
    <row r="630" spans="1:22" ht="14.25" hidden="1" customHeight="1">
      <c r="A630" s="383" t="s">
        <v>2021</v>
      </c>
      <c r="B630" s="370" t="e">
        <f ca="1">_xludf.IFNA(VLOOKUP(Bolts!$A630,'Kilter Holds'!$P$37:$S$662,4,0),0)</f>
        <v>#NAME?</v>
      </c>
      <c r="C630" s="384">
        <v>8</v>
      </c>
      <c r="D630" s="373">
        <v>0</v>
      </c>
      <c r="E630" s="374">
        <v>0</v>
      </c>
      <c r="F630" s="374">
        <v>0</v>
      </c>
      <c r="G630" s="374">
        <v>0</v>
      </c>
      <c r="H630" s="374">
        <v>0</v>
      </c>
      <c r="I630" s="374">
        <v>0</v>
      </c>
      <c r="J630" s="374" t="e">
        <f ca="1">8*Bolts!$B630</f>
        <v>#NAME?</v>
      </c>
      <c r="K630" s="374">
        <v>0</v>
      </c>
      <c r="L630" s="374">
        <v>0</v>
      </c>
      <c r="M630" s="374">
        <v>0</v>
      </c>
      <c r="N630" s="374">
        <v>0</v>
      </c>
      <c r="O630" s="374">
        <v>0</v>
      </c>
      <c r="P630" s="374">
        <v>0</v>
      </c>
      <c r="Q630" s="373">
        <v>0</v>
      </c>
      <c r="R630" s="374">
        <v>0</v>
      </c>
      <c r="S630" s="375">
        <v>0</v>
      </c>
      <c r="T630" s="375">
        <v>0</v>
      </c>
      <c r="U630" s="375">
        <v>0</v>
      </c>
      <c r="V630" s="380" t="e">
        <f t="shared" ca="1" si="78"/>
        <v>#NAME?</v>
      </c>
    </row>
    <row r="631" spans="1:22" ht="14.25" hidden="1" customHeight="1">
      <c r="A631" s="383" t="s">
        <v>2022</v>
      </c>
      <c r="B631" s="370" t="e">
        <f ca="1">_xludf.IFNA(VLOOKUP(Bolts!$A631,'Kilter Holds'!$P$37:$S$662,4,0),0)</f>
        <v>#NAME?</v>
      </c>
      <c r="C631" s="384">
        <v>10</v>
      </c>
      <c r="D631" s="373">
        <v>0</v>
      </c>
      <c r="E631" s="374" t="e">
        <f ca="1">10*Bolts!$B631</f>
        <v>#NAME?</v>
      </c>
      <c r="F631" s="374">
        <v>0</v>
      </c>
      <c r="G631" s="374">
        <v>0</v>
      </c>
      <c r="H631" s="374">
        <v>0</v>
      </c>
      <c r="I631" s="374">
        <v>0</v>
      </c>
      <c r="J631" s="374">
        <v>0</v>
      </c>
      <c r="K631" s="374">
        <v>0</v>
      </c>
      <c r="L631" s="374">
        <v>0</v>
      </c>
      <c r="M631" s="374">
        <v>0</v>
      </c>
      <c r="N631" s="374">
        <v>0</v>
      </c>
      <c r="O631" s="374">
        <v>0</v>
      </c>
      <c r="P631" s="374">
        <v>0</v>
      </c>
      <c r="Q631" s="374">
        <v>0</v>
      </c>
      <c r="R631" s="374">
        <v>0</v>
      </c>
      <c r="S631" s="374">
        <v>0</v>
      </c>
      <c r="T631" s="374">
        <v>0</v>
      </c>
      <c r="U631" s="374">
        <v>0</v>
      </c>
      <c r="V631" s="380" t="e">
        <f t="shared" ca="1" si="78"/>
        <v>#NAME?</v>
      </c>
    </row>
    <row r="632" spans="1:22" ht="14.25" hidden="1" customHeight="1">
      <c r="A632" s="383" t="s">
        <v>2023</v>
      </c>
      <c r="B632" s="370" t="e">
        <f ca="1">_xludf.IFNA(VLOOKUP(Bolts!$A632,'Kilter Holds'!$P$37:$S$662,4,0),0)</f>
        <v>#NAME?</v>
      </c>
      <c r="C632" s="384">
        <v>10</v>
      </c>
      <c r="D632" s="373">
        <v>0</v>
      </c>
      <c r="E632" s="374">
        <v>0</v>
      </c>
      <c r="F632" s="373">
        <v>0</v>
      </c>
      <c r="G632" s="374">
        <v>0</v>
      </c>
      <c r="H632" s="373">
        <v>0</v>
      </c>
      <c r="I632" s="374">
        <v>0</v>
      </c>
      <c r="J632" s="373">
        <v>0</v>
      </c>
      <c r="K632" s="374">
        <v>0</v>
      </c>
      <c r="L632" s="373">
        <v>0</v>
      </c>
      <c r="M632" s="374">
        <v>0</v>
      </c>
      <c r="N632" s="373">
        <v>0</v>
      </c>
      <c r="O632" s="374">
        <v>0</v>
      </c>
      <c r="P632" s="373">
        <v>0</v>
      </c>
      <c r="Q632" s="373" t="e">
        <f ca="1">30*Bolts!$B632</f>
        <v>#NAME?</v>
      </c>
      <c r="R632" s="374">
        <v>0</v>
      </c>
      <c r="S632" s="375">
        <v>0</v>
      </c>
      <c r="T632" s="375">
        <v>0</v>
      </c>
      <c r="U632" s="375">
        <v>0</v>
      </c>
      <c r="V632" s="380" t="e">
        <f t="shared" ca="1" si="78"/>
        <v>#NAME?</v>
      </c>
    </row>
    <row r="633" spans="1:22" ht="14.25" hidden="1" customHeight="1">
      <c r="A633" s="383" t="s">
        <v>2024</v>
      </c>
      <c r="B633" s="370" t="e">
        <f ca="1">_xludf.IFNA(VLOOKUP(Bolts!$A633,'Kilter Holds'!$P$37:$S$662,4,0),0)</f>
        <v>#NAME?</v>
      </c>
      <c r="C633" s="384">
        <v>20</v>
      </c>
      <c r="D633" s="373">
        <v>0</v>
      </c>
      <c r="E633" s="374" t="e">
        <f ca="1">10*Bolts!$B633</f>
        <v>#NAME?</v>
      </c>
      <c r="F633" s="374">
        <v>0</v>
      </c>
      <c r="G633" s="374">
        <v>0</v>
      </c>
      <c r="H633" s="374">
        <v>0</v>
      </c>
      <c r="I633" s="374">
        <v>0</v>
      </c>
      <c r="J633" s="374">
        <v>0</v>
      </c>
      <c r="K633" s="374">
        <v>0</v>
      </c>
      <c r="L633" s="374">
        <v>0</v>
      </c>
      <c r="M633" s="374">
        <v>0</v>
      </c>
      <c r="N633" s="374">
        <v>0</v>
      </c>
      <c r="O633" s="374">
        <v>0</v>
      </c>
      <c r="P633" s="374">
        <v>0</v>
      </c>
      <c r="Q633" s="373" t="e">
        <f ca="1">30*Bolts!$B633</f>
        <v>#NAME?</v>
      </c>
      <c r="R633" s="374">
        <v>0</v>
      </c>
      <c r="S633" s="375">
        <v>0</v>
      </c>
      <c r="T633" s="375">
        <v>0</v>
      </c>
      <c r="U633" s="375">
        <v>0</v>
      </c>
      <c r="V633" s="380" t="e">
        <f t="shared" ca="1" si="78"/>
        <v>#NAME?</v>
      </c>
    </row>
    <row r="634" spans="1:22" ht="14.25" hidden="1" customHeight="1">
      <c r="A634" s="383" t="s">
        <v>2025</v>
      </c>
      <c r="B634" s="370" t="e">
        <f ca="1">_xludf.IFNA(VLOOKUP(Bolts!$A634,'Kilter Holds'!$P$37:$S$662,4,0),0)</f>
        <v>#NAME?</v>
      </c>
      <c r="C634" s="384">
        <v>8</v>
      </c>
      <c r="D634" s="373">
        <v>0</v>
      </c>
      <c r="E634" s="374">
        <v>0</v>
      </c>
      <c r="F634" s="374" t="e">
        <f ca="1">8*Bolts!$B634</f>
        <v>#NAME?</v>
      </c>
      <c r="G634" s="374">
        <v>0</v>
      </c>
      <c r="H634" s="374">
        <v>0</v>
      </c>
      <c r="I634" s="374">
        <v>0</v>
      </c>
      <c r="J634" s="374">
        <v>0</v>
      </c>
      <c r="K634" s="374">
        <v>0</v>
      </c>
      <c r="L634" s="374">
        <v>0</v>
      </c>
      <c r="M634" s="374">
        <v>0</v>
      </c>
      <c r="N634" s="374">
        <v>0</v>
      </c>
      <c r="O634" s="374">
        <v>0</v>
      </c>
      <c r="P634" s="374">
        <v>0</v>
      </c>
      <c r="Q634" s="373">
        <v>0</v>
      </c>
      <c r="R634" s="374">
        <v>0</v>
      </c>
      <c r="S634" s="375">
        <v>0</v>
      </c>
      <c r="T634" s="375">
        <v>0</v>
      </c>
      <c r="U634" s="375">
        <v>0</v>
      </c>
      <c r="V634" s="380" t="e">
        <f t="shared" ca="1" si="78"/>
        <v>#NAME?</v>
      </c>
    </row>
    <row r="635" spans="1:22" ht="14.25" hidden="1" customHeight="1">
      <c r="A635" s="383" t="s">
        <v>2026</v>
      </c>
      <c r="B635" s="370" t="e">
        <f ca="1">_xludf.IFNA(VLOOKUP(Bolts!$A635,'Kilter Holds'!$P$37:$S$662,4,0),0)</f>
        <v>#NAME?</v>
      </c>
      <c r="C635" s="384">
        <v>1</v>
      </c>
      <c r="D635" s="373">
        <v>0</v>
      </c>
      <c r="E635" s="374">
        <v>0</v>
      </c>
      <c r="F635" s="374">
        <v>0</v>
      </c>
      <c r="G635" s="374">
        <v>0</v>
      </c>
      <c r="H635" s="374">
        <v>0</v>
      </c>
      <c r="I635" s="374" t="e">
        <f ca="1">4*Bolts!$B635</f>
        <v>#NAME?</v>
      </c>
      <c r="J635" s="374">
        <v>0</v>
      </c>
      <c r="K635" s="374">
        <v>0</v>
      </c>
      <c r="L635" s="374">
        <v>0</v>
      </c>
      <c r="M635" s="374">
        <v>0</v>
      </c>
      <c r="N635" s="374">
        <v>0</v>
      </c>
      <c r="O635" s="374">
        <v>0</v>
      </c>
      <c r="P635" s="374">
        <v>0</v>
      </c>
      <c r="Q635" s="373">
        <v>0</v>
      </c>
      <c r="R635" s="374">
        <v>0</v>
      </c>
      <c r="S635" s="375">
        <v>0</v>
      </c>
      <c r="T635" s="375">
        <v>0</v>
      </c>
      <c r="U635" s="375">
        <v>0</v>
      </c>
      <c r="V635" s="380" t="e">
        <f t="shared" ca="1" si="78"/>
        <v>#NAME?</v>
      </c>
    </row>
    <row r="636" spans="1:22" ht="14.25" hidden="1" customHeight="1">
      <c r="A636" s="383" t="s">
        <v>2027</v>
      </c>
      <c r="B636" s="370" t="e">
        <f ca="1">_xludf.IFNA(VLOOKUP(Bolts!$A636,'Kilter Holds'!$P$37:$S$662,4,0),0)</f>
        <v>#NAME?</v>
      </c>
      <c r="C636" s="384">
        <v>3</v>
      </c>
      <c r="D636" s="373">
        <v>0</v>
      </c>
      <c r="E636" s="374">
        <v>0</v>
      </c>
      <c r="F636" s="374">
        <v>0</v>
      </c>
      <c r="G636" s="374">
        <v>0</v>
      </c>
      <c r="H636" s="374">
        <v>0</v>
      </c>
      <c r="I636" s="374" t="e">
        <f ca="1">3*Bolts!$B636</f>
        <v>#NAME?</v>
      </c>
      <c r="J636" s="374">
        <v>0</v>
      </c>
      <c r="K636" s="374">
        <v>0</v>
      </c>
      <c r="L636" s="374">
        <v>0</v>
      </c>
      <c r="M636" s="374">
        <v>0</v>
      </c>
      <c r="N636" s="374">
        <v>0</v>
      </c>
      <c r="O636" s="374">
        <v>0</v>
      </c>
      <c r="P636" s="374">
        <v>0</v>
      </c>
      <c r="Q636" s="373">
        <v>0</v>
      </c>
      <c r="R636" s="374">
        <v>0</v>
      </c>
      <c r="S636" s="375">
        <v>0</v>
      </c>
      <c r="T636" s="375">
        <v>0</v>
      </c>
      <c r="U636" s="375">
        <v>0</v>
      </c>
      <c r="V636" s="380" t="e">
        <f t="shared" ca="1" si="78"/>
        <v>#NAME?</v>
      </c>
    </row>
    <row r="637" spans="1:22" ht="14.25" hidden="1" customHeight="1">
      <c r="A637" s="383" t="s">
        <v>2028</v>
      </c>
      <c r="B637" s="370" t="e">
        <f ca="1">_xludf.IFNA(VLOOKUP(Bolts!$A637,'Kilter Holds'!$P$37:$S$662,4,0),0)</f>
        <v>#NAME?</v>
      </c>
      <c r="C637" s="384">
        <v>6</v>
      </c>
      <c r="D637" s="373">
        <v>0</v>
      </c>
      <c r="E637" s="374">
        <v>0</v>
      </c>
      <c r="F637" s="374">
        <v>0</v>
      </c>
      <c r="G637" s="374" t="e">
        <f ca="1">Bolts!$C637*Bolts!$B637</f>
        <v>#NAME?</v>
      </c>
      <c r="H637" s="374">
        <v>0</v>
      </c>
      <c r="I637" s="374">
        <v>0</v>
      </c>
      <c r="J637" s="374">
        <v>0</v>
      </c>
      <c r="K637" s="374">
        <v>0</v>
      </c>
      <c r="L637" s="374">
        <v>0</v>
      </c>
      <c r="M637" s="374">
        <v>0</v>
      </c>
      <c r="N637" s="374">
        <v>0</v>
      </c>
      <c r="O637" s="374">
        <v>0</v>
      </c>
      <c r="P637" s="374">
        <v>0</v>
      </c>
      <c r="Q637" s="373">
        <v>0</v>
      </c>
      <c r="R637" s="374">
        <v>0</v>
      </c>
      <c r="S637" s="375">
        <v>0</v>
      </c>
      <c r="T637" s="375">
        <v>0</v>
      </c>
      <c r="U637" s="375">
        <v>0</v>
      </c>
      <c r="V637" s="380" t="e">
        <f t="shared" ca="1" si="78"/>
        <v>#NAME?</v>
      </c>
    </row>
    <row r="638" spans="1:22" ht="14.25" hidden="1" customHeight="1">
      <c r="A638" s="383" t="s">
        <v>2029</v>
      </c>
      <c r="B638" s="370" t="e">
        <f ca="1">_xludf.IFNA(VLOOKUP(Bolts!$A638,'Kilter Holds'!$P$37:$S$662,4,0),0)</f>
        <v>#NAME?</v>
      </c>
      <c r="C638" s="384">
        <v>7</v>
      </c>
      <c r="D638" s="373">
        <v>0</v>
      </c>
      <c r="E638" s="374">
        <v>0</v>
      </c>
      <c r="F638" s="374" t="e">
        <f ca="1">Bolts!$C638*Bolts!$B638</f>
        <v>#NAME?</v>
      </c>
      <c r="G638" s="374">
        <v>0</v>
      </c>
      <c r="H638" s="374">
        <v>0</v>
      </c>
      <c r="I638" s="374">
        <v>0</v>
      </c>
      <c r="J638" s="374">
        <v>0</v>
      </c>
      <c r="K638" s="374">
        <v>0</v>
      </c>
      <c r="L638" s="374">
        <v>0</v>
      </c>
      <c r="M638" s="374">
        <v>0</v>
      </c>
      <c r="N638" s="374">
        <v>0</v>
      </c>
      <c r="O638" s="374">
        <v>0</v>
      </c>
      <c r="P638" s="374">
        <v>0</v>
      </c>
      <c r="Q638" s="373">
        <v>0</v>
      </c>
      <c r="R638" s="374">
        <v>0</v>
      </c>
      <c r="S638" s="375">
        <v>0</v>
      </c>
      <c r="T638" s="375">
        <v>0</v>
      </c>
      <c r="U638" s="375">
        <v>0</v>
      </c>
      <c r="V638" s="380" t="e">
        <f t="shared" ca="1" si="78"/>
        <v>#NAME?</v>
      </c>
    </row>
    <row r="639" spans="1:22" ht="14.25" hidden="1" customHeight="1">
      <c r="A639" s="383" t="s">
        <v>2030</v>
      </c>
      <c r="B639" s="370" t="e">
        <f ca="1">_xludf.IFNA(VLOOKUP(Bolts!$A639,'Kilter Holds'!$P$37:$S$662,4,0),0)</f>
        <v>#NAME?</v>
      </c>
      <c r="C639" s="384">
        <v>7</v>
      </c>
      <c r="D639" s="373">
        <v>0</v>
      </c>
      <c r="E639" s="374">
        <v>0</v>
      </c>
      <c r="F639" s="373">
        <v>0</v>
      </c>
      <c r="G639" s="374">
        <v>0</v>
      </c>
      <c r="H639" s="373">
        <v>0</v>
      </c>
      <c r="I639" s="374">
        <v>0</v>
      </c>
      <c r="J639" s="373">
        <v>0</v>
      </c>
      <c r="K639" s="374">
        <v>0</v>
      </c>
      <c r="L639" s="373">
        <v>0</v>
      </c>
      <c r="M639" s="374">
        <v>0</v>
      </c>
      <c r="N639" s="373">
        <v>0</v>
      </c>
      <c r="O639" s="374">
        <v>0</v>
      </c>
      <c r="P639" s="373">
        <v>0</v>
      </c>
      <c r="Q639" s="373" t="e">
        <f ca="1">30*Bolts!$B639</f>
        <v>#NAME?</v>
      </c>
      <c r="R639" s="374" t="e">
        <f ca="1">28*Bolts!$B639</f>
        <v>#NAME?</v>
      </c>
      <c r="S639" s="375">
        <v>0</v>
      </c>
      <c r="T639" s="375">
        <v>0</v>
      </c>
      <c r="U639" s="375">
        <v>0</v>
      </c>
      <c r="V639" s="380" t="e">
        <f t="shared" ca="1" si="78"/>
        <v>#NAME?</v>
      </c>
    </row>
    <row r="640" spans="1:22" ht="14.25" hidden="1" customHeight="1">
      <c r="A640" s="383" t="s">
        <v>2031</v>
      </c>
      <c r="B640" s="370" t="e">
        <f ca="1">_xludf.IFNA(VLOOKUP(Bolts!$A640,'Kilter Holds'!$P$37:$S$662,4,0),0)</f>
        <v>#NAME?</v>
      </c>
      <c r="C640" s="384">
        <v>5</v>
      </c>
      <c r="D640" s="373">
        <v>0</v>
      </c>
      <c r="E640" s="374" t="e">
        <f ca="1">5*Bolts!$B640</f>
        <v>#NAME?</v>
      </c>
      <c r="F640" s="374">
        <v>0</v>
      </c>
      <c r="G640" s="374">
        <v>0</v>
      </c>
      <c r="H640" s="374">
        <v>0</v>
      </c>
      <c r="I640" s="374">
        <v>0</v>
      </c>
      <c r="J640" s="374">
        <v>0</v>
      </c>
      <c r="K640" s="374">
        <v>0</v>
      </c>
      <c r="L640" s="374">
        <v>0</v>
      </c>
      <c r="M640" s="374">
        <v>0</v>
      </c>
      <c r="N640" s="374">
        <v>0</v>
      </c>
      <c r="O640" s="374">
        <v>0</v>
      </c>
      <c r="P640" s="374">
        <v>0</v>
      </c>
      <c r="Q640" s="373" t="e">
        <f ca="1">5*Bolts!$B640</f>
        <v>#NAME?</v>
      </c>
      <c r="R640" s="374">
        <v>0</v>
      </c>
      <c r="S640" s="375">
        <v>0</v>
      </c>
      <c r="T640" s="375">
        <v>0</v>
      </c>
      <c r="U640" s="375">
        <v>0</v>
      </c>
      <c r="V640" s="380" t="e">
        <f t="shared" ca="1" si="78"/>
        <v>#NAME?</v>
      </c>
    </row>
    <row r="641" spans="1:22" ht="14.25" hidden="1" customHeight="1">
      <c r="A641" s="383" t="s">
        <v>2032</v>
      </c>
      <c r="B641" s="370" t="e">
        <f ca="1">_xludf.IFNA(VLOOKUP(Bolts!$A641,'Kilter Holds'!$P$37:$S$662,4,0),0)</f>
        <v>#NAME?</v>
      </c>
      <c r="C641" s="384">
        <v>11</v>
      </c>
      <c r="D641" s="373" t="e">
        <f ca="1">11*Bolts!$B641</f>
        <v>#NAME?</v>
      </c>
      <c r="E641" s="374">
        <v>0</v>
      </c>
      <c r="F641" s="374">
        <v>0</v>
      </c>
      <c r="G641" s="374">
        <v>0</v>
      </c>
      <c r="H641" s="374">
        <v>0</v>
      </c>
      <c r="I641" s="374">
        <v>0</v>
      </c>
      <c r="J641" s="374">
        <v>0</v>
      </c>
      <c r="K641" s="374">
        <v>0</v>
      </c>
      <c r="L641" s="374">
        <v>0</v>
      </c>
      <c r="M641" s="374">
        <v>0</v>
      </c>
      <c r="N641" s="374">
        <v>0</v>
      </c>
      <c r="O641" s="374">
        <v>0</v>
      </c>
      <c r="P641" s="374">
        <v>0</v>
      </c>
      <c r="Q641" s="373" t="e">
        <f ca="1">11*Bolts!$B641</f>
        <v>#NAME?</v>
      </c>
      <c r="R641" s="374">
        <v>0</v>
      </c>
      <c r="S641" s="375">
        <v>0</v>
      </c>
      <c r="T641" s="375">
        <v>0</v>
      </c>
      <c r="U641" s="375">
        <v>0</v>
      </c>
      <c r="V641" s="380" t="e">
        <f t="shared" ca="1" si="78"/>
        <v>#NAME?</v>
      </c>
    </row>
    <row r="642" spans="1:22" ht="14.25" hidden="1" customHeight="1">
      <c r="A642" s="383" t="s">
        <v>2033</v>
      </c>
      <c r="B642" s="370" t="e">
        <f ca="1">_xludf.IFNA(VLOOKUP(Bolts!$A642,'Kilter Holds'!$P$37:$S$662,4,0),0)</f>
        <v>#NAME?</v>
      </c>
      <c r="C642" s="384">
        <v>10</v>
      </c>
      <c r="D642" s="373">
        <v>0</v>
      </c>
      <c r="E642" s="374">
        <v>0</v>
      </c>
      <c r="F642" s="374">
        <v>0</v>
      </c>
      <c r="G642" s="374">
        <v>0</v>
      </c>
      <c r="H642" s="374">
        <v>0</v>
      </c>
      <c r="I642" s="374">
        <v>0</v>
      </c>
      <c r="J642" s="374">
        <v>0</v>
      </c>
      <c r="K642" s="374">
        <v>0</v>
      </c>
      <c r="L642" s="374">
        <v>0</v>
      </c>
      <c r="M642" s="374">
        <v>0</v>
      </c>
      <c r="N642" s="374">
        <v>0</v>
      </c>
      <c r="O642" s="374">
        <v>0</v>
      </c>
      <c r="P642" s="374">
        <v>0</v>
      </c>
      <c r="Q642" s="373" t="e">
        <f ca="1">20*Bolts!$B642</f>
        <v>#NAME?</v>
      </c>
      <c r="R642" s="374">
        <v>0</v>
      </c>
      <c r="S642" s="375">
        <v>0</v>
      </c>
      <c r="T642" s="375">
        <v>0</v>
      </c>
      <c r="U642" s="375">
        <v>0</v>
      </c>
      <c r="V642" s="380" t="e">
        <f t="shared" ca="1" si="78"/>
        <v>#NAME?</v>
      </c>
    </row>
    <row r="643" spans="1:22" ht="14.25" hidden="1" customHeight="1">
      <c r="A643" s="383" t="s">
        <v>2034</v>
      </c>
      <c r="B643" s="370" t="e">
        <f ca="1">_xludf.IFNA(VLOOKUP(Bolts!$A643,'Kilter Holds'!$P$37:$S$662,4,0),0)</f>
        <v>#NAME?</v>
      </c>
      <c r="C643" s="384">
        <v>10</v>
      </c>
      <c r="D643" s="373" t="e">
        <f ca="1">10*Bolts!$B643</f>
        <v>#NAME?</v>
      </c>
      <c r="E643" s="374">
        <v>0</v>
      </c>
      <c r="F643" s="374">
        <v>0</v>
      </c>
      <c r="G643" s="374">
        <v>0</v>
      </c>
      <c r="H643" s="374">
        <v>0</v>
      </c>
      <c r="I643" s="374">
        <v>0</v>
      </c>
      <c r="J643" s="374">
        <v>0</v>
      </c>
      <c r="K643" s="374">
        <v>0</v>
      </c>
      <c r="L643" s="374">
        <v>0</v>
      </c>
      <c r="M643" s="374">
        <v>0</v>
      </c>
      <c r="N643" s="374">
        <v>0</v>
      </c>
      <c r="O643" s="374">
        <v>0</v>
      </c>
      <c r="P643" s="374">
        <v>0</v>
      </c>
      <c r="Q643" s="373" t="e">
        <f ca="1">10*Bolts!$B643</f>
        <v>#NAME?</v>
      </c>
      <c r="R643" s="374">
        <v>0</v>
      </c>
      <c r="S643" s="375">
        <v>0</v>
      </c>
      <c r="T643" s="375">
        <v>0</v>
      </c>
      <c r="U643" s="375">
        <v>0</v>
      </c>
      <c r="V643" s="380" t="e">
        <f t="shared" ca="1" si="78"/>
        <v>#NAME?</v>
      </c>
    </row>
    <row r="644" spans="1:22" ht="14.25" hidden="1" customHeight="1">
      <c r="A644" s="383" t="s">
        <v>2035</v>
      </c>
      <c r="B644" s="370" t="e">
        <f ca="1">_xludf.IFNA(VLOOKUP(Bolts!$A644,'Kilter Holds'!$P$37:$S$662,4,0),0)</f>
        <v>#NAME?</v>
      </c>
      <c r="C644" s="384">
        <v>5</v>
      </c>
      <c r="D644" s="373">
        <v>0</v>
      </c>
      <c r="E644" s="374">
        <v>0</v>
      </c>
      <c r="F644" s="374" t="e">
        <f ca="1">5*Bolts!$B644</f>
        <v>#NAME?</v>
      </c>
      <c r="G644" s="374">
        <v>0</v>
      </c>
      <c r="H644" s="374">
        <v>0</v>
      </c>
      <c r="I644" s="374">
        <v>0</v>
      </c>
      <c r="J644" s="374">
        <v>0</v>
      </c>
      <c r="K644" s="374">
        <v>0</v>
      </c>
      <c r="L644" s="374">
        <v>0</v>
      </c>
      <c r="M644" s="374">
        <v>0</v>
      </c>
      <c r="N644" s="374">
        <v>0</v>
      </c>
      <c r="O644" s="374">
        <v>0</v>
      </c>
      <c r="P644" s="374">
        <v>0</v>
      </c>
      <c r="Q644" s="373" t="e">
        <f ca="1">5*Bolts!$B644</f>
        <v>#NAME?</v>
      </c>
      <c r="R644" s="374">
        <v>0</v>
      </c>
      <c r="S644" s="375">
        <v>0</v>
      </c>
      <c r="T644" s="375">
        <v>0</v>
      </c>
      <c r="U644" s="375">
        <v>0</v>
      </c>
      <c r="V644" s="380" t="e">
        <f t="shared" ca="1" si="78"/>
        <v>#NAME?</v>
      </c>
    </row>
    <row r="645" spans="1:22" ht="14.25" hidden="1" customHeight="1">
      <c r="A645" s="383" t="s">
        <v>2036</v>
      </c>
      <c r="B645" s="370" t="e">
        <f ca="1">_xludf.IFNA(VLOOKUP(Bolts!$A645,'Kilter Holds'!$P$37:$S$662,4,0),0)</f>
        <v>#NAME?</v>
      </c>
      <c r="C645" s="384">
        <v>10</v>
      </c>
      <c r="D645" s="373">
        <v>0</v>
      </c>
      <c r="E645" s="374">
        <v>0</v>
      </c>
      <c r="F645" s="374" t="e">
        <f ca="1">10*Bolts!$B645</f>
        <v>#NAME?</v>
      </c>
      <c r="G645" s="374">
        <v>0</v>
      </c>
      <c r="H645" s="374">
        <v>0</v>
      </c>
      <c r="I645" s="374">
        <v>0</v>
      </c>
      <c r="J645" s="374">
        <v>0</v>
      </c>
      <c r="K645" s="374">
        <v>0</v>
      </c>
      <c r="L645" s="374">
        <v>0</v>
      </c>
      <c r="M645" s="374">
        <v>0</v>
      </c>
      <c r="N645" s="374">
        <v>0</v>
      </c>
      <c r="O645" s="374">
        <v>0</v>
      </c>
      <c r="P645" s="374">
        <v>0</v>
      </c>
      <c r="Q645" s="373" t="e">
        <f ca="1">5*Bolts!$B645</f>
        <v>#NAME?</v>
      </c>
      <c r="R645" s="374">
        <v>0</v>
      </c>
      <c r="S645" s="375">
        <v>0</v>
      </c>
      <c r="T645" s="375">
        <v>0</v>
      </c>
      <c r="U645" s="375">
        <v>0</v>
      </c>
      <c r="V645" s="380" t="e">
        <f t="shared" ca="1" si="78"/>
        <v>#NAME?</v>
      </c>
    </row>
    <row r="646" spans="1:22" ht="14.25" hidden="1" customHeight="1">
      <c r="A646" s="383" t="s">
        <v>2037</v>
      </c>
      <c r="B646" s="370" t="e">
        <f ca="1">_xludf.IFNA(VLOOKUP(Bolts!$A646,'Kilter Holds'!$P$37:$S$662,4,0),0)</f>
        <v>#NAME?</v>
      </c>
      <c r="C646" s="384">
        <v>10</v>
      </c>
      <c r="D646" s="373">
        <v>0</v>
      </c>
      <c r="E646" s="374">
        <v>0</v>
      </c>
      <c r="F646" s="374" t="e">
        <f ca="1">10*Bolts!$B646</f>
        <v>#NAME?</v>
      </c>
      <c r="G646" s="374">
        <v>0</v>
      </c>
      <c r="H646" s="374">
        <v>0</v>
      </c>
      <c r="I646" s="374">
        <v>0</v>
      </c>
      <c r="J646" s="374">
        <v>0</v>
      </c>
      <c r="K646" s="374">
        <v>0</v>
      </c>
      <c r="L646" s="374">
        <v>0</v>
      </c>
      <c r="M646" s="374">
        <v>0</v>
      </c>
      <c r="N646" s="374">
        <v>0</v>
      </c>
      <c r="O646" s="374">
        <v>0</v>
      </c>
      <c r="P646" s="374">
        <v>0</v>
      </c>
      <c r="Q646" s="373" t="e">
        <f ca="1">5*Bolts!$B646</f>
        <v>#NAME?</v>
      </c>
      <c r="R646" s="374">
        <v>0</v>
      </c>
      <c r="S646" s="375">
        <v>0</v>
      </c>
      <c r="T646" s="375">
        <v>0</v>
      </c>
      <c r="U646" s="375">
        <v>0</v>
      </c>
      <c r="V646" s="380" t="e">
        <f t="shared" ca="1" si="78"/>
        <v>#NAME?</v>
      </c>
    </row>
    <row r="647" spans="1:22" ht="14.25" hidden="1" customHeight="1">
      <c r="A647" s="383" t="s">
        <v>2038</v>
      </c>
      <c r="B647" s="370" t="e">
        <f ca="1">_xludf.IFNA(VLOOKUP(Bolts!$A647,'Kilter Holds'!$P$37:$S$662,4,0),0)</f>
        <v>#NAME?</v>
      </c>
      <c r="C647" s="384">
        <v>11</v>
      </c>
      <c r="D647" s="373" t="e">
        <f ca="1">11*Bolts!$B647</f>
        <v>#NAME?</v>
      </c>
      <c r="E647" s="374">
        <v>0</v>
      </c>
      <c r="F647" s="374">
        <v>0</v>
      </c>
      <c r="G647" s="374">
        <v>0</v>
      </c>
      <c r="H647" s="374">
        <v>0</v>
      </c>
      <c r="I647" s="374">
        <v>0</v>
      </c>
      <c r="J647" s="374">
        <v>0</v>
      </c>
      <c r="K647" s="374">
        <v>0</v>
      </c>
      <c r="L647" s="374">
        <v>0</v>
      </c>
      <c r="M647" s="374">
        <v>0</v>
      </c>
      <c r="N647" s="374">
        <v>0</v>
      </c>
      <c r="O647" s="374">
        <v>0</v>
      </c>
      <c r="P647" s="374">
        <v>0</v>
      </c>
      <c r="Q647" s="373" t="e">
        <f ca="1">5*Bolts!$B647</f>
        <v>#NAME?</v>
      </c>
      <c r="R647" s="374">
        <v>0</v>
      </c>
      <c r="S647" s="375">
        <v>0</v>
      </c>
      <c r="T647" s="375">
        <v>0</v>
      </c>
      <c r="U647" s="375">
        <v>0</v>
      </c>
      <c r="V647" s="380" t="e">
        <f t="shared" ca="1" si="78"/>
        <v>#NAME?</v>
      </c>
    </row>
    <row r="648" spans="1:22" ht="14.25" hidden="1" customHeight="1">
      <c r="A648" s="383" t="s">
        <v>2039</v>
      </c>
      <c r="B648" s="370" t="e">
        <f ca="1">_xludf.IFNA(VLOOKUP(Bolts!$A648,'Kilter Holds'!$P$37:$S$662,4,0),0)</f>
        <v>#NAME?</v>
      </c>
      <c r="C648" s="384">
        <v>10</v>
      </c>
      <c r="D648" s="373">
        <v>0</v>
      </c>
      <c r="E648" s="374" t="e">
        <f ca="1">10*Bolts!$B648</f>
        <v>#NAME?</v>
      </c>
      <c r="F648" s="374">
        <v>0</v>
      </c>
      <c r="G648" s="374">
        <v>0</v>
      </c>
      <c r="H648" s="374">
        <v>0</v>
      </c>
      <c r="I648" s="374">
        <v>0</v>
      </c>
      <c r="J648" s="374">
        <v>0</v>
      </c>
      <c r="K648" s="374">
        <v>0</v>
      </c>
      <c r="L648" s="374">
        <v>0</v>
      </c>
      <c r="M648" s="374">
        <v>0</v>
      </c>
      <c r="N648" s="374">
        <v>0</v>
      </c>
      <c r="O648" s="374">
        <v>0</v>
      </c>
      <c r="P648" s="374">
        <v>0</v>
      </c>
      <c r="Q648" s="373" t="e">
        <f ca="1">5*Bolts!$B648</f>
        <v>#NAME?</v>
      </c>
      <c r="R648" s="374">
        <v>0</v>
      </c>
      <c r="S648" s="375">
        <v>0</v>
      </c>
      <c r="T648" s="375">
        <v>0</v>
      </c>
      <c r="U648" s="375">
        <v>0</v>
      </c>
      <c r="V648" s="380" t="e">
        <f t="shared" ca="1" si="78"/>
        <v>#NAME?</v>
      </c>
    </row>
    <row r="649" spans="1:22" ht="14.25" hidden="1" customHeight="1">
      <c r="A649" s="383" t="s">
        <v>2040</v>
      </c>
      <c r="B649" s="370" t="e">
        <f ca="1">_xludf.IFNA(VLOOKUP(Bolts!$A649,'Kilter Holds'!$P$37:$S$662,4,0),0)</f>
        <v>#NAME?</v>
      </c>
      <c r="C649" s="384">
        <v>10</v>
      </c>
      <c r="D649" s="373">
        <v>0</v>
      </c>
      <c r="E649" s="374" t="e">
        <f ca="1">10*Bolts!$B649</f>
        <v>#NAME?</v>
      </c>
      <c r="F649" s="374">
        <v>0</v>
      </c>
      <c r="G649" s="374">
        <v>0</v>
      </c>
      <c r="H649" s="374">
        <v>0</v>
      </c>
      <c r="I649" s="374">
        <v>0</v>
      </c>
      <c r="J649" s="374">
        <v>0</v>
      </c>
      <c r="K649" s="374">
        <v>0</v>
      </c>
      <c r="L649" s="374">
        <v>0</v>
      </c>
      <c r="M649" s="374">
        <v>0</v>
      </c>
      <c r="N649" s="374">
        <v>0</v>
      </c>
      <c r="O649" s="374">
        <v>0</v>
      </c>
      <c r="P649" s="374">
        <v>0</v>
      </c>
      <c r="Q649" s="373" t="e">
        <f ca="1">10*Bolts!$B649</f>
        <v>#NAME?</v>
      </c>
      <c r="R649" s="374">
        <v>0</v>
      </c>
      <c r="S649" s="375">
        <v>0</v>
      </c>
      <c r="T649" s="375">
        <v>0</v>
      </c>
      <c r="U649" s="375">
        <v>0</v>
      </c>
      <c r="V649" s="380" t="e">
        <f t="shared" ca="1" si="78"/>
        <v>#NAME?</v>
      </c>
    </row>
    <row r="650" spans="1:22" ht="14.25" hidden="1" customHeight="1">
      <c r="A650" s="383" t="s">
        <v>2041</v>
      </c>
      <c r="B650" s="370" t="e">
        <f ca="1">_xludf.IFNA(VLOOKUP(Bolts!$A650,'Kilter Holds'!$P$37:$S$662,4,0),0)</f>
        <v>#NAME?</v>
      </c>
      <c r="C650" s="384">
        <v>10</v>
      </c>
      <c r="D650" s="373" t="e">
        <f ca="1">10*Bolts!$B650</f>
        <v>#NAME?</v>
      </c>
      <c r="E650" s="374">
        <v>0</v>
      </c>
      <c r="F650" s="374">
        <v>0</v>
      </c>
      <c r="G650" s="374">
        <v>0</v>
      </c>
      <c r="H650" s="374">
        <v>0</v>
      </c>
      <c r="I650" s="374">
        <v>0</v>
      </c>
      <c r="J650" s="374">
        <v>0</v>
      </c>
      <c r="K650" s="374">
        <v>0</v>
      </c>
      <c r="L650" s="374">
        <v>0</v>
      </c>
      <c r="M650" s="374">
        <v>0</v>
      </c>
      <c r="N650" s="374">
        <v>0</v>
      </c>
      <c r="O650" s="374">
        <v>0</v>
      </c>
      <c r="P650" s="374">
        <v>0</v>
      </c>
      <c r="Q650" s="373" t="e">
        <f ca="1">10*Bolts!$B650</f>
        <v>#NAME?</v>
      </c>
      <c r="R650" s="374">
        <v>0</v>
      </c>
      <c r="S650" s="375">
        <v>0</v>
      </c>
      <c r="T650" s="375">
        <v>0</v>
      </c>
      <c r="U650" s="375">
        <v>0</v>
      </c>
      <c r="V650" s="380" t="e">
        <f t="shared" ca="1" si="78"/>
        <v>#NAME?</v>
      </c>
    </row>
    <row r="651" spans="1:22" ht="14.25" hidden="1" customHeight="1">
      <c r="A651" s="383" t="s">
        <v>2042</v>
      </c>
      <c r="B651" s="370" t="e">
        <f ca="1">_xludf.IFNA(VLOOKUP(Bolts!$A651,'Kilter Holds'!$P$37:$S$662,4,0),0)</f>
        <v>#NAME?</v>
      </c>
      <c r="C651" s="384">
        <v>10</v>
      </c>
      <c r="D651" s="373" t="e">
        <f ca="1">10*Bolts!$B651</f>
        <v>#NAME?</v>
      </c>
      <c r="E651" s="374">
        <v>0</v>
      </c>
      <c r="F651" s="374">
        <v>0</v>
      </c>
      <c r="G651" s="374">
        <v>0</v>
      </c>
      <c r="H651" s="374">
        <v>0</v>
      </c>
      <c r="I651" s="374">
        <v>0</v>
      </c>
      <c r="J651" s="374">
        <v>0</v>
      </c>
      <c r="K651" s="374">
        <v>0</v>
      </c>
      <c r="L651" s="374">
        <v>0</v>
      </c>
      <c r="M651" s="374">
        <v>0</v>
      </c>
      <c r="N651" s="374">
        <v>0</v>
      </c>
      <c r="O651" s="374">
        <v>0</v>
      </c>
      <c r="P651" s="374">
        <v>0</v>
      </c>
      <c r="Q651" s="373" t="e">
        <f ca="1">10*Bolts!$B651</f>
        <v>#NAME?</v>
      </c>
      <c r="R651" s="374">
        <v>0</v>
      </c>
      <c r="S651" s="375">
        <v>0</v>
      </c>
      <c r="T651" s="375">
        <v>0</v>
      </c>
      <c r="U651" s="375">
        <v>0</v>
      </c>
      <c r="V651" s="380" t="e">
        <f t="shared" ca="1" si="78"/>
        <v>#NAME?</v>
      </c>
    </row>
    <row r="652" spans="1:22" ht="14.25" hidden="1" customHeight="1">
      <c r="A652" s="383" t="s">
        <v>2043</v>
      </c>
      <c r="B652" s="370" t="e">
        <f ca="1">_xludf.IFNA(VLOOKUP(Bolts!$A652,'Kilter Holds'!$P$37:$S$662,4,0),0)</f>
        <v>#NAME?</v>
      </c>
      <c r="C652" s="384">
        <v>5</v>
      </c>
      <c r="D652" s="373">
        <v>0</v>
      </c>
      <c r="E652" s="374">
        <v>0</v>
      </c>
      <c r="F652" s="374" t="e">
        <f ca="1">5*Bolts!$B652</f>
        <v>#NAME?</v>
      </c>
      <c r="G652" s="374">
        <v>0</v>
      </c>
      <c r="H652" s="374">
        <v>0</v>
      </c>
      <c r="I652" s="374">
        <v>0</v>
      </c>
      <c r="J652" s="374">
        <v>0</v>
      </c>
      <c r="K652" s="374">
        <v>0</v>
      </c>
      <c r="L652" s="374">
        <v>0</v>
      </c>
      <c r="M652" s="374">
        <v>0</v>
      </c>
      <c r="N652" s="374">
        <v>0</v>
      </c>
      <c r="O652" s="374">
        <v>0</v>
      </c>
      <c r="P652" s="374">
        <v>0</v>
      </c>
      <c r="Q652" s="373" t="e">
        <f ca="1">5*Bolts!$B652</f>
        <v>#NAME?</v>
      </c>
      <c r="R652" s="374">
        <v>0</v>
      </c>
      <c r="S652" s="375">
        <v>0</v>
      </c>
      <c r="T652" s="375">
        <v>0</v>
      </c>
      <c r="U652" s="375">
        <v>0</v>
      </c>
      <c r="V652" s="380" t="e">
        <f t="shared" ca="1" si="78"/>
        <v>#NAME?</v>
      </c>
    </row>
    <row r="653" spans="1:22" ht="14.25" hidden="1" customHeight="1">
      <c r="A653" s="383" t="s">
        <v>2044</v>
      </c>
      <c r="B653" s="370" t="e">
        <f ca="1">_xludf.IFNA(VLOOKUP(Bolts!$A653,'Kilter Holds'!$P$37:$S$662,4,0),0)</f>
        <v>#NAME?</v>
      </c>
      <c r="C653" s="384">
        <v>10</v>
      </c>
      <c r="D653" s="373">
        <v>0</v>
      </c>
      <c r="E653" s="374">
        <v>0</v>
      </c>
      <c r="F653" s="374" t="e">
        <f ca="1">10*Bolts!$B653</f>
        <v>#NAME?</v>
      </c>
      <c r="G653" s="374">
        <v>0</v>
      </c>
      <c r="H653" s="374">
        <v>0</v>
      </c>
      <c r="I653" s="374">
        <v>0</v>
      </c>
      <c r="J653" s="374">
        <v>0</v>
      </c>
      <c r="K653" s="374">
        <v>0</v>
      </c>
      <c r="L653" s="374">
        <v>0</v>
      </c>
      <c r="M653" s="374">
        <v>0</v>
      </c>
      <c r="N653" s="374">
        <v>0</v>
      </c>
      <c r="O653" s="374">
        <v>0</v>
      </c>
      <c r="P653" s="374">
        <v>0</v>
      </c>
      <c r="Q653" s="373" t="e">
        <f ca="1">10*Bolts!$B653</f>
        <v>#NAME?</v>
      </c>
      <c r="R653" s="374">
        <v>0</v>
      </c>
      <c r="S653" s="375">
        <v>0</v>
      </c>
      <c r="T653" s="375">
        <v>0</v>
      </c>
      <c r="U653" s="375">
        <v>0</v>
      </c>
      <c r="V653" s="380" t="e">
        <f t="shared" ca="1" si="78"/>
        <v>#NAME?</v>
      </c>
    </row>
    <row r="654" spans="1:22" ht="14.25" hidden="1" customHeight="1">
      <c r="A654" s="383" t="s">
        <v>2045</v>
      </c>
      <c r="B654" s="370" t="e">
        <f ca="1">_xludf.IFNA(VLOOKUP(Bolts!$A654,'Kilter Holds'!$P$37:$S$662,4,0),0)</f>
        <v>#NAME?</v>
      </c>
      <c r="C654" s="384">
        <v>10</v>
      </c>
      <c r="D654" s="373" t="e">
        <f ca="1">10*Bolts!$B654</f>
        <v>#NAME?</v>
      </c>
      <c r="E654" s="374">
        <v>0</v>
      </c>
      <c r="F654" s="374">
        <v>0</v>
      </c>
      <c r="G654" s="374">
        <v>0</v>
      </c>
      <c r="H654" s="374">
        <v>0</v>
      </c>
      <c r="I654" s="374">
        <v>0</v>
      </c>
      <c r="J654" s="374">
        <v>0</v>
      </c>
      <c r="K654" s="374">
        <v>0</v>
      </c>
      <c r="L654" s="374">
        <v>0</v>
      </c>
      <c r="M654" s="374">
        <v>0</v>
      </c>
      <c r="N654" s="374">
        <v>0</v>
      </c>
      <c r="O654" s="374">
        <v>0</v>
      </c>
      <c r="P654" s="374">
        <v>0</v>
      </c>
      <c r="Q654" s="373" t="e">
        <f ca="1">10*Bolts!$B654</f>
        <v>#NAME?</v>
      </c>
      <c r="R654" s="374">
        <v>0</v>
      </c>
      <c r="S654" s="375">
        <v>0</v>
      </c>
      <c r="T654" s="375">
        <v>0</v>
      </c>
      <c r="U654" s="375">
        <v>0</v>
      </c>
      <c r="V654" s="380" t="e">
        <f t="shared" ca="1" si="78"/>
        <v>#NAME?</v>
      </c>
    </row>
    <row r="655" spans="1:22" ht="14.25" hidden="1" customHeight="1">
      <c r="A655" s="383" t="s">
        <v>2046</v>
      </c>
      <c r="B655" s="370" t="e">
        <f ca="1">_xludf.IFNA(VLOOKUP(Bolts!$A655,'Kilter Holds'!$P$37:$S$662,4,0),0)</f>
        <v>#NAME?</v>
      </c>
      <c r="C655" s="384">
        <v>10</v>
      </c>
      <c r="D655" s="373" t="e">
        <f ca="1">10*Bolts!$B655</f>
        <v>#NAME?</v>
      </c>
      <c r="E655" s="374">
        <v>0</v>
      </c>
      <c r="F655" s="374">
        <v>0</v>
      </c>
      <c r="G655" s="374">
        <v>0</v>
      </c>
      <c r="H655" s="374">
        <v>0</v>
      </c>
      <c r="I655" s="374">
        <v>0</v>
      </c>
      <c r="J655" s="374">
        <v>0</v>
      </c>
      <c r="K655" s="374">
        <v>0</v>
      </c>
      <c r="L655" s="374">
        <v>0</v>
      </c>
      <c r="M655" s="374">
        <v>0</v>
      </c>
      <c r="N655" s="374">
        <v>0</v>
      </c>
      <c r="O655" s="374">
        <v>0</v>
      </c>
      <c r="P655" s="374">
        <v>0</v>
      </c>
      <c r="Q655" s="373" t="e">
        <f ca="1">10*Bolts!$B655</f>
        <v>#NAME?</v>
      </c>
      <c r="R655" s="374">
        <v>0</v>
      </c>
      <c r="S655" s="375">
        <v>0</v>
      </c>
      <c r="T655" s="375">
        <v>0</v>
      </c>
      <c r="U655" s="375">
        <v>0</v>
      </c>
      <c r="V655" s="380" t="e">
        <f t="shared" ca="1" si="78"/>
        <v>#NAME?</v>
      </c>
    </row>
    <row r="656" spans="1:22" ht="14.25" hidden="1" customHeight="1">
      <c r="A656" s="383" t="s">
        <v>2047</v>
      </c>
      <c r="B656" s="370" t="e">
        <f ca="1">_xludf.IFNA(VLOOKUP(Bolts!$A656,'Kilter Holds'!$P$37:$S$662,4,0),0)</f>
        <v>#NAME?</v>
      </c>
      <c r="C656" s="384">
        <v>5</v>
      </c>
      <c r="D656" s="373">
        <v>0</v>
      </c>
      <c r="E656" s="374">
        <v>0</v>
      </c>
      <c r="F656" s="374" t="e">
        <f ca="1">5*Bolts!$B656</f>
        <v>#NAME?</v>
      </c>
      <c r="G656" s="374">
        <v>0</v>
      </c>
      <c r="H656" s="374">
        <v>0</v>
      </c>
      <c r="I656" s="374">
        <v>0</v>
      </c>
      <c r="J656" s="374">
        <v>0</v>
      </c>
      <c r="K656" s="374">
        <v>0</v>
      </c>
      <c r="L656" s="374">
        <v>0</v>
      </c>
      <c r="M656" s="374">
        <v>0</v>
      </c>
      <c r="N656" s="374">
        <v>0</v>
      </c>
      <c r="O656" s="374">
        <v>0</v>
      </c>
      <c r="P656" s="374">
        <v>0</v>
      </c>
      <c r="Q656" s="373" t="e">
        <f ca="1">5*Bolts!$B656</f>
        <v>#NAME?</v>
      </c>
      <c r="R656" s="374">
        <v>0</v>
      </c>
      <c r="S656" s="375">
        <v>0</v>
      </c>
      <c r="T656" s="375">
        <v>0</v>
      </c>
      <c r="U656" s="375">
        <v>0</v>
      </c>
      <c r="V656" s="380" t="e">
        <f t="shared" ca="1" si="78"/>
        <v>#NAME?</v>
      </c>
    </row>
    <row r="657" spans="1:22" ht="14.25" hidden="1" customHeight="1">
      <c r="A657" s="383" t="s">
        <v>2048</v>
      </c>
      <c r="B657" s="370" t="e">
        <f ca="1">_xludf.IFNA(VLOOKUP(Bolts!$A657,'Kilter Holds'!$P$37:$S$662,4,0),0)</f>
        <v>#NAME?</v>
      </c>
      <c r="C657" s="384">
        <v>10</v>
      </c>
      <c r="D657" s="373" t="e">
        <f ca="1">10*Bolts!$B657</f>
        <v>#NAME?</v>
      </c>
      <c r="E657" s="374">
        <v>0</v>
      </c>
      <c r="F657" s="374">
        <v>0</v>
      </c>
      <c r="G657" s="374">
        <v>0</v>
      </c>
      <c r="H657" s="374">
        <v>0</v>
      </c>
      <c r="I657" s="374">
        <v>0</v>
      </c>
      <c r="J657" s="374">
        <v>0</v>
      </c>
      <c r="K657" s="374">
        <v>0</v>
      </c>
      <c r="L657" s="374">
        <v>0</v>
      </c>
      <c r="M657" s="374">
        <v>0</v>
      </c>
      <c r="N657" s="374">
        <v>0</v>
      </c>
      <c r="O657" s="374">
        <v>0</v>
      </c>
      <c r="P657" s="374">
        <v>0</v>
      </c>
      <c r="Q657" s="373" t="e">
        <f ca="1">10*Bolts!$B657</f>
        <v>#NAME?</v>
      </c>
      <c r="R657" s="374">
        <v>0</v>
      </c>
      <c r="S657" s="375">
        <v>0</v>
      </c>
      <c r="T657" s="375">
        <v>0</v>
      </c>
      <c r="U657" s="375">
        <v>0</v>
      </c>
      <c r="V657" s="380" t="e">
        <f t="shared" ca="1" si="78"/>
        <v>#NAME?</v>
      </c>
    </row>
    <row r="658" spans="1:22" ht="14.25" hidden="1" customHeight="1">
      <c r="A658" s="383" t="s">
        <v>2049</v>
      </c>
      <c r="B658" s="370" t="e">
        <f ca="1">_xludf.IFNA(VLOOKUP(Bolts!$A658,'Kilter Holds'!$P$37:$S$662,4,0),0)</f>
        <v>#NAME?</v>
      </c>
      <c r="C658" s="384">
        <v>10</v>
      </c>
      <c r="D658" s="373" t="e">
        <f ca="1">10*Bolts!$B658</f>
        <v>#NAME?</v>
      </c>
      <c r="E658" s="374">
        <v>0</v>
      </c>
      <c r="F658" s="374">
        <v>0</v>
      </c>
      <c r="G658" s="374">
        <v>0</v>
      </c>
      <c r="H658" s="374">
        <v>0</v>
      </c>
      <c r="I658" s="374">
        <v>0</v>
      </c>
      <c r="J658" s="374">
        <v>0</v>
      </c>
      <c r="K658" s="374">
        <v>0</v>
      </c>
      <c r="L658" s="374">
        <v>0</v>
      </c>
      <c r="M658" s="374">
        <v>0</v>
      </c>
      <c r="N658" s="374">
        <v>0</v>
      </c>
      <c r="O658" s="374">
        <v>0</v>
      </c>
      <c r="P658" s="374">
        <v>0</v>
      </c>
      <c r="Q658" s="373" t="e">
        <f ca="1">10*Bolts!$B658</f>
        <v>#NAME?</v>
      </c>
      <c r="R658" s="374">
        <v>0</v>
      </c>
      <c r="S658" s="375">
        <v>0</v>
      </c>
      <c r="T658" s="375">
        <v>0</v>
      </c>
      <c r="U658" s="375">
        <v>0</v>
      </c>
      <c r="V658" s="380" t="e">
        <f t="shared" ca="1" si="78"/>
        <v>#NAME?</v>
      </c>
    </row>
    <row r="659" spans="1:22" ht="14.25" hidden="1" customHeight="1">
      <c r="A659" s="383" t="s">
        <v>2050</v>
      </c>
      <c r="B659" s="370" t="e">
        <f ca="1">_xludf.IFNA(VLOOKUP(Bolts!$A659,'Kilter Holds'!$P$37:$S$662,4,0),0)</f>
        <v>#NAME?</v>
      </c>
      <c r="C659" s="384">
        <v>10</v>
      </c>
      <c r="D659" s="373" t="e">
        <f ca="1">10*Bolts!$B659</f>
        <v>#NAME?</v>
      </c>
      <c r="E659" s="374">
        <v>0</v>
      </c>
      <c r="F659" s="374">
        <v>0</v>
      </c>
      <c r="G659" s="374">
        <v>0</v>
      </c>
      <c r="H659" s="374">
        <v>0</v>
      </c>
      <c r="I659" s="374">
        <v>0</v>
      </c>
      <c r="J659" s="374">
        <v>0</v>
      </c>
      <c r="K659" s="374">
        <v>0</v>
      </c>
      <c r="L659" s="374">
        <v>0</v>
      </c>
      <c r="M659" s="374">
        <v>0</v>
      </c>
      <c r="N659" s="374">
        <v>0</v>
      </c>
      <c r="O659" s="374">
        <v>0</v>
      </c>
      <c r="P659" s="374">
        <v>0</v>
      </c>
      <c r="Q659" s="373" t="e">
        <f ca="1">10*Bolts!$B659</f>
        <v>#NAME?</v>
      </c>
      <c r="R659" s="374">
        <v>0</v>
      </c>
      <c r="S659" s="375">
        <v>0</v>
      </c>
      <c r="T659" s="375">
        <v>0</v>
      </c>
      <c r="U659" s="375">
        <v>0</v>
      </c>
      <c r="V659" s="380" t="e">
        <f t="shared" ca="1" si="78"/>
        <v>#NAME?</v>
      </c>
    </row>
    <row r="660" spans="1:22" ht="14.25" hidden="1" customHeight="1">
      <c r="A660" s="383" t="s">
        <v>2051</v>
      </c>
      <c r="B660" s="370" t="e">
        <f ca="1">_xludf.IFNA(VLOOKUP(Bolts!$A660,'Kilter Holds'!$P$37:$S$662,4,0),0)</f>
        <v>#NAME?</v>
      </c>
      <c r="C660" s="384">
        <v>10</v>
      </c>
      <c r="D660" s="373" t="e">
        <f ca="1">10*Bolts!$B660</f>
        <v>#NAME?</v>
      </c>
      <c r="E660" s="374">
        <v>0</v>
      </c>
      <c r="F660" s="374">
        <v>0</v>
      </c>
      <c r="G660" s="374">
        <v>0</v>
      </c>
      <c r="H660" s="374">
        <v>0</v>
      </c>
      <c r="I660" s="374">
        <v>0</v>
      </c>
      <c r="J660" s="374">
        <v>0</v>
      </c>
      <c r="K660" s="374">
        <v>0</v>
      </c>
      <c r="L660" s="374">
        <v>0</v>
      </c>
      <c r="M660" s="374">
        <v>0</v>
      </c>
      <c r="N660" s="374">
        <v>0</v>
      </c>
      <c r="O660" s="374">
        <v>0</v>
      </c>
      <c r="P660" s="374">
        <v>0</v>
      </c>
      <c r="Q660" s="373" t="e">
        <f ca="1">10*Bolts!$B660</f>
        <v>#NAME?</v>
      </c>
      <c r="R660" s="374">
        <v>0</v>
      </c>
      <c r="S660" s="375">
        <v>0</v>
      </c>
      <c r="T660" s="375">
        <v>0</v>
      </c>
      <c r="U660" s="375">
        <v>0</v>
      </c>
      <c r="V660" s="380" t="e">
        <f t="shared" ca="1" si="78"/>
        <v>#NAME?</v>
      </c>
    </row>
    <row r="661" spans="1:22" ht="14.25" hidden="1" customHeight="1">
      <c r="A661" s="383" t="s">
        <v>2052</v>
      </c>
      <c r="B661" s="370" t="e">
        <f ca="1">_xludf.IFNA(VLOOKUP(Bolts!$A661,'Kilter Holds'!$P$37:$S$662,4,0),0)</f>
        <v>#NAME?</v>
      </c>
      <c r="C661" s="384">
        <v>10</v>
      </c>
      <c r="D661" s="373" t="e">
        <f ca="1">10*Bolts!$B661</f>
        <v>#NAME?</v>
      </c>
      <c r="E661" s="374">
        <v>0</v>
      </c>
      <c r="F661" s="374">
        <v>0</v>
      </c>
      <c r="G661" s="374">
        <v>0</v>
      </c>
      <c r="H661" s="374">
        <v>0</v>
      </c>
      <c r="I661" s="374">
        <v>0</v>
      </c>
      <c r="J661" s="374">
        <v>0</v>
      </c>
      <c r="K661" s="374">
        <v>0</v>
      </c>
      <c r="L661" s="374">
        <v>0</v>
      </c>
      <c r="M661" s="374">
        <v>0</v>
      </c>
      <c r="N661" s="374">
        <v>0</v>
      </c>
      <c r="O661" s="374">
        <v>0</v>
      </c>
      <c r="P661" s="374">
        <v>0</v>
      </c>
      <c r="Q661" s="373" t="e">
        <f ca="1">10*Bolts!$B661</f>
        <v>#NAME?</v>
      </c>
      <c r="R661" s="374">
        <v>0</v>
      </c>
      <c r="S661" s="375">
        <v>0</v>
      </c>
      <c r="T661" s="375">
        <v>0</v>
      </c>
      <c r="U661" s="375">
        <v>0</v>
      </c>
      <c r="V661" s="380" t="e">
        <f t="shared" ca="1" si="78"/>
        <v>#NAME?</v>
      </c>
    </row>
    <row r="662" spans="1:22" ht="14.25" hidden="1" customHeight="1">
      <c r="A662" s="383" t="s">
        <v>2053</v>
      </c>
      <c r="B662" s="370" t="e">
        <f ca="1">_xludf.IFNA(VLOOKUP(Bolts!$A662,'Kilter Holds'!$P$37:$S$662,4,0),0)</f>
        <v>#NAME?</v>
      </c>
      <c r="C662" s="384">
        <v>5</v>
      </c>
      <c r="D662" s="373">
        <v>0</v>
      </c>
      <c r="E662" s="374" t="e">
        <f ca="1">5*Bolts!$B662</f>
        <v>#NAME?</v>
      </c>
      <c r="F662" s="374">
        <v>0</v>
      </c>
      <c r="G662" s="374">
        <v>0</v>
      </c>
      <c r="H662" s="374">
        <v>0</v>
      </c>
      <c r="I662" s="374">
        <v>0</v>
      </c>
      <c r="J662" s="374">
        <v>0</v>
      </c>
      <c r="K662" s="374">
        <v>0</v>
      </c>
      <c r="L662" s="374">
        <v>0</v>
      </c>
      <c r="M662" s="374">
        <v>0</v>
      </c>
      <c r="N662" s="374">
        <v>0</v>
      </c>
      <c r="O662" s="374">
        <v>0</v>
      </c>
      <c r="P662" s="374">
        <v>0</v>
      </c>
      <c r="Q662" s="373" t="e">
        <f ca="1">10*Bolts!$B662</f>
        <v>#NAME?</v>
      </c>
      <c r="R662" s="374">
        <v>0</v>
      </c>
      <c r="S662" s="375">
        <v>0</v>
      </c>
      <c r="T662" s="375">
        <v>0</v>
      </c>
      <c r="U662" s="375">
        <v>0</v>
      </c>
      <c r="V662" s="380" t="e">
        <f t="shared" ca="1" si="78"/>
        <v>#NAME?</v>
      </c>
    </row>
    <row r="663" spans="1:22" ht="14.25" hidden="1" customHeight="1">
      <c r="A663" s="383" t="s">
        <v>2054</v>
      </c>
      <c r="B663" s="370" t="e">
        <f ca="1">_xludf.IFNA(VLOOKUP(Bolts!$A663,'Kilter Holds'!$P$37:$S$662,4,0),0)</f>
        <v>#NAME?</v>
      </c>
      <c r="C663" s="384">
        <v>10</v>
      </c>
      <c r="D663" s="373">
        <v>0</v>
      </c>
      <c r="E663" s="374" t="e">
        <f ca="1">10*Bolts!$B663</f>
        <v>#NAME?</v>
      </c>
      <c r="F663" s="374">
        <v>0</v>
      </c>
      <c r="G663" s="374">
        <v>0</v>
      </c>
      <c r="H663" s="374">
        <v>0</v>
      </c>
      <c r="I663" s="374">
        <v>0</v>
      </c>
      <c r="J663" s="374">
        <v>0</v>
      </c>
      <c r="K663" s="374">
        <v>0</v>
      </c>
      <c r="L663" s="374">
        <v>0</v>
      </c>
      <c r="M663" s="374">
        <v>0</v>
      </c>
      <c r="N663" s="374">
        <v>0</v>
      </c>
      <c r="O663" s="374">
        <v>0</v>
      </c>
      <c r="P663" s="374">
        <v>0</v>
      </c>
      <c r="Q663" s="373" t="e">
        <f ca="1">10*Bolts!$B663</f>
        <v>#NAME?</v>
      </c>
      <c r="R663" s="374">
        <v>0</v>
      </c>
      <c r="S663" s="375">
        <v>0</v>
      </c>
      <c r="T663" s="375">
        <v>0</v>
      </c>
      <c r="U663" s="375">
        <v>0</v>
      </c>
      <c r="V663" s="380" t="e">
        <f t="shared" ca="1" si="78"/>
        <v>#NAME?</v>
      </c>
    </row>
    <row r="664" spans="1:22" ht="14.25" hidden="1" customHeight="1">
      <c r="A664" s="383" t="s">
        <v>2055</v>
      </c>
      <c r="B664" s="370" t="e">
        <f ca="1">_xludf.IFNA(VLOOKUP(Bolts!$A664,'Kilter Holds'!$P$37:$S$662,4,0),0)</f>
        <v>#NAME?</v>
      </c>
      <c r="C664" s="384">
        <v>5</v>
      </c>
      <c r="D664" s="373">
        <v>0</v>
      </c>
      <c r="E664" s="374">
        <v>0</v>
      </c>
      <c r="F664" s="374">
        <v>0</v>
      </c>
      <c r="G664" s="374" t="e">
        <f ca="1">5*Bolts!$B664</f>
        <v>#NAME?</v>
      </c>
      <c r="H664" s="374">
        <v>0</v>
      </c>
      <c r="I664" s="374">
        <v>0</v>
      </c>
      <c r="J664" s="374">
        <v>0</v>
      </c>
      <c r="K664" s="374">
        <v>0</v>
      </c>
      <c r="L664" s="374">
        <v>0</v>
      </c>
      <c r="M664" s="374">
        <v>0</v>
      </c>
      <c r="N664" s="374">
        <v>0</v>
      </c>
      <c r="O664" s="374">
        <v>0</v>
      </c>
      <c r="P664" s="374">
        <v>0</v>
      </c>
      <c r="Q664" s="373" t="e">
        <f ca="1">5*Bolts!$B664</f>
        <v>#NAME?</v>
      </c>
      <c r="R664" s="374">
        <v>0</v>
      </c>
      <c r="S664" s="375">
        <v>0</v>
      </c>
      <c r="T664" s="375">
        <v>0</v>
      </c>
      <c r="U664" s="375">
        <v>0</v>
      </c>
      <c r="V664" s="380" t="e">
        <f t="shared" ca="1" si="78"/>
        <v>#NAME?</v>
      </c>
    </row>
    <row r="665" spans="1:22" ht="14.25" hidden="1" customHeight="1">
      <c r="A665" s="383" t="s">
        <v>2056</v>
      </c>
      <c r="B665" s="370" t="e">
        <f ca="1">_xludf.IFNA(VLOOKUP(Bolts!$A665,'Kilter Holds'!$P$37:$S$662,4,0),0)</f>
        <v>#NAME?</v>
      </c>
      <c r="C665" s="384">
        <v>10</v>
      </c>
      <c r="D665" s="373">
        <v>0</v>
      </c>
      <c r="E665" s="374">
        <v>0</v>
      </c>
      <c r="F665" s="374">
        <v>0</v>
      </c>
      <c r="G665" s="374" t="e">
        <f ca="1">10*Bolts!$B665</f>
        <v>#NAME?</v>
      </c>
      <c r="H665" s="374">
        <v>0</v>
      </c>
      <c r="I665" s="374">
        <v>0</v>
      </c>
      <c r="J665" s="374">
        <v>0</v>
      </c>
      <c r="K665" s="374">
        <v>0</v>
      </c>
      <c r="L665" s="374">
        <v>0</v>
      </c>
      <c r="M665" s="374">
        <v>0</v>
      </c>
      <c r="N665" s="374">
        <v>0</v>
      </c>
      <c r="O665" s="374">
        <v>0</v>
      </c>
      <c r="P665" s="374">
        <v>0</v>
      </c>
      <c r="Q665" s="373" t="e">
        <f ca="1">5*Bolts!$B665</f>
        <v>#NAME?</v>
      </c>
      <c r="R665" s="374">
        <v>0</v>
      </c>
      <c r="S665" s="375">
        <v>0</v>
      </c>
      <c r="T665" s="375">
        <v>0</v>
      </c>
      <c r="U665" s="375">
        <v>0</v>
      </c>
      <c r="V665" s="380" t="e">
        <f t="shared" ca="1" si="78"/>
        <v>#NAME?</v>
      </c>
    </row>
    <row r="666" spans="1:22" ht="14.25" hidden="1" customHeight="1">
      <c r="A666" s="383" t="s">
        <v>2057</v>
      </c>
      <c r="B666" s="370" t="e">
        <f ca="1">_xludf.IFNA(VLOOKUP(Bolts!$A666,'Kilter Holds'!$P$37:$S$662,4,0),0)</f>
        <v>#NAME?</v>
      </c>
      <c r="C666" s="384">
        <v>5</v>
      </c>
      <c r="D666" s="373">
        <v>0</v>
      </c>
      <c r="E666" s="374">
        <v>0</v>
      </c>
      <c r="F666" s="374">
        <v>0</v>
      </c>
      <c r="G666" s="374" t="e">
        <f ca="1">5*Bolts!$B666</f>
        <v>#NAME?</v>
      </c>
      <c r="H666" s="374">
        <v>0</v>
      </c>
      <c r="I666" s="374">
        <v>0</v>
      </c>
      <c r="J666" s="374">
        <v>0</v>
      </c>
      <c r="K666" s="374">
        <v>0</v>
      </c>
      <c r="L666" s="374">
        <v>0</v>
      </c>
      <c r="M666" s="374">
        <v>0</v>
      </c>
      <c r="N666" s="374">
        <v>0</v>
      </c>
      <c r="O666" s="374">
        <v>0</v>
      </c>
      <c r="P666" s="374">
        <v>0</v>
      </c>
      <c r="Q666" s="373" t="e">
        <f ca="1">5*Bolts!$B666</f>
        <v>#NAME?</v>
      </c>
      <c r="R666" s="374">
        <v>0</v>
      </c>
      <c r="S666" s="375">
        <v>0</v>
      </c>
      <c r="T666" s="375">
        <v>0</v>
      </c>
      <c r="U666" s="375">
        <v>0</v>
      </c>
      <c r="V666" s="380" t="e">
        <f t="shared" ca="1" si="78"/>
        <v>#NAME?</v>
      </c>
    </row>
    <row r="667" spans="1:22" ht="14.25" hidden="1" customHeight="1">
      <c r="A667" s="383" t="s">
        <v>2058</v>
      </c>
      <c r="B667" s="370" t="e">
        <f ca="1">_xludf.IFNA(VLOOKUP(Bolts!$A667,'Kilter Holds'!$P$37:$S$662,4,0),0)</f>
        <v>#NAME?</v>
      </c>
      <c r="C667" s="384">
        <v>5</v>
      </c>
      <c r="D667" s="373">
        <v>0</v>
      </c>
      <c r="E667" s="374">
        <v>0</v>
      </c>
      <c r="F667" s="374">
        <v>0</v>
      </c>
      <c r="G667" s="374" t="e">
        <f ca="1">5*Bolts!$B667</f>
        <v>#NAME?</v>
      </c>
      <c r="H667" s="374">
        <v>0</v>
      </c>
      <c r="I667" s="374">
        <v>0</v>
      </c>
      <c r="J667" s="374">
        <v>0</v>
      </c>
      <c r="K667" s="374">
        <v>0</v>
      </c>
      <c r="L667" s="374">
        <v>0</v>
      </c>
      <c r="M667" s="374">
        <v>0</v>
      </c>
      <c r="N667" s="374">
        <v>0</v>
      </c>
      <c r="O667" s="374">
        <v>0</v>
      </c>
      <c r="P667" s="374">
        <v>0</v>
      </c>
      <c r="Q667" s="373" t="e">
        <f ca="1">5*Bolts!$B667</f>
        <v>#NAME?</v>
      </c>
      <c r="R667" s="374">
        <v>0</v>
      </c>
      <c r="S667" s="375">
        <v>0</v>
      </c>
      <c r="T667" s="375">
        <v>0</v>
      </c>
      <c r="U667" s="375">
        <v>0</v>
      </c>
      <c r="V667" s="380" t="e">
        <f t="shared" ca="1" si="78"/>
        <v>#NAME?</v>
      </c>
    </row>
    <row r="668" spans="1:22" ht="14.25" hidden="1" customHeight="1">
      <c r="A668" s="383" t="s">
        <v>2059</v>
      </c>
      <c r="B668" s="370" t="e">
        <f ca="1">_xludf.IFNA(VLOOKUP(Bolts!$A668,'Kilter Holds'!$P$37:$S$662,4,0),0)</f>
        <v>#NAME?</v>
      </c>
      <c r="C668" s="384">
        <v>10</v>
      </c>
      <c r="D668" s="373" t="e">
        <f ca="1">10*Bolts!$B668</f>
        <v>#NAME?</v>
      </c>
      <c r="E668" s="374">
        <v>0</v>
      </c>
      <c r="F668" s="374">
        <v>0</v>
      </c>
      <c r="G668" s="374">
        <v>0</v>
      </c>
      <c r="H668" s="374">
        <v>0</v>
      </c>
      <c r="I668" s="374">
        <v>0</v>
      </c>
      <c r="J668" s="374">
        <v>0</v>
      </c>
      <c r="K668" s="374">
        <v>0</v>
      </c>
      <c r="L668" s="374">
        <v>0</v>
      </c>
      <c r="M668" s="374">
        <v>0</v>
      </c>
      <c r="N668" s="374">
        <v>0</v>
      </c>
      <c r="O668" s="374">
        <v>0</v>
      </c>
      <c r="P668" s="374">
        <v>0</v>
      </c>
      <c r="Q668" s="373" t="e">
        <f ca="1">10*Bolts!$B668</f>
        <v>#NAME?</v>
      </c>
      <c r="R668" s="374">
        <v>0</v>
      </c>
      <c r="S668" s="375">
        <v>0</v>
      </c>
      <c r="T668" s="375">
        <v>0</v>
      </c>
      <c r="U668" s="375">
        <v>0</v>
      </c>
      <c r="V668" s="380" t="e">
        <f t="shared" ca="1" si="78"/>
        <v>#NAME?</v>
      </c>
    </row>
    <row r="669" spans="1:22" ht="14.25" hidden="1" customHeight="1">
      <c r="A669" s="383" t="s">
        <v>2060</v>
      </c>
      <c r="B669" s="370" t="e">
        <f ca="1">_xludf.IFNA(VLOOKUP(Bolts!$A669,'Kilter Holds'!$P$37:$S$662,4,0),0)</f>
        <v>#NAME?</v>
      </c>
      <c r="C669" s="384">
        <v>2</v>
      </c>
      <c r="D669" s="373">
        <v>0</v>
      </c>
      <c r="E669" s="374">
        <v>0</v>
      </c>
      <c r="F669" s="374">
        <v>0</v>
      </c>
      <c r="G669" s="374">
        <v>0</v>
      </c>
      <c r="H669" s="374">
        <v>0</v>
      </c>
      <c r="I669" s="374" t="e">
        <f ca="1">2*Bolts!$B669</f>
        <v>#NAME?</v>
      </c>
      <c r="J669" s="374">
        <v>0</v>
      </c>
      <c r="K669" s="374">
        <v>0</v>
      </c>
      <c r="L669" s="374">
        <v>0</v>
      </c>
      <c r="M669" s="374">
        <v>0</v>
      </c>
      <c r="N669" s="374">
        <v>0</v>
      </c>
      <c r="O669" s="374">
        <v>0</v>
      </c>
      <c r="P669" s="374">
        <v>0</v>
      </c>
      <c r="Q669" s="373" t="e">
        <f ca="1">16*Bolts!$B669</f>
        <v>#NAME?</v>
      </c>
      <c r="R669" s="374">
        <v>0</v>
      </c>
      <c r="S669" s="375">
        <v>0</v>
      </c>
      <c r="T669" s="375">
        <v>0</v>
      </c>
      <c r="U669" s="375">
        <v>0</v>
      </c>
      <c r="V669" s="380" t="e">
        <f t="shared" ca="1" si="78"/>
        <v>#NAME?</v>
      </c>
    </row>
    <row r="670" spans="1:22" ht="14.25" hidden="1" customHeight="1">
      <c r="A670" s="383" t="s">
        <v>2061</v>
      </c>
      <c r="B670" s="370" t="e">
        <f ca="1">_xludf.IFNA(VLOOKUP(Bolts!$A670,'Kilter Holds'!$P$37:$S$662,4,0),0)</f>
        <v>#NAME?</v>
      </c>
      <c r="C670" s="384">
        <v>2</v>
      </c>
      <c r="D670" s="373">
        <v>0</v>
      </c>
      <c r="E670" s="374">
        <v>0</v>
      </c>
      <c r="F670" s="374">
        <v>0</v>
      </c>
      <c r="G670" s="374">
        <v>0</v>
      </c>
      <c r="H670" s="374">
        <v>0</v>
      </c>
      <c r="I670" s="374">
        <v>0</v>
      </c>
      <c r="J670" s="374">
        <v>0</v>
      </c>
      <c r="K670" s="374" t="e">
        <f ca="1">2*Bolts!$B670</f>
        <v>#NAME?</v>
      </c>
      <c r="L670" s="374">
        <v>0</v>
      </c>
      <c r="M670" s="374">
        <v>0</v>
      </c>
      <c r="N670" s="374">
        <v>0</v>
      </c>
      <c r="O670" s="374">
        <v>0</v>
      </c>
      <c r="P670" s="374">
        <v>0</v>
      </c>
      <c r="Q670" s="373" t="e">
        <f ca="1">14*Bolts!$B670</f>
        <v>#NAME?</v>
      </c>
      <c r="R670" s="374">
        <v>0</v>
      </c>
      <c r="S670" s="375">
        <v>0</v>
      </c>
      <c r="T670" s="375">
        <v>0</v>
      </c>
      <c r="U670" s="375">
        <v>0</v>
      </c>
      <c r="V670" s="380" t="e">
        <f t="shared" ca="1" si="78"/>
        <v>#NAME?</v>
      </c>
    </row>
    <row r="671" spans="1:22" ht="14.25" hidden="1" customHeight="1">
      <c r="A671" s="383" t="s">
        <v>2062</v>
      </c>
      <c r="B671" s="370" t="e">
        <f ca="1">_xludf.IFNA(VLOOKUP(Bolts!$A671,'Kilter Holds'!$P$37:$S$662,4,0),0)</f>
        <v>#NAME?</v>
      </c>
      <c r="C671" s="384">
        <v>10</v>
      </c>
      <c r="D671" s="373">
        <v>0</v>
      </c>
      <c r="E671" s="374">
        <v>0</v>
      </c>
      <c r="F671" s="374">
        <v>0</v>
      </c>
      <c r="G671" s="374" t="e">
        <f ca="1">10*Bolts!$B671</f>
        <v>#NAME?</v>
      </c>
      <c r="H671" s="374">
        <v>0</v>
      </c>
      <c r="I671" s="374">
        <v>0</v>
      </c>
      <c r="J671" s="374">
        <v>0</v>
      </c>
      <c r="K671" s="374">
        <v>0</v>
      </c>
      <c r="L671" s="374">
        <v>0</v>
      </c>
      <c r="M671" s="374">
        <v>0</v>
      </c>
      <c r="N671" s="374">
        <v>0</v>
      </c>
      <c r="O671" s="374">
        <v>0</v>
      </c>
      <c r="P671" s="374">
        <v>0</v>
      </c>
      <c r="Q671" s="373" t="e">
        <f ca="1">10*Bolts!$B671</f>
        <v>#NAME?</v>
      </c>
      <c r="R671" s="374">
        <v>0</v>
      </c>
      <c r="S671" s="375">
        <v>0</v>
      </c>
      <c r="T671" s="375">
        <v>0</v>
      </c>
      <c r="U671" s="375">
        <v>0</v>
      </c>
      <c r="V671" s="380" t="e">
        <f t="shared" ca="1" si="78"/>
        <v>#NAME?</v>
      </c>
    </row>
    <row r="672" spans="1:22" ht="14.25" hidden="1" customHeight="1">
      <c r="A672" s="383" t="s">
        <v>2063</v>
      </c>
      <c r="B672" s="370" t="e">
        <f ca="1">_xludf.IFNA(VLOOKUP(Bolts!$A672,'Kilter Holds'!$P$37:$S$662,4,0),0)</f>
        <v>#NAME?</v>
      </c>
      <c r="C672" s="384">
        <v>5</v>
      </c>
      <c r="D672" s="373">
        <v>0</v>
      </c>
      <c r="E672" s="374">
        <v>0</v>
      </c>
      <c r="F672" s="374" t="e">
        <f ca="1">4*Bolts!$B672</f>
        <v>#NAME?</v>
      </c>
      <c r="G672" s="374" t="e">
        <f ca="1">3*Bolts!$B672</f>
        <v>#NAME?</v>
      </c>
      <c r="H672" s="374">
        <v>0</v>
      </c>
      <c r="I672" s="374">
        <v>0</v>
      </c>
      <c r="J672" s="374">
        <v>0</v>
      </c>
      <c r="K672" s="374">
        <v>0</v>
      </c>
      <c r="L672" s="374">
        <v>0</v>
      </c>
      <c r="M672" s="374">
        <v>0</v>
      </c>
      <c r="N672" s="374">
        <v>0</v>
      </c>
      <c r="O672" s="374">
        <v>0</v>
      </c>
      <c r="P672" s="374">
        <v>0</v>
      </c>
      <c r="Q672" s="373" t="e">
        <f ca="1">5*Bolts!$B672</f>
        <v>#NAME?</v>
      </c>
      <c r="R672" s="374">
        <v>0</v>
      </c>
      <c r="S672" s="375">
        <v>0</v>
      </c>
      <c r="T672" s="375">
        <v>0</v>
      </c>
      <c r="U672" s="375">
        <v>0</v>
      </c>
      <c r="V672" s="380" t="e">
        <f t="shared" ca="1" si="78"/>
        <v>#NAME?</v>
      </c>
    </row>
    <row r="673" spans="1:22" ht="14.25" hidden="1" customHeight="1">
      <c r="A673" s="383" t="s">
        <v>2064</v>
      </c>
      <c r="B673" s="370" t="e">
        <f ca="1">_xludf.IFNA(VLOOKUP(Bolts!$A673,'Kilter Holds'!$P$37:$S$662,4,0),0)</f>
        <v>#NAME?</v>
      </c>
      <c r="C673" s="384">
        <v>10</v>
      </c>
      <c r="D673" s="373" t="e">
        <f ca="1">10*Bolts!$B673</f>
        <v>#NAME?</v>
      </c>
      <c r="E673" s="374">
        <v>0</v>
      </c>
      <c r="F673" s="374">
        <v>0</v>
      </c>
      <c r="G673" s="374">
        <v>0</v>
      </c>
      <c r="H673" s="374">
        <v>0</v>
      </c>
      <c r="I673" s="374">
        <v>0</v>
      </c>
      <c r="J673" s="374">
        <v>0</v>
      </c>
      <c r="K673" s="374">
        <v>0</v>
      </c>
      <c r="L673" s="374">
        <v>0</v>
      </c>
      <c r="M673" s="374">
        <v>0</v>
      </c>
      <c r="N673" s="374">
        <v>0</v>
      </c>
      <c r="O673" s="374">
        <v>0</v>
      </c>
      <c r="P673" s="374">
        <v>0</v>
      </c>
      <c r="Q673" s="373" t="e">
        <f ca="1">10*Bolts!$B673</f>
        <v>#NAME?</v>
      </c>
      <c r="R673" s="374">
        <v>0</v>
      </c>
      <c r="S673" s="375">
        <v>0</v>
      </c>
      <c r="T673" s="375">
        <v>0</v>
      </c>
      <c r="U673" s="375">
        <v>0</v>
      </c>
      <c r="V673" s="380" t="e">
        <f t="shared" ca="1" si="78"/>
        <v>#NAME?</v>
      </c>
    </row>
    <row r="674" spans="1:22" ht="14.25" hidden="1" customHeight="1">
      <c r="A674" s="383" t="s">
        <v>2065</v>
      </c>
      <c r="B674" s="370" t="e">
        <f ca="1">_xludf.IFNA(VLOOKUP(Bolts!$A674,'Kilter Holds'!$P$37:$S$662,4,0),0)</f>
        <v>#NAME?</v>
      </c>
      <c r="C674" s="384">
        <v>10</v>
      </c>
      <c r="D674" s="373" t="e">
        <f ca="1">10*Bolts!$B674</f>
        <v>#NAME?</v>
      </c>
      <c r="E674" s="374">
        <v>0</v>
      </c>
      <c r="F674" s="374">
        <v>0</v>
      </c>
      <c r="G674" s="374">
        <v>0</v>
      </c>
      <c r="H674" s="374">
        <v>0</v>
      </c>
      <c r="I674" s="374">
        <v>0</v>
      </c>
      <c r="J674" s="374">
        <v>0</v>
      </c>
      <c r="K674" s="374">
        <v>0</v>
      </c>
      <c r="L674" s="374">
        <v>0</v>
      </c>
      <c r="M674" s="374">
        <v>0</v>
      </c>
      <c r="N674" s="374">
        <v>0</v>
      </c>
      <c r="O674" s="374">
        <v>0</v>
      </c>
      <c r="P674" s="374">
        <v>0</v>
      </c>
      <c r="Q674" s="373" t="e">
        <f ca="1">10*Bolts!$B674</f>
        <v>#NAME?</v>
      </c>
      <c r="R674" s="374">
        <v>0</v>
      </c>
      <c r="S674" s="375">
        <v>0</v>
      </c>
      <c r="T674" s="375">
        <v>0</v>
      </c>
      <c r="U674" s="375">
        <v>0</v>
      </c>
      <c r="V674" s="380" t="e">
        <f t="shared" ca="1" si="78"/>
        <v>#NAME?</v>
      </c>
    </row>
    <row r="675" spans="1:22" ht="14.25" hidden="1" customHeight="1">
      <c r="A675" s="383" t="s">
        <v>2066</v>
      </c>
      <c r="B675" s="370" t="e">
        <f ca="1">_xludf.IFNA(VLOOKUP(Bolts!$A675,'Kilter Holds'!$P$37:$S$662,4,0),0)</f>
        <v>#NAME?</v>
      </c>
      <c r="C675" s="384">
        <v>10</v>
      </c>
      <c r="D675" s="373" t="e">
        <f ca="1">10*Bolts!$B675</f>
        <v>#NAME?</v>
      </c>
      <c r="E675" s="374">
        <v>0</v>
      </c>
      <c r="F675" s="374">
        <v>0</v>
      </c>
      <c r="G675" s="374">
        <v>0</v>
      </c>
      <c r="H675" s="374">
        <v>0</v>
      </c>
      <c r="I675" s="374">
        <v>0</v>
      </c>
      <c r="J675" s="374">
        <v>0</v>
      </c>
      <c r="K675" s="374">
        <v>0</v>
      </c>
      <c r="L675" s="374">
        <v>0</v>
      </c>
      <c r="M675" s="374">
        <v>0</v>
      </c>
      <c r="N675" s="374">
        <v>0</v>
      </c>
      <c r="O675" s="374">
        <v>0</v>
      </c>
      <c r="P675" s="374">
        <v>0</v>
      </c>
      <c r="Q675" s="373" t="e">
        <f ca="1">10*Bolts!$B675</f>
        <v>#NAME?</v>
      </c>
      <c r="R675" s="374">
        <v>0</v>
      </c>
      <c r="S675" s="375">
        <v>0</v>
      </c>
      <c r="T675" s="375">
        <v>0</v>
      </c>
      <c r="U675" s="375">
        <v>0</v>
      </c>
      <c r="V675" s="380" t="e">
        <f t="shared" ca="1" si="78"/>
        <v>#NAME?</v>
      </c>
    </row>
    <row r="676" spans="1:22" ht="14.25" hidden="1" customHeight="1">
      <c r="A676" s="383" t="s">
        <v>2067</v>
      </c>
      <c r="B676" s="370" t="e">
        <f ca="1">_xludf.IFNA(VLOOKUP(Bolts!$A676,'Kilter Holds'!$P$37:$S$662,4,0),0)</f>
        <v>#NAME?</v>
      </c>
      <c r="C676" s="384">
        <v>10</v>
      </c>
      <c r="D676" s="373" t="e">
        <f ca="1">10*Bolts!$B676</f>
        <v>#NAME?</v>
      </c>
      <c r="E676" s="374">
        <v>0</v>
      </c>
      <c r="F676" s="374">
        <v>0</v>
      </c>
      <c r="G676" s="374">
        <v>0</v>
      </c>
      <c r="H676" s="374">
        <v>0</v>
      </c>
      <c r="I676" s="374">
        <v>0</v>
      </c>
      <c r="J676" s="374">
        <v>0</v>
      </c>
      <c r="K676" s="374">
        <v>0</v>
      </c>
      <c r="L676" s="374">
        <v>0</v>
      </c>
      <c r="M676" s="374">
        <v>0</v>
      </c>
      <c r="N676" s="374">
        <v>0</v>
      </c>
      <c r="O676" s="374">
        <v>0</v>
      </c>
      <c r="P676" s="374">
        <v>0</v>
      </c>
      <c r="Q676" s="373" t="e">
        <f ca="1">10*Bolts!$B676</f>
        <v>#NAME?</v>
      </c>
      <c r="R676" s="374">
        <v>0</v>
      </c>
      <c r="S676" s="375">
        <v>0</v>
      </c>
      <c r="T676" s="375">
        <v>0</v>
      </c>
      <c r="U676" s="375">
        <v>0</v>
      </c>
      <c r="V676" s="380" t="e">
        <f t="shared" ca="1" si="78"/>
        <v>#NAME?</v>
      </c>
    </row>
    <row r="677" spans="1:22" ht="14.25" hidden="1" customHeight="1">
      <c r="A677" s="383" t="s">
        <v>2068</v>
      </c>
      <c r="B677" s="370" t="e">
        <f ca="1">_xludf.IFNA(VLOOKUP(Bolts!$A677,'Kilter Holds'!$P$37:$S$662,4,0),0)</f>
        <v>#NAME?</v>
      </c>
      <c r="C677" s="384">
        <v>10</v>
      </c>
      <c r="D677" s="373" t="e">
        <f ca="1">10*Bolts!$B677</f>
        <v>#NAME?</v>
      </c>
      <c r="E677" s="374">
        <v>0</v>
      </c>
      <c r="F677" s="374">
        <v>0</v>
      </c>
      <c r="G677" s="374">
        <v>0</v>
      </c>
      <c r="H677" s="374">
        <v>0</v>
      </c>
      <c r="I677" s="374">
        <v>0</v>
      </c>
      <c r="J677" s="374">
        <v>0</v>
      </c>
      <c r="K677" s="374">
        <v>0</v>
      </c>
      <c r="L677" s="374">
        <v>0</v>
      </c>
      <c r="M677" s="374">
        <v>0</v>
      </c>
      <c r="N677" s="374">
        <v>0</v>
      </c>
      <c r="O677" s="374">
        <v>0</v>
      </c>
      <c r="P677" s="374">
        <v>0</v>
      </c>
      <c r="Q677" s="373" t="e">
        <f ca="1">10*Bolts!$B677</f>
        <v>#NAME?</v>
      </c>
      <c r="R677" s="374">
        <v>0</v>
      </c>
      <c r="S677" s="375">
        <v>0</v>
      </c>
      <c r="T677" s="375">
        <v>0</v>
      </c>
      <c r="U677" s="375">
        <v>0</v>
      </c>
      <c r="V677" s="380" t="e">
        <f t="shared" ca="1" si="78"/>
        <v>#NAME?</v>
      </c>
    </row>
    <row r="678" spans="1:22" ht="14.25" hidden="1" customHeight="1">
      <c r="A678" s="383" t="s">
        <v>2069</v>
      </c>
      <c r="B678" s="370" t="e">
        <f ca="1">_xludf.IFNA(VLOOKUP(Bolts!$A678,'Kilter Holds'!$P$37:$S$662,4,0),0)</f>
        <v>#NAME?</v>
      </c>
      <c r="C678" s="384">
        <v>10</v>
      </c>
      <c r="D678" s="373" t="e">
        <f ca="1">10*Bolts!$B678</f>
        <v>#NAME?</v>
      </c>
      <c r="E678" s="374">
        <v>0</v>
      </c>
      <c r="F678" s="374">
        <v>0</v>
      </c>
      <c r="G678" s="374">
        <v>0</v>
      </c>
      <c r="H678" s="374">
        <v>0</v>
      </c>
      <c r="I678" s="374">
        <v>0</v>
      </c>
      <c r="J678" s="374">
        <v>0</v>
      </c>
      <c r="K678" s="374">
        <v>0</v>
      </c>
      <c r="L678" s="374">
        <v>0</v>
      </c>
      <c r="M678" s="374">
        <v>0</v>
      </c>
      <c r="N678" s="374">
        <v>0</v>
      </c>
      <c r="O678" s="374">
        <v>0</v>
      </c>
      <c r="P678" s="374">
        <v>0</v>
      </c>
      <c r="Q678" s="373" t="e">
        <f ca="1">10*Bolts!$B678</f>
        <v>#NAME?</v>
      </c>
      <c r="R678" s="374">
        <v>0</v>
      </c>
      <c r="S678" s="375">
        <v>0</v>
      </c>
      <c r="T678" s="375">
        <v>0</v>
      </c>
      <c r="U678" s="375">
        <v>0</v>
      </c>
      <c r="V678" s="380" t="e">
        <f t="shared" ca="1" si="78"/>
        <v>#NAME?</v>
      </c>
    </row>
    <row r="679" spans="1:22" ht="14.25" hidden="1" customHeight="1">
      <c r="A679" s="383" t="s">
        <v>2070</v>
      </c>
      <c r="B679" s="370" t="e">
        <f ca="1">_xludf.IFNA(VLOOKUP(Bolts!$A679,'Kilter Holds'!$P$37:$S$662,4,0),0)</f>
        <v>#NAME?</v>
      </c>
      <c r="C679" s="384">
        <v>5</v>
      </c>
      <c r="D679" s="373">
        <v>0</v>
      </c>
      <c r="E679" s="374">
        <v>0</v>
      </c>
      <c r="F679" s="374">
        <v>0</v>
      </c>
      <c r="G679" s="374">
        <v>0</v>
      </c>
      <c r="H679" s="374">
        <v>0</v>
      </c>
      <c r="I679" s="374" t="e">
        <f ca="1">5*Bolts!$B679</f>
        <v>#NAME?</v>
      </c>
      <c r="J679" s="374">
        <v>0</v>
      </c>
      <c r="K679" s="374">
        <v>0</v>
      </c>
      <c r="L679" s="374">
        <v>0</v>
      </c>
      <c r="M679" s="374">
        <v>0</v>
      </c>
      <c r="N679" s="374">
        <v>0</v>
      </c>
      <c r="O679" s="374">
        <v>0</v>
      </c>
      <c r="P679" s="374">
        <v>0</v>
      </c>
      <c r="Q679" s="373" t="e">
        <f ca="1">10*Bolts!$B679</f>
        <v>#NAME?</v>
      </c>
      <c r="R679" s="374">
        <v>0</v>
      </c>
      <c r="S679" s="375">
        <v>0</v>
      </c>
      <c r="T679" s="375">
        <v>0</v>
      </c>
      <c r="U679" s="375">
        <v>0</v>
      </c>
      <c r="V679" s="380" t="e">
        <f t="shared" ca="1" si="78"/>
        <v>#NAME?</v>
      </c>
    </row>
    <row r="680" spans="1:22" ht="14.25" hidden="1" customHeight="1">
      <c r="A680" s="383" t="s">
        <v>2071</v>
      </c>
      <c r="B680" s="370" t="e">
        <f ca="1">_xludf.IFNA(VLOOKUP(Bolts!$A680,'Kilter Holds'!$P$37:$S$662,4,0),0)</f>
        <v>#NAME?</v>
      </c>
      <c r="C680" s="384">
        <v>5</v>
      </c>
      <c r="D680" s="373">
        <v>0</v>
      </c>
      <c r="E680" s="374">
        <v>0</v>
      </c>
      <c r="F680" s="374">
        <v>0</v>
      </c>
      <c r="G680" s="374">
        <v>0</v>
      </c>
      <c r="H680" s="374">
        <v>0</v>
      </c>
      <c r="I680" s="374">
        <v>0</v>
      </c>
      <c r="J680" s="374">
        <v>0</v>
      </c>
      <c r="K680" s="374">
        <v>0</v>
      </c>
      <c r="L680" s="374">
        <v>0</v>
      </c>
      <c r="M680" s="374">
        <v>0</v>
      </c>
      <c r="N680" s="374">
        <v>0</v>
      </c>
      <c r="O680" s="374">
        <v>0</v>
      </c>
      <c r="P680" s="374">
        <v>0</v>
      </c>
      <c r="Q680" s="373" t="e">
        <f ca="1">15*Bolts!$B680</f>
        <v>#NAME?</v>
      </c>
      <c r="R680" s="374">
        <v>0</v>
      </c>
      <c r="S680" s="375">
        <v>0</v>
      </c>
      <c r="T680" s="375">
        <v>0</v>
      </c>
      <c r="U680" s="375">
        <v>0</v>
      </c>
      <c r="V680" s="380" t="e">
        <f t="shared" ca="1" si="78"/>
        <v>#NAME?</v>
      </c>
    </row>
    <row r="681" spans="1:22" ht="14.25" hidden="1" customHeight="1">
      <c r="A681" s="383" t="s">
        <v>2072</v>
      </c>
      <c r="B681" s="370" t="e">
        <f ca="1">_xludf.IFNA(VLOOKUP(Bolts!$A681,'Kilter Holds'!$P$37:$S$662,4,0),0)</f>
        <v>#NAME?</v>
      </c>
      <c r="C681" s="384">
        <v>4</v>
      </c>
      <c r="D681" s="373">
        <v>0</v>
      </c>
      <c r="E681" s="374">
        <v>0</v>
      </c>
      <c r="F681" s="374">
        <v>0</v>
      </c>
      <c r="G681" s="374">
        <v>0</v>
      </c>
      <c r="H681" s="374">
        <v>0</v>
      </c>
      <c r="I681" s="374" t="e">
        <f ca="1">4*Bolts!$B681</f>
        <v>#NAME?</v>
      </c>
      <c r="J681" s="374">
        <v>0</v>
      </c>
      <c r="K681" s="374">
        <v>0</v>
      </c>
      <c r="L681" s="374">
        <v>0</v>
      </c>
      <c r="M681" s="374">
        <v>0</v>
      </c>
      <c r="N681" s="374">
        <v>0</v>
      </c>
      <c r="O681" s="374">
        <v>0</v>
      </c>
      <c r="P681" s="374">
        <v>0</v>
      </c>
      <c r="Q681" s="373" t="e">
        <f ca="1">10*Bolts!$B681</f>
        <v>#NAME?</v>
      </c>
      <c r="R681" s="374">
        <v>0</v>
      </c>
      <c r="S681" s="375">
        <v>0</v>
      </c>
      <c r="T681" s="375">
        <v>0</v>
      </c>
      <c r="U681" s="375">
        <v>0</v>
      </c>
      <c r="V681" s="380" t="e">
        <f t="shared" ca="1" si="78"/>
        <v>#NAME?</v>
      </c>
    </row>
    <row r="682" spans="1:22" ht="14.25" hidden="1" customHeight="1">
      <c r="A682" s="383" t="s">
        <v>2073</v>
      </c>
      <c r="B682" s="370" t="e">
        <f ca="1">_xludf.IFNA(VLOOKUP(Bolts!$A682,'Kilter Holds'!$P$37:$S$662,4,0),0)</f>
        <v>#NAME?</v>
      </c>
      <c r="C682" s="384">
        <v>4</v>
      </c>
      <c r="D682" s="373">
        <v>0</v>
      </c>
      <c r="E682" s="374">
        <v>0</v>
      </c>
      <c r="F682" s="374">
        <v>0</v>
      </c>
      <c r="G682" s="374">
        <v>0</v>
      </c>
      <c r="H682" s="374">
        <v>0</v>
      </c>
      <c r="I682" s="374" t="e">
        <f ca="1">4*Bolts!$B682</f>
        <v>#NAME?</v>
      </c>
      <c r="J682" s="374">
        <v>0</v>
      </c>
      <c r="K682" s="374">
        <v>0</v>
      </c>
      <c r="L682" s="374">
        <v>0</v>
      </c>
      <c r="M682" s="374">
        <v>0</v>
      </c>
      <c r="N682" s="374">
        <v>0</v>
      </c>
      <c r="O682" s="374">
        <v>0</v>
      </c>
      <c r="P682" s="374">
        <v>0</v>
      </c>
      <c r="Q682" s="373" t="e">
        <f ca="1">10*Bolts!$B682</f>
        <v>#NAME?</v>
      </c>
      <c r="R682" s="374">
        <v>0</v>
      </c>
      <c r="S682" s="375">
        <v>0</v>
      </c>
      <c r="T682" s="375">
        <v>0</v>
      </c>
      <c r="U682" s="375">
        <v>0</v>
      </c>
      <c r="V682" s="380" t="e">
        <f t="shared" ca="1" si="78"/>
        <v>#NAME?</v>
      </c>
    </row>
    <row r="683" spans="1:22" ht="14.25" hidden="1" customHeight="1">
      <c r="A683" s="383" t="s">
        <v>2074</v>
      </c>
      <c r="B683" s="370" t="e">
        <f ca="1">_xludf.IFNA(VLOOKUP(Bolts!$A683,'Kilter Holds'!$P$37:$S$662,4,0),0)</f>
        <v>#NAME?</v>
      </c>
      <c r="C683" s="384">
        <v>5</v>
      </c>
      <c r="D683" s="373">
        <v>0</v>
      </c>
      <c r="E683" s="374">
        <v>0</v>
      </c>
      <c r="F683" s="374" t="e">
        <f ca="1">5*Bolts!$B683</f>
        <v>#NAME?</v>
      </c>
      <c r="G683" s="374">
        <v>0</v>
      </c>
      <c r="H683" s="374">
        <v>0</v>
      </c>
      <c r="I683" s="374">
        <v>0</v>
      </c>
      <c r="J683" s="374">
        <v>0</v>
      </c>
      <c r="K683" s="374">
        <v>0</v>
      </c>
      <c r="L683" s="374">
        <v>0</v>
      </c>
      <c r="M683" s="374">
        <v>0</v>
      </c>
      <c r="N683" s="374">
        <v>0</v>
      </c>
      <c r="O683" s="374">
        <v>0</v>
      </c>
      <c r="P683" s="374">
        <v>0</v>
      </c>
      <c r="Q683" s="373" t="e">
        <f ca="1">10*Bolts!$B683</f>
        <v>#NAME?</v>
      </c>
      <c r="R683" s="374">
        <v>0</v>
      </c>
      <c r="S683" s="375">
        <v>0</v>
      </c>
      <c r="T683" s="375">
        <v>0</v>
      </c>
      <c r="U683" s="375">
        <v>0</v>
      </c>
      <c r="V683" s="380" t="e">
        <f t="shared" ca="1" si="78"/>
        <v>#NAME?</v>
      </c>
    </row>
    <row r="684" spans="1:22" ht="14.25" hidden="1" customHeight="1">
      <c r="A684" s="383" t="s">
        <v>2075</v>
      </c>
      <c r="B684" s="370" t="e">
        <f ca="1">_xludf.IFNA(VLOOKUP(Bolts!$A684,'Kilter Holds'!$P$37:$S$662,4,0),0)</f>
        <v>#NAME?</v>
      </c>
      <c r="C684" s="384">
        <v>2</v>
      </c>
      <c r="D684" s="373">
        <v>0</v>
      </c>
      <c r="E684" s="374">
        <v>0</v>
      </c>
      <c r="F684" s="374">
        <v>0</v>
      </c>
      <c r="G684" s="374">
        <v>0</v>
      </c>
      <c r="H684" s="374">
        <v>0</v>
      </c>
      <c r="I684" s="374">
        <v>0</v>
      </c>
      <c r="J684" s="374">
        <v>0</v>
      </c>
      <c r="K684" s="374" t="e">
        <f ca="1">2*Bolts!$B684</f>
        <v>#NAME?</v>
      </c>
      <c r="L684" s="374">
        <v>0</v>
      </c>
      <c r="M684" s="374">
        <v>0</v>
      </c>
      <c r="N684" s="374">
        <v>0</v>
      </c>
      <c r="O684" s="374">
        <v>0</v>
      </c>
      <c r="P684" s="374">
        <v>0</v>
      </c>
      <c r="Q684" s="373" t="e">
        <f ca="1">10*Bolts!$B684</f>
        <v>#NAME?</v>
      </c>
      <c r="R684" s="374">
        <v>0</v>
      </c>
      <c r="S684" s="375">
        <v>0</v>
      </c>
      <c r="T684" s="375">
        <v>0</v>
      </c>
      <c r="U684" s="375">
        <v>0</v>
      </c>
      <c r="V684" s="380" t="e">
        <f t="shared" ca="1" si="78"/>
        <v>#NAME?</v>
      </c>
    </row>
    <row r="685" spans="1:22" ht="14.25" hidden="1" customHeight="1">
      <c r="A685" s="383" t="s">
        <v>2076</v>
      </c>
      <c r="B685" s="370" t="e">
        <f ca="1">_xludf.IFNA(VLOOKUP(Bolts!$A685,'Kilter Holds'!$P$37:$S$662,4,0),0)</f>
        <v>#NAME?</v>
      </c>
      <c r="C685" s="384">
        <v>2</v>
      </c>
      <c r="D685" s="373">
        <v>0</v>
      </c>
      <c r="E685" s="374">
        <v>0</v>
      </c>
      <c r="F685" s="374">
        <v>0</v>
      </c>
      <c r="G685" s="374">
        <v>0</v>
      </c>
      <c r="H685" s="374">
        <v>0</v>
      </c>
      <c r="I685" s="374">
        <v>0</v>
      </c>
      <c r="J685" s="374">
        <v>0</v>
      </c>
      <c r="K685" s="374" t="e">
        <f ca="1">2*Bolts!$B685</f>
        <v>#NAME?</v>
      </c>
      <c r="L685" s="374">
        <v>0</v>
      </c>
      <c r="M685" s="374">
        <v>0</v>
      </c>
      <c r="N685" s="374">
        <v>0</v>
      </c>
      <c r="O685" s="374">
        <v>0</v>
      </c>
      <c r="P685" s="374">
        <v>0</v>
      </c>
      <c r="Q685" s="373" t="e">
        <f ca="1">10*Bolts!$B685</f>
        <v>#NAME?</v>
      </c>
      <c r="R685" s="374">
        <v>0</v>
      </c>
      <c r="S685" s="375">
        <v>0</v>
      </c>
      <c r="T685" s="375">
        <v>0</v>
      </c>
      <c r="U685" s="375">
        <v>0</v>
      </c>
      <c r="V685" s="380" t="e">
        <f t="shared" ca="1" si="78"/>
        <v>#NAME?</v>
      </c>
    </row>
    <row r="686" spans="1:22" ht="14.25" hidden="1" customHeight="1">
      <c r="A686" s="383" t="s">
        <v>2077</v>
      </c>
      <c r="B686" s="370" t="e">
        <f ca="1">_xludf.IFNA(VLOOKUP(Bolts!$A686,'Kilter Holds'!$P$37:$S$662,4,0),0)</f>
        <v>#NAME?</v>
      </c>
      <c r="C686" s="384">
        <v>5</v>
      </c>
      <c r="D686" s="373">
        <v>0</v>
      </c>
      <c r="E686" s="374">
        <v>0</v>
      </c>
      <c r="F686" s="374" t="e">
        <f ca="1">5*Bolts!$B686</f>
        <v>#NAME?</v>
      </c>
      <c r="G686" s="374">
        <v>0</v>
      </c>
      <c r="H686" s="374">
        <v>0</v>
      </c>
      <c r="I686" s="374">
        <v>0</v>
      </c>
      <c r="J686" s="374">
        <v>0</v>
      </c>
      <c r="K686" s="374">
        <v>0</v>
      </c>
      <c r="L686" s="374">
        <v>0</v>
      </c>
      <c r="M686" s="374">
        <v>0</v>
      </c>
      <c r="N686" s="374">
        <v>0</v>
      </c>
      <c r="O686" s="374">
        <v>0</v>
      </c>
      <c r="P686" s="374">
        <v>0</v>
      </c>
      <c r="Q686" s="373" t="e">
        <f ca="1">5*Bolts!$B686</f>
        <v>#NAME?</v>
      </c>
      <c r="R686" s="374">
        <v>0</v>
      </c>
      <c r="S686" s="375">
        <v>0</v>
      </c>
      <c r="T686" s="375">
        <v>0</v>
      </c>
      <c r="U686" s="375">
        <v>0</v>
      </c>
      <c r="V686" s="380" t="e">
        <f t="shared" ca="1" si="78"/>
        <v>#NAME?</v>
      </c>
    </row>
    <row r="687" spans="1:22" ht="14.25" hidden="1" customHeight="1">
      <c r="A687" s="383" t="s">
        <v>2078</v>
      </c>
      <c r="B687" s="370" t="e">
        <f ca="1">_xludf.IFNA(VLOOKUP(Bolts!$A687,'Kilter Holds'!$P$37:$S$662,4,0),0)</f>
        <v>#NAME?</v>
      </c>
      <c r="C687" s="384">
        <v>5</v>
      </c>
      <c r="D687" s="373">
        <v>0</v>
      </c>
      <c r="E687" s="374">
        <v>0</v>
      </c>
      <c r="F687" s="374">
        <v>0</v>
      </c>
      <c r="G687" s="374">
        <v>0</v>
      </c>
      <c r="H687" s="374">
        <v>0</v>
      </c>
      <c r="I687" s="374">
        <v>0</v>
      </c>
      <c r="J687" s="374">
        <v>0</v>
      </c>
      <c r="K687" s="374">
        <v>0</v>
      </c>
      <c r="L687" s="374">
        <v>0</v>
      </c>
      <c r="M687" s="374">
        <v>0</v>
      </c>
      <c r="N687" s="374">
        <v>0</v>
      </c>
      <c r="O687" s="374">
        <v>0</v>
      </c>
      <c r="P687" s="374">
        <v>0</v>
      </c>
      <c r="Q687" s="373">
        <v>0</v>
      </c>
      <c r="R687" s="374" t="e">
        <f ca="1">5*5*Bolts!$B687</f>
        <v>#NAME?</v>
      </c>
      <c r="S687" s="375">
        <v>0</v>
      </c>
      <c r="T687" s="375">
        <v>0</v>
      </c>
      <c r="U687" s="375">
        <v>0</v>
      </c>
      <c r="V687" s="380" t="e">
        <f t="shared" ca="1" si="78"/>
        <v>#NAME?</v>
      </c>
    </row>
    <row r="688" spans="1:22" ht="14.25" hidden="1" customHeight="1">
      <c r="A688" s="383" t="s">
        <v>2079</v>
      </c>
      <c r="B688" s="370" t="e">
        <f ca="1">_xludf.IFNA(VLOOKUP(Bolts!$A688,'Kilter Holds'!$P$37:$S$662,4,0),0)</f>
        <v>#NAME?</v>
      </c>
      <c r="C688" s="384">
        <v>10</v>
      </c>
      <c r="D688" s="373">
        <v>0</v>
      </c>
      <c r="E688" s="374" t="e">
        <f ca="1">10*Bolts!$B688</f>
        <v>#NAME?</v>
      </c>
      <c r="F688" s="374">
        <v>0</v>
      </c>
      <c r="G688" s="374">
        <v>0</v>
      </c>
      <c r="H688" s="374">
        <v>0</v>
      </c>
      <c r="I688" s="374">
        <v>0</v>
      </c>
      <c r="J688" s="374">
        <v>0</v>
      </c>
      <c r="K688" s="374">
        <v>0</v>
      </c>
      <c r="L688" s="374">
        <v>0</v>
      </c>
      <c r="M688" s="374">
        <v>0</v>
      </c>
      <c r="N688" s="374">
        <v>0</v>
      </c>
      <c r="O688" s="374">
        <v>0</v>
      </c>
      <c r="P688" s="374">
        <v>0</v>
      </c>
      <c r="Q688" s="373" t="e">
        <f ca="1">10*Bolts!$B688</f>
        <v>#NAME?</v>
      </c>
      <c r="R688" s="374">
        <v>0</v>
      </c>
      <c r="S688" s="375">
        <v>0</v>
      </c>
      <c r="T688" s="375">
        <v>0</v>
      </c>
      <c r="U688" s="375">
        <v>0</v>
      </c>
      <c r="V688" s="380" t="e">
        <f t="shared" ca="1" si="78"/>
        <v>#NAME?</v>
      </c>
    </row>
    <row r="689" spans="1:22" ht="14.25" hidden="1" customHeight="1">
      <c r="A689" s="383" t="s">
        <v>2080</v>
      </c>
      <c r="B689" s="370" t="e">
        <f ca="1">_xludf.IFNA(VLOOKUP(Bolts!$A689,'Kilter Holds'!$P$37:$S$662,4,0),0)</f>
        <v>#NAME?</v>
      </c>
      <c r="C689" s="384">
        <v>11</v>
      </c>
      <c r="D689" s="373" t="e">
        <f ca="1">11*Bolts!$B689</f>
        <v>#NAME?</v>
      </c>
      <c r="E689" s="374">
        <v>0</v>
      </c>
      <c r="F689" s="374">
        <v>0</v>
      </c>
      <c r="G689" s="374">
        <v>0</v>
      </c>
      <c r="H689" s="374">
        <v>0</v>
      </c>
      <c r="I689" s="374">
        <v>0</v>
      </c>
      <c r="J689" s="374">
        <v>0</v>
      </c>
      <c r="K689" s="374">
        <v>0</v>
      </c>
      <c r="L689" s="374">
        <v>0</v>
      </c>
      <c r="M689" s="374">
        <v>0</v>
      </c>
      <c r="N689" s="374">
        <v>0</v>
      </c>
      <c r="O689" s="374">
        <v>0</v>
      </c>
      <c r="P689" s="374">
        <v>0</v>
      </c>
      <c r="Q689" s="373" t="e">
        <f ca="1">11*Bolts!$B689</f>
        <v>#NAME?</v>
      </c>
      <c r="R689" s="374">
        <v>0</v>
      </c>
      <c r="S689" s="375">
        <v>0</v>
      </c>
      <c r="T689" s="375">
        <v>0</v>
      </c>
      <c r="U689" s="375">
        <v>0</v>
      </c>
      <c r="V689" s="380" t="e">
        <f t="shared" ca="1" si="78"/>
        <v>#NAME?</v>
      </c>
    </row>
    <row r="690" spans="1:22" ht="14.25" hidden="1" customHeight="1">
      <c r="A690" s="383" t="s">
        <v>2081</v>
      </c>
      <c r="B690" s="370" t="e">
        <f ca="1">_xludf.IFNA(VLOOKUP(Bolts!$A690,'Kilter Holds'!$P$37:$S$662,4,0),0)</f>
        <v>#NAME?</v>
      </c>
      <c r="C690" s="384">
        <v>10</v>
      </c>
      <c r="D690" s="373" t="e">
        <f ca="1">10*Bolts!$B690</f>
        <v>#NAME?</v>
      </c>
      <c r="E690" s="374">
        <v>0</v>
      </c>
      <c r="F690" s="374">
        <v>0</v>
      </c>
      <c r="G690" s="374">
        <v>0</v>
      </c>
      <c r="H690" s="374">
        <v>0</v>
      </c>
      <c r="I690" s="374">
        <v>0</v>
      </c>
      <c r="J690" s="374">
        <v>0</v>
      </c>
      <c r="K690" s="374">
        <v>0</v>
      </c>
      <c r="L690" s="374">
        <v>0</v>
      </c>
      <c r="M690" s="374">
        <v>0</v>
      </c>
      <c r="N690" s="374">
        <v>0</v>
      </c>
      <c r="O690" s="374">
        <v>0</v>
      </c>
      <c r="P690" s="374">
        <v>0</v>
      </c>
      <c r="Q690" s="373" t="e">
        <f ca="1">10*Bolts!$B690</f>
        <v>#NAME?</v>
      </c>
      <c r="R690" s="374">
        <v>0</v>
      </c>
      <c r="S690" s="375">
        <v>0</v>
      </c>
      <c r="T690" s="375">
        <v>0</v>
      </c>
      <c r="U690" s="375">
        <v>0</v>
      </c>
      <c r="V690" s="380" t="e">
        <f t="shared" ca="1" si="78"/>
        <v>#NAME?</v>
      </c>
    </row>
    <row r="691" spans="1:22" ht="14.25" hidden="1" customHeight="1">
      <c r="A691" s="383" t="s">
        <v>2082</v>
      </c>
      <c r="B691" s="370" t="e">
        <f ca="1">_xludf.IFNA(VLOOKUP(Bolts!$A691,'Kilter Holds'!$P$37:$S$662,4,0),0)</f>
        <v>#NAME?</v>
      </c>
      <c r="C691" s="384">
        <v>6</v>
      </c>
      <c r="D691" s="373">
        <v>0</v>
      </c>
      <c r="E691" s="374">
        <v>0</v>
      </c>
      <c r="F691" s="374" t="e">
        <f ca="1">6*Bolts!$B691</f>
        <v>#NAME?</v>
      </c>
      <c r="G691" s="374">
        <v>0</v>
      </c>
      <c r="H691" s="374">
        <v>0</v>
      </c>
      <c r="I691" s="374">
        <v>0</v>
      </c>
      <c r="J691" s="374">
        <v>0</v>
      </c>
      <c r="K691" s="374">
        <v>0</v>
      </c>
      <c r="L691" s="374">
        <v>0</v>
      </c>
      <c r="M691" s="374">
        <v>0</v>
      </c>
      <c r="N691" s="374">
        <v>0</v>
      </c>
      <c r="O691" s="374">
        <v>0</v>
      </c>
      <c r="P691" s="374">
        <v>0</v>
      </c>
      <c r="Q691" s="373" t="e">
        <f ca="1">6*Bolts!$B691</f>
        <v>#NAME?</v>
      </c>
      <c r="R691" s="374">
        <v>0</v>
      </c>
      <c r="S691" s="375">
        <v>0</v>
      </c>
      <c r="T691" s="375">
        <v>0</v>
      </c>
      <c r="U691" s="375">
        <v>0</v>
      </c>
      <c r="V691" s="380" t="e">
        <f t="shared" ca="1" si="78"/>
        <v>#NAME?</v>
      </c>
    </row>
    <row r="692" spans="1:22" ht="14.25" hidden="1" customHeight="1">
      <c r="A692" s="383" t="s">
        <v>2083</v>
      </c>
      <c r="B692" s="370" t="e">
        <f ca="1">_xludf.IFNA(VLOOKUP(Bolts!$A692,'Kilter Holds'!$P$37:$S$662,4,0),0)</f>
        <v>#NAME?</v>
      </c>
      <c r="C692" s="384">
        <v>4</v>
      </c>
      <c r="D692" s="373">
        <v>0</v>
      </c>
      <c r="E692" s="374">
        <v>0</v>
      </c>
      <c r="F692" s="374" t="e">
        <f ca="1">4*Bolts!$B692</f>
        <v>#NAME?</v>
      </c>
      <c r="G692" s="374">
        <v>0</v>
      </c>
      <c r="H692" s="374">
        <v>0</v>
      </c>
      <c r="I692" s="374">
        <v>0</v>
      </c>
      <c r="J692" s="374">
        <v>0</v>
      </c>
      <c r="K692" s="374">
        <v>0</v>
      </c>
      <c r="L692" s="374">
        <v>0</v>
      </c>
      <c r="M692" s="374">
        <v>0</v>
      </c>
      <c r="N692" s="374">
        <v>0</v>
      </c>
      <c r="O692" s="374">
        <v>0</v>
      </c>
      <c r="P692" s="374">
        <v>0</v>
      </c>
      <c r="Q692" s="373" t="e">
        <f ca="1">4*Bolts!$B692</f>
        <v>#NAME?</v>
      </c>
      <c r="R692" s="374">
        <v>0</v>
      </c>
      <c r="S692" s="375">
        <v>0</v>
      </c>
      <c r="T692" s="375">
        <v>0</v>
      </c>
      <c r="U692" s="375">
        <v>0</v>
      </c>
      <c r="V692" s="380" t="e">
        <f t="shared" ca="1" si="78"/>
        <v>#NAME?</v>
      </c>
    </row>
    <row r="693" spans="1:22" ht="14.25" hidden="1" customHeight="1">
      <c r="A693" s="383" t="s">
        <v>2084</v>
      </c>
      <c r="B693" s="370" t="e">
        <f ca="1">_xludf.IFNA(VLOOKUP(Bolts!$A693,'Kilter Holds'!$P$37:$S$662,4,0),0)</f>
        <v>#NAME?</v>
      </c>
      <c r="C693" s="381">
        <v>4</v>
      </c>
      <c r="D693" s="373">
        <v>0</v>
      </c>
      <c r="E693" s="373">
        <v>0</v>
      </c>
      <c r="F693" s="373" t="e">
        <f ca="1">4*Bolts!$B693</f>
        <v>#NAME?</v>
      </c>
      <c r="G693" s="373">
        <v>0</v>
      </c>
      <c r="H693" s="373">
        <v>0</v>
      </c>
      <c r="I693" s="373">
        <v>0</v>
      </c>
      <c r="J693" s="373">
        <v>0</v>
      </c>
      <c r="K693" s="373">
        <v>0</v>
      </c>
      <c r="L693" s="374">
        <v>0</v>
      </c>
      <c r="M693" s="373">
        <v>0</v>
      </c>
      <c r="N693" s="373">
        <v>0</v>
      </c>
      <c r="O693" s="373">
        <v>0</v>
      </c>
      <c r="P693" s="373">
        <v>0</v>
      </c>
      <c r="Q693" s="373" t="e">
        <f ca="1">4*Bolts!$B693</f>
        <v>#NAME?</v>
      </c>
      <c r="R693" s="373">
        <v>0</v>
      </c>
      <c r="S693" s="380">
        <v>0</v>
      </c>
      <c r="T693" s="380">
        <v>0</v>
      </c>
      <c r="U693" s="380">
        <v>0</v>
      </c>
      <c r="V693" s="373" t="e">
        <f t="shared" ca="1" si="78"/>
        <v>#NAME?</v>
      </c>
    </row>
    <row r="694" spans="1:22" ht="14.25" hidden="1" customHeight="1">
      <c r="A694" s="383" t="s">
        <v>2085</v>
      </c>
      <c r="B694" s="370" t="e">
        <f ca="1">_xludf.IFNA(VLOOKUP(Bolts!$A694,'Kilter Holds'!$P$37:$S$662,4,0),0)</f>
        <v>#NAME?</v>
      </c>
      <c r="C694" s="384">
        <v>5</v>
      </c>
      <c r="D694" s="373">
        <v>0</v>
      </c>
      <c r="E694" s="374">
        <v>0</v>
      </c>
      <c r="F694" s="374">
        <v>0</v>
      </c>
      <c r="G694" s="374" t="e">
        <f ca="1">5*Bolts!$B694</f>
        <v>#NAME?</v>
      </c>
      <c r="H694" s="374">
        <v>0</v>
      </c>
      <c r="I694" s="374">
        <v>0</v>
      </c>
      <c r="J694" s="374">
        <v>0</v>
      </c>
      <c r="K694" s="374">
        <v>0</v>
      </c>
      <c r="L694" s="374">
        <v>0</v>
      </c>
      <c r="M694" s="374">
        <v>0</v>
      </c>
      <c r="N694" s="374">
        <v>0</v>
      </c>
      <c r="O694" s="374">
        <v>0</v>
      </c>
      <c r="P694" s="374">
        <v>0</v>
      </c>
      <c r="Q694" s="373" t="e">
        <f ca="1">5*Bolts!$B694</f>
        <v>#NAME?</v>
      </c>
      <c r="R694" s="374">
        <v>0</v>
      </c>
      <c r="S694" s="375">
        <v>0</v>
      </c>
      <c r="T694" s="375">
        <v>0</v>
      </c>
      <c r="U694" s="375">
        <v>0</v>
      </c>
      <c r="V694" s="380" t="e">
        <f t="shared" ca="1" si="78"/>
        <v>#NAME?</v>
      </c>
    </row>
    <row r="695" spans="1:22" ht="14.25" hidden="1" customHeight="1">
      <c r="A695" s="383" t="s">
        <v>2086</v>
      </c>
      <c r="B695" s="370" t="e">
        <f ca="1">_xludf.IFNA(VLOOKUP(Bolts!$A695,'Kilter Holds'!$P$37:$S$662,4,0),0)</f>
        <v>#NAME?</v>
      </c>
      <c r="C695" s="384">
        <v>4</v>
      </c>
      <c r="D695" s="373">
        <v>0</v>
      </c>
      <c r="E695" s="374">
        <v>0</v>
      </c>
      <c r="F695" s="374">
        <v>0</v>
      </c>
      <c r="G695" s="374">
        <v>0</v>
      </c>
      <c r="H695" s="374" t="e">
        <f ca="1">4*Bolts!$B695</f>
        <v>#NAME?</v>
      </c>
      <c r="I695" s="374">
        <v>0</v>
      </c>
      <c r="J695" s="374">
        <v>0</v>
      </c>
      <c r="K695" s="374">
        <v>0</v>
      </c>
      <c r="L695" s="374">
        <v>0</v>
      </c>
      <c r="M695" s="374">
        <v>0</v>
      </c>
      <c r="N695" s="374">
        <v>0</v>
      </c>
      <c r="O695" s="374">
        <v>0</v>
      </c>
      <c r="P695" s="374">
        <v>0</v>
      </c>
      <c r="Q695" s="373" t="e">
        <f ca="1">4*Bolts!$B695</f>
        <v>#NAME?</v>
      </c>
      <c r="R695" s="374">
        <v>0</v>
      </c>
      <c r="S695" s="375">
        <v>0</v>
      </c>
      <c r="T695" s="375">
        <v>0</v>
      </c>
      <c r="U695" s="375">
        <v>0</v>
      </c>
      <c r="V695" s="380" t="e">
        <f t="shared" ca="1" si="78"/>
        <v>#NAME?</v>
      </c>
    </row>
    <row r="696" spans="1:22" ht="14.25" hidden="1" customHeight="1">
      <c r="A696" s="383" t="s">
        <v>2087</v>
      </c>
      <c r="B696" s="370" t="e">
        <f ca="1">_xludf.IFNA(VLOOKUP(Bolts!$A696,'Kilter Holds'!$P$37:$S$662,4,0),0)</f>
        <v>#NAME?</v>
      </c>
      <c r="C696" s="384">
        <v>4</v>
      </c>
      <c r="D696" s="373">
        <v>0</v>
      </c>
      <c r="E696" s="374">
        <v>0</v>
      </c>
      <c r="F696" s="374" t="e">
        <f ca="1">4*Bolts!$B696</f>
        <v>#NAME?</v>
      </c>
      <c r="G696" s="374">
        <v>0</v>
      </c>
      <c r="H696" s="374">
        <v>0</v>
      </c>
      <c r="I696" s="374">
        <v>0</v>
      </c>
      <c r="J696" s="374">
        <v>0</v>
      </c>
      <c r="K696" s="374">
        <v>0</v>
      </c>
      <c r="L696" s="374">
        <v>0</v>
      </c>
      <c r="M696" s="374">
        <v>0</v>
      </c>
      <c r="N696" s="374">
        <v>0</v>
      </c>
      <c r="O696" s="374">
        <v>0</v>
      </c>
      <c r="P696" s="374">
        <v>0</v>
      </c>
      <c r="Q696" s="373" t="e">
        <f ca="1">4*Bolts!$B696</f>
        <v>#NAME?</v>
      </c>
      <c r="R696" s="374">
        <v>0</v>
      </c>
      <c r="S696" s="375">
        <v>0</v>
      </c>
      <c r="T696" s="375">
        <v>0</v>
      </c>
      <c r="U696" s="375">
        <v>0</v>
      </c>
      <c r="V696" s="380" t="e">
        <f t="shared" ca="1" si="78"/>
        <v>#NAME?</v>
      </c>
    </row>
    <row r="697" spans="1:22" ht="14.25" hidden="1" customHeight="1">
      <c r="A697" s="383" t="s">
        <v>2088</v>
      </c>
      <c r="B697" s="370" t="e">
        <f ca="1">_xludf.IFNA(VLOOKUP(Bolts!$A697,'Kilter Holds'!$P$37:$S$662,4,0),0)</f>
        <v>#NAME?</v>
      </c>
      <c r="C697" s="384">
        <v>2</v>
      </c>
      <c r="D697" s="373">
        <v>0</v>
      </c>
      <c r="E697" s="374">
        <v>0</v>
      </c>
      <c r="F697" s="374">
        <v>0</v>
      </c>
      <c r="G697" s="374">
        <v>0</v>
      </c>
      <c r="H697" s="374">
        <v>0</v>
      </c>
      <c r="I697" s="374" t="e">
        <f ca="1">2*Bolts!$B697</f>
        <v>#NAME?</v>
      </c>
      <c r="J697" s="374">
        <v>0</v>
      </c>
      <c r="K697" s="374">
        <v>0</v>
      </c>
      <c r="L697" s="374">
        <v>0</v>
      </c>
      <c r="M697" s="374">
        <v>0</v>
      </c>
      <c r="N697" s="374">
        <v>0</v>
      </c>
      <c r="O697" s="374">
        <v>0</v>
      </c>
      <c r="P697" s="374">
        <v>0</v>
      </c>
      <c r="Q697" s="373">
        <v>0</v>
      </c>
      <c r="R697" s="374">
        <v>0</v>
      </c>
      <c r="S697" s="375" t="e">
        <f ca="1">5*Bolts!$B697</f>
        <v>#NAME?</v>
      </c>
      <c r="T697" s="375">
        <v>0</v>
      </c>
      <c r="U697" s="375">
        <v>0</v>
      </c>
      <c r="V697" s="380" t="e">
        <f t="shared" ca="1" si="78"/>
        <v>#NAME?</v>
      </c>
    </row>
    <row r="698" spans="1:22" ht="14.25" hidden="1" customHeight="1">
      <c r="A698" s="383" t="s">
        <v>2089</v>
      </c>
      <c r="B698" s="370" t="e">
        <f ca="1">_xludf.IFNA(VLOOKUP(Bolts!$A698,'Kilter Holds'!$P$37:$S$662,4,0),0)</f>
        <v>#NAME?</v>
      </c>
      <c r="C698" s="384">
        <v>11</v>
      </c>
      <c r="D698" s="373">
        <v>0</v>
      </c>
      <c r="E698" s="374">
        <v>0</v>
      </c>
      <c r="F698" s="374" t="e">
        <f ca="1">11*Bolts!$B698</f>
        <v>#NAME?</v>
      </c>
      <c r="G698" s="374">
        <v>0</v>
      </c>
      <c r="H698" s="374">
        <v>0</v>
      </c>
      <c r="I698" s="374">
        <v>0</v>
      </c>
      <c r="J698" s="374">
        <v>0</v>
      </c>
      <c r="K698" s="374">
        <v>0</v>
      </c>
      <c r="L698" s="374">
        <v>0</v>
      </c>
      <c r="M698" s="374">
        <v>0</v>
      </c>
      <c r="N698" s="374">
        <v>0</v>
      </c>
      <c r="O698" s="374">
        <v>0</v>
      </c>
      <c r="P698" s="374">
        <v>0</v>
      </c>
      <c r="Q698" s="373" t="e">
        <f ca="1">22*Bolts!$B698</f>
        <v>#NAME?</v>
      </c>
      <c r="R698" s="374">
        <v>0</v>
      </c>
      <c r="S698" s="375">
        <v>0</v>
      </c>
      <c r="T698" s="375">
        <v>0</v>
      </c>
      <c r="U698" s="375">
        <v>0</v>
      </c>
      <c r="V698" s="380" t="e">
        <f t="shared" ca="1" si="78"/>
        <v>#NAME?</v>
      </c>
    </row>
    <row r="699" spans="1:22" ht="14.25" hidden="1" customHeight="1">
      <c r="A699" s="383" t="s">
        <v>2090</v>
      </c>
      <c r="B699" s="370" t="e">
        <f ca="1">_xludf.IFNA(VLOOKUP(Bolts!$A699,'Kilter Holds'!$P$37:$S$662,4,0),0)</f>
        <v>#NAME?</v>
      </c>
      <c r="C699" s="384">
        <v>10</v>
      </c>
      <c r="D699" s="373">
        <v>0</v>
      </c>
      <c r="E699" s="374">
        <v>0</v>
      </c>
      <c r="F699" s="374" t="e">
        <f ca="1">10*Bolts!$B699</f>
        <v>#NAME?</v>
      </c>
      <c r="G699" s="374">
        <v>0</v>
      </c>
      <c r="H699" s="374">
        <v>0</v>
      </c>
      <c r="I699" s="374">
        <v>0</v>
      </c>
      <c r="J699" s="374">
        <v>0</v>
      </c>
      <c r="K699" s="374">
        <v>0</v>
      </c>
      <c r="L699" s="374">
        <v>0</v>
      </c>
      <c r="M699" s="374">
        <v>0</v>
      </c>
      <c r="N699" s="374">
        <v>0</v>
      </c>
      <c r="O699" s="374">
        <v>0</v>
      </c>
      <c r="P699" s="374">
        <v>0</v>
      </c>
      <c r="Q699" s="373" t="e">
        <f ca="1">20*Bolts!$B699</f>
        <v>#NAME?</v>
      </c>
      <c r="R699" s="374">
        <v>0</v>
      </c>
      <c r="S699" s="375">
        <v>0</v>
      </c>
      <c r="T699" s="375">
        <v>0</v>
      </c>
      <c r="U699" s="375">
        <v>0</v>
      </c>
      <c r="V699" s="380" t="e">
        <f t="shared" ca="1" si="78"/>
        <v>#NAME?</v>
      </c>
    </row>
    <row r="700" spans="1:22" ht="14.25" hidden="1" customHeight="1">
      <c r="A700" s="383" t="s">
        <v>2091</v>
      </c>
      <c r="B700" s="370" t="e">
        <f ca="1">_xludf.IFNA(VLOOKUP(Bolts!$A700,'Kilter Holds'!$P$37:$S$662,4,0),0)</f>
        <v>#NAME?</v>
      </c>
      <c r="C700" s="384">
        <v>10</v>
      </c>
      <c r="D700" s="373">
        <v>0</v>
      </c>
      <c r="E700" s="374" t="e">
        <f ca="1">10*Bolts!$B700</f>
        <v>#NAME?</v>
      </c>
      <c r="F700" s="374">
        <v>0</v>
      </c>
      <c r="G700" s="374">
        <v>0</v>
      </c>
      <c r="H700" s="374">
        <v>0</v>
      </c>
      <c r="I700" s="374">
        <v>0</v>
      </c>
      <c r="J700" s="374">
        <v>0</v>
      </c>
      <c r="K700" s="374">
        <v>0</v>
      </c>
      <c r="L700" s="374">
        <v>0</v>
      </c>
      <c r="M700" s="374">
        <v>0</v>
      </c>
      <c r="N700" s="374">
        <v>0</v>
      </c>
      <c r="O700" s="374">
        <v>0</v>
      </c>
      <c r="P700" s="374">
        <v>0</v>
      </c>
      <c r="Q700" s="373" t="e">
        <f ca="1">10*Bolts!$B700</f>
        <v>#NAME?</v>
      </c>
      <c r="R700" s="374">
        <v>0</v>
      </c>
      <c r="S700" s="375">
        <v>0</v>
      </c>
      <c r="T700" s="375">
        <v>0</v>
      </c>
      <c r="U700" s="375">
        <v>0</v>
      </c>
      <c r="V700" s="380" t="e">
        <f t="shared" ca="1" si="78"/>
        <v>#NAME?</v>
      </c>
    </row>
    <row r="701" spans="1:22" ht="14.25" hidden="1" customHeight="1">
      <c r="A701" s="383" t="s">
        <v>2092</v>
      </c>
      <c r="B701" s="370" t="e">
        <f ca="1">_xludf.IFNA(VLOOKUP(Bolts!$A701,'Kilter Holds'!$P$37:$S$662,4,0),0)</f>
        <v>#NAME?</v>
      </c>
      <c r="C701" s="384">
        <v>5</v>
      </c>
      <c r="D701" s="373">
        <v>0</v>
      </c>
      <c r="E701" s="374">
        <v>0</v>
      </c>
      <c r="F701" s="374" t="e">
        <f ca="1">5*Bolts!$B701</f>
        <v>#NAME?</v>
      </c>
      <c r="G701" s="374">
        <v>0</v>
      </c>
      <c r="H701" s="374">
        <v>0</v>
      </c>
      <c r="I701" s="374">
        <v>0</v>
      </c>
      <c r="J701" s="374">
        <v>0</v>
      </c>
      <c r="K701" s="374">
        <v>0</v>
      </c>
      <c r="L701" s="374">
        <v>0</v>
      </c>
      <c r="M701" s="374">
        <v>0</v>
      </c>
      <c r="N701" s="374">
        <v>0</v>
      </c>
      <c r="O701" s="374">
        <v>0</v>
      </c>
      <c r="P701" s="374">
        <v>0</v>
      </c>
      <c r="Q701" s="373" t="e">
        <f ca="1">5*Bolts!$B701</f>
        <v>#NAME?</v>
      </c>
      <c r="R701" s="374">
        <v>0</v>
      </c>
      <c r="S701" s="375">
        <v>0</v>
      </c>
      <c r="T701" s="375">
        <v>0</v>
      </c>
      <c r="U701" s="375">
        <v>0</v>
      </c>
      <c r="V701" s="380" t="e">
        <f t="shared" ca="1" si="78"/>
        <v>#NAME?</v>
      </c>
    </row>
    <row r="702" spans="1:22" ht="14.25" hidden="1" customHeight="1">
      <c r="A702" s="383" t="s">
        <v>2093</v>
      </c>
      <c r="B702" s="370" t="e">
        <f ca="1">_xludf.IFNA(VLOOKUP(Bolts!$A702,'Kilter Holds'!$P$37:$S$662,4,0),0)</f>
        <v>#NAME?</v>
      </c>
      <c r="C702" s="384">
        <v>4</v>
      </c>
      <c r="D702" s="373">
        <v>0</v>
      </c>
      <c r="E702" s="374">
        <v>0</v>
      </c>
      <c r="F702" s="374">
        <v>0</v>
      </c>
      <c r="G702" s="374" t="e">
        <f ca="1">2*Bolts!$B702</f>
        <v>#NAME?</v>
      </c>
      <c r="H702" s="374" t="e">
        <f ca="1">2*Bolts!$B702</f>
        <v>#NAME?</v>
      </c>
      <c r="I702" s="374">
        <v>0</v>
      </c>
      <c r="J702" s="374">
        <v>0</v>
      </c>
      <c r="K702" s="374">
        <v>0</v>
      </c>
      <c r="L702" s="374">
        <v>0</v>
      </c>
      <c r="M702" s="374">
        <v>0</v>
      </c>
      <c r="N702" s="374">
        <v>0</v>
      </c>
      <c r="O702" s="374">
        <v>0</v>
      </c>
      <c r="P702" s="374">
        <v>0</v>
      </c>
      <c r="Q702" s="373">
        <v>0</v>
      </c>
      <c r="R702" s="374">
        <v>0</v>
      </c>
      <c r="S702" s="375">
        <v>0</v>
      </c>
      <c r="T702" s="375">
        <v>0</v>
      </c>
      <c r="U702" s="375">
        <v>0</v>
      </c>
      <c r="V702" s="380" t="e">
        <f t="shared" ca="1" si="78"/>
        <v>#NAME?</v>
      </c>
    </row>
    <row r="703" spans="1:22" ht="14.25" hidden="1" customHeight="1">
      <c r="A703" s="383" t="s">
        <v>2094</v>
      </c>
      <c r="B703" s="370" t="e">
        <f ca="1">_xludf.IFNA(VLOOKUP(Bolts!$A703,'Kilter Holds'!$P$37:$S$662,4,0),0)</f>
        <v>#NAME?</v>
      </c>
      <c r="C703" s="384">
        <v>3</v>
      </c>
      <c r="D703" s="373">
        <v>0</v>
      </c>
      <c r="E703" s="374">
        <v>0</v>
      </c>
      <c r="F703" s="374">
        <v>0</v>
      </c>
      <c r="G703" s="374" t="e">
        <f ca="1">1*Bolts!$B703</f>
        <v>#NAME?</v>
      </c>
      <c r="H703" s="374" t="e">
        <f ca="1">3*Bolts!$B703</f>
        <v>#NAME?</v>
      </c>
      <c r="I703" s="374">
        <v>0</v>
      </c>
      <c r="J703" s="374">
        <v>0</v>
      </c>
      <c r="K703" s="374">
        <v>0</v>
      </c>
      <c r="L703" s="374">
        <v>0</v>
      </c>
      <c r="M703" s="374">
        <v>0</v>
      </c>
      <c r="N703" s="374">
        <v>0</v>
      </c>
      <c r="O703" s="374">
        <v>0</v>
      </c>
      <c r="P703" s="374">
        <v>0</v>
      </c>
      <c r="Q703" s="373">
        <v>0</v>
      </c>
      <c r="R703" s="374">
        <v>0</v>
      </c>
      <c r="S703" s="375">
        <v>0</v>
      </c>
      <c r="T703" s="375">
        <v>0</v>
      </c>
      <c r="U703" s="375">
        <v>0</v>
      </c>
      <c r="V703" s="380" t="e">
        <f t="shared" ca="1" si="78"/>
        <v>#NAME?</v>
      </c>
    </row>
    <row r="704" spans="1:22" ht="14.25" hidden="1" customHeight="1">
      <c r="A704" s="383" t="s">
        <v>2095</v>
      </c>
      <c r="B704" s="370" t="e">
        <f ca="1">_xludf.IFNA(VLOOKUP(Bolts!$A704,'Kilter Holds'!$P$37:$S$662,4,0),0)</f>
        <v>#NAME?</v>
      </c>
      <c r="C704" s="384">
        <v>10</v>
      </c>
      <c r="D704" s="373">
        <v>0</v>
      </c>
      <c r="E704" s="374">
        <v>0</v>
      </c>
      <c r="F704" s="373">
        <v>0</v>
      </c>
      <c r="G704" s="374">
        <v>0</v>
      </c>
      <c r="H704" s="373">
        <v>0</v>
      </c>
      <c r="I704" s="374">
        <v>0</v>
      </c>
      <c r="J704" s="373">
        <v>0</v>
      </c>
      <c r="K704" s="374">
        <v>0</v>
      </c>
      <c r="L704" s="373">
        <v>0</v>
      </c>
      <c r="M704" s="374">
        <v>0</v>
      </c>
      <c r="N704" s="373">
        <v>0</v>
      </c>
      <c r="O704" s="374">
        <v>0</v>
      </c>
      <c r="P704" s="373">
        <v>0</v>
      </c>
      <c r="Q704" s="373" t="e">
        <f ca="1">30*Bolts!$B704</f>
        <v>#NAME?</v>
      </c>
      <c r="R704" s="374">
        <v>0</v>
      </c>
      <c r="S704" s="375">
        <v>0</v>
      </c>
      <c r="T704" s="375">
        <v>0</v>
      </c>
      <c r="U704" s="375">
        <v>0</v>
      </c>
      <c r="V704" s="380" t="e">
        <f t="shared" ca="1" si="78"/>
        <v>#NAME?</v>
      </c>
    </row>
    <row r="705" spans="1:22" ht="14.25" hidden="1" customHeight="1">
      <c r="A705" s="383" t="s">
        <v>2096</v>
      </c>
      <c r="B705" s="370" t="e">
        <f ca="1">_xludf.IFNA(VLOOKUP(Bolts!$A705,'Kilter Holds'!$P$37:$S$662,4,0),0)</f>
        <v>#NAME?</v>
      </c>
      <c r="C705" s="384">
        <v>3</v>
      </c>
      <c r="D705" s="373">
        <v>0</v>
      </c>
      <c r="E705" s="374">
        <v>0</v>
      </c>
      <c r="F705" s="374">
        <v>0</v>
      </c>
      <c r="G705" s="374">
        <v>0</v>
      </c>
      <c r="H705" s="374">
        <v>0</v>
      </c>
      <c r="I705" s="374" t="e">
        <f ca="1">3*Bolts!$B705</f>
        <v>#NAME?</v>
      </c>
      <c r="J705" s="374">
        <v>0</v>
      </c>
      <c r="K705" s="374">
        <v>0</v>
      </c>
      <c r="L705" s="374">
        <v>0</v>
      </c>
      <c r="M705" s="374">
        <v>0</v>
      </c>
      <c r="N705" s="374">
        <v>0</v>
      </c>
      <c r="O705" s="374">
        <v>0</v>
      </c>
      <c r="P705" s="374">
        <v>0</v>
      </c>
      <c r="Q705" s="373">
        <v>0</v>
      </c>
      <c r="R705" s="374">
        <v>0</v>
      </c>
      <c r="S705" s="375">
        <v>0</v>
      </c>
      <c r="T705" s="375">
        <v>0</v>
      </c>
      <c r="U705" s="375">
        <v>0</v>
      </c>
      <c r="V705" s="380" t="e">
        <f t="shared" ca="1" si="78"/>
        <v>#NAME?</v>
      </c>
    </row>
    <row r="706" spans="1:22" ht="14.25" hidden="1" customHeight="1">
      <c r="A706" s="383" t="s">
        <v>2097</v>
      </c>
      <c r="B706" s="370" t="e">
        <f ca="1">_xludf.IFNA(VLOOKUP(Bolts!$A706,'Kilter Holds'!$P$37:$S$662,4,0),0)</f>
        <v>#NAME?</v>
      </c>
      <c r="C706" s="384">
        <v>5</v>
      </c>
      <c r="D706" s="373">
        <v>0</v>
      </c>
      <c r="E706" s="374">
        <v>0</v>
      </c>
      <c r="F706" s="373">
        <v>0</v>
      </c>
      <c r="G706" s="374">
        <v>0</v>
      </c>
      <c r="H706" s="373">
        <v>0</v>
      </c>
      <c r="I706" s="374">
        <v>0</v>
      </c>
      <c r="J706" s="373">
        <v>0</v>
      </c>
      <c r="K706" s="374">
        <v>0</v>
      </c>
      <c r="L706" s="373">
        <v>0</v>
      </c>
      <c r="M706" s="374">
        <v>0</v>
      </c>
      <c r="N706" s="373">
        <v>0</v>
      </c>
      <c r="O706" s="374">
        <v>0</v>
      </c>
      <c r="P706" s="373">
        <v>0</v>
      </c>
      <c r="Q706" s="373" t="e">
        <f ca="1">15*Bolts!$B706</f>
        <v>#NAME?</v>
      </c>
      <c r="R706" s="374">
        <v>0</v>
      </c>
      <c r="S706" s="375">
        <v>0</v>
      </c>
      <c r="T706" s="375">
        <v>0</v>
      </c>
      <c r="U706" s="375">
        <v>0</v>
      </c>
      <c r="V706" s="380" t="e">
        <f t="shared" ca="1" si="78"/>
        <v>#NAME?</v>
      </c>
    </row>
    <row r="707" spans="1:22" ht="14.25" hidden="1" customHeight="1">
      <c r="A707" s="383" t="s">
        <v>2098</v>
      </c>
      <c r="B707" s="370" t="e">
        <f ca="1">_xludf.IFNA(VLOOKUP(Bolts!$A707,'Kilter Holds'!$P$37:$S$662,4,0),0)</f>
        <v>#NAME?</v>
      </c>
      <c r="C707" s="384">
        <v>10</v>
      </c>
      <c r="D707" s="373" t="e">
        <f ca="1">Bolts!$C707*Bolts!$B707</f>
        <v>#NAME?</v>
      </c>
      <c r="E707" s="374">
        <v>0</v>
      </c>
      <c r="F707" s="374">
        <v>0</v>
      </c>
      <c r="G707" s="374">
        <v>0</v>
      </c>
      <c r="H707" s="374">
        <v>0</v>
      </c>
      <c r="I707" s="374">
        <v>0</v>
      </c>
      <c r="J707" s="374">
        <v>0</v>
      </c>
      <c r="K707" s="374">
        <v>0</v>
      </c>
      <c r="L707" s="374">
        <v>0</v>
      </c>
      <c r="M707" s="374">
        <v>0</v>
      </c>
      <c r="N707" s="374">
        <v>0</v>
      </c>
      <c r="O707" s="374">
        <v>0</v>
      </c>
      <c r="P707" s="374">
        <v>0</v>
      </c>
      <c r="Q707" s="374">
        <v>0</v>
      </c>
      <c r="R707" s="374">
        <v>0</v>
      </c>
      <c r="S707" s="374">
        <v>0</v>
      </c>
      <c r="T707" s="374">
        <v>0</v>
      </c>
      <c r="U707" s="374">
        <v>0</v>
      </c>
      <c r="V707" s="380" t="e">
        <f t="shared" ca="1" si="78"/>
        <v>#NAME?</v>
      </c>
    </row>
    <row r="708" spans="1:22" ht="14.25" hidden="1" customHeight="1">
      <c r="A708" s="383" t="s">
        <v>2099</v>
      </c>
      <c r="B708" s="370" t="e">
        <f ca="1">_xludf.IFNA(VLOOKUP(Bolts!$A708,'Kilter Holds'!$P$37:$S$662,4,0),0)</f>
        <v>#NAME?</v>
      </c>
      <c r="C708" s="384">
        <v>10</v>
      </c>
      <c r="D708" s="373" t="e">
        <f ca="1">Bolts!$C708*Bolts!$B708</f>
        <v>#NAME?</v>
      </c>
      <c r="E708" s="374">
        <v>0</v>
      </c>
      <c r="F708" s="374">
        <v>0</v>
      </c>
      <c r="G708" s="374">
        <v>0</v>
      </c>
      <c r="H708" s="374">
        <v>0</v>
      </c>
      <c r="I708" s="374">
        <v>0</v>
      </c>
      <c r="J708" s="374">
        <v>0</v>
      </c>
      <c r="K708" s="374">
        <v>0</v>
      </c>
      <c r="L708" s="374">
        <v>0</v>
      </c>
      <c r="M708" s="374">
        <v>0</v>
      </c>
      <c r="N708" s="374">
        <v>0</v>
      </c>
      <c r="O708" s="374">
        <v>0</v>
      </c>
      <c r="P708" s="374">
        <v>0</v>
      </c>
      <c r="Q708" s="374">
        <v>0</v>
      </c>
      <c r="R708" s="374">
        <v>0</v>
      </c>
      <c r="S708" s="374">
        <v>0</v>
      </c>
      <c r="T708" s="374">
        <v>0</v>
      </c>
      <c r="U708" s="374">
        <v>0</v>
      </c>
      <c r="V708" s="380" t="e">
        <f t="shared" ca="1" si="78"/>
        <v>#NAME?</v>
      </c>
    </row>
    <row r="709" spans="1:22" ht="14.25" hidden="1" customHeight="1">
      <c r="A709" s="383" t="s">
        <v>2100</v>
      </c>
      <c r="B709" s="370" t="e">
        <f ca="1">_xludf.IFNA(VLOOKUP(Bolts!$A709,'Kilter Holds'!$P$37:$S$662,4,0),0)</f>
        <v>#NAME?</v>
      </c>
      <c r="C709" s="384">
        <v>10</v>
      </c>
      <c r="D709" s="373" t="e">
        <f ca="1">Bolts!$C709*Bolts!$B709</f>
        <v>#NAME?</v>
      </c>
      <c r="E709" s="374">
        <v>0</v>
      </c>
      <c r="F709" s="374">
        <v>0</v>
      </c>
      <c r="G709" s="374">
        <v>0</v>
      </c>
      <c r="H709" s="374">
        <v>0</v>
      </c>
      <c r="I709" s="374">
        <v>0</v>
      </c>
      <c r="J709" s="374">
        <v>0</v>
      </c>
      <c r="K709" s="374">
        <v>0</v>
      </c>
      <c r="L709" s="374">
        <v>0</v>
      </c>
      <c r="M709" s="374">
        <v>0</v>
      </c>
      <c r="N709" s="374">
        <v>0</v>
      </c>
      <c r="O709" s="374">
        <v>0</v>
      </c>
      <c r="P709" s="374">
        <v>0</v>
      </c>
      <c r="Q709" s="374">
        <v>0</v>
      </c>
      <c r="R709" s="374">
        <v>0</v>
      </c>
      <c r="S709" s="374">
        <v>0</v>
      </c>
      <c r="T709" s="374">
        <v>0</v>
      </c>
      <c r="U709" s="374">
        <v>0</v>
      </c>
      <c r="V709" s="380" t="e">
        <f t="shared" ca="1" si="78"/>
        <v>#NAME?</v>
      </c>
    </row>
    <row r="710" spans="1:22" ht="14.25" hidden="1" customHeight="1">
      <c r="A710" s="383" t="s">
        <v>2101</v>
      </c>
      <c r="B710" s="370" t="e">
        <f ca="1">_xludf.IFNA(VLOOKUP(Bolts!$A710,'Kilter Holds'!$P$37:$S$662,4,0),0)</f>
        <v>#NAME?</v>
      </c>
      <c r="C710" s="384">
        <v>10</v>
      </c>
      <c r="D710" s="373" t="e">
        <f ca="1">Bolts!$C710*Bolts!$B710</f>
        <v>#NAME?</v>
      </c>
      <c r="E710" s="374">
        <v>0</v>
      </c>
      <c r="F710" s="374">
        <v>0</v>
      </c>
      <c r="G710" s="374">
        <v>0</v>
      </c>
      <c r="H710" s="374">
        <v>0</v>
      </c>
      <c r="I710" s="374">
        <v>0</v>
      </c>
      <c r="J710" s="374">
        <v>0</v>
      </c>
      <c r="K710" s="374">
        <v>0</v>
      </c>
      <c r="L710" s="374">
        <v>0</v>
      </c>
      <c r="M710" s="374">
        <v>0</v>
      </c>
      <c r="N710" s="374">
        <v>0</v>
      </c>
      <c r="O710" s="374">
        <v>0</v>
      </c>
      <c r="P710" s="374">
        <v>0</v>
      </c>
      <c r="Q710" s="374">
        <v>0</v>
      </c>
      <c r="R710" s="374">
        <v>0</v>
      </c>
      <c r="S710" s="374">
        <v>0</v>
      </c>
      <c r="T710" s="374">
        <v>0</v>
      </c>
      <c r="U710" s="374">
        <v>0</v>
      </c>
      <c r="V710" s="380" t="e">
        <f t="shared" ca="1" si="78"/>
        <v>#NAME?</v>
      </c>
    </row>
    <row r="711" spans="1:22" ht="14.25" hidden="1" customHeight="1">
      <c r="A711" s="383" t="s">
        <v>2102</v>
      </c>
      <c r="B711" s="370" t="e">
        <f ca="1">_xludf.IFNA(VLOOKUP(Bolts!$A711,'Kilter Holds'!$P$37:$S$662,4,0),0)</f>
        <v>#NAME?</v>
      </c>
      <c r="C711" s="384">
        <v>1</v>
      </c>
      <c r="D711" s="373">
        <v>0</v>
      </c>
      <c r="E711" s="374">
        <v>0</v>
      </c>
      <c r="F711" s="374">
        <v>0</v>
      </c>
      <c r="G711" s="374">
        <v>0</v>
      </c>
      <c r="H711" s="374">
        <v>0</v>
      </c>
      <c r="I711" s="374" t="e">
        <f ca="1">1*Bolts!$B711</f>
        <v>#NAME?</v>
      </c>
      <c r="J711" s="374">
        <v>0</v>
      </c>
      <c r="K711" s="374">
        <v>0</v>
      </c>
      <c r="L711" s="374">
        <v>0</v>
      </c>
      <c r="M711" s="374">
        <v>0</v>
      </c>
      <c r="N711" s="374">
        <v>0</v>
      </c>
      <c r="O711" s="374">
        <v>0</v>
      </c>
      <c r="P711" s="374">
        <v>0</v>
      </c>
      <c r="Q711" s="373">
        <v>0</v>
      </c>
      <c r="R711" s="374">
        <v>0</v>
      </c>
      <c r="S711" s="375">
        <v>0</v>
      </c>
      <c r="T711" s="375">
        <v>0</v>
      </c>
      <c r="U711" s="375">
        <v>0</v>
      </c>
      <c r="V711" s="380" t="e">
        <f t="shared" ca="1" si="78"/>
        <v>#NAME?</v>
      </c>
    </row>
    <row r="712" spans="1:22" ht="14.25" hidden="1" customHeight="1">
      <c r="A712" s="383" t="s">
        <v>2103</v>
      </c>
      <c r="B712" s="370" t="e">
        <f ca="1">_xludf.IFNA(VLOOKUP(Bolts!$A712,'Kilter Holds'!$P$37:$S$662,4,0),0)</f>
        <v>#NAME?</v>
      </c>
      <c r="C712" s="384">
        <v>1</v>
      </c>
      <c r="D712" s="373">
        <v>0</v>
      </c>
      <c r="E712" s="374">
        <v>0</v>
      </c>
      <c r="F712" s="374">
        <v>0</v>
      </c>
      <c r="G712" s="374">
        <v>0</v>
      </c>
      <c r="H712" s="374">
        <v>0</v>
      </c>
      <c r="I712" s="374" t="e">
        <f ca="1">1*Bolts!$B712</f>
        <v>#NAME?</v>
      </c>
      <c r="J712" s="374">
        <v>0</v>
      </c>
      <c r="K712" s="374">
        <v>0</v>
      </c>
      <c r="L712" s="374">
        <v>0</v>
      </c>
      <c r="M712" s="374">
        <v>0</v>
      </c>
      <c r="N712" s="374">
        <v>0</v>
      </c>
      <c r="O712" s="374">
        <v>0</v>
      </c>
      <c r="P712" s="374">
        <v>0</v>
      </c>
      <c r="Q712" s="373">
        <v>0</v>
      </c>
      <c r="R712" s="374">
        <v>0</v>
      </c>
      <c r="S712" s="375">
        <v>0</v>
      </c>
      <c r="T712" s="375">
        <v>0</v>
      </c>
      <c r="U712" s="375">
        <v>0</v>
      </c>
      <c r="V712" s="380" t="e">
        <f t="shared" ca="1" si="78"/>
        <v>#NAME?</v>
      </c>
    </row>
    <row r="713" spans="1:22" ht="14.25" hidden="1" customHeight="1">
      <c r="A713" s="383" t="s">
        <v>2104</v>
      </c>
      <c r="B713" s="370" t="e">
        <f ca="1">_xludf.IFNA(VLOOKUP(Bolts!$A713,'Kilter Holds'!$P$37:$S$662,4,0),0)</f>
        <v>#NAME?</v>
      </c>
      <c r="C713" s="384">
        <v>1</v>
      </c>
      <c r="D713" s="373">
        <v>0</v>
      </c>
      <c r="E713" s="374">
        <v>0</v>
      </c>
      <c r="F713" s="374">
        <v>0</v>
      </c>
      <c r="G713" s="374">
        <v>0</v>
      </c>
      <c r="H713" s="374">
        <v>0</v>
      </c>
      <c r="I713" s="374" t="e">
        <f ca="1">1*Bolts!$B713</f>
        <v>#NAME?</v>
      </c>
      <c r="J713" s="374">
        <v>0</v>
      </c>
      <c r="K713" s="374">
        <v>0</v>
      </c>
      <c r="L713" s="374">
        <v>0</v>
      </c>
      <c r="M713" s="374">
        <v>0</v>
      </c>
      <c r="N713" s="374">
        <v>0</v>
      </c>
      <c r="O713" s="374">
        <v>0</v>
      </c>
      <c r="P713" s="374">
        <v>0</v>
      </c>
      <c r="Q713" s="373">
        <v>0</v>
      </c>
      <c r="R713" s="374">
        <v>0</v>
      </c>
      <c r="S713" s="375">
        <v>0</v>
      </c>
      <c r="T713" s="375">
        <v>0</v>
      </c>
      <c r="U713" s="375">
        <v>0</v>
      </c>
      <c r="V713" s="380" t="e">
        <f t="shared" ca="1" si="78"/>
        <v>#NAME?</v>
      </c>
    </row>
    <row r="714" spans="1:22" ht="14.25" hidden="1" customHeight="1">
      <c r="A714" s="383" t="s">
        <v>2105</v>
      </c>
      <c r="B714" s="370" t="e">
        <f ca="1">_xludf.IFNA(VLOOKUP(Bolts!$A714,'Kilter Holds'!$P$37:$S$662,4,0),0)</f>
        <v>#NAME?</v>
      </c>
      <c r="C714" s="384">
        <v>3</v>
      </c>
      <c r="D714" s="373">
        <v>0</v>
      </c>
      <c r="E714" s="374">
        <v>0</v>
      </c>
      <c r="F714" s="374">
        <v>0</v>
      </c>
      <c r="G714" s="374">
        <v>0</v>
      </c>
      <c r="H714" s="374">
        <v>0</v>
      </c>
      <c r="I714" s="374">
        <v>0</v>
      </c>
      <c r="J714" s="374">
        <v>0</v>
      </c>
      <c r="K714" s="374" t="e">
        <f ca="1">1*Bolts!$B714</f>
        <v>#NAME?</v>
      </c>
      <c r="L714" s="374">
        <v>0</v>
      </c>
      <c r="M714" s="374">
        <v>0</v>
      </c>
      <c r="N714" s="374">
        <v>0</v>
      </c>
      <c r="O714" s="374">
        <v>0</v>
      </c>
      <c r="P714" s="374">
        <v>0</v>
      </c>
      <c r="Q714" s="373">
        <v>0</v>
      </c>
      <c r="R714" s="374" t="e">
        <f ca="1">10*Bolts!$B714</f>
        <v>#NAME?</v>
      </c>
      <c r="S714" s="375">
        <v>0</v>
      </c>
      <c r="T714" s="375">
        <v>0</v>
      </c>
      <c r="U714" s="375">
        <v>0</v>
      </c>
      <c r="V714" s="380" t="e">
        <f t="shared" ca="1" si="78"/>
        <v>#NAME?</v>
      </c>
    </row>
    <row r="715" spans="1:22" ht="14.25" hidden="1" customHeight="1">
      <c r="A715" s="383" t="s">
        <v>2106</v>
      </c>
      <c r="B715" s="370" t="e">
        <f ca="1">_xludf.IFNA(VLOOKUP(Bolts!$A715,'Kilter Holds'!$P$37:$S$662,4,0),0)</f>
        <v>#NAME?</v>
      </c>
      <c r="C715" s="384">
        <v>5</v>
      </c>
      <c r="D715" s="373">
        <v>0</v>
      </c>
      <c r="E715" s="374">
        <v>0</v>
      </c>
      <c r="F715" s="374">
        <v>0</v>
      </c>
      <c r="G715" s="374">
        <v>0</v>
      </c>
      <c r="H715" s="374">
        <f ca="1">IFERROR(5*B715,0)</f>
        <v>0</v>
      </c>
      <c r="I715" s="374">
        <v>0</v>
      </c>
      <c r="J715" s="374">
        <v>0</v>
      </c>
      <c r="K715" s="374">
        <v>0</v>
      </c>
      <c r="L715" s="374">
        <v>0</v>
      </c>
      <c r="M715" s="374">
        <v>0</v>
      </c>
      <c r="N715" s="374">
        <v>0</v>
      </c>
      <c r="O715" s="374">
        <v>0</v>
      </c>
      <c r="P715" s="374">
        <v>0</v>
      </c>
      <c r="Q715" s="373">
        <v>0</v>
      </c>
      <c r="R715" s="374">
        <v>0</v>
      </c>
      <c r="S715" s="375">
        <v>0</v>
      </c>
      <c r="T715" s="375">
        <v>0</v>
      </c>
      <c r="U715" s="375">
        <v>0</v>
      </c>
      <c r="V715" s="380" t="e">
        <f t="shared" ca="1" si="78"/>
        <v>#NAME?</v>
      </c>
    </row>
    <row r="716" spans="1:22" ht="14.25" hidden="1" customHeight="1">
      <c r="A716" s="383" t="s">
        <v>2107</v>
      </c>
      <c r="B716" s="370" t="e">
        <f ca="1">_xludf.IFNA(VLOOKUP(Bolts!$A716,'Kilter Holds'!$P$37:$S$662,4,0),0)</f>
        <v>#NAME?</v>
      </c>
      <c r="C716" s="384">
        <v>4</v>
      </c>
      <c r="D716" s="373">
        <v>0</v>
      </c>
      <c r="E716" s="374">
        <v>0</v>
      </c>
      <c r="F716" s="374">
        <v>0</v>
      </c>
      <c r="G716" s="374">
        <v>0</v>
      </c>
      <c r="H716" s="374">
        <v>0</v>
      </c>
      <c r="I716" s="374">
        <f ca="1">IFERROR(4*B716,0)</f>
        <v>0</v>
      </c>
      <c r="J716" s="374">
        <v>0</v>
      </c>
      <c r="K716" s="374">
        <v>0</v>
      </c>
      <c r="L716" s="374">
        <v>0</v>
      </c>
      <c r="M716" s="374">
        <v>0</v>
      </c>
      <c r="N716" s="374">
        <v>0</v>
      </c>
      <c r="O716" s="374">
        <v>0</v>
      </c>
      <c r="P716" s="374">
        <v>0</v>
      </c>
      <c r="Q716" s="373">
        <v>0</v>
      </c>
      <c r="R716" s="374">
        <v>0</v>
      </c>
      <c r="S716" s="375">
        <v>0</v>
      </c>
      <c r="T716" s="375">
        <v>0</v>
      </c>
      <c r="U716" s="375">
        <v>0</v>
      </c>
      <c r="V716" s="380" t="e">
        <f t="shared" ca="1" si="78"/>
        <v>#NAME?</v>
      </c>
    </row>
    <row r="717" spans="1:22" ht="14.25" hidden="1" customHeight="1">
      <c r="A717" s="383" t="s">
        <v>2108</v>
      </c>
      <c r="B717" s="370" t="e">
        <f ca="1">_xludf.IFNA(VLOOKUP(Bolts!$A717,'Kilter Holds'!$P$37:$S$662,4,0),0)</f>
        <v>#NAME?</v>
      </c>
      <c r="C717" s="384">
        <v>5</v>
      </c>
      <c r="D717" s="373">
        <v>0</v>
      </c>
      <c r="E717" s="374">
        <v>0</v>
      </c>
      <c r="F717" s="374">
        <v>0</v>
      </c>
      <c r="G717" s="374">
        <v>0</v>
      </c>
      <c r="H717" s="374">
        <v>0</v>
      </c>
      <c r="I717" s="374">
        <v>0</v>
      </c>
      <c r="J717" s="374">
        <v>0</v>
      </c>
      <c r="K717" s="374">
        <v>0</v>
      </c>
      <c r="L717" s="374">
        <v>0</v>
      </c>
      <c r="M717" s="374">
        <v>0</v>
      </c>
      <c r="N717" s="374">
        <v>0</v>
      </c>
      <c r="O717" s="374">
        <v>0</v>
      </c>
      <c r="P717" s="374">
        <v>0</v>
      </c>
      <c r="Q717" s="373">
        <v>0</v>
      </c>
      <c r="R717" s="374">
        <f ca="1">IFERROR(15*B717,0)</f>
        <v>0</v>
      </c>
      <c r="S717" s="375">
        <v>0</v>
      </c>
      <c r="T717" s="375">
        <v>0</v>
      </c>
      <c r="U717" s="375">
        <v>0</v>
      </c>
      <c r="V717" s="380" t="e">
        <f t="shared" ca="1" si="78"/>
        <v>#NAME?</v>
      </c>
    </row>
    <row r="718" spans="1:22" ht="14.25" hidden="1" customHeight="1">
      <c r="A718" s="383" t="s">
        <v>2109</v>
      </c>
      <c r="B718" s="370" t="e">
        <f ca="1">_xludf.IFNA(VLOOKUP(Bolts!$A718,'Kilter Holds'!$P$37:$S$662,4,0),0)</f>
        <v>#NAME?</v>
      </c>
      <c r="C718" s="384">
        <v>3</v>
      </c>
      <c r="D718" s="373">
        <v>0</v>
      </c>
      <c r="E718" s="374">
        <v>0</v>
      </c>
      <c r="F718" s="374">
        <v>0</v>
      </c>
      <c r="G718" s="374">
        <v>0</v>
      </c>
      <c r="H718" s="374">
        <v>0</v>
      </c>
      <c r="I718" s="374">
        <v>0</v>
      </c>
      <c r="J718" s="374">
        <v>0</v>
      </c>
      <c r="K718" s="374">
        <f ca="1">IFERROR(3*B718,0)</f>
        <v>0</v>
      </c>
      <c r="L718" s="374">
        <v>0</v>
      </c>
      <c r="M718" s="374">
        <v>0</v>
      </c>
      <c r="N718" s="374">
        <v>0</v>
      </c>
      <c r="O718" s="374">
        <v>0</v>
      </c>
      <c r="P718" s="374">
        <v>0</v>
      </c>
      <c r="Q718" s="373">
        <v>0</v>
      </c>
      <c r="R718" s="374">
        <v>0</v>
      </c>
      <c r="S718" s="375">
        <v>0</v>
      </c>
      <c r="T718" s="375">
        <v>0</v>
      </c>
      <c r="U718" s="375">
        <v>0</v>
      </c>
      <c r="V718" s="380" t="e">
        <f t="shared" ca="1" si="78"/>
        <v>#NAME?</v>
      </c>
    </row>
    <row r="719" spans="1:22" ht="14.25" hidden="1" customHeight="1">
      <c r="A719" s="383" t="s">
        <v>2110</v>
      </c>
      <c r="B719" s="370" t="e">
        <f ca="1">_xludf.IFNA(VLOOKUP(Bolts!$A719,'Kilter Holds'!$P$37:$S$662,4,0),0)</f>
        <v>#NAME?</v>
      </c>
      <c r="C719" s="384">
        <v>4</v>
      </c>
      <c r="D719" s="373">
        <v>0</v>
      </c>
      <c r="E719" s="374">
        <v>0</v>
      </c>
      <c r="F719" s="374">
        <v>0</v>
      </c>
      <c r="G719" s="374">
        <v>0</v>
      </c>
      <c r="H719" s="374">
        <v>0</v>
      </c>
      <c r="I719" s="374">
        <v>0</v>
      </c>
      <c r="J719" s="374">
        <f ca="1">IFERROR(4*B719,0)</f>
        <v>0</v>
      </c>
      <c r="K719" s="374">
        <v>0</v>
      </c>
      <c r="L719" s="374">
        <v>0</v>
      </c>
      <c r="M719" s="374">
        <v>0</v>
      </c>
      <c r="N719" s="374">
        <v>0</v>
      </c>
      <c r="O719" s="374">
        <v>0</v>
      </c>
      <c r="P719" s="374">
        <v>0</v>
      </c>
      <c r="Q719" s="373">
        <v>0</v>
      </c>
      <c r="R719" s="374">
        <v>0</v>
      </c>
      <c r="S719" s="375">
        <v>0</v>
      </c>
      <c r="T719" s="375">
        <v>0</v>
      </c>
      <c r="U719" s="375">
        <v>0</v>
      </c>
      <c r="V719" s="380" t="e">
        <f t="shared" ca="1" si="78"/>
        <v>#NAME?</v>
      </c>
    </row>
    <row r="720" spans="1:22" ht="14.25" hidden="1" customHeight="1">
      <c r="A720" s="383" t="s">
        <v>2111</v>
      </c>
      <c r="B720" s="370" t="e">
        <f ca="1">_xludf.IFNA(VLOOKUP(Bolts!$A720,'Kilter Holds'!$P$37:$S$662,4,0),0)</f>
        <v>#NAME?</v>
      </c>
      <c r="C720" s="384">
        <v>5</v>
      </c>
      <c r="D720" s="373">
        <v>0</v>
      </c>
      <c r="E720" s="374">
        <v>0</v>
      </c>
      <c r="F720" s="374">
        <v>0</v>
      </c>
      <c r="G720" s="374">
        <v>0</v>
      </c>
      <c r="H720" s="374">
        <v>0</v>
      </c>
      <c r="I720" s="374">
        <v>0</v>
      </c>
      <c r="J720" s="374">
        <f ca="1">IFERROR(5*B720,0)</f>
        <v>0</v>
      </c>
      <c r="K720" s="374">
        <v>0</v>
      </c>
      <c r="L720" s="374">
        <v>0</v>
      </c>
      <c r="M720" s="374">
        <v>0</v>
      </c>
      <c r="N720" s="374">
        <v>0</v>
      </c>
      <c r="O720" s="374">
        <v>0</v>
      </c>
      <c r="P720" s="374">
        <v>0</v>
      </c>
      <c r="Q720" s="373">
        <v>0</v>
      </c>
      <c r="R720" s="374">
        <v>0</v>
      </c>
      <c r="S720" s="375">
        <v>0</v>
      </c>
      <c r="T720" s="375">
        <v>0</v>
      </c>
      <c r="U720" s="375">
        <v>0</v>
      </c>
      <c r="V720" s="380" t="e">
        <f t="shared" ca="1" si="78"/>
        <v>#NAME?</v>
      </c>
    </row>
    <row r="721" spans="1:22" ht="14.25" hidden="1" customHeight="1">
      <c r="A721" s="383" t="s">
        <v>2112</v>
      </c>
      <c r="B721" s="370" t="e">
        <f ca="1">_xludf.IFNA(VLOOKUP(Bolts!$A721,'Kilter Holds'!$P$37:$S$662,4,0),0)</f>
        <v>#NAME?</v>
      </c>
      <c r="C721" s="384">
        <v>4</v>
      </c>
      <c r="D721" s="373">
        <v>0</v>
      </c>
      <c r="E721" s="374">
        <v>0</v>
      </c>
      <c r="F721" s="374">
        <v>0</v>
      </c>
      <c r="G721" s="374">
        <v>0</v>
      </c>
      <c r="H721" s="374">
        <v>0</v>
      </c>
      <c r="I721" s="374">
        <f ca="1">IFERROR(4*B721,0)</f>
        <v>0</v>
      </c>
      <c r="J721" s="374">
        <v>0</v>
      </c>
      <c r="K721" s="374">
        <v>0</v>
      </c>
      <c r="L721" s="374">
        <v>0</v>
      </c>
      <c r="M721" s="374">
        <v>0</v>
      </c>
      <c r="N721" s="374">
        <v>0</v>
      </c>
      <c r="O721" s="374">
        <v>0</v>
      </c>
      <c r="P721" s="374">
        <v>0</v>
      </c>
      <c r="Q721" s="373">
        <v>0</v>
      </c>
      <c r="R721" s="374">
        <v>0</v>
      </c>
      <c r="S721" s="375">
        <v>0</v>
      </c>
      <c r="T721" s="375">
        <v>0</v>
      </c>
      <c r="U721" s="375">
        <v>0</v>
      </c>
      <c r="V721" s="380" t="e">
        <f t="shared" ca="1" si="78"/>
        <v>#NAME?</v>
      </c>
    </row>
    <row r="722" spans="1:22" ht="14.25" hidden="1" customHeight="1">
      <c r="A722" s="383" t="s">
        <v>2113</v>
      </c>
      <c r="B722" s="370" t="e">
        <f ca="1">_xludf.IFNA(VLOOKUP(Bolts!$A722,'Kilter Holds'!$P$37:$S$662,4,0),0)</f>
        <v>#NAME?</v>
      </c>
      <c r="C722" s="384">
        <v>5</v>
      </c>
      <c r="D722" s="373">
        <v>0</v>
      </c>
      <c r="E722" s="374">
        <v>0</v>
      </c>
      <c r="F722" s="374">
        <v>0</v>
      </c>
      <c r="G722" s="374">
        <v>0</v>
      </c>
      <c r="H722" s="374">
        <v>0</v>
      </c>
      <c r="I722" s="374">
        <f t="shared" ref="I722:I724" ca="1" si="92">IFERROR(5*B722,0)</f>
        <v>0</v>
      </c>
      <c r="J722" s="374">
        <v>0</v>
      </c>
      <c r="K722" s="374">
        <v>0</v>
      </c>
      <c r="L722" s="374">
        <v>0</v>
      </c>
      <c r="M722" s="374">
        <v>0</v>
      </c>
      <c r="N722" s="374">
        <v>0</v>
      </c>
      <c r="O722" s="374">
        <v>0</v>
      </c>
      <c r="P722" s="374">
        <v>0</v>
      </c>
      <c r="Q722" s="373">
        <v>0</v>
      </c>
      <c r="R722" s="374">
        <v>0</v>
      </c>
      <c r="S722" s="375">
        <v>0</v>
      </c>
      <c r="T722" s="375">
        <v>0</v>
      </c>
      <c r="U722" s="375">
        <v>0</v>
      </c>
      <c r="V722" s="380" t="e">
        <f t="shared" ca="1" si="78"/>
        <v>#NAME?</v>
      </c>
    </row>
    <row r="723" spans="1:22" ht="14.25" hidden="1" customHeight="1">
      <c r="A723" s="383" t="s">
        <v>2114</v>
      </c>
      <c r="B723" s="370" t="e">
        <f ca="1">_xludf.IFNA(VLOOKUP(Bolts!$A723,'Kilter Holds'!$P$37:$S$662,4,0),0)</f>
        <v>#NAME?</v>
      </c>
      <c r="C723" s="384">
        <v>5</v>
      </c>
      <c r="D723" s="373">
        <v>0</v>
      </c>
      <c r="E723" s="374">
        <v>0</v>
      </c>
      <c r="F723" s="374">
        <v>0</v>
      </c>
      <c r="G723" s="374">
        <v>0</v>
      </c>
      <c r="H723" s="374">
        <v>0</v>
      </c>
      <c r="I723" s="374">
        <f t="shared" ca="1" si="92"/>
        <v>0</v>
      </c>
      <c r="J723" s="374">
        <v>0</v>
      </c>
      <c r="K723" s="374">
        <v>0</v>
      </c>
      <c r="L723" s="374">
        <v>0</v>
      </c>
      <c r="M723" s="374">
        <v>0</v>
      </c>
      <c r="N723" s="374">
        <v>0</v>
      </c>
      <c r="O723" s="374">
        <v>0</v>
      </c>
      <c r="P723" s="374">
        <v>0</v>
      </c>
      <c r="Q723" s="373">
        <v>0</v>
      </c>
      <c r="R723" s="374">
        <v>0</v>
      </c>
      <c r="S723" s="375">
        <v>0</v>
      </c>
      <c r="T723" s="375">
        <v>0</v>
      </c>
      <c r="U723" s="375">
        <v>0</v>
      </c>
      <c r="V723" s="380" t="e">
        <f t="shared" ca="1" si="78"/>
        <v>#NAME?</v>
      </c>
    </row>
    <row r="724" spans="1:22" ht="14.25" hidden="1" customHeight="1">
      <c r="A724" s="383" t="s">
        <v>2115</v>
      </c>
      <c r="B724" s="370" t="e">
        <f ca="1">_xludf.IFNA(VLOOKUP(Bolts!$A724,'Kilter Holds'!$P$37:$S$662,4,0),0)</f>
        <v>#NAME?</v>
      </c>
      <c r="C724" s="384">
        <v>5</v>
      </c>
      <c r="D724" s="373">
        <v>0</v>
      </c>
      <c r="E724" s="374">
        <v>0</v>
      </c>
      <c r="F724" s="374">
        <v>0</v>
      </c>
      <c r="G724" s="374">
        <v>0</v>
      </c>
      <c r="H724" s="374">
        <v>0</v>
      </c>
      <c r="I724" s="374">
        <f t="shared" ca="1" si="92"/>
        <v>0</v>
      </c>
      <c r="J724" s="374">
        <v>0</v>
      </c>
      <c r="K724" s="374">
        <v>0</v>
      </c>
      <c r="L724" s="374">
        <v>0</v>
      </c>
      <c r="M724" s="374">
        <v>0</v>
      </c>
      <c r="N724" s="374">
        <v>0</v>
      </c>
      <c r="O724" s="374">
        <v>0</v>
      </c>
      <c r="P724" s="374">
        <v>0</v>
      </c>
      <c r="Q724" s="373">
        <v>0</v>
      </c>
      <c r="R724" s="374">
        <v>0</v>
      </c>
      <c r="S724" s="375">
        <v>0</v>
      </c>
      <c r="T724" s="375">
        <v>0</v>
      </c>
      <c r="U724" s="375">
        <v>0</v>
      </c>
      <c r="V724" s="380" t="e">
        <f t="shared" ca="1" si="78"/>
        <v>#NAME?</v>
      </c>
    </row>
    <row r="725" spans="1:22" ht="14.25" hidden="1" customHeight="1">
      <c r="A725" s="383" t="s">
        <v>2116</v>
      </c>
      <c r="B725" s="370" t="e">
        <f ca="1">_xludf.IFNA(VLOOKUP(Bolts!$A725,'Kilter Holds'!$P$37:$S$662,4,0),0)</f>
        <v>#NAME?</v>
      </c>
      <c r="C725" s="384">
        <v>5</v>
      </c>
      <c r="D725" s="373">
        <v>0</v>
      </c>
      <c r="E725" s="374">
        <v>0</v>
      </c>
      <c r="F725" s="374">
        <v>0</v>
      </c>
      <c r="G725" s="374">
        <v>0</v>
      </c>
      <c r="H725" s="374">
        <f t="shared" ref="H725:H726" ca="1" si="93">IFERROR(5*B725,0)</f>
        <v>0</v>
      </c>
      <c r="I725" s="374">
        <v>0</v>
      </c>
      <c r="J725" s="374">
        <v>0</v>
      </c>
      <c r="K725" s="374">
        <v>0</v>
      </c>
      <c r="L725" s="374">
        <v>0</v>
      </c>
      <c r="M725" s="374">
        <v>0</v>
      </c>
      <c r="N725" s="374">
        <v>0</v>
      </c>
      <c r="O725" s="374">
        <v>0</v>
      </c>
      <c r="P725" s="374">
        <v>0</v>
      </c>
      <c r="Q725" s="373">
        <v>0</v>
      </c>
      <c r="R725" s="374">
        <v>0</v>
      </c>
      <c r="S725" s="375">
        <v>0</v>
      </c>
      <c r="T725" s="375">
        <v>0</v>
      </c>
      <c r="U725" s="375">
        <v>0</v>
      </c>
      <c r="V725" s="380" t="e">
        <f t="shared" ca="1" si="78"/>
        <v>#NAME?</v>
      </c>
    </row>
    <row r="726" spans="1:22" ht="14.25" hidden="1" customHeight="1">
      <c r="A726" s="383" t="s">
        <v>2117</v>
      </c>
      <c r="B726" s="370" t="e">
        <f ca="1">_xludf.IFNA(VLOOKUP(Bolts!$A726,'Kilter Holds'!$P$37:$S$662,4,0),0)</f>
        <v>#NAME?</v>
      </c>
      <c r="C726" s="384">
        <v>5</v>
      </c>
      <c r="D726" s="373">
        <v>0</v>
      </c>
      <c r="E726" s="374">
        <v>0</v>
      </c>
      <c r="F726" s="374">
        <v>0</v>
      </c>
      <c r="G726" s="374">
        <v>0</v>
      </c>
      <c r="H726" s="374">
        <f t="shared" ca="1" si="93"/>
        <v>0</v>
      </c>
      <c r="I726" s="374">
        <v>0</v>
      </c>
      <c r="J726" s="374">
        <v>0</v>
      </c>
      <c r="K726" s="374">
        <v>0</v>
      </c>
      <c r="L726" s="374">
        <v>0</v>
      </c>
      <c r="M726" s="374">
        <v>0</v>
      </c>
      <c r="N726" s="374">
        <v>0</v>
      </c>
      <c r="O726" s="374">
        <v>0</v>
      </c>
      <c r="P726" s="374">
        <v>0</v>
      </c>
      <c r="Q726" s="373">
        <v>0</v>
      </c>
      <c r="R726" s="374">
        <v>0</v>
      </c>
      <c r="S726" s="375">
        <v>0</v>
      </c>
      <c r="T726" s="375">
        <v>0</v>
      </c>
      <c r="U726" s="375">
        <v>0</v>
      </c>
      <c r="V726" s="380" t="e">
        <f t="shared" ca="1" si="78"/>
        <v>#NAME?</v>
      </c>
    </row>
    <row r="727" spans="1:22" ht="14.25" hidden="1" customHeight="1">
      <c r="A727" s="383" t="s">
        <v>2118</v>
      </c>
      <c r="B727" s="370" t="e">
        <f ca="1">_xludf.IFNA(VLOOKUP(Bolts!$A727,'Kilter Holds'!$P$37:$S$662,4,0),0)</f>
        <v>#NAME?</v>
      </c>
      <c r="C727" s="384">
        <v>10</v>
      </c>
      <c r="D727" s="373">
        <v>0</v>
      </c>
      <c r="E727" s="374">
        <v>0</v>
      </c>
      <c r="F727" s="374">
        <v>0</v>
      </c>
      <c r="G727" s="374">
        <f t="shared" ref="G727:G728" ca="1" si="94">IFERROR(10*B727,0)</f>
        <v>0</v>
      </c>
      <c r="H727" s="374">
        <v>0</v>
      </c>
      <c r="I727" s="374">
        <v>0</v>
      </c>
      <c r="J727" s="374">
        <v>0</v>
      </c>
      <c r="K727" s="374">
        <v>0</v>
      </c>
      <c r="L727" s="374">
        <v>0</v>
      </c>
      <c r="M727" s="374">
        <v>0</v>
      </c>
      <c r="N727" s="374">
        <v>0</v>
      </c>
      <c r="O727" s="374">
        <v>0</v>
      </c>
      <c r="P727" s="374">
        <v>0</v>
      </c>
      <c r="Q727" s="373">
        <v>0</v>
      </c>
      <c r="R727" s="374">
        <v>0</v>
      </c>
      <c r="S727" s="375">
        <v>0</v>
      </c>
      <c r="T727" s="375">
        <v>0</v>
      </c>
      <c r="U727" s="375">
        <v>0</v>
      </c>
      <c r="V727" s="380" t="e">
        <f t="shared" ca="1" si="78"/>
        <v>#NAME?</v>
      </c>
    </row>
    <row r="728" spans="1:22" ht="14.25" hidden="1" customHeight="1">
      <c r="A728" s="383" t="s">
        <v>2119</v>
      </c>
      <c r="B728" s="370" t="e">
        <f ca="1">_xludf.IFNA(VLOOKUP(Bolts!$A728,'Kilter Holds'!$P$37:$S$662,4,0),0)</f>
        <v>#NAME?</v>
      </c>
      <c r="C728" s="384">
        <v>10</v>
      </c>
      <c r="D728" s="373">
        <v>0</v>
      </c>
      <c r="E728" s="374">
        <v>0</v>
      </c>
      <c r="F728" s="374">
        <v>0</v>
      </c>
      <c r="G728" s="374">
        <f t="shared" ca="1" si="94"/>
        <v>0</v>
      </c>
      <c r="H728" s="374">
        <v>0</v>
      </c>
      <c r="I728" s="374">
        <v>0</v>
      </c>
      <c r="J728" s="374">
        <v>0</v>
      </c>
      <c r="K728" s="374">
        <v>0</v>
      </c>
      <c r="L728" s="374">
        <v>0</v>
      </c>
      <c r="M728" s="374">
        <v>0</v>
      </c>
      <c r="N728" s="374">
        <v>0</v>
      </c>
      <c r="O728" s="374">
        <v>0</v>
      </c>
      <c r="P728" s="374">
        <v>0</v>
      </c>
      <c r="Q728" s="373">
        <v>0</v>
      </c>
      <c r="R728" s="374">
        <v>0</v>
      </c>
      <c r="S728" s="375">
        <v>0</v>
      </c>
      <c r="T728" s="375">
        <v>0</v>
      </c>
      <c r="U728" s="375">
        <v>0</v>
      </c>
      <c r="V728" s="380" t="e">
        <f t="shared" ca="1" si="78"/>
        <v>#NAME?</v>
      </c>
    </row>
    <row r="729" spans="1:22" ht="14.25" hidden="1" customHeight="1">
      <c r="A729" s="383" t="s">
        <v>2120</v>
      </c>
      <c r="B729" s="370" t="e">
        <f ca="1">_xludf.IFNA(VLOOKUP(Bolts!$A729,'Kilter Holds'!$P$37:$S$662,4,0),0)</f>
        <v>#NAME?</v>
      </c>
      <c r="C729" s="384">
        <v>10</v>
      </c>
      <c r="D729" s="373">
        <f ca="1">IFERROR(10*B729,0)</f>
        <v>0</v>
      </c>
      <c r="E729" s="374">
        <v>0</v>
      </c>
      <c r="F729" s="374">
        <v>0</v>
      </c>
      <c r="G729" s="374">
        <v>0</v>
      </c>
      <c r="H729" s="374">
        <v>0</v>
      </c>
      <c r="I729" s="374">
        <v>0</v>
      </c>
      <c r="J729" s="374">
        <v>0</v>
      </c>
      <c r="K729" s="374">
        <v>0</v>
      </c>
      <c r="L729" s="374">
        <v>0</v>
      </c>
      <c r="M729" s="374">
        <v>0</v>
      </c>
      <c r="N729" s="374">
        <v>0</v>
      </c>
      <c r="O729" s="374">
        <v>0</v>
      </c>
      <c r="P729" s="374">
        <v>0</v>
      </c>
      <c r="Q729" s="373">
        <v>0</v>
      </c>
      <c r="R729" s="374">
        <v>0</v>
      </c>
      <c r="S729" s="375">
        <v>0</v>
      </c>
      <c r="T729" s="375">
        <v>0</v>
      </c>
      <c r="U729" s="375">
        <v>0</v>
      </c>
      <c r="V729" s="380" t="e">
        <f t="shared" ca="1" si="78"/>
        <v>#NAME?</v>
      </c>
    </row>
    <row r="730" spans="1:22" ht="14.25" hidden="1" customHeight="1">
      <c r="A730" s="383" t="s">
        <v>2121</v>
      </c>
      <c r="B730" s="370" t="e">
        <f ca="1">_xludf.IFNA(VLOOKUP(Bolts!$A730,'Kilter Holds'!$P$37:$S$662,4,0),0)</f>
        <v>#NAME?</v>
      </c>
      <c r="C730" s="384">
        <v>4</v>
      </c>
      <c r="D730" s="373">
        <v>0</v>
      </c>
      <c r="E730" s="374">
        <v>0</v>
      </c>
      <c r="F730" s="374">
        <v>0</v>
      </c>
      <c r="G730" s="374">
        <v>0</v>
      </c>
      <c r="H730" s="374">
        <v>0</v>
      </c>
      <c r="I730" s="374">
        <v>0</v>
      </c>
      <c r="J730" s="374">
        <v>0</v>
      </c>
      <c r="K730" s="374">
        <v>0</v>
      </c>
      <c r="L730" s="374">
        <v>0</v>
      </c>
      <c r="M730" s="374">
        <v>0</v>
      </c>
      <c r="N730" s="374">
        <v>0</v>
      </c>
      <c r="O730" s="374">
        <v>0</v>
      </c>
      <c r="P730" s="374">
        <v>0</v>
      </c>
      <c r="Q730" s="373">
        <v>0</v>
      </c>
      <c r="R730" s="374">
        <f ca="1">IFERROR(16*B730,0)</f>
        <v>0</v>
      </c>
      <c r="S730" s="375">
        <v>0</v>
      </c>
      <c r="T730" s="375">
        <v>0</v>
      </c>
      <c r="U730" s="375">
        <v>0</v>
      </c>
      <c r="V730" s="380" t="e">
        <f t="shared" ca="1" si="78"/>
        <v>#NAME?</v>
      </c>
    </row>
    <row r="731" spans="1:22" ht="14.25" hidden="1" customHeight="1">
      <c r="A731" s="383" t="s">
        <v>2122</v>
      </c>
      <c r="B731" s="370" t="e">
        <f ca="1">_xludf.IFNA(VLOOKUP(Bolts!$A731,'Kilter Holds'!$P$37:$S$662,4,0),0)</f>
        <v>#NAME?</v>
      </c>
      <c r="C731" s="384">
        <v>10</v>
      </c>
      <c r="D731" s="373">
        <v>0</v>
      </c>
      <c r="E731" s="374">
        <v>0</v>
      </c>
      <c r="F731" s="374">
        <v>0</v>
      </c>
      <c r="G731" s="374">
        <v>0</v>
      </c>
      <c r="H731" s="374">
        <v>0</v>
      </c>
      <c r="I731" s="374">
        <v>0</v>
      </c>
      <c r="J731" s="374">
        <v>0</v>
      </c>
      <c r="K731" s="374">
        <v>0</v>
      </c>
      <c r="L731" s="374">
        <v>0</v>
      </c>
      <c r="M731" s="374">
        <v>0</v>
      </c>
      <c r="N731" s="374">
        <v>0</v>
      </c>
      <c r="O731" s="374">
        <v>0</v>
      </c>
      <c r="P731" s="374">
        <v>0</v>
      </c>
      <c r="Q731" s="373">
        <f t="shared" ref="Q731:Q739" ca="1" si="95">IFERROR(30*B731,0)</f>
        <v>0</v>
      </c>
      <c r="R731" s="374">
        <v>0</v>
      </c>
      <c r="S731" s="375">
        <v>0</v>
      </c>
      <c r="T731" s="375">
        <v>0</v>
      </c>
      <c r="U731" s="375">
        <v>0</v>
      </c>
      <c r="V731" s="380" t="e">
        <f t="shared" ca="1" si="78"/>
        <v>#NAME?</v>
      </c>
    </row>
    <row r="732" spans="1:22" ht="14.25" hidden="1" customHeight="1">
      <c r="A732" s="383" t="s">
        <v>2123</v>
      </c>
      <c r="B732" s="370" t="e">
        <f ca="1">_xludf.IFNA(VLOOKUP(Bolts!$A732,'Kilter Holds'!$P$37:$S$662,4,0),0)</f>
        <v>#NAME?</v>
      </c>
      <c r="C732" s="384">
        <v>10</v>
      </c>
      <c r="D732" s="373">
        <v>0</v>
      </c>
      <c r="E732" s="374">
        <v>0</v>
      </c>
      <c r="F732" s="374">
        <v>0</v>
      </c>
      <c r="G732" s="374">
        <v>0</v>
      </c>
      <c r="H732" s="374">
        <v>0</v>
      </c>
      <c r="I732" s="374">
        <v>0</v>
      </c>
      <c r="J732" s="374">
        <v>0</v>
      </c>
      <c r="K732" s="374">
        <v>0</v>
      </c>
      <c r="L732" s="374">
        <v>0</v>
      </c>
      <c r="M732" s="374">
        <v>0</v>
      </c>
      <c r="N732" s="374">
        <v>0</v>
      </c>
      <c r="O732" s="374">
        <v>0</v>
      </c>
      <c r="P732" s="374">
        <v>0</v>
      </c>
      <c r="Q732" s="373">
        <f t="shared" ca="1" si="95"/>
        <v>0</v>
      </c>
      <c r="R732" s="374">
        <v>0</v>
      </c>
      <c r="S732" s="375">
        <v>0</v>
      </c>
      <c r="T732" s="375">
        <v>0</v>
      </c>
      <c r="U732" s="375">
        <v>0</v>
      </c>
      <c r="V732" s="380" t="e">
        <f t="shared" ca="1" si="78"/>
        <v>#NAME?</v>
      </c>
    </row>
    <row r="733" spans="1:22" ht="14.25" hidden="1" customHeight="1">
      <c r="A733" s="383" t="s">
        <v>2124</v>
      </c>
      <c r="B733" s="370" t="e">
        <f ca="1">_xludf.IFNA(VLOOKUP(Bolts!$A733,'Kilter Holds'!$P$37:$S$662,4,0),0)</f>
        <v>#NAME?</v>
      </c>
      <c r="C733" s="384">
        <v>10</v>
      </c>
      <c r="D733" s="373">
        <v>0</v>
      </c>
      <c r="E733" s="374">
        <v>0</v>
      </c>
      <c r="F733" s="374">
        <v>0</v>
      </c>
      <c r="G733" s="374">
        <v>0</v>
      </c>
      <c r="H733" s="374">
        <v>0</v>
      </c>
      <c r="I733" s="374">
        <v>0</v>
      </c>
      <c r="J733" s="374">
        <v>0</v>
      </c>
      <c r="K733" s="374">
        <v>0</v>
      </c>
      <c r="L733" s="374">
        <v>0</v>
      </c>
      <c r="M733" s="374">
        <v>0</v>
      </c>
      <c r="N733" s="374">
        <v>0</v>
      </c>
      <c r="O733" s="374">
        <v>0</v>
      </c>
      <c r="P733" s="374">
        <v>0</v>
      </c>
      <c r="Q733" s="373">
        <f t="shared" ca="1" si="95"/>
        <v>0</v>
      </c>
      <c r="R733" s="374">
        <v>0</v>
      </c>
      <c r="S733" s="375">
        <v>0</v>
      </c>
      <c r="T733" s="375">
        <v>0</v>
      </c>
      <c r="U733" s="375">
        <v>0</v>
      </c>
      <c r="V733" s="380" t="e">
        <f t="shared" ca="1" si="78"/>
        <v>#NAME?</v>
      </c>
    </row>
    <row r="734" spans="1:22" ht="14.25" hidden="1" customHeight="1">
      <c r="A734" s="383" t="s">
        <v>2125</v>
      </c>
      <c r="B734" s="370" t="e">
        <f ca="1">_xludf.IFNA(VLOOKUP(Bolts!$A734,'Kilter Holds'!$P$37:$S$662,4,0),0)</f>
        <v>#NAME?</v>
      </c>
      <c r="C734" s="384">
        <v>10</v>
      </c>
      <c r="D734" s="373">
        <v>0</v>
      </c>
      <c r="E734" s="374">
        <v>0</v>
      </c>
      <c r="F734" s="374">
        <v>0</v>
      </c>
      <c r="G734" s="374">
        <v>0</v>
      </c>
      <c r="H734" s="374">
        <v>0</v>
      </c>
      <c r="I734" s="374">
        <v>0</v>
      </c>
      <c r="J734" s="374">
        <v>0</v>
      </c>
      <c r="K734" s="374">
        <v>0</v>
      </c>
      <c r="L734" s="374">
        <v>0</v>
      </c>
      <c r="M734" s="374">
        <v>0</v>
      </c>
      <c r="N734" s="374">
        <v>0</v>
      </c>
      <c r="O734" s="374">
        <v>0</v>
      </c>
      <c r="P734" s="374">
        <v>0</v>
      </c>
      <c r="Q734" s="373">
        <f t="shared" ca="1" si="95"/>
        <v>0</v>
      </c>
      <c r="R734" s="374">
        <v>0</v>
      </c>
      <c r="S734" s="375">
        <v>0</v>
      </c>
      <c r="T734" s="375">
        <v>0</v>
      </c>
      <c r="U734" s="375">
        <v>0</v>
      </c>
      <c r="V734" s="380" t="e">
        <f t="shared" ca="1" si="78"/>
        <v>#NAME?</v>
      </c>
    </row>
    <row r="735" spans="1:22" ht="14.25" hidden="1" customHeight="1">
      <c r="A735" s="383" t="s">
        <v>2126</v>
      </c>
      <c r="B735" s="370" t="e">
        <f ca="1">_xludf.IFNA(VLOOKUP(Bolts!$A735,'Kilter Holds'!$P$37:$S$662,4,0),0)</f>
        <v>#NAME?</v>
      </c>
      <c r="C735" s="384">
        <v>10</v>
      </c>
      <c r="D735" s="373">
        <v>0</v>
      </c>
      <c r="E735" s="374">
        <v>0</v>
      </c>
      <c r="F735" s="374">
        <v>0</v>
      </c>
      <c r="G735" s="374">
        <v>0</v>
      </c>
      <c r="H735" s="374">
        <v>0</v>
      </c>
      <c r="I735" s="374">
        <v>0</v>
      </c>
      <c r="J735" s="374">
        <v>0</v>
      </c>
      <c r="K735" s="374">
        <v>0</v>
      </c>
      <c r="L735" s="374">
        <v>0</v>
      </c>
      <c r="M735" s="374">
        <v>0</v>
      </c>
      <c r="N735" s="374">
        <v>0</v>
      </c>
      <c r="O735" s="374">
        <v>0</v>
      </c>
      <c r="P735" s="374">
        <v>0</v>
      </c>
      <c r="Q735" s="373">
        <f t="shared" ca="1" si="95"/>
        <v>0</v>
      </c>
      <c r="R735" s="374">
        <v>0</v>
      </c>
      <c r="S735" s="375">
        <v>0</v>
      </c>
      <c r="T735" s="375">
        <v>0</v>
      </c>
      <c r="U735" s="375">
        <v>0</v>
      </c>
      <c r="V735" s="380" t="e">
        <f t="shared" ca="1" si="78"/>
        <v>#NAME?</v>
      </c>
    </row>
    <row r="736" spans="1:22" ht="14.25" hidden="1" customHeight="1">
      <c r="A736" s="383" t="s">
        <v>2127</v>
      </c>
      <c r="B736" s="370" t="e">
        <f ca="1">_xludf.IFNA(VLOOKUP(Bolts!$A736,'Kilter Holds'!$P$37:$S$662,4,0),0)</f>
        <v>#NAME?</v>
      </c>
      <c r="C736" s="384">
        <v>10</v>
      </c>
      <c r="D736" s="373">
        <v>0</v>
      </c>
      <c r="E736" s="374">
        <v>0</v>
      </c>
      <c r="F736" s="374">
        <v>0</v>
      </c>
      <c r="G736" s="374">
        <v>0</v>
      </c>
      <c r="H736" s="374">
        <v>0</v>
      </c>
      <c r="I736" s="374">
        <v>0</v>
      </c>
      <c r="J736" s="374">
        <v>0</v>
      </c>
      <c r="K736" s="374">
        <v>0</v>
      </c>
      <c r="L736" s="374">
        <v>0</v>
      </c>
      <c r="M736" s="374">
        <v>0</v>
      </c>
      <c r="N736" s="374">
        <v>0</v>
      </c>
      <c r="O736" s="374">
        <v>0</v>
      </c>
      <c r="P736" s="374">
        <v>0</v>
      </c>
      <c r="Q736" s="373">
        <f t="shared" ca="1" si="95"/>
        <v>0</v>
      </c>
      <c r="R736" s="374">
        <v>0</v>
      </c>
      <c r="S736" s="375">
        <v>0</v>
      </c>
      <c r="T736" s="375">
        <v>0</v>
      </c>
      <c r="U736" s="375">
        <v>0</v>
      </c>
      <c r="V736" s="380" t="e">
        <f t="shared" ca="1" si="78"/>
        <v>#NAME?</v>
      </c>
    </row>
    <row r="737" spans="1:22" ht="14.25" hidden="1" customHeight="1">
      <c r="A737" s="383" t="s">
        <v>2128</v>
      </c>
      <c r="B737" s="370" t="e">
        <f ca="1">_xludf.IFNA(VLOOKUP(Bolts!$A737,'Kilter Holds'!$P$37:$S$662,4,0),0)</f>
        <v>#NAME?</v>
      </c>
      <c r="C737" s="384">
        <v>10</v>
      </c>
      <c r="D737" s="373">
        <v>0</v>
      </c>
      <c r="E737" s="374">
        <v>0</v>
      </c>
      <c r="F737" s="374">
        <v>0</v>
      </c>
      <c r="G737" s="374">
        <v>0</v>
      </c>
      <c r="H737" s="374">
        <v>0</v>
      </c>
      <c r="I737" s="374">
        <v>0</v>
      </c>
      <c r="J737" s="374">
        <v>0</v>
      </c>
      <c r="K737" s="374">
        <v>0</v>
      </c>
      <c r="L737" s="374">
        <v>0</v>
      </c>
      <c r="M737" s="374">
        <v>0</v>
      </c>
      <c r="N737" s="374">
        <v>0</v>
      </c>
      <c r="O737" s="374">
        <v>0</v>
      </c>
      <c r="P737" s="374">
        <v>0</v>
      </c>
      <c r="Q737" s="373">
        <f t="shared" ca="1" si="95"/>
        <v>0</v>
      </c>
      <c r="R737" s="374">
        <v>0</v>
      </c>
      <c r="S737" s="375">
        <v>0</v>
      </c>
      <c r="T737" s="375">
        <v>0</v>
      </c>
      <c r="U737" s="375">
        <v>0</v>
      </c>
      <c r="V737" s="380" t="e">
        <f t="shared" ca="1" si="78"/>
        <v>#NAME?</v>
      </c>
    </row>
    <row r="738" spans="1:22" ht="14.25" hidden="1" customHeight="1">
      <c r="A738" s="383" t="s">
        <v>2129</v>
      </c>
      <c r="B738" s="370" t="e">
        <f ca="1">_xludf.IFNA(VLOOKUP(Bolts!$A738,'Kilter Holds'!$P$37:$S$662,4,0),0)</f>
        <v>#NAME?</v>
      </c>
      <c r="C738" s="384">
        <v>10</v>
      </c>
      <c r="D738" s="373">
        <v>0</v>
      </c>
      <c r="E738" s="374">
        <v>0</v>
      </c>
      <c r="F738" s="374">
        <v>0</v>
      </c>
      <c r="G738" s="374">
        <v>0</v>
      </c>
      <c r="H738" s="374">
        <v>0</v>
      </c>
      <c r="I738" s="374">
        <v>0</v>
      </c>
      <c r="J738" s="374">
        <v>0</v>
      </c>
      <c r="K738" s="374">
        <v>0</v>
      </c>
      <c r="L738" s="374">
        <v>0</v>
      </c>
      <c r="M738" s="374">
        <v>0</v>
      </c>
      <c r="N738" s="374">
        <v>0</v>
      </c>
      <c r="O738" s="374">
        <v>0</v>
      </c>
      <c r="P738" s="374">
        <v>0</v>
      </c>
      <c r="Q738" s="373">
        <f t="shared" ca="1" si="95"/>
        <v>0</v>
      </c>
      <c r="R738" s="374">
        <v>0</v>
      </c>
      <c r="S738" s="375">
        <v>0</v>
      </c>
      <c r="T738" s="375">
        <v>0</v>
      </c>
      <c r="U738" s="375">
        <v>0</v>
      </c>
      <c r="V738" s="380" t="e">
        <f t="shared" ca="1" si="78"/>
        <v>#NAME?</v>
      </c>
    </row>
    <row r="739" spans="1:22" ht="14.25" hidden="1" customHeight="1">
      <c r="A739" s="383" t="s">
        <v>2130</v>
      </c>
      <c r="B739" s="370" t="e">
        <f ca="1">_xludf.IFNA(VLOOKUP(Bolts!$A739,'Kilter Holds'!$P$37:$S$662,4,0),0)</f>
        <v>#NAME?</v>
      </c>
      <c r="C739" s="384">
        <v>10</v>
      </c>
      <c r="D739" s="373">
        <v>0</v>
      </c>
      <c r="E739" s="374">
        <v>0</v>
      </c>
      <c r="F739" s="374">
        <v>0</v>
      </c>
      <c r="G739" s="374">
        <v>0</v>
      </c>
      <c r="H739" s="374">
        <v>0</v>
      </c>
      <c r="I739" s="374">
        <v>0</v>
      </c>
      <c r="J739" s="374">
        <v>0</v>
      </c>
      <c r="K739" s="374">
        <v>0</v>
      </c>
      <c r="L739" s="374">
        <v>0</v>
      </c>
      <c r="M739" s="374">
        <v>0</v>
      </c>
      <c r="N739" s="374">
        <v>0</v>
      </c>
      <c r="O739" s="374">
        <v>0</v>
      </c>
      <c r="P739" s="374">
        <v>0</v>
      </c>
      <c r="Q739" s="373">
        <f t="shared" ca="1" si="95"/>
        <v>0</v>
      </c>
      <c r="R739" s="374">
        <v>0</v>
      </c>
      <c r="S739" s="375">
        <v>0</v>
      </c>
      <c r="T739" s="375">
        <v>0</v>
      </c>
      <c r="U739" s="375">
        <v>0</v>
      </c>
      <c r="V739" s="380" t="e">
        <f t="shared" ca="1" si="78"/>
        <v>#NAME?</v>
      </c>
    </row>
    <row r="740" spans="1:22" ht="14.25" hidden="1" customHeight="1">
      <c r="A740" s="383" t="s">
        <v>2131</v>
      </c>
      <c r="B740" s="370" t="e">
        <f ca="1">_xludf.IFNA(VLOOKUP(Bolts!$A740,'Kilter Holds'!$P$37:$S$662,4,0),0)</f>
        <v>#NAME?</v>
      </c>
      <c r="C740" s="384">
        <v>11</v>
      </c>
      <c r="D740" s="373">
        <v>0</v>
      </c>
      <c r="E740" s="374">
        <v>0</v>
      </c>
      <c r="F740" s="374">
        <v>0</v>
      </c>
      <c r="G740" s="374">
        <v>0</v>
      </c>
      <c r="H740" s="374">
        <v>0</v>
      </c>
      <c r="I740" s="374">
        <v>0</v>
      </c>
      <c r="J740" s="374">
        <v>0</v>
      </c>
      <c r="K740" s="374">
        <v>0</v>
      </c>
      <c r="L740" s="374">
        <v>0</v>
      </c>
      <c r="M740" s="374">
        <v>0</v>
      </c>
      <c r="N740" s="374">
        <v>0</v>
      </c>
      <c r="O740" s="374">
        <v>0</v>
      </c>
      <c r="P740" s="374">
        <v>0</v>
      </c>
      <c r="Q740" s="373">
        <f ca="1">IFERROR(33*B740,0)</f>
        <v>0</v>
      </c>
      <c r="R740" s="374">
        <v>0</v>
      </c>
      <c r="S740" s="375">
        <v>0</v>
      </c>
      <c r="T740" s="375">
        <v>0</v>
      </c>
      <c r="U740" s="375">
        <v>0</v>
      </c>
      <c r="V740" s="380" t="e">
        <f t="shared" ca="1" si="78"/>
        <v>#NAME?</v>
      </c>
    </row>
    <row r="741" spans="1:22" ht="14.25" hidden="1" customHeight="1">
      <c r="A741" s="383" t="s">
        <v>2132</v>
      </c>
      <c r="B741" s="370" t="e">
        <f ca="1">_xludf.IFNA(VLOOKUP(Bolts!$A741,'Kilter Holds'!$P$37:$S$662,4,0),0)</f>
        <v>#NAME?</v>
      </c>
      <c r="C741" s="384">
        <v>10</v>
      </c>
      <c r="D741" s="373">
        <v>0</v>
      </c>
      <c r="E741" s="374">
        <v>0</v>
      </c>
      <c r="F741" s="374">
        <v>0</v>
      </c>
      <c r="G741" s="374">
        <v>0</v>
      </c>
      <c r="H741" s="374">
        <v>0</v>
      </c>
      <c r="I741" s="374">
        <v>0</v>
      </c>
      <c r="J741" s="374">
        <v>0</v>
      </c>
      <c r="K741" s="374">
        <v>0</v>
      </c>
      <c r="L741" s="374">
        <v>0</v>
      </c>
      <c r="M741" s="374">
        <v>0</v>
      </c>
      <c r="N741" s="374">
        <v>0</v>
      </c>
      <c r="O741" s="374">
        <v>0</v>
      </c>
      <c r="P741" s="374">
        <v>0</v>
      </c>
      <c r="Q741" s="373">
        <f ca="1">IFERROR(30*B741,0)</f>
        <v>0</v>
      </c>
      <c r="R741" s="374">
        <v>0</v>
      </c>
      <c r="S741" s="375">
        <v>0</v>
      </c>
      <c r="T741" s="375">
        <v>0</v>
      </c>
      <c r="U741" s="375">
        <v>0</v>
      </c>
      <c r="V741" s="380" t="e">
        <f t="shared" ca="1" si="78"/>
        <v>#NAME?</v>
      </c>
    </row>
    <row r="742" spans="1:22" ht="14.25" hidden="1" customHeight="1">
      <c r="A742" s="383" t="s">
        <v>2133</v>
      </c>
      <c r="B742" s="370" t="e">
        <f ca="1">_xludf.IFNA(VLOOKUP(Bolts!$A742,'Kilter Holds'!$P$37:$S$662,4,0),0)</f>
        <v>#NAME?</v>
      </c>
      <c r="C742" s="384">
        <v>7</v>
      </c>
      <c r="D742" s="373">
        <v>0</v>
      </c>
      <c r="E742" s="374">
        <v>0</v>
      </c>
      <c r="F742" s="374">
        <v>0</v>
      </c>
      <c r="G742" s="374">
        <v>0</v>
      </c>
      <c r="H742" s="374">
        <v>0</v>
      </c>
      <c r="I742" s="374">
        <v>0</v>
      </c>
      <c r="J742" s="374">
        <v>0</v>
      </c>
      <c r="K742" s="374">
        <v>0</v>
      </c>
      <c r="L742" s="374">
        <v>0</v>
      </c>
      <c r="M742" s="374">
        <v>0</v>
      </c>
      <c r="N742" s="374">
        <v>0</v>
      </c>
      <c r="O742" s="374">
        <v>0</v>
      </c>
      <c r="P742" s="374">
        <v>0</v>
      </c>
      <c r="Q742" s="373">
        <f ca="1">IFERROR(21*B742,0)</f>
        <v>0</v>
      </c>
      <c r="R742" s="374">
        <v>0</v>
      </c>
      <c r="S742" s="375">
        <v>0</v>
      </c>
      <c r="T742" s="375">
        <v>0</v>
      </c>
      <c r="U742" s="375">
        <v>0</v>
      </c>
      <c r="V742" s="380" t="e">
        <f t="shared" ca="1" si="78"/>
        <v>#NAME?</v>
      </c>
    </row>
    <row r="743" spans="1:22" ht="14.25" hidden="1" customHeight="1">
      <c r="A743" s="383" t="s">
        <v>2134</v>
      </c>
      <c r="B743" s="370" t="e">
        <f ca="1">_xludf.IFNA(VLOOKUP(Bolts!$A743,'Kilter Holds'!$P$37:$S$662,4,0),0)</f>
        <v>#NAME?</v>
      </c>
      <c r="C743" s="384">
        <v>5</v>
      </c>
      <c r="D743" s="373">
        <v>0</v>
      </c>
      <c r="E743" s="374">
        <v>0</v>
      </c>
      <c r="F743" s="374">
        <v>0</v>
      </c>
      <c r="G743" s="374">
        <v>0</v>
      </c>
      <c r="H743" s="374">
        <v>0</v>
      </c>
      <c r="I743" s="374">
        <v>0</v>
      </c>
      <c r="J743" s="374">
        <v>0</v>
      </c>
      <c r="K743" s="374">
        <v>0</v>
      </c>
      <c r="L743" s="374">
        <v>0</v>
      </c>
      <c r="M743" s="374">
        <v>0</v>
      </c>
      <c r="N743" s="374">
        <v>0</v>
      </c>
      <c r="O743" s="374">
        <v>0</v>
      </c>
      <c r="P743" s="374">
        <v>0</v>
      </c>
      <c r="Q743" s="373">
        <f ca="1">IFERROR(15*B743,0)</f>
        <v>0</v>
      </c>
      <c r="R743" s="374">
        <v>0</v>
      </c>
      <c r="S743" s="375">
        <v>0</v>
      </c>
      <c r="T743" s="375">
        <v>0</v>
      </c>
      <c r="U743" s="375">
        <v>0</v>
      </c>
      <c r="V743" s="380" t="e">
        <f t="shared" ca="1" si="78"/>
        <v>#NAME?</v>
      </c>
    </row>
    <row r="744" spans="1:22" ht="14.25" hidden="1" customHeight="1">
      <c r="A744" s="383" t="s">
        <v>2135</v>
      </c>
      <c r="B744" s="370" t="e">
        <f ca="1">_xludf.IFNA(VLOOKUP(Bolts!$A744,'Kilter Holds'!$P$37:$S$662,4,0),0)</f>
        <v>#NAME?</v>
      </c>
      <c r="C744" s="384">
        <v>3</v>
      </c>
      <c r="D744" s="373">
        <v>0</v>
      </c>
      <c r="E744" s="374">
        <v>0</v>
      </c>
      <c r="F744" s="374">
        <v>0</v>
      </c>
      <c r="G744" s="374">
        <v>0</v>
      </c>
      <c r="H744" s="374">
        <v>0</v>
      </c>
      <c r="I744" s="374">
        <v>0</v>
      </c>
      <c r="J744" s="374">
        <v>0</v>
      </c>
      <c r="K744" s="374">
        <f t="shared" ref="K744:K745" ca="1" si="96">IFERROR(3*B744,0)</f>
        <v>0</v>
      </c>
      <c r="L744" s="374">
        <v>0</v>
      </c>
      <c r="M744" s="374">
        <v>0</v>
      </c>
      <c r="N744" s="374">
        <v>0</v>
      </c>
      <c r="O744" s="374">
        <v>0</v>
      </c>
      <c r="P744" s="374">
        <v>0</v>
      </c>
      <c r="Q744" s="373">
        <v>0</v>
      </c>
      <c r="R744" s="374">
        <v>0</v>
      </c>
      <c r="S744" s="375">
        <v>0</v>
      </c>
      <c r="T744" s="375">
        <v>0</v>
      </c>
      <c r="U744" s="375">
        <v>0</v>
      </c>
      <c r="V744" s="380" t="e">
        <f t="shared" ca="1" si="78"/>
        <v>#NAME?</v>
      </c>
    </row>
    <row r="745" spans="1:22" ht="14.25" hidden="1" customHeight="1">
      <c r="A745" s="383" t="s">
        <v>2136</v>
      </c>
      <c r="B745" s="370" t="e">
        <f ca="1">_xludf.IFNA(VLOOKUP(Bolts!$A745,'Kilter Holds'!$P$37:$S$662,4,0),0)</f>
        <v>#NAME?</v>
      </c>
      <c r="C745" s="384">
        <v>3</v>
      </c>
      <c r="D745" s="373">
        <v>0</v>
      </c>
      <c r="E745" s="374">
        <v>0</v>
      </c>
      <c r="F745" s="374">
        <v>0</v>
      </c>
      <c r="G745" s="374">
        <v>0</v>
      </c>
      <c r="H745" s="374">
        <v>0</v>
      </c>
      <c r="I745" s="374">
        <v>0</v>
      </c>
      <c r="J745" s="374">
        <v>0</v>
      </c>
      <c r="K745" s="374">
        <f t="shared" ca="1" si="96"/>
        <v>0</v>
      </c>
      <c r="L745" s="374">
        <v>0</v>
      </c>
      <c r="M745" s="374">
        <v>0</v>
      </c>
      <c r="N745" s="374">
        <v>0</v>
      </c>
      <c r="O745" s="374">
        <v>0</v>
      </c>
      <c r="P745" s="374">
        <v>0</v>
      </c>
      <c r="Q745" s="373">
        <v>0</v>
      </c>
      <c r="R745" s="374">
        <v>0</v>
      </c>
      <c r="S745" s="375">
        <v>0</v>
      </c>
      <c r="T745" s="375">
        <v>0</v>
      </c>
      <c r="U745" s="375">
        <v>0</v>
      </c>
      <c r="V745" s="380" t="e">
        <f t="shared" ca="1" si="78"/>
        <v>#NAME?</v>
      </c>
    </row>
    <row r="746" spans="1:22" ht="14.25" hidden="1" customHeight="1">
      <c r="A746" s="383" t="s">
        <v>2137</v>
      </c>
      <c r="B746" s="370" t="e">
        <f ca="1">_xludf.IFNA(VLOOKUP(Bolts!$A746,'Kilter Holds'!$P$37:$S$662,4,0),0)</f>
        <v>#NAME?</v>
      </c>
      <c r="C746" s="384">
        <v>5</v>
      </c>
      <c r="D746" s="373">
        <v>0</v>
      </c>
      <c r="E746" s="374">
        <v>0</v>
      </c>
      <c r="F746" s="374">
        <v>0</v>
      </c>
      <c r="G746" s="374">
        <v>0</v>
      </c>
      <c r="H746" s="374">
        <v>0</v>
      </c>
      <c r="I746" s="374">
        <v>0</v>
      </c>
      <c r="J746" s="374">
        <f ca="1">IFERROR(5*B746,0)</f>
        <v>0</v>
      </c>
      <c r="K746" s="374">
        <v>0</v>
      </c>
      <c r="L746" s="374">
        <v>0</v>
      </c>
      <c r="M746" s="374">
        <v>0</v>
      </c>
      <c r="N746" s="374">
        <v>0</v>
      </c>
      <c r="O746" s="374">
        <v>0</v>
      </c>
      <c r="P746" s="374">
        <v>0</v>
      </c>
      <c r="Q746" s="373">
        <v>0</v>
      </c>
      <c r="R746" s="374">
        <v>0</v>
      </c>
      <c r="S746" s="375">
        <v>0</v>
      </c>
      <c r="T746" s="375">
        <v>0</v>
      </c>
      <c r="U746" s="375">
        <v>0</v>
      </c>
      <c r="V746" s="380" t="e">
        <f t="shared" ca="1" si="78"/>
        <v>#NAME?</v>
      </c>
    </row>
    <row r="747" spans="1:22" ht="14.25" hidden="1" customHeight="1">
      <c r="A747" s="383" t="s">
        <v>2138</v>
      </c>
      <c r="B747" s="370" t="e">
        <f ca="1">_xludf.IFNA(VLOOKUP(Bolts!$A747,'Kilter Holds'!$P$37:$S$662,4,0),0)</f>
        <v>#NAME?</v>
      </c>
      <c r="C747" s="384">
        <v>3</v>
      </c>
      <c r="D747" s="373">
        <v>0</v>
      </c>
      <c r="E747" s="374">
        <v>0</v>
      </c>
      <c r="F747" s="374">
        <v>0</v>
      </c>
      <c r="G747" s="374">
        <v>0</v>
      </c>
      <c r="H747" s="374">
        <v>0</v>
      </c>
      <c r="I747" s="374">
        <v>0</v>
      </c>
      <c r="J747" s="374">
        <f ca="1">IFERROR(3*B747,0)</f>
        <v>0</v>
      </c>
      <c r="K747" s="374">
        <v>0</v>
      </c>
      <c r="L747" s="374">
        <v>0</v>
      </c>
      <c r="M747" s="374">
        <v>0</v>
      </c>
      <c r="N747" s="374">
        <v>0</v>
      </c>
      <c r="O747" s="374">
        <v>0</v>
      </c>
      <c r="P747" s="374">
        <v>0</v>
      </c>
      <c r="Q747" s="373">
        <v>0</v>
      </c>
      <c r="R747" s="374">
        <v>0</v>
      </c>
      <c r="S747" s="375">
        <v>0</v>
      </c>
      <c r="T747" s="375">
        <v>0</v>
      </c>
      <c r="U747" s="375">
        <v>0</v>
      </c>
      <c r="V747" s="380" t="e">
        <f t="shared" ca="1" si="78"/>
        <v>#NAME?</v>
      </c>
    </row>
    <row r="748" spans="1:22" ht="14.25" hidden="1" customHeight="1">
      <c r="A748" s="383" t="s">
        <v>2139</v>
      </c>
      <c r="B748" s="370" t="e">
        <f ca="1">_xludf.IFNA(VLOOKUP(Bolts!$A748,'Kilter Holds'!$P$37:$S$662,4,0),0)</f>
        <v>#NAME?</v>
      </c>
      <c r="C748" s="384">
        <v>5</v>
      </c>
      <c r="D748" s="373">
        <v>0</v>
      </c>
      <c r="E748" s="374">
        <v>0</v>
      </c>
      <c r="F748" s="374">
        <v>0</v>
      </c>
      <c r="G748" s="374">
        <v>0</v>
      </c>
      <c r="H748" s="374">
        <v>0</v>
      </c>
      <c r="I748" s="374">
        <f t="shared" ref="I748:I749" ca="1" si="97">IFERROR(5*B748,0)</f>
        <v>0</v>
      </c>
      <c r="J748" s="374">
        <v>0</v>
      </c>
      <c r="K748" s="374">
        <v>0</v>
      </c>
      <c r="L748" s="374">
        <v>0</v>
      </c>
      <c r="M748" s="374">
        <v>0</v>
      </c>
      <c r="N748" s="374">
        <v>0</v>
      </c>
      <c r="O748" s="374">
        <v>0</v>
      </c>
      <c r="P748" s="374">
        <v>0</v>
      </c>
      <c r="Q748" s="373">
        <v>0</v>
      </c>
      <c r="R748" s="374">
        <v>0</v>
      </c>
      <c r="S748" s="375">
        <v>0</v>
      </c>
      <c r="T748" s="375">
        <v>0</v>
      </c>
      <c r="U748" s="375">
        <v>0</v>
      </c>
      <c r="V748" s="380" t="e">
        <f t="shared" ca="1" si="78"/>
        <v>#NAME?</v>
      </c>
    </row>
    <row r="749" spans="1:22" ht="14.25" hidden="1" customHeight="1">
      <c r="A749" s="383" t="s">
        <v>2140</v>
      </c>
      <c r="B749" s="370" t="e">
        <f ca="1">_xludf.IFNA(VLOOKUP(Bolts!$A749,'Kilter Holds'!$P$37:$S$662,4,0),0)</f>
        <v>#NAME?</v>
      </c>
      <c r="C749" s="384">
        <v>5</v>
      </c>
      <c r="D749" s="373">
        <v>0</v>
      </c>
      <c r="E749" s="374">
        <v>0</v>
      </c>
      <c r="F749" s="374">
        <v>0</v>
      </c>
      <c r="G749" s="374">
        <v>0</v>
      </c>
      <c r="H749" s="374">
        <v>0</v>
      </c>
      <c r="I749" s="374">
        <f t="shared" ca="1" si="97"/>
        <v>0</v>
      </c>
      <c r="J749" s="374">
        <v>0</v>
      </c>
      <c r="K749" s="374">
        <v>0</v>
      </c>
      <c r="L749" s="374">
        <v>0</v>
      </c>
      <c r="M749" s="374">
        <v>0</v>
      </c>
      <c r="N749" s="374">
        <v>0</v>
      </c>
      <c r="O749" s="374">
        <v>0</v>
      </c>
      <c r="P749" s="374">
        <v>0</v>
      </c>
      <c r="Q749" s="373">
        <v>0</v>
      </c>
      <c r="R749" s="374">
        <v>0</v>
      </c>
      <c r="S749" s="375">
        <v>0</v>
      </c>
      <c r="T749" s="375">
        <v>0</v>
      </c>
      <c r="U749" s="375">
        <v>0</v>
      </c>
      <c r="V749" s="380" t="e">
        <f t="shared" ca="1" si="78"/>
        <v>#NAME?</v>
      </c>
    </row>
    <row r="750" spans="1:22" ht="14.25" hidden="1" customHeight="1">
      <c r="A750" s="383" t="s">
        <v>2141</v>
      </c>
      <c r="B750" s="370" t="e">
        <f ca="1">_xludf.IFNA(VLOOKUP(Bolts!$A750,'Kilter Holds'!$P$37:$S$662,4,0),0)</f>
        <v>#NAME?</v>
      </c>
      <c r="C750" s="384">
        <v>4</v>
      </c>
      <c r="D750" s="373">
        <v>0</v>
      </c>
      <c r="E750" s="374">
        <v>0</v>
      </c>
      <c r="F750" s="374">
        <v>0</v>
      </c>
      <c r="G750" s="374">
        <v>0</v>
      </c>
      <c r="H750" s="374">
        <v>0</v>
      </c>
      <c r="I750" s="374">
        <v>0</v>
      </c>
      <c r="J750" s="374">
        <v>0</v>
      </c>
      <c r="K750" s="374">
        <v>0</v>
      </c>
      <c r="L750" s="374">
        <v>0</v>
      </c>
      <c r="M750" s="374">
        <v>0</v>
      </c>
      <c r="N750" s="374">
        <v>0</v>
      </c>
      <c r="O750" s="374">
        <v>0</v>
      </c>
      <c r="P750" s="374">
        <v>0</v>
      </c>
      <c r="Q750" s="373">
        <v>0</v>
      </c>
      <c r="R750" s="374">
        <v>0</v>
      </c>
      <c r="S750" s="375">
        <f ca="1">IFERROR(16*B749,0)</f>
        <v>0</v>
      </c>
      <c r="T750" s="375">
        <v>0</v>
      </c>
      <c r="U750" s="375">
        <v>0</v>
      </c>
      <c r="V750" s="380" t="e">
        <f t="shared" ca="1" si="78"/>
        <v>#NAME?</v>
      </c>
    </row>
    <row r="751" spans="1:22" ht="14.25" hidden="1" customHeight="1">
      <c r="A751" s="383" t="s">
        <v>2142</v>
      </c>
      <c r="B751" s="370" t="e">
        <f ca="1">_xludf.IFNA(VLOOKUP(Bolts!$A751,'Kilter Holds'!$P$37:$S$662,4,0),0)</f>
        <v>#NAME?</v>
      </c>
      <c r="C751" s="384">
        <v>3</v>
      </c>
      <c r="D751" s="373">
        <v>0</v>
      </c>
      <c r="E751" s="374">
        <v>0</v>
      </c>
      <c r="F751" s="374">
        <v>0</v>
      </c>
      <c r="G751" s="374">
        <v>0</v>
      </c>
      <c r="H751" s="374">
        <v>0</v>
      </c>
      <c r="I751" s="374">
        <v>0</v>
      </c>
      <c r="J751" s="374">
        <v>0</v>
      </c>
      <c r="K751" s="374">
        <v>0</v>
      </c>
      <c r="L751" s="374">
        <v>0</v>
      </c>
      <c r="M751" s="374">
        <v>0</v>
      </c>
      <c r="N751" s="374">
        <v>0</v>
      </c>
      <c r="O751" s="374">
        <v>0</v>
      </c>
      <c r="P751" s="374">
        <v>0</v>
      </c>
      <c r="Q751" s="373">
        <v>0</v>
      </c>
      <c r="R751" s="374">
        <v>0</v>
      </c>
      <c r="S751" s="375">
        <f t="shared" ref="S751:S752" ca="1" si="98">IFERROR(12*B750,0)</f>
        <v>0</v>
      </c>
      <c r="T751" s="375">
        <v>0</v>
      </c>
      <c r="U751" s="375">
        <v>0</v>
      </c>
      <c r="V751" s="380" t="e">
        <f t="shared" ca="1" si="78"/>
        <v>#NAME?</v>
      </c>
    </row>
    <row r="752" spans="1:22" ht="14.25" hidden="1" customHeight="1">
      <c r="A752" s="383" t="s">
        <v>2143</v>
      </c>
      <c r="B752" s="370" t="e">
        <f ca="1">_xludf.IFNA(VLOOKUP(Bolts!$A752,'Kilter Holds'!$P$37:$S$662,4,0),0)</f>
        <v>#NAME?</v>
      </c>
      <c r="C752" s="384">
        <v>3</v>
      </c>
      <c r="D752" s="373">
        <v>0</v>
      </c>
      <c r="E752" s="374">
        <v>0</v>
      </c>
      <c r="F752" s="374">
        <v>0</v>
      </c>
      <c r="G752" s="374">
        <v>0</v>
      </c>
      <c r="H752" s="374">
        <v>0</v>
      </c>
      <c r="I752" s="374">
        <v>0</v>
      </c>
      <c r="J752" s="374">
        <v>0</v>
      </c>
      <c r="K752" s="374">
        <v>0</v>
      </c>
      <c r="L752" s="374">
        <v>0</v>
      </c>
      <c r="M752" s="374">
        <v>0</v>
      </c>
      <c r="N752" s="374">
        <v>0</v>
      </c>
      <c r="O752" s="374">
        <v>0</v>
      </c>
      <c r="P752" s="374">
        <v>0</v>
      </c>
      <c r="Q752" s="373">
        <v>0</v>
      </c>
      <c r="R752" s="374">
        <v>0</v>
      </c>
      <c r="S752" s="375">
        <f t="shared" ca="1" si="98"/>
        <v>0</v>
      </c>
      <c r="T752" s="375">
        <v>0</v>
      </c>
      <c r="U752" s="375">
        <v>0</v>
      </c>
      <c r="V752" s="380" t="e">
        <f t="shared" ca="1" si="78"/>
        <v>#NAME?</v>
      </c>
    </row>
    <row r="753" spans="1:22" ht="14.25" hidden="1" customHeight="1">
      <c r="A753" s="383" t="s">
        <v>2144</v>
      </c>
      <c r="B753" s="370" t="e">
        <f ca="1">_xludf.IFNA(VLOOKUP(Bolts!$A753,'Kilter Holds'!$P$37:$S$662,4,0),0)</f>
        <v>#NAME?</v>
      </c>
      <c r="C753" s="384">
        <v>10</v>
      </c>
      <c r="D753" s="373">
        <v>0</v>
      </c>
      <c r="E753" s="374">
        <v>0</v>
      </c>
      <c r="F753" s="374">
        <v>0</v>
      </c>
      <c r="G753" s="374">
        <v>0</v>
      </c>
      <c r="H753" s="374">
        <v>0</v>
      </c>
      <c r="I753" s="374">
        <v>0</v>
      </c>
      <c r="J753" s="374">
        <v>0</v>
      </c>
      <c r="K753" s="374">
        <v>0</v>
      </c>
      <c r="L753" s="374">
        <v>0</v>
      </c>
      <c r="M753" s="374">
        <v>0</v>
      </c>
      <c r="N753" s="374">
        <v>0</v>
      </c>
      <c r="O753" s="374">
        <v>0</v>
      </c>
      <c r="P753" s="374">
        <v>0</v>
      </c>
      <c r="Q753" s="373">
        <f ca="1">IFERROR(30*B753,0)</f>
        <v>0</v>
      </c>
      <c r="R753" s="374">
        <v>0</v>
      </c>
      <c r="S753" s="375">
        <v>0</v>
      </c>
      <c r="T753" s="375">
        <v>0</v>
      </c>
      <c r="U753" s="375">
        <v>0</v>
      </c>
      <c r="V753" s="380" t="e">
        <f t="shared" ca="1" si="78"/>
        <v>#NAME?</v>
      </c>
    </row>
    <row r="754" spans="1:22" ht="14.25" hidden="1" customHeight="1">
      <c r="A754" s="383" t="s">
        <v>2145</v>
      </c>
      <c r="B754" s="370" t="e">
        <f ca="1">_xludf.IFNA(VLOOKUP(Bolts!$A754,'Kilter Holds'!$P$37:$S$662,4,0),0)</f>
        <v>#NAME?</v>
      </c>
      <c r="C754" s="384">
        <v>3</v>
      </c>
      <c r="D754" s="373">
        <v>0</v>
      </c>
      <c r="E754" s="374">
        <v>0</v>
      </c>
      <c r="F754" s="374">
        <v>0</v>
      </c>
      <c r="G754" s="374">
        <v>0</v>
      </c>
      <c r="H754" s="374">
        <v>0</v>
      </c>
      <c r="I754" s="374">
        <v>0</v>
      </c>
      <c r="J754" s="374">
        <f ca="1">IFERROR(3*B754,0)</f>
        <v>0</v>
      </c>
      <c r="K754" s="374">
        <v>0</v>
      </c>
      <c r="L754" s="374">
        <v>0</v>
      </c>
      <c r="M754" s="374">
        <v>0</v>
      </c>
      <c r="N754" s="374">
        <v>0</v>
      </c>
      <c r="O754" s="374">
        <v>0</v>
      </c>
      <c r="P754" s="374">
        <v>0</v>
      </c>
      <c r="Q754" s="373">
        <v>0</v>
      </c>
      <c r="R754" s="374">
        <v>0</v>
      </c>
      <c r="S754" s="375">
        <v>0</v>
      </c>
      <c r="T754" s="375">
        <v>0</v>
      </c>
      <c r="U754" s="375">
        <v>0</v>
      </c>
      <c r="V754" s="380" t="e">
        <f t="shared" ca="1" si="78"/>
        <v>#NAME?</v>
      </c>
    </row>
    <row r="755" spans="1:22" ht="14.25" hidden="1" customHeight="1">
      <c r="A755" s="383" t="s">
        <v>2146</v>
      </c>
      <c r="B755" s="370" t="e">
        <f ca="1">_xludf.IFNA(VLOOKUP(Bolts!$A755,'Kilter Holds'!$P$37:$S$662,4,0),0)</f>
        <v>#NAME?</v>
      </c>
      <c r="C755" s="384">
        <v>4</v>
      </c>
      <c r="D755" s="373">
        <v>0</v>
      </c>
      <c r="E755" s="374">
        <v>0</v>
      </c>
      <c r="F755" s="374">
        <v>0</v>
      </c>
      <c r="G755" s="374">
        <v>0</v>
      </c>
      <c r="H755" s="374">
        <v>0</v>
      </c>
      <c r="I755" s="374">
        <f ca="1">IFERROR(4*B755,0)</f>
        <v>0</v>
      </c>
      <c r="J755" s="374">
        <v>0</v>
      </c>
      <c r="K755" s="374">
        <v>0</v>
      </c>
      <c r="L755" s="374">
        <v>0</v>
      </c>
      <c r="M755" s="374">
        <v>0</v>
      </c>
      <c r="N755" s="374">
        <v>0</v>
      </c>
      <c r="O755" s="374">
        <v>0</v>
      </c>
      <c r="P755" s="374">
        <v>0</v>
      </c>
      <c r="Q755" s="373">
        <v>0</v>
      </c>
      <c r="R755" s="374">
        <v>0</v>
      </c>
      <c r="S755" s="375">
        <v>0</v>
      </c>
      <c r="T755" s="375">
        <v>0</v>
      </c>
      <c r="U755" s="375">
        <v>0</v>
      </c>
      <c r="V755" s="380" t="e">
        <f t="shared" ca="1" si="78"/>
        <v>#NAME?</v>
      </c>
    </row>
    <row r="756" spans="1:22" ht="14.25" hidden="1" customHeight="1">
      <c r="A756" s="383" t="s">
        <v>2147</v>
      </c>
      <c r="B756" s="370" t="e">
        <f ca="1">_xludf.IFNA(VLOOKUP(Bolts!$A756,'Kilter Holds'!$P$37:$S$662,4,0),0)</f>
        <v>#NAME?</v>
      </c>
      <c r="C756" s="384">
        <v>3</v>
      </c>
      <c r="D756" s="373">
        <v>0</v>
      </c>
      <c r="E756" s="374">
        <v>0</v>
      </c>
      <c r="F756" s="374">
        <v>0</v>
      </c>
      <c r="G756" s="374">
        <v>0</v>
      </c>
      <c r="H756" s="374">
        <v>0</v>
      </c>
      <c r="I756" s="374">
        <v>0</v>
      </c>
      <c r="J756" s="374">
        <v>0</v>
      </c>
      <c r="K756" s="374">
        <f ca="1">IFERROR(3*B756,0)</f>
        <v>0</v>
      </c>
      <c r="L756" s="374">
        <v>0</v>
      </c>
      <c r="M756" s="374">
        <v>0</v>
      </c>
      <c r="N756" s="374">
        <v>0</v>
      </c>
      <c r="O756" s="374">
        <v>0</v>
      </c>
      <c r="P756" s="374">
        <v>0</v>
      </c>
      <c r="Q756" s="373">
        <v>0</v>
      </c>
      <c r="R756" s="374">
        <v>0</v>
      </c>
      <c r="S756" s="375">
        <v>0</v>
      </c>
      <c r="T756" s="375">
        <v>0</v>
      </c>
      <c r="U756" s="375">
        <v>0</v>
      </c>
      <c r="V756" s="380" t="e">
        <f t="shared" ca="1" si="78"/>
        <v>#NAME?</v>
      </c>
    </row>
    <row r="757" spans="1:22" ht="14.25" hidden="1" customHeight="1">
      <c r="A757" s="383" t="s">
        <v>2148</v>
      </c>
      <c r="B757" s="370" t="e">
        <f ca="1">_xludf.IFNA(VLOOKUP(Bolts!$A757,'Kilter Holds'!$P$37:$S$662,4,0),0)</f>
        <v>#NAME?</v>
      </c>
      <c r="C757" s="384">
        <v>5</v>
      </c>
      <c r="D757" s="373">
        <v>0</v>
      </c>
      <c r="E757" s="374">
        <v>0</v>
      </c>
      <c r="F757" s="374">
        <v>0</v>
      </c>
      <c r="G757" s="374">
        <v>0</v>
      </c>
      <c r="H757" s="374">
        <v>0</v>
      </c>
      <c r="I757" s="374">
        <v>0</v>
      </c>
      <c r="J757" s="374">
        <f t="shared" ref="J757:J759" ca="1" si="99">IFERROR(5*B757,0)</f>
        <v>0</v>
      </c>
      <c r="K757" s="374">
        <v>0</v>
      </c>
      <c r="L757" s="374">
        <v>0</v>
      </c>
      <c r="M757" s="374">
        <v>0</v>
      </c>
      <c r="N757" s="374">
        <v>0</v>
      </c>
      <c r="O757" s="374">
        <v>0</v>
      </c>
      <c r="P757" s="374">
        <v>0</v>
      </c>
      <c r="Q757" s="373">
        <v>0</v>
      </c>
      <c r="R757" s="374">
        <v>0</v>
      </c>
      <c r="S757" s="375">
        <v>0</v>
      </c>
      <c r="T757" s="375">
        <v>0</v>
      </c>
      <c r="U757" s="375">
        <v>0</v>
      </c>
      <c r="V757" s="380" t="e">
        <f t="shared" ca="1" si="78"/>
        <v>#NAME?</v>
      </c>
    </row>
    <row r="758" spans="1:22" ht="14.25" hidden="1" customHeight="1">
      <c r="A758" s="383" t="s">
        <v>2149</v>
      </c>
      <c r="B758" s="370" t="e">
        <f ca="1">_xludf.IFNA(VLOOKUP(Bolts!$A758,'Kilter Holds'!$P$37:$S$662,4,0),0)</f>
        <v>#NAME?</v>
      </c>
      <c r="C758" s="384">
        <v>5</v>
      </c>
      <c r="D758" s="373">
        <v>0</v>
      </c>
      <c r="E758" s="374">
        <v>0</v>
      </c>
      <c r="F758" s="374">
        <v>0</v>
      </c>
      <c r="G758" s="374">
        <v>0</v>
      </c>
      <c r="H758" s="374">
        <v>0</v>
      </c>
      <c r="I758" s="374">
        <v>0</v>
      </c>
      <c r="J758" s="374">
        <f t="shared" ca="1" si="99"/>
        <v>0</v>
      </c>
      <c r="K758" s="374">
        <v>0</v>
      </c>
      <c r="L758" s="374">
        <v>0</v>
      </c>
      <c r="M758" s="374">
        <v>0</v>
      </c>
      <c r="N758" s="374">
        <v>0</v>
      </c>
      <c r="O758" s="374">
        <v>0</v>
      </c>
      <c r="P758" s="374">
        <v>0</v>
      </c>
      <c r="Q758" s="373">
        <v>0</v>
      </c>
      <c r="R758" s="374">
        <v>0</v>
      </c>
      <c r="S758" s="375">
        <v>0</v>
      </c>
      <c r="T758" s="375">
        <v>0</v>
      </c>
      <c r="U758" s="375">
        <v>0</v>
      </c>
      <c r="V758" s="380" t="e">
        <f t="shared" ca="1" si="78"/>
        <v>#NAME?</v>
      </c>
    </row>
    <row r="759" spans="1:22" ht="14.25" hidden="1" customHeight="1">
      <c r="A759" s="383" t="s">
        <v>2150</v>
      </c>
      <c r="B759" s="370" t="e">
        <f ca="1">_xludf.IFNA(VLOOKUP(Bolts!$A759,'Kilter Holds'!$P$37:$S$662,4,0),0)</f>
        <v>#NAME?</v>
      </c>
      <c r="C759" s="384">
        <v>5</v>
      </c>
      <c r="D759" s="373">
        <v>0</v>
      </c>
      <c r="E759" s="374">
        <v>0</v>
      </c>
      <c r="F759" s="374">
        <v>0</v>
      </c>
      <c r="G759" s="374">
        <v>0</v>
      </c>
      <c r="H759" s="374">
        <v>0</v>
      </c>
      <c r="I759" s="374">
        <v>0</v>
      </c>
      <c r="J759" s="374">
        <f t="shared" ca="1" si="99"/>
        <v>0</v>
      </c>
      <c r="K759" s="374">
        <v>0</v>
      </c>
      <c r="L759" s="374">
        <v>0</v>
      </c>
      <c r="M759" s="374">
        <v>0</v>
      </c>
      <c r="N759" s="374">
        <v>0</v>
      </c>
      <c r="O759" s="374">
        <v>0</v>
      </c>
      <c r="P759" s="374">
        <v>0</v>
      </c>
      <c r="Q759" s="373">
        <v>0</v>
      </c>
      <c r="R759" s="374">
        <v>0</v>
      </c>
      <c r="S759" s="375">
        <v>0</v>
      </c>
      <c r="T759" s="375">
        <v>0</v>
      </c>
      <c r="U759" s="375">
        <v>0</v>
      </c>
      <c r="V759" s="380" t="e">
        <f t="shared" ca="1" si="78"/>
        <v>#NAME?</v>
      </c>
    </row>
    <row r="760" spans="1:22" ht="14.25" hidden="1" customHeight="1">
      <c r="A760" s="383" t="s">
        <v>2151</v>
      </c>
      <c r="B760" s="370" t="e">
        <f ca="1">_xludf.IFNA(VLOOKUP(Bolts!$A760,'Kilter Holds'!$P$37:$S$662,4,0),0)</f>
        <v>#NAME?</v>
      </c>
      <c r="C760" s="384">
        <v>4</v>
      </c>
      <c r="D760" s="373">
        <v>0</v>
      </c>
      <c r="E760" s="374">
        <v>0</v>
      </c>
      <c r="F760" s="374">
        <v>0</v>
      </c>
      <c r="G760" s="374">
        <v>0</v>
      </c>
      <c r="H760" s="374">
        <v>0</v>
      </c>
      <c r="I760" s="374">
        <v>0</v>
      </c>
      <c r="J760" s="374">
        <f t="shared" ref="J760:J762" ca="1" si="100">IFERROR(4*B760,0)</f>
        <v>0</v>
      </c>
      <c r="K760" s="374">
        <v>0</v>
      </c>
      <c r="L760" s="374">
        <v>0</v>
      </c>
      <c r="M760" s="374">
        <v>0</v>
      </c>
      <c r="N760" s="374">
        <v>0</v>
      </c>
      <c r="O760" s="374">
        <v>0</v>
      </c>
      <c r="P760" s="374">
        <v>0</v>
      </c>
      <c r="Q760" s="373">
        <v>0</v>
      </c>
      <c r="R760" s="374">
        <v>0</v>
      </c>
      <c r="S760" s="375">
        <v>0</v>
      </c>
      <c r="T760" s="375">
        <v>0</v>
      </c>
      <c r="U760" s="375">
        <v>0</v>
      </c>
      <c r="V760" s="380" t="e">
        <f t="shared" ca="1" si="78"/>
        <v>#NAME?</v>
      </c>
    </row>
    <row r="761" spans="1:22" ht="14.25" hidden="1" customHeight="1">
      <c r="A761" s="383" t="s">
        <v>2152</v>
      </c>
      <c r="B761" s="370" t="e">
        <f ca="1">_xludf.IFNA(VLOOKUP(Bolts!$A761,'Kilter Holds'!$P$37:$S$662,4,0),0)</f>
        <v>#NAME?</v>
      </c>
      <c r="C761" s="384">
        <v>4</v>
      </c>
      <c r="D761" s="373">
        <v>0</v>
      </c>
      <c r="E761" s="374">
        <v>0</v>
      </c>
      <c r="F761" s="374">
        <v>0</v>
      </c>
      <c r="G761" s="374">
        <v>0</v>
      </c>
      <c r="H761" s="374">
        <v>0</v>
      </c>
      <c r="I761" s="374">
        <v>0</v>
      </c>
      <c r="J761" s="374">
        <f t="shared" ca="1" si="100"/>
        <v>0</v>
      </c>
      <c r="K761" s="374">
        <v>0</v>
      </c>
      <c r="L761" s="374">
        <v>0</v>
      </c>
      <c r="M761" s="374">
        <v>0</v>
      </c>
      <c r="N761" s="374">
        <v>0</v>
      </c>
      <c r="O761" s="374">
        <v>0</v>
      </c>
      <c r="P761" s="374">
        <v>0</v>
      </c>
      <c r="Q761" s="373">
        <v>0</v>
      </c>
      <c r="R761" s="374">
        <v>0</v>
      </c>
      <c r="S761" s="375">
        <v>0</v>
      </c>
      <c r="T761" s="375">
        <v>0</v>
      </c>
      <c r="U761" s="375">
        <v>0</v>
      </c>
      <c r="V761" s="380" t="e">
        <f t="shared" ca="1" si="78"/>
        <v>#NAME?</v>
      </c>
    </row>
    <row r="762" spans="1:22" ht="14.25" hidden="1" customHeight="1">
      <c r="A762" s="383" t="s">
        <v>2153</v>
      </c>
      <c r="B762" s="370" t="e">
        <f ca="1">_xludf.IFNA(VLOOKUP(Bolts!$A762,'Kilter Holds'!$P$37:$S$662,4,0),0)</f>
        <v>#NAME?</v>
      </c>
      <c r="C762" s="384">
        <v>4</v>
      </c>
      <c r="D762" s="373">
        <v>0</v>
      </c>
      <c r="E762" s="374">
        <v>0</v>
      </c>
      <c r="F762" s="374">
        <v>0</v>
      </c>
      <c r="G762" s="374">
        <v>0</v>
      </c>
      <c r="H762" s="374">
        <v>0</v>
      </c>
      <c r="I762" s="374">
        <v>0</v>
      </c>
      <c r="J762" s="374">
        <f t="shared" ca="1" si="100"/>
        <v>0</v>
      </c>
      <c r="K762" s="374">
        <v>0</v>
      </c>
      <c r="L762" s="374">
        <v>0</v>
      </c>
      <c r="M762" s="374">
        <v>0</v>
      </c>
      <c r="N762" s="374">
        <v>0</v>
      </c>
      <c r="O762" s="374">
        <v>0</v>
      </c>
      <c r="P762" s="374">
        <v>0</v>
      </c>
      <c r="Q762" s="373">
        <v>0</v>
      </c>
      <c r="R762" s="374">
        <v>0</v>
      </c>
      <c r="S762" s="375">
        <v>0</v>
      </c>
      <c r="T762" s="375">
        <v>0</v>
      </c>
      <c r="U762" s="375">
        <v>0</v>
      </c>
      <c r="V762" s="380" t="e">
        <f t="shared" ca="1" si="78"/>
        <v>#NAME?</v>
      </c>
    </row>
    <row r="763" spans="1:22" ht="14.25" hidden="1" customHeight="1">
      <c r="A763" s="383" t="s">
        <v>2154</v>
      </c>
      <c r="B763" s="370" t="e">
        <f ca="1">_xludf.IFNA(VLOOKUP(Bolts!$A763,'Kilter Holds'!$P$37:$S$662,4,0),0)</f>
        <v>#NAME?</v>
      </c>
      <c r="C763" s="384">
        <v>5</v>
      </c>
      <c r="D763" s="373">
        <v>0</v>
      </c>
      <c r="E763" s="374">
        <v>0</v>
      </c>
      <c r="F763" s="374">
        <v>0</v>
      </c>
      <c r="G763" s="374">
        <v>0</v>
      </c>
      <c r="H763" s="374">
        <v>0</v>
      </c>
      <c r="I763" s="374">
        <f t="shared" ref="I763:I771" ca="1" si="101">IFERROR(5*B763,0)</f>
        <v>0</v>
      </c>
      <c r="J763" s="374">
        <v>0</v>
      </c>
      <c r="K763" s="374">
        <v>0</v>
      </c>
      <c r="L763" s="374">
        <v>0</v>
      </c>
      <c r="M763" s="374">
        <v>0</v>
      </c>
      <c r="N763" s="374">
        <v>0</v>
      </c>
      <c r="O763" s="374">
        <v>0</v>
      </c>
      <c r="P763" s="374">
        <v>0</v>
      </c>
      <c r="Q763" s="373">
        <v>0</v>
      </c>
      <c r="R763" s="374">
        <v>0</v>
      </c>
      <c r="S763" s="375">
        <v>0</v>
      </c>
      <c r="T763" s="375">
        <v>0</v>
      </c>
      <c r="U763" s="375">
        <v>0</v>
      </c>
      <c r="V763" s="380" t="e">
        <f t="shared" ca="1" si="78"/>
        <v>#NAME?</v>
      </c>
    </row>
    <row r="764" spans="1:22" ht="14.25" hidden="1" customHeight="1">
      <c r="A764" s="383" t="s">
        <v>2155</v>
      </c>
      <c r="B764" s="370" t="e">
        <f ca="1">_xludf.IFNA(VLOOKUP(Bolts!$A764,'Kilter Holds'!$P$37:$S$662,4,0),0)</f>
        <v>#NAME?</v>
      </c>
      <c r="C764" s="384">
        <v>5</v>
      </c>
      <c r="D764" s="373">
        <v>0</v>
      </c>
      <c r="E764" s="374">
        <v>0</v>
      </c>
      <c r="F764" s="374">
        <v>0</v>
      </c>
      <c r="G764" s="374">
        <v>0</v>
      </c>
      <c r="H764" s="374">
        <v>0</v>
      </c>
      <c r="I764" s="374">
        <f t="shared" ca="1" si="101"/>
        <v>0</v>
      </c>
      <c r="J764" s="374">
        <v>0</v>
      </c>
      <c r="K764" s="374">
        <v>0</v>
      </c>
      <c r="L764" s="374">
        <v>0</v>
      </c>
      <c r="M764" s="374">
        <v>0</v>
      </c>
      <c r="N764" s="374">
        <v>0</v>
      </c>
      <c r="O764" s="374">
        <v>0</v>
      </c>
      <c r="P764" s="374">
        <v>0</v>
      </c>
      <c r="Q764" s="373">
        <v>0</v>
      </c>
      <c r="R764" s="374">
        <v>0</v>
      </c>
      <c r="S764" s="375">
        <v>0</v>
      </c>
      <c r="T764" s="375">
        <v>0</v>
      </c>
      <c r="U764" s="375">
        <v>0</v>
      </c>
      <c r="V764" s="380" t="e">
        <f t="shared" ca="1" si="78"/>
        <v>#NAME?</v>
      </c>
    </row>
    <row r="765" spans="1:22" ht="14.25" hidden="1" customHeight="1">
      <c r="A765" s="383" t="s">
        <v>2156</v>
      </c>
      <c r="B765" s="370" t="e">
        <f ca="1">_xludf.IFNA(VLOOKUP(Bolts!$A765,'Kilter Holds'!$P$37:$S$662,4,0),0)</f>
        <v>#NAME?</v>
      </c>
      <c r="C765" s="384">
        <v>5</v>
      </c>
      <c r="D765" s="373">
        <v>0</v>
      </c>
      <c r="E765" s="374">
        <v>0</v>
      </c>
      <c r="F765" s="374">
        <v>0</v>
      </c>
      <c r="G765" s="374">
        <v>0</v>
      </c>
      <c r="H765" s="374">
        <v>0</v>
      </c>
      <c r="I765" s="374">
        <f t="shared" ca="1" si="101"/>
        <v>0</v>
      </c>
      <c r="J765" s="374">
        <v>0</v>
      </c>
      <c r="K765" s="374">
        <v>0</v>
      </c>
      <c r="L765" s="374">
        <v>0</v>
      </c>
      <c r="M765" s="374">
        <v>0</v>
      </c>
      <c r="N765" s="374">
        <v>0</v>
      </c>
      <c r="O765" s="374">
        <v>0</v>
      </c>
      <c r="P765" s="374">
        <v>0</v>
      </c>
      <c r="Q765" s="373">
        <v>0</v>
      </c>
      <c r="R765" s="374">
        <v>0</v>
      </c>
      <c r="S765" s="375">
        <v>0</v>
      </c>
      <c r="T765" s="375">
        <v>0</v>
      </c>
      <c r="U765" s="375">
        <v>0</v>
      </c>
      <c r="V765" s="380" t="e">
        <f t="shared" ca="1" si="78"/>
        <v>#NAME?</v>
      </c>
    </row>
    <row r="766" spans="1:22" ht="14.25" hidden="1" customHeight="1">
      <c r="A766" s="383" t="s">
        <v>2157</v>
      </c>
      <c r="B766" s="370" t="e">
        <f ca="1">_xludf.IFNA(VLOOKUP(Bolts!$A766,'Kilter Holds'!$P$37:$S$662,4,0),0)</f>
        <v>#NAME?</v>
      </c>
      <c r="C766" s="384">
        <v>5</v>
      </c>
      <c r="D766" s="373">
        <v>0</v>
      </c>
      <c r="E766" s="374">
        <v>0</v>
      </c>
      <c r="F766" s="374">
        <v>0</v>
      </c>
      <c r="G766" s="374">
        <v>0</v>
      </c>
      <c r="H766" s="374">
        <v>0</v>
      </c>
      <c r="I766" s="374">
        <f t="shared" ca="1" si="101"/>
        <v>0</v>
      </c>
      <c r="J766" s="374">
        <v>0</v>
      </c>
      <c r="K766" s="374">
        <v>0</v>
      </c>
      <c r="L766" s="374">
        <v>0</v>
      </c>
      <c r="M766" s="374">
        <v>0</v>
      </c>
      <c r="N766" s="374">
        <v>0</v>
      </c>
      <c r="O766" s="374">
        <v>0</v>
      </c>
      <c r="P766" s="374">
        <v>0</v>
      </c>
      <c r="Q766" s="373">
        <v>0</v>
      </c>
      <c r="R766" s="374">
        <v>0</v>
      </c>
      <c r="S766" s="375">
        <v>0</v>
      </c>
      <c r="T766" s="375">
        <v>0</v>
      </c>
      <c r="U766" s="375">
        <v>0</v>
      </c>
      <c r="V766" s="380" t="e">
        <f t="shared" ca="1" si="78"/>
        <v>#NAME?</v>
      </c>
    </row>
    <row r="767" spans="1:22" ht="14.25" hidden="1" customHeight="1">
      <c r="A767" s="383" t="s">
        <v>2158</v>
      </c>
      <c r="B767" s="370" t="e">
        <f ca="1">_xludf.IFNA(VLOOKUP(Bolts!$A767,'Kilter Holds'!$P$37:$S$662,4,0),0)</f>
        <v>#NAME?</v>
      </c>
      <c r="C767" s="384">
        <v>5</v>
      </c>
      <c r="D767" s="373">
        <v>0</v>
      </c>
      <c r="E767" s="374">
        <v>0</v>
      </c>
      <c r="F767" s="374">
        <v>0</v>
      </c>
      <c r="G767" s="374">
        <v>0</v>
      </c>
      <c r="H767" s="374">
        <v>0</v>
      </c>
      <c r="I767" s="374">
        <f t="shared" ca="1" si="101"/>
        <v>0</v>
      </c>
      <c r="J767" s="374">
        <v>0</v>
      </c>
      <c r="K767" s="374">
        <v>0</v>
      </c>
      <c r="L767" s="374">
        <v>0</v>
      </c>
      <c r="M767" s="374">
        <v>0</v>
      </c>
      <c r="N767" s="374">
        <v>0</v>
      </c>
      <c r="O767" s="374">
        <v>0</v>
      </c>
      <c r="P767" s="374">
        <v>0</v>
      </c>
      <c r="Q767" s="373">
        <v>0</v>
      </c>
      <c r="R767" s="374">
        <v>0</v>
      </c>
      <c r="S767" s="375">
        <v>0</v>
      </c>
      <c r="T767" s="375">
        <v>0</v>
      </c>
      <c r="U767" s="375">
        <v>0</v>
      </c>
      <c r="V767" s="380" t="e">
        <f t="shared" ca="1" si="78"/>
        <v>#NAME?</v>
      </c>
    </row>
    <row r="768" spans="1:22" ht="14.25" hidden="1" customHeight="1">
      <c r="A768" s="383" t="s">
        <v>2159</v>
      </c>
      <c r="B768" s="370" t="e">
        <f ca="1">_xludf.IFNA(VLOOKUP(Bolts!$A768,'Kilter Holds'!$P$37:$S$662,4,0),0)</f>
        <v>#NAME?</v>
      </c>
      <c r="C768" s="384">
        <v>5</v>
      </c>
      <c r="D768" s="373">
        <v>0</v>
      </c>
      <c r="E768" s="374">
        <v>0</v>
      </c>
      <c r="F768" s="374">
        <v>0</v>
      </c>
      <c r="G768" s="374">
        <v>0</v>
      </c>
      <c r="H768" s="374">
        <v>0</v>
      </c>
      <c r="I768" s="374">
        <f t="shared" ca="1" si="101"/>
        <v>0</v>
      </c>
      <c r="J768" s="374">
        <v>0</v>
      </c>
      <c r="K768" s="374">
        <v>0</v>
      </c>
      <c r="L768" s="374">
        <v>0</v>
      </c>
      <c r="M768" s="374">
        <v>0</v>
      </c>
      <c r="N768" s="374">
        <v>0</v>
      </c>
      <c r="O768" s="374">
        <v>0</v>
      </c>
      <c r="P768" s="374">
        <v>0</v>
      </c>
      <c r="Q768" s="373">
        <v>0</v>
      </c>
      <c r="R768" s="374">
        <v>0</v>
      </c>
      <c r="S768" s="375">
        <v>0</v>
      </c>
      <c r="T768" s="375">
        <v>0</v>
      </c>
      <c r="U768" s="375">
        <v>0</v>
      </c>
      <c r="V768" s="380" t="e">
        <f t="shared" ca="1" si="78"/>
        <v>#NAME?</v>
      </c>
    </row>
    <row r="769" spans="1:22" ht="14.25" hidden="1" customHeight="1">
      <c r="A769" s="383" t="s">
        <v>2160</v>
      </c>
      <c r="B769" s="370" t="e">
        <f ca="1">_xludf.IFNA(VLOOKUP(Bolts!$A769,'Kilter Holds'!$P$37:$S$662,4,0),0)</f>
        <v>#NAME?</v>
      </c>
      <c r="C769" s="384">
        <v>5</v>
      </c>
      <c r="D769" s="373">
        <v>0</v>
      </c>
      <c r="E769" s="374">
        <v>0</v>
      </c>
      <c r="F769" s="374">
        <v>0</v>
      </c>
      <c r="G769" s="374">
        <v>0</v>
      </c>
      <c r="H769" s="374">
        <v>0</v>
      </c>
      <c r="I769" s="374">
        <f t="shared" ca="1" si="101"/>
        <v>0</v>
      </c>
      <c r="J769" s="374">
        <v>0</v>
      </c>
      <c r="K769" s="374">
        <v>0</v>
      </c>
      <c r="L769" s="374">
        <v>0</v>
      </c>
      <c r="M769" s="374">
        <v>0</v>
      </c>
      <c r="N769" s="374">
        <v>0</v>
      </c>
      <c r="O769" s="374">
        <v>0</v>
      </c>
      <c r="P769" s="374">
        <v>0</v>
      </c>
      <c r="Q769" s="373">
        <v>0</v>
      </c>
      <c r="R769" s="374">
        <v>0</v>
      </c>
      <c r="S769" s="375">
        <v>0</v>
      </c>
      <c r="T769" s="375">
        <v>0</v>
      </c>
      <c r="U769" s="375">
        <v>0</v>
      </c>
      <c r="V769" s="380" t="e">
        <f t="shared" ref="V769:V1023" ca="1" si="102">IF(B769&gt;0,"Added"," ")</f>
        <v>#NAME?</v>
      </c>
    </row>
    <row r="770" spans="1:22" ht="14.25" hidden="1" customHeight="1">
      <c r="A770" s="383" t="s">
        <v>2161</v>
      </c>
      <c r="B770" s="370" t="e">
        <f ca="1">_xludf.IFNA(VLOOKUP(Bolts!$A770,'Kilter Holds'!$P$37:$S$662,4,0),0)</f>
        <v>#NAME?</v>
      </c>
      <c r="C770" s="384">
        <v>5</v>
      </c>
      <c r="D770" s="373">
        <v>0</v>
      </c>
      <c r="E770" s="374">
        <v>0</v>
      </c>
      <c r="F770" s="374">
        <v>0</v>
      </c>
      <c r="G770" s="374">
        <v>0</v>
      </c>
      <c r="H770" s="374">
        <v>0</v>
      </c>
      <c r="I770" s="374">
        <f t="shared" ca="1" si="101"/>
        <v>0</v>
      </c>
      <c r="J770" s="374">
        <v>0</v>
      </c>
      <c r="K770" s="374">
        <v>0</v>
      </c>
      <c r="L770" s="374">
        <v>0</v>
      </c>
      <c r="M770" s="374">
        <v>0</v>
      </c>
      <c r="N770" s="374">
        <v>0</v>
      </c>
      <c r="O770" s="374">
        <v>0</v>
      </c>
      <c r="P770" s="374">
        <v>0</v>
      </c>
      <c r="Q770" s="373">
        <v>0</v>
      </c>
      <c r="R770" s="374">
        <v>0</v>
      </c>
      <c r="S770" s="375">
        <v>0</v>
      </c>
      <c r="T770" s="375">
        <v>0</v>
      </c>
      <c r="U770" s="375">
        <v>0</v>
      </c>
      <c r="V770" s="380" t="e">
        <f t="shared" ca="1" si="102"/>
        <v>#NAME?</v>
      </c>
    </row>
    <row r="771" spans="1:22" ht="14.25" hidden="1" customHeight="1">
      <c r="A771" s="383" t="s">
        <v>2162</v>
      </c>
      <c r="B771" s="370" t="e">
        <f ca="1">_xludf.IFNA(VLOOKUP(Bolts!$A771,'Kilter Holds'!$P$37:$S$662,4,0),0)</f>
        <v>#NAME?</v>
      </c>
      <c r="C771" s="384">
        <v>5</v>
      </c>
      <c r="D771" s="373">
        <v>0</v>
      </c>
      <c r="E771" s="374">
        <v>0</v>
      </c>
      <c r="F771" s="374">
        <v>0</v>
      </c>
      <c r="G771" s="374">
        <v>0</v>
      </c>
      <c r="H771" s="374">
        <v>0</v>
      </c>
      <c r="I771" s="374">
        <f t="shared" ca="1" si="101"/>
        <v>0</v>
      </c>
      <c r="J771" s="374">
        <v>0</v>
      </c>
      <c r="K771" s="374">
        <v>0</v>
      </c>
      <c r="L771" s="374">
        <v>0</v>
      </c>
      <c r="M771" s="374">
        <v>0</v>
      </c>
      <c r="N771" s="374">
        <v>0</v>
      </c>
      <c r="O771" s="374">
        <v>0</v>
      </c>
      <c r="P771" s="374">
        <v>0</v>
      </c>
      <c r="Q771" s="373">
        <v>0</v>
      </c>
      <c r="R771" s="374">
        <v>0</v>
      </c>
      <c r="S771" s="375">
        <v>0</v>
      </c>
      <c r="T771" s="375">
        <v>0</v>
      </c>
      <c r="U771" s="375">
        <v>0</v>
      </c>
      <c r="V771" s="380" t="e">
        <f t="shared" ca="1" si="102"/>
        <v>#NAME?</v>
      </c>
    </row>
    <row r="772" spans="1:22" ht="14.25" hidden="1" customHeight="1">
      <c r="A772" s="383" t="s">
        <v>2163</v>
      </c>
      <c r="B772" s="370" t="e">
        <f ca="1">_xludf.IFNA(VLOOKUP(Bolts!$A772,'Kilter Holds'!$P$37:$S$662,4,0),0)</f>
        <v>#NAME?</v>
      </c>
      <c r="C772" s="384">
        <v>5</v>
      </c>
      <c r="D772" s="373">
        <v>0</v>
      </c>
      <c r="E772" s="374">
        <v>0</v>
      </c>
      <c r="F772" s="374">
        <v>0</v>
      </c>
      <c r="G772" s="374">
        <v>0</v>
      </c>
      <c r="H772" s="374">
        <f t="shared" ref="H772:H773" ca="1" si="103">IFERROR(5*B772,0)</f>
        <v>0</v>
      </c>
      <c r="I772" s="374">
        <v>0</v>
      </c>
      <c r="J772" s="374">
        <v>0</v>
      </c>
      <c r="K772" s="374">
        <v>0</v>
      </c>
      <c r="L772" s="374">
        <v>0</v>
      </c>
      <c r="M772" s="374">
        <v>0</v>
      </c>
      <c r="N772" s="374">
        <v>0</v>
      </c>
      <c r="O772" s="374">
        <v>0</v>
      </c>
      <c r="P772" s="374">
        <v>0</v>
      </c>
      <c r="Q772" s="373">
        <v>0</v>
      </c>
      <c r="R772" s="374">
        <v>0</v>
      </c>
      <c r="S772" s="375">
        <v>0</v>
      </c>
      <c r="T772" s="375">
        <v>0</v>
      </c>
      <c r="U772" s="375">
        <v>0</v>
      </c>
      <c r="V772" s="380" t="e">
        <f t="shared" ca="1" si="102"/>
        <v>#NAME?</v>
      </c>
    </row>
    <row r="773" spans="1:22" ht="14.25" hidden="1" customHeight="1">
      <c r="A773" s="383" t="s">
        <v>2164</v>
      </c>
      <c r="B773" s="370" t="e">
        <f ca="1">_xludf.IFNA(VLOOKUP(Bolts!$A773,'Kilter Holds'!$P$37:$S$662,4,0),0)</f>
        <v>#NAME?</v>
      </c>
      <c r="C773" s="384">
        <v>5</v>
      </c>
      <c r="D773" s="373">
        <v>0</v>
      </c>
      <c r="E773" s="374">
        <v>0</v>
      </c>
      <c r="F773" s="374">
        <v>0</v>
      </c>
      <c r="G773" s="374">
        <v>0</v>
      </c>
      <c r="H773" s="374">
        <f t="shared" ca="1" si="103"/>
        <v>0</v>
      </c>
      <c r="I773" s="374">
        <v>0</v>
      </c>
      <c r="J773" s="374">
        <v>0</v>
      </c>
      <c r="K773" s="374">
        <v>0</v>
      </c>
      <c r="L773" s="374">
        <v>0</v>
      </c>
      <c r="M773" s="374">
        <v>0</v>
      </c>
      <c r="N773" s="374">
        <v>0</v>
      </c>
      <c r="O773" s="374">
        <v>0</v>
      </c>
      <c r="P773" s="374">
        <v>0</v>
      </c>
      <c r="Q773" s="373">
        <v>0</v>
      </c>
      <c r="R773" s="374">
        <v>0</v>
      </c>
      <c r="S773" s="375">
        <v>0</v>
      </c>
      <c r="T773" s="375">
        <v>0</v>
      </c>
      <c r="U773" s="375">
        <v>0</v>
      </c>
      <c r="V773" s="380" t="e">
        <f t="shared" ca="1" si="102"/>
        <v>#NAME?</v>
      </c>
    </row>
    <row r="774" spans="1:22" ht="14.25" hidden="1" customHeight="1">
      <c r="A774" s="383" t="s">
        <v>2165</v>
      </c>
      <c r="B774" s="370" t="e">
        <f ca="1">_xludf.IFNA(VLOOKUP(Bolts!$A774,'Kilter Holds'!$P$37:$S$662,4,0),0)</f>
        <v>#NAME?</v>
      </c>
      <c r="C774" s="384">
        <v>11</v>
      </c>
      <c r="D774" s="373">
        <v>0</v>
      </c>
      <c r="E774" s="374">
        <f ca="1">IFERROR(11*B774,0)</f>
        <v>0</v>
      </c>
      <c r="F774" s="374">
        <v>0</v>
      </c>
      <c r="G774" s="374">
        <v>0</v>
      </c>
      <c r="H774" s="374">
        <v>0</v>
      </c>
      <c r="I774" s="374">
        <v>0</v>
      </c>
      <c r="J774" s="374">
        <v>0</v>
      </c>
      <c r="K774" s="374">
        <v>0</v>
      </c>
      <c r="L774" s="374">
        <v>0</v>
      </c>
      <c r="M774" s="374">
        <v>0</v>
      </c>
      <c r="N774" s="374">
        <v>0</v>
      </c>
      <c r="O774" s="374">
        <v>0</v>
      </c>
      <c r="P774" s="374">
        <v>0</v>
      </c>
      <c r="Q774" s="373">
        <v>0</v>
      </c>
      <c r="R774" s="374">
        <v>0</v>
      </c>
      <c r="S774" s="375">
        <v>0</v>
      </c>
      <c r="T774" s="375">
        <v>0</v>
      </c>
      <c r="U774" s="375">
        <v>0</v>
      </c>
      <c r="V774" s="380" t="e">
        <f t="shared" ca="1" si="102"/>
        <v>#NAME?</v>
      </c>
    </row>
    <row r="775" spans="1:22" ht="14.25" hidden="1" customHeight="1">
      <c r="A775" s="383" t="s">
        <v>2166</v>
      </c>
      <c r="B775" s="370" t="e">
        <f ca="1">_xludf.IFNA(VLOOKUP(Bolts!$A775,'Kilter Holds'!$P$37:$S$662,4,0),0)</f>
        <v>#NAME?</v>
      </c>
      <c r="C775" s="384">
        <v>10</v>
      </c>
      <c r="D775" s="373">
        <v>0</v>
      </c>
      <c r="E775" s="374">
        <f t="shared" ref="E775:E778" ca="1" si="104">IFERROR(10*B775,0)</f>
        <v>0</v>
      </c>
      <c r="F775" s="374">
        <v>0</v>
      </c>
      <c r="G775" s="374">
        <v>0</v>
      </c>
      <c r="H775" s="374">
        <v>0</v>
      </c>
      <c r="I775" s="374">
        <v>0</v>
      </c>
      <c r="J775" s="374">
        <v>0</v>
      </c>
      <c r="K775" s="374">
        <v>0</v>
      </c>
      <c r="L775" s="374">
        <v>0</v>
      </c>
      <c r="M775" s="374">
        <v>0</v>
      </c>
      <c r="N775" s="374">
        <v>0</v>
      </c>
      <c r="O775" s="374">
        <v>0</v>
      </c>
      <c r="P775" s="374">
        <v>0</v>
      </c>
      <c r="Q775" s="373">
        <v>0</v>
      </c>
      <c r="R775" s="374">
        <v>0</v>
      </c>
      <c r="S775" s="375">
        <v>0</v>
      </c>
      <c r="T775" s="375">
        <v>0</v>
      </c>
      <c r="U775" s="375">
        <v>0</v>
      </c>
      <c r="V775" s="380" t="e">
        <f t="shared" ca="1" si="102"/>
        <v>#NAME?</v>
      </c>
    </row>
    <row r="776" spans="1:22" ht="14.25" hidden="1" customHeight="1">
      <c r="A776" s="383" t="s">
        <v>2167</v>
      </c>
      <c r="B776" s="370" t="e">
        <f ca="1">_xludf.IFNA(VLOOKUP(Bolts!$A776,'Kilter Holds'!$P$37:$S$662,4,0),0)</f>
        <v>#NAME?</v>
      </c>
      <c r="C776" s="384">
        <v>10</v>
      </c>
      <c r="D776" s="373">
        <v>0</v>
      </c>
      <c r="E776" s="374">
        <f t="shared" ca="1" si="104"/>
        <v>0</v>
      </c>
      <c r="F776" s="374">
        <v>0</v>
      </c>
      <c r="G776" s="374">
        <v>0</v>
      </c>
      <c r="H776" s="374">
        <v>0</v>
      </c>
      <c r="I776" s="374">
        <v>0</v>
      </c>
      <c r="J776" s="374">
        <v>0</v>
      </c>
      <c r="K776" s="374">
        <v>0</v>
      </c>
      <c r="L776" s="374">
        <v>0</v>
      </c>
      <c r="M776" s="374">
        <v>0</v>
      </c>
      <c r="N776" s="374">
        <v>0</v>
      </c>
      <c r="O776" s="374">
        <v>0</v>
      </c>
      <c r="P776" s="374">
        <v>0</v>
      </c>
      <c r="Q776" s="373">
        <v>0</v>
      </c>
      <c r="R776" s="374">
        <v>0</v>
      </c>
      <c r="S776" s="375">
        <v>0</v>
      </c>
      <c r="T776" s="375">
        <v>0</v>
      </c>
      <c r="U776" s="375">
        <v>0</v>
      </c>
      <c r="V776" s="380" t="e">
        <f t="shared" ca="1" si="102"/>
        <v>#NAME?</v>
      </c>
    </row>
    <row r="777" spans="1:22" ht="14.25" hidden="1" customHeight="1">
      <c r="A777" s="383" t="s">
        <v>2168</v>
      </c>
      <c r="B777" s="370" t="e">
        <f ca="1">_xludf.IFNA(VLOOKUP(Bolts!$A777,'Kilter Holds'!$P$37:$S$662,4,0),0)</f>
        <v>#NAME?</v>
      </c>
      <c r="C777" s="384">
        <v>10</v>
      </c>
      <c r="D777" s="373">
        <v>0</v>
      </c>
      <c r="E777" s="374">
        <f t="shared" ca="1" si="104"/>
        <v>0</v>
      </c>
      <c r="F777" s="374">
        <v>0</v>
      </c>
      <c r="G777" s="374">
        <v>0</v>
      </c>
      <c r="H777" s="374">
        <v>0</v>
      </c>
      <c r="I777" s="374">
        <v>0</v>
      </c>
      <c r="J777" s="374">
        <v>0</v>
      </c>
      <c r="K777" s="374">
        <v>0</v>
      </c>
      <c r="L777" s="374">
        <v>0</v>
      </c>
      <c r="M777" s="374">
        <v>0</v>
      </c>
      <c r="N777" s="374">
        <v>0</v>
      </c>
      <c r="O777" s="374">
        <v>0</v>
      </c>
      <c r="P777" s="374">
        <v>0</v>
      </c>
      <c r="Q777" s="373">
        <v>0</v>
      </c>
      <c r="R777" s="374">
        <v>0</v>
      </c>
      <c r="S777" s="375">
        <v>0</v>
      </c>
      <c r="T777" s="375">
        <v>0</v>
      </c>
      <c r="U777" s="375">
        <v>0</v>
      </c>
      <c r="V777" s="380" t="e">
        <f t="shared" ca="1" si="102"/>
        <v>#NAME?</v>
      </c>
    </row>
    <row r="778" spans="1:22" ht="14.25" hidden="1" customHeight="1">
      <c r="A778" s="383" t="s">
        <v>2169</v>
      </c>
      <c r="B778" s="370" t="e">
        <f ca="1">_xludf.IFNA(VLOOKUP(Bolts!$A778,'Kilter Holds'!$P$37:$S$662,4,0),0)</f>
        <v>#NAME?</v>
      </c>
      <c r="C778" s="384">
        <v>10</v>
      </c>
      <c r="D778" s="373">
        <v>0</v>
      </c>
      <c r="E778" s="374">
        <f t="shared" ca="1" si="104"/>
        <v>0</v>
      </c>
      <c r="F778" s="374">
        <v>0</v>
      </c>
      <c r="G778" s="374">
        <v>0</v>
      </c>
      <c r="H778" s="374">
        <v>0</v>
      </c>
      <c r="I778" s="374">
        <v>0</v>
      </c>
      <c r="J778" s="374">
        <v>0</v>
      </c>
      <c r="K778" s="374">
        <v>0</v>
      </c>
      <c r="L778" s="374">
        <v>0</v>
      </c>
      <c r="M778" s="374">
        <v>0</v>
      </c>
      <c r="N778" s="374">
        <v>0</v>
      </c>
      <c r="O778" s="374">
        <v>0</v>
      </c>
      <c r="P778" s="374">
        <v>0</v>
      </c>
      <c r="Q778" s="373">
        <v>0</v>
      </c>
      <c r="R778" s="374">
        <v>0</v>
      </c>
      <c r="S778" s="375">
        <v>0</v>
      </c>
      <c r="T778" s="375">
        <v>0</v>
      </c>
      <c r="U778" s="375">
        <v>0</v>
      </c>
      <c r="V778" s="380" t="e">
        <f t="shared" ca="1" si="102"/>
        <v>#NAME?</v>
      </c>
    </row>
    <row r="779" spans="1:22" ht="14.25" hidden="1" customHeight="1">
      <c r="A779" s="383" t="s">
        <v>2170</v>
      </c>
      <c r="B779" s="370" t="e">
        <f ca="1">_xludf.IFNA(VLOOKUP(Bolts!$A779,'Kilter Holds'!$P$37:$S$662,4,0),0)</f>
        <v>#NAME?</v>
      </c>
      <c r="C779" s="384">
        <v>4</v>
      </c>
      <c r="D779" s="373">
        <v>0</v>
      </c>
      <c r="E779" s="374">
        <v>0</v>
      </c>
      <c r="F779" s="374">
        <v>0</v>
      </c>
      <c r="G779" s="374">
        <v>0</v>
      </c>
      <c r="H779" s="374">
        <v>0</v>
      </c>
      <c r="I779" s="374">
        <v>0</v>
      </c>
      <c r="J779" s="374">
        <v>0</v>
      </c>
      <c r="K779" s="374">
        <f ca="1">IFERROR(4*B779,0)</f>
        <v>0</v>
      </c>
      <c r="L779" s="374">
        <v>0</v>
      </c>
      <c r="M779" s="374">
        <v>0</v>
      </c>
      <c r="N779" s="374">
        <v>0</v>
      </c>
      <c r="O779" s="374">
        <v>0</v>
      </c>
      <c r="P779" s="374">
        <v>0</v>
      </c>
      <c r="Q779" s="373">
        <v>0</v>
      </c>
      <c r="R779" s="374">
        <v>0</v>
      </c>
      <c r="S779" s="375">
        <v>0</v>
      </c>
      <c r="T779" s="375">
        <v>0</v>
      </c>
      <c r="U779" s="375">
        <v>0</v>
      </c>
      <c r="V779" s="380" t="e">
        <f t="shared" ca="1" si="102"/>
        <v>#NAME?</v>
      </c>
    </row>
    <row r="780" spans="1:22" ht="14.25" hidden="1" customHeight="1">
      <c r="A780" s="383" t="s">
        <v>2171</v>
      </c>
      <c r="B780" s="370" t="e">
        <f ca="1">_xludf.IFNA(VLOOKUP(Bolts!$A780,'Kilter Holds'!$P$37:$S$662,4,0),0)</f>
        <v>#NAME?</v>
      </c>
      <c r="C780" s="384">
        <v>2</v>
      </c>
      <c r="D780" s="373">
        <v>0</v>
      </c>
      <c r="E780" s="374">
        <v>0</v>
      </c>
      <c r="F780" s="374">
        <v>0</v>
      </c>
      <c r="G780" s="374">
        <v>0</v>
      </c>
      <c r="H780" s="374">
        <v>0</v>
      </c>
      <c r="I780" s="374">
        <v>0</v>
      </c>
      <c r="J780" s="374">
        <v>0</v>
      </c>
      <c r="K780" s="374">
        <f t="shared" ref="K780:K781" ca="1" si="105">IFERROR(2*B780,0)</f>
        <v>0</v>
      </c>
      <c r="L780" s="374">
        <v>0</v>
      </c>
      <c r="M780" s="374">
        <v>0</v>
      </c>
      <c r="N780" s="374">
        <v>0</v>
      </c>
      <c r="O780" s="374">
        <v>0</v>
      </c>
      <c r="P780" s="374">
        <v>0</v>
      </c>
      <c r="Q780" s="373">
        <v>0</v>
      </c>
      <c r="R780" s="374">
        <v>0</v>
      </c>
      <c r="S780" s="375">
        <v>0</v>
      </c>
      <c r="T780" s="375">
        <v>0</v>
      </c>
      <c r="U780" s="375">
        <v>0</v>
      </c>
      <c r="V780" s="380" t="e">
        <f t="shared" ca="1" si="102"/>
        <v>#NAME?</v>
      </c>
    </row>
    <row r="781" spans="1:22" ht="14.25" hidden="1" customHeight="1">
      <c r="A781" s="383" t="s">
        <v>2172</v>
      </c>
      <c r="B781" s="370" t="e">
        <f ca="1">_xludf.IFNA(VLOOKUP(Bolts!$A781,'Kilter Holds'!$P$37:$S$662,4,0),0)</f>
        <v>#NAME?</v>
      </c>
      <c r="C781" s="384">
        <v>2</v>
      </c>
      <c r="D781" s="373">
        <v>0</v>
      </c>
      <c r="E781" s="374">
        <v>0</v>
      </c>
      <c r="F781" s="374">
        <v>0</v>
      </c>
      <c r="G781" s="374">
        <v>0</v>
      </c>
      <c r="H781" s="374">
        <v>0</v>
      </c>
      <c r="I781" s="374">
        <v>0</v>
      </c>
      <c r="J781" s="374">
        <v>0</v>
      </c>
      <c r="K781" s="374">
        <f t="shared" ca="1" si="105"/>
        <v>0</v>
      </c>
      <c r="L781" s="374">
        <v>0</v>
      </c>
      <c r="M781" s="374">
        <v>0</v>
      </c>
      <c r="N781" s="374">
        <v>0</v>
      </c>
      <c r="O781" s="374">
        <v>0</v>
      </c>
      <c r="P781" s="374">
        <v>0</v>
      </c>
      <c r="Q781" s="373">
        <v>0</v>
      </c>
      <c r="R781" s="374">
        <v>0</v>
      </c>
      <c r="S781" s="375">
        <v>0</v>
      </c>
      <c r="T781" s="375">
        <v>0</v>
      </c>
      <c r="U781" s="375">
        <v>0</v>
      </c>
      <c r="V781" s="380" t="e">
        <f t="shared" ca="1" si="102"/>
        <v>#NAME?</v>
      </c>
    </row>
    <row r="782" spans="1:22" ht="14.25" hidden="1" customHeight="1">
      <c r="A782" s="383" t="s">
        <v>2173</v>
      </c>
      <c r="B782" s="370" t="e">
        <f ca="1">_xludf.IFNA(VLOOKUP(Bolts!$A782,'Kilter Holds'!$P$37:$S$662,4,0),0)</f>
        <v>#NAME?</v>
      </c>
      <c r="C782" s="384">
        <v>4</v>
      </c>
      <c r="D782" s="373">
        <v>0</v>
      </c>
      <c r="E782" s="374">
        <v>0</v>
      </c>
      <c r="F782" s="374">
        <v>0</v>
      </c>
      <c r="G782" s="374">
        <v>0</v>
      </c>
      <c r="H782" s="374">
        <v>0</v>
      </c>
      <c r="I782" s="374">
        <v>0</v>
      </c>
      <c r="J782" s="374">
        <f ca="1">IFERROR(4*B782,0)</f>
        <v>0</v>
      </c>
      <c r="K782" s="374">
        <v>0</v>
      </c>
      <c r="L782" s="374">
        <v>0</v>
      </c>
      <c r="M782" s="374">
        <v>0</v>
      </c>
      <c r="N782" s="374">
        <v>0</v>
      </c>
      <c r="O782" s="374">
        <v>0</v>
      </c>
      <c r="P782" s="374">
        <v>0</v>
      </c>
      <c r="Q782" s="373">
        <v>0</v>
      </c>
      <c r="R782" s="374">
        <v>0</v>
      </c>
      <c r="S782" s="375">
        <v>0</v>
      </c>
      <c r="T782" s="375">
        <v>0</v>
      </c>
      <c r="U782" s="375">
        <v>0</v>
      </c>
      <c r="V782" s="380" t="e">
        <f t="shared" ca="1" si="102"/>
        <v>#NAME?</v>
      </c>
    </row>
    <row r="783" spans="1:22" ht="14.25" hidden="1" customHeight="1">
      <c r="A783" s="383" t="s">
        <v>2174</v>
      </c>
      <c r="B783" s="370" t="e">
        <f ca="1">_xludf.IFNA(VLOOKUP(Bolts!$A783,'Kilter Holds'!$P$37:$S$662,4,0),0)</f>
        <v>#NAME?</v>
      </c>
      <c r="C783" s="384">
        <v>3</v>
      </c>
      <c r="D783" s="373">
        <v>0</v>
      </c>
      <c r="E783" s="374">
        <v>0</v>
      </c>
      <c r="F783" s="374">
        <v>0</v>
      </c>
      <c r="G783" s="374">
        <v>0</v>
      </c>
      <c r="H783" s="374">
        <v>0</v>
      </c>
      <c r="I783" s="374">
        <v>0</v>
      </c>
      <c r="J783" s="374">
        <f ca="1">IFERROR(3*B783,0)</f>
        <v>0</v>
      </c>
      <c r="K783" s="374">
        <v>0</v>
      </c>
      <c r="L783" s="374">
        <v>0</v>
      </c>
      <c r="M783" s="374">
        <v>0</v>
      </c>
      <c r="N783" s="374">
        <v>0</v>
      </c>
      <c r="O783" s="374">
        <v>0</v>
      </c>
      <c r="P783" s="374">
        <v>0</v>
      </c>
      <c r="Q783" s="373">
        <v>0</v>
      </c>
      <c r="R783" s="374">
        <v>0</v>
      </c>
      <c r="S783" s="375">
        <v>0</v>
      </c>
      <c r="T783" s="375">
        <v>0</v>
      </c>
      <c r="U783" s="375">
        <v>0</v>
      </c>
      <c r="V783" s="380" t="e">
        <f t="shared" ca="1" si="102"/>
        <v>#NAME?</v>
      </c>
    </row>
    <row r="784" spans="1:22" ht="14.25" hidden="1" customHeight="1">
      <c r="A784" s="383" t="s">
        <v>2175</v>
      </c>
      <c r="B784" s="370" t="e">
        <f ca="1">_xludf.IFNA(VLOOKUP(Bolts!$A784,'Kilter Holds'!$P$37:$S$662,4,0),0)</f>
        <v>#NAME?</v>
      </c>
      <c r="C784" s="384">
        <v>4</v>
      </c>
      <c r="D784" s="373">
        <v>0</v>
      </c>
      <c r="E784" s="374">
        <v>0</v>
      </c>
      <c r="F784" s="374">
        <v>0</v>
      </c>
      <c r="G784" s="374">
        <v>0</v>
      </c>
      <c r="H784" s="374">
        <v>0</v>
      </c>
      <c r="I784" s="374">
        <v>0</v>
      </c>
      <c r="J784" s="374">
        <f t="shared" ref="J784:J787" ca="1" si="106">IFERROR(4*B784,0)</f>
        <v>0</v>
      </c>
      <c r="K784" s="374">
        <v>0</v>
      </c>
      <c r="L784" s="374">
        <v>0</v>
      </c>
      <c r="M784" s="374">
        <v>0</v>
      </c>
      <c r="N784" s="374">
        <v>0</v>
      </c>
      <c r="O784" s="374">
        <v>0</v>
      </c>
      <c r="P784" s="374">
        <v>0</v>
      </c>
      <c r="Q784" s="373">
        <v>0</v>
      </c>
      <c r="R784" s="374">
        <v>0</v>
      </c>
      <c r="S784" s="375">
        <v>0</v>
      </c>
      <c r="T784" s="375">
        <v>0</v>
      </c>
      <c r="U784" s="375">
        <v>0</v>
      </c>
      <c r="V784" s="380" t="e">
        <f t="shared" ca="1" si="102"/>
        <v>#NAME?</v>
      </c>
    </row>
    <row r="785" spans="1:22" ht="14.25" hidden="1" customHeight="1">
      <c r="A785" s="383" t="s">
        <v>2176</v>
      </c>
      <c r="B785" s="370" t="e">
        <f ca="1">_xludf.IFNA(VLOOKUP(Bolts!$A785,'Kilter Holds'!$P$37:$S$662,4,0),0)</f>
        <v>#NAME?</v>
      </c>
      <c r="C785" s="384">
        <v>4</v>
      </c>
      <c r="D785" s="373">
        <v>0</v>
      </c>
      <c r="E785" s="374">
        <v>0</v>
      </c>
      <c r="F785" s="374">
        <v>0</v>
      </c>
      <c r="G785" s="374">
        <v>0</v>
      </c>
      <c r="H785" s="374">
        <v>0</v>
      </c>
      <c r="I785" s="374">
        <v>0</v>
      </c>
      <c r="J785" s="374">
        <f t="shared" ca="1" si="106"/>
        <v>0</v>
      </c>
      <c r="K785" s="374">
        <v>0</v>
      </c>
      <c r="L785" s="374">
        <v>0</v>
      </c>
      <c r="M785" s="374">
        <v>0</v>
      </c>
      <c r="N785" s="374">
        <v>0</v>
      </c>
      <c r="O785" s="374">
        <v>0</v>
      </c>
      <c r="P785" s="374">
        <v>0</v>
      </c>
      <c r="Q785" s="373">
        <v>0</v>
      </c>
      <c r="R785" s="374">
        <v>0</v>
      </c>
      <c r="S785" s="375">
        <v>0</v>
      </c>
      <c r="T785" s="375">
        <v>0</v>
      </c>
      <c r="U785" s="375">
        <v>0</v>
      </c>
      <c r="V785" s="380" t="e">
        <f t="shared" ca="1" si="102"/>
        <v>#NAME?</v>
      </c>
    </row>
    <row r="786" spans="1:22" ht="14.25" hidden="1" customHeight="1">
      <c r="A786" s="383" t="s">
        <v>2177</v>
      </c>
      <c r="B786" s="370" t="e">
        <f ca="1">_xludf.IFNA(VLOOKUP(Bolts!$A786,'Kilter Holds'!$P$37:$S$662,4,0),0)</f>
        <v>#NAME?</v>
      </c>
      <c r="C786" s="384">
        <v>4</v>
      </c>
      <c r="D786" s="373">
        <v>0</v>
      </c>
      <c r="E786" s="374">
        <v>0</v>
      </c>
      <c r="F786" s="374">
        <v>0</v>
      </c>
      <c r="G786" s="374">
        <v>0</v>
      </c>
      <c r="H786" s="374">
        <v>0</v>
      </c>
      <c r="I786" s="374">
        <v>0</v>
      </c>
      <c r="J786" s="374">
        <f t="shared" ca="1" si="106"/>
        <v>0</v>
      </c>
      <c r="K786" s="374">
        <v>0</v>
      </c>
      <c r="L786" s="374">
        <v>0</v>
      </c>
      <c r="M786" s="374">
        <v>0</v>
      </c>
      <c r="N786" s="374">
        <v>0</v>
      </c>
      <c r="O786" s="374">
        <v>0</v>
      </c>
      <c r="P786" s="374">
        <v>0</v>
      </c>
      <c r="Q786" s="373">
        <v>0</v>
      </c>
      <c r="R786" s="374">
        <v>0</v>
      </c>
      <c r="S786" s="375">
        <v>0</v>
      </c>
      <c r="T786" s="375">
        <v>0</v>
      </c>
      <c r="U786" s="375">
        <v>0</v>
      </c>
      <c r="V786" s="380" t="e">
        <f t="shared" ca="1" si="102"/>
        <v>#NAME?</v>
      </c>
    </row>
    <row r="787" spans="1:22" ht="14.25" hidden="1" customHeight="1">
      <c r="A787" s="383" t="s">
        <v>2178</v>
      </c>
      <c r="B787" s="370" t="e">
        <f ca="1">_xludf.IFNA(VLOOKUP(Bolts!$A787,'Kilter Holds'!$P$37:$S$662,4,0),0)</f>
        <v>#NAME?</v>
      </c>
      <c r="C787" s="384">
        <v>4</v>
      </c>
      <c r="D787" s="373">
        <v>0</v>
      </c>
      <c r="E787" s="374">
        <v>0</v>
      </c>
      <c r="F787" s="374">
        <v>0</v>
      </c>
      <c r="G787" s="374">
        <v>0</v>
      </c>
      <c r="H787" s="374">
        <v>0</v>
      </c>
      <c r="I787" s="374">
        <v>0</v>
      </c>
      <c r="J787" s="374">
        <f t="shared" ca="1" si="106"/>
        <v>0</v>
      </c>
      <c r="K787" s="374">
        <v>0</v>
      </c>
      <c r="L787" s="374">
        <v>0</v>
      </c>
      <c r="M787" s="374">
        <v>0</v>
      </c>
      <c r="N787" s="374">
        <v>0</v>
      </c>
      <c r="O787" s="374">
        <v>0</v>
      </c>
      <c r="P787" s="374">
        <v>0</v>
      </c>
      <c r="Q787" s="373">
        <v>0</v>
      </c>
      <c r="R787" s="374">
        <v>0</v>
      </c>
      <c r="S787" s="375">
        <v>0</v>
      </c>
      <c r="T787" s="375">
        <v>0</v>
      </c>
      <c r="U787" s="375">
        <v>0</v>
      </c>
      <c r="V787" s="380" t="e">
        <f t="shared" ca="1" si="102"/>
        <v>#NAME?</v>
      </c>
    </row>
    <row r="788" spans="1:22" ht="14.25" hidden="1" customHeight="1">
      <c r="A788" s="383" t="s">
        <v>2179</v>
      </c>
      <c r="B788" s="370" t="e">
        <f ca="1">_xludf.IFNA(VLOOKUP(Bolts!$A788,'Kilter Holds'!$P$37:$S$662,4,0),0)</f>
        <v>#NAME?</v>
      </c>
      <c r="C788" s="384">
        <v>5</v>
      </c>
      <c r="D788" s="373">
        <v>0</v>
      </c>
      <c r="E788" s="374">
        <v>0</v>
      </c>
      <c r="F788" s="374">
        <v>0</v>
      </c>
      <c r="G788" s="374">
        <v>0</v>
      </c>
      <c r="H788" s="374">
        <v>0</v>
      </c>
      <c r="I788" s="374">
        <f ca="1">IFERROR(5*B788,0)</f>
        <v>0</v>
      </c>
      <c r="J788" s="374">
        <v>0</v>
      </c>
      <c r="K788" s="374">
        <v>0</v>
      </c>
      <c r="L788" s="374">
        <v>0</v>
      </c>
      <c r="M788" s="374">
        <v>0</v>
      </c>
      <c r="N788" s="374">
        <v>0</v>
      </c>
      <c r="O788" s="374">
        <v>0</v>
      </c>
      <c r="P788" s="374">
        <v>0</v>
      </c>
      <c r="Q788" s="373">
        <v>0</v>
      </c>
      <c r="R788" s="374">
        <v>0</v>
      </c>
      <c r="S788" s="375">
        <v>0</v>
      </c>
      <c r="T788" s="375">
        <v>0</v>
      </c>
      <c r="U788" s="375">
        <v>0</v>
      </c>
      <c r="V788" s="380" t="e">
        <f t="shared" ca="1" si="102"/>
        <v>#NAME?</v>
      </c>
    </row>
    <row r="789" spans="1:22" ht="14.25" hidden="1" customHeight="1">
      <c r="A789" s="383" t="s">
        <v>2180</v>
      </c>
      <c r="B789" s="370" t="e">
        <f ca="1">_xludf.IFNA(VLOOKUP(Bolts!$A789,'Kilter Holds'!$P$37:$S$662,4,0),0)</f>
        <v>#NAME?</v>
      </c>
      <c r="C789" s="384">
        <v>5</v>
      </c>
      <c r="D789" s="373">
        <v>0</v>
      </c>
      <c r="E789" s="374">
        <v>0</v>
      </c>
      <c r="F789" s="374">
        <v>0</v>
      </c>
      <c r="G789" s="374">
        <f ca="1">IFERROR(5*B789,0)</f>
        <v>0</v>
      </c>
      <c r="H789" s="374">
        <v>0</v>
      </c>
      <c r="I789" s="374">
        <v>0</v>
      </c>
      <c r="J789" s="374">
        <v>0</v>
      </c>
      <c r="K789" s="374">
        <v>0</v>
      </c>
      <c r="L789" s="374">
        <v>0</v>
      </c>
      <c r="M789" s="374">
        <v>0</v>
      </c>
      <c r="N789" s="374">
        <v>0</v>
      </c>
      <c r="O789" s="374">
        <v>0</v>
      </c>
      <c r="P789" s="374">
        <v>0</v>
      </c>
      <c r="Q789" s="373">
        <v>0</v>
      </c>
      <c r="R789" s="374">
        <v>0</v>
      </c>
      <c r="S789" s="375">
        <v>0</v>
      </c>
      <c r="T789" s="375">
        <v>0</v>
      </c>
      <c r="U789" s="375">
        <v>0</v>
      </c>
      <c r="V789" s="380" t="e">
        <f t="shared" ca="1" si="102"/>
        <v>#NAME?</v>
      </c>
    </row>
    <row r="790" spans="1:22" ht="14.25" hidden="1" customHeight="1">
      <c r="A790" s="383" t="s">
        <v>2181</v>
      </c>
      <c r="B790" s="370" t="e">
        <f ca="1">_xludf.IFNA(VLOOKUP(Bolts!$A790,'Kilter Holds'!$P$37:$S$662,4,0),0)</f>
        <v>#NAME?</v>
      </c>
      <c r="C790" s="384">
        <v>5</v>
      </c>
      <c r="D790" s="373">
        <v>0</v>
      </c>
      <c r="E790" s="374">
        <v>0</v>
      </c>
      <c r="F790" s="374">
        <v>0</v>
      </c>
      <c r="G790" s="374">
        <v>0</v>
      </c>
      <c r="H790" s="374">
        <v>0</v>
      </c>
      <c r="I790" s="374">
        <f t="shared" ref="I790:I793" ca="1" si="107">IFERROR(5*B790,0)</f>
        <v>0</v>
      </c>
      <c r="J790" s="374">
        <v>0</v>
      </c>
      <c r="K790" s="374">
        <v>0</v>
      </c>
      <c r="L790" s="374">
        <v>0</v>
      </c>
      <c r="M790" s="374">
        <v>0</v>
      </c>
      <c r="N790" s="374">
        <v>0</v>
      </c>
      <c r="O790" s="374">
        <v>0</v>
      </c>
      <c r="P790" s="374">
        <v>0</v>
      </c>
      <c r="Q790" s="373">
        <v>0</v>
      </c>
      <c r="R790" s="374">
        <v>0</v>
      </c>
      <c r="S790" s="375">
        <v>0</v>
      </c>
      <c r="T790" s="375">
        <v>0</v>
      </c>
      <c r="U790" s="375">
        <v>0</v>
      </c>
      <c r="V790" s="380" t="e">
        <f t="shared" ca="1" si="102"/>
        <v>#NAME?</v>
      </c>
    </row>
    <row r="791" spans="1:22" ht="14.25" hidden="1" customHeight="1">
      <c r="A791" s="383" t="s">
        <v>2182</v>
      </c>
      <c r="B791" s="370" t="e">
        <f ca="1">_xludf.IFNA(VLOOKUP(Bolts!$A791,'Kilter Holds'!$P$37:$S$662,4,0),0)</f>
        <v>#NAME?</v>
      </c>
      <c r="C791" s="384">
        <v>5</v>
      </c>
      <c r="D791" s="373">
        <v>0</v>
      </c>
      <c r="E791" s="374">
        <v>0</v>
      </c>
      <c r="F791" s="374">
        <v>0</v>
      </c>
      <c r="G791" s="374">
        <v>0</v>
      </c>
      <c r="H791" s="374">
        <v>0</v>
      </c>
      <c r="I791" s="374">
        <f t="shared" ca="1" si="107"/>
        <v>0</v>
      </c>
      <c r="J791" s="374">
        <v>0</v>
      </c>
      <c r="K791" s="374">
        <v>0</v>
      </c>
      <c r="L791" s="374">
        <v>0</v>
      </c>
      <c r="M791" s="374">
        <v>0</v>
      </c>
      <c r="N791" s="374">
        <v>0</v>
      </c>
      <c r="O791" s="374">
        <v>0</v>
      </c>
      <c r="P791" s="374">
        <v>0</v>
      </c>
      <c r="Q791" s="373">
        <v>0</v>
      </c>
      <c r="R791" s="374">
        <v>0</v>
      </c>
      <c r="S791" s="375">
        <v>0</v>
      </c>
      <c r="T791" s="375">
        <v>0</v>
      </c>
      <c r="U791" s="375">
        <v>0</v>
      </c>
      <c r="V791" s="380" t="e">
        <f t="shared" ca="1" si="102"/>
        <v>#NAME?</v>
      </c>
    </row>
    <row r="792" spans="1:22" ht="14.25" hidden="1" customHeight="1">
      <c r="A792" s="383" t="s">
        <v>2183</v>
      </c>
      <c r="B792" s="370" t="e">
        <f ca="1">_xludf.IFNA(VLOOKUP(Bolts!$A792,'Kilter Holds'!$P$37:$S$662,4,0),0)</f>
        <v>#NAME?</v>
      </c>
      <c r="C792" s="384">
        <v>5</v>
      </c>
      <c r="D792" s="373">
        <v>0</v>
      </c>
      <c r="E792" s="374">
        <v>0</v>
      </c>
      <c r="F792" s="374">
        <v>0</v>
      </c>
      <c r="G792" s="374">
        <v>0</v>
      </c>
      <c r="H792" s="374">
        <v>0</v>
      </c>
      <c r="I792" s="374">
        <f t="shared" ca="1" si="107"/>
        <v>0</v>
      </c>
      <c r="J792" s="374">
        <v>0</v>
      </c>
      <c r="K792" s="374">
        <v>0</v>
      </c>
      <c r="L792" s="374">
        <v>0</v>
      </c>
      <c r="M792" s="374">
        <v>0</v>
      </c>
      <c r="N792" s="374">
        <v>0</v>
      </c>
      <c r="O792" s="374">
        <v>0</v>
      </c>
      <c r="P792" s="374">
        <v>0</v>
      </c>
      <c r="Q792" s="373">
        <v>0</v>
      </c>
      <c r="R792" s="374">
        <v>0</v>
      </c>
      <c r="S792" s="375">
        <v>0</v>
      </c>
      <c r="T792" s="375">
        <v>0</v>
      </c>
      <c r="U792" s="375">
        <v>0</v>
      </c>
      <c r="V792" s="380" t="e">
        <f t="shared" ca="1" si="102"/>
        <v>#NAME?</v>
      </c>
    </row>
    <row r="793" spans="1:22" ht="14.25" hidden="1" customHeight="1">
      <c r="A793" s="383" t="s">
        <v>2184</v>
      </c>
      <c r="B793" s="370" t="e">
        <f ca="1">_xludf.IFNA(VLOOKUP(Bolts!$A793,'Kilter Holds'!$P$37:$S$662,4,0),0)</f>
        <v>#NAME?</v>
      </c>
      <c r="C793" s="384">
        <v>5</v>
      </c>
      <c r="D793" s="373">
        <v>0</v>
      </c>
      <c r="E793" s="374">
        <v>0</v>
      </c>
      <c r="F793" s="374">
        <v>0</v>
      </c>
      <c r="G793" s="374">
        <v>0</v>
      </c>
      <c r="H793" s="374">
        <v>0</v>
      </c>
      <c r="I793" s="374">
        <f t="shared" ca="1" si="107"/>
        <v>0</v>
      </c>
      <c r="J793" s="374">
        <v>0</v>
      </c>
      <c r="K793" s="374">
        <v>0</v>
      </c>
      <c r="L793" s="374">
        <v>0</v>
      </c>
      <c r="M793" s="374">
        <v>0</v>
      </c>
      <c r="N793" s="374">
        <v>0</v>
      </c>
      <c r="O793" s="374">
        <v>0</v>
      </c>
      <c r="P793" s="374">
        <v>0</v>
      </c>
      <c r="Q793" s="373">
        <v>0</v>
      </c>
      <c r="R793" s="374">
        <v>0</v>
      </c>
      <c r="S793" s="375">
        <v>0</v>
      </c>
      <c r="T793" s="375">
        <v>0</v>
      </c>
      <c r="U793" s="375">
        <v>0</v>
      </c>
      <c r="V793" s="380" t="e">
        <f t="shared" ca="1" si="102"/>
        <v>#NAME?</v>
      </c>
    </row>
    <row r="794" spans="1:22" ht="14.25" hidden="1" customHeight="1">
      <c r="A794" s="383" t="s">
        <v>2185</v>
      </c>
      <c r="B794" s="370" t="e">
        <f ca="1">_xludf.IFNA(VLOOKUP(Bolts!$A794,'Kilter Holds'!$P$37:$S$662,4,0),0)</f>
        <v>#NAME?</v>
      </c>
      <c r="C794" s="384">
        <v>10</v>
      </c>
      <c r="D794" s="373">
        <v>0</v>
      </c>
      <c r="E794" s="374">
        <v>0</v>
      </c>
      <c r="F794" s="374">
        <v>0</v>
      </c>
      <c r="G794" s="374">
        <v>0</v>
      </c>
      <c r="H794" s="374">
        <f ca="1">IFERROR(10*B794,0)</f>
        <v>0</v>
      </c>
      <c r="I794" s="374">
        <v>0</v>
      </c>
      <c r="J794" s="374">
        <v>0</v>
      </c>
      <c r="K794" s="374">
        <v>0</v>
      </c>
      <c r="L794" s="374">
        <v>0</v>
      </c>
      <c r="M794" s="374">
        <v>0</v>
      </c>
      <c r="N794" s="374">
        <v>0</v>
      </c>
      <c r="O794" s="374">
        <v>0</v>
      </c>
      <c r="P794" s="374">
        <v>0</v>
      </c>
      <c r="Q794" s="373">
        <v>0</v>
      </c>
      <c r="R794" s="374">
        <v>0</v>
      </c>
      <c r="S794" s="375">
        <v>0</v>
      </c>
      <c r="T794" s="375">
        <v>0</v>
      </c>
      <c r="U794" s="375">
        <v>0</v>
      </c>
      <c r="V794" s="380" t="e">
        <f t="shared" ca="1" si="102"/>
        <v>#NAME?</v>
      </c>
    </row>
    <row r="795" spans="1:22" ht="14.25" hidden="1" customHeight="1">
      <c r="A795" s="383" t="s">
        <v>2186</v>
      </c>
      <c r="B795" s="370" t="e">
        <f ca="1">_xludf.IFNA(VLOOKUP(Bolts!$A795,'Kilter Holds'!$P$37:$S$662,4,0),0)</f>
        <v>#NAME?</v>
      </c>
      <c r="C795" s="384">
        <v>5</v>
      </c>
      <c r="D795" s="373">
        <v>0</v>
      </c>
      <c r="E795" s="374">
        <v>0</v>
      </c>
      <c r="F795" s="374">
        <v>0</v>
      </c>
      <c r="G795" s="374">
        <v>0</v>
      </c>
      <c r="H795" s="374">
        <f ca="1">IFERROR(5*B795,0)</f>
        <v>0</v>
      </c>
      <c r="I795" s="374">
        <v>0</v>
      </c>
      <c r="J795" s="374">
        <v>0</v>
      </c>
      <c r="K795" s="374">
        <v>0</v>
      </c>
      <c r="L795" s="374">
        <v>0</v>
      </c>
      <c r="M795" s="374">
        <v>0</v>
      </c>
      <c r="N795" s="374">
        <v>0</v>
      </c>
      <c r="O795" s="374">
        <v>0</v>
      </c>
      <c r="P795" s="374">
        <v>0</v>
      </c>
      <c r="Q795" s="373">
        <v>0</v>
      </c>
      <c r="R795" s="374">
        <v>0</v>
      </c>
      <c r="S795" s="375">
        <v>0</v>
      </c>
      <c r="T795" s="375">
        <v>0</v>
      </c>
      <c r="U795" s="375">
        <v>0</v>
      </c>
      <c r="V795" s="380" t="e">
        <f t="shared" ca="1" si="102"/>
        <v>#NAME?</v>
      </c>
    </row>
    <row r="796" spans="1:22" ht="14.25" hidden="1" customHeight="1">
      <c r="A796" s="383" t="s">
        <v>2187</v>
      </c>
      <c r="B796" s="370" t="e">
        <f ca="1">_xludf.IFNA(VLOOKUP(Bolts!$A796,'Kilter Holds'!$P$37:$S$662,4,0),0)</f>
        <v>#NAME?</v>
      </c>
      <c r="C796" s="384">
        <v>10</v>
      </c>
      <c r="D796" s="373">
        <v>0</v>
      </c>
      <c r="E796" s="374">
        <v>0</v>
      </c>
      <c r="F796" s="374">
        <v>0</v>
      </c>
      <c r="G796" s="374">
        <v>0</v>
      </c>
      <c r="H796" s="374">
        <f ca="1">IFERROR(10*B796,0)</f>
        <v>0</v>
      </c>
      <c r="I796" s="374">
        <v>0</v>
      </c>
      <c r="J796" s="374">
        <v>0</v>
      </c>
      <c r="K796" s="374">
        <v>0</v>
      </c>
      <c r="L796" s="374">
        <v>0</v>
      </c>
      <c r="M796" s="374">
        <v>0</v>
      </c>
      <c r="N796" s="374">
        <v>0</v>
      </c>
      <c r="O796" s="374">
        <v>0</v>
      </c>
      <c r="P796" s="374">
        <v>0</v>
      </c>
      <c r="Q796" s="373">
        <v>0</v>
      </c>
      <c r="R796" s="374">
        <v>0</v>
      </c>
      <c r="S796" s="375">
        <v>0</v>
      </c>
      <c r="T796" s="375">
        <v>0</v>
      </c>
      <c r="U796" s="375">
        <v>0</v>
      </c>
      <c r="V796" s="380" t="e">
        <f t="shared" ca="1" si="102"/>
        <v>#NAME?</v>
      </c>
    </row>
    <row r="797" spans="1:22" ht="14.25" hidden="1" customHeight="1">
      <c r="A797" s="383" t="s">
        <v>2188</v>
      </c>
      <c r="B797" s="370" t="e">
        <f ca="1">_xludf.IFNA(VLOOKUP(Bolts!$A797,'Kilter Holds'!$P$37:$S$662,4,0),0)</f>
        <v>#NAME?</v>
      </c>
      <c r="C797" s="384">
        <v>10</v>
      </c>
      <c r="D797" s="373">
        <v>0</v>
      </c>
      <c r="E797" s="374">
        <f t="shared" ref="E797:E798" ca="1" si="108">IFERROR(10*B797,0)</f>
        <v>0</v>
      </c>
      <c r="F797" s="374">
        <v>0</v>
      </c>
      <c r="G797" s="374">
        <v>0</v>
      </c>
      <c r="H797" s="374">
        <v>0</v>
      </c>
      <c r="I797" s="374">
        <v>0</v>
      </c>
      <c r="J797" s="374">
        <v>0</v>
      </c>
      <c r="K797" s="374">
        <v>0</v>
      </c>
      <c r="L797" s="374">
        <v>0</v>
      </c>
      <c r="M797" s="374">
        <v>0</v>
      </c>
      <c r="N797" s="374">
        <v>0</v>
      </c>
      <c r="O797" s="374">
        <v>0</v>
      </c>
      <c r="P797" s="374">
        <v>0</v>
      </c>
      <c r="Q797" s="373">
        <v>0</v>
      </c>
      <c r="R797" s="374">
        <v>0</v>
      </c>
      <c r="S797" s="375">
        <v>0</v>
      </c>
      <c r="T797" s="375">
        <v>0</v>
      </c>
      <c r="U797" s="375">
        <v>0</v>
      </c>
      <c r="V797" s="380" t="e">
        <f t="shared" ca="1" si="102"/>
        <v>#NAME?</v>
      </c>
    </row>
    <row r="798" spans="1:22" ht="14.25" hidden="1" customHeight="1">
      <c r="A798" s="383" t="s">
        <v>2189</v>
      </c>
      <c r="B798" s="370" t="e">
        <f ca="1">_xludf.IFNA(VLOOKUP(Bolts!$A798,'Kilter Holds'!$P$37:$S$662,4,0),0)</f>
        <v>#NAME?</v>
      </c>
      <c r="C798" s="384">
        <v>10</v>
      </c>
      <c r="D798" s="373">
        <v>0</v>
      </c>
      <c r="E798" s="374">
        <f t="shared" ca="1" si="108"/>
        <v>0</v>
      </c>
      <c r="F798" s="374">
        <v>0</v>
      </c>
      <c r="G798" s="374">
        <v>0</v>
      </c>
      <c r="H798" s="374">
        <v>0</v>
      </c>
      <c r="I798" s="374">
        <v>0</v>
      </c>
      <c r="J798" s="374">
        <v>0</v>
      </c>
      <c r="K798" s="374">
        <v>0</v>
      </c>
      <c r="L798" s="374">
        <v>0</v>
      </c>
      <c r="M798" s="374">
        <v>0</v>
      </c>
      <c r="N798" s="374">
        <v>0</v>
      </c>
      <c r="O798" s="374">
        <v>0</v>
      </c>
      <c r="P798" s="374">
        <v>0</v>
      </c>
      <c r="Q798" s="373">
        <v>0</v>
      </c>
      <c r="R798" s="374">
        <v>0</v>
      </c>
      <c r="S798" s="375">
        <v>0</v>
      </c>
      <c r="T798" s="375">
        <v>0</v>
      </c>
      <c r="U798" s="375">
        <v>0</v>
      </c>
      <c r="V798" s="380" t="e">
        <f t="shared" ca="1" si="102"/>
        <v>#NAME?</v>
      </c>
    </row>
    <row r="799" spans="1:22" ht="14.25" hidden="1" customHeight="1">
      <c r="A799" s="383" t="s">
        <v>2190</v>
      </c>
      <c r="B799" s="370" t="e">
        <f ca="1">_xludf.IFNA(VLOOKUP(Bolts!$A799,'Kilter Holds'!$P$37:$S$662,4,0),0)</f>
        <v>#NAME?</v>
      </c>
      <c r="C799" s="384">
        <v>2</v>
      </c>
      <c r="D799" s="373">
        <v>0</v>
      </c>
      <c r="E799" s="374">
        <v>0</v>
      </c>
      <c r="F799" s="374">
        <v>0</v>
      </c>
      <c r="G799" s="374">
        <v>0</v>
      </c>
      <c r="H799" s="374">
        <v>0</v>
      </c>
      <c r="I799" s="374">
        <v>0</v>
      </c>
      <c r="J799" s="374">
        <v>0</v>
      </c>
      <c r="K799" s="374">
        <v>0</v>
      </c>
      <c r="L799" s="374">
        <v>0</v>
      </c>
      <c r="M799" s="374">
        <v>0</v>
      </c>
      <c r="N799" s="374">
        <v>0</v>
      </c>
      <c r="O799" s="374">
        <v>0</v>
      </c>
      <c r="P799" s="374">
        <v>0</v>
      </c>
      <c r="Q799" s="373">
        <v>0</v>
      </c>
      <c r="R799" s="374">
        <v>0</v>
      </c>
      <c r="S799" s="375">
        <f ca="1">IFERROR(8*B799,0)</f>
        <v>0</v>
      </c>
      <c r="T799" s="375">
        <v>0</v>
      </c>
      <c r="U799" s="375">
        <v>0</v>
      </c>
      <c r="V799" s="380" t="e">
        <f t="shared" ca="1" si="102"/>
        <v>#NAME?</v>
      </c>
    </row>
    <row r="800" spans="1:22" ht="14.25" hidden="1" customHeight="1">
      <c r="A800" s="383" t="s">
        <v>2191</v>
      </c>
      <c r="B800" s="370" t="e">
        <f ca="1">_xludf.IFNA(VLOOKUP(Bolts!$A800,'Kilter Holds'!$P$37:$S$662,4,0),0)</f>
        <v>#NAME?</v>
      </c>
      <c r="C800" s="384">
        <v>10</v>
      </c>
      <c r="D800" s="373">
        <v>0</v>
      </c>
      <c r="E800" s="374">
        <v>0</v>
      </c>
      <c r="F800" s="374">
        <v>0</v>
      </c>
      <c r="G800" s="374">
        <v>0</v>
      </c>
      <c r="H800" s="374">
        <v>0</v>
      </c>
      <c r="I800" s="374">
        <v>0</v>
      </c>
      <c r="J800" s="374">
        <v>0</v>
      </c>
      <c r="K800" s="374">
        <v>0</v>
      </c>
      <c r="L800" s="374">
        <v>0</v>
      </c>
      <c r="M800" s="374">
        <v>0</v>
      </c>
      <c r="N800" s="374">
        <v>0</v>
      </c>
      <c r="O800" s="374">
        <v>0</v>
      </c>
      <c r="P800" s="374">
        <v>0</v>
      </c>
      <c r="Q800" s="373">
        <f ca="1">IFERROR(30*B800,0)</f>
        <v>0</v>
      </c>
      <c r="R800" s="374">
        <v>0</v>
      </c>
      <c r="S800" s="375">
        <v>0</v>
      </c>
      <c r="T800" s="375">
        <v>0</v>
      </c>
      <c r="U800" s="375">
        <v>0</v>
      </c>
      <c r="V800" s="380" t="e">
        <f t="shared" ca="1" si="102"/>
        <v>#NAME?</v>
      </c>
    </row>
    <row r="801" spans="1:22" ht="14.25" hidden="1" customHeight="1">
      <c r="A801" s="383" t="s">
        <v>1277</v>
      </c>
      <c r="B801" s="370" t="e">
        <f ca="1">_xludf.IFNA(VLOOKUP(Bolts!$A801,'Urban Plastix Holds'!$I$37:$L$708,4,0),0)</f>
        <v>#NAME?</v>
      </c>
      <c r="C801" s="384">
        <v>3</v>
      </c>
      <c r="D801" s="373">
        <v>0</v>
      </c>
      <c r="E801" s="373">
        <v>0</v>
      </c>
      <c r="F801" s="374">
        <v>0</v>
      </c>
      <c r="G801" s="374">
        <v>0</v>
      </c>
      <c r="H801" s="374">
        <v>0</v>
      </c>
      <c r="I801" s="374">
        <v>0</v>
      </c>
      <c r="J801" s="374">
        <v>0</v>
      </c>
      <c r="K801" s="374">
        <f ca="1">IFERROR(3*B801,0)</f>
        <v>0</v>
      </c>
      <c r="L801" s="374">
        <v>0</v>
      </c>
      <c r="M801" s="374">
        <v>0</v>
      </c>
      <c r="N801" s="374">
        <v>0</v>
      </c>
      <c r="O801" s="374">
        <v>0</v>
      </c>
      <c r="P801" s="374">
        <v>0</v>
      </c>
      <c r="Q801" s="374">
        <v>0</v>
      </c>
      <c r="R801" s="374">
        <v>0</v>
      </c>
      <c r="S801" s="375">
        <v>0</v>
      </c>
      <c r="T801" s="375">
        <v>0</v>
      </c>
      <c r="U801" s="375">
        <v>0</v>
      </c>
      <c r="V801" s="380" t="e">
        <f t="shared" ca="1" si="102"/>
        <v>#NAME?</v>
      </c>
    </row>
    <row r="802" spans="1:22" ht="14.25" hidden="1" customHeight="1">
      <c r="A802" s="383" t="s">
        <v>1280</v>
      </c>
      <c r="B802" s="370" t="e">
        <f ca="1">_xludf.IFNA(VLOOKUP(Bolts!$A802,'Urban Plastix Holds'!$I$37:$L$708,4,0),0)</f>
        <v>#NAME?</v>
      </c>
      <c r="C802" s="384">
        <v>2</v>
      </c>
      <c r="D802" s="373">
        <v>0</v>
      </c>
      <c r="E802" s="373">
        <v>0</v>
      </c>
      <c r="F802" s="374">
        <v>0</v>
      </c>
      <c r="G802" s="374">
        <v>0</v>
      </c>
      <c r="H802" s="374">
        <v>0</v>
      </c>
      <c r="I802" s="374">
        <v>0</v>
      </c>
      <c r="J802" s="374">
        <v>0</v>
      </c>
      <c r="K802" s="374">
        <f ca="1">IFERROR(2*B802,0)</f>
        <v>0</v>
      </c>
      <c r="L802" s="374">
        <v>0</v>
      </c>
      <c r="M802" s="374">
        <v>0</v>
      </c>
      <c r="N802" s="374">
        <v>0</v>
      </c>
      <c r="O802" s="374">
        <v>0</v>
      </c>
      <c r="P802" s="374">
        <v>0</v>
      </c>
      <c r="Q802" s="374">
        <v>0</v>
      </c>
      <c r="R802" s="374">
        <v>0</v>
      </c>
      <c r="S802" s="375">
        <v>0</v>
      </c>
      <c r="T802" s="375">
        <v>0</v>
      </c>
      <c r="U802" s="375">
        <v>0</v>
      </c>
      <c r="V802" s="380" t="e">
        <f t="shared" ca="1" si="102"/>
        <v>#NAME?</v>
      </c>
    </row>
    <row r="803" spans="1:22" ht="14.25" hidden="1" customHeight="1">
      <c r="A803" s="383" t="s">
        <v>1282</v>
      </c>
      <c r="B803" s="370" t="e">
        <f ca="1">_xludf.IFNA(VLOOKUP(Bolts!$A803,'Urban Plastix Holds'!$I$37:$L$708,4,0),0)</f>
        <v>#NAME?</v>
      </c>
      <c r="C803" s="384">
        <v>3</v>
      </c>
      <c r="D803" s="373">
        <v>0</v>
      </c>
      <c r="E803" s="373">
        <v>0</v>
      </c>
      <c r="F803" s="374">
        <v>0</v>
      </c>
      <c r="G803" s="374">
        <v>0</v>
      </c>
      <c r="H803" s="374">
        <v>0</v>
      </c>
      <c r="I803" s="374">
        <v>0</v>
      </c>
      <c r="J803" s="374">
        <v>0</v>
      </c>
      <c r="K803" s="374">
        <f ca="1">IFERROR(3*B803,0)</f>
        <v>0</v>
      </c>
      <c r="L803" s="374">
        <v>0</v>
      </c>
      <c r="M803" s="374">
        <v>0</v>
      </c>
      <c r="N803" s="374">
        <v>0</v>
      </c>
      <c r="O803" s="374">
        <v>0</v>
      </c>
      <c r="P803" s="374">
        <v>0</v>
      </c>
      <c r="Q803" s="374">
        <v>0</v>
      </c>
      <c r="R803" s="374">
        <v>0</v>
      </c>
      <c r="S803" s="375">
        <v>0</v>
      </c>
      <c r="T803" s="375">
        <v>0</v>
      </c>
      <c r="U803" s="375">
        <v>0</v>
      </c>
      <c r="V803" s="380" t="e">
        <f t="shared" ca="1" si="102"/>
        <v>#NAME?</v>
      </c>
    </row>
    <row r="804" spans="1:22" ht="14.25" hidden="1" customHeight="1">
      <c r="A804" s="383" t="s">
        <v>1526</v>
      </c>
      <c r="B804" s="370" t="e">
        <f ca="1">_xludf.IFNA(VLOOKUP(Bolts!$A804,'Urban Plastix Holds'!$I$37:$L$708,4,0),0)</f>
        <v>#NAME?</v>
      </c>
      <c r="C804" s="384">
        <v>3</v>
      </c>
      <c r="D804" s="373">
        <v>0</v>
      </c>
      <c r="E804" s="373">
        <v>0</v>
      </c>
      <c r="F804" s="374">
        <v>0</v>
      </c>
      <c r="G804" s="374">
        <v>0</v>
      </c>
      <c r="H804" s="374">
        <v>0</v>
      </c>
      <c r="I804" s="374">
        <f ca="1">IFERROR(2*B804,0)</f>
        <v>0</v>
      </c>
      <c r="J804" s="374">
        <f ca="1">IFERROR(1*B804,0)</f>
        <v>0</v>
      </c>
      <c r="K804" s="374">
        <v>0</v>
      </c>
      <c r="L804" s="374">
        <v>0</v>
      </c>
      <c r="M804" s="374">
        <v>0</v>
      </c>
      <c r="N804" s="374">
        <v>0</v>
      </c>
      <c r="O804" s="374">
        <v>0</v>
      </c>
      <c r="P804" s="374">
        <v>0</v>
      </c>
      <c r="Q804" s="374">
        <v>0</v>
      </c>
      <c r="R804" s="374">
        <v>0</v>
      </c>
      <c r="S804" s="375">
        <v>0</v>
      </c>
      <c r="T804" s="375">
        <v>0</v>
      </c>
      <c r="U804" s="375">
        <v>0</v>
      </c>
      <c r="V804" s="380" t="e">
        <f t="shared" ca="1" si="102"/>
        <v>#NAME?</v>
      </c>
    </row>
    <row r="805" spans="1:22" ht="14.25" hidden="1" customHeight="1">
      <c r="A805" s="383" t="s">
        <v>1299</v>
      </c>
      <c r="B805" s="370" t="e">
        <f ca="1">_xludf.IFNA(VLOOKUP(Bolts!$A805,'Urban Plastix Holds'!$I$37:$L$708,4,0),0)</f>
        <v>#NAME?</v>
      </c>
      <c r="C805" s="384">
        <v>5</v>
      </c>
      <c r="D805" s="373">
        <v>0</v>
      </c>
      <c r="E805" s="373">
        <v>0</v>
      </c>
      <c r="F805" s="374">
        <v>0</v>
      </c>
      <c r="G805" s="374">
        <v>0</v>
      </c>
      <c r="H805" s="374">
        <v>0</v>
      </c>
      <c r="I805" s="374">
        <f ca="1">IFERROR(1*B805,0)</f>
        <v>0</v>
      </c>
      <c r="J805" s="374">
        <f ca="1">IFERROR(2*B805,0)</f>
        <v>0</v>
      </c>
      <c r="K805" s="374">
        <f ca="1">IFERROR(1*B805,0)</f>
        <v>0</v>
      </c>
      <c r="L805" s="374">
        <v>0</v>
      </c>
      <c r="M805" s="374">
        <f ca="1">IFERROR(1*B805,0)</f>
        <v>0</v>
      </c>
      <c r="N805" s="374">
        <v>0</v>
      </c>
      <c r="O805" s="374">
        <v>0</v>
      </c>
      <c r="P805" s="374">
        <v>0</v>
      </c>
      <c r="Q805" s="374">
        <v>0</v>
      </c>
      <c r="R805" s="374">
        <v>0</v>
      </c>
      <c r="S805" s="375">
        <v>0</v>
      </c>
      <c r="T805" s="375">
        <v>0</v>
      </c>
      <c r="U805" s="375">
        <v>0</v>
      </c>
      <c r="V805" s="380" t="e">
        <f t="shared" ca="1" si="102"/>
        <v>#NAME?</v>
      </c>
    </row>
    <row r="806" spans="1:22" ht="14.25" hidden="1" customHeight="1">
      <c r="A806" s="383" t="s">
        <v>1284</v>
      </c>
      <c r="B806" s="370" t="e">
        <f ca="1">_xludf.IFNA(VLOOKUP(Bolts!$A806,'Urban Plastix Holds'!$I$37:$L$708,4,0),0)</f>
        <v>#NAME?</v>
      </c>
      <c r="C806" s="384">
        <v>1</v>
      </c>
      <c r="D806" s="373">
        <v>0</v>
      </c>
      <c r="E806" s="373">
        <v>0</v>
      </c>
      <c r="F806" s="374">
        <v>0</v>
      </c>
      <c r="G806" s="374">
        <v>0</v>
      </c>
      <c r="H806" s="374">
        <v>0</v>
      </c>
      <c r="I806" s="374">
        <v>0</v>
      </c>
      <c r="J806" s="374">
        <f t="shared" ref="J806:J808" ca="1" si="109">IFERROR(1*B806,0)</f>
        <v>0</v>
      </c>
      <c r="K806" s="374">
        <v>0</v>
      </c>
      <c r="L806" s="374">
        <v>0</v>
      </c>
      <c r="M806" s="374">
        <v>0</v>
      </c>
      <c r="N806" s="374">
        <v>0</v>
      </c>
      <c r="O806" s="374">
        <v>0</v>
      </c>
      <c r="P806" s="374">
        <v>0</v>
      </c>
      <c r="Q806" s="374">
        <v>0</v>
      </c>
      <c r="R806" s="374">
        <v>0</v>
      </c>
      <c r="S806" s="375">
        <v>0</v>
      </c>
      <c r="T806" s="375">
        <v>0</v>
      </c>
      <c r="U806" s="375">
        <v>0</v>
      </c>
      <c r="V806" s="380" t="e">
        <f t="shared" ca="1" si="102"/>
        <v>#NAME?</v>
      </c>
    </row>
    <row r="807" spans="1:22" ht="14.25" hidden="1" customHeight="1">
      <c r="A807" s="383" t="s">
        <v>1287</v>
      </c>
      <c r="B807" s="370" t="e">
        <f ca="1">_xludf.IFNA(VLOOKUP(Bolts!$A807,'Urban Plastix Holds'!$I$37:$L$708,4,0),0)</f>
        <v>#NAME?</v>
      </c>
      <c r="C807" s="384">
        <v>1</v>
      </c>
      <c r="D807" s="373">
        <v>0</v>
      </c>
      <c r="E807" s="373">
        <v>0</v>
      </c>
      <c r="F807" s="374">
        <v>0</v>
      </c>
      <c r="G807" s="374">
        <v>0</v>
      </c>
      <c r="H807" s="374">
        <v>0</v>
      </c>
      <c r="I807" s="374">
        <v>0</v>
      </c>
      <c r="J807" s="374">
        <f t="shared" ca="1" si="109"/>
        <v>0</v>
      </c>
      <c r="K807" s="374">
        <v>0</v>
      </c>
      <c r="L807" s="374">
        <v>0</v>
      </c>
      <c r="M807" s="374">
        <v>0</v>
      </c>
      <c r="N807" s="374">
        <v>0</v>
      </c>
      <c r="O807" s="374">
        <v>0</v>
      </c>
      <c r="P807" s="374">
        <v>0</v>
      </c>
      <c r="Q807" s="374">
        <v>0</v>
      </c>
      <c r="R807" s="374">
        <v>0</v>
      </c>
      <c r="S807" s="375">
        <v>0</v>
      </c>
      <c r="T807" s="375">
        <v>0</v>
      </c>
      <c r="U807" s="375">
        <v>0</v>
      </c>
      <c r="V807" s="380" t="e">
        <f t="shared" ca="1" si="102"/>
        <v>#NAME?</v>
      </c>
    </row>
    <row r="808" spans="1:22" ht="14.25" hidden="1" customHeight="1">
      <c r="A808" s="383" t="s">
        <v>1290</v>
      </c>
      <c r="B808" s="370" t="e">
        <f ca="1">_xludf.IFNA(VLOOKUP(Bolts!$A808,'Urban Plastix Holds'!$I$37:$L$708,4,0),0)</f>
        <v>#NAME?</v>
      </c>
      <c r="C808" s="384">
        <v>1</v>
      </c>
      <c r="D808" s="373">
        <v>0</v>
      </c>
      <c r="E808" s="373">
        <v>0</v>
      </c>
      <c r="F808" s="374">
        <v>0</v>
      </c>
      <c r="G808" s="374">
        <v>0</v>
      </c>
      <c r="H808" s="374">
        <v>0</v>
      </c>
      <c r="I808" s="374">
        <v>0</v>
      </c>
      <c r="J808" s="374">
        <f t="shared" ca="1" si="109"/>
        <v>0</v>
      </c>
      <c r="K808" s="374">
        <v>0</v>
      </c>
      <c r="L808" s="374">
        <v>0</v>
      </c>
      <c r="M808" s="374">
        <v>0</v>
      </c>
      <c r="N808" s="374">
        <v>0</v>
      </c>
      <c r="O808" s="374">
        <v>0</v>
      </c>
      <c r="P808" s="374">
        <v>0</v>
      </c>
      <c r="Q808" s="374">
        <v>0</v>
      </c>
      <c r="R808" s="374">
        <v>0</v>
      </c>
      <c r="S808" s="375">
        <v>0</v>
      </c>
      <c r="T808" s="375">
        <v>0</v>
      </c>
      <c r="U808" s="375">
        <v>0</v>
      </c>
      <c r="V808" s="380" t="e">
        <f t="shared" ca="1" si="102"/>
        <v>#NAME?</v>
      </c>
    </row>
    <row r="809" spans="1:22" ht="14.25" hidden="1" customHeight="1">
      <c r="A809" s="383" t="s">
        <v>1293</v>
      </c>
      <c r="B809" s="370" t="e">
        <f ca="1">_xludf.IFNA(VLOOKUP(Bolts!$A809,'Urban Plastix Holds'!$I$37:$L$708,4,0),0)</f>
        <v>#NAME?</v>
      </c>
      <c r="C809" s="384">
        <v>4</v>
      </c>
      <c r="D809" s="373">
        <v>0</v>
      </c>
      <c r="E809" s="373">
        <v>0</v>
      </c>
      <c r="F809" s="374">
        <v>0</v>
      </c>
      <c r="G809" s="374">
        <v>0</v>
      </c>
      <c r="H809" s="374">
        <f ca="1">IFERROR(1*B809,0)</f>
        <v>0</v>
      </c>
      <c r="I809" s="374">
        <f ca="1">IFERROR(3*B809,0)</f>
        <v>0</v>
      </c>
      <c r="J809" s="374">
        <v>0</v>
      </c>
      <c r="K809" s="374">
        <v>0</v>
      </c>
      <c r="L809" s="374">
        <v>0</v>
      </c>
      <c r="M809" s="374">
        <v>0</v>
      </c>
      <c r="N809" s="374">
        <v>0</v>
      </c>
      <c r="O809" s="374">
        <v>0</v>
      </c>
      <c r="P809" s="374">
        <v>0</v>
      </c>
      <c r="Q809" s="374">
        <v>0</v>
      </c>
      <c r="R809" s="374">
        <v>0</v>
      </c>
      <c r="S809" s="375">
        <v>0</v>
      </c>
      <c r="T809" s="375">
        <v>0</v>
      </c>
      <c r="U809" s="375">
        <v>0</v>
      </c>
      <c r="V809" s="380" t="e">
        <f t="shared" ca="1" si="102"/>
        <v>#NAME?</v>
      </c>
    </row>
    <row r="810" spans="1:22" ht="14.25" hidden="1" customHeight="1">
      <c r="A810" s="383" t="s">
        <v>1295</v>
      </c>
      <c r="B810" s="370" t="e">
        <f ca="1">_xludf.IFNA(VLOOKUP(Bolts!$A810,'Urban Plastix Holds'!$I$37:$L$708,4,0),0)</f>
        <v>#NAME?</v>
      </c>
      <c r="C810" s="384">
        <v>5</v>
      </c>
      <c r="D810" s="373">
        <v>0</v>
      </c>
      <c r="E810" s="373">
        <v>0</v>
      </c>
      <c r="F810" s="374">
        <v>0</v>
      </c>
      <c r="G810" s="374">
        <v>0</v>
      </c>
      <c r="H810" s="374">
        <v>0</v>
      </c>
      <c r="I810" s="374">
        <v>0</v>
      </c>
      <c r="J810" s="374">
        <f ca="1">IFERROR(5*B810,0)</f>
        <v>0</v>
      </c>
      <c r="K810" s="374">
        <v>0</v>
      </c>
      <c r="L810" s="374">
        <v>0</v>
      </c>
      <c r="M810" s="374">
        <v>0</v>
      </c>
      <c r="N810" s="374">
        <v>0</v>
      </c>
      <c r="O810" s="374">
        <v>0</v>
      </c>
      <c r="P810" s="374">
        <v>0</v>
      </c>
      <c r="Q810" s="374">
        <v>0</v>
      </c>
      <c r="R810" s="374">
        <v>0</v>
      </c>
      <c r="S810" s="375">
        <v>0</v>
      </c>
      <c r="T810" s="375">
        <v>0</v>
      </c>
      <c r="U810" s="375">
        <v>0</v>
      </c>
      <c r="V810" s="380" t="e">
        <f t="shared" ca="1" si="102"/>
        <v>#NAME?</v>
      </c>
    </row>
    <row r="811" spans="1:22" ht="14.25" hidden="1" customHeight="1">
      <c r="A811" s="383" t="s">
        <v>1297</v>
      </c>
      <c r="B811" s="370" t="e">
        <f ca="1">_xludf.IFNA(VLOOKUP(Bolts!$A811,'Urban Plastix Holds'!$I$37:$L$708,4,0),0)</f>
        <v>#NAME?</v>
      </c>
      <c r="C811" s="384">
        <v>4</v>
      </c>
      <c r="D811" s="373">
        <v>0</v>
      </c>
      <c r="E811" s="373">
        <v>0</v>
      </c>
      <c r="F811" s="374">
        <v>0</v>
      </c>
      <c r="G811" s="374">
        <v>0</v>
      </c>
      <c r="H811" s="374">
        <v>0</v>
      </c>
      <c r="I811" s="374">
        <v>0</v>
      </c>
      <c r="J811" s="374">
        <f ca="1">IFERROR(4*B811,0)</f>
        <v>0</v>
      </c>
      <c r="K811" s="374">
        <v>0</v>
      </c>
      <c r="L811" s="374">
        <v>0</v>
      </c>
      <c r="M811" s="374">
        <v>0</v>
      </c>
      <c r="N811" s="374">
        <v>0</v>
      </c>
      <c r="O811" s="374">
        <v>0</v>
      </c>
      <c r="P811" s="374">
        <v>0</v>
      </c>
      <c r="Q811" s="374">
        <v>0</v>
      </c>
      <c r="R811" s="374">
        <v>0</v>
      </c>
      <c r="S811" s="375">
        <v>0</v>
      </c>
      <c r="T811" s="375">
        <v>0</v>
      </c>
      <c r="U811" s="375">
        <v>0</v>
      </c>
      <c r="V811" s="380" t="e">
        <f t="shared" ca="1" si="102"/>
        <v>#NAME?</v>
      </c>
    </row>
    <row r="812" spans="1:22" ht="14.25" hidden="1" customHeight="1">
      <c r="A812" s="383" t="s">
        <v>1305</v>
      </c>
      <c r="B812" s="370" t="e">
        <f ca="1">_xludf.IFNA(VLOOKUP(Bolts!$A812,'Urban Plastix Holds'!$I$37:$L$708,4,0),0)</f>
        <v>#NAME?</v>
      </c>
      <c r="C812" s="384">
        <v>5</v>
      </c>
      <c r="D812" s="373">
        <v>0</v>
      </c>
      <c r="E812" s="373">
        <v>0</v>
      </c>
      <c r="F812" s="374">
        <v>0</v>
      </c>
      <c r="G812" s="374">
        <v>0</v>
      </c>
      <c r="H812" s="374">
        <v>0</v>
      </c>
      <c r="I812" s="374">
        <f ca="1">IFERROR(5*B812,0)</f>
        <v>0</v>
      </c>
      <c r="J812" s="374">
        <v>0</v>
      </c>
      <c r="K812" s="374">
        <v>0</v>
      </c>
      <c r="L812" s="374">
        <v>0</v>
      </c>
      <c r="M812" s="374">
        <v>0</v>
      </c>
      <c r="N812" s="374">
        <v>0</v>
      </c>
      <c r="O812" s="374">
        <v>0</v>
      </c>
      <c r="P812" s="374">
        <v>0</v>
      </c>
      <c r="Q812" s="374">
        <v>0</v>
      </c>
      <c r="R812" s="374">
        <v>0</v>
      </c>
      <c r="S812" s="375">
        <v>0</v>
      </c>
      <c r="T812" s="375">
        <v>0</v>
      </c>
      <c r="U812" s="375">
        <v>0</v>
      </c>
      <c r="V812" s="380" t="e">
        <f t="shared" ca="1" si="102"/>
        <v>#NAME?</v>
      </c>
    </row>
    <row r="813" spans="1:22" ht="14.25" hidden="1" customHeight="1">
      <c r="A813" s="383" t="s">
        <v>1548</v>
      </c>
      <c r="B813" s="370" t="e">
        <f ca="1">_xludf.IFNA(VLOOKUP(Bolts!$A813,'Urban Plastix Holds'!$I$37:$L$708,4,0),0)</f>
        <v>#NAME?</v>
      </c>
      <c r="C813" s="384">
        <v>5</v>
      </c>
      <c r="D813" s="373" t="e">
        <f ca="1">Bolts!$B813*5</f>
        <v>#NAME?</v>
      </c>
      <c r="E813" s="373">
        <v>0</v>
      </c>
      <c r="F813" s="374">
        <v>0</v>
      </c>
      <c r="G813" s="374">
        <v>0</v>
      </c>
      <c r="H813" s="374">
        <v>0</v>
      </c>
      <c r="I813" s="374">
        <v>0</v>
      </c>
      <c r="J813" s="374">
        <v>0</v>
      </c>
      <c r="K813" s="374">
        <v>0</v>
      </c>
      <c r="L813" s="374">
        <v>0</v>
      </c>
      <c r="M813" s="374">
        <v>0</v>
      </c>
      <c r="N813" s="374">
        <v>0</v>
      </c>
      <c r="O813" s="374">
        <v>0</v>
      </c>
      <c r="P813" s="374">
        <v>0</v>
      </c>
      <c r="Q813" s="374" t="e">
        <f ca="1">Bolts!$B813*10</f>
        <v>#NAME?</v>
      </c>
      <c r="R813" s="374">
        <v>0</v>
      </c>
      <c r="S813" s="375">
        <v>0</v>
      </c>
      <c r="T813" s="375">
        <v>0</v>
      </c>
      <c r="U813" s="375">
        <v>0</v>
      </c>
      <c r="V813" s="380" t="e">
        <f t="shared" ca="1" si="102"/>
        <v>#NAME?</v>
      </c>
    </row>
    <row r="814" spans="1:22" ht="14.25" hidden="1" customHeight="1">
      <c r="A814" s="383" t="s">
        <v>1550</v>
      </c>
      <c r="B814" s="370" t="e">
        <f ca="1">_xludf.IFNA(VLOOKUP(Bolts!$A814,'Urban Plastix Holds'!$I$37:$L$708,4,0),0)</f>
        <v>#NAME?</v>
      </c>
      <c r="C814" s="384">
        <v>5</v>
      </c>
      <c r="D814" s="373" t="e">
        <f ca="1">Bolts!$B814*5</f>
        <v>#NAME?</v>
      </c>
      <c r="E814" s="373">
        <v>0</v>
      </c>
      <c r="F814" s="374">
        <v>0</v>
      </c>
      <c r="G814" s="374">
        <v>0</v>
      </c>
      <c r="H814" s="374">
        <v>0</v>
      </c>
      <c r="I814" s="374">
        <v>0</v>
      </c>
      <c r="J814" s="374">
        <v>0</v>
      </c>
      <c r="K814" s="374">
        <v>0</v>
      </c>
      <c r="L814" s="374">
        <v>0</v>
      </c>
      <c r="M814" s="374">
        <v>0</v>
      </c>
      <c r="N814" s="374">
        <v>0</v>
      </c>
      <c r="O814" s="374">
        <v>0</v>
      </c>
      <c r="P814" s="374">
        <v>0</v>
      </c>
      <c r="Q814" s="374" t="e">
        <f ca="1">Bolts!$B814*5</f>
        <v>#NAME?</v>
      </c>
      <c r="R814" s="374">
        <v>0</v>
      </c>
      <c r="S814" s="375">
        <v>0</v>
      </c>
      <c r="T814" s="375">
        <v>0</v>
      </c>
      <c r="U814" s="375">
        <v>0</v>
      </c>
      <c r="V814" s="380" t="e">
        <f t="shared" ca="1" si="102"/>
        <v>#NAME?</v>
      </c>
    </row>
    <row r="815" spans="1:22" ht="14.25" hidden="1" customHeight="1">
      <c r="A815" s="383" t="s">
        <v>1552</v>
      </c>
      <c r="B815" s="370" t="e">
        <f ca="1">_xludf.IFNA(VLOOKUP(Bolts!$A815,'Urban Plastix Holds'!$I$37:$L$708,4,0),0)</f>
        <v>#NAME?</v>
      </c>
      <c r="C815" s="384">
        <v>5</v>
      </c>
      <c r="D815" s="373" t="e">
        <f ca="1">Bolts!$B815*3</f>
        <v>#NAME?</v>
      </c>
      <c r="E815" s="373" t="e">
        <f ca="1">Bolts!$B815*2</f>
        <v>#NAME?</v>
      </c>
      <c r="F815" s="374">
        <v>0</v>
      </c>
      <c r="G815" s="374">
        <v>0</v>
      </c>
      <c r="H815" s="374">
        <v>0</v>
      </c>
      <c r="I815" s="374">
        <v>0</v>
      </c>
      <c r="J815" s="374">
        <v>0</v>
      </c>
      <c r="K815" s="374">
        <v>0</v>
      </c>
      <c r="L815" s="374">
        <v>0</v>
      </c>
      <c r="M815" s="374">
        <v>0</v>
      </c>
      <c r="N815" s="374">
        <v>0</v>
      </c>
      <c r="O815" s="374">
        <v>0</v>
      </c>
      <c r="P815" s="374">
        <v>0</v>
      </c>
      <c r="Q815" s="374" t="e">
        <f ca="1">Bolts!$B815*5</f>
        <v>#NAME?</v>
      </c>
      <c r="R815" s="374">
        <v>0</v>
      </c>
      <c r="S815" s="375">
        <v>0</v>
      </c>
      <c r="T815" s="375">
        <v>0</v>
      </c>
      <c r="U815" s="375">
        <v>0</v>
      </c>
      <c r="V815" s="380" t="e">
        <f t="shared" ca="1" si="102"/>
        <v>#NAME?</v>
      </c>
    </row>
    <row r="816" spans="1:22" ht="14.25" hidden="1" customHeight="1">
      <c r="A816" s="383" t="s">
        <v>1618</v>
      </c>
      <c r="B816" s="370" t="e">
        <f ca="1">_xludf.IFNA(VLOOKUP(Bolts!$A816,'Urban Plastix Holds'!$I$37:$L$708,4,0),0)</f>
        <v>#NAME?</v>
      </c>
      <c r="C816" s="384">
        <v>5</v>
      </c>
      <c r="D816" s="373" t="e">
        <f ca="1">Bolts!$B816*5</f>
        <v>#NAME?</v>
      </c>
      <c r="E816" s="373">
        <v>0</v>
      </c>
      <c r="F816" s="374">
        <v>0</v>
      </c>
      <c r="G816" s="374">
        <v>0</v>
      </c>
      <c r="H816" s="374">
        <v>0</v>
      </c>
      <c r="I816" s="374">
        <v>0</v>
      </c>
      <c r="J816" s="374">
        <v>0</v>
      </c>
      <c r="K816" s="374">
        <v>0</v>
      </c>
      <c r="L816" s="374">
        <v>0</v>
      </c>
      <c r="M816" s="374">
        <v>0</v>
      </c>
      <c r="N816" s="374">
        <v>0</v>
      </c>
      <c r="O816" s="374">
        <v>0</v>
      </c>
      <c r="P816" s="374">
        <v>0</v>
      </c>
      <c r="Q816" s="374" t="e">
        <f t="shared" ref="Q816:Q817" ca="1" si="110">B816*5</f>
        <v>#NAME?</v>
      </c>
      <c r="R816" s="374">
        <v>0</v>
      </c>
      <c r="S816" s="375">
        <v>0</v>
      </c>
      <c r="T816" s="375">
        <v>0</v>
      </c>
      <c r="U816" s="375">
        <v>0</v>
      </c>
      <c r="V816" s="380" t="e">
        <f t="shared" ca="1" si="102"/>
        <v>#NAME?</v>
      </c>
    </row>
    <row r="817" spans="1:22" ht="14.25" hidden="1" customHeight="1">
      <c r="A817" s="383" t="s">
        <v>1620</v>
      </c>
      <c r="B817" s="370" t="e">
        <f ca="1">_xludf.IFNA(VLOOKUP(Bolts!$A817,'Urban Plastix Holds'!$I$37:$L$708,4,0),0)</f>
        <v>#NAME?</v>
      </c>
      <c r="C817" s="384">
        <v>5</v>
      </c>
      <c r="D817" s="373" t="e">
        <f ca="1">Bolts!$B817*5</f>
        <v>#NAME?</v>
      </c>
      <c r="E817" s="373">
        <v>0</v>
      </c>
      <c r="F817" s="374">
        <v>0</v>
      </c>
      <c r="G817" s="374">
        <v>0</v>
      </c>
      <c r="H817" s="374">
        <v>0</v>
      </c>
      <c r="I817" s="374">
        <v>0</v>
      </c>
      <c r="J817" s="374">
        <v>0</v>
      </c>
      <c r="K817" s="374">
        <v>0</v>
      </c>
      <c r="L817" s="374">
        <v>0</v>
      </c>
      <c r="M817" s="374">
        <v>0</v>
      </c>
      <c r="N817" s="374">
        <v>0</v>
      </c>
      <c r="O817" s="374">
        <v>0</v>
      </c>
      <c r="P817" s="374">
        <v>0</v>
      </c>
      <c r="Q817" s="374" t="e">
        <f t="shared" ca="1" si="110"/>
        <v>#NAME?</v>
      </c>
      <c r="R817" s="374">
        <v>0</v>
      </c>
      <c r="S817" s="375">
        <v>0</v>
      </c>
      <c r="T817" s="375">
        <v>0</v>
      </c>
      <c r="U817" s="375">
        <v>0</v>
      </c>
      <c r="V817" s="380" t="e">
        <f t="shared" ca="1" si="102"/>
        <v>#NAME?</v>
      </c>
    </row>
    <row r="818" spans="1:22" ht="14.25" hidden="1" customHeight="1">
      <c r="A818" s="383" t="s">
        <v>1686</v>
      </c>
      <c r="B818" s="370" t="e">
        <f ca="1">_xludf.IFNA(VLOOKUP(Bolts!$A818,'Urban Plastix Holds'!$I$37:$L$708,4,0),0)</f>
        <v>#NAME?</v>
      </c>
      <c r="C818" s="384">
        <v>16</v>
      </c>
      <c r="D818" s="373" t="e">
        <f ca="1">Bolts!$B818*16</f>
        <v>#NAME?</v>
      </c>
      <c r="E818" s="373">
        <v>0</v>
      </c>
      <c r="F818" s="374">
        <v>0</v>
      </c>
      <c r="G818" s="374">
        <v>0</v>
      </c>
      <c r="H818" s="374">
        <v>0</v>
      </c>
      <c r="I818" s="374">
        <v>0</v>
      </c>
      <c r="J818" s="374">
        <v>0</v>
      </c>
      <c r="K818" s="374">
        <v>0</v>
      </c>
      <c r="L818" s="374">
        <v>0</v>
      </c>
      <c r="M818" s="374">
        <v>0</v>
      </c>
      <c r="N818" s="374">
        <v>0</v>
      </c>
      <c r="O818" s="374">
        <v>0</v>
      </c>
      <c r="P818" s="374">
        <v>0</v>
      </c>
      <c r="Q818" s="374">
        <v>0</v>
      </c>
      <c r="R818" s="374">
        <v>0</v>
      </c>
      <c r="S818" s="375">
        <v>0</v>
      </c>
      <c r="T818" s="375">
        <v>0</v>
      </c>
      <c r="U818" s="375">
        <v>0</v>
      </c>
      <c r="V818" s="380" t="e">
        <f t="shared" ca="1" si="102"/>
        <v>#NAME?</v>
      </c>
    </row>
    <row r="819" spans="1:22" ht="14.25" hidden="1" customHeight="1">
      <c r="A819" s="383" t="s">
        <v>1653</v>
      </c>
      <c r="B819" s="370" t="e">
        <f ca="1">_xludf.IFNA(VLOOKUP(Bolts!$A819,'Urban Plastix Holds'!$I$37:$L$708,4,0),0)</f>
        <v>#NAME?</v>
      </c>
      <c r="C819" s="384">
        <v>10</v>
      </c>
      <c r="D819" s="373">
        <v>0</v>
      </c>
      <c r="E819" s="373" t="e">
        <f ca="1">Bolts!$B819*10</f>
        <v>#NAME?</v>
      </c>
      <c r="F819" s="374">
        <v>0</v>
      </c>
      <c r="G819" s="374">
        <v>0</v>
      </c>
      <c r="H819" s="374">
        <v>0</v>
      </c>
      <c r="I819" s="374">
        <v>0</v>
      </c>
      <c r="J819" s="374">
        <v>0</v>
      </c>
      <c r="K819" s="374">
        <v>0</v>
      </c>
      <c r="L819" s="374">
        <v>0</v>
      </c>
      <c r="M819" s="374">
        <v>0</v>
      </c>
      <c r="N819" s="374">
        <v>0</v>
      </c>
      <c r="O819" s="374">
        <v>0</v>
      </c>
      <c r="P819" s="374">
        <v>0</v>
      </c>
      <c r="Q819" s="374">
        <v>0</v>
      </c>
      <c r="R819" s="374">
        <v>0</v>
      </c>
      <c r="S819" s="375">
        <v>0</v>
      </c>
      <c r="T819" s="375">
        <v>0</v>
      </c>
      <c r="U819" s="375">
        <v>0</v>
      </c>
      <c r="V819" s="380" t="e">
        <f t="shared" ca="1" si="102"/>
        <v>#NAME?</v>
      </c>
    </row>
    <row r="820" spans="1:22" ht="14.25" hidden="1" customHeight="1">
      <c r="A820" s="383" t="s">
        <v>1622</v>
      </c>
      <c r="B820" s="370" t="e">
        <f ca="1">_xludf.IFNA(VLOOKUP(Bolts!$A820,'Urban Plastix Holds'!$I$37:$L$708,4,0),0)</f>
        <v>#NAME?</v>
      </c>
      <c r="C820" s="384">
        <v>10</v>
      </c>
      <c r="D820" s="373" t="e">
        <f ca="1">Bolts!$B820*5</f>
        <v>#NAME?</v>
      </c>
      <c r="E820" s="373" t="e">
        <f ca="1">Bolts!$B820*5</f>
        <v>#NAME?</v>
      </c>
      <c r="F820" s="374">
        <v>0</v>
      </c>
      <c r="G820" s="374">
        <v>0</v>
      </c>
      <c r="H820" s="374">
        <v>0</v>
      </c>
      <c r="I820" s="374">
        <v>0</v>
      </c>
      <c r="J820" s="374">
        <v>0</v>
      </c>
      <c r="K820" s="374">
        <v>0</v>
      </c>
      <c r="L820" s="374">
        <v>0</v>
      </c>
      <c r="M820" s="374">
        <v>0</v>
      </c>
      <c r="N820" s="374">
        <v>0</v>
      </c>
      <c r="O820" s="374">
        <v>0</v>
      </c>
      <c r="P820" s="374">
        <v>0</v>
      </c>
      <c r="Q820" s="374" t="e">
        <f ca="1">Bolts!$B820*10</f>
        <v>#NAME?</v>
      </c>
      <c r="R820" s="374">
        <v>0</v>
      </c>
      <c r="S820" s="375">
        <v>0</v>
      </c>
      <c r="T820" s="375">
        <v>0</v>
      </c>
      <c r="U820" s="375">
        <v>0</v>
      </c>
      <c r="V820" s="380" t="e">
        <f t="shared" ca="1" si="102"/>
        <v>#NAME?</v>
      </c>
    </row>
    <row r="821" spans="1:22" ht="14.25" hidden="1" customHeight="1">
      <c r="A821" s="383" t="s">
        <v>1873</v>
      </c>
      <c r="B821" s="370" t="e">
        <f ca="1">_xludf.IFNA(VLOOKUP(Bolts!$A821,'Urban Plastix Holds'!$I$37:$L$708,4,0),0)</f>
        <v>#NAME?</v>
      </c>
      <c r="C821" s="384">
        <v>1</v>
      </c>
      <c r="D821" s="373">
        <v>0</v>
      </c>
      <c r="E821" s="373">
        <v>0</v>
      </c>
      <c r="F821" s="374">
        <v>0</v>
      </c>
      <c r="G821" s="374">
        <v>0</v>
      </c>
      <c r="H821" s="374">
        <v>0</v>
      </c>
      <c r="I821" s="374">
        <v>0</v>
      </c>
      <c r="J821" s="374">
        <v>0</v>
      </c>
      <c r="K821" s="374">
        <v>0</v>
      </c>
      <c r="L821" s="374">
        <v>0</v>
      </c>
      <c r="M821" s="374">
        <v>0</v>
      </c>
      <c r="N821" s="374">
        <v>0</v>
      </c>
      <c r="O821" s="374">
        <v>0</v>
      </c>
      <c r="P821" s="374">
        <v>0</v>
      </c>
      <c r="Q821" s="374" t="e">
        <f ca="1">Bolts!$B821*8</f>
        <v>#NAME?</v>
      </c>
      <c r="R821" s="374" t="e">
        <f ca="1">Bolts!$B821*5</f>
        <v>#NAME?</v>
      </c>
      <c r="S821" s="375">
        <v>0</v>
      </c>
      <c r="T821" s="375">
        <v>0</v>
      </c>
      <c r="U821" s="375">
        <v>0</v>
      </c>
      <c r="V821" s="380" t="e">
        <f t="shared" ca="1" si="102"/>
        <v>#NAME?</v>
      </c>
    </row>
    <row r="822" spans="1:22" ht="14.25" hidden="1" customHeight="1">
      <c r="A822" s="383" t="s">
        <v>1715</v>
      </c>
      <c r="B822" s="370" t="e">
        <f ca="1">_xludf.IFNA(VLOOKUP(Bolts!$A822,'Urban Plastix Holds'!$I$37:$L$708,4,0),0)</f>
        <v>#NAME?</v>
      </c>
      <c r="C822" s="384">
        <v>3</v>
      </c>
      <c r="D822" s="373">
        <v>0</v>
      </c>
      <c r="E822" s="373">
        <v>0</v>
      </c>
      <c r="F822" s="374">
        <v>0</v>
      </c>
      <c r="G822" s="374">
        <v>0</v>
      </c>
      <c r="H822" s="374">
        <v>0</v>
      </c>
      <c r="I822" s="374">
        <v>0</v>
      </c>
      <c r="J822" s="374" t="e">
        <f ca="1">3*Bolts!$B822</f>
        <v>#NAME?</v>
      </c>
      <c r="K822" s="374">
        <v>0</v>
      </c>
      <c r="L822" s="374">
        <v>0</v>
      </c>
      <c r="M822" s="374">
        <v>0</v>
      </c>
      <c r="N822" s="374">
        <v>0</v>
      </c>
      <c r="O822" s="374">
        <v>0</v>
      </c>
      <c r="P822" s="374">
        <v>0</v>
      </c>
      <c r="Q822" s="374" t="e">
        <f ca="1">3*Bolts!$B822</f>
        <v>#NAME?</v>
      </c>
      <c r="R822" s="374">
        <v>0</v>
      </c>
      <c r="S822" s="375">
        <v>0</v>
      </c>
      <c r="T822" s="375">
        <v>0</v>
      </c>
      <c r="U822" s="375">
        <v>0</v>
      </c>
      <c r="V822" s="380" t="e">
        <f t="shared" ca="1" si="102"/>
        <v>#NAME?</v>
      </c>
    </row>
    <row r="823" spans="1:22" ht="14.25" hidden="1" customHeight="1">
      <c r="A823" s="383" t="s">
        <v>1563</v>
      </c>
      <c r="B823" s="370" t="e">
        <f ca="1">_xludf.IFNA(VLOOKUP(Bolts!$A823,'Urban Plastix Holds'!$I$37:$L$708,4,0),0)</f>
        <v>#NAME?</v>
      </c>
      <c r="C823" s="384">
        <v>5</v>
      </c>
      <c r="D823" s="373">
        <v>0</v>
      </c>
      <c r="E823" s="373">
        <v>0</v>
      </c>
      <c r="F823" s="374" t="e">
        <f ca="1">1*Bolts!$B823</f>
        <v>#NAME?</v>
      </c>
      <c r="G823" s="374" t="e">
        <f ca="1">3*Bolts!$B823</f>
        <v>#NAME?</v>
      </c>
      <c r="H823" s="374" t="e">
        <f ca="1">1*Bolts!$B823</f>
        <v>#NAME?</v>
      </c>
      <c r="I823" s="374">
        <v>0</v>
      </c>
      <c r="J823" s="374">
        <v>0</v>
      </c>
      <c r="K823" s="374">
        <v>0</v>
      </c>
      <c r="L823" s="374">
        <v>0</v>
      </c>
      <c r="M823" s="374">
        <v>0</v>
      </c>
      <c r="N823" s="374">
        <v>0</v>
      </c>
      <c r="O823" s="374">
        <v>0</v>
      </c>
      <c r="P823" s="374">
        <v>0</v>
      </c>
      <c r="Q823" s="374" t="e">
        <f ca="1">10*Bolts!$B823</f>
        <v>#NAME?</v>
      </c>
      <c r="R823" s="374">
        <v>0</v>
      </c>
      <c r="S823" s="375">
        <v>0</v>
      </c>
      <c r="T823" s="375">
        <v>0</v>
      </c>
      <c r="U823" s="375">
        <v>0</v>
      </c>
      <c r="V823" s="380" t="e">
        <f t="shared" ca="1" si="102"/>
        <v>#NAME?</v>
      </c>
    </row>
    <row r="824" spans="1:22" ht="14.25" hidden="1" customHeight="1">
      <c r="A824" s="383" t="s">
        <v>1717</v>
      </c>
      <c r="B824" s="370" t="e">
        <f ca="1">_xludf.IFNA(VLOOKUP(Bolts!$A824,'Urban Plastix Holds'!$I$37:$L$708,4,0),0)</f>
        <v>#NAME?</v>
      </c>
      <c r="C824" s="384">
        <v>5</v>
      </c>
      <c r="D824" s="373">
        <v>0</v>
      </c>
      <c r="E824" s="373">
        <v>0</v>
      </c>
      <c r="F824" s="374" t="e">
        <f ca="1">2*Bolts!$B824</f>
        <v>#NAME?</v>
      </c>
      <c r="G824" s="374" t="e">
        <f ca="1">3*Bolts!$B824</f>
        <v>#NAME?</v>
      </c>
      <c r="H824" s="374">
        <v>0</v>
      </c>
      <c r="I824" s="374">
        <v>0</v>
      </c>
      <c r="J824" s="374">
        <v>0</v>
      </c>
      <c r="K824" s="374">
        <v>0</v>
      </c>
      <c r="L824" s="374">
        <v>0</v>
      </c>
      <c r="M824" s="374">
        <v>0</v>
      </c>
      <c r="N824" s="374">
        <v>0</v>
      </c>
      <c r="O824" s="374">
        <v>0</v>
      </c>
      <c r="P824" s="374">
        <v>0</v>
      </c>
      <c r="Q824" s="374" t="e">
        <f ca="1">5*Bolts!$B824</f>
        <v>#NAME?</v>
      </c>
      <c r="R824" s="374">
        <v>0</v>
      </c>
      <c r="S824" s="375">
        <v>0</v>
      </c>
      <c r="T824" s="375">
        <v>0</v>
      </c>
      <c r="U824" s="375">
        <v>0</v>
      </c>
      <c r="V824" s="380" t="e">
        <f t="shared" ca="1" si="102"/>
        <v>#NAME?</v>
      </c>
    </row>
    <row r="825" spans="1:22" ht="14.25" hidden="1" customHeight="1">
      <c r="A825" s="383" t="s">
        <v>1707</v>
      </c>
      <c r="B825" s="370" t="e">
        <f ca="1">_xludf.IFNA(VLOOKUP(Bolts!$A825,'Urban Plastix Holds'!$I$37:$L$708,4,0),0)</f>
        <v>#NAME?</v>
      </c>
      <c r="C825" s="384">
        <v>3</v>
      </c>
      <c r="D825" s="373">
        <v>0</v>
      </c>
      <c r="E825" s="373">
        <v>0</v>
      </c>
      <c r="F825" s="374">
        <v>0</v>
      </c>
      <c r="G825" s="374">
        <v>0</v>
      </c>
      <c r="H825" s="374" t="e">
        <f ca="1">1*Bolts!$B825</f>
        <v>#NAME?</v>
      </c>
      <c r="I825" s="374" t="e">
        <f ca="1">1*Bolts!$B825</f>
        <v>#NAME?</v>
      </c>
      <c r="J825" s="374">
        <v>0</v>
      </c>
      <c r="K825" s="374" t="e">
        <f ca="1">1*Bolts!$B825</f>
        <v>#NAME?</v>
      </c>
      <c r="L825" s="374">
        <v>0</v>
      </c>
      <c r="M825" s="374">
        <v>0</v>
      </c>
      <c r="N825" s="374">
        <v>0</v>
      </c>
      <c r="O825" s="374">
        <v>0</v>
      </c>
      <c r="P825" s="374">
        <v>0</v>
      </c>
      <c r="Q825" s="374" t="e">
        <f ca="1">12*Bolts!$B825</f>
        <v>#NAME?</v>
      </c>
      <c r="R825" s="374">
        <v>0</v>
      </c>
      <c r="S825" s="375">
        <v>0</v>
      </c>
      <c r="T825" s="375">
        <v>0</v>
      </c>
      <c r="U825" s="375">
        <v>0</v>
      </c>
      <c r="V825" s="380" t="e">
        <f t="shared" ca="1" si="102"/>
        <v>#NAME?</v>
      </c>
    </row>
    <row r="826" spans="1:22" ht="14.25" hidden="1" customHeight="1">
      <c r="A826" s="383" t="s">
        <v>1736</v>
      </c>
      <c r="B826" s="370" t="e">
        <f ca="1">_xludf.IFNA(VLOOKUP(Bolts!$A826,'Urban Plastix Holds'!$I$37:$L$708,4,0),0)</f>
        <v>#NAME?</v>
      </c>
      <c r="C826" s="384">
        <v>10</v>
      </c>
      <c r="D826" s="373">
        <v>0</v>
      </c>
      <c r="E826" s="373" t="e">
        <f ca="1">10*Bolts!$B826</f>
        <v>#NAME?</v>
      </c>
      <c r="F826" s="374">
        <v>0</v>
      </c>
      <c r="G826" s="374">
        <v>0</v>
      </c>
      <c r="H826" s="374">
        <v>0</v>
      </c>
      <c r="I826" s="374">
        <v>0</v>
      </c>
      <c r="J826" s="374">
        <v>0</v>
      </c>
      <c r="K826" s="374">
        <v>0</v>
      </c>
      <c r="L826" s="374">
        <v>0</v>
      </c>
      <c r="M826" s="374">
        <v>0</v>
      </c>
      <c r="N826" s="374">
        <v>0</v>
      </c>
      <c r="O826" s="374">
        <v>0</v>
      </c>
      <c r="P826" s="374">
        <v>0</v>
      </c>
      <c r="Q826" s="374" t="e">
        <f ca="1">10*Bolts!$B826</f>
        <v>#NAME?</v>
      </c>
      <c r="R826" s="374">
        <v>0</v>
      </c>
      <c r="S826" s="375">
        <v>0</v>
      </c>
      <c r="T826" s="375">
        <v>0</v>
      </c>
      <c r="U826" s="375">
        <v>0</v>
      </c>
      <c r="V826" s="380" t="e">
        <f t="shared" ca="1" si="102"/>
        <v>#NAME?</v>
      </c>
    </row>
    <row r="827" spans="1:22" ht="14.25" hidden="1" customHeight="1">
      <c r="A827" s="383" t="s">
        <v>1725</v>
      </c>
      <c r="B827" s="370" t="e">
        <f ca="1">_xludf.IFNA(VLOOKUP(Bolts!$A827,'Urban Plastix Holds'!$I$37:$L$708,4,0),0)</f>
        <v>#NAME?</v>
      </c>
      <c r="C827" s="384">
        <v>5</v>
      </c>
      <c r="D827" s="373">
        <v>0</v>
      </c>
      <c r="E827" s="373">
        <v>0</v>
      </c>
      <c r="F827" s="374" t="e">
        <f ca="1">5*Bolts!$B827</f>
        <v>#NAME?</v>
      </c>
      <c r="G827" s="374">
        <v>0</v>
      </c>
      <c r="H827" s="374">
        <v>0</v>
      </c>
      <c r="I827" s="374">
        <v>0</v>
      </c>
      <c r="J827" s="374">
        <v>0</v>
      </c>
      <c r="K827" s="374">
        <v>0</v>
      </c>
      <c r="L827" s="374">
        <v>0</v>
      </c>
      <c r="M827" s="374">
        <v>0</v>
      </c>
      <c r="N827" s="374">
        <v>0</v>
      </c>
      <c r="O827" s="374">
        <v>0</v>
      </c>
      <c r="P827" s="374">
        <v>0</v>
      </c>
      <c r="Q827" s="374" t="e">
        <f ca="1">5*Bolts!$B827</f>
        <v>#NAME?</v>
      </c>
      <c r="R827" s="374">
        <v>0</v>
      </c>
      <c r="S827" s="375">
        <v>0</v>
      </c>
      <c r="T827" s="375">
        <v>0</v>
      </c>
      <c r="U827" s="375">
        <v>0</v>
      </c>
      <c r="V827" s="380" t="e">
        <f t="shared" ca="1" si="102"/>
        <v>#NAME?</v>
      </c>
    </row>
    <row r="828" spans="1:22" ht="14.25" hidden="1" customHeight="1">
      <c r="A828" s="383" t="s">
        <v>1738</v>
      </c>
      <c r="B828" s="370" t="e">
        <f ca="1">_xludf.IFNA(VLOOKUP(Bolts!$A828,'Urban Plastix Holds'!$I$37:$L$708,4,0),0)</f>
        <v>#NAME?</v>
      </c>
      <c r="C828" s="384">
        <v>10</v>
      </c>
      <c r="D828" s="373">
        <v>0</v>
      </c>
      <c r="E828" s="373" t="e">
        <f ca="1">10*Bolts!$B828</f>
        <v>#NAME?</v>
      </c>
      <c r="F828" s="374">
        <v>0</v>
      </c>
      <c r="G828" s="374">
        <v>0</v>
      </c>
      <c r="H828" s="374">
        <v>0</v>
      </c>
      <c r="I828" s="374">
        <v>0</v>
      </c>
      <c r="J828" s="374">
        <v>0</v>
      </c>
      <c r="K828" s="374">
        <v>0</v>
      </c>
      <c r="L828" s="374">
        <v>0</v>
      </c>
      <c r="M828" s="374">
        <v>0</v>
      </c>
      <c r="N828" s="374">
        <v>0</v>
      </c>
      <c r="O828" s="374">
        <v>0</v>
      </c>
      <c r="P828" s="374">
        <v>0</v>
      </c>
      <c r="Q828" s="374" t="e">
        <f ca="1">10*Bolts!$B828</f>
        <v>#NAME?</v>
      </c>
      <c r="R828" s="374">
        <v>0</v>
      </c>
      <c r="S828" s="375">
        <v>0</v>
      </c>
      <c r="T828" s="375">
        <v>0</v>
      </c>
      <c r="U828" s="375">
        <v>0</v>
      </c>
      <c r="V828" s="380" t="e">
        <f t="shared" ca="1" si="102"/>
        <v>#NAME?</v>
      </c>
    </row>
    <row r="829" spans="1:22" ht="14.25" hidden="1" customHeight="1">
      <c r="A829" s="383" t="s">
        <v>1729</v>
      </c>
      <c r="B829" s="370" t="e">
        <f ca="1">_xludf.IFNA(VLOOKUP(Bolts!$A829,'Urban Plastix Holds'!$I$37:$L$708,4,0),0)</f>
        <v>#NAME?</v>
      </c>
      <c r="C829" s="384">
        <v>5</v>
      </c>
      <c r="D829" s="373">
        <v>0</v>
      </c>
      <c r="E829" s="373">
        <v>0</v>
      </c>
      <c r="F829" s="374" t="e">
        <f ca="1">5*Bolts!$B829</f>
        <v>#NAME?</v>
      </c>
      <c r="G829" s="374">
        <v>0</v>
      </c>
      <c r="H829" s="374">
        <v>0</v>
      </c>
      <c r="I829" s="374">
        <v>0</v>
      </c>
      <c r="J829" s="374">
        <v>0</v>
      </c>
      <c r="K829" s="374">
        <v>0</v>
      </c>
      <c r="L829" s="374">
        <v>0</v>
      </c>
      <c r="M829" s="374">
        <v>0</v>
      </c>
      <c r="N829" s="374">
        <v>0</v>
      </c>
      <c r="O829" s="374">
        <v>0</v>
      </c>
      <c r="P829" s="374">
        <v>0</v>
      </c>
      <c r="Q829" s="374" t="e">
        <f ca="1">19*Bolts!$B829</f>
        <v>#NAME?</v>
      </c>
      <c r="R829" s="374">
        <v>0</v>
      </c>
      <c r="S829" s="375">
        <v>0</v>
      </c>
      <c r="T829" s="375">
        <v>0</v>
      </c>
      <c r="U829" s="375">
        <v>0</v>
      </c>
      <c r="V829" s="380" t="e">
        <f t="shared" ca="1" si="102"/>
        <v>#NAME?</v>
      </c>
    </row>
    <row r="830" spans="1:22" ht="14.25" hidden="1" customHeight="1">
      <c r="A830" s="383" t="s">
        <v>1709</v>
      </c>
      <c r="B830" s="370" t="e">
        <f ca="1">_xludf.IFNA(VLOOKUP(Bolts!$A830,'Urban Plastix Holds'!$I$37:$L$708,4,0),0)</f>
        <v>#NAME?</v>
      </c>
      <c r="C830" s="384">
        <v>3</v>
      </c>
      <c r="D830" s="373">
        <v>0</v>
      </c>
      <c r="E830" s="373">
        <v>0</v>
      </c>
      <c r="F830" s="374">
        <v>0</v>
      </c>
      <c r="G830" s="374" t="e">
        <f ca="1">1*Bolts!$B830</f>
        <v>#NAME?</v>
      </c>
      <c r="H830" s="374" t="e">
        <f ca="1">1*Bolts!$B830</f>
        <v>#NAME?</v>
      </c>
      <c r="I830" s="374" t="e">
        <f ca="1">1*Bolts!$B830</f>
        <v>#NAME?</v>
      </c>
      <c r="J830" s="374">
        <v>0</v>
      </c>
      <c r="K830" s="374">
        <v>0</v>
      </c>
      <c r="L830" s="374">
        <v>0</v>
      </c>
      <c r="M830" s="374">
        <v>0</v>
      </c>
      <c r="N830" s="374">
        <v>0</v>
      </c>
      <c r="O830" s="374">
        <v>0</v>
      </c>
      <c r="P830" s="374">
        <v>0</v>
      </c>
      <c r="Q830" s="374" t="e">
        <f ca="1">15*Bolts!$B830</f>
        <v>#NAME?</v>
      </c>
      <c r="R830" s="374">
        <v>0</v>
      </c>
      <c r="S830" s="375">
        <v>0</v>
      </c>
      <c r="T830" s="375">
        <v>0</v>
      </c>
      <c r="U830" s="375">
        <v>0</v>
      </c>
      <c r="V830" s="380" t="e">
        <f t="shared" ca="1" si="102"/>
        <v>#NAME?</v>
      </c>
    </row>
    <row r="831" spans="1:22" ht="14.25" hidden="1" customHeight="1">
      <c r="A831" s="383" t="s">
        <v>1740</v>
      </c>
      <c r="B831" s="370" t="e">
        <f ca="1">_xludf.IFNA(VLOOKUP(Bolts!$A831,'Urban Plastix Holds'!$I$37:$L$708,4,0),0)</f>
        <v>#NAME?</v>
      </c>
      <c r="C831" s="384">
        <v>10</v>
      </c>
      <c r="D831" s="373" t="e">
        <f ca="1">10*Bolts!$B831</f>
        <v>#NAME?</v>
      </c>
      <c r="E831" s="373">
        <v>0</v>
      </c>
      <c r="F831" s="374">
        <v>0</v>
      </c>
      <c r="G831" s="374">
        <v>0</v>
      </c>
      <c r="H831" s="374">
        <v>0</v>
      </c>
      <c r="I831" s="374">
        <v>0</v>
      </c>
      <c r="J831" s="374">
        <v>0</v>
      </c>
      <c r="K831" s="374">
        <v>0</v>
      </c>
      <c r="L831" s="374">
        <v>0</v>
      </c>
      <c r="M831" s="374">
        <v>0</v>
      </c>
      <c r="N831" s="374">
        <v>0</v>
      </c>
      <c r="O831" s="374">
        <v>0</v>
      </c>
      <c r="P831" s="374">
        <v>0</v>
      </c>
      <c r="Q831" s="374" t="e">
        <f ca="1">10*Bolts!$B831</f>
        <v>#NAME?</v>
      </c>
      <c r="R831" s="374">
        <v>0</v>
      </c>
      <c r="S831" s="375">
        <v>0</v>
      </c>
      <c r="T831" s="375">
        <v>0</v>
      </c>
      <c r="U831" s="375">
        <v>0</v>
      </c>
      <c r="V831" s="380" t="e">
        <f t="shared" ca="1" si="102"/>
        <v>#NAME?</v>
      </c>
    </row>
    <row r="832" spans="1:22" ht="14.25" hidden="1" customHeight="1">
      <c r="A832" s="383" t="s">
        <v>1731</v>
      </c>
      <c r="B832" s="370" t="e">
        <f ca="1">_xludf.IFNA(VLOOKUP(Bolts!$A832,'Urban Plastix Holds'!$I$37:$L$708,4,0),0)</f>
        <v>#NAME?</v>
      </c>
      <c r="C832" s="384">
        <v>5</v>
      </c>
      <c r="D832" s="373">
        <v>0</v>
      </c>
      <c r="E832" s="373">
        <v>0</v>
      </c>
      <c r="F832" s="374" t="e">
        <f ca="1">5*Bolts!$B832</f>
        <v>#NAME?</v>
      </c>
      <c r="G832" s="374">
        <v>0</v>
      </c>
      <c r="H832" s="374">
        <v>0</v>
      </c>
      <c r="I832" s="374">
        <v>0</v>
      </c>
      <c r="J832" s="374">
        <v>0</v>
      </c>
      <c r="K832" s="374">
        <v>0</v>
      </c>
      <c r="L832" s="374">
        <v>0</v>
      </c>
      <c r="M832" s="374">
        <v>0</v>
      </c>
      <c r="N832" s="374">
        <v>0</v>
      </c>
      <c r="O832" s="374">
        <v>0</v>
      </c>
      <c r="P832" s="374">
        <v>0</v>
      </c>
      <c r="Q832" s="374" t="e">
        <f ca="1">5*Bolts!$B832</f>
        <v>#NAME?</v>
      </c>
      <c r="R832" s="374">
        <v>0</v>
      </c>
      <c r="S832" s="375">
        <v>0</v>
      </c>
      <c r="T832" s="375">
        <v>0</v>
      </c>
      <c r="U832" s="375">
        <v>0</v>
      </c>
      <c r="V832" s="380" t="e">
        <f t="shared" ca="1" si="102"/>
        <v>#NAME?</v>
      </c>
    </row>
    <row r="833" spans="1:22" ht="14.25" hidden="1" customHeight="1">
      <c r="A833" s="383" t="s">
        <v>1437</v>
      </c>
      <c r="B833" s="370" t="e">
        <f ca="1">_xludf.IFNA(VLOOKUP(Bolts!$A833,'Urban Plastix Holds'!$I$37:$L$708,4,0),0)</f>
        <v>#NAME?</v>
      </c>
      <c r="C833" s="384">
        <v>10</v>
      </c>
      <c r="D833" s="373" t="e">
        <f ca="1">10*Bolts!$B833</f>
        <v>#NAME?</v>
      </c>
      <c r="E833" s="373">
        <v>0</v>
      </c>
      <c r="F833" s="374">
        <v>0</v>
      </c>
      <c r="G833" s="374">
        <v>0</v>
      </c>
      <c r="H833" s="374">
        <v>0</v>
      </c>
      <c r="I833" s="374">
        <v>0</v>
      </c>
      <c r="J833" s="374">
        <v>0</v>
      </c>
      <c r="K833" s="374">
        <v>0</v>
      </c>
      <c r="L833" s="374">
        <v>0</v>
      </c>
      <c r="M833" s="374">
        <v>0</v>
      </c>
      <c r="N833" s="374">
        <v>0</v>
      </c>
      <c r="O833" s="374">
        <v>0</v>
      </c>
      <c r="P833" s="374">
        <v>0</v>
      </c>
      <c r="Q833" s="374" t="e">
        <f ca="1">10*Bolts!$B833</f>
        <v>#NAME?</v>
      </c>
      <c r="R833" s="374">
        <v>0</v>
      </c>
      <c r="S833" s="375">
        <v>0</v>
      </c>
      <c r="T833" s="375">
        <v>0</v>
      </c>
      <c r="U833" s="375">
        <v>0</v>
      </c>
      <c r="V833" s="380" t="e">
        <f t="shared" ca="1" si="102"/>
        <v>#NAME?</v>
      </c>
    </row>
    <row r="834" spans="1:22" ht="14.25" hidden="1" customHeight="1">
      <c r="A834" s="383" t="s">
        <v>1373</v>
      </c>
      <c r="B834" s="370" t="e">
        <f ca="1">_xludf.IFNA(VLOOKUP(Bolts!$A834,'Urban Plastix Holds'!$I$37:$L$708,4,0),0)</f>
        <v>#NAME?</v>
      </c>
      <c r="C834" s="384">
        <v>5</v>
      </c>
      <c r="D834" s="373">
        <v>0</v>
      </c>
      <c r="E834" s="373">
        <v>0</v>
      </c>
      <c r="F834" s="374" t="e">
        <f ca="1">5*Bolts!$B834</f>
        <v>#NAME?</v>
      </c>
      <c r="G834" s="374">
        <v>0</v>
      </c>
      <c r="H834" s="374">
        <v>0</v>
      </c>
      <c r="I834" s="374">
        <v>0</v>
      </c>
      <c r="J834" s="374">
        <v>0</v>
      </c>
      <c r="K834" s="374">
        <v>0</v>
      </c>
      <c r="L834" s="374">
        <v>0</v>
      </c>
      <c r="M834" s="374">
        <v>0</v>
      </c>
      <c r="N834" s="374">
        <v>0</v>
      </c>
      <c r="O834" s="374">
        <v>0</v>
      </c>
      <c r="P834" s="374">
        <v>0</v>
      </c>
      <c r="Q834" s="374" t="e">
        <f ca="1">20*Bolts!$B834</f>
        <v>#NAME?</v>
      </c>
      <c r="R834" s="374">
        <v>0</v>
      </c>
      <c r="S834" s="374">
        <v>0</v>
      </c>
      <c r="T834" s="374">
        <v>0</v>
      </c>
      <c r="U834" s="374">
        <v>0</v>
      </c>
      <c r="V834" s="380" t="e">
        <f t="shared" ca="1" si="102"/>
        <v>#NAME?</v>
      </c>
    </row>
    <row r="835" spans="1:22" ht="14.25" hidden="1" customHeight="1">
      <c r="A835" s="383" t="s">
        <v>1719</v>
      </c>
      <c r="B835" s="370" t="e">
        <f ca="1">_xludf.IFNA(VLOOKUP(Bolts!$A835,'Urban Plastix Holds'!$I$37:$L$708,4,0),0)</f>
        <v>#NAME?</v>
      </c>
      <c r="C835" s="384">
        <v>3</v>
      </c>
      <c r="D835" s="373">
        <v>0</v>
      </c>
      <c r="E835" s="373">
        <v>0</v>
      </c>
      <c r="F835" s="374">
        <v>0</v>
      </c>
      <c r="G835" s="374">
        <v>0</v>
      </c>
      <c r="H835" s="374">
        <v>0</v>
      </c>
      <c r="I835" s="374">
        <v>0</v>
      </c>
      <c r="J835" s="374" t="e">
        <f ca="1">3*Bolts!$B835</f>
        <v>#NAME?</v>
      </c>
      <c r="K835" s="374">
        <v>0</v>
      </c>
      <c r="L835" s="374">
        <v>0</v>
      </c>
      <c r="M835" s="374">
        <v>0</v>
      </c>
      <c r="N835" s="374">
        <v>0</v>
      </c>
      <c r="O835" s="374">
        <v>0</v>
      </c>
      <c r="P835" s="374">
        <v>0</v>
      </c>
      <c r="Q835" s="374">
        <v>0</v>
      </c>
      <c r="R835" s="374" t="e">
        <f ca="1">13*Bolts!$B835</f>
        <v>#NAME?</v>
      </c>
      <c r="S835" s="374">
        <v>0</v>
      </c>
      <c r="T835" s="374">
        <v>0</v>
      </c>
      <c r="U835" s="374">
        <v>0</v>
      </c>
      <c r="V835" s="380" t="e">
        <f t="shared" ca="1" si="102"/>
        <v>#NAME?</v>
      </c>
    </row>
    <row r="836" spans="1:22" ht="14.25" hidden="1" customHeight="1">
      <c r="A836" s="383" t="s">
        <v>1439</v>
      </c>
      <c r="B836" s="370" t="e">
        <f ca="1">_xludf.IFNA(VLOOKUP(Bolts!$A836,'Urban Plastix Holds'!$I$37:$L$708,4,0),0)</f>
        <v>#NAME?</v>
      </c>
      <c r="C836" s="384">
        <v>10</v>
      </c>
      <c r="D836" s="373" t="e">
        <f ca="1">10*Bolts!$B836</f>
        <v>#NAME?</v>
      </c>
      <c r="E836" s="373">
        <v>0</v>
      </c>
      <c r="F836" s="374">
        <v>0</v>
      </c>
      <c r="G836" s="373">
        <v>0</v>
      </c>
      <c r="H836" s="374">
        <v>0</v>
      </c>
      <c r="I836" s="373">
        <v>0</v>
      </c>
      <c r="J836" s="374">
        <v>0</v>
      </c>
      <c r="K836" s="373">
        <v>0</v>
      </c>
      <c r="L836" s="374">
        <v>0</v>
      </c>
      <c r="M836" s="373">
        <v>0</v>
      </c>
      <c r="N836" s="374">
        <v>0</v>
      </c>
      <c r="O836" s="373">
        <v>0</v>
      </c>
      <c r="P836" s="374">
        <v>0</v>
      </c>
      <c r="Q836" s="373" t="e">
        <f ca="1">10*Bolts!$B836</f>
        <v>#NAME?</v>
      </c>
      <c r="R836" s="374">
        <v>0</v>
      </c>
      <c r="S836" s="373">
        <v>0</v>
      </c>
      <c r="T836" s="374">
        <v>0</v>
      </c>
      <c r="U836" s="373">
        <v>0</v>
      </c>
      <c r="V836" s="380" t="e">
        <f t="shared" ca="1" si="102"/>
        <v>#NAME?</v>
      </c>
    </row>
    <row r="837" spans="1:22" ht="14.25" hidden="1" customHeight="1">
      <c r="A837" s="383" t="s">
        <v>1721</v>
      </c>
      <c r="B837" s="370" t="e">
        <f ca="1">_xludf.IFNA(VLOOKUP(Bolts!$A837,'Urban Plastix Holds'!$I$37:$L$708,4,0),0)</f>
        <v>#NAME?</v>
      </c>
      <c r="C837" s="384">
        <v>3</v>
      </c>
      <c r="D837" s="373">
        <v>0</v>
      </c>
      <c r="E837" s="373">
        <v>0</v>
      </c>
      <c r="F837" s="374">
        <v>0</v>
      </c>
      <c r="G837" s="374" t="e">
        <f ca="1">1*Bolts!$B837</f>
        <v>#NAME?</v>
      </c>
      <c r="H837" s="374" t="e">
        <f ca="1">2*Bolts!$B837</f>
        <v>#NAME?</v>
      </c>
      <c r="I837" s="374">
        <v>0</v>
      </c>
      <c r="J837" s="374">
        <v>0</v>
      </c>
      <c r="K837" s="374">
        <v>0</v>
      </c>
      <c r="L837" s="374">
        <v>0</v>
      </c>
      <c r="M837" s="374">
        <v>0</v>
      </c>
      <c r="N837" s="374">
        <v>0</v>
      </c>
      <c r="O837" s="374">
        <v>0</v>
      </c>
      <c r="P837" s="374">
        <v>0</v>
      </c>
      <c r="Q837" s="374" t="e">
        <f ca="1">11*Bolts!$B837</f>
        <v>#NAME?</v>
      </c>
      <c r="R837" s="374">
        <v>0</v>
      </c>
      <c r="S837" s="374">
        <v>0</v>
      </c>
      <c r="T837" s="374">
        <v>0</v>
      </c>
      <c r="U837" s="374">
        <v>0</v>
      </c>
      <c r="V837" s="380" t="e">
        <f t="shared" ca="1" si="102"/>
        <v>#NAME?</v>
      </c>
    </row>
    <row r="838" spans="1:22" ht="14.25" hidden="1" customHeight="1">
      <c r="A838" s="383" t="s">
        <v>1406</v>
      </c>
      <c r="B838" s="370" t="e">
        <f ca="1">_xludf.IFNA(VLOOKUP(Bolts!$A838,'Urban Plastix Holds'!$I$37:$L$708,4,0),0)</f>
        <v>#NAME?</v>
      </c>
      <c r="C838" s="384">
        <v>5</v>
      </c>
      <c r="D838" s="373" t="e">
        <f ca="1">5*Bolts!$B838</f>
        <v>#NAME?</v>
      </c>
      <c r="E838" s="373">
        <v>0</v>
      </c>
      <c r="F838" s="374">
        <v>0</v>
      </c>
      <c r="G838" s="373">
        <v>0</v>
      </c>
      <c r="H838" s="374">
        <v>0</v>
      </c>
      <c r="I838" s="373">
        <v>0</v>
      </c>
      <c r="J838" s="374">
        <v>0</v>
      </c>
      <c r="K838" s="373">
        <v>0</v>
      </c>
      <c r="L838" s="374">
        <v>0</v>
      </c>
      <c r="M838" s="373">
        <v>0</v>
      </c>
      <c r="N838" s="374">
        <v>0</v>
      </c>
      <c r="O838" s="373">
        <v>0</v>
      </c>
      <c r="P838" s="374">
        <v>0</v>
      </c>
      <c r="Q838" s="373" t="e">
        <f ca="1">5*Bolts!$B838</f>
        <v>#NAME?</v>
      </c>
      <c r="R838" s="374">
        <v>0</v>
      </c>
      <c r="S838" s="373">
        <v>0</v>
      </c>
      <c r="T838" s="374">
        <v>0</v>
      </c>
      <c r="U838" s="373">
        <v>0</v>
      </c>
      <c r="V838" s="380" t="e">
        <f t="shared" ca="1" si="102"/>
        <v>#NAME?</v>
      </c>
    </row>
    <row r="839" spans="1:22" ht="14.25" hidden="1" customHeight="1">
      <c r="A839" s="383" t="s">
        <v>1408</v>
      </c>
      <c r="B839" s="370" t="e">
        <f ca="1">_xludf.IFNA(VLOOKUP(Bolts!$A839,'Urban Plastix Holds'!$I$37:$L$708,4,0),0)</f>
        <v>#NAME?</v>
      </c>
      <c r="C839" s="384">
        <v>5</v>
      </c>
      <c r="D839" s="373">
        <v>0</v>
      </c>
      <c r="E839" s="373" t="e">
        <f ca="1">5*Bolts!$B839</f>
        <v>#NAME?</v>
      </c>
      <c r="F839" s="374">
        <v>0</v>
      </c>
      <c r="G839" s="374">
        <v>0</v>
      </c>
      <c r="H839" s="374">
        <v>0</v>
      </c>
      <c r="I839" s="374">
        <v>0</v>
      </c>
      <c r="J839" s="374">
        <v>0</v>
      </c>
      <c r="K839" s="374">
        <v>0</v>
      </c>
      <c r="L839" s="374">
        <v>0</v>
      </c>
      <c r="M839" s="374">
        <v>0</v>
      </c>
      <c r="N839" s="374">
        <v>0</v>
      </c>
      <c r="O839" s="374">
        <v>0</v>
      </c>
      <c r="P839" s="374">
        <v>0</v>
      </c>
      <c r="Q839" s="374" t="e">
        <f ca="1">5*Bolts!$B839</f>
        <v>#NAME?</v>
      </c>
      <c r="R839" s="374">
        <v>0</v>
      </c>
      <c r="S839" s="374">
        <v>0</v>
      </c>
      <c r="T839" s="374">
        <v>0</v>
      </c>
      <c r="U839" s="374">
        <v>0</v>
      </c>
      <c r="V839" s="380" t="e">
        <f t="shared" ca="1" si="102"/>
        <v>#NAME?</v>
      </c>
    </row>
    <row r="840" spans="1:22" ht="14.25" hidden="1" customHeight="1">
      <c r="A840" s="383" t="s">
        <v>1387</v>
      </c>
      <c r="B840" s="370" t="e">
        <f ca="1">_xludf.IFNA(VLOOKUP(Bolts!$A840,'Urban Plastix Holds'!$I$37:$L$708,4,0),0)</f>
        <v>#NAME?</v>
      </c>
      <c r="C840" s="384">
        <v>5</v>
      </c>
      <c r="D840" s="373">
        <v>0</v>
      </c>
      <c r="E840" s="373">
        <v>0</v>
      </c>
      <c r="F840" s="374" t="e">
        <f ca="1">5*Bolts!$B840</f>
        <v>#NAME?</v>
      </c>
      <c r="G840" s="374">
        <v>0</v>
      </c>
      <c r="H840" s="374">
        <v>0</v>
      </c>
      <c r="I840" s="374">
        <v>0</v>
      </c>
      <c r="J840" s="374">
        <v>0</v>
      </c>
      <c r="K840" s="374">
        <v>0</v>
      </c>
      <c r="L840" s="374">
        <v>0</v>
      </c>
      <c r="M840" s="374">
        <v>0</v>
      </c>
      <c r="N840" s="374">
        <v>0</v>
      </c>
      <c r="O840" s="374">
        <v>0</v>
      </c>
      <c r="P840" s="374">
        <v>0</v>
      </c>
      <c r="Q840" s="374" t="e">
        <f ca="1">5*Bolts!$B840</f>
        <v>#NAME?</v>
      </c>
      <c r="R840" s="374">
        <v>0</v>
      </c>
      <c r="S840" s="380">
        <v>0</v>
      </c>
      <c r="T840" s="380">
        <v>0</v>
      </c>
      <c r="U840" s="380">
        <v>0</v>
      </c>
      <c r="V840" s="380" t="e">
        <f t="shared" ca="1" si="102"/>
        <v>#NAME?</v>
      </c>
    </row>
    <row r="841" spans="1:22" ht="14.25" hidden="1" customHeight="1">
      <c r="A841" s="383" t="s">
        <v>1375</v>
      </c>
      <c r="B841" s="370" t="e">
        <f ca="1">_xludf.IFNA(VLOOKUP(Bolts!$A841,'Urban Plastix Holds'!$I$37:$L$708,4,0),0)</f>
        <v>#NAME?</v>
      </c>
      <c r="C841" s="384">
        <v>3</v>
      </c>
      <c r="D841" s="373">
        <v>0</v>
      </c>
      <c r="E841" s="373">
        <v>0</v>
      </c>
      <c r="F841" s="374">
        <v>0</v>
      </c>
      <c r="G841" s="374">
        <v>0</v>
      </c>
      <c r="H841" s="374" t="e">
        <f ca="1">3*Bolts!$B841</f>
        <v>#NAME?</v>
      </c>
      <c r="I841" s="374">
        <v>0</v>
      </c>
      <c r="J841" s="374">
        <v>0</v>
      </c>
      <c r="K841" s="374">
        <v>0</v>
      </c>
      <c r="L841" s="374">
        <v>0</v>
      </c>
      <c r="M841" s="374">
        <v>0</v>
      </c>
      <c r="N841" s="374">
        <v>0</v>
      </c>
      <c r="O841" s="374">
        <v>0</v>
      </c>
      <c r="P841" s="374">
        <v>0</v>
      </c>
      <c r="Q841" s="374">
        <v>0</v>
      </c>
      <c r="R841" s="374">
        <v>0</v>
      </c>
      <c r="S841" s="380">
        <v>0</v>
      </c>
      <c r="T841" s="380">
        <v>0</v>
      </c>
      <c r="U841" s="380">
        <v>0</v>
      </c>
      <c r="V841" s="380" t="e">
        <f t="shared" ca="1" si="102"/>
        <v>#NAME?</v>
      </c>
    </row>
    <row r="842" spans="1:22" ht="14.25" hidden="1" customHeight="1">
      <c r="A842" s="383" t="s">
        <v>1508</v>
      </c>
      <c r="B842" s="370" t="e">
        <f ca="1">_xludf.IFNA(VLOOKUP(Bolts!$A842,'Urban Plastix Holds'!$I$37:$L$708,4,0),0)</f>
        <v>#NAME?</v>
      </c>
      <c r="C842" s="384">
        <v>5</v>
      </c>
      <c r="D842" s="373">
        <v>0</v>
      </c>
      <c r="E842" s="373">
        <v>0</v>
      </c>
      <c r="F842" s="374">
        <v>0</v>
      </c>
      <c r="G842" s="374" t="e">
        <f ca="1">5*Bolts!$B842</f>
        <v>#NAME?</v>
      </c>
      <c r="H842" s="374">
        <v>0</v>
      </c>
      <c r="I842" s="374">
        <v>0</v>
      </c>
      <c r="J842" s="374">
        <v>0</v>
      </c>
      <c r="K842" s="374">
        <v>0</v>
      </c>
      <c r="L842" s="374">
        <v>0</v>
      </c>
      <c r="M842" s="374">
        <v>0</v>
      </c>
      <c r="N842" s="374">
        <v>0</v>
      </c>
      <c r="O842" s="374">
        <v>0</v>
      </c>
      <c r="P842" s="374">
        <v>0</v>
      </c>
      <c r="Q842" s="374" t="e">
        <f ca="1">5*Bolts!$B842</f>
        <v>#NAME?</v>
      </c>
      <c r="R842" s="374">
        <v>0</v>
      </c>
      <c r="S842" s="380">
        <v>0</v>
      </c>
      <c r="T842" s="380">
        <v>0</v>
      </c>
      <c r="U842" s="380">
        <v>0</v>
      </c>
      <c r="V842" s="380" t="e">
        <f t="shared" ca="1" si="102"/>
        <v>#NAME?</v>
      </c>
    </row>
    <row r="843" spans="1:22" ht="14.25" hidden="1" customHeight="1">
      <c r="A843" s="383" t="s">
        <v>1492</v>
      </c>
      <c r="B843" s="370" t="e">
        <f ca="1">_xludf.IFNA(VLOOKUP(Bolts!$A843,'Urban Plastix Holds'!$I$37:$L$708,4,0),0)</f>
        <v>#NAME?</v>
      </c>
      <c r="C843" s="384">
        <v>3</v>
      </c>
      <c r="D843" s="373">
        <v>0</v>
      </c>
      <c r="E843" s="373">
        <v>0</v>
      </c>
      <c r="F843" s="374">
        <v>0</v>
      </c>
      <c r="G843" s="374">
        <v>0</v>
      </c>
      <c r="H843" s="374">
        <v>0</v>
      </c>
      <c r="I843" s="374" t="e">
        <f ca="1">3*Bolts!$B843</f>
        <v>#NAME?</v>
      </c>
      <c r="J843" s="374">
        <v>0</v>
      </c>
      <c r="K843" s="374">
        <v>0</v>
      </c>
      <c r="L843" s="374">
        <v>0</v>
      </c>
      <c r="M843" s="374">
        <v>0</v>
      </c>
      <c r="N843" s="374">
        <v>0</v>
      </c>
      <c r="O843" s="374">
        <v>0</v>
      </c>
      <c r="P843" s="374">
        <v>0</v>
      </c>
      <c r="Q843" s="374" t="e">
        <f ca="1">3*Bolts!$B843</f>
        <v>#NAME?</v>
      </c>
      <c r="R843" s="374">
        <v>0</v>
      </c>
      <c r="S843" s="380">
        <v>0</v>
      </c>
      <c r="T843" s="380">
        <v>0</v>
      </c>
      <c r="U843" s="380">
        <v>0</v>
      </c>
      <c r="V843" s="380" t="e">
        <f t="shared" ca="1" si="102"/>
        <v>#NAME?</v>
      </c>
    </row>
    <row r="844" spans="1:22" ht="14.25" hidden="1" customHeight="1">
      <c r="A844" s="383" t="s">
        <v>1441</v>
      </c>
      <c r="B844" s="370" t="e">
        <f ca="1">_xludf.IFNA(VLOOKUP(Bolts!$A844,'Urban Plastix Holds'!$I$37:$L$708,4,0),0)</f>
        <v>#NAME?</v>
      </c>
      <c r="C844" s="384">
        <v>4</v>
      </c>
      <c r="D844" s="373">
        <v>0</v>
      </c>
      <c r="E844" s="373">
        <v>0</v>
      </c>
      <c r="F844" s="373">
        <v>0</v>
      </c>
      <c r="G844" s="373">
        <v>0</v>
      </c>
      <c r="H844" s="373">
        <v>0</v>
      </c>
      <c r="I844" s="373">
        <v>0</v>
      </c>
      <c r="J844" s="373">
        <v>0</v>
      </c>
      <c r="K844" s="373">
        <v>0</v>
      </c>
      <c r="L844" s="373">
        <v>0</v>
      </c>
      <c r="M844" s="373">
        <v>0</v>
      </c>
      <c r="N844" s="373">
        <v>0</v>
      </c>
      <c r="O844" s="373">
        <v>0</v>
      </c>
      <c r="P844" s="374">
        <v>0</v>
      </c>
      <c r="Q844" s="374" t="e">
        <f ca="1">16*Bolts!$B844</f>
        <v>#NAME?</v>
      </c>
      <c r="R844" s="374">
        <v>0</v>
      </c>
      <c r="S844" s="380">
        <v>0</v>
      </c>
      <c r="T844" s="380">
        <v>0</v>
      </c>
      <c r="U844" s="380">
        <v>0</v>
      </c>
      <c r="V844" s="380" t="e">
        <f t="shared" ca="1" si="102"/>
        <v>#NAME?</v>
      </c>
    </row>
    <row r="845" spans="1:22" ht="14.25" hidden="1" customHeight="1">
      <c r="A845" s="383" t="s">
        <v>1494</v>
      </c>
      <c r="B845" s="370" t="e">
        <f ca="1">_xludf.IFNA(VLOOKUP(Bolts!$A845,'Urban Plastix Holds'!$I$37:$L$708,4,0),0)</f>
        <v>#NAME?</v>
      </c>
      <c r="C845" s="384">
        <v>3</v>
      </c>
      <c r="D845" s="373">
        <v>0</v>
      </c>
      <c r="E845" s="373">
        <v>0</v>
      </c>
      <c r="F845" s="374">
        <v>0</v>
      </c>
      <c r="G845" s="374" t="e">
        <f ca="1">3*Bolts!$B845</f>
        <v>#NAME?</v>
      </c>
      <c r="H845" s="374">
        <v>0</v>
      </c>
      <c r="I845" s="374">
        <v>0</v>
      </c>
      <c r="J845" s="374">
        <v>0</v>
      </c>
      <c r="K845" s="374">
        <v>0</v>
      </c>
      <c r="L845" s="374">
        <v>0</v>
      </c>
      <c r="M845" s="374">
        <v>0</v>
      </c>
      <c r="N845" s="374">
        <v>0</v>
      </c>
      <c r="O845" s="374">
        <v>0</v>
      </c>
      <c r="P845" s="374">
        <v>0</v>
      </c>
      <c r="Q845" s="374" t="e">
        <f ca="1">3*Bolts!$B845</f>
        <v>#NAME?</v>
      </c>
      <c r="R845" s="374">
        <v>0</v>
      </c>
      <c r="S845" s="380">
        <v>0</v>
      </c>
      <c r="T845" s="380">
        <v>0</v>
      </c>
      <c r="U845" s="380">
        <v>0</v>
      </c>
      <c r="V845" s="380" t="e">
        <f t="shared" ca="1" si="102"/>
        <v>#NAME?</v>
      </c>
    </row>
    <row r="846" spans="1:22" ht="14.25" hidden="1" customHeight="1">
      <c r="A846" s="383" t="s">
        <v>1523</v>
      </c>
      <c r="B846" s="370" t="e">
        <f ca="1">_xludf.IFNA(VLOOKUP(Bolts!$A846,'Urban Plastix Holds'!$I$37:$L$708,4,0),0)</f>
        <v>#NAME?</v>
      </c>
      <c r="C846" s="384">
        <v>10</v>
      </c>
      <c r="D846" s="373" t="e">
        <f ca="1">10*Bolts!$B846</f>
        <v>#NAME?</v>
      </c>
      <c r="E846" s="373">
        <v>0</v>
      </c>
      <c r="F846" s="374">
        <v>0</v>
      </c>
      <c r="G846" s="373">
        <v>0</v>
      </c>
      <c r="H846" s="374">
        <v>0</v>
      </c>
      <c r="I846" s="373">
        <v>0</v>
      </c>
      <c r="J846" s="374">
        <v>0</v>
      </c>
      <c r="K846" s="373">
        <v>0</v>
      </c>
      <c r="L846" s="374">
        <v>0</v>
      </c>
      <c r="M846" s="373">
        <v>0</v>
      </c>
      <c r="N846" s="374">
        <v>0</v>
      </c>
      <c r="O846" s="373">
        <v>0</v>
      </c>
      <c r="P846" s="374">
        <v>0</v>
      </c>
      <c r="Q846" s="373">
        <v>0</v>
      </c>
      <c r="R846" s="374">
        <v>0</v>
      </c>
      <c r="S846" s="373">
        <v>0</v>
      </c>
      <c r="T846" s="374">
        <v>0</v>
      </c>
      <c r="U846" s="373">
        <v>0</v>
      </c>
      <c r="V846" s="380" t="e">
        <f t="shared" ca="1" si="102"/>
        <v>#NAME?</v>
      </c>
    </row>
    <row r="847" spans="1:22" ht="14.25" hidden="1" customHeight="1">
      <c r="A847" s="383" t="s">
        <v>1510</v>
      </c>
      <c r="B847" s="370" t="e">
        <f ca="1">_xludf.IFNA(VLOOKUP(Bolts!$A847,'Urban Plastix Holds'!$I$37:$L$708,4,0),0)</f>
        <v>#NAME?</v>
      </c>
      <c r="C847" s="384">
        <v>5</v>
      </c>
      <c r="D847" s="373">
        <v>0</v>
      </c>
      <c r="E847" s="373" t="e">
        <f ca="1">5*Bolts!$B847</f>
        <v>#NAME?</v>
      </c>
      <c r="F847" s="374">
        <v>0</v>
      </c>
      <c r="G847" s="374">
        <v>0</v>
      </c>
      <c r="H847" s="374">
        <v>0</v>
      </c>
      <c r="I847" s="374">
        <v>0</v>
      </c>
      <c r="J847" s="374">
        <v>0</v>
      </c>
      <c r="K847" s="374">
        <v>0</v>
      </c>
      <c r="L847" s="374">
        <v>0</v>
      </c>
      <c r="M847" s="374">
        <v>0</v>
      </c>
      <c r="N847" s="374">
        <v>0</v>
      </c>
      <c r="O847" s="374">
        <v>0</v>
      </c>
      <c r="P847" s="374">
        <v>0</v>
      </c>
      <c r="Q847" s="374" t="e">
        <f ca="1">9*Bolts!$B847</f>
        <v>#NAME?</v>
      </c>
      <c r="R847" s="374">
        <v>0</v>
      </c>
      <c r="S847" s="375">
        <v>0</v>
      </c>
      <c r="T847" s="380">
        <v>0</v>
      </c>
      <c r="U847" s="375">
        <v>0</v>
      </c>
      <c r="V847" s="380" t="e">
        <f t="shared" ca="1" si="102"/>
        <v>#NAME?</v>
      </c>
    </row>
    <row r="848" spans="1:22" ht="14.25" hidden="1" customHeight="1">
      <c r="A848" s="383" t="s">
        <v>1488</v>
      </c>
      <c r="B848" s="370" t="e">
        <f ca="1">_xludf.IFNA(VLOOKUP(Bolts!$A848,'Urban Plastix Holds'!$I$37:$L$708,4,0),0)</f>
        <v>#NAME?</v>
      </c>
      <c r="C848" s="384">
        <v>2</v>
      </c>
      <c r="D848" s="373">
        <v>0</v>
      </c>
      <c r="E848" s="373">
        <v>0</v>
      </c>
      <c r="F848" s="374">
        <v>0</v>
      </c>
      <c r="G848" s="374" t="e">
        <f ca="1">2*Bolts!$B848</f>
        <v>#NAME?</v>
      </c>
      <c r="H848" s="374">
        <v>0</v>
      </c>
      <c r="I848" s="374">
        <v>0</v>
      </c>
      <c r="J848" s="374">
        <v>0</v>
      </c>
      <c r="K848" s="374">
        <v>0</v>
      </c>
      <c r="L848" s="374">
        <v>0</v>
      </c>
      <c r="M848" s="374">
        <v>0</v>
      </c>
      <c r="N848" s="374">
        <v>0</v>
      </c>
      <c r="O848" s="374">
        <v>0</v>
      </c>
      <c r="P848" s="374">
        <v>0</v>
      </c>
      <c r="Q848" s="374" t="e">
        <f ca="1">8*Bolts!$B848</f>
        <v>#NAME?</v>
      </c>
      <c r="R848" s="374">
        <v>0</v>
      </c>
      <c r="S848" s="375">
        <v>0</v>
      </c>
      <c r="T848" s="380">
        <v>0</v>
      </c>
      <c r="U848" s="375">
        <v>0</v>
      </c>
      <c r="V848" s="380" t="e">
        <f t="shared" ca="1" si="102"/>
        <v>#NAME?</v>
      </c>
    </row>
    <row r="849" spans="1:22" ht="14.25" hidden="1" customHeight="1">
      <c r="A849" s="383" t="s">
        <v>1496</v>
      </c>
      <c r="B849" s="370" t="e">
        <f ca="1">_xludf.IFNA(VLOOKUP(Bolts!$A849,'Urban Plastix Holds'!$I$37:$L$708,4,0),0)</f>
        <v>#NAME?</v>
      </c>
      <c r="C849" s="384">
        <v>3</v>
      </c>
      <c r="D849" s="373">
        <v>0</v>
      </c>
      <c r="E849" s="373">
        <v>0</v>
      </c>
      <c r="F849" s="374" t="e">
        <f ca="1">2*Bolts!$B849</f>
        <v>#NAME?</v>
      </c>
      <c r="G849" s="374" t="e">
        <f ca="1">1*Bolts!$B849</f>
        <v>#NAME?</v>
      </c>
      <c r="H849" s="374">
        <v>0</v>
      </c>
      <c r="I849" s="374">
        <v>0</v>
      </c>
      <c r="J849" s="374">
        <v>0</v>
      </c>
      <c r="K849" s="374">
        <v>0</v>
      </c>
      <c r="L849" s="374">
        <v>0</v>
      </c>
      <c r="M849" s="374">
        <v>0</v>
      </c>
      <c r="N849" s="374">
        <v>0</v>
      </c>
      <c r="O849" s="374">
        <v>0</v>
      </c>
      <c r="P849" s="374">
        <v>0</v>
      </c>
      <c r="Q849" s="374" t="e">
        <f ca="1">3*Bolts!$B849</f>
        <v>#NAME?</v>
      </c>
      <c r="R849" s="374">
        <v>0</v>
      </c>
      <c r="S849" s="375">
        <v>0</v>
      </c>
      <c r="T849" s="380">
        <v>0</v>
      </c>
      <c r="U849" s="375">
        <v>0</v>
      </c>
      <c r="V849" s="380" t="e">
        <f t="shared" ca="1" si="102"/>
        <v>#NAME?</v>
      </c>
    </row>
    <row r="850" spans="1:22" ht="14.25" hidden="1" customHeight="1">
      <c r="A850" s="383" t="s">
        <v>1512</v>
      </c>
      <c r="B850" s="370" t="e">
        <f ca="1">_xludf.IFNA(VLOOKUP(Bolts!$A850,'Urban Plastix Holds'!$I$37:$L$708,4,0),0)</f>
        <v>#NAME?</v>
      </c>
      <c r="C850" s="384">
        <v>4</v>
      </c>
      <c r="D850" s="373">
        <v>0</v>
      </c>
      <c r="E850" s="373" t="e">
        <f ca="1">4*Bolts!$B850</f>
        <v>#NAME?</v>
      </c>
      <c r="F850" s="374">
        <v>0</v>
      </c>
      <c r="G850" s="374">
        <v>0</v>
      </c>
      <c r="H850" s="374">
        <v>0</v>
      </c>
      <c r="I850" s="374">
        <v>0</v>
      </c>
      <c r="J850" s="374">
        <v>0</v>
      </c>
      <c r="K850" s="374">
        <v>0</v>
      </c>
      <c r="L850" s="374">
        <v>0</v>
      </c>
      <c r="M850" s="374">
        <v>0</v>
      </c>
      <c r="N850" s="374">
        <v>0</v>
      </c>
      <c r="O850" s="374">
        <v>0</v>
      </c>
      <c r="P850" s="374">
        <v>0</v>
      </c>
      <c r="Q850" s="374" t="e">
        <f ca="1">4*Bolts!$B850</f>
        <v>#NAME?</v>
      </c>
      <c r="R850" s="374">
        <v>0</v>
      </c>
      <c r="S850" s="375">
        <v>0</v>
      </c>
      <c r="T850" s="380">
        <v>0</v>
      </c>
      <c r="U850" s="375">
        <v>0</v>
      </c>
      <c r="V850" s="380" t="e">
        <f t="shared" ca="1" si="102"/>
        <v>#NAME?</v>
      </c>
    </row>
    <row r="851" spans="1:22" ht="14.25" hidden="1" customHeight="1">
      <c r="A851" s="383" t="s">
        <v>1517</v>
      </c>
      <c r="B851" s="370" t="e">
        <f ca="1">_xludf.IFNA(VLOOKUP(Bolts!$A851,'Urban Plastix Holds'!$I$37:$L$708,4,0),0)</f>
        <v>#NAME?</v>
      </c>
      <c r="C851" s="384">
        <v>5</v>
      </c>
      <c r="D851" s="373" t="e">
        <f ca="1">5*Bolts!$B851</f>
        <v>#NAME?</v>
      </c>
      <c r="E851" s="373">
        <v>0</v>
      </c>
      <c r="F851" s="373">
        <v>0</v>
      </c>
      <c r="G851" s="373">
        <v>0</v>
      </c>
      <c r="H851" s="373">
        <v>0</v>
      </c>
      <c r="I851" s="373">
        <v>0</v>
      </c>
      <c r="J851" s="373">
        <v>0</v>
      </c>
      <c r="K851" s="373">
        <v>0</v>
      </c>
      <c r="L851" s="373">
        <v>0</v>
      </c>
      <c r="M851" s="373">
        <v>0</v>
      </c>
      <c r="N851" s="373">
        <v>0</v>
      </c>
      <c r="O851" s="373">
        <v>0</v>
      </c>
      <c r="P851" s="373">
        <v>0</v>
      </c>
      <c r="Q851" s="374" t="e">
        <f ca="1">7*Bolts!$B851</f>
        <v>#NAME?</v>
      </c>
      <c r="R851" s="374">
        <v>0</v>
      </c>
      <c r="S851" s="375">
        <v>0</v>
      </c>
      <c r="T851" s="380">
        <v>0</v>
      </c>
      <c r="U851" s="375">
        <v>0</v>
      </c>
      <c r="V851" s="380" t="e">
        <f t="shared" ca="1" si="102"/>
        <v>#NAME?</v>
      </c>
    </row>
    <row r="852" spans="1:22" ht="14.25" hidden="1" customHeight="1">
      <c r="A852" s="383" t="s">
        <v>1490</v>
      </c>
      <c r="B852" s="370" t="e">
        <f ca="1">_xludf.IFNA(VLOOKUP(Bolts!$A852,'Urban Plastix Holds'!$I$37:$L$708,4,0),0)</f>
        <v>#NAME?</v>
      </c>
      <c r="C852" s="384">
        <v>3</v>
      </c>
      <c r="D852" s="373">
        <v>0</v>
      </c>
      <c r="E852" s="373">
        <v>0</v>
      </c>
      <c r="F852" s="374">
        <v>0</v>
      </c>
      <c r="G852" s="374">
        <v>0</v>
      </c>
      <c r="H852" s="374" t="e">
        <f ca="1">2*Bolts!$B852</f>
        <v>#NAME?</v>
      </c>
      <c r="I852" s="374">
        <v>0</v>
      </c>
      <c r="J852" s="374" t="e">
        <f ca="1">1*Bolts!$B852</f>
        <v>#NAME?</v>
      </c>
      <c r="K852" s="374">
        <v>0</v>
      </c>
      <c r="L852" s="374">
        <v>0</v>
      </c>
      <c r="M852" s="374">
        <v>0</v>
      </c>
      <c r="N852" s="374">
        <v>0</v>
      </c>
      <c r="O852" s="374">
        <v>0</v>
      </c>
      <c r="P852" s="374">
        <v>0</v>
      </c>
      <c r="Q852" s="374" t="e">
        <f ca="1">3*Bolts!$B852</f>
        <v>#NAME?</v>
      </c>
      <c r="R852" s="374">
        <v>0</v>
      </c>
      <c r="S852" s="375">
        <v>0</v>
      </c>
      <c r="T852" s="380">
        <v>0</v>
      </c>
      <c r="U852" s="375">
        <v>0</v>
      </c>
      <c r="V852" s="380" t="e">
        <f t="shared" ca="1" si="102"/>
        <v>#NAME?</v>
      </c>
    </row>
    <row r="853" spans="1:22" ht="14.25" hidden="1" customHeight="1">
      <c r="A853" s="383" t="s">
        <v>1498</v>
      </c>
      <c r="B853" s="370" t="e">
        <f ca="1">_xludf.IFNA(VLOOKUP(Bolts!$A853,'Urban Plastix Holds'!$I$37:$L$708,4,0),0)</f>
        <v>#NAME?</v>
      </c>
      <c r="C853" s="384">
        <v>3</v>
      </c>
      <c r="D853" s="373">
        <v>0</v>
      </c>
      <c r="E853" s="373">
        <v>0</v>
      </c>
      <c r="F853" s="374">
        <v>0</v>
      </c>
      <c r="G853" s="374">
        <v>0</v>
      </c>
      <c r="H853" s="374" t="e">
        <f ca="1">1*Bolts!$B853</f>
        <v>#NAME?</v>
      </c>
      <c r="I853" s="374" t="e">
        <f ca="1">2*Bolts!$B853</f>
        <v>#NAME?</v>
      </c>
      <c r="J853" s="374">
        <v>0</v>
      </c>
      <c r="K853" s="374">
        <v>0</v>
      </c>
      <c r="L853" s="374">
        <v>0</v>
      </c>
      <c r="M853" s="374">
        <v>0</v>
      </c>
      <c r="N853" s="374">
        <v>0</v>
      </c>
      <c r="O853" s="374">
        <v>0</v>
      </c>
      <c r="P853" s="374">
        <v>0</v>
      </c>
      <c r="Q853" s="374" t="e">
        <f ca="1">7*Bolts!$B853</f>
        <v>#NAME?</v>
      </c>
      <c r="R853" s="374">
        <v>0</v>
      </c>
      <c r="S853" s="375">
        <v>0</v>
      </c>
      <c r="T853" s="380">
        <v>0</v>
      </c>
      <c r="U853" s="375">
        <v>0</v>
      </c>
      <c r="V853" s="380" t="e">
        <f t="shared" ca="1" si="102"/>
        <v>#NAME?</v>
      </c>
    </row>
    <row r="854" spans="1:22" ht="14.25" hidden="1" customHeight="1">
      <c r="A854" s="383" t="s">
        <v>1486</v>
      </c>
      <c r="B854" s="370" t="e">
        <f ca="1">_xludf.IFNA(VLOOKUP(Bolts!$A854,'Urban Plastix Holds'!$I$37:$L$708,4,0),0)</f>
        <v>#NAME?</v>
      </c>
      <c r="C854" s="384">
        <v>1</v>
      </c>
      <c r="D854" s="373">
        <v>0</v>
      </c>
      <c r="E854" s="373">
        <v>0</v>
      </c>
      <c r="F854" s="374">
        <v>0</v>
      </c>
      <c r="G854" s="374">
        <v>0</v>
      </c>
      <c r="H854" s="374">
        <v>0</v>
      </c>
      <c r="I854" s="374" t="e">
        <f ca="1">1*Bolts!$B854</f>
        <v>#NAME?</v>
      </c>
      <c r="J854" s="374">
        <v>0</v>
      </c>
      <c r="K854" s="374">
        <v>0</v>
      </c>
      <c r="L854" s="374">
        <v>0</v>
      </c>
      <c r="M854" s="374">
        <v>0</v>
      </c>
      <c r="N854" s="374">
        <v>0</v>
      </c>
      <c r="O854" s="374">
        <v>0</v>
      </c>
      <c r="P854" s="374">
        <v>0</v>
      </c>
      <c r="Q854" s="374" t="e">
        <f ca="1">3*Bolts!$B854</f>
        <v>#NAME?</v>
      </c>
      <c r="R854" s="374">
        <v>0</v>
      </c>
      <c r="S854" s="375">
        <v>0</v>
      </c>
      <c r="T854" s="380">
        <v>0</v>
      </c>
      <c r="U854" s="375">
        <v>0</v>
      </c>
      <c r="V854" s="380" t="e">
        <f t="shared" ca="1" si="102"/>
        <v>#NAME?</v>
      </c>
    </row>
    <row r="855" spans="1:22" ht="14.25" hidden="1" customHeight="1">
      <c r="A855" s="383" t="s">
        <v>1711</v>
      </c>
      <c r="B855" s="370" t="e">
        <f ca="1">_xludf.IFNA(VLOOKUP(Bolts!$A855,'Urban Plastix Holds'!$I$37:$L$708,4,0),0)</f>
        <v>#NAME?</v>
      </c>
      <c r="C855" s="384">
        <v>1</v>
      </c>
      <c r="D855" s="373">
        <v>0</v>
      </c>
      <c r="E855" s="373">
        <v>0</v>
      </c>
      <c r="F855" s="374">
        <v>0</v>
      </c>
      <c r="G855" s="374">
        <v>0</v>
      </c>
      <c r="H855" s="374">
        <v>0</v>
      </c>
      <c r="I855" s="374" t="e">
        <f ca="1">1*Bolts!$B855</f>
        <v>#NAME?</v>
      </c>
      <c r="J855" s="374">
        <v>0</v>
      </c>
      <c r="K855" s="374">
        <v>0</v>
      </c>
      <c r="L855" s="374">
        <v>0</v>
      </c>
      <c r="M855" s="374">
        <v>0</v>
      </c>
      <c r="N855" s="374">
        <v>0</v>
      </c>
      <c r="O855" s="374">
        <v>0</v>
      </c>
      <c r="P855" s="374">
        <v>0</v>
      </c>
      <c r="Q855" s="374" t="e">
        <f ca="1">3*Bolts!$B855</f>
        <v>#NAME?</v>
      </c>
      <c r="R855" s="374">
        <v>0</v>
      </c>
      <c r="S855" s="375">
        <v>0</v>
      </c>
      <c r="T855" s="380">
        <v>0</v>
      </c>
      <c r="U855" s="375">
        <v>0</v>
      </c>
      <c r="V855" s="380" t="e">
        <f t="shared" ca="1" si="102"/>
        <v>#NAME?</v>
      </c>
    </row>
    <row r="856" spans="1:22" ht="14.25" hidden="1" customHeight="1">
      <c r="A856" s="383" t="s">
        <v>1558</v>
      </c>
      <c r="B856" s="370" t="e">
        <f ca="1">_xludf.IFNA(VLOOKUP(Bolts!$A856,'Urban Plastix Holds'!$I$37:$L$708,4,0),0)</f>
        <v>#NAME?</v>
      </c>
      <c r="C856" s="384">
        <v>1</v>
      </c>
      <c r="D856" s="373">
        <v>0</v>
      </c>
      <c r="E856" s="373">
        <v>0</v>
      </c>
      <c r="F856" s="374">
        <v>0</v>
      </c>
      <c r="G856" s="374">
        <v>0</v>
      </c>
      <c r="H856" s="374">
        <v>0</v>
      </c>
      <c r="I856" s="374">
        <v>0</v>
      </c>
      <c r="J856" s="374">
        <v>0</v>
      </c>
      <c r="K856" s="374">
        <v>0</v>
      </c>
      <c r="L856" s="374">
        <v>0</v>
      </c>
      <c r="M856" s="374">
        <v>0</v>
      </c>
      <c r="N856" s="374">
        <v>0</v>
      </c>
      <c r="O856" s="374">
        <v>0</v>
      </c>
      <c r="P856" s="374">
        <v>0</v>
      </c>
      <c r="Q856" s="374" t="e">
        <f ca="1">8*Bolts!$B856</f>
        <v>#NAME?</v>
      </c>
      <c r="R856" s="374">
        <v>0</v>
      </c>
      <c r="S856" s="375">
        <v>0</v>
      </c>
      <c r="T856" s="380">
        <v>0</v>
      </c>
      <c r="U856" s="375">
        <v>0</v>
      </c>
      <c r="V856" s="380" t="e">
        <f t="shared" ca="1" si="102"/>
        <v>#NAME?</v>
      </c>
    </row>
    <row r="857" spans="1:22" ht="14.25" hidden="1" customHeight="1">
      <c r="A857" s="383" t="s">
        <v>1519</v>
      </c>
      <c r="B857" s="370" t="e">
        <f ca="1">_xludf.IFNA(VLOOKUP(Bolts!$A857,'Urban Plastix Holds'!$I$37:$L$708,4,0),0)</f>
        <v>#NAME?</v>
      </c>
      <c r="C857" s="384">
        <v>5</v>
      </c>
      <c r="D857" s="373">
        <v>0</v>
      </c>
      <c r="E857" s="373" t="e">
        <f ca="1">4*Bolts!$B857</f>
        <v>#NAME?</v>
      </c>
      <c r="F857" s="374" t="e">
        <f ca="1">1*Bolts!$B857</f>
        <v>#NAME?</v>
      </c>
      <c r="G857" s="374">
        <v>0</v>
      </c>
      <c r="H857" s="374">
        <v>0</v>
      </c>
      <c r="I857" s="374">
        <v>0</v>
      </c>
      <c r="J857" s="374">
        <v>0</v>
      </c>
      <c r="K857" s="374">
        <v>0</v>
      </c>
      <c r="L857" s="374">
        <v>0</v>
      </c>
      <c r="M857" s="374">
        <v>0</v>
      </c>
      <c r="N857" s="374">
        <v>0</v>
      </c>
      <c r="O857" s="374">
        <v>0</v>
      </c>
      <c r="P857" s="374">
        <v>0</v>
      </c>
      <c r="Q857" s="374" t="e">
        <f ca="1">5*Bolts!$B857</f>
        <v>#NAME?</v>
      </c>
      <c r="R857" s="374">
        <v>0</v>
      </c>
      <c r="S857" s="375">
        <v>0</v>
      </c>
      <c r="T857" s="380">
        <v>0</v>
      </c>
      <c r="U857" s="375">
        <v>0</v>
      </c>
      <c r="V857" s="380" t="e">
        <f t="shared" ca="1" si="102"/>
        <v>#NAME?</v>
      </c>
    </row>
    <row r="858" spans="1:22" ht="14.25" hidden="1" customHeight="1">
      <c r="A858" s="383" t="s">
        <v>1659</v>
      </c>
      <c r="B858" s="370" t="e">
        <f ca="1">_xludf.IFNA(VLOOKUP(Bolts!$A858,'Urban Plastix Holds'!$I$37:$L$708,4,0),0)</f>
        <v>#NAME?</v>
      </c>
      <c r="C858" s="384">
        <v>10</v>
      </c>
      <c r="D858" s="373" t="e">
        <f ca="1">10*Bolts!$B858</f>
        <v>#NAME?</v>
      </c>
      <c r="E858" s="373">
        <v>0</v>
      </c>
      <c r="F858" s="374">
        <v>0</v>
      </c>
      <c r="G858" s="374">
        <v>0</v>
      </c>
      <c r="H858" s="374">
        <v>0</v>
      </c>
      <c r="I858" s="374">
        <v>0</v>
      </c>
      <c r="J858" s="374">
        <v>0</v>
      </c>
      <c r="K858" s="374">
        <v>0</v>
      </c>
      <c r="L858" s="374">
        <v>0</v>
      </c>
      <c r="M858" s="374">
        <v>0</v>
      </c>
      <c r="N858" s="374">
        <v>0</v>
      </c>
      <c r="O858" s="374">
        <v>0</v>
      </c>
      <c r="P858" s="374">
        <v>0</v>
      </c>
      <c r="Q858" s="374" t="e">
        <f ca="1">10*Bolts!$B858</f>
        <v>#NAME?</v>
      </c>
      <c r="R858" s="374">
        <v>0</v>
      </c>
      <c r="S858" s="375">
        <v>0</v>
      </c>
      <c r="T858" s="380">
        <v>0</v>
      </c>
      <c r="U858" s="375">
        <v>0</v>
      </c>
      <c r="V858" s="380" t="e">
        <f t="shared" ca="1" si="102"/>
        <v>#NAME?</v>
      </c>
    </row>
    <row r="859" spans="1:22" ht="14.25" hidden="1" customHeight="1">
      <c r="A859" s="383" t="s">
        <v>1661</v>
      </c>
      <c r="B859" s="370" t="e">
        <f ca="1">_xludf.IFNA(VLOOKUP(Bolts!$A859,'Urban Plastix Holds'!$I$37:$L$708,4,0),0)</f>
        <v>#NAME?</v>
      </c>
      <c r="C859" s="384">
        <v>10</v>
      </c>
      <c r="D859" s="373" t="e">
        <f ca="1">10*Bolts!$B859</f>
        <v>#NAME?</v>
      </c>
      <c r="E859" s="373">
        <v>0</v>
      </c>
      <c r="F859" s="374">
        <v>0</v>
      </c>
      <c r="G859" s="374">
        <v>0</v>
      </c>
      <c r="H859" s="374">
        <v>0</v>
      </c>
      <c r="I859" s="374">
        <v>0</v>
      </c>
      <c r="J859" s="374">
        <v>0</v>
      </c>
      <c r="K859" s="374">
        <v>0</v>
      </c>
      <c r="L859" s="374">
        <v>0</v>
      </c>
      <c r="M859" s="374">
        <v>0</v>
      </c>
      <c r="N859" s="374">
        <v>0</v>
      </c>
      <c r="O859" s="374">
        <v>0</v>
      </c>
      <c r="P859" s="374">
        <v>0</v>
      </c>
      <c r="Q859" s="374" t="e">
        <f ca="1">10*Bolts!$B859</f>
        <v>#NAME?</v>
      </c>
      <c r="R859" s="374">
        <v>0</v>
      </c>
      <c r="S859" s="375">
        <v>0</v>
      </c>
      <c r="T859" s="380">
        <v>0</v>
      </c>
      <c r="U859" s="375">
        <v>0</v>
      </c>
      <c r="V859" s="380" t="e">
        <f t="shared" ca="1" si="102"/>
        <v>#NAME?</v>
      </c>
    </row>
    <row r="860" spans="1:22" ht="14.25" hidden="1" customHeight="1">
      <c r="A860" s="383" t="s">
        <v>1626</v>
      </c>
      <c r="B860" s="370" t="e">
        <f ca="1">_xludf.IFNA(VLOOKUP(Bolts!$A860,'Urban Plastix Holds'!$I$37:$L$708,4,0),0)</f>
        <v>#NAME?</v>
      </c>
      <c r="C860" s="384">
        <v>5</v>
      </c>
      <c r="D860" s="373">
        <v>0</v>
      </c>
      <c r="E860" s="373" t="e">
        <f ca="1">5*Bolts!$B860</f>
        <v>#NAME?</v>
      </c>
      <c r="F860" s="374">
        <v>0</v>
      </c>
      <c r="G860" s="374">
        <v>0</v>
      </c>
      <c r="H860" s="374">
        <v>0</v>
      </c>
      <c r="I860" s="374">
        <v>0</v>
      </c>
      <c r="J860" s="374">
        <v>0</v>
      </c>
      <c r="K860" s="374">
        <v>0</v>
      </c>
      <c r="L860" s="374">
        <v>0</v>
      </c>
      <c r="M860" s="374">
        <v>0</v>
      </c>
      <c r="N860" s="374">
        <v>0</v>
      </c>
      <c r="O860" s="374">
        <v>0</v>
      </c>
      <c r="P860" s="374">
        <v>0</v>
      </c>
      <c r="Q860" s="374" t="e">
        <f ca="1">10*Bolts!$B860</f>
        <v>#NAME?</v>
      </c>
      <c r="R860" s="374">
        <v>0</v>
      </c>
      <c r="S860" s="375">
        <v>0</v>
      </c>
      <c r="T860" s="380">
        <v>0</v>
      </c>
      <c r="U860" s="375">
        <v>0</v>
      </c>
      <c r="V860" s="380" t="e">
        <f t="shared" ca="1" si="102"/>
        <v>#NAME?</v>
      </c>
    </row>
    <row r="861" spans="1:22" ht="14.25" hidden="1" customHeight="1">
      <c r="A861" s="383" t="s">
        <v>1663</v>
      </c>
      <c r="B861" s="370" t="e">
        <f ca="1">_xludf.IFNA(VLOOKUP(Bolts!$A861,'Urban Plastix Holds'!$I$37:$L$708,4,0),0)</f>
        <v>#NAME?</v>
      </c>
      <c r="C861" s="384">
        <v>10</v>
      </c>
      <c r="D861" s="373" t="e">
        <f ca="1">10*Bolts!$B861</f>
        <v>#NAME?</v>
      </c>
      <c r="E861" s="373">
        <v>0</v>
      </c>
      <c r="F861" s="374">
        <v>0</v>
      </c>
      <c r="G861" s="374">
        <v>0</v>
      </c>
      <c r="H861" s="374">
        <v>0</v>
      </c>
      <c r="I861" s="374">
        <v>0</v>
      </c>
      <c r="J861" s="374">
        <v>0</v>
      </c>
      <c r="K861" s="374">
        <v>0</v>
      </c>
      <c r="L861" s="374">
        <v>0</v>
      </c>
      <c r="M861" s="374">
        <v>0</v>
      </c>
      <c r="N861" s="374">
        <v>0</v>
      </c>
      <c r="O861" s="374">
        <v>0</v>
      </c>
      <c r="P861" s="374">
        <v>0</v>
      </c>
      <c r="Q861" s="374" t="e">
        <f ca="1">10*Bolts!$B861</f>
        <v>#NAME?</v>
      </c>
      <c r="R861" s="374">
        <v>0</v>
      </c>
      <c r="S861" s="375">
        <v>0</v>
      </c>
      <c r="T861" s="380">
        <v>0</v>
      </c>
      <c r="U861" s="375">
        <v>0</v>
      </c>
      <c r="V861" s="380" t="e">
        <f t="shared" ca="1" si="102"/>
        <v>#NAME?</v>
      </c>
    </row>
    <row r="862" spans="1:22" ht="14.25" hidden="1" customHeight="1">
      <c r="A862" s="383" t="s">
        <v>1628</v>
      </c>
      <c r="B862" s="370" t="e">
        <f ca="1">_xludf.IFNA(VLOOKUP(Bolts!$A862,'Urban Plastix Holds'!$I$37:$L$708,4,0),0)</f>
        <v>#NAME?</v>
      </c>
      <c r="C862" s="384">
        <v>10</v>
      </c>
      <c r="D862" s="373" t="e">
        <f ca="1">10*Bolts!$B862</f>
        <v>#NAME?</v>
      </c>
      <c r="E862" s="373">
        <v>0</v>
      </c>
      <c r="F862" s="374">
        <v>0</v>
      </c>
      <c r="G862" s="374">
        <v>0</v>
      </c>
      <c r="H862" s="374">
        <v>0</v>
      </c>
      <c r="I862" s="374">
        <v>0</v>
      </c>
      <c r="J862" s="374">
        <v>0</v>
      </c>
      <c r="K862" s="374">
        <v>0</v>
      </c>
      <c r="L862" s="374">
        <v>0</v>
      </c>
      <c r="M862" s="374">
        <v>0</v>
      </c>
      <c r="N862" s="374">
        <v>0</v>
      </c>
      <c r="O862" s="374">
        <v>0</v>
      </c>
      <c r="P862" s="374">
        <v>0</v>
      </c>
      <c r="Q862" s="374" t="e">
        <f ca="1">10*Bolts!$B862</f>
        <v>#NAME?</v>
      </c>
      <c r="R862" s="374">
        <v>0</v>
      </c>
      <c r="S862" s="375">
        <v>0</v>
      </c>
      <c r="T862" s="380">
        <v>0</v>
      </c>
      <c r="U862" s="375">
        <v>0</v>
      </c>
      <c r="V862" s="380" t="e">
        <f t="shared" ca="1" si="102"/>
        <v>#NAME?</v>
      </c>
    </row>
    <row r="863" spans="1:22" ht="14.25" hidden="1" customHeight="1">
      <c r="A863" s="383" t="s">
        <v>1581</v>
      </c>
      <c r="B863" s="370" t="e">
        <f ca="1">_xludf.IFNA(VLOOKUP(Bolts!$A863,'Urban Plastix Holds'!$I$37:$L$708,4,0),0)</f>
        <v>#NAME?</v>
      </c>
      <c r="C863" s="384">
        <v>5</v>
      </c>
      <c r="D863" s="373">
        <v>0</v>
      </c>
      <c r="E863" s="373">
        <v>0</v>
      </c>
      <c r="F863" s="374">
        <v>0</v>
      </c>
      <c r="G863" s="374" t="e">
        <f ca="1">5*Bolts!$B863</f>
        <v>#NAME?</v>
      </c>
      <c r="H863" s="374">
        <v>0</v>
      </c>
      <c r="I863" s="374">
        <v>0</v>
      </c>
      <c r="J863" s="374">
        <v>0</v>
      </c>
      <c r="K863" s="374">
        <v>0</v>
      </c>
      <c r="L863" s="374">
        <v>0</v>
      </c>
      <c r="M863" s="374">
        <v>0</v>
      </c>
      <c r="N863" s="374">
        <v>0</v>
      </c>
      <c r="O863" s="374">
        <v>0</v>
      </c>
      <c r="P863" s="374">
        <v>0</v>
      </c>
      <c r="Q863" s="374" t="e">
        <f ca="1">5*Bolts!$B863</f>
        <v>#NAME?</v>
      </c>
      <c r="R863" s="374">
        <v>0</v>
      </c>
      <c r="S863" s="375">
        <v>0</v>
      </c>
      <c r="T863" s="380">
        <v>0</v>
      </c>
      <c r="U863" s="375">
        <v>0</v>
      </c>
      <c r="V863" s="380" t="e">
        <f t="shared" ca="1" si="102"/>
        <v>#NAME?</v>
      </c>
    </row>
    <row r="864" spans="1:22" ht="14.25" hidden="1" customHeight="1">
      <c r="A864" s="383" t="s">
        <v>1688</v>
      </c>
      <c r="B864" s="370" t="e">
        <f ca="1">_xludf.IFNA(VLOOKUP(Bolts!$A864,'Urban Plastix Holds'!$I$37:$L$708,4,0),0)</f>
        <v>#NAME?</v>
      </c>
      <c r="C864" s="384">
        <v>10</v>
      </c>
      <c r="D864" s="373" t="e">
        <f ca="1">10*Bolts!$B864</f>
        <v>#NAME?</v>
      </c>
      <c r="E864" s="373">
        <v>0</v>
      </c>
      <c r="F864" s="374">
        <v>0</v>
      </c>
      <c r="G864" s="374">
        <v>0</v>
      </c>
      <c r="H864" s="374">
        <v>0</v>
      </c>
      <c r="I864" s="374">
        <v>0</v>
      </c>
      <c r="J864" s="374">
        <v>0</v>
      </c>
      <c r="K864" s="374">
        <v>0</v>
      </c>
      <c r="L864" s="374">
        <v>0</v>
      </c>
      <c r="M864" s="374">
        <v>0</v>
      </c>
      <c r="N864" s="374">
        <v>0</v>
      </c>
      <c r="O864" s="374">
        <v>0</v>
      </c>
      <c r="P864" s="374">
        <v>0</v>
      </c>
      <c r="Q864" s="374" t="e">
        <f ca="1">10*Bolts!$B864</f>
        <v>#NAME?</v>
      </c>
      <c r="R864" s="374">
        <v>0</v>
      </c>
      <c r="S864" s="375">
        <v>0</v>
      </c>
      <c r="T864" s="380">
        <v>0</v>
      </c>
      <c r="U864" s="375">
        <v>0</v>
      </c>
      <c r="V864" s="380" t="e">
        <f t="shared" ca="1" si="102"/>
        <v>#NAME?</v>
      </c>
    </row>
    <row r="865" spans="1:22" ht="14.25" hidden="1" customHeight="1">
      <c r="A865" s="383" t="s">
        <v>1665</v>
      </c>
      <c r="B865" s="370" t="e">
        <f ca="1">_xludf.IFNA(VLOOKUP(Bolts!$A865,'Urban Plastix Holds'!$I$37:$L$708,4,0),0)</f>
        <v>#NAME?</v>
      </c>
      <c r="C865" s="384">
        <v>10</v>
      </c>
      <c r="D865" s="373" t="e">
        <f ca="1">10*Bolts!$B865</f>
        <v>#NAME?</v>
      </c>
      <c r="E865" s="373">
        <v>0</v>
      </c>
      <c r="F865" s="374">
        <v>0</v>
      </c>
      <c r="G865" s="374">
        <v>0</v>
      </c>
      <c r="H865" s="374">
        <v>0</v>
      </c>
      <c r="I865" s="374">
        <v>0</v>
      </c>
      <c r="J865" s="374">
        <v>0</v>
      </c>
      <c r="K865" s="374">
        <v>0</v>
      </c>
      <c r="L865" s="374">
        <v>0</v>
      </c>
      <c r="M865" s="374">
        <v>0</v>
      </c>
      <c r="N865" s="374">
        <v>0</v>
      </c>
      <c r="O865" s="374">
        <v>0</v>
      </c>
      <c r="P865" s="374">
        <v>0</v>
      </c>
      <c r="Q865" s="374" t="e">
        <f ca="1">10*Bolts!$B865</f>
        <v>#NAME?</v>
      </c>
      <c r="R865" s="374">
        <v>0</v>
      </c>
      <c r="S865" s="375">
        <v>0</v>
      </c>
      <c r="T865" s="380">
        <v>0</v>
      </c>
      <c r="U865" s="375">
        <v>0</v>
      </c>
      <c r="V865" s="380" t="e">
        <f t="shared" ca="1" si="102"/>
        <v>#NAME?</v>
      </c>
    </row>
    <row r="866" spans="1:22" ht="14.25" hidden="1" customHeight="1">
      <c r="A866" s="383" t="s">
        <v>1583</v>
      </c>
      <c r="B866" s="370" t="e">
        <f ca="1">_xludf.IFNA(VLOOKUP(Bolts!$A866,'Urban Plastix Holds'!$I$37:$L$708,4,0),0)</f>
        <v>#NAME?</v>
      </c>
      <c r="C866" s="384">
        <v>5</v>
      </c>
      <c r="D866" s="373">
        <v>0</v>
      </c>
      <c r="E866" s="373" t="e">
        <f ca="1">5*Bolts!$B866</f>
        <v>#NAME?</v>
      </c>
      <c r="F866" s="374">
        <v>0</v>
      </c>
      <c r="G866" s="374">
        <v>0</v>
      </c>
      <c r="H866" s="374">
        <v>0</v>
      </c>
      <c r="I866" s="374">
        <v>0</v>
      </c>
      <c r="J866" s="374">
        <v>0</v>
      </c>
      <c r="K866" s="374">
        <v>0</v>
      </c>
      <c r="L866" s="374">
        <v>0</v>
      </c>
      <c r="M866" s="374">
        <v>0</v>
      </c>
      <c r="N866" s="374">
        <v>0</v>
      </c>
      <c r="O866" s="374">
        <v>0</v>
      </c>
      <c r="P866" s="374">
        <v>0</v>
      </c>
      <c r="Q866" s="374" t="e">
        <f ca="1">10*Bolts!$B866</f>
        <v>#NAME?</v>
      </c>
      <c r="R866" s="374">
        <v>0</v>
      </c>
      <c r="S866" s="375">
        <v>0</v>
      </c>
      <c r="T866" s="380">
        <v>0</v>
      </c>
      <c r="U866" s="375">
        <v>0</v>
      </c>
      <c r="V866" s="380" t="e">
        <f t="shared" ca="1" si="102"/>
        <v>#NAME?</v>
      </c>
    </row>
    <row r="867" spans="1:22" ht="14.25" hidden="1" customHeight="1">
      <c r="A867" s="383" t="s">
        <v>1694</v>
      </c>
      <c r="B867" s="370" t="e">
        <f ca="1">_xludf.IFNA(VLOOKUP(Bolts!$A867,'Urban Plastix Holds'!$I$37:$L$708,4,0),0)</f>
        <v>#NAME?</v>
      </c>
      <c r="C867" s="384">
        <v>10</v>
      </c>
      <c r="D867" s="373">
        <v>0</v>
      </c>
      <c r="E867" s="373">
        <v>0</v>
      </c>
      <c r="F867" s="374">
        <v>0</v>
      </c>
      <c r="G867" s="374">
        <v>0</v>
      </c>
      <c r="H867" s="374">
        <v>0</v>
      </c>
      <c r="I867" s="374">
        <v>0</v>
      </c>
      <c r="J867" s="374">
        <v>0</v>
      </c>
      <c r="K867" s="374">
        <v>0</v>
      </c>
      <c r="L867" s="374">
        <v>0</v>
      </c>
      <c r="M867" s="374">
        <v>0</v>
      </c>
      <c r="N867" s="374">
        <v>0</v>
      </c>
      <c r="O867" s="374">
        <v>0</v>
      </c>
      <c r="P867" s="374">
        <v>0</v>
      </c>
      <c r="Q867" s="374" t="e">
        <f ca="1">26*Bolts!$B867</f>
        <v>#NAME?</v>
      </c>
      <c r="R867" s="374">
        <v>0</v>
      </c>
      <c r="S867" s="375">
        <v>0</v>
      </c>
      <c r="T867" s="380">
        <v>0</v>
      </c>
      <c r="U867" s="375">
        <v>0</v>
      </c>
      <c r="V867" s="380" t="e">
        <f t="shared" ca="1" si="102"/>
        <v>#NAME?</v>
      </c>
    </row>
    <row r="868" spans="1:22" ht="14.25" hidden="1" customHeight="1">
      <c r="A868" s="383" t="s">
        <v>1585</v>
      </c>
      <c r="B868" s="370" t="e">
        <f ca="1">_xludf.IFNA(VLOOKUP(Bolts!$A868,'Urban Plastix Holds'!$I$37:$L$708,4,0),0)</f>
        <v>#NAME?</v>
      </c>
      <c r="C868" s="384">
        <v>5</v>
      </c>
      <c r="D868" s="373">
        <v>0</v>
      </c>
      <c r="E868" s="373">
        <v>0</v>
      </c>
      <c r="F868" s="374">
        <v>0</v>
      </c>
      <c r="G868" s="374" t="e">
        <f ca="1">5*Bolts!$B868</f>
        <v>#NAME?</v>
      </c>
      <c r="H868" s="374">
        <v>0</v>
      </c>
      <c r="I868" s="374">
        <v>0</v>
      </c>
      <c r="J868" s="374">
        <v>0</v>
      </c>
      <c r="K868" s="374">
        <v>0</v>
      </c>
      <c r="L868" s="374">
        <v>0</v>
      </c>
      <c r="M868" s="374">
        <v>0</v>
      </c>
      <c r="N868" s="374">
        <v>0</v>
      </c>
      <c r="O868" s="374">
        <v>0</v>
      </c>
      <c r="P868" s="374">
        <v>0</v>
      </c>
      <c r="Q868" s="374" t="e">
        <f ca="1">10*Bolts!$B868</f>
        <v>#NAME?</v>
      </c>
      <c r="R868" s="374">
        <v>0</v>
      </c>
      <c r="S868" s="375">
        <v>0</v>
      </c>
      <c r="T868" s="380">
        <v>0</v>
      </c>
      <c r="U868" s="375">
        <v>0</v>
      </c>
      <c r="V868" s="380" t="e">
        <f t="shared" ca="1" si="102"/>
        <v>#NAME?</v>
      </c>
    </row>
    <row r="869" spans="1:22" ht="14.25" hidden="1" customHeight="1">
      <c r="A869" s="383" t="s">
        <v>1630</v>
      </c>
      <c r="B869" s="370" t="e">
        <f ca="1">_xludf.IFNA(VLOOKUP(Bolts!$A869,'Urban Plastix Holds'!$I$37:$L$708,4,0),0)</f>
        <v>#NAME?</v>
      </c>
      <c r="C869" s="384">
        <v>10</v>
      </c>
      <c r="D869" s="373" t="e">
        <f ca="1">10*Bolts!$B869</f>
        <v>#NAME?</v>
      </c>
      <c r="E869" s="373">
        <v>0</v>
      </c>
      <c r="F869" s="374">
        <v>0</v>
      </c>
      <c r="G869" s="374">
        <v>0</v>
      </c>
      <c r="H869" s="374">
        <v>0</v>
      </c>
      <c r="I869" s="374">
        <v>0</v>
      </c>
      <c r="J869" s="374">
        <v>0</v>
      </c>
      <c r="K869" s="374">
        <v>0</v>
      </c>
      <c r="L869" s="374">
        <v>0</v>
      </c>
      <c r="M869" s="374">
        <v>0</v>
      </c>
      <c r="N869" s="374">
        <v>0</v>
      </c>
      <c r="O869" s="374">
        <v>0</v>
      </c>
      <c r="P869" s="374">
        <v>0</v>
      </c>
      <c r="Q869" s="374" t="e">
        <f ca="1">10*Bolts!$B869</f>
        <v>#NAME?</v>
      </c>
      <c r="R869" s="374">
        <v>0</v>
      </c>
      <c r="S869" s="375">
        <v>0</v>
      </c>
      <c r="T869" s="380">
        <v>0</v>
      </c>
      <c r="U869" s="375">
        <v>0</v>
      </c>
      <c r="V869" s="380" t="e">
        <f t="shared" ca="1" si="102"/>
        <v>#NAME?</v>
      </c>
    </row>
    <row r="870" spans="1:22" ht="14.25" hidden="1" customHeight="1">
      <c r="A870" s="383" t="s">
        <v>1632</v>
      </c>
      <c r="B870" s="370" t="e">
        <f ca="1">_xludf.IFNA(VLOOKUP(Bolts!$A870,'Urban Plastix Holds'!$I$37:$L$708,4,0),0)</f>
        <v>#NAME?</v>
      </c>
      <c r="C870" s="384">
        <v>5</v>
      </c>
      <c r="D870" s="373" t="e">
        <f ca="1">5*Bolts!$B870</f>
        <v>#NAME?</v>
      </c>
      <c r="E870" s="373">
        <v>0</v>
      </c>
      <c r="F870" s="374">
        <v>0</v>
      </c>
      <c r="G870" s="374">
        <v>0</v>
      </c>
      <c r="H870" s="374">
        <v>0</v>
      </c>
      <c r="I870" s="374">
        <v>0</v>
      </c>
      <c r="J870" s="374">
        <v>0</v>
      </c>
      <c r="K870" s="374">
        <v>0</v>
      </c>
      <c r="L870" s="374">
        <v>0</v>
      </c>
      <c r="M870" s="374">
        <v>0</v>
      </c>
      <c r="N870" s="374">
        <v>0</v>
      </c>
      <c r="O870" s="374">
        <v>0</v>
      </c>
      <c r="P870" s="374">
        <v>0</v>
      </c>
      <c r="Q870" s="374" t="e">
        <f ca="1">5*Bolts!$B870</f>
        <v>#NAME?</v>
      </c>
      <c r="R870" s="374">
        <v>0</v>
      </c>
      <c r="S870" s="375">
        <v>0</v>
      </c>
      <c r="T870" s="380">
        <v>0</v>
      </c>
      <c r="U870" s="375">
        <v>0</v>
      </c>
      <c r="V870" s="380" t="e">
        <f t="shared" ca="1" si="102"/>
        <v>#NAME?</v>
      </c>
    </row>
    <row r="871" spans="1:22" ht="14.25" hidden="1" customHeight="1">
      <c r="A871" s="383" t="s">
        <v>1587</v>
      </c>
      <c r="B871" s="370" t="e">
        <f ca="1">_xludf.IFNA(VLOOKUP(Bolts!$A871,'Urban Plastix Holds'!$I$37:$L$708,4,0),0)</f>
        <v>#NAME?</v>
      </c>
      <c r="C871" s="384">
        <v>5</v>
      </c>
      <c r="D871" s="373">
        <v>0</v>
      </c>
      <c r="E871" s="373">
        <v>0</v>
      </c>
      <c r="F871" s="374" t="e">
        <f ca="1">5*Bolts!$B871</f>
        <v>#NAME?</v>
      </c>
      <c r="G871" s="374">
        <v>0</v>
      </c>
      <c r="H871" s="374">
        <v>0</v>
      </c>
      <c r="I871" s="374">
        <v>0</v>
      </c>
      <c r="J871" s="374">
        <v>0</v>
      </c>
      <c r="K871" s="374">
        <v>0</v>
      </c>
      <c r="L871" s="374">
        <v>0</v>
      </c>
      <c r="M871" s="374">
        <v>0</v>
      </c>
      <c r="N871" s="374">
        <v>0</v>
      </c>
      <c r="O871" s="374">
        <v>0</v>
      </c>
      <c r="P871" s="374">
        <v>0</v>
      </c>
      <c r="Q871" s="374" t="e">
        <f ca="1">5*Bolts!$B871</f>
        <v>#NAME?</v>
      </c>
      <c r="R871" s="374">
        <v>0</v>
      </c>
      <c r="S871" s="375">
        <v>0</v>
      </c>
      <c r="T871" s="380">
        <v>0</v>
      </c>
      <c r="U871" s="375">
        <v>0</v>
      </c>
      <c r="V871" s="380" t="e">
        <f t="shared" ca="1" si="102"/>
        <v>#NAME?</v>
      </c>
    </row>
    <row r="872" spans="1:22" ht="14.25" hidden="1" customHeight="1">
      <c r="A872" s="383" t="s">
        <v>1589</v>
      </c>
      <c r="B872" s="370" t="e">
        <f ca="1">_xludf.IFNA(VLOOKUP(Bolts!$A872,'Urban Plastix Holds'!$I$37:$L$708,4,0),0)</f>
        <v>#NAME?</v>
      </c>
      <c r="C872" s="384">
        <v>5</v>
      </c>
      <c r="D872" s="373">
        <v>0</v>
      </c>
      <c r="E872" s="373">
        <v>0</v>
      </c>
      <c r="F872" s="374" t="e">
        <f ca="1">5*Bolts!$B872</f>
        <v>#NAME?</v>
      </c>
      <c r="G872" s="374">
        <v>0</v>
      </c>
      <c r="H872" s="374">
        <v>0</v>
      </c>
      <c r="I872" s="374">
        <v>0</v>
      </c>
      <c r="J872" s="374">
        <v>0</v>
      </c>
      <c r="K872" s="374">
        <v>0</v>
      </c>
      <c r="L872" s="374">
        <v>0</v>
      </c>
      <c r="M872" s="374">
        <v>0</v>
      </c>
      <c r="N872" s="374">
        <v>0</v>
      </c>
      <c r="O872" s="374">
        <v>0</v>
      </c>
      <c r="P872" s="374">
        <v>0</v>
      </c>
      <c r="Q872" s="374" t="e">
        <f ca="1">5*Bolts!$B872</f>
        <v>#NAME?</v>
      </c>
      <c r="R872" s="374">
        <v>0</v>
      </c>
      <c r="S872" s="375">
        <v>0</v>
      </c>
      <c r="T872" s="380">
        <v>0</v>
      </c>
      <c r="U872" s="375">
        <v>0</v>
      </c>
      <c r="V872" s="380" t="e">
        <f t="shared" ca="1" si="102"/>
        <v>#NAME?</v>
      </c>
    </row>
    <row r="873" spans="1:22" ht="14.25" hidden="1" customHeight="1">
      <c r="A873" s="383" t="s">
        <v>1667</v>
      </c>
      <c r="B873" s="370" t="e">
        <f ca="1">_xludf.IFNA(VLOOKUP(Bolts!$A873,'Urban Plastix Holds'!$I$37:$L$708,4,0),0)</f>
        <v>#NAME?</v>
      </c>
      <c r="C873" s="384">
        <v>10</v>
      </c>
      <c r="D873" s="373" t="e">
        <f ca="1">10*Bolts!$B873</f>
        <v>#NAME?</v>
      </c>
      <c r="E873" s="373">
        <v>0</v>
      </c>
      <c r="F873" s="374">
        <v>0</v>
      </c>
      <c r="G873" s="374">
        <v>0</v>
      </c>
      <c r="H873" s="374">
        <v>0</v>
      </c>
      <c r="I873" s="374">
        <v>0</v>
      </c>
      <c r="J873" s="374">
        <v>0</v>
      </c>
      <c r="K873" s="374">
        <v>0</v>
      </c>
      <c r="L873" s="374">
        <v>0</v>
      </c>
      <c r="M873" s="374">
        <v>0</v>
      </c>
      <c r="N873" s="374">
        <v>0</v>
      </c>
      <c r="O873" s="374">
        <v>0</v>
      </c>
      <c r="P873" s="374">
        <v>0</v>
      </c>
      <c r="Q873" s="374" t="e">
        <f ca="1">10*Bolts!$B873</f>
        <v>#NAME?</v>
      </c>
      <c r="R873" s="374">
        <v>0</v>
      </c>
      <c r="S873" s="375">
        <v>0</v>
      </c>
      <c r="T873" s="380">
        <v>0</v>
      </c>
      <c r="U873" s="375">
        <v>0</v>
      </c>
      <c r="V873" s="380" t="e">
        <f t="shared" ca="1" si="102"/>
        <v>#NAME?</v>
      </c>
    </row>
    <row r="874" spans="1:22" ht="14.25" hidden="1" customHeight="1">
      <c r="A874" s="383" t="s">
        <v>1696</v>
      </c>
      <c r="B874" s="370" t="e">
        <f ca="1">_xludf.IFNA(VLOOKUP(Bolts!$A874,'Urban Plastix Holds'!$I$37:$L$708,4,0),0)</f>
        <v>#NAME?</v>
      </c>
      <c r="C874" s="384">
        <v>10</v>
      </c>
      <c r="D874" s="373">
        <v>0</v>
      </c>
      <c r="E874" s="373">
        <v>0</v>
      </c>
      <c r="F874" s="374">
        <v>0</v>
      </c>
      <c r="G874" s="374">
        <v>0</v>
      </c>
      <c r="H874" s="374">
        <v>0</v>
      </c>
      <c r="I874" s="374">
        <v>0</v>
      </c>
      <c r="J874" s="374">
        <v>0</v>
      </c>
      <c r="K874" s="374">
        <v>0</v>
      </c>
      <c r="L874" s="374">
        <v>0</v>
      </c>
      <c r="M874" s="374">
        <v>0</v>
      </c>
      <c r="N874" s="374">
        <v>0</v>
      </c>
      <c r="O874" s="374">
        <v>0</v>
      </c>
      <c r="P874" s="374">
        <v>0</v>
      </c>
      <c r="Q874" s="374" t="e">
        <f ca="1">20*Bolts!$B874</f>
        <v>#NAME?</v>
      </c>
      <c r="R874" s="374">
        <v>0</v>
      </c>
      <c r="S874" s="375">
        <v>0</v>
      </c>
      <c r="T874" s="380">
        <v>0</v>
      </c>
      <c r="U874" s="375">
        <v>0</v>
      </c>
      <c r="V874" s="380" t="e">
        <f t="shared" ca="1" si="102"/>
        <v>#NAME?</v>
      </c>
    </row>
    <row r="875" spans="1:22" ht="14.25" hidden="1" customHeight="1">
      <c r="A875" s="383" t="s">
        <v>1634</v>
      </c>
      <c r="B875" s="370" t="e">
        <f ca="1">_xludf.IFNA(VLOOKUP(Bolts!$A875,'Urban Plastix Holds'!$I$37:$L$708,4,0),0)</f>
        <v>#NAME?</v>
      </c>
      <c r="C875" s="384">
        <v>10</v>
      </c>
      <c r="D875" s="373" t="e">
        <f ca="1">10*Bolts!$B875</f>
        <v>#NAME?</v>
      </c>
      <c r="E875" s="373">
        <v>0</v>
      </c>
      <c r="F875" s="374">
        <v>0</v>
      </c>
      <c r="G875" s="374">
        <v>0</v>
      </c>
      <c r="H875" s="374">
        <v>0</v>
      </c>
      <c r="I875" s="374">
        <v>0</v>
      </c>
      <c r="J875" s="374">
        <v>0</v>
      </c>
      <c r="K875" s="374">
        <v>0</v>
      </c>
      <c r="L875" s="374">
        <v>0</v>
      </c>
      <c r="M875" s="374">
        <v>0</v>
      </c>
      <c r="N875" s="374">
        <v>0</v>
      </c>
      <c r="O875" s="374">
        <v>0</v>
      </c>
      <c r="P875" s="374">
        <v>0</v>
      </c>
      <c r="Q875" s="374" t="e">
        <f ca="1">10*Bolts!$B875</f>
        <v>#NAME?</v>
      </c>
      <c r="R875" s="374">
        <v>0</v>
      </c>
      <c r="S875" s="375">
        <v>0</v>
      </c>
      <c r="T875" s="380">
        <v>0</v>
      </c>
      <c r="U875" s="375">
        <v>0</v>
      </c>
      <c r="V875" s="380" t="e">
        <f t="shared" ca="1" si="102"/>
        <v>#NAME?</v>
      </c>
    </row>
    <row r="876" spans="1:22" ht="14.25" hidden="1" customHeight="1">
      <c r="A876" s="383" t="s">
        <v>1636</v>
      </c>
      <c r="B876" s="370" t="e">
        <f ca="1">_xludf.IFNA(VLOOKUP(Bolts!$A876,'Urban Plastix Holds'!$I$37:$L$708,4,0),0)</f>
        <v>#NAME?</v>
      </c>
      <c r="C876" s="384">
        <v>10</v>
      </c>
      <c r="D876" s="373" t="e">
        <f ca="1">10*Bolts!$B876</f>
        <v>#NAME?</v>
      </c>
      <c r="E876" s="373">
        <v>0</v>
      </c>
      <c r="F876" s="374">
        <v>0</v>
      </c>
      <c r="G876" s="374">
        <v>0</v>
      </c>
      <c r="H876" s="374">
        <v>0</v>
      </c>
      <c r="I876" s="374">
        <v>0</v>
      </c>
      <c r="J876" s="374">
        <v>0</v>
      </c>
      <c r="K876" s="374">
        <v>0</v>
      </c>
      <c r="L876" s="374">
        <v>0</v>
      </c>
      <c r="M876" s="374">
        <v>0</v>
      </c>
      <c r="N876" s="374">
        <v>0</v>
      </c>
      <c r="O876" s="374">
        <v>0</v>
      </c>
      <c r="P876" s="374">
        <v>0</v>
      </c>
      <c r="Q876" s="374" t="e">
        <f ca="1">10*Bolts!$B876</f>
        <v>#NAME?</v>
      </c>
      <c r="R876" s="374">
        <v>0</v>
      </c>
      <c r="S876" s="375">
        <v>0</v>
      </c>
      <c r="T876" s="380">
        <v>0</v>
      </c>
      <c r="U876" s="375">
        <v>0</v>
      </c>
      <c r="V876" s="380" t="e">
        <f t="shared" ca="1" si="102"/>
        <v>#NAME?</v>
      </c>
    </row>
    <row r="877" spans="1:22" ht="14.25" hidden="1" customHeight="1">
      <c r="A877" s="383" t="s">
        <v>1638</v>
      </c>
      <c r="B877" s="370" t="e">
        <f ca="1">_xludf.IFNA(VLOOKUP(Bolts!$A877,'Urban Plastix Holds'!$I$37:$L$708,4,0),0)</f>
        <v>#NAME?</v>
      </c>
      <c r="C877" s="384">
        <v>5</v>
      </c>
      <c r="D877" s="373">
        <v>0</v>
      </c>
      <c r="E877" s="373">
        <v>0</v>
      </c>
      <c r="F877" s="374" t="e">
        <f ca="1">5*Bolts!$B877</f>
        <v>#NAME?</v>
      </c>
      <c r="G877" s="374">
        <v>0</v>
      </c>
      <c r="H877" s="374">
        <v>0</v>
      </c>
      <c r="I877" s="374">
        <v>0</v>
      </c>
      <c r="J877" s="374">
        <v>0</v>
      </c>
      <c r="K877" s="374">
        <v>0</v>
      </c>
      <c r="L877" s="374">
        <v>0</v>
      </c>
      <c r="M877" s="374">
        <v>0</v>
      </c>
      <c r="N877" s="374">
        <v>0</v>
      </c>
      <c r="O877" s="374">
        <v>0</v>
      </c>
      <c r="P877" s="374">
        <v>0</v>
      </c>
      <c r="Q877" s="374" t="e">
        <f ca="1">5*Bolts!$B877</f>
        <v>#NAME?</v>
      </c>
      <c r="R877" s="374">
        <v>0</v>
      </c>
      <c r="S877" s="375">
        <v>0</v>
      </c>
      <c r="T877" s="380">
        <v>0</v>
      </c>
      <c r="U877" s="375">
        <v>0</v>
      </c>
      <c r="V877" s="380" t="e">
        <f t="shared" ca="1" si="102"/>
        <v>#NAME?</v>
      </c>
    </row>
    <row r="878" spans="1:22" ht="14.25" hidden="1" customHeight="1">
      <c r="A878" s="383" t="s">
        <v>1669</v>
      </c>
      <c r="B878" s="370" t="e">
        <f ca="1">_xludf.IFNA(VLOOKUP(Bolts!$A878,'Urban Plastix Holds'!$I$37:$L$708,4,0),0)</f>
        <v>#NAME?</v>
      </c>
      <c r="C878" s="384">
        <v>10</v>
      </c>
      <c r="D878" s="373" t="e">
        <f ca="1">10*Bolts!$B878</f>
        <v>#NAME?</v>
      </c>
      <c r="E878" s="373">
        <v>0</v>
      </c>
      <c r="F878" s="374">
        <v>0</v>
      </c>
      <c r="G878" s="374">
        <v>0</v>
      </c>
      <c r="H878" s="374">
        <v>0</v>
      </c>
      <c r="I878" s="374">
        <v>0</v>
      </c>
      <c r="J878" s="374">
        <v>0</v>
      </c>
      <c r="K878" s="374">
        <v>0</v>
      </c>
      <c r="L878" s="374">
        <v>0</v>
      </c>
      <c r="M878" s="374">
        <v>0</v>
      </c>
      <c r="N878" s="374">
        <v>0</v>
      </c>
      <c r="O878" s="374">
        <v>0</v>
      </c>
      <c r="P878" s="374">
        <v>0</v>
      </c>
      <c r="Q878" s="374" t="e">
        <f ca="1">10*Bolts!$B878</f>
        <v>#NAME?</v>
      </c>
      <c r="R878" s="374">
        <v>0</v>
      </c>
      <c r="S878" s="375">
        <v>0</v>
      </c>
      <c r="T878" s="380">
        <v>0</v>
      </c>
      <c r="U878" s="375">
        <v>0</v>
      </c>
      <c r="V878" s="380" t="e">
        <f t="shared" ca="1" si="102"/>
        <v>#NAME?</v>
      </c>
    </row>
    <row r="879" spans="1:22" ht="14.25" hidden="1" customHeight="1">
      <c r="A879" s="383" t="s">
        <v>1640</v>
      </c>
      <c r="B879" s="370" t="e">
        <f ca="1">_xludf.IFNA(VLOOKUP(Bolts!$A879,'Urban Plastix Holds'!$I$37:$L$708,4,0),0)</f>
        <v>#NAME?</v>
      </c>
      <c r="C879" s="384">
        <v>5</v>
      </c>
      <c r="D879" s="373" t="e">
        <f ca="1">5*Bolts!$B879</f>
        <v>#NAME?</v>
      </c>
      <c r="E879" s="373">
        <v>0</v>
      </c>
      <c r="F879" s="374">
        <v>0</v>
      </c>
      <c r="G879" s="374">
        <v>0</v>
      </c>
      <c r="H879" s="374">
        <v>0</v>
      </c>
      <c r="I879" s="374">
        <v>0</v>
      </c>
      <c r="J879" s="374">
        <v>0</v>
      </c>
      <c r="K879" s="374">
        <v>0</v>
      </c>
      <c r="L879" s="374">
        <v>0</v>
      </c>
      <c r="M879" s="374">
        <v>0</v>
      </c>
      <c r="N879" s="374">
        <v>0</v>
      </c>
      <c r="O879" s="374">
        <v>0</v>
      </c>
      <c r="P879" s="374">
        <v>0</v>
      </c>
      <c r="Q879" s="374" t="e">
        <f ca="1">5*Bolts!$B879</f>
        <v>#NAME?</v>
      </c>
      <c r="R879" s="374">
        <v>0</v>
      </c>
      <c r="S879" s="375">
        <v>0</v>
      </c>
      <c r="T879" s="380">
        <v>0</v>
      </c>
      <c r="U879" s="375">
        <v>0</v>
      </c>
      <c r="V879" s="380" t="e">
        <f t="shared" ca="1" si="102"/>
        <v>#NAME?</v>
      </c>
    </row>
    <row r="880" spans="1:22" ht="14.25" hidden="1" customHeight="1">
      <c r="A880" s="383" t="s">
        <v>1591</v>
      </c>
      <c r="B880" s="370" t="e">
        <f ca="1">_xludf.IFNA(VLOOKUP(Bolts!$A880,'Urban Plastix Holds'!$I$37:$L$708,4,0),0)</f>
        <v>#NAME?</v>
      </c>
      <c r="C880" s="384">
        <v>5</v>
      </c>
      <c r="D880" s="373">
        <v>0</v>
      </c>
      <c r="E880" s="373">
        <v>0</v>
      </c>
      <c r="F880" s="374" t="e">
        <f ca="1">5*Bolts!$B880</f>
        <v>#NAME?</v>
      </c>
      <c r="G880" s="374">
        <v>0</v>
      </c>
      <c r="H880" s="374">
        <v>0</v>
      </c>
      <c r="I880" s="374">
        <v>0</v>
      </c>
      <c r="J880" s="374">
        <v>0</v>
      </c>
      <c r="K880" s="374">
        <v>0</v>
      </c>
      <c r="L880" s="374">
        <v>0</v>
      </c>
      <c r="M880" s="374">
        <v>0</v>
      </c>
      <c r="N880" s="374">
        <v>0</v>
      </c>
      <c r="O880" s="374">
        <v>0</v>
      </c>
      <c r="P880" s="374">
        <v>0</v>
      </c>
      <c r="Q880" s="374" t="e">
        <f ca="1">15*Bolts!$B880</f>
        <v>#NAME?</v>
      </c>
      <c r="R880" s="374">
        <v>0</v>
      </c>
      <c r="S880" s="375">
        <v>0</v>
      </c>
      <c r="T880" s="380">
        <v>0</v>
      </c>
      <c r="U880" s="375">
        <v>0</v>
      </c>
      <c r="V880" s="380" t="e">
        <f t="shared" ca="1" si="102"/>
        <v>#NAME?</v>
      </c>
    </row>
    <row r="881" spans="1:22" ht="14.25" hidden="1" customHeight="1">
      <c r="A881" s="383" t="s">
        <v>1357</v>
      </c>
      <c r="B881" s="370" t="e">
        <f ca="1">_xludf.IFNA(VLOOKUP(Bolts!$A881,'Urban Plastix Holds'!$I$37:$L$708,4,0),0)</f>
        <v>#NAME?</v>
      </c>
      <c r="C881" s="384">
        <v>3</v>
      </c>
      <c r="D881" s="373">
        <v>0</v>
      </c>
      <c r="E881" s="373">
        <v>0</v>
      </c>
      <c r="F881" s="374">
        <v>0</v>
      </c>
      <c r="G881" s="374">
        <v>0</v>
      </c>
      <c r="H881" s="374">
        <v>0</v>
      </c>
      <c r="I881" s="374">
        <v>0</v>
      </c>
      <c r="J881" s="374">
        <v>0</v>
      </c>
      <c r="K881" s="374" t="e">
        <f ca="1">3*Bolts!$B881</f>
        <v>#NAME?</v>
      </c>
      <c r="L881" s="374">
        <v>0</v>
      </c>
      <c r="M881" s="374">
        <v>0</v>
      </c>
      <c r="N881" s="374">
        <v>0</v>
      </c>
      <c r="O881" s="374">
        <v>0</v>
      </c>
      <c r="P881" s="374">
        <v>0</v>
      </c>
      <c r="Q881" s="374" t="e">
        <f ca="1">6*Bolts!$B881</f>
        <v>#NAME?</v>
      </c>
      <c r="R881" s="374">
        <v>0</v>
      </c>
      <c r="S881" s="375">
        <v>0</v>
      </c>
      <c r="T881" s="380">
        <v>0</v>
      </c>
      <c r="U881" s="375">
        <v>0</v>
      </c>
      <c r="V881" s="380" t="e">
        <f t="shared" ca="1" si="102"/>
        <v>#NAME?</v>
      </c>
    </row>
    <row r="882" spans="1:22" ht="14.25" hidden="1" customHeight="1">
      <c r="A882" s="383" t="s">
        <v>1359</v>
      </c>
      <c r="B882" s="370" t="e">
        <f ca="1">_xludf.IFNA(VLOOKUP(Bolts!$A882,'Urban Plastix Holds'!$I$37:$L$708,4,0),0)</f>
        <v>#NAME?</v>
      </c>
      <c r="C882" s="384">
        <v>3</v>
      </c>
      <c r="D882" s="373">
        <v>0</v>
      </c>
      <c r="E882" s="373">
        <v>0</v>
      </c>
      <c r="F882" s="374" t="e">
        <f ca="1">2*Bolts!$B882</f>
        <v>#NAME?</v>
      </c>
      <c r="G882" s="374" t="e">
        <f ca="1">1*Bolts!$B882</f>
        <v>#NAME?</v>
      </c>
      <c r="H882" s="374">
        <v>0</v>
      </c>
      <c r="I882" s="374">
        <v>0</v>
      </c>
      <c r="J882" s="374">
        <v>0</v>
      </c>
      <c r="K882" s="374">
        <v>0</v>
      </c>
      <c r="L882" s="374">
        <v>0</v>
      </c>
      <c r="M882" s="374">
        <v>0</v>
      </c>
      <c r="N882" s="374">
        <v>0</v>
      </c>
      <c r="O882" s="374">
        <v>0</v>
      </c>
      <c r="P882" s="374">
        <v>0</v>
      </c>
      <c r="Q882" s="374" t="e">
        <f ca="1">3*Bolts!$B882</f>
        <v>#NAME?</v>
      </c>
      <c r="R882" s="374">
        <v>0</v>
      </c>
      <c r="S882" s="375">
        <v>0</v>
      </c>
      <c r="T882" s="380">
        <v>0</v>
      </c>
      <c r="U882" s="375">
        <v>0</v>
      </c>
      <c r="V882" s="380" t="e">
        <f t="shared" ca="1" si="102"/>
        <v>#NAME?</v>
      </c>
    </row>
    <row r="883" spans="1:22" ht="14.25" hidden="1" customHeight="1">
      <c r="A883" s="383" t="s">
        <v>1593</v>
      </c>
      <c r="B883" s="370" t="e">
        <f ca="1">_xludf.IFNA(VLOOKUP(Bolts!$A883,'Urban Plastix Holds'!$I$37:$L$708,4,0),0)</f>
        <v>#NAME?</v>
      </c>
      <c r="C883" s="384">
        <v>4</v>
      </c>
      <c r="D883" s="373">
        <v>0</v>
      </c>
      <c r="E883" s="373">
        <v>0</v>
      </c>
      <c r="F883" s="374">
        <v>0</v>
      </c>
      <c r="G883" s="374" t="e">
        <f ca="1">1*Bolts!$B883</f>
        <v>#NAME?</v>
      </c>
      <c r="H883" s="374" t="e">
        <f ca="1">3*Bolts!$B883</f>
        <v>#NAME?</v>
      </c>
      <c r="I883" s="374">
        <v>0</v>
      </c>
      <c r="J883" s="374">
        <v>0</v>
      </c>
      <c r="K883" s="374">
        <v>0</v>
      </c>
      <c r="L883" s="374">
        <v>0</v>
      </c>
      <c r="M883" s="374">
        <v>0</v>
      </c>
      <c r="N883" s="374">
        <v>0</v>
      </c>
      <c r="O883" s="374">
        <v>0</v>
      </c>
      <c r="P883" s="374">
        <v>0</v>
      </c>
      <c r="Q883" s="374" t="e">
        <f ca="1">4*Bolts!$B883</f>
        <v>#NAME?</v>
      </c>
      <c r="R883" s="374">
        <v>0</v>
      </c>
      <c r="S883" s="375">
        <v>0</v>
      </c>
      <c r="T883" s="380">
        <v>0</v>
      </c>
      <c r="U883" s="375">
        <v>0</v>
      </c>
      <c r="V883" s="380" t="e">
        <f t="shared" ca="1" si="102"/>
        <v>#NAME?</v>
      </c>
    </row>
    <row r="884" spans="1:22" ht="14.25" hidden="1" customHeight="1">
      <c r="A884" s="383" t="s">
        <v>1690</v>
      </c>
      <c r="B884" s="370" t="e">
        <f ca="1">_xludf.IFNA(VLOOKUP(Bolts!$A884,'Urban Plastix Holds'!$I$37:$L$708,4,0),0)</f>
        <v>#NAME?</v>
      </c>
      <c r="C884" s="384">
        <v>10</v>
      </c>
      <c r="D884" s="373" t="e">
        <f ca="1">10*Bolts!$B884</f>
        <v>#NAME?</v>
      </c>
      <c r="E884" s="373">
        <v>0</v>
      </c>
      <c r="F884" s="374">
        <v>0</v>
      </c>
      <c r="G884" s="374">
        <v>0</v>
      </c>
      <c r="H884" s="374">
        <v>0</v>
      </c>
      <c r="I884" s="374">
        <v>0</v>
      </c>
      <c r="J884" s="374">
        <v>0</v>
      </c>
      <c r="K884" s="374">
        <v>0</v>
      </c>
      <c r="L884" s="374">
        <v>0</v>
      </c>
      <c r="M884" s="374">
        <v>0</v>
      </c>
      <c r="N884" s="374">
        <v>0</v>
      </c>
      <c r="O884" s="374">
        <v>0</v>
      </c>
      <c r="P884" s="374">
        <v>0</v>
      </c>
      <c r="Q884" s="374" t="e">
        <f ca="1">10*Bolts!$B884</f>
        <v>#NAME?</v>
      </c>
      <c r="R884" s="374">
        <v>0</v>
      </c>
      <c r="S884" s="375">
        <v>0</v>
      </c>
      <c r="T884" s="380">
        <v>0</v>
      </c>
      <c r="U884" s="375">
        <v>0</v>
      </c>
      <c r="V884" s="380" t="e">
        <f t="shared" ca="1" si="102"/>
        <v>#NAME?</v>
      </c>
    </row>
    <row r="885" spans="1:22" ht="14.25" hidden="1" customHeight="1">
      <c r="A885" s="383" t="s">
        <v>1671</v>
      </c>
      <c r="B885" s="370" t="e">
        <f ca="1">_xludf.IFNA(VLOOKUP(Bolts!$A885,'Urban Plastix Holds'!$I$37:$L$708,4,0),0)</f>
        <v>#NAME?</v>
      </c>
      <c r="C885" s="384">
        <v>5</v>
      </c>
      <c r="D885" s="373" t="e">
        <f ca="1">5*Bolts!$B885</f>
        <v>#NAME?</v>
      </c>
      <c r="E885" s="373">
        <v>0</v>
      </c>
      <c r="F885" s="374">
        <v>0</v>
      </c>
      <c r="G885" s="374">
        <v>0</v>
      </c>
      <c r="H885" s="374">
        <v>0</v>
      </c>
      <c r="I885" s="374">
        <v>0</v>
      </c>
      <c r="J885" s="374">
        <v>0</v>
      </c>
      <c r="K885" s="374">
        <v>0</v>
      </c>
      <c r="L885" s="374">
        <v>0</v>
      </c>
      <c r="M885" s="374">
        <v>0</v>
      </c>
      <c r="N885" s="374">
        <v>0</v>
      </c>
      <c r="O885" s="374">
        <v>0</v>
      </c>
      <c r="P885" s="374">
        <v>0</v>
      </c>
      <c r="Q885" s="374" t="e">
        <f ca="1">5*Bolts!$B885</f>
        <v>#NAME?</v>
      </c>
      <c r="R885" s="374">
        <v>0</v>
      </c>
      <c r="S885" s="375">
        <v>0</v>
      </c>
      <c r="T885" s="380">
        <v>0</v>
      </c>
      <c r="U885" s="375">
        <v>0</v>
      </c>
      <c r="V885" s="380" t="e">
        <f t="shared" ca="1" si="102"/>
        <v>#NAME?</v>
      </c>
    </row>
    <row r="886" spans="1:22" ht="14.25" hidden="1" customHeight="1">
      <c r="A886" s="383" t="s">
        <v>1443</v>
      </c>
      <c r="B886" s="370" t="e">
        <f ca="1">_xludf.IFNA(VLOOKUP(Bolts!$A886,'Urban Plastix Holds'!$I$37:$L$708,4,0),0)</f>
        <v>#NAME?</v>
      </c>
      <c r="C886" s="384">
        <v>5</v>
      </c>
      <c r="D886" s="373">
        <v>0</v>
      </c>
      <c r="E886" s="373">
        <v>0</v>
      </c>
      <c r="F886" s="373">
        <v>0</v>
      </c>
      <c r="G886" s="373">
        <v>0</v>
      </c>
      <c r="H886" s="373">
        <v>0</v>
      </c>
      <c r="I886" s="373">
        <v>0</v>
      </c>
      <c r="J886" s="373">
        <v>0</v>
      </c>
      <c r="K886" s="373">
        <v>0</v>
      </c>
      <c r="L886" s="373">
        <v>0</v>
      </c>
      <c r="M886" s="373">
        <v>0</v>
      </c>
      <c r="N886" s="373">
        <v>0</v>
      </c>
      <c r="O886" s="373">
        <v>0</v>
      </c>
      <c r="P886" s="373">
        <v>0</v>
      </c>
      <c r="Q886" s="374" t="e">
        <f ca="1">15*Bolts!$B886</f>
        <v>#NAME?</v>
      </c>
      <c r="R886" s="374">
        <v>0</v>
      </c>
      <c r="S886" s="375">
        <v>0</v>
      </c>
      <c r="T886" s="380">
        <v>0</v>
      </c>
      <c r="U886" s="375">
        <v>0</v>
      </c>
      <c r="V886" s="380" t="e">
        <f t="shared" ca="1" si="102"/>
        <v>#NAME?</v>
      </c>
    </row>
    <row r="887" spans="1:22" ht="14.25" hidden="1" customHeight="1">
      <c r="A887" s="383" t="s">
        <v>1389</v>
      </c>
      <c r="B887" s="370" t="e">
        <f ca="1">_xludf.IFNA(VLOOKUP(Bolts!$A887,'Urban Plastix Holds'!$I$37:$L$708,4,0),0)</f>
        <v>#NAME?</v>
      </c>
      <c r="C887" s="384">
        <v>5</v>
      </c>
      <c r="D887" s="373">
        <v>0</v>
      </c>
      <c r="E887" s="373" t="e">
        <f ca="1">1*Bolts!$B887</f>
        <v>#NAME?</v>
      </c>
      <c r="F887" s="374" t="e">
        <f ca="1">4*Bolts!$B887</f>
        <v>#NAME?</v>
      </c>
      <c r="G887" s="374">
        <v>0</v>
      </c>
      <c r="H887" s="374">
        <v>0</v>
      </c>
      <c r="I887" s="374">
        <v>0</v>
      </c>
      <c r="J887" s="374">
        <v>0</v>
      </c>
      <c r="K887" s="374">
        <v>0</v>
      </c>
      <c r="L887" s="374">
        <v>0</v>
      </c>
      <c r="M887" s="374">
        <v>0</v>
      </c>
      <c r="N887" s="374">
        <v>0</v>
      </c>
      <c r="O887" s="374">
        <v>0</v>
      </c>
      <c r="P887" s="374">
        <v>0</v>
      </c>
      <c r="Q887" s="374" t="e">
        <f ca="1">5*Bolts!$B887</f>
        <v>#NAME?</v>
      </c>
      <c r="R887" s="374">
        <v>0</v>
      </c>
      <c r="S887" s="375">
        <v>0</v>
      </c>
      <c r="T887" s="380">
        <v>0</v>
      </c>
      <c r="U887" s="375">
        <v>0</v>
      </c>
      <c r="V887" s="380" t="e">
        <f t="shared" ca="1" si="102"/>
        <v>#NAME?</v>
      </c>
    </row>
    <row r="888" spans="1:22" ht="14.25" hidden="1" customHeight="1">
      <c r="A888" s="383" t="s">
        <v>1361</v>
      </c>
      <c r="B888" s="370" t="e">
        <f ca="1">_xludf.IFNA(VLOOKUP(Bolts!$A888,'Urban Plastix Holds'!$I$37:$L$708,4,0),0)</f>
        <v>#NAME?</v>
      </c>
      <c r="C888" s="384">
        <v>2</v>
      </c>
      <c r="D888" s="373">
        <v>0</v>
      </c>
      <c r="E888" s="373">
        <v>0</v>
      </c>
      <c r="F888" s="374" t="e">
        <f ca="1">2*Bolts!$B888</f>
        <v>#NAME?</v>
      </c>
      <c r="G888" s="374">
        <v>0</v>
      </c>
      <c r="H888" s="374">
        <v>0</v>
      </c>
      <c r="I888" s="374">
        <v>0</v>
      </c>
      <c r="J888" s="374">
        <v>0</v>
      </c>
      <c r="K888" s="374">
        <v>0</v>
      </c>
      <c r="L888" s="374">
        <v>0</v>
      </c>
      <c r="M888" s="374">
        <v>0</v>
      </c>
      <c r="N888" s="374">
        <v>0</v>
      </c>
      <c r="O888" s="374">
        <v>0</v>
      </c>
      <c r="P888" s="374">
        <v>0</v>
      </c>
      <c r="Q888" s="374" t="e">
        <f ca="1">7*Bolts!$B888</f>
        <v>#NAME?</v>
      </c>
      <c r="R888" s="374">
        <v>0</v>
      </c>
      <c r="S888" s="375">
        <v>0</v>
      </c>
      <c r="T888" s="380">
        <v>0</v>
      </c>
      <c r="U888" s="375">
        <v>0</v>
      </c>
      <c r="V888" s="380" t="e">
        <f t="shared" ca="1" si="102"/>
        <v>#NAME?</v>
      </c>
    </row>
    <row r="889" spans="1:22" ht="14.25" hidden="1" customHeight="1">
      <c r="A889" s="383" t="s">
        <v>1642</v>
      </c>
      <c r="B889" s="370" t="e">
        <f ca="1">_xludf.IFNA(VLOOKUP(Bolts!$A889,'Urban Plastix Holds'!$I$37:$L$708,4,0),0)</f>
        <v>#NAME?</v>
      </c>
      <c r="C889" s="384">
        <v>5</v>
      </c>
      <c r="D889" s="373" t="e">
        <f ca="1">5*Bolts!$B889</f>
        <v>#NAME?</v>
      </c>
      <c r="E889" s="373">
        <v>0</v>
      </c>
      <c r="F889" s="374">
        <v>0</v>
      </c>
      <c r="G889" s="374">
        <v>0</v>
      </c>
      <c r="H889" s="374">
        <v>0</v>
      </c>
      <c r="I889" s="374">
        <v>0</v>
      </c>
      <c r="J889" s="374">
        <v>0</v>
      </c>
      <c r="K889" s="374">
        <v>0</v>
      </c>
      <c r="L889" s="374">
        <v>0</v>
      </c>
      <c r="M889" s="374">
        <v>0</v>
      </c>
      <c r="N889" s="374">
        <v>0</v>
      </c>
      <c r="O889" s="374">
        <v>0</v>
      </c>
      <c r="P889" s="374">
        <v>0</v>
      </c>
      <c r="Q889" s="374" t="e">
        <f ca="1">10*Bolts!$B889</f>
        <v>#NAME?</v>
      </c>
      <c r="R889" s="374">
        <v>0</v>
      </c>
      <c r="S889" s="375">
        <v>0</v>
      </c>
      <c r="T889" s="380">
        <v>0</v>
      </c>
      <c r="U889" s="375">
        <v>0</v>
      </c>
      <c r="V889" s="380" t="e">
        <f t="shared" ca="1" si="102"/>
        <v>#NAME?</v>
      </c>
    </row>
    <row r="890" spans="1:22" ht="14.25" hidden="1" customHeight="1">
      <c r="A890" s="383" t="s">
        <v>1673</v>
      </c>
      <c r="B890" s="370" t="e">
        <f ca="1">_xludf.IFNA(VLOOKUP(Bolts!$A890,'Urban Plastix Holds'!$I$37:$L$708,4,0),0)</f>
        <v>#NAME?</v>
      </c>
      <c r="C890" s="384">
        <v>5</v>
      </c>
      <c r="D890" s="373" t="e">
        <f ca="1">5*Bolts!$B890</f>
        <v>#NAME?</v>
      </c>
      <c r="E890" s="373">
        <v>0</v>
      </c>
      <c r="F890" s="374">
        <v>0</v>
      </c>
      <c r="G890" s="374">
        <v>0</v>
      </c>
      <c r="H890" s="374">
        <v>0</v>
      </c>
      <c r="I890" s="374">
        <v>0</v>
      </c>
      <c r="J890" s="374">
        <v>0</v>
      </c>
      <c r="K890" s="374">
        <v>0</v>
      </c>
      <c r="L890" s="374">
        <v>0</v>
      </c>
      <c r="M890" s="374">
        <v>0</v>
      </c>
      <c r="N890" s="374">
        <v>0</v>
      </c>
      <c r="O890" s="374">
        <v>0</v>
      </c>
      <c r="P890" s="374">
        <v>0</v>
      </c>
      <c r="Q890" s="374" t="e">
        <f ca="1">10*Bolts!$B890</f>
        <v>#NAME?</v>
      </c>
      <c r="R890" s="374">
        <v>0</v>
      </c>
      <c r="S890" s="375">
        <v>0</v>
      </c>
      <c r="T890" s="380">
        <v>0</v>
      </c>
      <c r="U890" s="375">
        <v>0</v>
      </c>
      <c r="V890" s="380" t="e">
        <f t="shared" ca="1" si="102"/>
        <v>#NAME?</v>
      </c>
    </row>
    <row r="891" spans="1:22" ht="14.25" hidden="1" customHeight="1">
      <c r="A891" s="383" t="s">
        <v>1335</v>
      </c>
      <c r="B891" s="370" t="e">
        <f ca="1">_xludf.IFNA(VLOOKUP(Bolts!$A891,'Urban Plastix Holds'!$I$37:$L$708,4,0),0)</f>
        <v>#NAME?</v>
      </c>
      <c r="C891" s="384">
        <v>1</v>
      </c>
      <c r="D891" s="373">
        <v>0</v>
      </c>
      <c r="E891" s="373">
        <v>0</v>
      </c>
      <c r="F891" s="374">
        <v>0</v>
      </c>
      <c r="G891" s="374">
        <v>0</v>
      </c>
      <c r="H891" s="374">
        <v>0</v>
      </c>
      <c r="I891" s="374">
        <v>0</v>
      </c>
      <c r="J891" s="374">
        <v>0</v>
      </c>
      <c r="K891" s="374">
        <v>0</v>
      </c>
      <c r="L891" s="374" t="e">
        <f ca="1">1*Bolts!$B891</f>
        <v>#NAME?</v>
      </c>
      <c r="M891" s="374">
        <v>0</v>
      </c>
      <c r="N891" s="374">
        <v>0</v>
      </c>
      <c r="O891" s="374">
        <v>0</v>
      </c>
      <c r="P891" s="374">
        <v>0</v>
      </c>
      <c r="Q891" s="374" t="e">
        <f ca="1">5*Bolts!$B891</f>
        <v>#NAME?</v>
      </c>
      <c r="R891" s="374">
        <v>0</v>
      </c>
      <c r="S891" s="375">
        <v>0</v>
      </c>
      <c r="T891" s="380">
        <v>0</v>
      </c>
      <c r="U891" s="375">
        <v>0</v>
      </c>
      <c r="V891" s="380" t="e">
        <f t="shared" ca="1" si="102"/>
        <v>#NAME?</v>
      </c>
    </row>
    <row r="892" spans="1:22" ht="14.25" hidden="1" customHeight="1">
      <c r="A892" s="383" t="s">
        <v>1343</v>
      </c>
      <c r="B892" s="370" t="e">
        <f ca="1">_xludf.IFNA(VLOOKUP(Bolts!$A892,'Urban Plastix Holds'!$I$37:$L$708,4,0),0)</f>
        <v>#NAME?</v>
      </c>
      <c r="C892" s="384">
        <v>2</v>
      </c>
      <c r="D892" s="373">
        <v>0</v>
      </c>
      <c r="E892" s="373">
        <v>0</v>
      </c>
      <c r="F892" s="374">
        <v>0</v>
      </c>
      <c r="G892" s="374">
        <v>0</v>
      </c>
      <c r="H892" s="374">
        <v>0</v>
      </c>
      <c r="I892" s="374">
        <v>0</v>
      </c>
      <c r="J892" s="374">
        <v>0</v>
      </c>
      <c r="K892" s="374" t="e">
        <f ca="1">1*Bolts!$B892</f>
        <v>#NAME?</v>
      </c>
      <c r="L892" s="374" t="e">
        <f ca="1">1*Bolts!$B892</f>
        <v>#NAME?</v>
      </c>
      <c r="M892" s="374">
        <v>0</v>
      </c>
      <c r="N892" s="374">
        <v>0</v>
      </c>
      <c r="O892" s="374">
        <v>0</v>
      </c>
      <c r="P892" s="374">
        <v>0</v>
      </c>
      <c r="Q892" s="374" t="e">
        <f ca="1">6*Bolts!$B892</f>
        <v>#NAME?</v>
      </c>
      <c r="R892" s="374">
        <v>0</v>
      </c>
      <c r="S892" s="375">
        <v>0</v>
      </c>
      <c r="T892" s="380">
        <v>0</v>
      </c>
      <c r="U892" s="375">
        <v>0</v>
      </c>
      <c r="V892" s="380" t="e">
        <f t="shared" ca="1" si="102"/>
        <v>#NAME?</v>
      </c>
    </row>
    <row r="893" spans="1:22" ht="14.25" hidden="1" customHeight="1">
      <c r="A893" s="383" t="s">
        <v>1377</v>
      </c>
      <c r="B893" s="370" t="e">
        <f ca="1">_xludf.IFNA(VLOOKUP(Bolts!$A893,'Urban Plastix Holds'!$I$37:$L$708,4,0),0)</f>
        <v>#NAME?</v>
      </c>
      <c r="C893" s="384">
        <v>3</v>
      </c>
      <c r="D893" s="373">
        <v>0</v>
      </c>
      <c r="E893" s="373" t="e">
        <f ca="1">3*Bolts!$B893</f>
        <v>#NAME?</v>
      </c>
      <c r="F893" s="374">
        <v>0</v>
      </c>
      <c r="G893" s="374">
        <v>0</v>
      </c>
      <c r="H893" s="374">
        <v>0</v>
      </c>
      <c r="I893" s="374">
        <v>0</v>
      </c>
      <c r="J893" s="374">
        <v>0</v>
      </c>
      <c r="K893" s="374">
        <v>0</v>
      </c>
      <c r="L893" s="374">
        <v>0</v>
      </c>
      <c r="M893" s="374">
        <v>0</v>
      </c>
      <c r="N893" s="374">
        <v>0</v>
      </c>
      <c r="O893" s="374">
        <v>0</v>
      </c>
      <c r="P893" s="374">
        <v>0</v>
      </c>
      <c r="Q893" s="374" t="e">
        <f ca="1">6*Bolts!$B893</f>
        <v>#NAME?</v>
      </c>
      <c r="R893" s="374">
        <v>0</v>
      </c>
      <c r="S893" s="375">
        <v>0</v>
      </c>
      <c r="T893" s="380">
        <v>0</v>
      </c>
      <c r="U893" s="375">
        <v>0</v>
      </c>
      <c r="V893" s="380" t="e">
        <f t="shared" ca="1" si="102"/>
        <v>#NAME?</v>
      </c>
    </row>
    <row r="894" spans="1:22" ht="14.25" hidden="1" customHeight="1">
      <c r="A894" s="383" t="s">
        <v>1345</v>
      </c>
      <c r="B894" s="370" t="e">
        <f ca="1">_xludf.IFNA(VLOOKUP(Bolts!$A894,'Urban Plastix Holds'!$I$37:$L$708,4,0),0)</f>
        <v>#NAME?</v>
      </c>
      <c r="C894" s="381">
        <v>2</v>
      </c>
      <c r="D894" s="373">
        <v>0</v>
      </c>
      <c r="E894" s="373">
        <v>0</v>
      </c>
      <c r="F894" s="373">
        <v>0</v>
      </c>
      <c r="G894" s="373" t="e">
        <f ca="1">2*Bolts!$B894</f>
        <v>#NAME?</v>
      </c>
      <c r="H894" s="373">
        <v>0</v>
      </c>
      <c r="I894" s="373">
        <v>0</v>
      </c>
      <c r="J894" s="373">
        <v>0</v>
      </c>
      <c r="K894" s="373">
        <v>0</v>
      </c>
      <c r="L894" s="374">
        <v>0</v>
      </c>
      <c r="M894" s="373">
        <v>0</v>
      </c>
      <c r="N894" s="373">
        <v>0</v>
      </c>
      <c r="O894" s="373">
        <v>0</v>
      </c>
      <c r="P894" s="373">
        <v>0</v>
      </c>
      <c r="Q894" s="373" t="e">
        <f ca="1">6*Bolts!$B894</f>
        <v>#NAME?</v>
      </c>
      <c r="R894" s="373">
        <v>0</v>
      </c>
      <c r="S894" s="380">
        <v>0</v>
      </c>
      <c r="T894" s="380">
        <v>0</v>
      </c>
      <c r="U894" s="380">
        <v>0</v>
      </c>
      <c r="V894" s="373" t="e">
        <f t="shared" ca="1" si="102"/>
        <v>#NAME?</v>
      </c>
    </row>
    <row r="895" spans="1:22" ht="14.25" hidden="1" customHeight="1">
      <c r="A895" s="383" t="s">
        <v>1338</v>
      </c>
      <c r="B895" s="370" t="e">
        <f ca="1">_xludf.IFNA(VLOOKUP(Bolts!$A895,'Urban Plastix Holds'!$I$37:$L$708,4,0),0)</f>
        <v>#NAME?</v>
      </c>
      <c r="C895" s="381">
        <v>3</v>
      </c>
      <c r="D895" s="373">
        <v>0</v>
      </c>
      <c r="E895" s="373" t="e">
        <f ca="1">1*Bolts!$B895</f>
        <v>#NAME?</v>
      </c>
      <c r="F895" s="373" t="e">
        <f ca="1">1*Bolts!$B895</f>
        <v>#NAME?</v>
      </c>
      <c r="G895" s="373">
        <v>0</v>
      </c>
      <c r="H895" s="373">
        <v>0</v>
      </c>
      <c r="I895" s="373" t="e">
        <f ca="1">1*Bolts!$B895</f>
        <v>#NAME?</v>
      </c>
      <c r="J895" s="373">
        <v>0</v>
      </c>
      <c r="K895" s="373">
        <v>0</v>
      </c>
      <c r="L895" s="374">
        <v>0</v>
      </c>
      <c r="M895" s="373">
        <v>0</v>
      </c>
      <c r="N895" s="373">
        <v>0</v>
      </c>
      <c r="O895" s="373">
        <v>0</v>
      </c>
      <c r="P895" s="373">
        <v>0</v>
      </c>
      <c r="Q895" s="373" t="e">
        <f ca="1">18*Bolts!$B895</f>
        <v>#NAME?</v>
      </c>
      <c r="R895" s="373">
        <v>0</v>
      </c>
      <c r="S895" s="380">
        <v>0</v>
      </c>
      <c r="T895" s="380">
        <v>0</v>
      </c>
      <c r="U895" s="380">
        <v>0</v>
      </c>
      <c r="V895" s="373" t="e">
        <f t="shared" ca="1" si="102"/>
        <v>#NAME?</v>
      </c>
    </row>
    <row r="896" spans="1:22" ht="14.25" hidden="1" customHeight="1">
      <c r="A896" s="383" t="s">
        <v>1347</v>
      </c>
      <c r="B896" s="370" t="e">
        <f ca="1">_xludf.IFNA(VLOOKUP(Bolts!$A896,'Urban Plastix Holds'!$I$37:$L$708,4,0),0)</f>
        <v>#NAME?</v>
      </c>
      <c r="C896" s="381">
        <v>3</v>
      </c>
      <c r="D896" s="373">
        <v>0</v>
      </c>
      <c r="E896" s="373">
        <v>0</v>
      </c>
      <c r="F896" s="373">
        <v>0</v>
      </c>
      <c r="G896" s="373">
        <v>0</v>
      </c>
      <c r="H896" s="373">
        <v>0</v>
      </c>
      <c r="I896" s="373" t="e">
        <f ca="1">1*Bolts!$B896</f>
        <v>#NAME?</v>
      </c>
      <c r="J896" s="373" t="e">
        <f ca="1">1*Bolts!$B896</f>
        <v>#NAME?</v>
      </c>
      <c r="K896" s="373" t="e">
        <f ca="1">1*Bolts!$B896</f>
        <v>#NAME?</v>
      </c>
      <c r="L896" s="374">
        <v>0</v>
      </c>
      <c r="M896" s="373">
        <v>0</v>
      </c>
      <c r="N896" s="373">
        <v>0</v>
      </c>
      <c r="O896" s="373">
        <v>0</v>
      </c>
      <c r="P896" s="373">
        <v>0</v>
      </c>
      <c r="Q896" s="373" t="e">
        <f ca="1">12*Bolts!$B896</f>
        <v>#NAME?</v>
      </c>
      <c r="R896" s="373">
        <v>0</v>
      </c>
      <c r="S896" s="380">
        <v>0</v>
      </c>
      <c r="T896" s="380">
        <v>0</v>
      </c>
      <c r="U896" s="380">
        <v>0</v>
      </c>
      <c r="V896" s="373" t="e">
        <f t="shared" ca="1" si="102"/>
        <v>#NAME?</v>
      </c>
    </row>
    <row r="897" spans="1:22" ht="14.25" hidden="1" customHeight="1">
      <c r="A897" s="383" t="s">
        <v>1410</v>
      </c>
      <c r="B897" s="370" t="e">
        <f ca="1">_xludf.IFNA(VLOOKUP(Bolts!$A897,'Urban Plastix Holds'!$I$37:$L$708,4,0),0)</f>
        <v>#NAME?</v>
      </c>
      <c r="C897" s="381">
        <v>5</v>
      </c>
      <c r="D897" s="373" t="e">
        <f ca="1">5*Bolts!$B897</f>
        <v>#NAME?</v>
      </c>
      <c r="E897" s="373">
        <v>0</v>
      </c>
      <c r="F897" s="373">
        <v>0</v>
      </c>
      <c r="G897" s="373">
        <v>0</v>
      </c>
      <c r="H897" s="373">
        <v>0</v>
      </c>
      <c r="I897" s="373">
        <v>0</v>
      </c>
      <c r="J897" s="373">
        <v>0</v>
      </c>
      <c r="K897" s="373">
        <v>0</v>
      </c>
      <c r="L897" s="374">
        <v>0</v>
      </c>
      <c r="M897" s="373">
        <v>0</v>
      </c>
      <c r="N897" s="373">
        <v>0</v>
      </c>
      <c r="O897" s="373">
        <v>0</v>
      </c>
      <c r="P897" s="373">
        <v>0</v>
      </c>
      <c r="Q897" s="373" t="e">
        <f ca="1">5*Bolts!$B897</f>
        <v>#NAME?</v>
      </c>
      <c r="R897" s="373">
        <v>0</v>
      </c>
      <c r="S897" s="380">
        <v>0</v>
      </c>
      <c r="T897" s="380">
        <v>0</v>
      </c>
      <c r="U897" s="380">
        <v>0</v>
      </c>
      <c r="V897" s="373" t="e">
        <f t="shared" ca="1" si="102"/>
        <v>#NAME?</v>
      </c>
    </row>
    <row r="898" spans="1:22" ht="14.25" hidden="1" customHeight="1">
      <c r="A898" s="383" t="s">
        <v>1379</v>
      </c>
      <c r="B898" s="370" t="e">
        <f ca="1">_xludf.IFNA(VLOOKUP(Bolts!$A898,'Urban Plastix Holds'!$I$37:$L$708,4,0),0)</f>
        <v>#NAME?</v>
      </c>
      <c r="C898" s="381">
        <v>4</v>
      </c>
      <c r="D898" s="373">
        <v>0</v>
      </c>
      <c r="E898" s="373">
        <v>0</v>
      </c>
      <c r="F898" s="373">
        <v>0</v>
      </c>
      <c r="G898" s="373" t="e">
        <f ca="1">4*Bolts!$B898</f>
        <v>#NAME?</v>
      </c>
      <c r="H898" s="373">
        <v>0</v>
      </c>
      <c r="I898" s="373">
        <v>0</v>
      </c>
      <c r="J898" s="373">
        <v>0</v>
      </c>
      <c r="K898" s="373">
        <v>0</v>
      </c>
      <c r="L898" s="374">
        <v>0</v>
      </c>
      <c r="M898" s="373">
        <v>0</v>
      </c>
      <c r="N898" s="373">
        <v>0</v>
      </c>
      <c r="O898" s="373">
        <v>0</v>
      </c>
      <c r="P898" s="373">
        <v>0</v>
      </c>
      <c r="Q898" s="373" t="e">
        <f ca="1">4*Bolts!$B898</f>
        <v>#NAME?</v>
      </c>
      <c r="R898" s="373">
        <v>0</v>
      </c>
      <c r="S898" s="380">
        <v>0</v>
      </c>
      <c r="T898" s="380">
        <v>0</v>
      </c>
      <c r="U898" s="380">
        <v>0</v>
      </c>
      <c r="V898" s="373" t="e">
        <f t="shared" ca="1" si="102"/>
        <v>#NAME?</v>
      </c>
    </row>
    <row r="899" spans="1:22" ht="14.25" hidden="1" customHeight="1">
      <c r="A899" s="383" t="s">
        <v>1500</v>
      </c>
      <c r="B899" s="370" t="e">
        <f ca="1">_xludf.IFNA(VLOOKUP(Bolts!$A899,'Urban Plastix Holds'!$I$37:$L$708,4,0),0)</f>
        <v>#NAME?</v>
      </c>
      <c r="C899" s="381">
        <v>4</v>
      </c>
      <c r="D899" s="373">
        <v>0</v>
      </c>
      <c r="E899" s="373">
        <v>0</v>
      </c>
      <c r="F899" s="373">
        <v>0</v>
      </c>
      <c r="G899" s="373" t="e">
        <f ca="1">1*Bolts!$B899</f>
        <v>#NAME?</v>
      </c>
      <c r="H899" s="373" t="e">
        <f ca="1">3*Bolts!$B899</f>
        <v>#NAME?</v>
      </c>
      <c r="I899" s="373">
        <v>0</v>
      </c>
      <c r="J899" s="373">
        <v>0</v>
      </c>
      <c r="K899" s="373">
        <v>0</v>
      </c>
      <c r="L899" s="374">
        <v>0</v>
      </c>
      <c r="M899" s="373">
        <v>0</v>
      </c>
      <c r="N899" s="373">
        <v>0</v>
      </c>
      <c r="O899" s="373">
        <v>0</v>
      </c>
      <c r="P899" s="373">
        <v>0</v>
      </c>
      <c r="Q899" s="373" t="e">
        <f ca="1">4*Bolts!$B899</f>
        <v>#NAME?</v>
      </c>
      <c r="R899" s="373">
        <v>0</v>
      </c>
      <c r="S899" s="380">
        <v>0</v>
      </c>
      <c r="T899" s="380">
        <v>0</v>
      </c>
      <c r="U899" s="380">
        <v>0</v>
      </c>
      <c r="V899" s="373" t="e">
        <f t="shared" ca="1" si="102"/>
        <v>#NAME?</v>
      </c>
    </row>
    <row r="900" spans="1:22" ht="14.25" hidden="1" customHeight="1">
      <c r="A900" s="383" t="s">
        <v>1391</v>
      </c>
      <c r="B900" s="370" t="e">
        <f ca="1">_xludf.IFNA(VLOOKUP(Bolts!$A900,'Urban Plastix Holds'!$I$37:$L$708,4,0),0)</f>
        <v>#NAME?</v>
      </c>
      <c r="C900" s="381">
        <v>5</v>
      </c>
      <c r="D900" s="373" t="e">
        <f ca="1">5*Bolts!$B900</f>
        <v>#NAME?</v>
      </c>
      <c r="E900" s="373">
        <v>0</v>
      </c>
      <c r="F900" s="373">
        <v>0</v>
      </c>
      <c r="G900" s="373">
        <v>0</v>
      </c>
      <c r="H900" s="373">
        <v>0</v>
      </c>
      <c r="I900" s="373">
        <v>0</v>
      </c>
      <c r="J900" s="373">
        <v>0</v>
      </c>
      <c r="K900" s="373">
        <v>0</v>
      </c>
      <c r="L900" s="374">
        <v>0</v>
      </c>
      <c r="M900" s="373">
        <v>0</v>
      </c>
      <c r="N900" s="373">
        <v>0</v>
      </c>
      <c r="O900" s="373">
        <v>0</v>
      </c>
      <c r="P900" s="373">
        <v>0</v>
      </c>
      <c r="Q900" s="373" t="e">
        <f ca="1">5*Bolts!$B900</f>
        <v>#NAME?</v>
      </c>
      <c r="R900" s="373">
        <v>0</v>
      </c>
      <c r="S900" s="380">
        <v>0</v>
      </c>
      <c r="T900" s="380">
        <v>0</v>
      </c>
      <c r="U900" s="380">
        <v>0</v>
      </c>
      <c r="V900" s="373" t="e">
        <f t="shared" ca="1" si="102"/>
        <v>#NAME?</v>
      </c>
    </row>
    <row r="901" spans="1:22" ht="14.25" hidden="1" customHeight="1">
      <c r="A901" s="383" t="s">
        <v>1412</v>
      </c>
      <c r="B901" s="370" t="e">
        <f ca="1">_xludf.IFNA(VLOOKUP(Bolts!$A901,'Urban Plastix Holds'!$I$37:$L$708,4,0),0)</f>
        <v>#NAME?</v>
      </c>
      <c r="C901" s="381">
        <v>5</v>
      </c>
      <c r="D901" s="373" t="e">
        <f ca="1">5*Bolts!$B901</f>
        <v>#NAME?</v>
      </c>
      <c r="E901" s="373">
        <v>0</v>
      </c>
      <c r="F901" s="373">
        <v>0</v>
      </c>
      <c r="G901" s="373">
        <v>0</v>
      </c>
      <c r="H901" s="373">
        <v>0</v>
      </c>
      <c r="I901" s="373">
        <v>0</v>
      </c>
      <c r="J901" s="373">
        <v>0</v>
      </c>
      <c r="K901" s="373">
        <v>0</v>
      </c>
      <c r="L901" s="374">
        <v>0</v>
      </c>
      <c r="M901" s="373">
        <v>0</v>
      </c>
      <c r="N901" s="373">
        <v>0</v>
      </c>
      <c r="O901" s="373">
        <v>0</v>
      </c>
      <c r="P901" s="373">
        <v>0</v>
      </c>
      <c r="Q901" s="373" t="e">
        <f ca="1">5*Bolts!$B901</f>
        <v>#NAME?</v>
      </c>
      <c r="R901" s="373">
        <v>0</v>
      </c>
      <c r="S901" s="380">
        <v>0</v>
      </c>
      <c r="T901" s="380">
        <v>0</v>
      </c>
      <c r="U901" s="380">
        <v>0</v>
      </c>
      <c r="V901" s="380" t="e">
        <f t="shared" ca="1" si="102"/>
        <v>#NAME?</v>
      </c>
    </row>
    <row r="902" spans="1:22" ht="14.25" hidden="1" customHeight="1">
      <c r="A902" s="383" t="s">
        <v>1414</v>
      </c>
      <c r="B902" s="370" t="e">
        <f ca="1">_xludf.IFNA(VLOOKUP(Bolts!$A902,'Urban Plastix Holds'!$I$37:$L$708,4,0),0)</f>
        <v>#NAME?</v>
      </c>
      <c r="C902" s="381">
        <v>5</v>
      </c>
      <c r="D902" s="373" t="e">
        <f ca="1">5*Bolts!$B902</f>
        <v>#NAME?</v>
      </c>
      <c r="E902" s="373">
        <v>0</v>
      </c>
      <c r="F902" s="373">
        <v>0</v>
      </c>
      <c r="G902" s="373">
        <v>0</v>
      </c>
      <c r="H902" s="373">
        <v>0</v>
      </c>
      <c r="I902" s="373">
        <v>0</v>
      </c>
      <c r="J902" s="373">
        <v>0</v>
      </c>
      <c r="K902" s="373">
        <v>0</v>
      </c>
      <c r="L902" s="374">
        <v>0</v>
      </c>
      <c r="M902" s="373">
        <v>0</v>
      </c>
      <c r="N902" s="373">
        <v>0</v>
      </c>
      <c r="O902" s="373">
        <v>0</v>
      </c>
      <c r="P902" s="373">
        <v>0</v>
      </c>
      <c r="Q902" s="373" t="e">
        <f ca="1">5*Bolts!$B902</f>
        <v>#NAME?</v>
      </c>
      <c r="R902" s="373">
        <v>0</v>
      </c>
      <c r="S902" s="380">
        <v>0</v>
      </c>
      <c r="T902" s="380">
        <v>0</v>
      </c>
      <c r="U902" s="380">
        <v>0</v>
      </c>
      <c r="V902" s="380" t="e">
        <f t="shared" ca="1" si="102"/>
        <v>#NAME?</v>
      </c>
    </row>
    <row r="903" spans="1:22" ht="14.25" hidden="1" customHeight="1">
      <c r="A903" s="383" t="s">
        <v>1416</v>
      </c>
      <c r="B903" s="370" t="e">
        <f ca="1">_xludf.IFNA(VLOOKUP(Bolts!$A903,'Urban Plastix Holds'!$I$37:$L$708,4,0),0)</f>
        <v>#NAME?</v>
      </c>
      <c r="C903" s="381">
        <v>5</v>
      </c>
      <c r="D903" s="373" t="e">
        <f ca="1">5*Bolts!$B903</f>
        <v>#NAME?</v>
      </c>
      <c r="E903" s="373">
        <v>0</v>
      </c>
      <c r="F903" s="374">
        <v>0</v>
      </c>
      <c r="G903" s="374">
        <v>0</v>
      </c>
      <c r="H903" s="374">
        <v>0</v>
      </c>
      <c r="I903" s="374">
        <v>0</v>
      </c>
      <c r="J903" s="374">
        <v>0</v>
      </c>
      <c r="K903" s="374">
        <v>0</v>
      </c>
      <c r="L903" s="374">
        <v>0</v>
      </c>
      <c r="M903" s="374">
        <v>0</v>
      </c>
      <c r="N903" s="374">
        <v>0</v>
      </c>
      <c r="O903" s="374">
        <v>0</v>
      </c>
      <c r="P903" s="374">
        <v>0</v>
      </c>
      <c r="Q903" s="374" t="e">
        <f ca="1">5*Bolts!$B903</f>
        <v>#NAME?</v>
      </c>
      <c r="R903" s="374">
        <v>0</v>
      </c>
      <c r="S903" s="380">
        <v>0</v>
      </c>
      <c r="T903" s="380">
        <v>0</v>
      </c>
      <c r="U903" s="380">
        <v>0</v>
      </c>
      <c r="V903" s="380" t="e">
        <f t="shared" ca="1" si="102"/>
        <v>#NAME?</v>
      </c>
    </row>
    <row r="904" spans="1:22" ht="14.25" hidden="1" customHeight="1">
      <c r="A904" s="383" t="s">
        <v>1418</v>
      </c>
      <c r="B904" s="370" t="e">
        <f ca="1">_xludf.IFNA(VLOOKUP(Bolts!$A904,'Urban Plastix Holds'!$I$37:$L$708,4,0),0)</f>
        <v>#NAME?</v>
      </c>
      <c r="C904" s="381">
        <v>5</v>
      </c>
      <c r="D904" s="373" t="e">
        <f ca="1">5*Bolts!$B904</f>
        <v>#NAME?</v>
      </c>
      <c r="E904" s="373">
        <v>0</v>
      </c>
      <c r="F904" s="374">
        <v>0</v>
      </c>
      <c r="G904" s="374">
        <v>0</v>
      </c>
      <c r="H904" s="374">
        <v>0</v>
      </c>
      <c r="I904" s="374">
        <v>0</v>
      </c>
      <c r="J904" s="374">
        <v>0</v>
      </c>
      <c r="K904" s="374">
        <v>0</v>
      </c>
      <c r="L904" s="374">
        <v>0</v>
      </c>
      <c r="M904" s="374">
        <v>0</v>
      </c>
      <c r="N904" s="374">
        <v>0</v>
      </c>
      <c r="O904" s="374">
        <v>0</v>
      </c>
      <c r="P904" s="374">
        <v>0</v>
      </c>
      <c r="Q904" s="374" t="e">
        <f ca="1">5*Bolts!$B904</f>
        <v>#NAME?</v>
      </c>
      <c r="R904" s="374">
        <v>0</v>
      </c>
      <c r="S904" s="380">
        <v>0</v>
      </c>
      <c r="T904" s="380">
        <v>0</v>
      </c>
      <c r="U904" s="380">
        <v>0</v>
      </c>
      <c r="V904" s="380" t="e">
        <f t="shared" ca="1" si="102"/>
        <v>#NAME?</v>
      </c>
    </row>
    <row r="905" spans="1:22" ht="14.25" hidden="1" customHeight="1">
      <c r="A905" s="383" t="s">
        <v>1393</v>
      </c>
      <c r="B905" s="370" t="e">
        <f ca="1">_xludf.IFNA(VLOOKUP(Bolts!$A905,'Urban Plastix Holds'!$I$37:$L$708,4,0),0)</f>
        <v>#NAME?</v>
      </c>
      <c r="C905" s="381">
        <v>5</v>
      </c>
      <c r="D905" s="373" t="e">
        <f ca="1">4*Bolts!$B905</f>
        <v>#NAME?</v>
      </c>
      <c r="E905" s="373" t="e">
        <f ca="1">1*Bolts!$B905</f>
        <v>#NAME?</v>
      </c>
      <c r="F905" s="374">
        <v>0</v>
      </c>
      <c r="G905" s="374">
        <v>0</v>
      </c>
      <c r="H905" s="374">
        <v>0</v>
      </c>
      <c r="I905" s="374">
        <v>0</v>
      </c>
      <c r="J905" s="374">
        <v>0</v>
      </c>
      <c r="K905" s="374">
        <v>0</v>
      </c>
      <c r="L905" s="374">
        <v>0</v>
      </c>
      <c r="M905" s="374">
        <v>0</v>
      </c>
      <c r="N905" s="374">
        <v>0</v>
      </c>
      <c r="O905" s="374">
        <v>0</v>
      </c>
      <c r="P905" s="374">
        <v>0</v>
      </c>
      <c r="Q905" s="374" t="e">
        <f ca="1">5*Bolts!$B905</f>
        <v>#NAME?</v>
      </c>
      <c r="R905" s="374">
        <v>0</v>
      </c>
      <c r="S905" s="380">
        <v>0</v>
      </c>
      <c r="T905" s="380">
        <v>0</v>
      </c>
      <c r="U905" s="380">
        <v>0</v>
      </c>
      <c r="V905" s="380" t="e">
        <f t="shared" ca="1" si="102"/>
        <v>#NAME?</v>
      </c>
    </row>
    <row r="906" spans="1:22" ht="14.25" hidden="1" customHeight="1">
      <c r="A906" s="383" t="s">
        <v>1395</v>
      </c>
      <c r="B906" s="370" t="e">
        <f ca="1">_xludf.IFNA(VLOOKUP(Bolts!$A906,'Urban Plastix Holds'!$I$37:$L$708,4,0),0)</f>
        <v>#NAME?</v>
      </c>
      <c r="C906" s="381">
        <v>5</v>
      </c>
      <c r="D906" s="373" t="e">
        <f ca="1">3*Bolts!$B906</f>
        <v>#NAME?</v>
      </c>
      <c r="E906" s="373" t="e">
        <f ca="1">2*Bolts!$B906</f>
        <v>#NAME?</v>
      </c>
      <c r="F906" s="374">
        <v>0</v>
      </c>
      <c r="G906" s="374">
        <v>0</v>
      </c>
      <c r="H906" s="374">
        <v>0</v>
      </c>
      <c r="I906" s="374">
        <v>0</v>
      </c>
      <c r="J906" s="374">
        <v>0</v>
      </c>
      <c r="K906" s="374">
        <v>0</v>
      </c>
      <c r="L906" s="374">
        <v>0</v>
      </c>
      <c r="M906" s="374">
        <v>0</v>
      </c>
      <c r="N906" s="374">
        <v>0</v>
      </c>
      <c r="O906" s="374">
        <v>0</v>
      </c>
      <c r="P906" s="374">
        <v>0</v>
      </c>
      <c r="Q906" s="374" t="e">
        <f ca="1">5*Bolts!$B906</f>
        <v>#NAME?</v>
      </c>
      <c r="R906" s="374">
        <v>0</v>
      </c>
      <c r="S906" s="380">
        <v>0</v>
      </c>
      <c r="T906" s="380">
        <v>0</v>
      </c>
      <c r="U906" s="380">
        <v>0</v>
      </c>
      <c r="V906" s="380" t="e">
        <f t="shared" ca="1" si="102"/>
        <v>#NAME?</v>
      </c>
    </row>
    <row r="907" spans="1:22" ht="14.25" hidden="1" customHeight="1">
      <c r="A907" s="383" t="s">
        <v>1363</v>
      </c>
      <c r="B907" s="370" t="e">
        <f ca="1">_xludf.IFNA(VLOOKUP(Bolts!$A907,'Urban Plastix Holds'!$I$37:$L$708,4,0),0)</f>
        <v>#NAME?</v>
      </c>
      <c r="C907" s="384">
        <v>3</v>
      </c>
      <c r="D907" s="373">
        <v>0</v>
      </c>
      <c r="E907" s="373">
        <v>0</v>
      </c>
      <c r="F907" s="374" t="e">
        <f ca="1">3*Bolts!$B907</f>
        <v>#NAME?</v>
      </c>
      <c r="G907" s="374">
        <v>0</v>
      </c>
      <c r="H907" s="374">
        <v>0</v>
      </c>
      <c r="I907" s="374">
        <v>0</v>
      </c>
      <c r="J907" s="374">
        <v>0</v>
      </c>
      <c r="K907" s="374">
        <v>0</v>
      </c>
      <c r="L907" s="374">
        <v>0</v>
      </c>
      <c r="M907" s="374">
        <v>0</v>
      </c>
      <c r="N907" s="374">
        <v>0</v>
      </c>
      <c r="O907" s="374">
        <v>0</v>
      </c>
      <c r="P907" s="374">
        <v>0</v>
      </c>
      <c r="Q907" s="374" t="e">
        <f ca="1">6*Bolts!$B907</f>
        <v>#NAME?</v>
      </c>
      <c r="R907" s="374">
        <v>0</v>
      </c>
      <c r="S907" s="380">
        <v>0</v>
      </c>
      <c r="T907" s="380">
        <v>0</v>
      </c>
      <c r="U907" s="380">
        <v>0</v>
      </c>
      <c r="V907" s="380" t="e">
        <f t="shared" ca="1" si="102"/>
        <v>#NAME?</v>
      </c>
    </row>
    <row r="908" spans="1:22" ht="14.25" hidden="1" customHeight="1">
      <c r="A908" s="383" t="s">
        <v>1420</v>
      </c>
      <c r="B908" s="370" t="e">
        <f ca="1">_xludf.IFNA(VLOOKUP(Bolts!$A908,'Urban Plastix Holds'!$I$37:$L$708,4,0),0)</f>
        <v>#NAME?</v>
      </c>
      <c r="C908" s="381">
        <v>5</v>
      </c>
      <c r="D908" s="373" t="e">
        <f ca="1">5*Bolts!$B908</f>
        <v>#NAME?</v>
      </c>
      <c r="E908" s="373">
        <v>0</v>
      </c>
      <c r="F908" s="373">
        <v>0</v>
      </c>
      <c r="G908" s="373">
        <v>0</v>
      </c>
      <c r="H908" s="373">
        <v>0</v>
      </c>
      <c r="I908" s="373">
        <v>0</v>
      </c>
      <c r="J908" s="373">
        <v>0</v>
      </c>
      <c r="K908" s="373">
        <v>0</v>
      </c>
      <c r="L908" s="374">
        <v>0</v>
      </c>
      <c r="M908" s="373">
        <v>0</v>
      </c>
      <c r="N908" s="373">
        <v>0</v>
      </c>
      <c r="O908" s="373">
        <v>0</v>
      </c>
      <c r="P908" s="373">
        <v>0</v>
      </c>
      <c r="Q908" s="373" t="e">
        <f ca="1">5*Bolts!$B908</f>
        <v>#NAME?</v>
      </c>
      <c r="R908" s="373">
        <v>0</v>
      </c>
      <c r="S908" s="380">
        <v>0</v>
      </c>
      <c r="T908" s="380">
        <v>0</v>
      </c>
      <c r="U908" s="380">
        <v>0</v>
      </c>
      <c r="V908" s="380" t="e">
        <f t="shared" ca="1" si="102"/>
        <v>#NAME?</v>
      </c>
    </row>
    <row r="909" spans="1:22" ht="14.25" hidden="1" customHeight="1">
      <c r="A909" s="383" t="s">
        <v>1422</v>
      </c>
      <c r="B909" s="370" t="e">
        <f ca="1">_xludf.IFNA(VLOOKUP(Bolts!$A909,'Urban Plastix Holds'!$I$37:$L$708,4,0),0)</f>
        <v>#NAME?</v>
      </c>
      <c r="C909" s="381">
        <v>5</v>
      </c>
      <c r="D909" s="373" t="e">
        <f ca="1">5*Bolts!$B909</f>
        <v>#NAME?</v>
      </c>
      <c r="E909" s="373">
        <v>0</v>
      </c>
      <c r="F909" s="373">
        <v>0</v>
      </c>
      <c r="G909" s="373">
        <v>0</v>
      </c>
      <c r="H909" s="373">
        <v>0</v>
      </c>
      <c r="I909" s="373">
        <v>0</v>
      </c>
      <c r="J909" s="373">
        <v>0</v>
      </c>
      <c r="K909" s="373">
        <v>0</v>
      </c>
      <c r="L909" s="374">
        <v>0</v>
      </c>
      <c r="M909" s="373">
        <v>0</v>
      </c>
      <c r="N909" s="373">
        <v>0</v>
      </c>
      <c r="O909" s="373">
        <v>0</v>
      </c>
      <c r="P909" s="373">
        <v>0</v>
      </c>
      <c r="Q909" s="373" t="e">
        <f ca="1">5*Bolts!$B909</f>
        <v>#NAME?</v>
      </c>
      <c r="R909" s="373">
        <v>0</v>
      </c>
      <c r="S909" s="380">
        <v>0</v>
      </c>
      <c r="T909" s="380">
        <v>0</v>
      </c>
      <c r="U909" s="380">
        <v>0</v>
      </c>
      <c r="V909" s="380" t="e">
        <f t="shared" ca="1" si="102"/>
        <v>#NAME?</v>
      </c>
    </row>
    <row r="910" spans="1:22" ht="14.25" hidden="1" customHeight="1">
      <c r="A910" s="383" t="s">
        <v>1424</v>
      </c>
      <c r="B910" s="370" t="e">
        <f ca="1">_xludf.IFNA(VLOOKUP(Bolts!$A910,'Urban Plastix Holds'!$I$37:$L$708,4,0),0)</f>
        <v>#NAME?</v>
      </c>
      <c r="C910" s="381">
        <v>5</v>
      </c>
      <c r="D910" s="373" t="e">
        <f ca="1">5*Bolts!$B910</f>
        <v>#NAME?</v>
      </c>
      <c r="E910" s="373">
        <v>0</v>
      </c>
      <c r="F910" s="373">
        <v>0</v>
      </c>
      <c r="G910" s="373">
        <v>0</v>
      </c>
      <c r="H910" s="373">
        <v>0</v>
      </c>
      <c r="I910" s="373">
        <v>0</v>
      </c>
      <c r="J910" s="373">
        <v>0</v>
      </c>
      <c r="K910" s="373">
        <v>0</v>
      </c>
      <c r="L910" s="374">
        <v>0</v>
      </c>
      <c r="M910" s="373">
        <v>0</v>
      </c>
      <c r="N910" s="373">
        <v>0</v>
      </c>
      <c r="O910" s="373">
        <v>0</v>
      </c>
      <c r="P910" s="373">
        <v>0</v>
      </c>
      <c r="Q910" s="373" t="e">
        <f ca="1">5*Bolts!$B910</f>
        <v>#NAME?</v>
      </c>
      <c r="R910" s="373">
        <v>0</v>
      </c>
      <c r="S910" s="380">
        <v>0</v>
      </c>
      <c r="T910" s="380">
        <v>0</v>
      </c>
      <c r="U910" s="380">
        <v>0</v>
      </c>
      <c r="V910" s="380" t="e">
        <f t="shared" ca="1" si="102"/>
        <v>#NAME?</v>
      </c>
    </row>
    <row r="911" spans="1:22" ht="14.25" hidden="1" customHeight="1">
      <c r="A911" s="383" t="s">
        <v>1426</v>
      </c>
      <c r="B911" s="370" t="e">
        <f ca="1">_xludf.IFNA(VLOOKUP(Bolts!$A911,'Urban Plastix Holds'!$I$37:$L$708,4,0),0)</f>
        <v>#NAME?</v>
      </c>
      <c r="C911" s="381">
        <v>5</v>
      </c>
      <c r="D911" s="373" t="e">
        <f ca="1">5*Bolts!$B911</f>
        <v>#NAME?</v>
      </c>
      <c r="E911" s="373">
        <v>0</v>
      </c>
      <c r="F911" s="373">
        <v>0</v>
      </c>
      <c r="G911" s="373">
        <v>0</v>
      </c>
      <c r="H911" s="373">
        <v>0</v>
      </c>
      <c r="I911" s="373">
        <v>0</v>
      </c>
      <c r="J911" s="373">
        <v>0</v>
      </c>
      <c r="K911" s="373">
        <v>0</v>
      </c>
      <c r="L911" s="374">
        <v>0</v>
      </c>
      <c r="M911" s="373">
        <v>0</v>
      </c>
      <c r="N911" s="373">
        <v>0</v>
      </c>
      <c r="O911" s="373">
        <v>0</v>
      </c>
      <c r="P911" s="373">
        <v>0</v>
      </c>
      <c r="Q911" s="373" t="e">
        <f ca="1">5*Bolts!$B911</f>
        <v>#NAME?</v>
      </c>
      <c r="R911" s="373">
        <v>0</v>
      </c>
      <c r="S911" s="380">
        <v>0</v>
      </c>
      <c r="T911" s="380">
        <v>0</v>
      </c>
      <c r="U911" s="380">
        <v>0</v>
      </c>
      <c r="V911" s="380" t="e">
        <f t="shared" ca="1" si="102"/>
        <v>#NAME?</v>
      </c>
    </row>
    <row r="912" spans="1:22" ht="14.25" hidden="1" customHeight="1">
      <c r="A912" s="383" t="s">
        <v>1397</v>
      </c>
      <c r="B912" s="370" t="e">
        <f ca="1">_xludf.IFNA(VLOOKUP(Bolts!$A912,'Urban Plastix Holds'!$I$37:$L$708,4,0),0)</f>
        <v>#NAME?</v>
      </c>
      <c r="C912" s="381">
        <v>5</v>
      </c>
      <c r="D912" s="373" t="e">
        <f ca="1">5*Bolts!$B912</f>
        <v>#NAME?</v>
      </c>
      <c r="E912" s="373">
        <v>0</v>
      </c>
      <c r="F912" s="373">
        <v>0</v>
      </c>
      <c r="G912" s="373">
        <v>0</v>
      </c>
      <c r="H912" s="373">
        <v>0</v>
      </c>
      <c r="I912" s="373">
        <v>0</v>
      </c>
      <c r="J912" s="373">
        <v>0</v>
      </c>
      <c r="K912" s="373">
        <v>0</v>
      </c>
      <c r="L912" s="374">
        <v>0</v>
      </c>
      <c r="M912" s="373">
        <v>0</v>
      </c>
      <c r="N912" s="373">
        <v>0</v>
      </c>
      <c r="O912" s="373">
        <v>0</v>
      </c>
      <c r="P912" s="373">
        <v>0</v>
      </c>
      <c r="Q912" s="373" t="e">
        <f ca="1">5*Bolts!$B912</f>
        <v>#NAME?</v>
      </c>
      <c r="R912" s="373">
        <v>0</v>
      </c>
      <c r="S912" s="380">
        <v>0</v>
      </c>
      <c r="T912" s="380">
        <v>0</v>
      </c>
      <c r="U912" s="380">
        <v>0</v>
      </c>
      <c r="V912" s="380" t="e">
        <f t="shared" ca="1" si="102"/>
        <v>#NAME?</v>
      </c>
    </row>
    <row r="913" spans="1:22" ht="14.25" hidden="1" customHeight="1">
      <c r="A913" s="383" t="s">
        <v>1365</v>
      </c>
      <c r="B913" s="370" t="e">
        <f ca="1">_xludf.IFNA(VLOOKUP(Bolts!$A913,'Urban Plastix Holds'!$I$37:$L$708,4,0),0)</f>
        <v>#NAME?</v>
      </c>
      <c r="C913" s="381">
        <v>3</v>
      </c>
      <c r="D913" s="373">
        <v>0</v>
      </c>
      <c r="E913" s="373">
        <v>0</v>
      </c>
      <c r="F913" s="373">
        <v>0</v>
      </c>
      <c r="G913" s="373" t="e">
        <f ca="1">3*Bolts!$B913</f>
        <v>#NAME?</v>
      </c>
      <c r="H913" s="373">
        <v>0</v>
      </c>
      <c r="I913" s="373">
        <v>0</v>
      </c>
      <c r="J913" s="373">
        <v>0</v>
      </c>
      <c r="K913" s="373">
        <v>0</v>
      </c>
      <c r="L913" s="374">
        <v>0</v>
      </c>
      <c r="M913" s="373">
        <v>0</v>
      </c>
      <c r="N913" s="373">
        <v>0</v>
      </c>
      <c r="O913" s="373">
        <v>0</v>
      </c>
      <c r="P913" s="373">
        <v>0</v>
      </c>
      <c r="Q913" s="373" t="e">
        <f ca="1">9*Bolts!$B913</f>
        <v>#NAME?</v>
      </c>
      <c r="R913" s="373">
        <v>0</v>
      </c>
      <c r="S913" s="380">
        <v>0</v>
      </c>
      <c r="T913" s="380">
        <v>0</v>
      </c>
      <c r="U913" s="380">
        <v>0</v>
      </c>
      <c r="V913" s="380" t="e">
        <f t="shared" ca="1" si="102"/>
        <v>#NAME?</v>
      </c>
    </row>
    <row r="914" spans="1:22" ht="14.25" hidden="1" customHeight="1">
      <c r="A914" s="383" t="s">
        <v>1367</v>
      </c>
      <c r="B914" s="370" t="e">
        <f ca="1">_xludf.IFNA(VLOOKUP(Bolts!$A914,'Urban Plastix Holds'!$I$37:$L$708,4,0),0)</f>
        <v>#NAME?</v>
      </c>
      <c r="C914" s="381">
        <v>3</v>
      </c>
      <c r="D914" s="373">
        <v>0</v>
      </c>
      <c r="E914" s="373">
        <v>0</v>
      </c>
      <c r="F914" s="373">
        <v>0</v>
      </c>
      <c r="G914" s="373">
        <v>0</v>
      </c>
      <c r="H914" s="373" t="e">
        <f ca="1">3*Bolts!$B914</f>
        <v>#NAME?</v>
      </c>
      <c r="I914" s="373">
        <v>0</v>
      </c>
      <c r="J914" s="373">
        <v>0</v>
      </c>
      <c r="K914" s="373">
        <v>0</v>
      </c>
      <c r="L914" s="374">
        <v>0</v>
      </c>
      <c r="M914" s="373">
        <v>0</v>
      </c>
      <c r="N914" s="373">
        <v>0</v>
      </c>
      <c r="O914" s="373">
        <v>0</v>
      </c>
      <c r="P914" s="373">
        <v>0</v>
      </c>
      <c r="Q914" s="373" t="e">
        <f ca="1">12*Bolts!$B914</f>
        <v>#NAME?</v>
      </c>
      <c r="R914" s="373">
        <v>0</v>
      </c>
      <c r="S914" s="380">
        <v>0</v>
      </c>
      <c r="T914" s="380">
        <v>0</v>
      </c>
      <c r="U914" s="380">
        <v>0</v>
      </c>
      <c r="V914" s="380" t="e">
        <f t="shared" ca="1" si="102"/>
        <v>#NAME?</v>
      </c>
    </row>
    <row r="915" spans="1:22" ht="14.25" hidden="1" customHeight="1">
      <c r="A915" s="383" t="s">
        <v>1595</v>
      </c>
      <c r="B915" s="370" t="e">
        <f ca="1">_xludf.IFNA(VLOOKUP(Bolts!$A915,'Urban Plastix Holds'!$I$37:$L$708,4,0),0)</f>
        <v>#NAME?</v>
      </c>
      <c r="C915" s="381">
        <v>5</v>
      </c>
      <c r="D915" s="373">
        <v>0</v>
      </c>
      <c r="E915" s="373">
        <v>0</v>
      </c>
      <c r="F915" s="373">
        <v>0</v>
      </c>
      <c r="G915" s="373" t="e">
        <f ca="1">2*Bolts!$B915</f>
        <v>#NAME?</v>
      </c>
      <c r="H915" s="373" t="e">
        <f ca="1">3*Bolts!$B915</f>
        <v>#NAME?</v>
      </c>
      <c r="I915" s="373">
        <v>0</v>
      </c>
      <c r="J915" s="373">
        <v>0</v>
      </c>
      <c r="K915" s="373">
        <v>0</v>
      </c>
      <c r="L915" s="374">
        <v>0</v>
      </c>
      <c r="M915" s="373">
        <v>0</v>
      </c>
      <c r="N915" s="373">
        <v>0</v>
      </c>
      <c r="O915" s="373">
        <v>0</v>
      </c>
      <c r="P915" s="373">
        <v>0</v>
      </c>
      <c r="Q915" s="373" t="e">
        <f ca="1">10*Bolts!$B915</f>
        <v>#NAME?</v>
      </c>
      <c r="R915" s="373">
        <v>0</v>
      </c>
      <c r="S915" s="380">
        <v>0</v>
      </c>
      <c r="T915" s="380">
        <v>0</v>
      </c>
      <c r="U915" s="380">
        <v>0</v>
      </c>
      <c r="V915" s="380" t="e">
        <f t="shared" ca="1" si="102"/>
        <v>#NAME?</v>
      </c>
    </row>
    <row r="916" spans="1:22" ht="14.25" hidden="1" customHeight="1">
      <c r="A916" s="383" t="s">
        <v>1597</v>
      </c>
      <c r="B916" s="370" t="e">
        <f ca="1">_xludf.IFNA(VLOOKUP(Bolts!$A916,'Urban Plastix Holds'!$I$37:$L$708,4,0),0)</f>
        <v>#NAME?</v>
      </c>
      <c r="C916" s="381">
        <v>5</v>
      </c>
      <c r="D916" s="373">
        <v>0</v>
      </c>
      <c r="E916" s="373">
        <v>0</v>
      </c>
      <c r="F916" s="373">
        <v>0</v>
      </c>
      <c r="G916" s="373" t="e">
        <f ca="1">1*Bolts!$B916</f>
        <v>#NAME?</v>
      </c>
      <c r="H916" s="373" t="e">
        <f ca="1">4*Bolts!$B916</f>
        <v>#NAME?</v>
      </c>
      <c r="I916" s="373">
        <v>0</v>
      </c>
      <c r="J916" s="373">
        <v>0</v>
      </c>
      <c r="K916" s="373">
        <v>0</v>
      </c>
      <c r="L916" s="374">
        <v>0</v>
      </c>
      <c r="M916" s="373">
        <v>0</v>
      </c>
      <c r="N916" s="373">
        <v>0</v>
      </c>
      <c r="O916" s="373">
        <v>0</v>
      </c>
      <c r="P916" s="373">
        <v>0</v>
      </c>
      <c r="Q916" s="373" t="e">
        <f ca="1">10*Bolts!$B916</f>
        <v>#NAME?</v>
      </c>
      <c r="R916" s="373">
        <v>0</v>
      </c>
      <c r="S916" s="380">
        <v>0</v>
      </c>
      <c r="T916" s="380">
        <v>0</v>
      </c>
      <c r="U916" s="380">
        <v>0</v>
      </c>
      <c r="V916" s="380" t="e">
        <f t="shared" ca="1" si="102"/>
        <v>#NAME?</v>
      </c>
    </row>
    <row r="917" spans="1:22" ht="14.25" hidden="1" customHeight="1">
      <c r="A917" s="383" t="s">
        <v>1275</v>
      </c>
      <c r="B917" s="370" t="e">
        <f ca="1">_xludf.IFNA(VLOOKUP(Bolts!$A917,'Urban Plastix Holds'!$I$37:$L$708,4,0),0)</f>
        <v>#NAME?</v>
      </c>
      <c r="C917" s="381">
        <v>1</v>
      </c>
      <c r="D917" s="373">
        <v>0</v>
      </c>
      <c r="E917" s="373">
        <v>0</v>
      </c>
      <c r="F917" s="373">
        <v>0</v>
      </c>
      <c r="G917" s="373">
        <v>0</v>
      </c>
      <c r="H917" s="373">
        <v>0</v>
      </c>
      <c r="I917" s="373">
        <v>0</v>
      </c>
      <c r="J917" s="373">
        <v>0</v>
      </c>
      <c r="K917" s="373">
        <v>0</v>
      </c>
      <c r="L917" s="374">
        <v>0</v>
      </c>
      <c r="M917" s="373" t="e">
        <f ca="1">1*Bolts!$B917</f>
        <v>#NAME?</v>
      </c>
      <c r="N917" s="373">
        <v>0</v>
      </c>
      <c r="O917" s="373">
        <v>0</v>
      </c>
      <c r="P917" s="373">
        <v>0</v>
      </c>
      <c r="Q917" s="373" t="e">
        <f ca="1">4*Bolts!$B917</f>
        <v>#NAME?</v>
      </c>
      <c r="R917" s="373">
        <v>0</v>
      </c>
      <c r="S917" s="380">
        <v>0</v>
      </c>
      <c r="T917" s="380">
        <v>0</v>
      </c>
      <c r="U917" s="380">
        <v>0</v>
      </c>
      <c r="V917" s="380" t="e">
        <f t="shared" ca="1" si="102"/>
        <v>#NAME?</v>
      </c>
    </row>
    <row r="918" spans="1:22" ht="14.25" hidden="1" customHeight="1">
      <c r="A918" s="383" t="s">
        <v>1331</v>
      </c>
      <c r="B918" s="370" t="e">
        <f ca="1">_xludf.IFNA(VLOOKUP(Bolts!$A918,'Urban Plastix Holds'!$I$37:$L$708,4,0),0)</f>
        <v>#NAME?</v>
      </c>
      <c r="C918" s="381">
        <v>10</v>
      </c>
      <c r="D918" s="373" t="e">
        <f ca="1">10*Bolts!$B918</f>
        <v>#NAME?</v>
      </c>
      <c r="E918" s="373">
        <v>0</v>
      </c>
      <c r="F918" s="373">
        <v>0</v>
      </c>
      <c r="G918" s="373">
        <v>0</v>
      </c>
      <c r="H918" s="373">
        <v>0</v>
      </c>
      <c r="I918" s="373">
        <v>0</v>
      </c>
      <c r="J918" s="373">
        <v>0</v>
      </c>
      <c r="K918" s="373">
        <v>0</v>
      </c>
      <c r="L918" s="374">
        <v>0</v>
      </c>
      <c r="M918" s="373">
        <v>0</v>
      </c>
      <c r="N918" s="373">
        <v>0</v>
      </c>
      <c r="O918" s="373">
        <v>0</v>
      </c>
      <c r="P918" s="373">
        <v>0</v>
      </c>
      <c r="Q918" s="373" t="e">
        <f ca="1">10*Bolts!$B918</f>
        <v>#NAME?</v>
      </c>
      <c r="R918" s="373">
        <v>0</v>
      </c>
      <c r="S918" s="380">
        <v>0</v>
      </c>
      <c r="T918" s="380">
        <v>0</v>
      </c>
      <c r="U918" s="380">
        <v>0</v>
      </c>
      <c r="V918" s="380" t="e">
        <f t="shared" ca="1" si="102"/>
        <v>#NAME?</v>
      </c>
    </row>
    <row r="919" spans="1:22" ht="14.25" hidden="1" customHeight="1">
      <c r="A919" s="383" t="s">
        <v>1349</v>
      </c>
      <c r="B919" s="370" t="e">
        <f ca="1">_xludf.IFNA(VLOOKUP(Bolts!$A919,'Urban Plastix Holds'!$I$37:$L$708,4,0),0)</f>
        <v>#NAME?</v>
      </c>
      <c r="C919" s="384">
        <v>1</v>
      </c>
      <c r="D919" s="373">
        <v>0</v>
      </c>
      <c r="E919" s="373">
        <v>0</v>
      </c>
      <c r="F919" s="374">
        <v>0</v>
      </c>
      <c r="G919" s="374">
        <v>0</v>
      </c>
      <c r="H919" s="374">
        <v>0</v>
      </c>
      <c r="I919" s="374" t="e">
        <f ca="1">1*Bolts!$B919</f>
        <v>#NAME?</v>
      </c>
      <c r="J919" s="374">
        <v>0</v>
      </c>
      <c r="K919" s="374">
        <v>0</v>
      </c>
      <c r="L919" s="374">
        <v>0</v>
      </c>
      <c r="M919" s="374">
        <v>0</v>
      </c>
      <c r="N919" s="374">
        <v>0</v>
      </c>
      <c r="O919" s="374">
        <v>0</v>
      </c>
      <c r="P919" s="374">
        <v>0</v>
      </c>
      <c r="Q919" s="374" t="e">
        <f ca="1">2*Bolts!$B919</f>
        <v>#NAME?</v>
      </c>
      <c r="R919" s="374">
        <v>0</v>
      </c>
      <c r="S919" s="380">
        <v>0</v>
      </c>
      <c r="T919" s="380">
        <v>0</v>
      </c>
      <c r="U919" s="380">
        <v>0</v>
      </c>
      <c r="V919" s="380" t="e">
        <f t="shared" ca="1" si="102"/>
        <v>#NAME?</v>
      </c>
    </row>
    <row r="920" spans="1:22" ht="14.25" hidden="1" customHeight="1">
      <c r="A920" s="383" t="s">
        <v>1445</v>
      </c>
      <c r="B920" s="370" t="e">
        <f ca="1">_xludf.IFNA(VLOOKUP(Bolts!$A920,'Urban Plastix Holds'!$I$37:$L$708,4,0),0)</f>
        <v>#NAME?</v>
      </c>
      <c r="C920" s="384">
        <v>5</v>
      </c>
      <c r="D920" s="373">
        <v>0</v>
      </c>
      <c r="E920" s="373">
        <v>0</v>
      </c>
      <c r="F920" s="374">
        <v>0</v>
      </c>
      <c r="G920" s="374">
        <v>0</v>
      </c>
      <c r="H920" s="374">
        <v>0</v>
      </c>
      <c r="I920" s="374">
        <v>0</v>
      </c>
      <c r="J920" s="374">
        <v>0</v>
      </c>
      <c r="K920" s="374">
        <v>0</v>
      </c>
      <c r="L920" s="374">
        <v>0</v>
      </c>
      <c r="M920" s="374">
        <v>0</v>
      </c>
      <c r="N920" s="374">
        <v>0</v>
      </c>
      <c r="O920" s="374">
        <v>0</v>
      </c>
      <c r="P920" s="374">
        <v>0</v>
      </c>
      <c r="Q920" s="374" t="e">
        <f ca="1">16*Bolts!$B920</f>
        <v>#NAME?</v>
      </c>
      <c r="R920" s="374">
        <v>0</v>
      </c>
      <c r="S920" s="380">
        <v>0</v>
      </c>
      <c r="T920" s="380">
        <v>0</v>
      </c>
      <c r="U920" s="380">
        <v>0</v>
      </c>
      <c r="V920" s="380" t="e">
        <f t="shared" ca="1" si="102"/>
        <v>#NAME?</v>
      </c>
    </row>
    <row r="921" spans="1:22" ht="14.25" hidden="1" customHeight="1">
      <c r="A921" s="383" t="s">
        <v>1850</v>
      </c>
      <c r="B921" s="370" t="e">
        <f ca="1">_xludf.IFNA(VLOOKUP(Bolts!$A921,'Urban Plastix Holds'!$I$37:$L$708,4,0),0)</f>
        <v>#NAME?</v>
      </c>
      <c r="C921" s="384">
        <v>10</v>
      </c>
      <c r="D921" s="373">
        <v>0</v>
      </c>
      <c r="E921" s="373" t="e">
        <f ca="1">10*Bolts!$B921</f>
        <v>#NAME?</v>
      </c>
      <c r="F921" s="374">
        <v>0</v>
      </c>
      <c r="G921" s="374">
        <v>0</v>
      </c>
      <c r="H921" s="374">
        <v>0</v>
      </c>
      <c r="I921" s="374">
        <v>0</v>
      </c>
      <c r="J921" s="374">
        <v>0</v>
      </c>
      <c r="K921" s="374">
        <v>0</v>
      </c>
      <c r="L921" s="374">
        <v>0</v>
      </c>
      <c r="M921" s="374">
        <v>0</v>
      </c>
      <c r="N921" s="374">
        <v>0</v>
      </c>
      <c r="O921" s="374">
        <v>0</v>
      </c>
      <c r="P921" s="374">
        <v>0</v>
      </c>
      <c r="Q921" s="374" t="e">
        <f ca="1">10*Bolts!$B921</f>
        <v>#NAME?</v>
      </c>
      <c r="R921" s="374">
        <v>0</v>
      </c>
      <c r="S921" s="380">
        <v>0</v>
      </c>
      <c r="T921" s="380">
        <v>0</v>
      </c>
      <c r="U921" s="380">
        <v>0</v>
      </c>
      <c r="V921" s="380" t="e">
        <f t="shared" ca="1" si="102"/>
        <v>#NAME?</v>
      </c>
    </row>
    <row r="922" spans="1:22" ht="14.25" hidden="1" customHeight="1">
      <c r="A922" s="383" t="s">
        <v>1723</v>
      </c>
      <c r="B922" s="370" t="e">
        <f ca="1">_xludf.IFNA(VLOOKUP(Bolts!$A922,'Urban Plastix Holds'!$I$37:$L$708,4,0),0)</f>
        <v>#NAME?</v>
      </c>
      <c r="C922" s="384">
        <v>5</v>
      </c>
      <c r="D922" s="373">
        <v>0</v>
      </c>
      <c r="E922" s="373">
        <v>0</v>
      </c>
      <c r="F922" s="374">
        <v>0</v>
      </c>
      <c r="G922" s="374" t="e">
        <f ca="1">2*Bolts!$B922</f>
        <v>#NAME?</v>
      </c>
      <c r="H922" s="374" t="e">
        <f ca="1">3*Bolts!$B922</f>
        <v>#NAME?</v>
      </c>
      <c r="I922" s="374">
        <v>0</v>
      </c>
      <c r="J922" s="374">
        <v>0</v>
      </c>
      <c r="K922" s="374">
        <v>0</v>
      </c>
      <c r="L922" s="374">
        <v>0</v>
      </c>
      <c r="M922" s="374">
        <v>0</v>
      </c>
      <c r="N922" s="374">
        <v>0</v>
      </c>
      <c r="O922" s="374">
        <v>0</v>
      </c>
      <c r="P922" s="374">
        <v>0</v>
      </c>
      <c r="Q922" s="374" t="e">
        <f ca="1">5*Bolts!$B922</f>
        <v>#NAME?</v>
      </c>
      <c r="R922" s="374">
        <v>0</v>
      </c>
      <c r="S922" s="380">
        <v>0</v>
      </c>
      <c r="T922" s="380">
        <v>0</v>
      </c>
      <c r="U922" s="380">
        <v>0</v>
      </c>
      <c r="V922" s="380" t="e">
        <f t="shared" ca="1" si="102"/>
        <v>#NAME?</v>
      </c>
    </row>
    <row r="923" spans="1:22" ht="14.25" hidden="1" customHeight="1">
      <c r="A923" s="383" t="s">
        <v>1565</v>
      </c>
      <c r="B923" s="370" t="e">
        <f ca="1">_xludf.IFNA(VLOOKUP(Bolts!$A923,'Urban Plastix Holds'!$I$37:$L$708,4,0),0)</f>
        <v>#NAME?</v>
      </c>
      <c r="C923" s="384">
        <v>3</v>
      </c>
      <c r="D923" s="373">
        <v>0</v>
      </c>
      <c r="E923" s="373">
        <v>0</v>
      </c>
      <c r="F923" s="374">
        <v>0</v>
      </c>
      <c r="G923" s="374">
        <v>0</v>
      </c>
      <c r="H923" s="374">
        <v>0</v>
      </c>
      <c r="I923" s="374">
        <v>0</v>
      </c>
      <c r="J923" s="374" t="e">
        <f ca="1">3*Bolts!$B923</f>
        <v>#NAME?</v>
      </c>
      <c r="K923" s="374">
        <v>0</v>
      </c>
      <c r="L923" s="374">
        <v>0</v>
      </c>
      <c r="M923" s="374">
        <v>0</v>
      </c>
      <c r="N923" s="374">
        <v>0</v>
      </c>
      <c r="O923" s="374">
        <v>0</v>
      </c>
      <c r="P923" s="374">
        <v>0</v>
      </c>
      <c r="Q923" s="374" t="e">
        <f ca="1">12*Bolts!$B923</f>
        <v>#NAME?</v>
      </c>
      <c r="R923" s="374">
        <v>0</v>
      </c>
      <c r="S923" s="380">
        <v>0</v>
      </c>
      <c r="T923" s="380">
        <v>0</v>
      </c>
      <c r="U923" s="380">
        <v>0</v>
      </c>
      <c r="V923" s="380" t="e">
        <f t="shared" ca="1" si="102"/>
        <v>#NAME?</v>
      </c>
    </row>
    <row r="924" spans="1:22" ht="14.25" hidden="1" customHeight="1">
      <c r="A924" s="383" t="s">
        <v>1313</v>
      </c>
      <c r="B924" s="370" t="e">
        <f ca="1">_xludf.IFNA(VLOOKUP(Bolts!$A924,'Urban Plastix Holds'!$I$37:$L$708,4,0),0)</f>
        <v>#NAME?</v>
      </c>
      <c r="C924" s="381">
        <v>3</v>
      </c>
      <c r="D924" s="373">
        <v>0</v>
      </c>
      <c r="E924" s="373">
        <v>0</v>
      </c>
      <c r="F924" s="373">
        <v>0</v>
      </c>
      <c r="G924" s="373">
        <v>0</v>
      </c>
      <c r="H924" s="373" t="e">
        <f ca="1">3*Bolts!$B924</f>
        <v>#NAME?</v>
      </c>
      <c r="I924" s="373">
        <v>0</v>
      </c>
      <c r="J924" s="373">
        <v>0</v>
      </c>
      <c r="K924" s="373">
        <v>0</v>
      </c>
      <c r="L924" s="374">
        <v>0</v>
      </c>
      <c r="M924" s="373">
        <v>0</v>
      </c>
      <c r="N924" s="373">
        <v>0</v>
      </c>
      <c r="O924" s="373">
        <v>0</v>
      </c>
      <c r="P924" s="373">
        <v>0</v>
      </c>
      <c r="Q924" s="373" t="e">
        <f ca="1">15*Bolts!$B924</f>
        <v>#NAME?</v>
      </c>
      <c r="R924" s="373">
        <v>0</v>
      </c>
      <c r="S924" s="380">
        <v>0</v>
      </c>
      <c r="T924" s="380">
        <v>0</v>
      </c>
      <c r="U924" s="380">
        <v>0</v>
      </c>
      <c r="V924" s="380" t="e">
        <f t="shared" ca="1" si="102"/>
        <v>#NAME?</v>
      </c>
    </row>
    <row r="925" spans="1:22" ht="14.25" hidden="1" customHeight="1">
      <c r="A925" s="383" t="s">
        <v>1301</v>
      </c>
      <c r="B925" s="370" t="e">
        <f ca="1">_xludf.IFNA(VLOOKUP(Bolts!$A925,'Urban Plastix Holds'!$I$37:$L$708,4,0),0)</f>
        <v>#NAME?</v>
      </c>
      <c r="C925" s="381">
        <v>1</v>
      </c>
      <c r="D925" s="373">
        <v>0</v>
      </c>
      <c r="E925" s="373">
        <v>0</v>
      </c>
      <c r="F925" s="373" t="e">
        <f ca="1">1*Bolts!$B925</f>
        <v>#NAME?</v>
      </c>
      <c r="G925" s="373">
        <v>0</v>
      </c>
      <c r="H925" s="373">
        <v>0</v>
      </c>
      <c r="I925" s="373">
        <v>0</v>
      </c>
      <c r="J925" s="373">
        <v>0</v>
      </c>
      <c r="K925" s="373">
        <v>0</v>
      </c>
      <c r="L925" s="374">
        <v>0</v>
      </c>
      <c r="M925" s="373">
        <v>0</v>
      </c>
      <c r="N925" s="373">
        <v>0</v>
      </c>
      <c r="O925" s="373">
        <v>0</v>
      </c>
      <c r="P925" s="373">
        <v>0</v>
      </c>
      <c r="Q925" s="373" t="e">
        <f ca="1">3*Bolts!$B925</f>
        <v>#NAME?</v>
      </c>
      <c r="R925" s="373">
        <v>0</v>
      </c>
      <c r="S925" s="380">
        <v>0</v>
      </c>
      <c r="T925" s="380">
        <v>0</v>
      </c>
      <c r="U925" s="380">
        <v>0</v>
      </c>
      <c r="V925" s="380" t="e">
        <f t="shared" ca="1" si="102"/>
        <v>#NAME?</v>
      </c>
    </row>
    <row r="926" spans="1:22" ht="14.25" hidden="1" customHeight="1">
      <c r="A926" s="383" t="s">
        <v>1303</v>
      </c>
      <c r="B926" s="370" t="e">
        <f ca="1">_xludf.IFNA(VLOOKUP(Bolts!$A926,'Urban Plastix Holds'!$I$37:$L$708,4,0),0)</f>
        <v>#NAME?</v>
      </c>
      <c r="C926" s="381">
        <v>3</v>
      </c>
      <c r="D926" s="373">
        <v>0</v>
      </c>
      <c r="E926" s="373">
        <v>0</v>
      </c>
      <c r="F926" s="373">
        <v>0</v>
      </c>
      <c r="G926" s="373">
        <v>0</v>
      </c>
      <c r="H926" s="373">
        <v>0</v>
      </c>
      <c r="I926" s="373" t="e">
        <f ca="1">1*Bolts!$B926</f>
        <v>#NAME?</v>
      </c>
      <c r="J926" s="373" t="e">
        <f ca="1">2*Bolts!$B926</f>
        <v>#NAME?</v>
      </c>
      <c r="K926" s="373">
        <v>0</v>
      </c>
      <c r="L926" s="374">
        <v>0</v>
      </c>
      <c r="M926" s="373">
        <v>0</v>
      </c>
      <c r="N926" s="373">
        <v>0</v>
      </c>
      <c r="O926" s="373">
        <v>0</v>
      </c>
      <c r="P926" s="373">
        <v>0</v>
      </c>
      <c r="Q926" s="373" t="e">
        <f ca="1">12*Bolts!$B926</f>
        <v>#NAME?</v>
      </c>
      <c r="R926" s="373">
        <v>0</v>
      </c>
      <c r="S926" s="380">
        <v>0</v>
      </c>
      <c r="T926" s="380">
        <v>0</v>
      </c>
      <c r="U926" s="380">
        <v>0</v>
      </c>
      <c r="V926" s="380" t="e">
        <f t="shared" ca="1" si="102"/>
        <v>#NAME?</v>
      </c>
    </row>
    <row r="927" spans="1:22" ht="14.25" hidden="1" customHeight="1">
      <c r="A927" s="383" t="s">
        <v>1369</v>
      </c>
      <c r="B927" s="370" t="e">
        <f ca="1">_xludf.IFNA(VLOOKUP(Bolts!$A927,'Urban Plastix Holds'!$I$37:$L$708,4,0),0)</f>
        <v>#NAME?</v>
      </c>
      <c r="C927" s="381">
        <v>3</v>
      </c>
      <c r="D927" s="373">
        <v>0</v>
      </c>
      <c r="E927" s="373" t="e">
        <f ca="1">3*Bolts!$B927</f>
        <v>#NAME?</v>
      </c>
      <c r="F927" s="373">
        <v>0</v>
      </c>
      <c r="G927" s="373">
        <v>0</v>
      </c>
      <c r="H927" s="373">
        <v>0</v>
      </c>
      <c r="I927" s="373">
        <v>0</v>
      </c>
      <c r="J927" s="373">
        <v>0</v>
      </c>
      <c r="K927" s="373">
        <v>0</v>
      </c>
      <c r="L927" s="374">
        <v>0</v>
      </c>
      <c r="M927" s="373">
        <v>0</v>
      </c>
      <c r="N927" s="373">
        <v>0</v>
      </c>
      <c r="O927" s="373">
        <v>0</v>
      </c>
      <c r="P927" s="373">
        <v>0</v>
      </c>
      <c r="Q927" s="373" t="e">
        <f ca="1">6*Bolts!$B927</f>
        <v>#NAME?</v>
      </c>
      <c r="R927" s="373">
        <v>0</v>
      </c>
      <c r="S927" s="380">
        <v>0</v>
      </c>
      <c r="T927" s="380">
        <v>0</v>
      </c>
      <c r="U927" s="380">
        <v>0</v>
      </c>
      <c r="V927" s="380" t="e">
        <f t="shared" ca="1" si="102"/>
        <v>#NAME?</v>
      </c>
    </row>
    <row r="928" spans="1:22" ht="14.25" hidden="1" customHeight="1">
      <c r="A928" s="383" t="s">
        <v>1561</v>
      </c>
      <c r="B928" s="370" t="e">
        <f ca="1">_xludf.IFNA(VLOOKUP(Bolts!$A928,'Urban Plastix Holds'!$I$37:$L$708,4,0),0)</f>
        <v>#NAME?</v>
      </c>
      <c r="C928" s="384">
        <v>3</v>
      </c>
      <c r="D928" s="373">
        <v>0</v>
      </c>
      <c r="E928" s="373">
        <v>0</v>
      </c>
      <c r="F928" s="374">
        <v>0</v>
      </c>
      <c r="G928" s="374">
        <v>0</v>
      </c>
      <c r="H928" s="374">
        <v>0</v>
      </c>
      <c r="I928" s="374">
        <v>0</v>
      </c>
      <c r="J928" s="374">
        <v>0</v>
      </c>
      <c r="K928" s="374" t="e">
        <f ca="1">3*Bolts!$B928</f>
        <v>#NAME?</v>
      </c>
      <c r="L928" s="374">
        <v>0</v>
      </c>
      <c r="M928" s="374">
        <v>0</v>
      </c>
      <c r="N928" s="374">
        <v>0</v>
      </c>
      <c r="O928" s="374">
        <v>0</v>
      </c>
      <c r="P928" s="374">
        <v>0</v>
      </c>
      <c r="Q928" s="374" t="e">
        <f ca="1">9*Bolts!$B928</f>
        <v>#NAME?</v>
      </c>
      <c r="R928" s="374">
        <v>0</v>
      </c>
      <c r="S928" s="380">
        <v>0</v>
      </c>
      <c r="T928" s="380">
        <v>0</v>
      </c>
      <c r="U928" s="380">
        <v>0</v>
      </c>
      <c r="V928" s="380" t="e">
        <f t="shared" ca="1" si="102"/>
        <v>#NAME?</v>
      </c>
    </row>
    <row r="929" spans="1:22" ht="14.25" hidden="1" customHeight="1">
      <c r="A929" s="383" t="s">
        <v>1399</v>
      </c>
      <c r="B929" s="370" t="e">
        <f ca="1">_xludf.IFNA(VLOOKUP(Bolts!$A929,'Urban Plastix Holds'!$I$37:$L$708,4,0),0)</f>
        <v>#NAME?</v>
      </c>
      <c r="C929" s="384">
        <v>5</v>
      </c>
      <c r="D929" s="373" t="e">
        <f ca="1">5*Bolts!$B929</f>
        <v>#NAME?</v>
      </c>
      <c r="E929" s="373">
        <v>0</v>
      </c>
      <c r="F929" s="374">
        <v>0</v>
      </c>
      <c r="G929" s="374">
        <v>0</v>
      </c>
      <c r="H929" s="374">
        <v>0</v>
      </c>
      <c r="I929" s="374">
        <v>0</v>
      </c>
      <c r="J929" s="374">
        <v>0</v>
      </c>
      <c r="K929" s="374">
        <v>0</v>
      </c>
      <c r="L929" s="374">
        <v>0</v>
      </c>
      <c r="M929" s="374">
        <v>0</v>
      </c>
      <c r="N929" s="374">
        <v>0</v>
      </c>
      <c r="O929" s="374">
        <v>0</v>
      </c>
      <c r="P929" s="374">
        <v>0</v>
      </c>
      <c r="Q929" s="374" t="e">
        <f ca="1">12*Bolts!$B929</f>
        <v>#NAME?</v>
      </c>
      <c r="R929" s="374">
        <v>0</v>
      </c>
      <c r="S929" s="380">
        <v>0</v>
      </c>
      <c r="T929" s="380">
        <v>0</v>
      </c>
      <c r="U929" s="380">
        <v>0</v>
      </c>
      <c r="V929" s="380" t="e">
        <f t="shared" ca="1" si="102"/>
        <v>#NAME?</v>
      </c>
    </row>
    <row r="930" spans="1:22" ht="14.25" hidden="1" customHeight="1">
      <c r="A930" s="383" t="s">
        <v>1401</v>
      </c>
      <c r="B930" s="370" t="e">
        <f ca="1">_xludf.IFNA(VLOOKUP(Bolts!$A930,'Urban Plastix Holds'!$I$37:$L$708,4,0),0)</f>
        <v>#NAME?</v>
      </c>
      <c r="C930" s="384">
        <v>5</v>
      </c>
      <c r="D930" s="373" t="e">
        <f ca="1">5*Bolts!$B930</f>
        <v>#NAME?</v>
      </c>
      <c r="E930" s="373">
        <v>0</v>
      </c>
      <c r="F930" s="374">
        <v>0</v>
      </c>
      <c r="G930" s="374">
        <v>0</v>
      </c>
      <c r="H930" s="374">
        <v>0</v>
      </c>
      <c r="I930" s="374">
        <v>0</v>
      </c>
      <c r="J930" s="374">
        <v>0</v>
      </c>
      <c r="K930" s="374">
        <v>0</v>
      </c>
      <c r="L930" s="374">
        <v>0</v>
      </c>
      <c r="M930" s="374">
        <v>0</v>
      </c>
      <c r="N930" s="374">
        <v>0</v>
      </c>
      <c r="O930" s="374">
        <v>0</v>
      </c>
      <c r="P930" s="374">
        <v>0</v>
      </c>
      <c r="Q930" s="374" t="e">
        <f ca="1">6*Bolts!$B930</f>
        <v>#NAME?</v>
      </c>
      <c r="R930" s="374">
        <v>0</v>
      </c>
      <c r="S930" s="380">
        <v>0</v>
      </c>
      <c r="T930" s="380">
        <v>0</v>
      </c>
      <c r="U930" s="380">
        <v>0</v>
      </c>
      <c r="V930" s="380" t="e">
        <f t="shared" ca="1" si="102"/>
        <v>#NAME?</v>
      </c>
    </row>
    <row r="931" spans="1:22" ht="14.25" hidden="1" customHeight="1">
      <c r="A931" s="383" t="s">
        <v>1701</v>
      </c>
      <c r="B931" s="370" t="e">
        <f ca="1">_xludf.IFNA(VLOOKUP(Bolts!$A931,'Urban Plastix Holds'!$I$37:$L$708,4,0),0)</f>
        <v>#NAME?</v>
      </c>
      <c r="C931" s="384">
        <v>1</v>
      </c>
      <c r="D931" s="373">
        <v>0</v>
      </c>
      <c r="E931" s="373">
        <v>0</v>
      </c>
      <c r="F931" s="374">
        <v>0</v>
      </c>
      <c r="G931" s="374">
        <v>0</v>
      </c>
      <c r="H931" s="374">
        <v>0</v>
      </c>
      <c r="I931" s="374">
        <v>0</v>
      </c>
      <c r="J931" s="374">
        <v>0</v>
      </c>
      <c r="K931" s="374">
        <v>0</v>
      </c>
      <c r="L931" s="374">
        <v>0</v>
      </c>
      <c r="M931" s="374" t="e">
        <f ca="1">1*Bolts!$B931</f>
        <v>#NAME?</v>
      </c>
      <c r="N931" s="374">
        <v>0</v>
      </c>
      <c r="O931" s="374">
        <v>0</v>
      </c>
      <c r="P931" s="374">
        <v>0</v>
      </c>
      <c r="Q931" s="374" t="e">
        <f ca="1">5*Bolts!$B931</f>
        <v>#NAME?</v>
      </c>
      <c r="R931" s="374">
        <v>0</v>
      </c>
      <c r="S931" s="375">
        <v>0</v>
      </c>
      <c r="T931" s="375">
        <v>0</v>
      </c>
      <c r="U931" s="375">
        <v>0</v>
      </c>
      <c r="V931" s="380" t="e">
        <f t="shared" ca="1" si="102"/>
        <v>#NAME?</v>
      </c>
    </row>
    <row r="932" spans="1:22" ht="14.25" hidden="1" customHeight="1">
      <c r="A932" s="383" t="s">
        <v>1692</v>
      </c>
      <c r="B932" s="370" t="e">
        <f ca="1">_xludf.IFNA(VLOOKUP(Bolts!$A932,'Urban Plastix Holds'!$I$37:$L$708,4,0),0)</f>
        <v>#NAME?</v>
      </c>
      <c r="C932" s="384">
        <v>10</v>
      </c>
      <c r="D932" s="373" t="e">
        <f ca="1">10*Bolts!$B932</f>
        <v>#NAME?</v>
      </c>
      <c r="E932" s="373">
        <v>0</v>
      </c>
      <c r="F932" s="374">
        <v>0</v>
      </c>
      <c r="G932" s="374">
        <v>0</v>
      </c>
      <c r="H932" s="374">
        <v>0</v>
      </c>
      <c r="I932" s="374">
        <v>0</v>
      </c>
      <c r="J932" s="374">
        <v>0</v>
      </c>
      <c r="K932" s="374">
        <v>0</v>
      </c>
      <c r="L932" s="374">
        <v>0</v>
      </c>
      <c r="M932" s="374">
        <v>0</v>
      </c>
      <c r="N932" s="374">
        <v>0</v>
      </c>
      <c r="O932" s="374">
        <v>0</v>
      </c>
      <c r="P932" s="374">
        <v>0</v>
      </c>
      <c r="Q932" s="374" t="e">
        <f ca="1">10*Bolts!$B932</f>
        <v>#NAME?</v>
      </c>
      <c r="R932" s="374">
        <v>0</v>
      </c>
      <c r="S932" s="380">
        <v>0</v>
      </c>
      <c r="T932" s="380">
        <v>0</v>
      </c>
      <c r="U932" s="380">
        <v>0</v>
      </c>
      <c r="V932" s="380" t="e">
        <f t="shared" ca="1" si="102"/>
        <v>#NAME?</v>
      </c>
    </row>
    <row r="933" spans="1:22" ht="14.25" hidden="1" customHeight="1">
      <c r="A933" s="383" t="s">
        <v>1675</v>
      </c>
      <c r="B933" s="370" t="e">
        <f ca="1">_xludf.IFNA(VLOOKUP(Bolts!$A933,'Urban Plastix Holds'!$I$37:$L$708,4,0),0)</f>
        <v>#NAME?</v>
      </c>
      <c r="C933" s="384">
        <v>10</v>
      </c>
      <c r="D933" s="373" t="e">
        <f ca="1">10*Bolts!$B933</f>
        <v>#NAME?</v>
      </c>
      <c r="E933" s="373">
        <v>0</v>
      </c>
      <c r="F933" s="374">
        <v>0</v>
      </c>
      <c r="G933" s="374">
        <v>0</v>
      </c>
      <c r="H933" s="374">
        <v>0</v>
      </c>
      <c r="I933" s="374">
        <v>0</v>
      </c>
      <c r="J933" s="374">
        <v>0</v>
      </c>
      <c r="K933" s="374">
        <v>0</v>
      </c>
      <c r="L933" s="374">
        <v>0</v>
      </c>
      <c r="M933" s="374">
        <v>0</v>
      </c>
      <c r="N933" s="374">
        <v>0</v>
      </c>
      <c r="O933" s="374">
        <v>0</v>
      </c>
      <c r="P933" s="374">
        <v>0</v>
      </c>
      <c r="Q933" s="374" t="e">
        <f ca="1">20*Bolts!$B933</f>
        <v>#NAME?</v>
      </c>
      <c r="R933" s="374">
        <v>0</v>
      </c>
      <c r="S933" s="380">
        <v>0</v>
      </c>
      <c r="T933" s="380">
        <v>0</v>
      </c>
      <c r="U933" s="380">
        <v>0</v>
      </c>
      <c r="V933" s="380" t="e">
        <f t="shared" ca="1" si="102"/>
        <v>#NAME?</v>
      </c>
    </row>
    <row r="934" spans="1:22" ht="14.25" hidden="1" customHeight="1">
      <c r="A934" s="383" t="s">
        <v>1698</v>
      </c>
      <c r="B934" s="370" t="e">
        <f ca="1">_xludf.IFNA(VLOOKUP(Bolts!$A934,'Urban Plastix Holds'!$I$37:$L$708,4,0),0)</f>
        <v>#NAME?</v>
      </c>
      <c r="C934" s="384">
        <v>10</v>
      </c>
      <c r="D934" s="373">
        <v>0</v>
      </c>
      <c r="E934" s="373">
        <v>0</v>
      </c>
      <c r="F934" s="374">
        <v>0</v>
      </c>
      <c r="G934" s="374">
        <v>0</v>
      </c>
      <c r="H934" s="374">
        <v>0</v>
      </c>
      <c r="I934" s="374">
        <v>0</v>
      </c>
      <c r="J934" s="374">
        <v>0</v>
      </c>
      <c r="K934" s="374">
        <v>0</v>
      </c>
      <c r="L934" s="374">
        <v>0</v>
      </c>
      <c r="M934" s="374">
        <v>0</v>
      </c>
      <c r="N934" s="374">
        <v>0</v>
      </c>
      <c r="O934" s="374">
        <v>0</v>
      </c>
      <c r="P934" s="374">
        <v>0</v>
      </c>
      <c r="Q934" s="374" t="e">
        <f ca="1">20*Bolts!$B934</f>
        <v>#NAME?</v>
      </c>
      <c r="R934" s="374">
        <v>0</v>
      </c>
      <c r="S934" s="380">
        <v>0</v>
      </c>
      <c r="T934" s="380">
        <v>0</v>
      </c>
      <c r="U934" s="380">
        <v>0</v>
      </c>
      <c r="V934" s="380" t="e">
        <f t="shared" ca="1" si="102"/>
        <v>#NAME?</v>
      </c>
    </row>
    <row r="935" spans="1:22" ht="14.25" hidden="1" customHeight="1">
      <c r="A935" s="383" t="s">
        <v>1713</v>
      </c>
      <c r="B935" s="370" t="e">
        <f ca="1">_xludf.IFNA(VLOOKUP(Bolts!$A935,'Urban Plastix Holds'!$I$37:$L$708,4,0),0)</f>
        <v>#NAME?</v>
      </c>
      <c r="C935" s="384">
        <v>5</v>
      </c>
      <c r="D935" s="373">
        <v>0</v>
      </c>
      <c r="E935" s="373">
        <v>0</v>
      </c>
      <c r="F935" s="374">
        <v>0</v>
      </c>
      <c r="G935" s="374">
        <v>0</v>
      </c>
      <c r="H935" s="374" t="e">
        <f ca="1">5*Bolts!$B935</f>
        <v>#NAME?</v>
      </c>
      <c r="I935" s="374">
        <v>0</v>
      </c>
      <c r="J935" s="374">
        <v>0</v>
      </c>
      <c r="K935" s="374">
        <v>0</v>
      </c>
      <c r="L935" s="374">
        <v>0</v>
      </c>
      <c r="M935" s="374">
        <v>0</v>
      </c>
      <c r="N935" s="374">
        <v>0</v>
      </c>
      <c r="O935" s="374">
        <v>0</v>
      </c>
      <c r="P935" s="374">
        <v>0</v>
      </c>
      <c r="Q935" s="374" t="e">
        <f ca="1">10*Bolts!$B935</f>
        <v>#NAME?</v>
      </c>
      <c r="R935" s="374">
        <v>0</v>
      </c>
      <c r="S935" s="375">
        <v>0</v>
      </c>
      <c r="T935" s="375">
        <v>0</v>
      </c>
      <c r="U935" s="375">
        <v>0</v>
      </c>
      <c r="V935" s="380" t="e">
        <f t="shared" ca="1" si="102"/>
        <v>#NAME?</v>
      </c>
    </row>
    <row r="936" spans="1:22" ht="14.25" hidden="1" customHeight="1">
      <c r="A936" s="383" t="s">
        <v>1705</v>
      </c>
      <c r="B936" s="370" t="e">
        <f ca="1">_xludf.IFNA(VLOOKUP(Bolts!$A936,'Urban Plastix Holds'!$I$37:$L$708,4,0),0)</f>
        <v>#NAME?</v>
      </c>
      <c r="C936" s="384">
        <v>1</v>
      </c>
      <c r="D936" s="373">
        <v>0</v>
      </c>
      <c r="E936" s="373">
        <v>0</v>
      </c>
      <c r="F936" s="374">
        <v>0</v>
      </c>
      <c r="G936" s="374">
        <v>0</v>
      </c>
      <c r="H936" s="374">
        <v>0</v>
      </c>
      <c r="I936" s="374">
        <v>0</v>
      </c>
      <c r="J936" s="374" t="e">
        <f ca="1">1*Bolts!$B936</f>
        <v>#NAME?</v>
      </c>
      <c r="K936" s="374">
        <v>0</v>
      </c>
      <c r="L936" s="374">
        <v>0</v>
      </c>
      <c r="M936" s="374">
        <v>0</v>
      </c>
      <c r="N936" s="374">
        <v>0</v>
      </c>
      <c r="O936" s="374">
        <v>0</v>
      </c>
      <c r="P936" s="374">
        <v>0</v>
      </c>
      <c r="Q936" s="374" t="e">
        <f ca="1">9*Bolts!$B936</f>
        <v>#NAME?</v>
      </c>
      <c r="R936" s="374">
        <v>0</v>
      </c>
      <c r="S936" s="375">
        <v>0</v>
      </c>
      <c r="T936" s="375">
        <v>0</v>
      </c>
      <c r="U936" s="375">
        <v>0</v>
      </c>
      <c r="V936" s="380" t="e">
        <f t="shared" ca="1" si="102"/>
        <v>#NAME?</v>
      </c>
    </row>
    <row r="937" spans="1:22" ht="14.25" hidden="1" customHeight="1">
      <c r="A937" s="383" t="s">
        <v>1703</v>
      </c>
      <c r="B937" s="370" t="e">
        <f ca="1">_xludf.IFNA(VLOOKUP(Bolts!$A937,'Urban Plastix Holds'!$I$37:$L$708,4,0),0)</f>
        <v>#NAME?</v>
      </c>
      <c r="C937" s="384">
        <v>1</v>
      </c>
      <c r="D937" s="373">
        <v>0</v>
      </c>
      <c r="E937" s="373">
        <v>0</v>
      </c>
      <c r="F937" s="374">
        <v>0</v>
      </c>
      <c r="G937" s="374">
        <v>0</v>
      </c>
      <c r="H937" s="374">
        <v>0</v>
      </c>
      <c r="I937" s="374">
        <v>0</v>
      </c>
      <c r="J937" s="374">
        <v>0</v>
      </c>
      <c r="K937" s="374">
        <v>0</v>
      </c>
      <c r="L937" s="374">
        <v>0</v>
      </c>
      <c r="M937" s="374">
        <v>0</v>
      </c>
      <c r="N937" s="374">
        <v>0</v>
      </c>
      <c r="O937" s="374">
        <v>0</v>
      </c>
      <c r="P937" s="374" t="e">
        <f ca="1">1*Bolts!$B937</f>
        <v>#NAME?</v>
      </c>
      <c r="Q937" s="374" t="e">
        <f ca="1">9*Bolts!$B937</f>
        <v>#NAME?</v>
      </c>
      <c r="R937" s="374">
        <v>0</v>
      </c>
      <c r="S937" s="375">
        <v>0</v>
      </c>
      <c r="T937" s="375">
        <v>0</v>
      </c>
      <c r="U937" s="375">
        <v>0</v>
      </c>
      <c r="V937" s="380" t="e">
        <f t="shared" ca="1" si="102"/>
        <v>#NAME?</v>
      </c>
    </row>
    <row r="938" spans="1:22" ht="14.25" hidden="1" customHeight="1">
      <c r="A938" s="383" t="s">
        <v>1655</v>
      </c>
      <c r="B938" s="370" t="e">
        <f ca="1">_xludf.IFNA(VLOOKUP(Bolts!$A938,'Urban Plastix Holds'!$I$37:$L$708,4,0),0)</f>
        <v>#NAME?</v>
      </c>
      <c r="C938" s="384">
        <v>10</v>
      </c>
      <c r="D938" s="373" t="e">
        <f ca="1">Bolts!$B938*10</f>
        <v>#NAME?</v>
      </c>
      <c r="E938" s="373">
        <v>0</v>
      </c>
      <c r="F938" s="374">
        <v>0</v>
      </c>
      <c r="G938" s="374">
        <v>0</v>
      </c>
      <c r="H938" s="374">
        <v>0</v>
      </c>
      <c r="I938" s="374">
        <v>0</v>
      </c>
      <c r="J938" s="374">
        <v>0</v>
      </c>
      <c r="K938" s="374">
        <v>0</v>
      </c>
      <c r="L938" s="374">
        <v>0</v>
      </c>
      <c r="M938" s="374">
        <v>0</v>
      </c>
      <c r="N938" s="374">
        <v>0</v>
      </c>
      <c r="O938" s="374">
        <v>0</v>
      </c>
      <c r="P938" s="374">
        <v>0</v>
      </c>
      <c r="Q938" s="374" t="e">
        <f ca="1">Bolts!$B938*10</f>
        <v>#NAME?</v>
      </c>
      <c r="R938" s="374">
        <v>0</v>
      </c>
      <c r="S938" s="375">
        <v>0</v>
      </c>
      <c r="T938" s="375">
        <v>0</v>
      </c>
      <c r="U938" s="375">
        <v>0</v>
      </c>
      <c r="V938" s="380" t="e">
        <f t="shared" ca="1" si="102"/>
        <v>#NAME?</v>
      </c>
    </row>
    <row r="939" spans="1:22" ht="14.25" hidden="1" customHeight="1">
      <c r="A939" s="383" t="s">
        <v>1657</v>
      </c>
      <c r="B939" s="370" t="e">
        <f ca="1">_xludf.IFNA(VLOOKUP(Bolts!$A939,'Urban Plastix Holds'!$I$37:$L$708,4,0),0)</f>
        <v>#NAME?</v>
      </c>
      <c r="C939" s="384">
        <v>10</v>
      </c>
      <c r="D939" s="373" t="e">
        <f ca="1">Bolts!$B939*10</f>
        <v>#NAME?</v>
      </c>
      <c r="E939" s="373">
        <v>0</v>
      </c>
      <c r="F939" s="374">
        <v>0</v>
      </c>
      <c r="G939" s="374">
        <v>0</v>
      </c>
      <c r="H939" s="374">
        <v>0</v>
      </c>
      <c r="I939" s="374">
        <v>0</v>
      </c>
      <c r="J939" s="374">
        <v>0</v>
      </c>
      <c r="K939" s="374">
        <v>0</v>
      </c>
      <c r="L939" s="374">
        <v>0</v>
      </c>
      <c r="M939" s="374">
        <v>0</v>
      </c>
      <c r="N939" s="374">
        <v>0</v>
      </c>
      <c r="O939" s="374">
        <v>0</v>
      </c>
      <c r="P939" s="374">
        <v>0</v>
      </c>
      <c r="Q939" s="374" t="e">
        <f ca="1">Bolts!$B939*10</f>
        <v>#NAME?</v>
      </c>
      <c r="R939" s="374">
        <v>0</v>
      </c>
      <c r="S939" s="375">
        <v>0</v>
      </c>
      <c r="T939" s="375">
        <v>0</v>
      </c>
      <c r="U939" s="375">
        <v>0</v>
      </c>
      <c r="V939" s="380" t="e">
        <f t="shared" ca="1" si="102"/>
        <v>#NAME?</v>
      </c>
    </row>
    <row r="940" spans="1:22" ht="14.25" hidden="1" customHeight="1">
      <c r="A940" s="383" t="s">
        <v>1624</v>
      </c>
      <c r="B940" s="370" t="e">
        <f ca="1">_xludf.IFNA(VLOOKUP(Bolts!$A940,'Urban Plastix Holds'!$I$37:$L$708,4,0),0)</f>
        <v>#NAME?</v>
      </c>
      <c r="C940" s="384">
        <v>5</v>
      </c>
      <c r="D940" s="373" t="e">
        <f ca="1">Bolts!$B940*5</f>
        <v>#NAME?</v>
      </c>
      <c r="E940" s="373">
        <v>0</v>
      </c>
      <c r="F940" s="374">
        <v>0</v>
      </c>
      <c r="G940" s="374">
        <v>0</v>
      </c>
      <c r="H940" s="374">
        <v>0</v>
      </c>
      <c r="I940" s="374">
        <v>0</v>
      </c>
      <c r="J940" s="374">
        <v>0</v>
      </c>
      <c r="K940" s="374">
        <v>0</v>
      </c>
      <c r="L940" s="374">
        <v>0</v>
      </c>
      <c r="M940" s="374">
        <v>0</v>
      </c>
      <c r="N940" s="374">
        <v>0</v>
      </c>
      <c r="O940" s="374">
        <v>0</v>
      </c>
      <c r="P940" s="374">
        <v>0</v>
      </c>
      <c r="Q940" s="374" t="e">
        <f ca="1">Bolts!$B940*5</f>
        <v>#NAME?</v>
      </c>
      <c r="R940" s="374">
        <v>0</v>
      </c>
      <c r="S940" s="375">
        <v>0</v>
      </c>
      <c r="T940" s="375">
        <v>0</v>
      </c>
      <c r="U940" s="375">
        <v>0</v>
      </c>
      <c r="V940" s="380" t="e">
        <f t="shared" ca="1" si="102"/>
        <v>#NAME?</v>
      </c>
    </row>
    <row r="941" spans="1:22" ht="14.25" hidden="1" customHeight="1">
      <c r="A941" s="383" t="s">
        <v>1577</v>
      </c>
      <c r="B941" s="370" t="e">
        <f ca="1">_xludf.IFNA(VLOOKUP(Bolts!$A941,'Urban Plastix Holds'!$I$37:$L$708,4,0),0)</f>
        <v>#NAME?</v>
      </c>
      <c r="C941" s="384">
        <v>5</v>
      </c>
      <c r="D941" s="373">
        <v>0</v>
      </c>
      <c r="E941" s="373" t="e">
        <f ca="1">Bolts!$B941*5</f>
        <v>#NAME?</v>
      </c>
      <c r="F941" s="374">
        <v>0</v>
      </c>
      <c r="G941" s="374">
        <v>0</v>
      </c>
      <c r="H941" s="374">
        <v>0</v>
      </c>
      <c r="I941" s="374">
        <v>0</v>
      </c>
      <c r="J941" s="374">
        <v>0</v>
      </c>
      <c r="K941" s="374">
        <v>0</v>
      </c>
      <c r="L941" s="374">
        <v>0</v>
      </c>
      <c r="M941" s="374">
        <v>0</v>
      </c>
      <c r="N941" s="374">
        <v>0</v>
      </c>
      <c r="O941" s="374">
        <v>0</v>
      </c>
      <c r="P941" s="374">
        <v>0</v>
      </c>
      <c r="Q941" s="374" t="e">
        <f ca="1">Bolts!$B941*5</f>
        <v>#NAME?</v>
      </c>
      <c r="R941" s="374">
        <v>0</v>
      </c>
      <c r="S941" s="375">
        <v>0</v>
      </c>
      <c r="T941" s="375">
        <v>0</v>
      </c>
      <c r="U941" s="375">
        <v>0</v>
      </c>
      <c r="V941" s="380" t="e">
        <f t="shared" ca="1" si="102"/>
        <v>#NAME?</v>
      </c>
    </row>
    <row r="942" spans="1:22" ht="14.25" hidden="1" customHeight="1">
      <c r="A942" s="383" t="s">
        <v>1579</v>
      </c>
      <c r="B942" s="370" t="e">
        <f ca="1">_xludf.IFNA(VLOOKUP(Bolts!$A942,'Urban Plastix Holds'!$I$37:$L$708,4,0),0)</f>
        <v>#NAME?</v>
      </c>
      <c r="C942" s="384">
        <v>5</v>
      </c>
      <c r="D942" s="373">
        <v>0</v>
      </c>
      <c r="E942" s="373" t="e">
        <f ca="1">Bolts!$B942*5</f>
        <v>#NAME?</v>
      </c>
      <c r="F942" s="374">
        <v>0</v>
      </c>
      <c r="G942" s="374">
        <v>0</v>
      </c>
      <c r="H942" s="374">
        <v>0</v>
      </c>
      <c r="I942" s="374">
        <v>0</v>
      </c>
      <c r="J942" s="374">
        <v>0</v>
      </c>
      <c r="K942" s="374">
        <v>0</v>
      </c>
      <c r="L942" s="374">
        <v>0</v>
      </c>
      <c r="M942" s="374">
        <v>0</v>
      </c>
      <c r="N942" s="374">
        <v>0</v>
      </c>
      <c r="O942" s="374">
        <v>0</v>
      </c>
      <c r="P942" s="374">
        <v>0</v>
      </c>
      <c r="Q942" s="374" t="e">
        <f ca="1">Bolts!$B942*5</f>
        <v>#NAME?</v>
      </c>
      <c r="R942" s="374">
        <v>0</v>
      </c>
      <c r="S942" s="375">
        <v>0</v>
      </c>
      <c r="T942" s="375">
        <v>0</v>
      </c>
      <c r="U942" s="375">
        <v>0</v>
      </c>
      <c r="V942" s="380" t="e">
        <f t="shared" ca="1" si="102"/>
        <v>#NAME?</v>
      </c>
    </row>
    <row r="943" spans="1:22" ht="14.25" hidden="1" customHeight="1">
      <c r="A943" s="383" t="s">
        <v>1528</v>
      </c>
      <c r="B943" s="370" t="e">
        <f ca="1">_xludf.IFNA(VLOOKUP(Bolts!$A943,'Urban Plastix Holds'!$I$37:$L$708,4,0),0)</f>
        <v>#NAME?</v>
      </c>
      <c r="C943" s="384">
        <v>3</v>
      </c>
      <c r="D943" s="373">
        <v>0</v>
      </c>
      <c r="E943" s="373">
        <v>0</v>
      </c>
      <c r="F943" s="374">
        <v>0</v>
      </c>
      <c r="G943" s="374">
        <v>0</v>
      </c>
      <c r="H943" s="374" t="e">
        <f ca="1">Bolts!$B943*2</f>
        <v>#NAME?</v>
      </c>
      <c r="I943" s="374">
        <v>0</v>
      </c>
      <c r="J943" s="374">
        <v>0</v>
      </c>
      <c r="K943" s="374" t="e">
        <f ca="1">Bolts!$B943*1</f>
        <v>#NAME?</v>
      </c>
      <c r="L943" s="374">
        <v>0</v>
      </c>
      <c r="M943" s="374">
        <v>0</v>
      </c>
      <c r="N943" s="374">
        <v>0</v>
      </c>
      <c r="O943" s="374">
        <v>0</v>
      </c>
      <c r="P943" s="374">
        <v>0</v>
      </c>
      <c r="Q943" s="374" t="e">
        <f ca="1">Bolts!$B943*3</f>
        <v>#NAME?</v>
      </c>
      <c r="R943" s="374">
        <v>0</v>
      </c>
      <c r="S943" s="375">
        <v>0</v>
      </c>
      <c r="T943" s="375">
        <v>0</v>
      </c>
      <c r="U943" s="375">
        <v>0</v>
      </c>
      <c r="V943" s="380" t="e">
        <f t="shared" ca="1" si="102"/>
        <v>#NAME?</v>
      </c>
    </row>
    <row r="944" spans="1:22" ht="14.25" hidden="1" customHeight="1">
      <c r="A944" s="383" t="s">
        <v>1308</v>
      </c>
      <c r="B944" s="370" t="e">
        <f ca="1">_xludf.IFNA(VLOOKUP(Bolts!$A944,'Urban Plastix Holds'!$I$37:$L$708,4,0),0)</f>
        <v>#NAME?</v>
      </c>
      <c r="C944" s="384">
        <v>5</v>
      </c>
      <c r="D944" s="373">
        <v>0</v>
      </c>
      <c r="E944" s="373">
        <v>0</v>
      </c>
      <c r="F944" s="374">
        <v>0</v>
      </c>
      <c r="G944" s="374">
        <v>0</v>
      </c>
      <c r="H944" s="374">
        <v>0</v>
      </c>
      <c r="I944" s="374">
        <f ca="1">IFERROR(5*B944,0)</f>
        <v>0</v>
      </c>
      <c r="J944" s="374">
        <v>0</v>
      </c>
      <c r="K944" s="374">
        <v>0</v>
      </c>
      <c r="L944" s="374">
        <v>0</v>
      </c>
      <c r="M944" s="374">
        <v>0</v>
      </c>
      <c r="N944" s="374">
        <v>0</v>
      </c>
      <c r="O944" s="374">
        <v>0</v>
      </c>
      <c r="P944" s="374">
        <v>0</v>
      </c>
      <c r="Q944" s="374">
        <v>0</v>
      </c>
      <c r="R944" s="374">
        <v>0</v>
      </c>
      <c r="S944" s="375">
        <v>0</v>
      </c>
      <c r="T944" s="375">
        <v>0</v>
      </c>
      <c r="U944" s="375">
        <v>0</v>
      </c>
      <c r="V944" s="380" t="e">
        <f t="shared" ca="1" si="102"/>
        <v>#NAME?</v>
      </c>
    </row>
    <row r="945" spans="1:22" ht="14.25" hidden="1" customHeight="1">
      <c r="A945" s="383" t="s">
        <v>1311</v>
      </c>
      <c r="B945" s="370" t="e">
        <f ca="1">_xludf.IFNA(VLOOKUP(Bolts!$A945,'Urban Plastix Holds'!$I$37:$L$708,4,0),0)</f>
        <v>#NAME?</v>
      </c>
      <c r="C945" s="384">
        <v>5</v>
      </c>
      <c r="D945" s="373">
        <f ca="1">IFERROR(5*B945,0)</f>
        <v>0</v>
      </c>
      <c r="E945" s="373">
        <v>0</v>
      </c>
      <c r="F945" s="374">
        <v>0</v>
      </c>
      <c r="G945" s="374">
        <v>0</v>
      </c>
      <c r="H945" s="374">
        <v>0</v>
      </c>
      <c r="I945" s="374">
        <v>0</v>
      </c>
      <c r="J945" s="374">
        <v>0</v>
      </c>
      <c r="K945" s="374">
        <v>0</v>
      </c>
      <c r="L945" s="374">
        <v>0</v>
      </c>
      <c r="M945" s="374">
        <v>0</v>
      </c>
      <c r="N945" s="374">
        <v>0</v>
      </c>
      <c r="O945" s="374">
        <v>0</v>
      </c>
      <c r="P945" s="374">
        <v>0</v>
      </c>
      <c r="Q945" s="374">
        <v>0</v>
      </c>
      <c r="R945" s="374">
        <v>0</v>
      </c>
      <c r="S945" s="375">
        <v>0</v>
      </c>
      <c r="T945" s="375">
        <v>0</v>
      </c>
      <c r="U945" s="375">
        <v>0</v>
      </c>
      <c r="V945" s="380" t="e">
        <f t="shared" ca="1" si="102"/>
        <v>#NAME?</v>
      </c>
    </row>
    <row r="946" spans="1:22" ht="14.25" hidden="1" customHeight="1">
      <c r="A946" s="383" t="s">
        <v>1315</v>
      </c>
      <c r="B946" s="370" t="e">
        <f ca="1">_xludf.IFNA(VLOOKUP(Bolts!$A946,'Urban Plastix Holds'!$I$37:$L$708,4,0),0)</f>
        <v>#NAME?</v>
      </c>
      <c r="C946" s="384">
        <v>10</v>
      </c>
      <c r="D946" s="373">
        <f ca="1">IFERROR(10*B946,0)</f>
        <v>0</v>
      </c>
      <c r="E946" s="373">
        <v>0</v>
      </c>
      <c r="F946" s="374">
        <v>0</v>
      </c>
      <c r="G946" s="374">
        <v>0</v>
      </c>
      <c r="H946" s="374">
        <v>0</v>
      </c>
      <c r="I946" s="374">
        <v>0</v>
      </c>
      <c r="J946" s="374">
        <v>0</v>
      </c>
      <c r="K946" s="374">
        <v>0</v>
      </c>
      <c r="L946" s="374">
        <v>0</v>
      </c>
      <c r="M946" s="374">
        <v>0</v>
      </c>
      <c r="N946" s="374">
        <v>0</v>
      </c>
      <c r="O946" s="374">
        <v>0</v>
      </c>
      <c r="P946" s="374">
        <v>0</v>
      </c>
      <c r="Q946" s="374">
        <v>0</v>
      </c>
      <c r="R946" s="374">
        <v>0</v>
      </c>
      <c r="S946" s="375">
        <v>0</v>
      </c>
      <c r="T946" s="375">
        <v>0</v>
      </c>
      <c r="U946" s="375">
        <v>0</v>
      </c>
      <c r="V946" s="380" t="e">
        <f t="shared" ca="1" si="102"/>
        <v>#NAME?</v>
      </c>
    </row>
    <row r="947" spans="1:22" ht="14.25" hidden="1" customHeight="1">
      <c r="A947" s="383" t="s">
        <v>1317</v>
      </c>
      <c r="B947" s="370" t="e">
        <f ca="1">_xludf.IFNA(VLOOKUP(Bolts!$A947,'Urban Plastix Holds'!$I$37:$L$708,4,0),0)</f>
        <v>#NAME?</v>
      </c>
      <c r="C947" s="384">
        <v>10</v>
      </c>
      <c r="D947" s="373">
        <v>0</v>
      </c>
      <c r="E947" s="373">
        <f ca="1">IFERROR(5*B947,0)</f>
        <v>0</v>
      </c>
      <c r="F947" s="374">
        <f ca="1">IFERROR(5*B947,0)</f>
        <v>0</v>
      </c>
      <c r="G947" s="374">
        <v>0</v>
      </c>
      <c r="H947" s="374">
        <v>0</v>
      </c>
      <c r="I947" s="374">
        <v>0</v>
      </c>
      <c r="J947" s="374">
        <v>0</v>
      </c>
      <c r="K947" s="374">
        <v>0</v>
      </c>
      <c r="L947" s="374">
        <v>0</v>
      </c>
      <c r="M947" s="374">
        <v>0</v>
      </c>
      <c r="N947" s="374">
        <v>0</v>
      </c>
      <c r="O947" s="374">
        <v>0</v>
      </c>
      <c r="P947" s="374">
        <v>0</v>
      </c>
      <c r="Q947" s="374">
        <v>0</v>
      </c>
      <c r="R947" s="374">
        <v>0</v>
      </c>
      <c r="S947" s="375">
        <v>0</v>
      </c>
      <c r="T947" s="375">
        <v>0</v>
      </c>
      <c r="U947" s="375">
        <v>0</v>
      </c>
      <c r="V947" s="380" t="e">
        <f t="shared" ca="1" si="102"/>
        <v>#NAME?</v>
      </c>
    </row>
    <row r="948" spans="1:22" ht="14.25" hidden="1" customHeight="1">
      <c r="A948" s="383" t="s">
        <v>1319</v>
      </c>
      <c r="B948" s="370" t="e">
        <f ca="1">_xludf.IFNA(VLOOKUP(Bolts!$A948,'Urban Plastix Holds'!$I$37:$L$708,4,0),0)</f>
        <v>#NAME?</v>
      </c>
      <c r="C948" s="384">
        <v>10</v>
      </c>
      <c r="D948" s="373">
        <v>0</v>
      </c>
      <c r="E948" s="373">
        <f ca="1">IFERROR(10*B948,0)</f>
        <v>0</v>
      </c>
      <c r="F948" s="374">
        <v>0</v>
      </c>
      <c r="G948" s="374">
        <v>0</v>
      </c>
      <c r="H948" s="374">
        <v>0</v>
      </c>
      <c r="I948" s="374">
        <v>0</v>
      </c>
      <c r="J948" s="374">
        <v>0</v>
      </c>
      <c r="K948" s="374">
        <v>0</v>
      </c>
      <c r="L948" s="374">
        <v>0</v>
      </c>
      <c r="M948" s="374">
        <v>0</v>
      </c>
      <c r="N948" s="374">
        <v>0</v>
      </c>
      <c r="O948" s="374">
        <v>0</v>
      </c>
      <c r="P948" s="374">
        <v>0</v>
      </c>
      <c r="Q948" s="374">
        <v>0</v>
      </c>
      <c r="R948" s="374">
        <v>0</v>
      </c>
      <c r="S948" s="375">
        <v>0</v>
      </c>
      <c r="T948" s="375">
        <v>0</v>
      </c>
      <c r="U948" s="375">
        <v>0</v>
      </c>
      <c r="V948" s="380" t="e">
        <f t="shared" ca="1" si="102"/>
        <v>#NAME?</v>
      </c>
    </row>
    <row r="949" spans="1:22" ht="14.25" hidden="1" customHeight="1">
      <c r="A949" s="383" t="s">
        <v>1321</v>
      </c>
      <c r="B949" s="370" t="e">
        <f ca="1">_xludf.IFNA(VLOOKUP(Bolts!$A949,'Urban Plastix Holds'!$I$37:$L$708,4,0),0)</f>
        <v>#NAME?</v>
      </c>
      <c r="C949" s="384">
        <v>10</v>
      </c>
      <c r="D949" s="373">
        <f ca="1">IFERROR(10*B949,0)</f>
        <v>0</v>
      </c>
      <c r="E949" s="373">
        <v>0</v>
      </c>
      <c r="F949" s="374">
        <v>0</v>
      </c>
      <c r="G949" s="374">
        <v>0</v>
      </c>
      <c r="H949" s="374">
        <v>0</v>
      </c>
      <c r="I949" s="374">
        <v>0</v>
      </c>
      <c r="J949" s="374">
        <v>0</v>
      </c>
      <c r="K949" s="374">
        <v>0</v>
      </c>
      <c r="L949" s="374">
        <v>0</v>
      </c>
      <c r="M949" s="374">
        <v>0</v>
      </c>
      <c r="N949" s="374">
        <v>0</v>
      </c>
      <c r="O949" s="374">
        <v>0</v>
      </c>
      <c r="P949" s="374">
        <v>0</v>
      </c>
      <c r="Q949" s="374">
        <v>0</v>
      </c>
      <c r="R949" s="374">
        <v>0</v>
      </c>
      <c r="S949" s="375">
        <v>0</v>
      </c>
      <c r="T949" s="375">
        <v>0</v>
      </c>
      <c r="U949" s="375">
        <v>0</v>
      </c>
      <c r="V949" s="380" t="e">
        <f t="shared" ca="1" si="102"/>
        <v>#NAME?</v>
      </c>
    </row>
    <row r="950" spans="1:22" ht="14.25" hidden="1" customHeight="1">
      <c r="A950" s="383" t="s">
        <v>1323</v>
      </c>
      <c r="B950" s="370" t="e">
        <f ca="1">_xludf.IFNA(VLOOKUP(Bolts!$A950,'Urban Plastix Holds'!$I$37:$L$708,4,0),0)</f>
        <v>#NAME?</v>
      </c>
      <c r="C950" s="384">
        <v>10</v>
      </c>
      <c r="D950" s="373">
        <f ca="1">IFERROR(8*B950,0)</f>
        <v>0</v>
      </c>
      <c r="E950" s="373">
        <f ca="1">IFERROR(2*B950,0)</f>
        <v>0</v>
      </c>
      <c r="F950" s="374">
        <v>0</v>
      </c>
      <c r="G950" s="374">
        <v>0</v>
      </c>
      <c r="H950" s="374">
        <v>0</v>
      </c>
      <c r="I950" s="374">
        <v>0</v>
      </c>
      <c r="J950" s="374">
        <v>0</v>
      </c>
      <c r="K950" s="374">
        <v>0</v>
      </c>
      <c r="L950" s="374">
        <v>0</v>
      </c>
      <c r="M950" s="374">
        <v>0</v>
      </c>
      <c r="N950" s="374">
        <v>0</v>
      </c>
      <c r="O950" s="374">
        <v>0</v>
      </c>
      <c r="P950" s="374">
        <v>0</v>
      </c>
      <c r="Q950" s="374">
        <v>0</v>
      </c>
      <c r="R950" s="374">
        <v>0</v>
      </c>
      <c r="S950" s="375">
        <v>0</v>
      </c>
      <c r="T950" s="375">
        <v>0</v>
      </c>
      <c r="U950" s="375">
        <v>0</v>
      </c>
      <c r="V950" s="380" t="e">
        <f t="shared" ca="1" si="102"/>
        <v>#NAME?</v>
      </c>
    </row>
    <row r="951" spans="1:22" ht="14.25" hidden="1" customHeight="1">
      <c r="A951" s="383" t="s">
        <v>1325</v>
      </c>
      <c r="B951" s="370" t="e">
        <f ca="1">_xludf.IFNA(VLOOKUP(Bolts!$A951,'Urban Plastix Holds'!$I$37:$L$708,4,0),0)</f>
        <v>#NAME?</v>
      </c>
      <c r="C951" s="384">
        <v>10</v>
      </c>
      <c r="D951" s="373">
        <f ca="1">IFERROR(3*B951,0)</f>
        <v>0</v>
      </c>
      <c r="E951" s="373">
        <f ca="1">IFERROR(7*B951,0)</f>
        <v>0</v>
      </c>
      <c r="F951" s="374">
        <v>0</v>
      </c>
      <c r="G951" s="374">
        <v>0</v>
      </c>
      <c r="H951" s="374">
        <v>0</v>
      </c>
      <c r="I951" s="374">
        <v>0</v>
      </c>
      <c r="J951" s="374">
        <v>0</v>
      </c>
      <c r="K951" s="374">
        <v>0</v>
      </c>
      <c r="L951" s="374">
        <v>0</v>
      </c>
      <c r="M951" s="374">
        <v>0</v>
      </c>
      <c r="N951" s="374">
        <v>0</v>
      </c>
      <c r="O951" s="374">
        <v>0</v>
      </c>
      <c r="P951" s="374">
        <v>0</v>
      </c>
      <c r="Q951" s="374">
        <v>0</v>
      </c>
      <c r="R951" s="374">
        <v>0</v>
      </c>
      <c r="S951" s="375">
        <v>0</v>
      </c>
      <c r="T951" s="375">
        <v>0</v>
      </c>
      <c r="U951" s="375">
        <v>0</v>
      </c>
      <c r="V951" s="380" t="e">
        <f t="shared" ca="1" si="102"/>
        <v>#NAME?</v>
      </c>
    </row>
    <row r="952" spans="1:22" ht="14.25" hidden="1" customHeight="1">
      <c r="A952" s="383" t="s">
        <v>1327</v>
      </c>
      <c r="B952" s="370" t="e">
        <f ca="1">_xludf.IFNA(VLOOKUP(Bolts!$A952,'Urban Plastix Holds'!$I$37:$L$708,4,0),0)</f>
        <v>#NAME?</v>
      </c>
      <c r="C952" s="384">
        <v>10</v>
      </c>
      <c r="D952" s="373">
        <f ca="1">IFERROR(4*B952,0)</f>
        <v>0</v>
      </c>
      <c r="E952" s="373">
        <f ca="1">IFERROR(6*B952,0)</f>
        <v>0</v>
      </c>
      <c r="F952" s="374">
        <v>0</v>
      </c>
      <c r="G952" s="374">
        <v>0</v>
      </c>
      <c r="H952" s="374">
        <v>0</v>
      </c>
      <c r="I952" s="374">
        <v>0</v>
      </c>
      <c r="J952" s="374">
        <v>0</v>
      </c>
      <c r="K952" s="374">
        <v>0</v>
      </c>
      <c r="L952" s="374">
        <v>0</v>
      </c>
      <c r="M952" s="374">
        <v>0</v>
      </c>
      <c r="N952" s="374">
        <v>0</v>
      </c>
      <c r="O952" s="374">
        <v>0</v>
      </c>
      <c r="P952" s="374">
        <v>0</v>
      </c>
      <c r="Q952" s="374">
        <v>0</v>
      </c>
      <c r="R952" s="374">
        <v>0</v>
      </c>
      <c r="S952" s="375">
        <v>0</v>
      </c>
      <c r="T952" s="375">
        <v>0</v>
      </c>
      <c r="U952" s="375">
        <v>0</v>
      </c>
      <c r="V952" s="380" t="e">
        <f t="shared" ca="1" si="102"/>
        <v>#NAME?</v>
      </c>
    </row>
    <row r="953" spans="1:22" ht="14.25" hidden="1" customHeight="1">
      <c r="A953" s="383" t="s">
        <v>1329</v>
      </c>
      <c r="B953" s="370" t="e">
        <f ca="1">_xludf.IFNA(VLOOKUP(Bolts!$A953,'Urban Plastix Holds'!$I$37:$L$708,4,0),0)</f>
        <v>#NAME?</v>
      </c>
      <c r="C953" s="384">
        <v>20</v>
      </c>
      <c r="D953" s="373">
        <f ca="1">IFERROR(20*B953,0)</f>
        <v>0</v>
      </c>
      <c r="E953" s="373">
        <v>0</v>
      </c>
      <c r="F953" s="374">
        <v>0</v>
      </c>
      <c r="G953" s="374">
        <v>0</v>
      </c>
      <c r="H953" s="374">
        <v>0</v>
      </c>
      <c r="I953" s="374">
        <v>0</v>
      </c>
      <c r="J953" s="374">
        <v>0</v>
      </c>
      <c r="K953" s="374">
        <v>0</v>
      </c>
      <c r="L953" s="374">
        <v>0</v>
      </c>
      <c r="M953" s="374">
        <v>0</v>
      </c>
      <c r="N953" s="374">
        <v>0</v>
      </c>
      <c r="O953" s="374">
        <v>0</v>
      </c>
      <c r="P953" s="374">
        <v>0</v>
      </c>
      <c r="Q953" s="374">
        <v>0</v>
      </c>
      <c r="R953" s="374">
        <v>0</v>
      </c>
      <c r="S953" s="375">
        <v>0</v>
      </c>
      <c r="T953" s="375">
        <v>0</v>
      </c>
      <c r="U953" s="375">
        <v>0</v>
      </c>
      <c r="V953" s="380" t="e">
        <f t="shared" ca="1" si="102"/>
        <v>#NAME?</v>
      </c>
    </row>
    <row r="954" spans="1:22" ht="14.25" hidden="1" customHeight="1">
      <c r="A954" s="383" t="s">
        <v>1340</v>
      </c>
      <c r="B954" s="370" t="e">
        <f ca="1">_xludf.IFNA(VLOOKUP(Bolts!$A954,'Urban Plastix Holds'!$I$37:$L$708,4,0),0)</f>
        <v>#NAME?</v>
      </c>
      <c r="C954" s="384">
        <v>1</v>
      </c>
      <c r="D954" s="373">
        <v>0</v>
      </c>
      <c r="E954" s="373">
        <v>0</v>
      </c>
      <c r="F954" s="374">
        <v>0</v>
      </c>
      <c r="G954" s="374">
        <v>0</v>
      </c>
      <c r="H954" s="374">
        <v>0</v>
      </c>
      <c r="I954" s="374">
        <v>0</v>
      </c>
      <c r="J954" s="374">
        <f ca="1">IFERROR(1*B954,0)</f>
        <v>0</v>
      </c>
      <c r="K954" s="374">
        <v>0</v>
      </c>
      <c r="L954" s="374">
        <v>0</v>
      </c>
      <c r="M954" s="374">
        <v>0</v>
      </c>
      <c r="N954" s="374">
        <v>0</v>
      </c>
      <c r="O954" s="374">
        <v>0</v>
      </c>
      <c r="P954" s="374">
        <v>0</v>
      </c>
      <c r="Q954" s="374">
        <v>0</v>
      </c>
      <c r="R954" s="374">
        <v>0</v>
      </c>
      <c r="S954" s="375">
        <v>0</v>
      </c>
      <c r="T954" s="375">
        <v>0</v>
      </c>
      <c r="U954" s="375">
        <v>0</v>
      </c>
      <c r="V954" s="380" t="e">
        <f t="shared" ca="1" si="102"/>
        <v>#NAME?</v>
      </c>
    </row>
    <row r="955" spans="1:22" ht="14.25" hidden="1" customHeight="1">
      <c r="A955" s="383" t="s">
        <v>1351</v>
      </c>
      <c r="B955" s="370" t="e">
        <f ca="1">_xludf.IFNA(VLOOKUP(Bolts!$A955,'Urban Plastix Holds'!$I$37:$L$708,4,0),0)</f>
        <v>#NAME?</v>
      </c>
      <c r="C955" s="384">
        <v>3</v>
      </c>
      <c r="D955" s="373">
        <v>0</v>
      </c>
      <c r="E955" s="373">
        <v>0</v>
      </c>
      <c r="F955" s="374">
        <v>0</v>
      </c>
      <c r="G955" s="374">
        <v>0</v>
      </c>
      <c r="H955" s="374">
        <v>0</v>
      </c>
      <c r="I955" s="374">
        <f ca="1">IFERROR(3*B954,0)</f>
        <v>0</v>
      </c>
      <c r="J955" s="374">
        <v>0</v>
      </c>
      <c r="K955" s="374">
        <v>0</v>
      </c>
      <c r="L955" s="374">
        <v>0</v>
      </c>
      <c r="M955" s="374">
        <v>0</v>
      </c>
      <c r="N955" s="374">
        <v>0</v>
      </c>
      <c r="O955" s="374">
        <v>0</v>
      </c>
      <c r="P955" s="374">
        <v>0</v>
      </c>
      <c r="Q955" s="374">
        <v>0</v>
      </c>
      <c r="R955" s="374">
        <v>0</v>
      </c>
      <c r="S955" s="375">
        <v>0</v>
      </c>
      <c r="T955" s="375">
        <v>0</v>
      </c>
      <c r="U955" s="375">
        <v>0</v>
      </c>
      <c r="V955" s="380" t="e">
        <f t="shared" ca="1" si="102"/>
        <v>#NAME?</v>
      </c>
    </row>
    <row r="956" spans="1:22" ht="14.25" hidden="1" customHeight="1">
      <c r="A956" s="383" t="s">
        <v>1354</v>
      </c>
      <c r="B956" s="370" t="e">
        <f ca="1">_xludf.IFNA(VLOOKUP(Bolts!$A956,'Urban Plastix Holds'!$I$37:$L$708,4,0),0)</f>
        <v>#NAME?</v>
      </c>
      <c r="C956" s="384">
        <v>5</v>
      </c>
      <c r="D956" s="373">
        <v>0</v>
      </c>
      <c r="E956" s="373">
        <v>0</v>
      </c>
      <c r="F956" s="374">
        <v>0</v>
      </c>
      <c r="G956" s="374">
        <v>0</v>
      </c>
      <c r="H956" s="374">
        <v>0</v>
      </c>
      <c r="I956" s="374">
        <f ca="1">IFERROR(5*B955,0)</f>
        <v>0</v>
      </c>
      <c r="J956" s="374">
        <v>0</v>
      </c>
      <c r="K956" s="374">
        <v>0</v>
      </c>
      <c r="L956" s="374">
        <v>0</v>
      </c>
      <c r="M956" s="374">
        <v>0</v>
      </c>
      <c r="N956" s="374">
        <v>0</v>
      </c>
      <c r="O956" s="374">
        <v>0</v>
      </c>
      <c r="P956" s="374">
        <v>0</v>
      </c>
      <c r="Q956" s="374">
        <v>0</v>
      </c>
      <c r="R956" s="374">
        <v>0</v>
      </c>
      <c r="S956" s="375">
        <v>0</v>
      </c>
      <c r="T956" s="375">
        <v>0</v>
      </c>
      <c r="U956" s="375">
        <v>0</v>
      </c>
      <c r="V956" s="380" t="e">
        <f t="shared" ca="1" si="102"/>
        <v>#NAME?</v>
      </c>
    </row>
    <row r="957" spans="1:22" ht="14.25" hidden="1" customHeight="1">
      <c r="A957" s="383" t="s">
        <v>1381</v>
      </c>
      <c r="B957" s="370" t="e">
        <f ca="1">_xludf.IFNA(VLOOKUP(Bolts!$A957,'Urban Plastix Holds'!$I$37:$L$708,4,0),0)</f>
        <v>#NAME?</v>
      </c>
      <c r="C957" s="384">
        <v>5</v>
      </c>
      <c r="D957" s="373">
        <v>0</v>
      </c>
      <c r="E957" s="373">
        <f t="shared" ref="E957:E958" ca="1" si="111">IFERROR(5*B957,0)</f>
        <v>0</v>
      </c>
      <c r="F957" s="374">
        <v>0</v>
      </c>
      <c r="G957" s="374">
        <v>0</v>
      </c>
      <c r="H957" s="374">
        <v>0</v>
      </c>
      <c r="I957" s="374">
        <v>0</v>
      </c>
      <c r="J957" s="374">
        <v>0</v>
      </c>
      <c r="K957" s="374">
        <v>0</v>
      </c>
      <c r="L957" s="374">
        <v>0</v>
      </c>
      <c r="M957" s="374">
        <v>0</v>
      </c>
      <c r="N957" s="374">
        <v>0</v>
      </c>
      <c r="O957" s="374">
        <v>0</v>
      </c>
      <c r="P957" s="374">
        <v>0</v>
      </c>
      <c r="Q957" s="374">
        <v>0</v>
      </c>
      <c r="R957" s="374">
        <v>0</v>
      </c>
      <c r="S957" s="375">
        <v>0</v>
      </c>
      <c r="T957" s="375">
        <v>0</v>
      </c>
      <c r="U957" s="375">
        <v>0</v>
      </c>
      <c r="V957" s="380" t="e">
        <f t="shared" ca="1" si="102"/>
        <v>#NAME?</v>
      </c>
    </row>
    <row r="958" spans="1:22" ht="14.25" hidden="1" customHeight="1">
      <c r="A958" s="383" t="s">
        <v>1384</v>
      </c>
      <c r="B958" s="370" t="e">
        <f ca="1">_xludf.IFNA(VLOOKUP(Bolts!$A958,'Urban Plastix Holds'!$I$37:$L$708,4,0),0)</f>
        <v>#NAME?</v>
      </c>
      <c r="C958" s="384">
        <v>5</v>
      </c>
      <c r="D958" s="373">
        <v>0</v>
      </c>
      <c r="E958" s="373">
        <f t="shared" ca="1" si="111"/>
        <v>0</v>
      </c>
      <c r="F958" s="374">
        <v>0</v>
      </c>
      <c r="G958" s="374">
        <v>0</v>
      </c>
      <c r="H958" s="374">
        <v>0</v>
      </c>
      <c r="I958" s="374">
        <v>0</v>
      </c>
      <c r="J958" s="374">
        <v>0</v>
      </c>
      <c r="K958" s="374">
        <v>0</v>
      </c>
      <c r="L958" s="374">
        <v>0</v>
      </c>
      <c r="M958" s="374">
        <v>0</v>
      </c>
      <c r="N958" s="374">
        <v>0</v>
      </c>
      <c r="O958" s="374">
        <v>0</v>
      </c>
      <c r="P958" s="374">
        <v>0</v>
      </c>
      <c r="Q958" s="374">
        <v>0</v>
      </c>
      <c r="R958" s="374">
        <v>0</v>
      </c>
      <c r="S958" s="375">
        <v>0</v>
      </c>
      <c r="T958" s="375">
        <v>0</v>
      </c>
      <c r="U958" s="375">
        <v>0</v>
      </c>
      <c r="V958" s="380" t="e">
        <f t="shared" ca="1" si="102"/>
        <v>#NAME?</v>
      </c>
    </row>
    <row r="959" spans="1:22" ht="14.25" hidden="1" customHeight="1">
      <c r="A959" s="383" t="s">
        <v>1403</v>
      </c>
      <c r="B959" s="370" t="e">
        <f ca="1">_xludf.IFNA(VLOOKUP(Bolts!$A959,'Urban Plastix Holds'!$I$37:$L$708,4,0),0)</f>
        <v>#NAME?</v>
      </c>
      <c r="C959" s="384">
        <v>10</v>
      </c>
      <c r="D959" s="373">
        <f t="shared" ref="D959:D962" ca="1" si="112">IFERROR(10*B959,0)</f>
        <v>0</v>
      </c>
      <c r="E959" s="373">
        <v>0</v>
      </c>
      <c r="F959" s="374">
        <v>0</v>
      </c>
      <c r="G959" s="374">
        <v>0</v>
      </c>
      <c r="H959" s="374">
        <v>0</v>
      </c>
      <c r="I959" s="374">
        <v>0</v>
      </c>
      <c r="J959" s="374">
        <v>0</v>
      </c>
      <c r="K959" s="374">
        <v>0</v>
      </c>
      <c r="L959" s="374">
        <v>0</v>
      </c>
      <c r="M959" s="374">
        <v>0</v>
      </c>
      <c r="N959" s="374">
        <v>0</v>
      </c>
      <c r="O959" s="374">
        <v>0</v>
      </c>
      <c r="P959" s="374">
        <v>0</v>
      </c>
      <c r="Q959" s="374">
        <v>0</v>
      </c>
      <c r="R959" s="374">
        <v>0</v>
      </c>
      <c r="S959" s="375">
        <v>0</v>
      </c>
      <c r="T959" s="375">
        <v>0</v>
      </c>
      <c r="U959" s="375">
        <v>0</v>
      </c>
      <c r="V959" s="380" t="e">
        <f t="shared" ca="1" si="102"/>
        <v>#NAME?</v>
      </c>
    </row>
    <row r="960" spans="1:22" ht="14.25" hidden="1" customHeight="1">
      <c r="A960" s="383" t="s">
        <v>1428</v>
      </c>
      <c r="B960" s="370" t="e">
        <f ca="1">_xludf.IFNA(VLOOKUP(Bolts!$A960,'Urban Plastix Holds'!$I$37:$L$708,4,0),0)</f>
        <v>#NAME?</v>
      </c>
      <c r="C960" s="384">
        <v>10</v>
      </c>
      <c r="D960" s="373">
        <f t="shared" ca="1" si="112"/>
        <v>0</v>
      </c>
      <c r="E960" s="373">
        <v>0</v>
      </c>
      <c r="F960" s="374">
        <v>0</v>
      </c>
      <c r="G960" s="374">
        <v>0</v>
      </c>
      <c r="H960" s="374">
        <v>0</v>
      </c>
      <c r="I960" s="374">
        <v>0</v>
      </c>
      <c r="J960" s="374">
        <v>0</v>
      </c>
      <c r="K960" s="374">
        <v>0</v>
      </c>
      <c r="L960" s="374">
        <v>0</v>
      </c>
      <c r="M960" s="374">
        <v>0</v>
      </c>
      <c r="N960" s="374">
        <v>0</v>
      </c>
      <c r="O960" s="374">
        <v>0</v>
      </c>
      <c r="P960" s="374">
        <v>0</v>
      </c>
      <c r="Q960" s="374">
        <v>0</v>
      </c>
      <c r="R960" s="374">
        <v>0</v>
      </c>
      <c r="S960" s="375">
        <v>0</v>
      </c>
      <c r="T960" s="375">
        <v>0</v>
      </c>
      <c r="U960" s="375">
        <v>0</v>
      </c>
      <c r="V960" s="380" t="e">
        <f t="shared" ca="1" si="102"/>
        <v>#NAME?</v>
      </c>
    </row>
    <row r="961" spans="1:22" ht="14.25" hidden="1" customHeight="1">
      <c r="A961" s="383" t="s">
        <v>1431</v>
      </c>
      <c r="B961" s="370" t="e">
        <f ca="1">_xludf.IFNA(VLOOKUP(Bolts!$A961,'Urban Plastix Holds'!$I$37:$L$708,4,0),0)</f>
        <v>#NAME?</v>
      </c>
      <c r="C961" s="384">
        <v>10</v>
      </c>
      <c r="D961" s="373">
        <f t="shared" ca="1" si="112"/>
        <v>0</v>
      </c>
      <c r="E961" s="373">
        <v>0</v>
      </c>
      <c r="F961" s="374">
        <v>0</v>
      </c>
      <c r="G961" s="374">
        <v>0</v>
      </c>
      <c r="H961" s="374">
        <v>0</v>
      </c>
      <c r="I961" s="374">
        <v>0</v>
      </c>
      <c r="J961" s="374">
        <v>0</v>
      </c>
      <c r="K961" s="374">
        <v>0</v>
      </c>
      <c r="L961" s="374">
        <v>0</v>
      </c>
      <c r="M961" s="374">
        <v>0</v>
      </c>
      <c r="N961" s="374">
        <v>0</v>
      </c>
      <c r="O961" s="374">
        <v>0</v>
      </c>
      <c r="P961" s="374">
        <v>0</v>
      </c>
      <c r="Q961" s="374">
        <v>0</v>
      </c>
      <c r="R961" s="374">
        <v>0</v>
      </c>
      <c r="S961" s="375">
        <v>0</v>
      </c>
      <c r="T961" s="375">
        <v>0</v>
      </c>
      <c r="U961" s="375">
        <v>0</v>
      </c>
      <c r="V961" s="380" t="e">
        <f t="shared" ca="1" si="102"/>
        <v>#NAME?</v>
      </c>
    </row>
    <row r="962" spans="1:22" ht="14.25" hidden="1" customHeight="1">
      <c r="A962" s="383" t="s">
        <v>1434</v>
      </c>
      <c r="B962" s="370" t="e">
        <f ca="1">_xludf.IFNA(VLOOKUP(Bolts!$A962,'Urban Plastix Holds'!$I$37:$L$708,4,0),0)</f>
        <v>#NAME?</v>
      </c>
      <c r="C962" s="384">
        <v>10</v>
      </c>
      <c r="D962" s="373">
        <f t="shared" ca="1" si="112"/>
        <v>0</v>
      </c>
      <c r="E962" s="373">
        <v>0</v>
      </c>
      <c r="F962" s="374">
        <v>0</v>
      </c>
      <c r="G962" s="374">
        <v>0</v>
      </c>
      <c r="H962" s="374">
        <v>0</v>
      </c>
      <c r="I962" s="374">
        <v>0</v>
      </c>
      <c r="J962" s="374">
        <v>0</v>
      </c>
      <c r="K962" s="374">
        <v>0</v>
      </c>
      <c r="L962" s="374">
        <v>0</v>
      </c>
      <c r="M962" s="374">
        <v>0</v>
      </c>
      <c r="N962" s="374">
        <v>0</v>
      </c>
      <c r="O962" s="374">
        <v>0</v>
      </c>
      <c r="P962" s="374">
        <v>0</v>
      </c>
      <c r="Q962" s="374">
        <v>0</v>
      </c>
      <c r="R962" s="374">
        <v>0</v>
      </c>
      <c r="S962" s="375">
        <v>0</v>
      </c>
      <c r="T962" s="375">
        <v>0</v>
      </c>
      <c r="U962" s="375">
        <v>0</v>
      </c>
      <c r="V962" s="380" t="e">
        <f t="shared" ca="1" si="102"/>
        <v>#NAME?</v>
      </c>
    </row>
    <row r="963" spans="1:22" ht="14.25" hidden="1" customHeight="1">
      <c r="A963" s="383" t="s">
        <v>1448</v>
      </c>
      <c r="B963" s="370" t="e">
        <f ca="1">_xludf.IFNA(VLOOKUP(Bolts!$A963,'Urban Plastix Holds'!$I$37:$L$708,4,0),0)</f>
        <v>#NAME?</v>
      </c>
      <c r="C963" s="384">
        <v>1</v>
      </c>
      <c r="D963" s="373">
        <v>0</v>
      </c>
      <c r="E963" s="373">
        <v>0</v>
      </c>
      <c r="F963" s="374">
        <v>0</v>
      </c>
      <c r="G963" s="374">
        <v>0</v>
      </c>
      <c r="H963" s="374">
        <v>0</v>
      </c>
      <c r="I963" s="374">
        <v>0</v>
      </c>
      <c r="J963" s="374">
        <f t="shared" ref="J963:J965" ca="1" si="113">IFERROR(1*B963,0)</f>
        <v>0</v>
      </c>
      <c r="K963" s="374">
        <v>0</v>
      </c>
      <c r="L963" s="374">
        <v>0</v>
      </c>
      <c r="M963" s="374">
        <v>0</v>
      </c>
      <c r="N963" s="374">
        <v>0</v>
      </c>
      <c r="O963" s="374">
        <v>0</v>
      </c>
      <c r="P963" s="374">
        <v>0</v>
      </c>
      <c r="Q963" s="374">
        <v>0</v>
      </c>
      <c r="R963" s="374">
        <v>0</v>
      </c>
      <c r="S963" s="375">
        <v>0</v>
      </c>
      <c r="T963" s="375">
        <v>0</v>
      </c>
      <c r="U963" s="375">
        <v>0</v>
      </c>
      <c r="V963" s="380" t="e">
        <f t="shared" ca="1" si="102"/>
        <v>#NAME?</v>
      </c>
    </row>
    <row r="964" spans="1:22" ht="14.25" hidden="1" customHeight="1">
      <c r="A964" s="383" t="s">
        <v>1451</v>
      </c>
      <c r="B964" s="370" t="e">
        <f ca="1">_xludf.IFNA(VLOOKUP(Bolts!$A964,'Urban Plastix Holds'!$I$37:$L$708,4,0),0)</f>
        <v>#NAME?</v>
      </c>
      <c r="C964" s="384">
        <v>1</v>
      </c>
      <c r="D964" s="373">
        <v>0</v>
      </c>
      <c r="E964" s="373">
        <v>0</v>
      </c>
      <c r="F964" s="374">
        <v>0</v>
      </c>
      <c r="G964" s="374">
        <v>0</v>
      </c>
      <c r="H964" s="374">
        <v>0</v>
      </c>
      <c r="I964" s="374">
        <v>0</v>
      </c>
      <c r="J964" s="374">
        <f t="shared" ca="1" si="113"/>
        <v>0</v>
      </c>
      <c r="K964" s="374">
        <v>0</v>
      </c>
      <c r="L964" s="374">
        <v>0</v>
      </c>
      <c r="M964" s="374">
        <v>0</v>
      </c>
      <c r="N964" s="374">
        <v>0</v>
      </c>
      <c r="O964" s="374">
        <v>0</v>
      </c>
      <c r="P964" s="374">
        <v>0</v>
      </c>
      <c r="Q964" s="374">
        <v>0</v>
      </c>
      <c r="R964" s="374">
        <v>0</v>
      </c>
      <c r="S964" s="375">
        <v>0</v>
      </c>
      <c r="T964" s="375">
        <v>0</v>
      </c>
      <c r="U964" s="375">
        <v>0</v>
      </c>
      <c r="V964" s="380" t="e">
        <f t="shared" ca="1" si="102"/>
        <v>#NAME?</v>
      </c>
    </row>
    <row r="965" spans="1:22" ht="14.25" hidden="1" customHeight="1">
      <c r="A965" s="383" t="s">
        <v>1454</v>
      </c>
      <c r="B965" s="370" t="e">
        <f ca="1">_xludf.IFNA(VLOOKUP(Bolts!$A965,'Urban Plastix Holds'!$I$37:$L$708,4,0),0)</f>
        <v>#NAME?</v>
      </c>
      <c r="C965" s="384">
        <v>1</v>
      </c>
      <c r="D965" s="373">
        <v>0</v>
      </c>
      <c r="E965" s="373">
        <v>0</v>
      </c>
      <c r="F965" s="374">
        <v>0</v>
      </c>
      <c r="G965" s="374">
        <v>0</v>
      </c>
      <c r="H965" s="374">
        <v>0</v>
      </c>
      <c r="I965" s="374">
        <v>0</v>
      </c>
      <c r="J965" s="374">
        <f t="shared" ca="1" si="113"/>
        <v>0</v>
      </c>
      <c r="K965" s="374">
        <v>0</v>
      </c>
      <c r="L965" s="374">
        <v>0</v>
      </c>
      <c r="M965" s="374">
        <v>0</v>
      </c>
      <c r="N965" s="374">
        <v>0</v>
      </c>
      <c r="O965" s="374">
        <v>0</v>
      </c>
      <c r="P965" s="374">
        <v>0</v>
      </c>
      <c r="Q965" s="374">
        <v>0</v>
      </c>
      <c r="R965" s="374">
        <v>0</v>
      </c>
      <c r="S965" s="375">
        <v>0</v>
      </c>
      <c r="T965" s="375">
        <v>0</v>
      </c>
      <c r="U965" s="375">
        <v>0</v>
      </c>
      <c r="V965" s="380" t="e">
        <f t="shared" ca="1" si="102"/>
        <v>#NAME?</v>
      </c>
    </row>
    <row r="966" spans="1:22" ht="14.25" hidden="1" customHeight="1">
      <c r="A966" s="383" t="s">
        <v>1457</v>
      </c>
      <c r="B966" s="370" t="e">
        <f ca="1">_xludf.IFNA(VLOOKUP(Bolts!$A966,'Urban Plastix Holds'!$I$37:$L$708,4,0),0)</f>
        <v>#NAME?</v>
      </c>
      <c r="C966" s="384">
        <v>3</v>
      </c>
      <c r="D966" s="373">
        <v>0</v>
      </c>
      <c r="E966" s="373">
        <v>0</v>
      </c>
      <c r="F966" s="374">
        <v>0</v>
      </c>
      <c r="G966" s="374">
        <v>0</v>
      </c>
      <c r="H966" s="374">
        <v>0</v>
      </c>
      <c r="I966" s="374">
        <f ca="1">IFERROR(3*B966,0)</f>
        <v>0</v>
      </c>
      <c r="J966" s="374">
        <v>0</v>
      </c>
      <c r="K966" s="374">
        <v>0</v>
      </c>
      <c r="L966" s="374">
        <v>0</v>
      </c>
      <c r="M966" s="374">
        <v>0</v>
      </c>
      <c r="N966" s="374">
        <v>0</v>
      </c>
      <c r="O966" s="374">
        <v>0</v>
      </c>
      <c r="P966" s="374">
        <v>0</v>
      </c>
      <c r="Q966" s="374">
        <v>0</v>
      </c>
      <c r="R966" s="374">
        <v>0</v>
      </c>
      <c r="S966" s="375">
        <v>0</v>
      </c>
      <c r="T966" s="375">
        <v>0</v>
      </c>
      <c r="U966" s="375">
        <v>0</v>
      </c>
      <c r="V966" s="380" t="e">
        <f t="shared" ca="1" si="102"/>
        <v>#NAME?</v>
      </c>
    </row>
    <row r="967" spans="1:22" ht="14.25" hidden="1" customHeight="1">
      <c r="A967" s="383" t="s">
        <v>1460</v>
      </c>
      <c r="B967" s="370" t="e">
        <f ca="1">_xludf.IFNA(VLOOKUP(Bolts!$A967,'Urban Plastix Holds'!$I$37:$L$708,4,0),0)</f>
        <v>#NAME?</v>
      </c>
      <c r="C967" s="384">
        <v>7</v>
      </c>
      <c r="D967" s="373">
        <v>0</v>
      </c>
      <c r="E967" s="373">
        <v>0</v>
      </c>
      <c r="F967" s="374">
        <v>0</v>
      </c>
      <c r="G967" s="374">
        <v>0</v>
      </c>
      <c r="H967" s="374">
        <f t="shared" ref="H967:H968" ca="1" si="114">IFERROR(7*B967,0)</f>
        <v>0</v>
      </c>
      <c r="I967" s="374">
        <v>0</v>
      </c>
      <c r="J967" s="374">
        <v>0</v>
      </c>
      <c r="K967" s="374">
        <v>0</v>
      </c>
      <c r="L967" s="374">
        <v>0</v>
      </c>
      <c r="M967" s="374">
        <v>0</v>
      </c>
      <c r="N967" s="374">
        <v>0</v>
      </c>
      <c r="O967" s="374">
        <v>0</v>
      </c>
      <c r="P967" s="374">
        <v>0</v>
      </c>
      <c r="Q967" s="374">
        <v>0</v>
      </c>
      <c r="R967" s="374">
        <v>0</v>
      </c>
      <c r="S967" s="375">
        <v>0</v>
      </c>
      <c r="T967" s="375">
        <v>0</v>
      </c>
      <c r="U967" s="375">
        <v>0</v>
      </c>
      <c r="V967" s="380" t="e">
        <f t="shared" ca="1" si="102"/>
        <v>#NAME?</v>
      </c>
    </row>
    <row r="968" spans="1:22" ht="14.25" hidden="1" customHeight="1">
      <c r="A968" s="383" t="s">
        <v>1463</v>
      </c>
      <c r="B968" s="370" t="e">
        <f ca="1">_xludf.IFNA(VLOOKUP(Bolts!$A968,'Urban Plastix Holds'!$I$37:$L$708,4,0),0)</f>
        <v>#NAME?</v>
      </c>
      <c r="C968" s="384">
        <v>7</v>
      </c>
      <c r="D968" s="373">
        <v>0</v>
      </c>
      <c r="E968" s="373">
        <v>0</v>
      </c>
      <c r="F968" s="374">
        <v>0</v>
      </c>
      <c r="G968" s="374">
        <v>0</v>
      </c>
      <c r="H968" s="374">
        <f t="shared" ca="1" si="114"/>
        <v>0</v>
      </c>
      <c r="I968" s="374">
        <v>0</v>
      </c>
      <c r="J968" s="374">
        <v>0</v>
      </c>
      <c r="K968" s="374">
        <v>0</v>
      </c>
      <c r="L968" s="374">
        <v>0</v>
      </c>
      <c r="M968" s="374">
        <v>0</v>
      </c>
      <c r="N968" s="374">
        <v>0</v>
      </c>
      <c r="O968" s="374">
        <v>0</v>
      </c>
      <c r="P968" s="374">
        <v>0</v>
      </c>
      <c r="Q968" s="374">
        <v>0</v>
      </c>
      <c r="R968" s="374">
        <v>0</v>
      </c>
      <c r="S968" s="375">
        <v>0</v>
      </c>
      <c r="T968" s="375">
        <v>0</v>
      </c>
      <c r="U968" s="375">
        <v>0</v>
      </c>
      <c r="V968" s="380" t="e">
        <f t="shared" ca="1" si="102"/>
        <v>#NAME?</v>
      </c>
    </row>
    <row r="969" spans="1:22" ht="14.25" hidden="1" customHeight="1">
      <c r="A969" s="383" t="s">
        <v>1466</v>
      </c>
      <c r="B969" s="370" t="e">
        <f ca="1">_xludf.IFNA(VLOOKUP(Bolts!$A969,'Urban Plastix Holds'!$I$37:$L$708,4,0),0)</f>
        <v>#NAME?</v>
      </c>
      <c r="C969" s="384">
        <v>7</v>
      </c>
      <c r="D969" s="373">
        <v>0</v>
      </c>
      <c r="E969" s="373">
        <v>0</v>
      </c>
      <c r="F969" s="374">
        <f ca="1">IFERROR(7*B969,0)</f>
        <v>0</v>
      </c>
      <c r="G969" s="374">
        <v>0</v>
      </c>
      <c r="H969" s="374">
        <v>0</v>
      </c>
      <c r="I969" s="374">
        <v>0</v>
      </c>
      <c r="J969" s="374">
        <v>0</v>
      </c>
      <c r="K969" s="374">
        <v>0</v>
      </c>
      <c r="L969" s="374">
        <v>0</v>
      </c>
      <c r="M969" s="374">
        <v>0</v>
      </c>
      <c r="N969" s="374">
        <v>0</v>
      </c>
      <c r="O969" s="374">
        <v>0</v>
      </c>
      <c r="P969" s="374">
        <v>0</v>
      </c>
      <c r="Q969" s="374">
        <v>0</v>
      </c>
      <c r="R969" s="374">
        <v>0</v>
      </c>
      <c r="S969" s="375">
        <v>0</v>
      </c>
      <c r="T969" s="375">
        <v>0</v>
      </c>
      <c r="U969" s="375">
        <v>0</v>
      </c>
      <c r="V969" s="380" t="e">
        <f t="shared" ca="1" si="102"/>
        <v>#NAME?</v>
      </c>
    </row>
    <row r="970" spans="1:22" ht="14.25" hidden="1" customHeight="1">
      <c r="A970" s="383" t="s">
        <v>1468</v>
      </c>
      <c r="B970" s="370" t="e">
        <f ca="1">_xludf.IFNA(VLOOKUP(Bolts!$A970,'Urban Plastix Holds'!$I$37:$L$708,4,0),0)</f>
        <v>#NAME?</v>
      </c>
      <c r="C970" s="384">
        <v>5</v>
      </c>
      <c r="D970" s="373">
        <v>0</v>
      </c>
      <c r="E970" s="373">
        <v>0</v>
      </c>
      <c r="F970" s="374">
        <f ca="1">IFERROR(5*B970,0)</f>
        <v>0</v>
      </c>
      <c r="G970" s="374">
        <v>0</v>
      </c>
      <c r="H970" s="374">
        <v>0</v>
      </c>
      <c r="I970" s="374">
        <v>0</v>
      </c>
      <c r="J970" s="374">
        <v>0</v>
      </c>
      <c r="K970" s="374">
        <v>0</v>
      </c>
      <c r="L970" s="374">
        <v>0</v>
      </c>
      <c r="M970" s="374">
        <v>0</v>
      </c>
      <c r="N970" s="374">
        <v>0</v>
      </c>
      <c r="O970" s="374">
        <v>0</v>
      </c>
      <c r="P970" s="374">
        <v>0</v>
      </c>
      <c r="Q970" s="374">
        <v>0</v>
      </c>
      <c r="R970" s="374">
        <v>0</v>
      </c>
      <c r="S970" s="375">
        <v>0</v>
      </c>
      <c r="T970" s="375">
        <v>0</v>
      </c>
      <c r="U970" s="375">
        <v>0</v>
      </c>
      <c r="V970" s="380" t="e">
        <f t="shared" ca="1" si="102"/>
        <v>#NAME?</v>
      </c>
    </row>
    <row r="971" spans="1:22" ht="14.25" hidden="1" customHeight="1">
      <c r="A971" s="383" t="s">
        <v>1471</v>
      </c>
      <c r="B971" s="370" t="e">
        <f ca="1">_xludf.IFNA(VLOOKUP(Bolts!$A971,'Urban Plastix Holds'!$I$37:$L$708,4,0),0)</f>
        <v>#NAME?</v>
      </c>
      <c r="C971" s="384">
        <v>5</v>
      </c>
      <c r="D971" s="373">
        <f ca="1">IFERROR(5*B971,0)</f>
        <v>0</v>
      </c>
      <c r="E971" s="373">
        <v>0</v>
      </c>
      <c r="F971" s="374">
        <v>0</v>
      </c>
      <c r="G971" s="374">
        <v>0</v>
      </c>
      <c r="H971" s="374">
        <v>0</v>
      </c>
      <c r="I971" s="374">
        <v>0</v>
      </c>
      <c r="J971" s="374">
        <v>0</v>
      </c>
      <c r="K971" s="374">
        <v>0</v>
      </c>
      <c r="L971" s="374">
        <v>0</v>
      </c>
      <c r="M971" s="374">
        <v>0</v>
      </c>
      <c r="N971" s="374">
        <v>0</v>
      </c>
      <c r="O971" s="374">
        <v>0</v>
      </c>
      <c r="P971" s="374">
        <v>0</v>
      </c>
      <c r="Q971" s="374">
        <v>0</v>
      </c>
      <c r="R971" s="374">
        <v>0</v>
      </c>
      <c r="S971" s="375">
        <v>0</v>
      </c>
      <c r="T971" s="375">
        <v>0</v>
      </c>
      <c r="U971" s="375">
        <v>0</v>
      </c>
      <c r="V971" s="380" t="e">
        <f t="shared" ca="1" si="102"/>
        <v>#NAME?</v>
      </c>
    </row>
    <row r="972" spans="1:22" ht="14.25" hidden="1" customHeight="1">
      <c r="A972" s="383" t="s">
        <v>1474</v>
      </c>
      <c r="B972" s="370" t="e">
        <f ca="1">_xludf.IFNA(VLOOKUP(Bolts!$A972,'Urban Plastix Holds'!$I$37:$L$708,4,0),0)</f>
        <v>#NAME?</v>
      </c>
      <c r="C972" s="384">
        <v>6</v>
      </c>
      <c r="D972" s="373">
        <f ca="1">IFERROR(6*B972,0)</f>
        <v>0</v>
      </c>
      <c r="E972" s="373">
        <v>0</v>
      </c>
      <c r="F972" s="374">
        <v>0</v>
      </c>
      <c r="G972" s="374">
        <v>0</v>
      </c>
      <c r="H972" s="374">
        <v>0</v>
      </c>
      <c r="I972" s="374">
        <v>0</v>
      </c>
      <c r="J972" s="374">
        <v>0</v>
      </c>
      <c r="K972" s="374">
        <v>0</v>
      </c>
      <c r="L972" s="374">
        <v>0</v>
      </c>
      <c r="M972" s="374">
        <v>0</v>
      </c>
      <c r="N972" s="374">
        <v>0</v>
      </c>
      <c r="O972" s="374">
        <v>0</v>
      </c>
      <c r="P972" s="374">
        <v>0</v>
      </c>
      <c r="Q972" s="374">
        <v>0</v>
      </c>
      <c r="R972" s="374">
        <v>0</v>
      </c>
      <c r="S972" s="375">
        <v>0</v>
      </c>
      <c r="T972" s="375">
        <v>0</v>
      </c>
      <c r="U972" s="375">
        <v>0</v>
      </c>
      <c r="V972" s="380" t="e">
        <f t="shared" ca="1" si="102"/>
        <v>#NAME?</v>
      </c>
    </row>
    <row r="973" spans="1:22" ht="14.25" hidden="1" customHeight="1">
      <c r="A973" s="383" t="s">
        <v>1477</v>
      </c>
      <c r="B973" s="370" t="e">
        <f ca="1">_xludf.IFNA(VLOOKUP(Bolts!$A973,'Urban Plastix Holds'!$I$37:$L$708,4,0),0)</f>
        <v>#NAME?</v>
      </c>
      <c r="C973" s="384">
        <v>1</v>
      </c>
      <c r="D973" s="373">
        <v>0</v>
      </c>
      <c r="E973" s="373">
        <v>0</v>
      </c>
      <c r="F973" s="374">
        <v>0</v>
      </c>
      <c r="G973" s="374">
        <v>0</v>
      </c>
      <c r="H973" s="374">
        <v>0</v>
      </c>
      <c r="I973" s="374">
        <v>0</v>
      </c>
      <c r="J973" s="374">
        <v>0</v>
      </c>
      <c r="K973" s="374">
        <f ca="1">IFERROR(1*B973,0)</f>
        <v>0</v>
      </c>
      <c r="L973" s="374">
        <v>0</v>
      </c>
      <c r="M973" s="374">
        <v>0</v>
      </c>
      <c r="N973" s="374">
        <v>0</v>
      </c>
      <c r="O973" s="374">
        <v>0</v>
      </c>
      <c r="P973" s="374">
        <v>0</v>
      </c>
      <c r="Q973" s="374">
        <v>0</v>
      </c>
      <c r="R973" s="374">
        <v>0</v>
      </c>
      <c r="S973" s="375">
        <v>0</v>
      </c>
      <c r="T973" s="375">
        <v>0</v>
      </c>
      <c r="U973" s="375">
        <v>0</v>
      </c>
      <c r="V973" s="380" t="e">
        <f t="shared" ca="1" si="102"/>
        <v>#NAME?</v>
      </c>
    </row>
    <row r="974" spans="1:22" ht="14.25" hidden="1" customHeight="1">
      <c r="A974" s="383" t="s">
        <v>1479</v>
      </c>
      <c r="B974" s="370" t="e">
        <f ca="1">_xludf.IFNA(VLOOKUP(Bolts!$A974,'Urban Plastix Holds'!$I$37:$L$708,4,0),0)</f>
        <v>#NAME?</v>
      </c>
      <c r="C974" s="384">
        <v>3</v>
      </c>
      <c r="D974" s="373">
        <v>0</v>
      </c>
      <c r="E974" s="373">
        <v>0</v>
      </c>
      <c r="F974" s="374">
        <v>0</v>
      </c>
      <c r="G974" s="374">
        <v>0</v>
      </c>
      <c r="H974" s="374">
        <v>0</v>
      </c>
      <c r="I974" s="374">
        <v>0</v>
      </c>
      <c r="J974" s="374">
        <f ca="1">IFERROR(3*B974,0)</f>
        <v>0</v>
      </c>
      <c r="K974" s="374">
        <v>0</v>
      </c>
      <c r="L974" s="374">
        <v>0</v>
      </c>
      <c r="M974" s="374">
        <v>0</v>
      </c>
      <c r="N974" s="374">
        <v>0</v>
      </c>
      <c r="O974" s="374">
        <v>0</v>
      </c>
      <c r="P974" s="374">
        <v>0</v>
      </c>
      <c r="Q974" s="374">
        <v>0</v>
      </c>
      <c r="R974" s="374">
        <v>0</v>
      </c>
      <c r="S974" s="375">
        <v>0</v>
      </c>
      <c r="T974" s="375">
        <v>0</v>
      </c>
      <c r="U974" s="375">
        <v>0</v>
      </c>
      <c r="V974" s="380" t="e">
        <f t="shared" ca="1" si="102"/>
        <v>#NAME?</v>
      </c>
    </row>
    <row r="975" spans="1:22" ht="14.25" hidden="1" customHeight="1">
      <c r="A975" s="383" t="s">
        <v>1482</v>
      </c>
      <c r="B975" s="370" t="e">
        <f ca="1">_xludf.IFNA(VLOOKUP(Bolts!$A975,'Urban Plastix Holds'!$I$37:$L$708,4,0),0)</f>
        <v>#NAME?</v>
      </c>
      <c r="C975" s="384">
        <v>5</v>
      </c>
      <c r="D975" s="373">
        <v>0</v>
      </c>
      <c r="E975" s="373">
        <v>0</v>
      </c>
      <c r="F975" s="374">
        <v>0</v>
      </c>
      <c r="G975" s="374">
        <v>0</v>
      </c>
      <c r="H975" s="374">
        <v>0</v>
      </c>
      <c r="I975" s="374">
        <v>0</v>
      </c>
      <c r="J975" s="374">
        <f ca="1">IFERROR(5*B975,0)</f>
        <v>0</v>
      </c>
      <c r="K975" s="374">
        <v>0</v>
      </c>
      <c r="L975" s="374">
        <v>0</v>
      </c>
      <c r="M975" s="374">
        <v>0</v>
      </c>
      <c r="N975" s="374">
        <v>0</v>
      </c>
      <c r="O975" s="374">
        <v>0</v>
      </c>
      <c r="P975" s="374">
        <v>0</v>
      </c>
      <c r="Q975" s="374">
        <v>0</v>
      </c>
      <c r="R975" s="374">
        <v>0</v>
      </c>
      <c r="S975" s="375">
        <v>0</v>
      </c>
      <c r="T975" s="375">
        <v>0</v>
      </c>
      <c r="U975" s="375">
        <v>0</v>
      </c>
      <c r="V975" s="380" t="e">
        <f t="shared" ca="1" si="102"/>
        <v>#NAME?</v>
      </c>
    </row>
    <row r="976" spans="1:22" ht="14.25" hidden="1" customHeight="1">
      <c r="A976" s="383" t="s">
        <v>1502</v>
      </c>
      <c r="B976" s="370" t="e">
        <f ca="1">_xludf.IFNA(VLOOKUP(Bolts!$A976,'Urban Plastix Holds'!$I$37:$L$708,4,0),0)</f>
        <v>#NAME?</v>
      </c>
      <c r="C976" s="384">
        <v>5</v>
      </c>
      <c r="D976" s="373">
        <v>0</v>
      </c>
      <c r="E976" s="373">
        <v>0</v>
      </c>
      <c r="F976" s="374">
        <v>0</v>
      </c>
      <c r="G976" s="374">
        <v>0</v>
      </c>
      <c r="H976" s="374">
        <f ca="1">IFERROR(Bolts!$C976*B976,0)</f>
        <v>0</v>
      </c>
      <c r="I976" s="374">
        <v>0</v>
      </c>
      <c r="J976" s="374">
        <v>0</v>
      </c>
      <c r="K976" s="374">
        <v>0</v>
      </c>
      <c r="L976" s="374">
        <v>0</v>
      </c>
      <c r="M976" s="374">
        <v>0</v>
      </c>
      <c r="N976" s="374">
        <v>0</v>
      </c>
      <c r="O976" s="374">
        <v>0</v>
      </c>
      <c r="P976" s="374">
        <v>0</v>
      </c>
      <c r="Q976" s="374">
        <v>0</v>
      </c>
      <c r="R976" s="374">
        <v>0</v>
      </c>
      <c r="S976" s="375">
        <v>0</v>
      </c>
      <c r="T976" s="375">
        <v>0</v>
      </c>
      <c r="U976" s="375">
        <v>0</v>
      </c>
      <c r="V976" s="380" t="e">
        <f t="shared" ca="1" si="102"/>
        <v>#NAME?</v>
      </c>
    </row>
    <row r="977" spans="1:22" ht="14.25" hidden="1" customHeight="1">
      <c r="A977" s="383" t="s">
        <v>1505</v>
      </c>
      <c r="B977" s="370" t="e">
        <f ca="1">_xludf.IFNA(VLOOKUP(Bolts!$A977,'Urban Plastix Holds'!$I$37:$L$708,4,0),0)</f>
        <v>#NAME?</v>
      </c>
      <c r="C977" s="384">
        <v>5</v>
      </c>
      <c r="D977" s="373">
        <v>0</v>
      </c>
      <c r="E977" s="373">
        <v>0</v>
      </c>
      <c r="F977" s="374">
        <v>0</v>
      </c>
      <c r="G977" s="374">
        <v>0</v>
      </c>
      <c r="H977" s="374">
        <f ca="1">IFERROR(Bolts!$C977*B977,0)</f>
        <v>0</v>
      </c>
      <c r="I977" s="374">
        <v>0</v>
      </c>
      <c r="J977" s="374">
        <v>0</v>
      </c>
      <c r="K977" s="374">
        <v>0</v>
      </c>
      <c r="L977" s="374">
        <v>0</v>
      </c>
      <c r="M977" s="374">
        <v>0</v>
      </c>
      <c r="N977" s="374">
        <v>0</v>
      </c>
      <c r="O977" s="374">
        <v>0</v>
      </c>
      <c r="P977" s="374">
        <v>0</v>
      </c>
      <c r="Q977" s="374">
        <v>0</v>
      </c>
      <c r="R977" s="374">
        <v>0</v>
      </c>
      <c r="S977" s="375">
        <v>0</v>
      </c>
      <c r="T977" s="375">
        <v>0</v>
      </c>
      <c r="U977" s="375">
        <v>0</v>
      </c>
      <c r="V977" s="380" t="e">
        <f t="shared" ca="1" si="102"/>
        <v>#NAME?</v>
      </c>
    </row>
    <row r="978" spans="1:22" ht="14.25" hidden="1" customHeight="1">
      <c r="A978" s="383" t="s">
        <v>1514</v>
      </c>
      <c r="B978" s="370" t="e">
        <f ca="1">_xludf.IFNA(VLOOKUP(Bolts!$A978,'Urban Plastix Holds'!$I$37:$L$708,4,0),0)</f>
        <v>#NAME?</v>
      </c>
      <c r="C978" s="384">
        <v>5</v>
      </c>
      <c r="D978" s="373">
        <v>0</v>
      </c>
      <c r="E978" s="373">
        <f ca="1">IFERROR(Bolts!$C978*B978,0)</f>
        <v>0</v>
      </c>
      <c r="F978" s="374">
        <v>0</v>
      </c>
      <c r="G978" s="374">
        <v>0</v>
      </c>
      <c r="H978" s="374">
        <v>0</v>
      </c>
      <c r="I978" s="374">
        <v>0</v>
      </c>
      <c r="J978" s="374">
        <v>0</v>
      </c>
      <c r="K978" s="374">
        <v>0</v>
      </c>
      <c r="L978" s="374">
        <v>0</v>
      </c>
      <c r="M978" s="374">
        <v>0</v>
      </c>
      <c r="N978" s="374">
        <v>0</v>
      </c>
      <c r="O978" s="374">
        <v>0</v>
      </c>
      <c r="P978" s="374">
        <v>0</v>
      </c>
      <c r="Q978" s="374">
        <v>0</v>
      </c>
      <c r="R978" s="374">
        <v>0</v>
      </c>
      <c r="S978" s="375">
        <v>0</v>
      </c>
      <c r="T978" s="375">
        <v>0</v>
      </c>
      <c r="U978" s="375">
        <v>0</v>
      </c>
      <c r="V978" s="380" t="e">
        <f t="shared" ca="1" si="102"/>
        <v>#NAME?</v>
      </c>
    </row>
    <row r="979" spans="1:22" ht="14.25" hidden="1" customHeight="1">
      <c r="A979" s="383" t="s">
        <v>1521</v>
      </c>
      <c r="B979" s="370" t="e">
        <f ca="1">_xludf.IFNA(VLOOKUP(Bolts!$A979,'Urban Plastix Holds'!$I$37:$L$708,4,0),0)</f>
        <v>#NAME?</v>
      </c>
      <c r="C979" s="384">
        <v>10</v>
      </c>
      <c r="D979" s="373">
        <f ca="1">IFERROR(Bolts!$C979*B979,0)</f>
        <v>0</v>
      </c>
      <c r="E979" s="373">
        <v>0</v>
      </c>
      <c r="F979" s="374">
        <v>0</v>
      </c>
      <c r="G979" s="374">
        <v>0</v>
      </c>
      <c r="H979" s="374">
        <v>0</v>
      </c>
      <c r="I979" s="374">
        <v>0</v>
      </c>
      <c r="J979" s="374">
        <v>0</v>
      </c>
      <c r="K979" s="374">
        <v>0</v>
      </c>
      <c r="L979" s="374">
        <v>0</v>
      </c>
      <c r="M979" s="374">
        <v>0</v>
      </c>
      <c r="N979" s="374">
        <v>0</v>
      </c>
      <c r="O979" s="374">
        <v>0</v>
      </c>
      <c r="P979" s="374">
        <v>0</v>
      </c>
      <c r="Q979" s="374">
        <v>0</v>
      </c>
      <c r="R979" s="374">
        <v>0</v>
      </c>
      <c r="S979" s="375">
        <v>0</v>
      </c>
      <c r="T979" s="375">
        <v>0</v>
      </c>
      <c r="U979" s="375">
        <v>0</v>
      </c>
      <c r="V979" s="380" t="e">
        <f t="shared" ca="1" si="102"/>
        <v>#NAME?</v>
      </c>
    </row>
    <row r="980" spans="1:22" ht="14.25" hidden="1" customHeight="1">
      <c r="A980" s="383" t="s">
        <v>1530</v>
      </c>
      <c r="B980" s="370" t="e">
        <f ca="1">_xludf.IFNA(VLOOKUP(Bolts!$A980,'Urban Plastix Holds'!$I$37:$L$708,4,0),0)</f>
        <v>#NAME?</v>
      </c>
      <c r="C980" s="384">
        <v>3</v>
      </c>
      <c r="D980" s="373">
        <v>0</v>
      </c>
      <c r="E980" s="373">
        <v>0</v>
      </c>
      <c r="F980" s="374">
        <v>0</v>
      </c>
      <c r="G980" s="374">
        <v>0</v>
      </c>
      <c r="H980" s="374">
        <v>0</v>
      </c>
      <c r="I980" s="374">
        <f ca="1">IFERROR(Bolts!$C980*B980,0)</f>
        <v>0</v>
      </c>
      <c r="J980" s="374">
        <v>0</v>
      </c>
      <c r="K980" s="374">
        <v>0</v>
      </c>
      <c r="L980" s="374">
        <v>0</v>
      </c>
      <c r="M980" s="374">
        <v>0</v>
      </c>
      <c r="N980" s="374">
        <v>0</v>
      </c>
      <c r="O980" s="374">
        <v>0</v>
      </c>
      <c r="P980" s="374">
        <v>0</v>
      </c>
      <c r="Q980" s="374">
        <v>0</v>
      </c>
      <c r="R980" s="374">
        <v>0</v>
      </c>
      <c r="S980" s="375">
        <v>0</v>
      </c>
      <c r="T980" s="375">
        <v>0</v>
      </c>
      <c r="U980" s="375">
        <v>0</v>
      </c>
      <c r="V980" s="380" t="e">
        <f t="shared" ca="1" si="102"/>
        <v>#NAME?</v>
      </c>
    </row>
    <row r="981" spans="1:22" ht="14.25" hidden="1" customHeight="1">
      <c r="A981" s="383" t="s">
        <v>1532</v>
      </c>
      <c r="B981" s="370" t="e">
        <f ca="1">_xludf.IFNA(VLOOKUP(Bolts!$A981,'Urban Plastix Holds'!$I$37:$L$708,4,0),0)</f>
        <v>#NAME?</v>
      </c>
      <c r="C981" s="384">
        <v>5</v>
      </c>
      <c r="D981" s="373">
        <v>0</v>
      </c>
      <c r="E981" s="373">
        <v>0</v>
      </c>
      <c r="F981" s="374">
        <v>0</v>
      </c>
      <c r="G981" s="374">
        <v>0</v>
      </c>
      <c r="H981" s="374">
        <v>0</v>
      </c>
      <c r="I981" s="374">
        <f ca="1">IFERROR(Bolts!$C981*B981,0)</f>
        <v>0</v>
      </c>
      <c r="J981" s="374">
        <v>0</v>
      </c>
      <c r="K981" s="374">
        <v>0</v>
      </c>
      <c r="L981" s="374">
        <v>0</v>
      </c>
      <c r="M981" s="374">
        <v>0</v>
      </c>
      <c r="N981" s="374">
        <v>0</v>
      </c>
      <c r="O981" s="374">
        <v>0</v>
      </c>
      <c r="P981" s="374">
        <v>0</v>
      </c>
      <c r="Q981" s="374">
        <v>0</v>
      </c>
      <c r="R981" s="374">
        <v>0</v>
      </c>
      <c r="S981" s="375">
        <v>0</v>
      </c>
      <c r="T981" s="375">
        <v>0</v>
      </c>
      <c r="U981" s="375">
        <v>0</v>
      </c>
      <c r="V981" s="380" t="e">
        <f t="shared" ca="1" si="102"/>
        <v>#NAME?</v>
      </c>
    </row>
    <row r="982" spans="1:22" ht="14.25" hidden="1" customHeight="1">
      <c r="A982" s="383" t="s">
        <v>1534</v>
      </c>
      <c r="B982" s="370" t="e">
        <f ca="1">_xludf.IFNA(VLOOKUP(Bolts!$A982,'Urban Plastix Holds'!$I$37:$L$708,4,0),0)</f>
        <v>#NAME?</v>
      </c>
      <c r="C982" s="384">
        <v>5</v>
      </c>
      <c r="D982" s="373">
        <v>0</v>
      </c>
      <c r="E982" s="373">
        <v>0</v>
      </c>
      <c r="F982" s="374">
        <v>0</v>
      </c>
      <c r="G982" s="374">
        <v>0</v>
      </c>
      <c r="H982" s="374">
        <f ca="1">IFERROR(Bolts!$C982*B982,0)</f>
        <v>0</v>
      </c>
      <c r="I982" s="374">
        <v>0</v>
      </c>
      <c r="J982" s="374">
        <v>0</v>
      </c>
      <c r="K982" s="374">
        <v>0</v>
      </c>
      <c r="L982" s="374">
        <v>0</v>
      </c>
      <c r="M982" s="374">
        <v>0</v>
      </c>
      <c r="N982" s="374">
        <v>0</v>
      </c>
      <c r="O982" s="374">
        <v>0</v>
      </c>
      <c r="P982" s="374">
        <v>0</v>
      </c>
      <c r="Q982" s="374">
        <v>0</v>
      </c>
      <c r="R982" s="374">
        <v>0</v>
      </c>
      <c r="S982" s="375">
        <v>0</v>
      </c>
      <c r="T982" s="375">
        <v>0</v>
      </c>
      <c r="U982" s="375">
        <v>0</v>
      </c>
      <c r="V982" s="380" t="e">
        <f t="shared" ca="1" si="102"/>
        <v>#NAME?</v>
      </c>
    </row>
    <row r="983" spans="1:22" ht="14.25" hidden="1" customHeight="1">
      <c r="A983" s="383" t="s">
        <v>1536</v>
      </c>
      <c r="B983" s="370" t="e">
        <f ca="1">_xludf.IFNA(VLOOKUP(Bolts!$A983,'Urban Plastix Holds'!$I$37:$L$708,4,0),0)</f>
        <v>#NAME?</v>
      </c>
      <c r="C983" s="384">
        <v>5</v>
      </c>
      <c r="D983" s="373">
        <v>0</v>
      </c>
      <c r="E983" s="373">
        <v>0</v>
      </c>
      <c r="F983" s="374">
        <v>0</v>
      </c>
      <c r="G983" s="374">
        <v>0</v>
      </c>
      <c r="H983" s="374">
        <f ca="1">IFERROR(Bolts!$C983*B983,0)</f>
        <v>0</v>
      </c>
      <c r="I983" s="374">
        <v>0</v>
      </c>
      <c r="J983" s="374">
        <v>0</v>
      </c>
      <c r="K983" s="374">
        <v>0</v>
      </c>
      <c r="L983" s="374">
        <v>0</v>
      </c>
      <c r="M983" s="374">
        <v>0</v>
      </c>
      <c r="N983" s="374">
        <v>0</v>
      </c>
      <c r="O983" s="374">
        <v>0</v>
      </c>
      <c r="P983" s="374">
        <v>0</v>
      </c>
      <c r="Q983" s="374">
        <v>0</v>
      </c>
      <c r="R983" s="374">
        <v>0</v>
      </c>
      <c r="S983" s="375">
        <v>0</v>
      </c>
      <c r="T983" s="375">
        <v>0</v>
      </c>
      <c r="U983" s="375">
        <v>0</v>
      </c>
      <c r="V983" s="380" t="e">
        <f t="shared" ca="1" si="102"/>
        <v>#NAME?</v>
      </c>
    </row>
    <row r="984" spans="1:22" ht="14.25" hidden="1" customHeight="1">
      <c r="A984" s="383" t="s">
        <v>1538</v>
      </c>
      <c r="B984" s="370" t="e">
        <f ca="1">_xludf.IFNA(VLOOKUP(Bolts!$A984,'Urban Plastix Holds'!$I$37:$L$708,4,0),0)</f>
        <v>#NAME?</v>
      </c>
      <c r="C984" s="384">
        <v>5</v>
      </c>
      <c r="D984" s="373">
        <v>0</v>
      </c>
      <c r="E984" s="373">
        <v>0</v>
      </c>
      <c r="F984" s="374">
        <v>0</v>
      </c>
      <c r="G984" s="374">
        <v>0</v>
      </c>
      <c r="H984" s="374">
        <f ca="1">IFERROR(Bolts!$C984*B984,0)</f>
        <v>0</v>
      </c>
      <c r="I984" s="374">
        <v>0</v>
      </c>
      <c r="J984" s="374">
        <v>0</v>
      </c>
      <c r="K984" s="374">
        <v>0</v>
      </c>
      <c r="L984" s="374">
        <v>0</v>
      </c>
      <c r="M984" s="374">
        <v>0</v>
      </c>
      <c r="N984" s="374">
        <v>0</v>
      </c>
      <c r="O984" s="374">
        <v>0</v>
      </c>
      <c r="P984" s="374">
        <v>0</v>
      </c>
      <c r="Q984" s="374">
        <v>0</v>
      </c>
      <c r="R984" s="374">
        <v>0</v>
      </c>
      <c r="S984" s="375">
        <v>0</v>
      </c>
      <c r="T984" s="375">
        <v>0</v>
      </c>
      <c r="U984" s="375">
        <v>0</v>
      </c>
      <c r="V984" s="380" t="e">
        <f t="shared" ca="1" si="102"/>
        <v>#NAME?</v>
      </c>
    </row>
    <row r="985" spans="1:22" ht="14.25" hidden="1" customHeight="1">
      <c r="A985" s="383" t="s">
        <v>1540</v>
      </c>
      <c r="B985" s="370" t="e">
        <f ca="1">_xludf.IFNA(VLOOKUP(Bolts!$A985,'Urban Plastix Holds'!$I$37:$L$708,4,0),0)</f>
        <v>#NAME?</v>
      </c>
      <c r="C985" s="384">
        <v>5</v>
      </c>
      <c r="D985" s="373">
        <v>0</v>
      </c>
      <c r="E985" s="373">
        <v>0</v>
      </c>
      <c r="F985" s="374">
        <v>0</v>
      </c>
      <c r="G985" s="374">
        <v>0</v>
      </c>
      <c r="H985" s="374">
        <f ca="1">IFERROR(Bolts!$C985*B985,0)</f>
        <v>0</v>
      </c>
      <c r="I985" s="374">
        <v>0</v>
      </c>
      <c r="J985" s="374">
        <v>0</v>
      </c>
      <c r="K985" s="374">
        <v>0</v>
      </c>
      <c r="L985" s="374">
        <v>0</v>
      </c>
      <c r="M985" s="374">
        <v>0</v>
      </c>
      <c r="N985" s="374">
        <v>0</v>
      </c>
      <c r="O985" s="374">
        <v>0</v>
      </c>
      <c r="P985" s="374">
        <v>0</v>
      </c>
      <c r="Q985" s="374">
        <v>0</v>
      </c>
      <c r="R985" s="374">
        <v>0</v>
      </c>
      <c r="S985" s="375">
        <v>0</v>
      </c>
      <c r="T985" s="375">
        <v>0</v>
      </c>
      <c r="U985" s="375">
        <v>0</v>
      </c>
      <c r="V985" s="380" t="e">
        <f t="shared" ca="1" si="102"/>
        <v>#NAME?</v>
      </c>
    </row>
    <row r="986" spans="1:22" ht="14.25" hidden="1" customHeight="1">
      <c r="A986" s="383" t="s">
        <v>1542</v>
      </c>
      <c r="B986" s="370" t="e">
        <f ca="1">_xludf.IFNA(VLOOKUP(Bolts!$A986,'Urban Plastix Holds'!$I$37:$L$708,4,0),0)</f>
        <v>#NAME?</v>
      </c>
      <c r="C986" s="384">
        <v>5</v>
      </c>
      <c r="D986" s="373">
        <v>0</v>
      </c>
      <c r="E986" s="373">
        <f ca="1">IFERROR(Bolts!$C986*B986,0)</f>
        <v>0</v>
      </c>
      <c r="F986" s="374">
        <v>0</v>
      </c>
      <c r="G986" s="374">
        <v>0</v>
      </c>
      <c r="H986" s="374">
        <v>0</v>
      </c>
      <c r="I986" s="374">
        <v>0</v>
      </c>
      <c r="J986" s="374">
        <v>0</v>
      </c>
      <c r="K986" s="374">
        <v>0</v>
      </c>
      <c r="L986" s="374">
        <v>0</v>
      </c>
      <c r="M986" s="374">
        <v>0</v>
      </c>
      <c r="N986" s="374">
        <v>0</v>
      </c>
      <c r="O986" s="374">
        <v>0</v>
      </c>
      <c r="P986" s="374">
        <v>0</v>
      </c>
      <c r="Q986" s="374">
        <v>0</v>
      </c>
      <c r="R986" s="374">
        <v>0</v>
      </c>
      <c r="S986" s="375">
        <v>0</v>
      </c>
      <c r="T986" s="375">
        <v>0</v>
      </c>
      <c r="U986" s="375">
        <v>0</v>
      </c>
      <c r="V986" s="380" t="e">
        <f t="shared" ca="1" si="102"/>
        <v>#NAME?</v>
      </c>
    </row>
    <row r="987" spans="1:22" ht="14.25" hidden="1" customHeight="1">
      <c r="A987" s="383" t="s">
        <v>1545</v>
      </c>
      <c r="B987" s="370" t="e">
        <f ca="1">_xludf.IFNA(VLOOKUP(Bolts!$A987,'Urban Plastix Holds'!$I$37:$L$708,4,0),0)</f>
        <v>#NAME?</v>
      </c>
      <c r="C987" s="384">
        <v>5</v>
      </c>
      <c r="D987" s="373">
        <v>0</v>
      </c>
      <c r="E987" s="373">
        <f ca="1">IFERROR(Bolts!$C987*B987,0)</f>
        <v>0</v>
      </c>
      <c r="F987" s="374">
        <v>0</v>
      </c>
      <c r="G987" s="374">
        <v>0</v>
      </c>
      <c r="H987" s="374">
        <v>0</v>
      </c>
      <c r="I987" s="374">
        <v>0</v>
      </c>
      <c r="J987" s="374">
        <v>0</v>
      </c>
      <c r="K987" s="374">
        <v>0</v>
      </c>
      <c r="L987" s="374">
        <v>0</v>
      </c>
      <c r="M987" s="374">
        <v>0</v>
      </c>
      <c r="N987" s="374">
        <v>0</v>
      </c>
      <c r="O987" s="374">
        <v>0</v>
      </c>
      <c r="P987" s="374">
        <v>0</v>
      </c>
      <c r="Q987" s="374">
        <v>0</v>
      </c>
      <c r="R987" s="374">
        <v>0</v>
      </c>
      <c r="S987" s="375">
        <v>0</v>
      </c>
      <c r="T987" s="375">
        <v>0</v>
      </c>
      <c r="U987" s="375">
        <v>0</v>
      </c>
      <c r="V987" s="380" t="e">
        <f t="shared" ca="1" si="102"/>
        <v>#NAME?</v>
      </c>
    </row>
    <row r="988" spans="1:22" ht="14.25" hidden="1" customHeight="1">
      <c r="A988" s="383" t="s">
        <v>1554</v>
      </c>
      <c r="B988" s="370" t="e">
        <f ca="1">_xludf.IFNA(VLOOKUP(Bolts!$A988,'Urban Plastix Holds'!$I$37:$L$708,4,0),0)</f>
        <v>#NAME?</v>
      </c>
      <c r="C988" s="384">
        <v>20</v>
      </c>
      <c r="D988" s="373">
        <f ca="1">IFERROR(Bolts!$C988*B988,0)</f>
        <v>0</v>
      </c>
      <c r="E988" s="373">
        <v>0</v>
      </c>
      <c r="F988" s="374">
        <v>0</v>
      </c>
      <c r="G988" s="374">
        <v>0</v>
      </c>
      <c r="H988" s="374">
        <v>0</v>
      </c>
      <c r="I988" s="374">
        <v>0</v>
      </c>
      <c r="J988" s="374">
        <v>0</v>
      </c>
      <c r="K988" s="374">
        <v>0</v>
      </c>
      <c r="L988" s="374">
        <v>0</v>
      </c>
      <c r="M988" s="374">
        <v>0</v>
      </c>
      <c r="N988" s="374">
        <v>0</v>
      </c>
      <c r="O988" s="374">
        <v>0</v>
      </c>
      <c r="P988" s="374">
        <v>0</v>
      </c>
      <c r="Q988" s="374">
        <v>0</v>
      </c>
      <c r="R988" s="374">
        <v>0</v>
      </c>
      <c r="S988" s="375">
        <v>0</v>
      </c>
      <c r="T988" s="375">
        <v>0</v>
      </c>
      <c r="U988" s="375">
        <v>0</v>
      </c>
      <c r="V988" s="380" t="e">
        <f t="shared" ca="1" si="102"/>
        <v>#NAME?</v>
      </c>
    </row>
    <row r="989" spans="1:22" ht="14.25" hidden="1" customHeight="1">
      <c r="A989" s="383" t="s">
        <v>1556</v>
      </c>
      <c r="B989" s="370" t="e">
        <f ca="1">_xludf.IFNA(VLOOKUP(Bolts!$A989,'Urban Plastix Holds'!$I$37:$L$708,4,0),0)</f>
        <v>#NAME?</v>
      </c>
      <c r="C989" s="384">
        <v>20</v>
      </c>
      <c r="D989" s="373">
        <f ca="1">IFERROR(Bolts!$C989*B989,0)</f>
        <v>0</v>
      </c>
      <c r="E989" s="373">
        <v>0</v>
      </c>
      <c r="F989" s="374">
        <v>0</v>
      </c>
      <c r="G989" s="374">
        <v>0</v>
      </c>
      <c r="H989" s="374">
        <v>0</v>
      </c>
      <c r="I989" s="374">
        <v>0</v>
      </c>
      <c r="J989" s="374">
        <v>0</v>
      </c>
      <c r="K989" s="374">
        <v>0</v>
      </c>
      <c r="L989" s="374">
        <v>0</v>
      </c>
      <c r="M989" s="374">
        <v>0</v>
      </c>
      <c r="N989" s="374">
        <v>0</v>
      </c>
      <c r="O989" s="374">
        <v>0</v>
      </c>
      <c r="P989" s="374">
        <v>0</v>
      </c>
      <c r="Q989" s="374">
        <v>0</v>
      </c>
      <c r="R989" s="374">
        <v>0</v>
      </c>
      <c r="S989" s="375">
        <v>0</v>
      </c>
      <c r="T989" s="375">
        <v>0</v>
      </c>
      <c r="U989" s="375">
        <v>0</v>
      </c>
      <c r="V989" s="380" t="e">
        <f t="shared" ca="1" si="102"/>
        <v>#NAME?</v>
      </c>
    </row>
    <row r="990" spans="1:22" ht="14.25" hidden="1" customHeight="1">
      <c r="A990" s="383" t="s">
        <v>1567</v>
      </c>
      <c r="B990" s="370" t="e">
        <f ca="1">_xludf.IFNA(VLOOKUP(Bolts!$A990,'Urban Plastix Holds'!$I$37:$L$708,4,0),0)</f>
        <v>#NAME?</v>
      </c>
      <c r="C990" s="384">
        <v>3</v>
      </c>
      <c r="D990" s="373">
        <v>0</v>
      </c>
      <c r="E990" s="373">
        <v>0</v>
      </c>
      <c r="F990" s="374">
        <v>0</v>
      </c>
      <c r="G990" s="374">
        <v>0</v>
      </c>
      <c r="H990" s="374">
        <v>0</v>
      </c>
      <c r="I990" s="374">
        <f ca="1">IFERROR(Bolts!$C990*B990,0)</f>
        <v>0</v>
      </c>
      <c r="J990" s="374">
        <v>0</v>
      </c>
      <c r="K990" s="374">
        <v>0</v>
      </c>
      <c r="L990" s="374">
        <v>0</v>
      </c>
      <c r="M990" s="374">
        <v>0</v>
      </c>
      <c r="N990" s="374">
        <v>0</v>
      </c>
      <c r="O990" s="374">
        <v>0</v>
      </c>
      <c r="P990" s="374">
        <v>0</v>
      </c>
      <c r="Q990" s="374">
        <v>0</v>
      </c>
      <c r="R990" s="374">
        <v>0</v>
      </c>
      <c r="S990" s="375">
        <v>0</v>
      </c>
      <c r="T990" s="375">
        <v>0</v>
      </c>
      <c r="U990" s="375">
        <v>0</v>
      </c>
      <c r="V990" s="380" t="e">
        <f t="shared" ca="1" si="102"/>
        <v>#NAME?</v>
      </c>
    </row>
    <row r="991" spans="1:22" ht="14.25" hidden="1" customHeight="1">
      <c r="A991" s="383" t="s">
        <v>1570</v>
      </c>
      <c r="B991" s="370" t="e">
        <f ca="1">_xludf.IFNA(VLOOKUP(Bolts!$A991,'Urban Plastix Holds'!$I$37:$L$708,4,0),0)</f>
        <v>#NAME?</v>
      </c>
      <c r="C991" s="384">
        <v>5</v>
      </c>
      <c r="D991" s="373">
        <v>0</v>
      </c>
      <c r="E991" s="373">
        <v>0</v>
      </c>
      <c r="F991" s="374">
        <v>0</v>
      </c>
      <c r="G991" s="374">
        <v>0</v>
      </c>
      <c r="H991" s="374" t="e">
        <f ca="1">1*Bolts!$B991</f>
        <v>#NAME?</v>
      </c>
      <c r="I991" s="374" t="e">
        <f ca="1">2*Bolts!$B991</f>
        <v>#NAME?</v>
      </c>
      <c r="J991" s="374" t="e">
        <f ca="1">2*Bolts!$B991</f>
        <v>#NAME?</v>
      </c>
      <c r="K991" s="374">
        <v>0</v>
      </c>
      <c r="L991" s="374">
        <v>0</v>
      </c>
      <c r="M991" s="374">
        <v>0</v>
      </c>
      <c r="N991" s="374">
        <v>0</v>
      </c>
      <c r="O991" s="374">
        <v>0</v>
      </c>
      <c r="P991" s="374">
        <v>0</v>
      </c>
      <c r="Q991" s="374">
        <v>0</v>
      </c>
      <c r="R991" s="374">
        <v>0</v>
      </c>
      <c r="S991" s="375">
        <v>0</v>
      </c>
      <c r="T991" s="375">
        <v>0</v>
      </c>
      <c r="U991" s="375">
        <v>0</v>
      </c>
      <c r="V991" s="380" t="e">
        <f t="shared" ca="1" si="102"/>
        <v>#NAME?</v>
      </c>
    </row>
    <row r="992" spans="1:22" ht="14.25" hidden="1" customHeight="1">
      <c r="A992" s="383" t="s">
        <v>1573</v>
      </c>
      <c r="B992" s="370" t="e">
        <f ca="1">_xludf.IFNA(VLOOKUP(Bolts!$A992,'Urban Plastix Holds'!$I$37:$L$708,4,0),0)</f>
        <v>#NAME?</v>
      </c>
      <c r="C992" s="384">
        <v>3</v>
      </c>
      <c r="D992" s="373">
        <v>0</v>
      </c>
      <c r="E992" s="373">
        <v>0</v>
      </c>
      <c r="F992" s="374">
        <v>0</v>
      </c>
      <c r="G992" s="374" t="e">
        <f ca="1">3*Bolts!$B992</f>
        <v>#NAME?</v>
      </c>
      <c r="H992" s="374">
        <v>0</v>
      </c>
      <c r="I992" s="374">
        <v>0</v>
      </c>
      <c r="J992" s="374">
        <v>0</v>
      </c>
      <c r="K992" s="374">
        <v>0</v>
      </c>
      <c r="L992" s="374">
        <v>0</v>
      </c>
      <c r="M992" s="374">
        <v>0</v>
      </c>
      <c r="N992" s="374">
        <v>0</v>
      </c>
      <c r="O992" s="374">
        <v>0</v>
      </c>
      <c r="P992" s="374">
        <v>0</v>
      </c>
      <c r="Q992" s="374" t="e">
        <f ca="1">3*Bolts!$B992</f>
        <v>#NAME?</v>
      </c>
      <c r="R992" s="374">
        <v>0</v>
      </c>
      <c r="S992" s="375">
        <v>0</v>
      </c>
      <c r="T992" s="375">
        <v>0</v>
      </c>
      <c r="U992" s="375">
        <v>0</v>
      </c>
      <c r="V992" s="380" t="e">
        <f t="shared" ca="1" si="102"/>
        <v>#NAME?</v>
      </c>
    </row>
    <row r="993" spans="1:22" ht="14.25" hidden="1" customHeight="1">
      <c r="A993" s="383" t="s">
        <v>1599</v>
      </c>
      <c r="B993" s="370" t="e">
        <f ca="1">_xludf.IFNA(VLOOKUP(Bolts!$A993,'Urban Plastix Holds'!$I$37:$L$708,4,0),0)</f>
        <v>#NAME?</v>
      </c>
      <c r="C993" s="384">
        <v>5</v>
      </c>
      <c r="D993" s="373">
        <v>0</v>
      </c>
      <c r="E993" s="373">
        <f ca="1">IFERROR(Bolts!$C993*B993,0)</f>
        <v>0</v>
      </c>
      <c r="F993" s="374">
        <v>0</v>
      </c>
      <c r="G993" s="374">
        <v>0</v>
      </c>
      <c r="H993" s="374">
        <v>0</v>
      </c>
      <c r="I993" s="374">
        <v>0</v>
      </c>
      <c r="J993" s="374">
        <v>0</v>
      </c>
      <c r="K993" s="374">
        <v>0</v>
      </c>
      <c r="L993" s="374">
        <v>0</v>
      </c>
      <c r="M993" s="374">
        <v>0</v>
      </c>
      <c r="N993" s="374">
        <v>0</v>
      </c>
      <c r="O993" s="374">
        <v>0</v>
      </c>
      <c r="P993" s="374">
        <v>0</v>
      </c>
      <c r="Q993" s="374">
        <v>0</v>
      </c>
      <c r="R993" s="374">
        <v>0</v>
      </c>
      <c r="S993" s="375">
        <v>0</v>
      </c>
      <c r="T993" s="375">
        <v>0</v>
      </c>
      <c r="U993" s="375">
        <v>0</v>
      </c>
      <c r="V993" s="380" t="e">
        <f t="shared" ca="1" si="102"/>
        <v>#NAME?</v>
      </c>
    </row>
    <row r="994" spans="1:22" ht="14.25" hidden="1" customHeight="1">
      <c r="A994" s="383" t="s">
        <v>1602</v>
      </c>
      <c r="B994" s="370" t="e">
        <f ca="1">_xludf.IFNA(VLOOKUP(Bolts!$A994,'Urban Plastix Holds'!$I$37:$L$708,4,0),0)</f>
        <v>#NAME?</v>
      </c>
      <c r="C994" s="384">
        <v>5</v>
      </c>
      <c r="D994" s="373">
        <v>0</v>
      </c>
      <c r="E994" s="373">
        <f ca="1">IFERROR(Bolts!$C994*B994,0)</f>
        <v>0</v>
      </c>
      <c r="F994" s="374">
        <v>0</v>
      </c>
      <c r="G994" s="374">
        <v>0</v>
      </c>
      <c r="H994" s="374">
        <v>0</v>
      </c>
      <c r="I994" s="374">
        <v>0</v>
      </c>
      <c r="J994" s="374">
        <v>0</v>
      </c>
      <c r="K994" s="374">
        <v>0</v>
      </c>
      <c r="L994" s="374">
        <v>0</v>
      </c>
      <c r="M994" s="374">
        <v>0</v>
      </c>
      <c r="N994" s="374">
        <v>0</v>
      </c>
      <c r="O994" s="374">
        <v>0</v>
      </c>
      <c r="P994" s="374">
        <v>0</v>
      </c>
      <c r="Q994" s="374">
        <v>0</v>
      </c>
      <c r="R994" s="374">
        <v>0</v>
      </c>
      <c r="S994" s="375">
        <v>0</v>
      </c>
      <c r="T994" s="375">
        <v>0</v>
      </c>
      <c r="U994" s="375">
        <v>0</v>
      </c>
      <c r="V994" s="380" t="e">
        <f t="shared" ca="1" si="102"/>
        <v>#NAME?</v>
      </c>
    </row>
    <row r="995" spans="1:22" ht="14.25" hidden="1" customHeight="1">
      <c r="A995" s="383" t="s">
        <v>1604</v>
      </c>
      <c r="B995" s="370" t="e">
        <f ca="1">_xludf.IFNA(VLOOKUP(Bolts!$A995,'Urban Plastix Holds'!$I$37:$L$708,4,0),0)</f>
        <v>#NAME?</v>
      </c>
      <c r="C995" s="384">
        <v>5</v>
      </c>
      <c r="D995" s="373">
        <v>0</v>
      </c>
      <c r="E995" s="373">
        <f ca="1">IFERROR(Bolts!$C995*B995,0)</f>
        <v>0</v>
      </c>
      <c r="F995" s="374">
        <v>0</v>
      </c>
      <c r="G995" s="374">
        <v>0</v>
      </c>
      <c r="H995" s="374">
        <v>0</v>
      </c>
      <c r="I995" s="374">
        <v>0</v>
      </c>
      <c r="J995" s="374">
        <v>0</v>
      </c>
      <c r="K995" s="374">
        <v>0</v>
      </c>
      <c r="L995" s="374">
        <v>0</v>
      </c>
      <c r="M995" s="374">
        <v>0</v>
      </c>
      <c r="N995" s="374">
        <v>0</v>
      </c>
      <c r="O995" s="374">
        <v>0</v>
      </c>
      <c r="P995" s="374">
        <v>0</v>
      </c>
      <c r="Q995" s="374">
        <v>0</v>
      </c>
      <c r="R995" s="374">
        <v>0</v>
      </c>
      <c r="S995" s="375">
        <v>0</v>
      </c>
      <c r="T995" s="375">
        <v>0</v>
      </c>
      <c r="U995" s="375">
        <v>0</v>
      </c>
      <c r="V995" s="380" t="e">
        <f t="shared" ca="1" si="102"/>
        <v>#NAME?</v>
      </c>
    </row>
    <row r="996" spans="1:22" ht="14.25" hidden="1" customHeight="1">
      <c r="A996" s="383" t="s">
        <v>1607</v>
      </c>
      <c r="B996" s="370" t="e">
        <f ca="1">_xludf.IFNA(VLOOKUP(Bolts!$A996,'Urban Plastix Holds'!$I$37:$L$708,4,0),0)</f>
        <v>#NAME?</v>
      </c>
      <c r="C996" s="384">
        <v>5</v>
      </c>
      <c r="D996" s="373">
        <v>0</v>
      </c>
      <c r="E996" s="373">
        <f ca="1">IFERROR(Bolts!$C996*B996,0)</f>
        <v>0</v>
      </c>
      <c r="F996" s="374">
        <v>0</v>
      </c>
      <c r="G996" s="374">
        <v>0</v>
      </c>
      <c r="H996" s="374">
        <v>0</v>
      </c>
      <c r="I996" s="374">
        <v>0</v>
      </c>
      <c r="J996" s="374">
        <v>0</v>
      </c>
      <c r="K996" s="374">
        <v>0</v>
      </c>
      <c r="L996" s="374">
        <v>0</v>
      </c>
      <c r="M996" s="374">
        <v>0</v>
      </c>
      <c r="N996" s="374">
        <v>0</v>
      </c>
      <c r="O996" s="374">
        <v>0</v>
      </c>
      <c r="P996" s="374">
        <v>0</v>
      </c>
      <c r="Q996" s="374">
        <v>0</v>
      </c>
      <c r="R996" s="374">
        <v>0</v>
      </c>
      <c r="S996" s="375">
        <v>0</v>
      </c>
      <c r="T996" s="375">
        <v>0</v>
      </c>
      <c r="U996" s="375">
        <v>0</v>
      </c>
      <c r="V996" s="380" t="e">
        <f t="shared" ca="1" si="102"/>
        <v>#NAME?</v>
      </c>
    </row>
    <row r="997" spans="1:22" ht="14.25" hidden="1" customHeight="1">
      <c r="A997" s="383" t="s">
        <v>1609</v>
      </c>
      <c r="B997" s="370" t="e">
        <f ca="1">_xludf.IFNA(VLOOKUP(Bolts!$A997,'Urban Plastix Holds'!$I$37:$L$708,4,0),0)</f>
        <v>#NAME?</v>
      </c>
      <c r="C997" s="384">
        <v>5</v>
      </c>
      <c r="D997" s="373">
        <v>0</v>
      </c>
      <c r="E997" s="373" t="e">
        <f ca="1">3*Bolts!$B997</f>
        <v>#NAME?</v>
      </c>
      <c r="F997" s="374" t="e">
        <f ca="1">2*Bolts!$B997</f>
        <v>#NAME?</v>
      </c>
      <c r="G997" s="374">
        <v>0</v>
      </c>
      <c r="H997" s="374">
        <v>0</v>
      </c>
      <c r="I997" s="374">
        <v>0</v>
      </c>
      <c r="J997" s="374">
        <v>0</v>
      </c>
      <c r="K997" s="374">
        <v>0</v>
      </c>
      <c r="L997" s="374">
        <v>0</v>
      </c>
      <c r="M997" s="374">
        <v>0</v>
      </c>
      <c r="N997" s="374">
        <v>0</v>
      </c>
      <c r="O997" s="374">
        <v>0</v>
      </c>
      <c r="P997" s="374">
        <v>0</v>
      </c>
      <c r="Q997" s="374">
        <v>0</v>
      </c>
      <c r="R997" s="374">
        <v>0</v>
      </c>
      <c r="S997" s="375">
        <v>0</v>
      </c>
      <c r="T997" s="375">
        <v>0</v>
      </c>
      <c r="U997" s="375">
        <v>0</v>
      </c>
      <c r="V997" s="380" t="e">
        <f t="shared" ca="1" si="102"/>
        <v>#NAME?</v>
      </c>
    </row>
    <row r="998" spans="1:22" ht="14.25" hidden="1" customHeight="1">
      <c r="A998" s="383" t="s">
        <v>1612</v>
      </c>
      <c r="B998" s="370" t="e">
        <f ca="1">_xludf.IFNA(VLOOKUP(Bolts!$A998,'Urban Plastix Holds'!$I$37:$L$708,4,0),0)</f>
        <v>#NAME?</v>
      </c>
      <c r="C998" s="384">
        <v>5</v>
      </c>
      <c r="D998" s="373">
        <v>0</v>
      </c>
      <c r="E998" s="373">
        <f ca="1">IFERROR(Bolts!$C998*B998,0)</f>
        <v>0</v>
      </c>
      <c r="F998" s="374">
        <v>0</v>
      </c>
      <c r="G998" s="374">
        <v>0</v>
      </c>
      <c r="H998" s="374">
        <v>0</v>
      </c>
      <c r="I998" s="374">
        <v>0</v>
      </c>
      <c r="J998" s="374">
        <v>0</v>
      </c>
      <c r="K998" s="374">
        <v>0</v>
      </c>
      <c r="L998" s="374">
        <v>0</v>
      </c>
      <c r="M998" s="374">
        <v>0</v>
      </c>
      <c r="N998" s="374">
        <v>0</v>
      </c>
      <c r="O998" s="374">
        <v>0</v>
      </c>
      <c r="P998" s="374">
        <v>0</v>
      </c>
      <c r="Q998" s="374">
        <v>0</v>
      </c>
      <c r="R998" s="374">
        <v>0</v>
      </c>
      <c r="S998" s="375">
        <v>0</v>
      </c>
      <c r="T998" s="375">
        <v>0</v>
      </c>
      <c r="U998" s="375">
        <v>0</v>
      </c>
      <c r="V998" s="380" t="e">
        <f t="shared" ca="1" si="102"/>
        <v>#NAME?</v>
      </c>
    </row>
    <row r="999" spans="1:22" ht="14.25" hidden="1" customHeight="1">
      <c r="A999" s="383" t="s">
        <v>1615</v>
      </c>
      <c r="B999" s="370" t="e">
        <f ca="1">_xludf.IFNA(VLOOKUP(Bolts!$A999,'Urban Plastix Holds'!$I$37:$L$708,4,0),0)</f>
        <v>#NAME?</v>
      </c>
      <c r="C999" s="384">
        <v>5</v>
      </c>
      <c r="D999" s="373">
        <v>0</v>
      </c>
      <c r="E999" s="373">
        <f ca="1">IFERROR(Bolts!$C999*B999,0)</f>
        <v>0</v>
      </c>
      <c r="F999" s="374">
        <v>0</v>
      </c>
      <c r="G999" s="374">
        <v>0</v>
      </c>
      <c r="H999" s="374">
        <v>0</v>
      </c>
      <c r="I999" s="374">
        <v>0</v>
      </c>
      <c r="J999" s="374">
        <v>0</v>
      </c>
      <c r="K999" s="374">
        <v>0</v>
      </c>
      <c r="L999" s="374">
        <v>0</v>
      </c>
      <c r="M999" s="374">
        <v>0</v>
      </c>
      <c r="N999" s="374">
        <v>0</v>
      </c>
      <c r="O999" s="374">
        <v>0</v>
      </c>
      <c r="P999" s="374">
        <v>0</v>
      </c>
      <c r="Q999" s="374">
        <v>0</v>
      </c>
      <c r="R999" s="374">
        <v>0</v>
      </c>
      <c r="S999" s="375">
        <v>0</v>
      </c>
      <c r="T999" s="375">
        <v>0</v>
      </c>
      <c r="U999" s="375">
        <v>0</v>
      </c>
      <c r="V999" s="380" t="e">
        <f t="shared" ca="1" si="102"/>
        <v>#NAME?</v>
      </c>
    </row>
    <row r="1000" spans="1:22" ht="14.25" hidden="1" customHeight="1">
      <c r="A1000" s="383" t="s">
        <v>1644</v>
      </c>
      <c r="B1000" s="370" t="e">
        <f ca="1">_xludf.IFNA(VLOOKUP(Bolts!$A1000,'Urban Plastix Holds'!$I$37:$L$708,4,0),0)</f>
        <v>#NAME?</v>
      </c>
      <c r="C1000" s="384">
        <v>10</v>
      </c>
      <c r="D1000" s="373">
        <f ca="1">IFERROR(Bolts!$C1000*B1000,0)</f>
        <v>0</v>
      </c>
      <c r="E1000" s="373">
        <v>0</v>
      </c>
      <c r="F1000" s="374">
        <v>0</v>
      </c>
      <c r="G1000" s="374">
        <v>0</v>
      </c>
      <c r="H1000" s="374">
        <v>0</v>
      </c>
      <c r="I1000" s="374">
        <v>0</v>
      </c>
      <c r="J1000" s="374">
        <v>0</v>
      </c>
      <c r="K1000" s="374">
        <v>0</v>
      </c>
      <c r="L1000" s="374">
        <v>0</v>
      </c>
      <c r="M1000" s="374">
        <v>0</v>
      </c>
      <c r="N1000" s="374">
        <v>0</v>
      </c>
      <c r="O1000" s="374">
        <v>0</v>
      </c>
      <c r="P1000" s="374">
        <v>0</v>
      </c>
      <c r="Q1000" s="374">
        <v>0</v>
      </c>
      <c r="R1000" s="374">
        <v>0</v>
      </c>
      <c r="S1000" s="375">
        <v>0</v>
      </c>
      <c r="T1000" s="375">
        <v>0</v>
      </c>
      <c r="U1000" s="375">
        <v>0</v>
      </c>
      <c r="V1000" s="380" t="e">
        <f t="shared" ca="1" si="102"/>
        <v>#NAME?</v>
      </c>
    </row>
    <row r="1001" spans="1:22" ht="14.25" hidden="1" customHeight="1">
      <c r="A1001" s="383" t="s">
        <v>1647</v>
      </c>
      <c r="B1001" s="370" t="e">
        <f ca="1">_xludf.IFNA(VLOOKUP(Bolts!$A1001,'Urban Plastix Holds'!$I$37:$L$708,4,0),0)</f>
        <v>#NAME?</v>
      </c>
      <c r="C1001" s="384">
        <v>5</v>
      </c>
      <c r="D1001" s="373">
        <f ca="1">IFERROR(Bolts!$C1001*B1001,0)</f>
        <v>0</v>
      </c>
      <c r="E1001" s="373">
        <v>0</v>
      </c>
      <c r="F1001" s="374">
        <v>0</v>
      </c>
      <c r="G1001" s="374">
        <v>0</v>
      </c>
      <c r="H1001" s="374">
        <v>0</v>
      </c>
      <c r="I1001" s="374">
        <v>0</v>
      </c>
      <c r="J1001" s="374">
        <v>0</v>
      </c>
      <c r="K1001" s="374">
        <v>0</v>
      </c>
      <c r="L1001" s="374">
        <v>0</v>
      </c>
      <c r="M1001" s="374">
        <v>0</v>
      </c>
      <c r="N1001" s="374">
        <v>0</v>
      </c>
      <c r="O1001" s="374">
        <v>0</v>
      </c>
      <c r="P1001" s="374">
        <v>0</v>
      </c>
      <c r="Q1001" s="374">
        <v>0</v>
      </c>
      <c r="R1001" s="374">
        <v>0</v>
      </c>
      <c r="S1001" s="375">
        <v>0</v>
      </c>
      <c r="T1001" s="375">
        <v>0</v>
      </c>
      <c r="U1001" s="375">
        <v>0</v>
      </c>
      <c r="V1001" s="380" t="e">
        <f t="shared" ca="1" si="102"/>
        <v>#NAME?</v>
      </c>
    </row>
    <row r="1002" spans="1:22" ht="14.25" hidden="1" customHeight="1">
      <c r="A1002" s="383" t="s">
        <v>1650</v>
      </c>
      <c r="B1002" s="370" t="e">
        <f ca="1">_xludf.IFNA(VLOOKUP(Bolts!$A1002,'Urban Plastix Holds'!$I$37:$L$708,4,0),0)</f>
        <v>#NAME?</v>
      </c>
      <c r="C1002" s="384">
        <v>5</v>
      </c>
      <c r="D1002" s="373">
        <f ca="1">IFERROR(Bolts!$C1002*B1002,0)</f>
        <v>0</v>
      </c>
      <c r="E1002" s="373">
        <v>0</v>
      </c>
      <c r="F1002" s="374">
        <v>0</v>
      </c>
      <c r="G1002" s="374">
        <v>0</v>
      </c>
      <c r="H1002" s="374">
        <v>0</v>
      </c>
      <c r="I1002" s="374">
        <v>0</v>
      </c>
      <c r="J1002" s="374">
        <v>0</v>
      </c>
      <c r="K1002" s="374">
        <v>0</v>
      </c>
      <c r="L1002" s="374">
        <v>0</v>
      </c>
      <c r="M1002" s="374">
        <v>0</v>
      </c>
      <c r="N1002" s="374">
        <v>0</v>
      </c>
      <c r="O1002" s="374">
        <v>0</v>
      </c>
      <c r="P1002" s="374">
        <v>0</v>
      </c>
      <c r="Q1002" s="374">
        <v>0</v>
      </c>
      <c r="R1002" s="374">
        <v>0</v>
      </c>
      <c r="S1002" s="375">
        <v>0</v>
      </c>
      <c r="T1002" s="375">
        <v>0</v>
      </c>
      <c r="U1002" s="375">
        <v>0</v>
      </c>
      <c r="V1002" s="380" t="e">
        <f t="shared" ca="1" si="102"/>
        <v>#NAME?</v>
      </c>
    </row>
    <row r="1003" spans="1:22" ht="14.25" hidden="1" customHeight="1">
      <c r="A1003" s="383" t="s">
        <v>1677</v>
      </c>
      <c r="B1003" s="370" t="e">
        <f ca="1">_xludf.IFNA(VLOOKUP(Bolts!$A1003,'Urban Plastix Holds'!$I$37:$L$708,4,0),0)</f>
        <v>#NAME?</v>
      </c>
      <c r="C1003" s="384">
        <v>9</v>
      </c>
      <c r="D1003" s="373">
        <f ca="1">IFERROR(Bolts!$C1003*B1003,0)</f>
        <v>0</v>
      </c>
      <c r="E1003" s="373">
        <v>0</v>
      </c>
      <c r="F1003" s="374">
        <v>0</v>
      </c>
      <c r="G1003" s="374">
        <v>0</v>
      </c>
      <c r="H1003" s="374">
        <v>0</v>
      </c>
      <c r="I1003" s="374">
        <v>0</v>
      </c>
      <c r="J1003" s="374">
        <v>0</v>
      </c>
      <c r="K1003" s="374">
        <v>0</v>
      </c>
      <c r="L1003" s="374">
        <v>0</v>
      </c>
      <c r="M1003" s="374">
        <v>0</v>
      </c>
      <c r="N1003" s="374">
        <v>0</v>
      </c>
      <c r="O1003" s="374">
        <v>0</v>
      </c>
      <c r="P1003" s="374">
        <v>0</v>
      </c>
      <c r="Q1003" s="374">
        <v>0</v>
      </c>
      <c r="R1003" s="374">
        <v>0</v>
      </c>
      <c r="S1003" s="375">
        <v>0</v>
      </c>
      <c r="T1003" s="375">
        <v>0</v>
      </c>
      <c r="U1003" s="375">
        <v>0</v>
      </c>
      <c r="V1003" s="380" t="e">
        <f t="shared" ca="1" si="102"/>
        <v>#NAME?</v>
      </c>
    </row>
    <row r="1004" spans="1:22" ht="14.25" hidden="1" customHeight="1">
      <c r="A1004" s="383" t="s">
        <v>1680</v>
      </c>
      <c r="B1004" s="370" t="e">
        <f ca="1">_xludf.IFNA(VLOOKUP(Bolts!$A1004,'Urban Plastix Holds'!$I$37:$L$708,4,0),0)</f>
        <v>#NAME?</v>
      </c>
      <c r="C1004" s="384">
        <v>25</v>
      </c>
      <c r="D1004" s="373">
        <f ca="1">IFERROR(Bolts!$C1004*B1004,0)</f>
        <v>0</v>
      </c>
      <c r="E1004" s="373">
        <v>0</v>
      </c>
      <c r="F1004" s="374">
        <v>0</v>
      </c>
      <c r="G1004" s="374">
        <v>0</v>
      </c>
      <c r="H1004" s="374">
        <v>0</v>
      </c>
      <c r="I1004" s="374">
        <v>0</v>
      </c>
      <c r="J1004" s="374">
        <v>0</v>
      </c>
      <c r="K1004" s="374">
        <v>0</v>
      </c>
      <c r="L1004" s="374">
        <v>0</v>
      </c>
      <c r="M1004" s="374">
        <v>0</v>
      </c>
      <c r="N1004" s="374">
        <v>0</v>
      </c>
      <c r="O1004" s="374">
        <v>0</v>
      </c>
      <c r="P1004" s="374">
        <v>0</v>
      </c>
      <c r="Q1004" s="374">
        <v>0</v>
      </c>
      <c r="R1004" s="374">
        <v>0</v>
      </c>
      <c r="S1004" s="375">
        <v>0</v>
      </c>
      <c r="T1004" s="375">
        <v>0</v>
      </c>
      <c r="U1004" s="375">
        <v>0</v>
      </c>
      <c r="V1004" s="380" t="e">
        <f t="shared" ca="1" si="102"/>
        <v>#NAME?</v>
      </c>
    </row>
    <row r="1005" spans="1:22" ht="14.25" hidden="1" customHeight="1">
      <c r="A1005" s="383" t="s">
        <v>1683</v>
      </c>
      <c r="B1005" s="370" t="e">
        <f ca="1">_xludf.IFNA(VLOOKUP(Bolts!$A1005,'Urban Plastix Holds'!$I$37:$L$708,4,0),0)</f>
        <v>#NAME?</v>
      </c>
      <c r="C1005" s="384">
        <v>9</v>
      </c>
      <c r="D1005" s="373">
        <f ca="1">IFERROR(Bolts!$C1005*B1005,0)</f>
        <v>0</v>
      </c>
      <c r="E1005" s="373">
        <v>0</v>
      </c>
      <c r="F1005" s="374">
        <v>0</v>
      </c>
      <c r="G1005" s="374">
        <v>0</v>
      </c>
      <c r="H1005" s="374">
        <v>0</v>
      </c>
      <c r="I1005" s="374">
        <v>0</v>
      </c>
      <c r="J1005" s="374">
        <v>0</v>
      </c>
      <c r="K1005" s="374">
        <v>0</v>
      </c>
      <c r="L1005" s="374">
        <v>0</v>
      </c>
      <c r="M1005" s="374">
        <v>0</v>
      </c>
      <c r="N1005" s="374">
        <v>0</v>
      </c>
      <c r="O1005" s="374">
        <v>0</v>
      </c>
      <c r="P1005" s="374">
        <v>0</v>
      </c>
      <c r="Q1005" s="374">
        <v>0</v>
      </c>
      <c r="R1005" s="374">
        <v>0</v>
      </c>
      <c r="S1005" s="375">
        <v>0</v>
      </c>
      <c r="T1005" s="375">
        <v>0</v>
      </c>
      <c r="U1005" s="375">
        <v>0</v>
      </c>
      <c r="V1005" s="380" t="e">
        <f t="shared" ca="1" si="102"/>
        <v>#NAME?</v>
      </c>
    </row>
    <row r="1006" spans="1:22" ht="14.25" hidden="1" customHeight="1">
      <c r="A1006" s="383" t="s">
        <v>1743</v>
      </c>
      <c r="B1006" s="370" t="e">
        <f ca="1">_xludf.IFNA(VLOOKUP(Bolts!$A1006,'Urban Plastix Holds'!$I$37:$L$708,4,0),0)</f>
        <v>#NAME?</v>
      </c>
      <c r="C1006" s="384">
        <v>4</v>
      </c>
      <c r="D1006" s="373">
        <v>0</v>
      </c>
      <c r="E1006" s="373">
        <v>0</v>
      </c>
      <c r="F1006" s="374">
        <v>0</v>
      </c>
      <c r="G1006" s="374">
        <v>0</v>
      </c>
      <c r="H1006" s="374">
        <v>0</v>
      </c>
      <c r="I1006" s="374">
        <f ca="1">IFERROR(Bolts!$C1006*B1006,0)</f>
        <v>0</v>
      </c>
      <c r="J1006" s="374">
        <v>0</v>
      </c>
      <c r="K1006" s="374">
        <v>0</v>
      </c>
      <c r="L1006" s="374">
        <v>0</v>
      </c>
      <c r="M1006" s="374">
        <v>0</v>
      </c>
      <c r="N1006" s="374">
        <v>0</v>
      </c>
      <c r="O1006" s="374">
        <v>0</v>
      </c>
      <c r="P1006" s="374">
        <v>0</v>
      </c>
      <c r="Q1006" s="374">
        <v>0</v>
      </c>
      <c r="R1006" s="374">
        <v>0</v>
      </c>
      <c r="S1006" s="375">
        <v>0</v>
      </c>
      <c r="T1006" s="375">
        <v>0</v>
      </c>
      <c r="U1006" s="375">
        <v>0</v>
      </c>
      <c r="V1006" s="380" t="e">
        <f t="shared" ca="1" si="102"/>
        <v>#NAME?</v>
      </c>
    </row>
    <row r="1007" spans="1:22" ht="14.25" hidden="1" customHeight="1">
      <c r="A1007" s="383" t="s">
        <v>1746</v>
      </c>
      <c r="B1007" s="370" t="e">
        <f ca="1">_xludf.IFNA(VLOOKUP(Bolts!$A1007,'Urban Plastix Holds'!$I$37:$L$708,4,0),0)</f>
        <v>#NAME?</v>
      </c>
      <c r="C1007" s="384">
        <v>1</v>
      </c>
      <c r="D1007" s="373">
        <v>0</v>
      </c>
      <c r="E1007" s="373">
        <v>0</v>
      </c>
      <c r="F1007" s="374">
        <v>0</v>
      </c>
      <c r="G1007" s="374">
        <v>0</v>
      </c>
      <c r="H1007" s="374">
        <v>0</v>
      </c>
      <c r="I1007" s="374">
        <f ca="1">IFERROR(Bolts!$C1007*B1007,0)</f>
        <v>0</v>
      </c>
      <c r="J1007" s="374">
        <v>0</v>
      </c>
      <c r="K1007" s="374">
        <v>0</v>
      </c>
      <c r="L1007" s="374">
        <v>0</v>
      </c>
      <c r="M1007" s="374">
        <v>0</v>
      </c>
      <c r="N1007" s="374">
        <v>0</v>
      </c>
      <c r="O1007" s="374">
        <v>0</v>
      </c>
      <c r="P1007" s="374">
        <v>0</v>
      </c>
      <c r="Q1007" s="374">
        <v>0</v>
      </c>
      <c r="R1007" s="374">
        <v>0</v>
      </c>
      <c r="S1007" s="375">
        <v>0</v>
      </c>
      <c r="T1007" s="375">
        <v>0</v>
      </c>
      <c r="U1007" s="375">
        <v>0</v>
      </c>
      <c r="V1007" s="380" t="e">
        <f t="shared" ca="1" si="102"/>
        <v>#NAME?</v>
      </c>
    </row>
    <row r="1008" spans="1:22" ht="14.25" hidden="1" customHeight="1">
      <c r="A1008" s="383" t="s">
        <v>1749</v>
      </c>
      <c r="B1008" s="370" t="e">
        <f ca="1">_xludf.IFNA(VLOOKUP(Bolts!$A1008,'Urban Plastix Holds'!$I$37:$L$708,4,0),0)</f>
        <v>#NAME?</v>
      </c>
      <c r="C1008" s="384">
        <v>1</v>
      </c>
      <c r="D1008" s="373">
        <v>0</v>
      </c>
      <c r="E1008" s="373">
        <v>0</v>
      </c>
      <c r="F1008" s="374">
        <v>0</v>
      </c>
      <c r="G1008" s="374">
        <v>0</v>
      </c>
      <c r="H1008" s="374">
        <v>0</v>
      </c>
      <c r="I1008" s="374">
        <v>0</v>
      </c>
      <c r="J1008" s="374">
        <f ca="1">IFERROR(Bolts!$C1008*B1008,0)</f>
        <v>0</v>
      </c>
      <c r="K1008" s="374">
        <v>0</v>
      </c>
      <c r="L1008" s="374">
        <v>0</v>
      </c>
      <c r="M1008" s="374">
        <v>0</v>
      </c>
      <c r="N1008" s="374">
        <v>0</v>
      </c>
      <c r="O1008" s="374">
        <v>0</v>
      </c>
      <c r="P1008" s="374">
        <v>0</v>
      </c>
      <c r="Q1008" s="374">
        <v>0</v>
      </c>
      <c r="R1008" s="374">
        <v>0</v>
      </c>
      <c r="S1008" s="375">
        <v>0</v>
      </c>
      <c r="T1008" s="375">
        <v>0</v>
      </c>
      <c r="U1008" s="375">
        <v>0</v>
      </c>
      <c r="V1008" s="380" t="e">
        <f t="shared" ca="1" si="102"/>
        <v>#NAME?</v>
      </c>
    </row>
    <row r="1009" spans="1:22" ht="14.25" hidden="1" customHeight="1">
      <c r="A1009" s="383" t="s">
        <v>1752</v>
      </c>
      <c r="B1009" s="370" t="e">
        <f ca="1">_xludf.IFNA(VLOOKUP(Bolts!$A1009,'Urban Plastix Holds'!$I$37:$L$708,4,0),0)</f>
        <v>#NAME?</v>
      </c>
      <c r="C1009" s="384">
        <v>7</v>
      </c>
      <c r="D1009" s="373">
        <v>0</v>
      </c>
      <c r="E1009" s="373">
        <f ca="1">IFERROR(Bolts!$C1009*B1009,0)</f>
        <v>0</v>
      </c>
      <c r="F1009" s="374">
        <v>0</v>
      </c>
      <c r="G1009" s="374">
        <v>0</v>
      </c>
      <c r="H1009" s="374">
        <v>0</v>
      </c>
      <c r="I1009" s="374">
        <v>0</v>
      </c>
      <c r="J1009" s="374">
        <v>0</v>
      </c>
      <c r="K1009" s="374">
        <v>0</v>
      </c>
      <c r="L1009" s="374">
        <v>0</v>
      </c>
      <c r="M1009" s="374">
        <v>0</v>
      </c>
      <c r="N1009" s="374">
        <v>0</v>
      </c>
      <c r="O1009" s="374">
        <v>0</v>
      </c>
      <c r="P1009" s="374">
        <v>0</v>
      </c>
      <c r="Q1009" s="374">
        <v>0</v>
      </c>
      <c r="R1009" s="374">
        <v>0</v>
      </c>
      <c r="S1009" s="375">
        <v>0</v>
      </c>
      <c r="T1009" s="375">
        <v>0</v>
      </c>
      <c r="U1009" s="375">
        <v>0</v>
      </c>
      <c r="V1009" s="380" t="e">
        <f t="shared" ca="1" si="102"/>
        <v>#NAME?</v>
      </c>
    </row>
    <row r="1010" spans="1:22" ht="14.25" hidden="1" customHeight="1">
      <c r="A1010" s="383" t="s">
        <v>1727</v>
      </c>
      <c r="B1010" s="370" t="e">
        <f ca="1">_xludf.IFNA(VLOOKUP(Bolts!$A1010,'Urban Plastix Holds'!$I$37:$L$708,4,0),0)</f>
        <v>#NAME?</v>
      </c>
      <c r="C1010" s="384">
        <v>5</v>
      </c>
      <c r="D1010" s="373">
        <v>0</v>
      </c>
      <c r="E1010" s="373">
        <v>0</v>
      </c>
      <c r="F1010" s="374">
        <v>0</v>
      </c>
      <c r="G1010" s="374" t="e">
        <f ca="1">4*Bolts!$B1010</f>
        <v>#NAME?</v>
      </c>
      <c r="H1010" s="374" t="e">
        <f ca="1">1*Bolts!$B1010</f>
        <v>#NAME?</v>
      </c>
      <c r="I1010" s="374">
        <v>0</v>
      </c>
      <c r="J1010" s="374">
        <v>0</v>
      </c>
      <c r="K1010" s="374">
        <v>0</v>
      </c>
      <c r="L1010" s="374">
        <v>0</v>
      </c>
      <c r="M1010" s="374">
        <v>0</v>
      </c>
      <c r="N1010" s="374">
        <v>0</v>
      </c>
      <c r="O1010" s="374">
        <v>0</v>
      </c>
      <c r="P1010" s="374">
        <v>0</v>
      </c>
      <c r="Q1010" s="374" t="e">
        <f ca="1">5*Bolts!$B1010</f>
        <v>#NAME?</v>
      </c>
      <c r="R1010" s="374">
        <v>0</v>
      </c>
      <c r="S1010" s="375">
        <v>0</v>
      </c>
      <c r="T1010" s="375">
        <v>0</v>
      </c>
      <c r="U1010" s="375">
        <v>0</v>
      </c>
      <c r="V1010" s="380" t="e">
        <f t="shared" ca="1" si="102"/>
        <v>#NAME?</v>
      </c>
    </row>
    <row r="1011" spans="1:22" ht="14.25" hidden="1" customHeight="1">
      <c r="A1011" s="383" t="s">
        <v>1756</v>
      </c>
      <c r="B1011" s="370" t="e">
        <f ca="1">_xludf.IFNA(VLOOKUP(Bolts!$A1011,'Urban Plastix Holds'!$I$37:$L$708,4,0),0)</f>
        <v>#NAME?</v>
      </c>
      <c r="C1011" s="384">
        <v>1</v>
      </c>
      <c r="D1011" s="373">
        <v>0</v>
      </c>
      <c r="E1011" s="373">
        <v>0</v>
      </c>
      <c r="F1011" s="374">
        <v>0</v>
      </c>
      <c r="G1011" s="374">
        <v>0</v>
      </c>
      <c r="H1011" s="374">
        <v>0</v>
      </c>
      <c r="I1011" s="374">
        <v>0</v>
      </c>
      <c r="J1011" s="374">
        <f ca="1">IFERROR(Bolts!$C1011*B1011,0)</f>
        <v>0</v>
      </c>
      <c r="K1011" s="374">
        <v>0</v>
      </c>
      <c r="L1011" s="374">
        <v>0</v>
      </c>
      <c r="M1011" s="374">
        <v>0</v>
      </c>
      <c r="N1011" s="374">
        <v>0</v>
      </c>
      <c r="O1011" s="374">
        <v>0</v>
      </c>
      <c r="P1011" s="374">
        <v>0</v>
      </c>
      <c r="Q1011" s="374">
        <v>0</v>
      </c>
      <c r="R1011" s="374">
        <v>0</v>
      </c>
      <c r="S1011" s="375">
        <v>0</v>
      </c>
      <c r="T1011" s="375">
        <v>0</v>
      </c>
      <c r="U1011" s="375">
        <v>0</v>
      </c>
      <c r="V1011" s="380" t="e">
        <f t="shared" ca="1" si="102"/>
        <v>#NAME?</v>
      </c>
    </row>
    <row r="1012" spans="1:22" ht="14.25" hidden="1" customHeight="1">
      <c r="A1012" s="383" t="s">
        <v>1759</v>
      </c>
      <c r="B1012" s="370" t="e">
        <f ca="1">_xludf.IFNA(VLOOKUP(Bolts!$A1012,'Urban Plastix Holds'!$I$37:$L$708,4,0),0)</f>
        <v>#NAME?</v>
      </c>
      <c r="C1012" s="384">
        <v>5</v>
      </c>
      <c r="D1012" s="373">
        <v>0</v>
      </c>
      <c r="E1012" s="373">
        <v>0</v>
      </c>
      <c r="F1012" s="374">
        <v>0</v>
      </c>
      <c r="G1012" s="374">
        <v>0</v>
      </c>
      <c r="H1012" s="374">
        <f ca="1">IFERROR(Bolts!$C1012*B1012,0)</f>
        <v>0</v>
      </c>
      <c r="I1012" s="374">
        <v>0</v>
      </c>
      <c r="J1012" s="374">
        <v>0</v>
      </c>
      <c r="K1012" s="374">
        <v>0</v>
      </c>
      <c r="L1012" s="374">
        <v>0</v>
      </c>
      <c r="M1012" s="374">
        <v>0</v>
      </c>
      <c r="N1012" s="374">
        <v>0</v>
      </c>
      <c r="O1012" s="374">
        <v>0</v>
      </c>
      <c r="P1012" s="374">
        <v>0</v>
      </c>
      <c r="Q1012" s="374">
        <v>0</v>
      </c>
      <c r="R1012" s="374">
        <v>0</v>
      </c>
      <c r="S1012" s="375">
        <v>0</v>
      </c>
      <c r="T1012" s="375">
        <v>0</v>
      </c>
      <c r="U1012" s="375">
        <v>0</v>
      </c>
      <c r="V1012" s="380" t="e">
        <f t="shared" ca="1" si="102"/>
        <v>#NAME?</v>
      </c>
    </row>
    <row r="1013" spans="1:22" ht="14.25" hidden="1" customHeight="1">
      <c r="A1013" s="383" t="s">
        <v>1763</v>
      </c>
      <c r="B1013" s="370" t="e">
        <f ca="1">_xludf.IFNA(VLOOKUP(Bolts!$A1013,'Urban Plastix Holds'!$I$37:$L$708,4,0),0)</f>
        <v>#NAME?</v>
      </c>
      <c r="C1013" s="384">
        <v>10</v>
      </c>
      <c r="D1013" s="373">
        <v>0</v>
      </c>
      <c r="E1013" s="373">
        <f ca="1">IFERROR(Bolts!$C1013*B1013,0)</f>
        <v>0</v>
      </c>
      <c r="F1013" s="374">
        <v>0</v>
      </c>
      <c r="G1013" s="374">
        <v>0</v>
      </c>
      <c r="H1013" s="374">
        <v>0</v>
      </c>
      <c r="I1013" s="374">
        <v>0</v>
      </c>
      <c r="J1013" s="374">
        <v>0</v>
      </c>
      <c r="K1013" s="374">
        <v>0</v>
      </c>
      <c r="L1013" s="374">
        <v>0</v>
      </c>
      <c r="M1013" s="374">
        <v>0</v>
      </c>
      <c r="N1013" s="374">
        <v>0</v>
      </c>
      <c r="O1013" s="374">
        <v>0</v>
      </c>
      <c r="P1013" s="374">
        <v>0</v>
      </c>
      <c r="Q1013" s="374">
        <v>0</v>
      </c>
      <c r="R1013" s="374">
        <v>0</v>
      </c>
      <c r="S1013" s="375">
        <v>0</v>
      </c>
      <c r="T1013" s="375">
        <v>0</v>
      </c>
      <c r="U1013" s="375">
        <v>0</v>
      </c>
      <c r="V1013" s="380" t="e">
        <f t="shared" ca="1" si="102"/>
        <v>#NAME?</v>
      </c>
    </row>
    <row r="1014" spans="1:22" ht="14.25" hidden="1" customHeight="1">
      <c r="A1014" s="383" t="s">
        <v>1766</v>
      </c>
      <c r="B1014" s="370" t="e">
        <f ca="1">_xludf.IFNA(VLOOKUP(Bolts!$A1014,'Urban Plastix Holds'!$I$37:$L$708,4,0),0)</f>
        <v>#NAME?</v>
      </c>
      <c r="C1014" s="384">
        <v>10</v>
      </c>
      <c r="D1014" s="373">
        <v>0</v>
      </c>
      <c r="E1014" s="373">
        <f ca="1">IFERROR(Bolts!$C1014*B1014,0)</f>
        <v>0</v>
      </c>
      <c r="F1014" s="374">
        <v>0</v>
      </c>
      <c r="G1014" s="374">
        <v>0</v>
      </c>
      <c r="H1014" s="374">
        <v>0</v>
      </c>
      <c r="I1014" s="374">
        <v>0</v>
      </c>
      <c r="J1014" s="374">
        <v>0</v>
      </c>
      <c r="K1014" s="374">
        <v>0</v>
      </c>
      <c r="L1014" s="374">
        <v>0</v>
      </c>
      <c r="M1014" s="374">
        <v>0</v>
      </c>
      <c r="N1014" s="374">
        <v>0</v>
      </c>
      <c r="O1014" s="374">
        <v>0</v>
      </c>
      <c r="P1014" s="374">
        <v>0</v>
      </c>
      <c r="Q1014" s="374">
        <v>0</v>
      </c>
      <c r="R1014" s="374">
        <v>0</v>
      </c>
      <c r="S1014" s="375">
        <v>0</v>
      </c>
      <c r="T1014" s="375">
        <v>0</v>
      </c>
      <c r="U1014" s="375">
        <v>0</v>
      </c>
      <c r="V1014" s="380" t="e">
        <f t="shared" ca="1" si="102"/>
        <v>#NAME?</v>
      </c>
    </row>
    <row r="1015" spans="1:22" ht="14.25" hidden="1" customHeight="1">
      <c r="A1015" s="383" t="s">
        <v>1770</v>
      </c>
      <c r="B1015" s="370" t="e">
        <f ca="1">_xludf.IFNA(VLOOKUP(Bolts!$A1015,'Urban Plastix Holds'!$I$37:$L$708,4,0),0)</f>
        <v>#NAME?</v>
      </c>
      <c r="C1015" s="384">
        <v>5</v>
      </c>
      <c r="D1015" s="373">
        <v>0</v>
      </c>
      <c r="E1015" s="373">
        <f ca="1">IFERROR(Bolts!$C1015*B1015,0)</f>
        <v>0</v>
      </c>
      <c r="F1015" s="374">
        <v>0</v>
      </c>
      <c r="G1015" s="374">
        <v>0</v>
      </c>
      <c r="H1015" s="374">
        <v>0</v>
      </c>
      <c r="I1015" s="374">
        <v>0</v>
      </c>
      <c r="J1015" s="374">
        <v>0</v>
      </c>
      <c r="K1015" s="374">
        <v>0</v>
      </c>
      <c r="L1015" s="374">
        <v>0</v>
      </c>
      <c r="M1015" s="374">
        <v>0</v>
      </c>
      <c r="N1015" s="374">
        <v>0</v>
      </c>
      <c r="O1015" s="374">
        <v>0</v>
      </c>
      <c r="P1015" s="374">
        <v>0</v>
      </c>
      <c r="Q1015" s="374">
        <v>0</v>
      </c>
      <c r="R1015" s="374">
        <v>0</v>
      </c>
      <c r="S1015" s="375">
        <v>0</v>
      </c>
      <c r="T1015" s="375">
        <v>0</v>
      </c>
      <c r="U1015" s="375">
        <v>0</v>
      </c>
      <c r="V1015" s="380" t="e">
        <f t="shared" ca="1" si="102"/>
        <v>#NAME?</v>
      </c>
    </row>
    <row r="1016" spans="1:22" ht="14.25" hidden="1" customHeight="1">
      <c r="A1016" s="383" t="s">
        <v>1774</v>
      </c>
      <c r="B1016" s="370" t="e">
        <f ca="1">_xludf.IFNA(VLOOKUP(Bolts!$A1016,'Urban Plastix Holds'!$I$37:$L$708,4,0),0)</f>
        <v>#NAME?</v>
      </c>
      <c r="C1016" s="384">
        <v>1</v>
      </c>
      <c r="D1016" s="373">
        <v>0</v>
      </c>
      <c r="E1016" s="373">
        <v>0</v>
      </c>
      <c r="F1016" s="374">
        <v>0</v>
      </c>
      <c r="G1016" s="374">
        <v>0</v>
      </c>
      <c r="H1016" s="374">
        <v>0</v>
      </c>
      <c r="I1016" s="374">
        <v>0</v>
      </c>
      <c r="J1016" s="374">
        <f ca="1">IFERROR(Bolts!$C1016*B1016,0)</f>
        <v>0</v>
      </c>
      <c r="K1016" s="374">
        <v>0</v>
      </c>
      <c r="L1016" s="374">
        <v>0</v>
      </c>
      <c r="M1016" s="374">
        <v>0</v>
      </c>
      <c r="N1016" s="374">
        <v>0</v>
      </c>
      <c r="O1016" s="374">
        <v>0</v>
      </c>
      <c r="P1016" s="374">
        <v>0</v>
      </c>
      <c r="Q1016" s="374">
        <v>0</v>
      </c>
      <c r="R1016" s="374">
        <v>0</v>
      </c>
      <c r="S1016" s="375">
        <v>0</v>
      </c>
      <c r="T1016" s="375">
        <v>0</v>
      </c>
      <c r="U1016" s="375">
        <v>0</v>
      </c>
      <c r="V1016" s="380" t="e">
        <f t="shared" ca="1" si="102"/>
        <v>#NAME?</v>
      </c>
    </row>
    <row r="1017" spans="1:22" ht="14.25" hidden="1" customHeight="1">
      <c r="A1017" s="383" t="s">
        <v>1777</v>
      </c>
      <c r="B1017" s="370" t="e">
        <f ca="1">_xludf.IFNA(VLOOKUP(Bolts!$A1017,'Urban Plastix Holds'!$I$37:$L$708,4,0),0)</f>
        <v>#NAME?</v>
      </c>
      <c r="C1017" s="384">
        <v>7</v>
      </c>
      <c r="D1017" s="373">
        <v>0</v>
      </c>
      <c r="E1017" s="373">
        <f ca="1">IFERROR(Bolts!$C1017*B1017,0)</f>
        <v>0</v>
      </c>
      <c r="F1017" s="374">
        <v>0</v>
      </c>
      <c r="G1017" s="374">
        <v>0</v>
      </c>
      <c r="H1017" s="374">
        <v>0</v>
      </c>
      <c r="I1017" s="374">
        <v>0</v>
      </c>
      <c r="J1017" s="374">
        <v>0</v>
      </c>
      <c r="K1017" s="374">
        <v>0</v>
      </c>
      <c r="L1017" s="374">
        <v>0</v>
      </c>
      <c r="M1017" s="374">
        <v>0</v>
      </c>
      <c r="N1017" s="374">
        <v>0</v>
      </c>
      <c r="O1017" s="374">
        <v>0</v>
      </c>
      <c r="P1017" s="374">
        <v>0</v>
      </c>
      <c r="Q1017" s="374">
        <v>0</v>
      </c>
      <c r="R1017" s="374">
        <v>0</v>
      </c>
      <c r="S1017" s="375">
        <v>0</v>
      </c>
      <c r="T1017" s="375">
        <v>0</v>
      </c>
      <c r="U1017" s="375">
        <v>0</v>
      </c>
      <c r="V1017" s="380" t="e">
        <f t="shared" ca="1" si="102"/>
        <v>#NAME?</v>
      </c>
    </row>
    <row r="1018" spans="1:22" ht="14.25" hidden="1" customHeight="1">
      <c r="A1018" s="383" t="s">
        <v>1781</v>
      </c>
      <c r="B1018" s="370" t="e">
        <f ca="1">_xludf.IFNA(VLOOKUP(Bolts!$A1018,'Urban Plastix Holds'!$I$37:$L$708,4,0),0)</f>
        <v>#NAME?</v>
      </c>
      <c r="C1018" s="384">
        <v>1</v>
      </c>
      <c r="D1018" s="373">
        <v>0</v>
      </c>
      <c r="E1018" s="373">
        <v>0</v>
      </c>
      <c r="F1018" s="374">
        <v>0</v>
      </c>
      <c r="G1018" s="374">
        <v>0</v>
      </c>
      <c r="H1018" s="374">
        <v>0</v>
      </c>
      <c r="I1018" s="374">
        <v>0</v>
      </c>
      <c r="J1018" s="374">
        <f ca="1">IFERROR(Bolts!$C1018*B1018,0)</f>
        <v>0</v>
      </c>
      <c r="K1018" s="374">
        <v>0</v>
      </c>
      <c r="L1018" s="374">
        <v>0</v>
      </c>
      <c r="M1018" s="374">
        <v>0</v>
      </c>
      <c r="N1018" s="374">
        <v>0</v>
      </c>
      <c r="O1018" s="374">
        <v>0</v>
      </c>
      <c r="P1018" s="374">
        <v>0</v>
      </c>
      <c r="Q1018" s="374">
        <v>0</v>
      </c>
      <c r="R1018" s="374">
        <v>0</v>
      </c>
      <c r="S1018" s="375">
        <v>0</v>
      </c>
      <c r="T1018" s="375">
        <v>0</v>
      </c>
      <c r="U1018" s="375">
        <v>0</v>
      </c>
      <c r="V1018" s="380" t="e">
        <f t="shared" ca="1" si="102"/>
        <v>#NAME?</v>
      </c>
    </row>
    <row r="1019" spans="1:22" ht="14.25" hidden="1" customHeight="1">
      <c r="A1019" s="383" t="s">
        <v>1783</v>
      </c>
      <c r="B1019" s="370" t="e">
        <f ca="1">_xludf.IFNA(VLOOKUP(Bolts!$A1019,'Urban Plastix Holds'!$I$37:$L$708,4,0),0)</f>
        <v>#NAME?</v>
      </c>
      <c r="C1019" s="384">
        <v>5</v>
      </c>
      <c r="D1019" s="373">
        <v>0</v>
      </c>
      <c r="E1019" s="373">
        <v>0</v>
      </c>
      <c r="F1019" s="374">
        <v>0</v>
      </c>
      <c r="G1019" s="374">
        <v>0</v>
      </c>
      <c r="H1019" s="374">
        <f ca="1">IFERROR(Bolts!$C1019*B1019,0)</f>
        <v>0</v>
      </c>
      <c r="I1019" s="374">
        <v>0</v>
      </c>
      <c r="J1019" s="374">
        <v>0</v>
      </c>
      <c r="K1019" s="374">
        <v>0</v>
      </c>
      <c r="L1019" s="374">
        <v>0</v>
      </c>
      <c r="M1019" s="374">
        <v>0</v>
      </c>
      <c r="N1019" s="374">
        <v>0</v>
      </c>
      <c r="O1019" s="374">
        <v>0</v>
      </c>
      <c r="P1019" s="374">
        <v>0</v>
      </c>
      <c r="Q1019" s="374">
        <v>0</v>
      </c>
      <c r="R1019" s="374">
        <v>0</v>
      </c>
      <c r="S1019" s="375">
        <v>0</v>
      </c>
      <c r="T1019" s="375">
        <v>0</v>
      </c>
      <c r="U1019" s="375">
        <v>0</v>
      </c>
      <c r="V1019" s="380" t="e">
        <f t="shared" ca="1" si="102"/>
        <v>#NAME?</v>
      </c>
    </row>
    <row r="1020" spans="1:22" ht="14.25" hidden="1" customHeight="1">
      <c r="A1020" s="383" t="s">
        <v>1787</v>
      </c>
      <c r="B1020" s="370" t="e">
        <f ca="1">_xludf.IFNA(VLOOKUP(Bolts!$A1020,'Urban Plastix Holds'!$I$37:$L$708,4,0),0)</f>
        <v>#NAME?</v>
      </c>
      <c r="C1020" s="384">
        <v>1</v>
      </c>
      <c r="D1020" s="373">
        <v>0</v>
      </c>
      <c r="E1020" s="373">
        <v>0</v>
      </c>
      <c r="F1020" s="374">
        <v>0</v>
      </c>
      <c r="G1020" s="374">
        <v>0</v>
      </c>
      <c r="H1020" s="374">
        <v>0</v>
      </c>
      <c r="I1020" s="374">
        <v>0</v>
      </c>
      <c r="J1020" s="374">
        <v>0</v>
      </c>
      <c r="K1020" s="374">
        <f ca="1">IFERROR(Bolts!$C1020*B1020,0)</f>
        <v>0</v>
      </c>
      <c r="L1020" s="374">
        <v>0</v>
      </c>
      <c r="M1020" s="374">
        <v>0</v>
      </c>
      <c r="N1020" s="374">
        <v>0</v>
      </c>
      <c r="O1020" s="374">
        <v>0</v>
      </c>
      <c r="P1020" s="374">
        <v>0</v>
      </c>
      <c r="Q1020" s="374">
        <v>0</v>
      </c>
      <c r="R1020" s="374">
        <v>0</v>
      </c>
      <c r="S1020" s="375">
        <v>0</v>
      </c>
      <c r="T1020" s="375">
        <v>0</v>
      </c>
      <c r="U1020" s="375">
        <v>0</v>
      </c>
      <c r="V1020" s="380" t="e">
        <f t="shared" ca="1" si="102"/>
        <v>#NAME?</v>
      </c>
    </row>
    <row r="1021" spans="1:22" ht="14.25" hidden="1" customHeight="1">
      <c r="A1021" s="383" t="s">
        <v>1790</v>
      </c>
      <c r="B1021" s="370" t="e">
        <f ca="1">_xludf.IFNA(VLOOKUP(Bolts!$A1021,'Urban Plastix Holds'!$I$37:$L$708,4,0),0)</f>
        <v>#NAME?</v>
      </c>
      <c r="C1021" s="384">
        <v>1</v>
      </c>
      <c r="D1021" s="373">
        <v>0</v>
      </c>
      <c r="E1021" s="373">
        <v>0</v>
      </c>
      <c r="F1021" s="374">
        <v>0</v>
      </c>
      <c r="G1021" s="374">
        <v>0</v>
      </c>
      <c r="H1021" s="374">
        <v>0</v>
      </c>
      <c r="I1021" s="374">
        <v>0</v>
      </c>
      <c r="J1021" s="374">
        <f ca="1">IFERROR(Bolts!$C1021*B1021,0)</f>
        <v>0</v>
      </c>
      <c r="K1021" s="374">
        <v>0</v>
      </c>
      <c r="L1021" s="374">
        <v>0</v>
      </c>
      <c r="M1021" s="374">
        <v>0</v>
      </c>
      <c r="N1021" s="374">
        <v>0</v>
      </c>
      <c r="O1021" s="374">
        <v>0</v>
      </c>
      <c r="P1021" s="374">
        <v>0</v>
      </c>
      <c r="Q1021" s="374">
        <v>0</v>
      </c>
      <c r="R1021" s="374">
        <v>0</v>
      </c>
      <c r="S1021" s="375">
        <v>0</v>
      </c>
      <c r="T1021" s="375">
        <v>0</v>
      </c>
      <c r="U1021" s="375">
        <v>0</v>
      </c>
      <c r="V1021" s="380" t="e">
        <f t="shared" ca="1" si="102"/>
        <v>#NAME?</v>
      </c>
    </row>
    <row r="1022" spans="1:22" ht="14.25" hidden="1" customHeight="1">
      <c r="A1022" s="383" t="s">
        <v>1793</v>
      </c>
      <c r="B1022" s="370" t="e">
        <f ca="1">_xludf.IFNA(VLOOKUP(Bolts!$A1022,'Urban Plastix Holds'!$I$37:$L$708,4,0),0)</f>
        <v>#NAME?</v>
      </c>
      <c r="C1022" s="384">
        <v>1</v>
      </c>
      <c r="D1022" s="373">
        <v>0</v>
      </c>
      <c r="E1022" s="373">
        <v>0</v>
      </c>
      <c r="F1022" s="374">
        <v>0</v>
      </c>
      <c r="G1022" s="374">
        <v>0</v>
      </c>
      <c r="H1022" s="374">
        <v>0</v>
      </c>
      <c r="I1022" s="374">
        <v>0</v>
      </c>
      <c r="J1022" s="374">
        <f ca="1">IFERROR(Bolts!$C1022*B1022,0)</f>
        <v>0</v>
      </c>
      <c r="K1022" s="374">
        <v>0</v>
      </c>
      <c r="L1022" s="374">
        <v>0</v>
      </c>
      <c r="M1022" s="374">
        <v>0</v>
      </c>
      <c r="N1022" s="374">
        <v>0</v>
      </c>
      <c r="O1022" s="374">
        <v>0</v>
      </c>
      <c r="P1022" s="374">
        <v>0</v>
      </c>
      <c r="Q1022" s="374">
        <v>0</v>
      </c>
      <c r="R1022" s="374">
        <v>0</v>
      </c>
      <c r="S1022" s="375">
        <v>0</v>
      </c>
      <c r="T1022" s="375">
        <v>0</v>
      </c>
      <c r="U1022" s="375">
        <v>0</v>
      </c>
      <c r="V1022" s="380" t="e">
        <f t="shared" ca="1" si="102"/>
        <v>#NAME?</v>
      </c>
    </row>
    <row r="1023" spans="1:22" ht="14.25" hidden="1" customHeight="1">
      <c r="A1023" s="383" t="s">
        <v>1796</v>
      </c>
      <c r="B1023" s="370" t="e">
        <f ca="1">_xludf.IFNA(VLOOKUP(Bolts!$A1023,'Urban Plastix Holds'!$I$37:$L$708,4,0),0)</f>
        <v>#NAME?</v>
      </c>
      <c r="C1023" s="384">
        <v>1</v>
      </c>
      <c r="D1023" s="373">
        <v>0</v>
      </c>
      <c r="E1023" s="373">
        <v>0</v>
      </c>
      <c r="F1023" s="374">
        <v>0</v>
      </c>
      <c r="G1023" s="374">
        <v>0</v>
      </c>
      <c r="H1023" s="374">
        <v>0</v>
      </c>
      <c r="I1023" s="374">
        <v>0</v>
      </c>
      <c r="J1023" s="374">
        <f ca="1">IFERROR(Bolts!$C1023*B1023,0)</f>
        <v>0</v>
      </c>
      <c r="K1023" s="374">
        <v>0</v>
      </c>
      <c r="L1023" s="374">
        <v>0</v>
      </c>
      <c r="M1023" s="374">
        <v>0</v>
      </c>
      <c r="N1023" s="374">
        <v>0</v>
      </c>
      <c r="O1023" s="374">
        <v>0</v>
      </c>
      <c r="P1023" s="374">
        <v>0</v>
      </c>
      <c r="Q1023" s="374">
        <v>0</v>
      </c>
      <c r="R1023" s="374">
        <v>0</v>
      </c>
      <c r="S1023" s="375">
        <v>0</v>
      </c>
      <c r="T1023" s="375">
        <v>0</v>
      </c>
      <c r="U1023" s="375">
        <v>0</v>
      </c>
      <c r="V1023" s="380" t="e">
        <f t="shared" ca="1" si="102"/>
        <v>#NAME?</v>
      </c>
    </row>
    <row r="1024" spans="1:22" ht="14.25" hidden="1" customHeight="1">
      <c r="A1024" s="383" t="s">
        <v>1575</v>
      </c>
      <c r="B1024" s="370" t="e">
        <f ca="1">_xludf.IFNA(VLOOKUP(Bolts!$A1024,'Urban Plastix Holds'!$I$37:$L$708,4,0),0)</f>
        <v>#NAME?</v>
      </c>
      <c r="C1024" s="384">
        <v>5</v>
      </c>
      <c r="D1024" s="373" t="e">
        <f ca="1">Bolts!$B1024*3</f>
        <v>#NAME?</v>
      </c>
      <c r="E1024" s="373" t="e">
        <f ca="1">Bolts!$B1024*2</f>
        <v>#NAME?</v>
      </c>
      <c r="F1024" s="374">
        <v>0</v>
      </c>
      <c r="G1024" s="374">
        <v>0</v>
      </c>
      <c r="H1024" s="374">
        <v>0</v>
      </c>
      <c r="I1024" s="374">
        <v>0</v>
      </c>
      <c r="J1024" s="374">
        <v>0</v>
      </c>
      <c r="K1024" s="374">
        <v>0</v>
      </c>
      <c r="L1024" s="374">
        <v>0</v>
      </c>
      <c r="M1024" s="374">
        <v>0</v>
      </c>
      <c r="N1024" s="374">
        <v>0</v>
      </c>
      <c r="O1024" s="374">
        <v>0</v>
      </c>
      <c r="P1024" s="374">
        <v>0</v>
      </c>
      <c r="Q1024" s="374">
        <v>0</v>
      </c>
      <c r="R1024" s="374">
        <v>0</v>
      </c>
      <c r="S1024" s="375">
        <v>0</v>
      </c>
      <c r="T1024" s="375">
        <v>0</v>
      </c>
      <c r="U1024" s="375">
        <v>0</v>
      </c>
      <c r="V1024" s="380" t="e">
        <f t="shared" ref="V1024:V1154" ca="1" si="115">IF(B1024&gt;0,"Added"," ")</f>
        <v>#NAME?</v>
      </c>
    </row>
    <row r="1025" spans="1:22" ht="14.25" hidden="1" customHeight="1">
      <c r="A1025" s="383" t="s">
        <v>1371</v>
      </c>
      <c r="B1025" s="370" t="e">
        <f ca="1">_xludf.IFNA(VLOOKUP(Bolts!$A1025,'Urban Plastix Holds'!$I$37:$L$708,4,0),0)</f>
        <v>#NAME?</v>
      </c>
      <c r="C1025" s="384">
        <v>5</v>
      </c>
      <c r="D1025" s="373">
        <v>0</v>
      </c>
      <c r="E1025" s="373">
        <v>0</v>
      </c>
      <c r="F1025" s="374" t="e">
        <f ca="1">Bolts!$B1025*5</f>
        <v>#NAME?</v>
      </c>
      <c r="G1025" s="374">
        <v>0</v>
      </c>
      <c r="H1025" s="374">
        <v>0</v>
      </c>
      <c r="I1025" s="374">
        <v>0</v>
      </c>
      <c r="J1025" s="374">
        <v>0</v>
      </c>
      <c r="K1025" s="374">
        <v>0</v>
      </c>
      <c r="L1025" s="374">
        <v>0</v>
      </c>
      <c r="M1025" s="374">
        <v>0</v>
      </c>
      <c r="N1025" s="374">
        <v>0</v>
      </c>
      <c r="O1025" s="374">
        <v>0</v>
      </c>
      <c r="P1025" s="374">
        <v>0</v>
      </c>
      <c r="Q1025" s="374">
        <v>0</v>
      </c>
      <c r="R1025" s="374">
        <v>0</v>
      </c>
      <c r="S1025" s="375">
        <v>0</v>
      </c>
      <c r="T1025" s="375">
        <v>0</v>
      </c>
      <c r="U1025" s="375">
        <v>0</v>
      </c>
      <c r="V1025" s="380" t="e">
        <f t="shared" ca="1" si="115"/>
        <v>#NAME?</v>
      </c>
    </row>
    <row r="1026" spans="1:22" ht="14.25" hidden="1" customHeight="1">
      <c r="A1026" s="383" t="s">
        <v>1799</v>
      </c>
      <c r="B1026" s="370" t="e">
        <f ca="1">_xludf.IFNA(VLOOKUP(Bolts!$A1026,'Urban Plastix Holds'!$I$37:$L$708,4,0),0)</f>
        <v>#NAME?</v>
      </c>
      <c r="C1026" s="384">
        <v>1</v>
      </c>
      <c r="D1026" s="373">
        <v>0</v>
      </c>
      <c r="E1026" s="373">
        <v>0</v>
      </c>
      <c r="F1026" s="374">
        <v>0</v>
      </c>
      <c r="G1026" s="374">
        <v>0</v>
      </c>
      <c r="H1026" s="374">
        <v>0</v>
      </c>
      <c r="I1026" s="374">
        <v>0</v>
      </c>
      <c r="J1026" s="374">
        <f ca="1">IFERROR(Bolts!$C1026*B1026,0)</f>
        <v>0</v>
      </c>
      <c r="K1026" s="374">
        <v>0</v>
      </c>
      <c r="L1026" s="374">
        <v>0</v>
      </c>
      <c r="M1026" s="374">
        <v>0</v>
      </c>
      <c r="N1026" s="374">
        <v>0</v>
      </c>
      <c r="O1026" s="374">
        <v>0</v>
      </c>
      <c r="P1026" s="374">
        <v>0</v>
      </c>
      <c r="Q1026" s="374">
        <v>0</v>
      </c>
      <c r="R1026" s="374">
        <v>0</v>
      </c>
      <c r="S1026" s="375">
        <v>0</v>
      </c>
      <c r="T1026" s="375">
        <v>0</v>
      </c>
      <c r="U1026" s="375">
        <v>0</v>
      </c>
      <c r="V1026" s="380" t="e">
        <f t="shared" ca="1" si="115"/>
        <v>#NAME?</v>
      </c>
    </row>
    <row r="1027" spans="1:22" ht="14.25" hidden="1" customHeight="1">
      <c r="A1027" s="383" t="s">
        <v>1802</v>
      </c>
      <c r="B1027" s="370" t="e">
        <f ca="1">_xludf.IFNA(VLOOKUP(Bolts!$A1027,'Urban Plastix Holds'!$I$37:$L$708,4,0),0)</f>
        <v>#NAME?</v>
      </c>
      <c r="C1027" s="384">
        <v>4</v>
      </c>
      <c r="D1027" s="373">
        <v>0</v>
      </c>
      <c r="E1027" s="373">
        <v>0</v>
      </c>
      <c r="F1027" s="374">
        <v>0</v>
      </c>
      <c r="G1027" s="374">
        <v>0</v>
      </c>
      <c r="H1027" s="374">
        <f ca="1">IFERROR(Bolts!$C1027*B1027,0)</f>
        <v>0</v>
      </c>
      <c r="I1027" s="374">
        <v>0</v>
      </c>
      <c r="J1027" s="374">
        <v>0</v>
      </c>
      <c r="K1027" s="374">
        <v>0</v>
      </c>
      <c r="L1027" s="374">
        <v>0</v>
      </c>
      <c r="M1027" s="374">
        <v>0</v>
      </c>
      <c r="N1027" s="374">
        <v>0</v>
      </c>
      <c r="O1027" s="374">
        <v>0</v>
      </c>
      <c r="P1027" s="374">
        <v>0</v>
      </c>
      <c r="Q1027" s="374">
        <v>0</v>
      </c>
      <c r="R1027" s="374">
        <v>0</v>
      </c>
      <c r="S1027" s="375">
        <v>0</v>
      </c>
      <c r="T1027" s="375">
        <v>0</v>
      </c>
      <c r="U1027" s="375">
        <v>0</v>
      </c>
      <c r="V1027" s="380" t="e">
        <f t="shared" ca="1" si="115"/>
        <v>#NAME?</v>
      </c>
    </row>
    <row r="1028" spans="1:22" ht="14.25" hidden="1" customHeight="1">
      <c r="A1028" s="383" t="s">
        <v>1805</v>
      </c>
      <c r="B1028" s="370" t="e">
        <f ca="1">_xludf.IFNA(VLOOKUP(Bolts!$A1028,'Urban Plastix Holds'!$I$37:$L$708,4,0),0)</f>
        <v>#NAME?</v>
      </c>
      <c r="C1028" s="384">
        <v>5</v>
      </c>
      <c r="D1028" s="373">
        <v>0</v>
      </c>
      <c r="E1028" s="373" t="e">
        <f ca="1">1*Bolts!$B1028</f>
        <v>#NAME?</v>
      </c>
      <c r="F1028" s="374" t="e">
        <f ca="1">4*Bolts!$B1028</f>
        <v>#NAME?</v>
      </c>
      <c r="G1028" s="374">
        <v>0</v>
      </c>
      <c r="H1028" s="374">
        <v>0</v>
      </c>
      <c r="I1028" s="374">
        <v>0</v>
      </c>
      <c r="J1028" s="374">
        <v>0</v>
      </c>
      <c r="K1028" s="374">
        <v>0</v>
      </c>
      <c r="L1028" s="374">
        <v>0</v>
      </c>
      <c r="M1028" s="374">
        <v>0</v>
      </c>
      <c r="N1028" s="374">
        <v>0</v>
      </c>
      <c r="O1028" s="374">
        <v>0</v>
      </c>
      <c r="P1028" s="374">
        <v>0</v>
      </c>
      <c r="Q1028" s="374">
        <v>0</v>
      </c>
      <c r="R1028" s="374">
        <v>0</v>
      </c>
      <c r="S1028" s="375">
        <v>0</v>
      </c>
      <c r="T1028" s="375">
        <v>0</v>
      </c>
      <c r="U1028" s="375">
        <v>0</v>
      </c>
      <c r="V1028" s="380" t="e">
        <f t="shared" ca="1" si="115"/>
        <v>#NAME?</v>
      </c>
    </row>
    <row r="1029" spans="1:22" ht="14.25" hidden="1" customHeight="1">
      <c r="A1029" s="383" t="s">
        <v>1807</v>
      </c>
      <c r="B1029" s="370" t="e">
        <f ca="1">_xludf.IFNA(VLOOKUP(Bolts!$A1029,'Urban Plastix Holds'!$I$37:$L$708,4,0),0)</f>
        <v>#NAME?</v>
      </c>
      <c r="C1029" s="384">
        <v>5</v>
      </c>
      <c r="D1029" s="373">
        <v>0</v>
      </c>
      <c r="E1029" s="373">
        <v>0</v>
      </c>
      <c r="F1029" s="374">
        <v>0</v>
      </c>
      <c r="G1029" s="374">
        <v>0</v>
      </c>
      <c r="H1029" s="374">
        <f ca="1">IFERROR(Bolts!$C1029*B1029,0)</f>
        <v>0</v>
      </c>
      <c r="I1029" s="374">
        <v>0</v>
      </c>
      <c r="J1029" s="374">
        <v>0</v>
      </c>
      <c r="K1029" s="374">
        <v>0</v>
      </c>
      <c r="L1029" s="374">
        <v>0</v>
      </c>
      <c r="M1029" s="374">
        <v>0</v>
      </c>
      <c r="N1029" s="374">
        <v>0</v>
      </c>
      <c r="O1029" s="374">
        <v>0</v>
      </c>
      <c r="P1029" s="374">
        <v>0</v>
      </c>
      <c r="Q1029" s="374">
        <v>0</v>
      </c>
      <c r="R1029" s="374">
        <v>0</v>
      </c>
      <c r="S1029" s="375">
        <v>0</v>
      </c>
      <c r="T1029" s="375">
        <v>0</v>
      </c>
      <c r="U1029" s="375">
        <v>0</v>
      </c>
      <c r="V1029" s="380" t="e">
        <f t="shared" ca="1" si="115"/>
        <v>#NAME?</v>
      </c>
    </row>
    <row r="1030" spans="1:22" ht="14.25" hidden="1" customHeight="1">
      <c r="A1030" s="383" t="s">
        <v>1809</v>
      </c>
      <c r="B1030" s="370" t="e">
        <f ca="1">_xludf.IFNA(VLOOKUP(Bolts!$A1030,'Urban Plastix Holds'!$I$37:$L$708,4,0),0)</f>
        <v>#NAME?</v>
      </c>
      <c r="C1030" s="384">
        <v>3</v>
      </c>
      <c r="D1030" s="373">
        <v>0</v>
      </c>
      <c r="E1030" s="373">
        <v>0</v>
      </c>
      <c r="F1030" s="374">
        <v>0</v>
      </c>
      <c r="G1030" s="374">
        <v>0</v>
      </c>
      <c r="H1030" s="374">
        <f ca="1">IFERROR(Bolts!$C1030*B1030,0)</f>
        <v>0</v>
      </c>
      <c r="I1030" s="374">
        <v>0</v>
      </c>
      <c r="J1030" s="374">
        <v>0</v>
      </c>
      <c r="K1030" s="374">
        <v>0</v>
      </c>
      <c r="L1030" s="374">
        <v>0</v>
      </c>
      <c r="M1030" s="374">
        <v>0</v>
      </c>
      <c r="N1030" s="374">
        <v>0</v>
      </c>
      <c r="O1030" s="374">
        <v>0</v>
      </c>
      <c r="P1030" s="374">
        <v>0</v>
      </c>
      <c r="Q1030" s="374">
        <v>0</v>
      </c>
      <c r="R1030" s="374">
        <v>0</v>
      </c>
      <c r="S1030" s="375">
        <v>0</v>
      </c>
      <c r="T1030" s="375">
        <v>0</v>
      </c>
      <c r="U1030" s="375">
        <v>0</v>
      </c>
      <c r="V1030" s="380" t="e">
        <f t="shared" ca="1" si="115"/>
        <v>#NAME?</v>
      </c>
    </row>
    <row r="1031" spans="1:22" ht="14.25" hidden="1" customHeight="1">
      <c r="A1031" s="383" t="s">
        <v>1812</v>
      </c>
      <c r="B1031" s="370" t="e">
        <f ca="1">_xludf.IFNA(VLOOKUP(Bolts!$A1031,'Urban Plastix Holds'!$I$37:$L$708,4,0),0)</f>
        <v>#NAME?</v>
      </c>
      <c r="C1031" s="384">
        <v>2</v>
      </c>
      <c r="D1031" s="373">
        <v>0</v>
      </c>
      <c r="E1031" s="373">
        <v>0</v>
      </c>
      <c r="F1031" s="374">
        <v>0</v>
      </c>
      <c r="G1031" s="374">
        <v>0</v>
      </c>
      <c r="H1031" s="374">
        <f ca="1">IFERROR(Bolts!$C1031*B1031,0)</f>
        <v>0</v>
      </c>
      <c r="I1031" s="374">
        <v>0</v>
      </c>
      <c r="J1031" s="374">
        <v>0</v>
      </c>
      <c r="K1031" s="374">
        <v>0</v>
      </c>
      <c r="L1031" s="374">
        <v>0</v>
      </c>
      <c r="M1031" s="374">
        <v>0</v>
      </c>
      <c r="N1031" s="374">
        <v>0</v>
      </c>
      <c r="O1031" s="374">
        <v>0</v>
      </c>
      <c r="P1031" s="374">
        <v>0</v>
      </c>
      <c r="Q1031" s="374">
        <v>0</v>
      </c>
      <c r="R1031" s="374">
        <v>0</v>
      </c>
      <c r="S1031" s="375">
        <v>0</v>
      </c>
      <c r="T1031" s="375">
        <v>0</v>
      </c>
      <c r="U1031" s="375">
        <v>0</v>
      </c>
      <c r="V1031" s="380" t="e">
        <f t="shared" ca="1" si="115"/>
        <v>#NAME?</v>
      </c>
    </row>
    <row r="1032" spans="1:22" ht="14.25" hidden="1" customHeight="1">
      <c r="A1032" s="383" t="s">
        <v>1814</v>
      </c>
      <c r="B1032" s="370" t="e">
        <f ca="1">_xludf.IFNA(VLOOKUP(Bolts!$A1032,'Urban Plastix Holds'!$I$37:$L$708,4,0),0)</f>
        <v>#NAME?</v>
      </c>
      <c r="C1032" s="384">
        <v>5</v>
      </c>
      <c r="D1032" s="373">
        <v>0</v>
      </c>
      <c r="E1032" s="373">
        <v>0</v>
      </c>
      <c r="F1032" s="374">
        <v>0</v>
      </c>
      <c r="G1032" s="374">
        <v>0</v>
      </c>
      <c r="H1032" s="374">
        <f ca="1">IFERROR(Bolts!$C1032*B1032,0)</f>
        <v>0</v>
      </c>
      <c r="I1032" s="374">
        <v>0</v>
      </c>
      <c r="J1032" s="374">
        <v>0</v>
      </c>
      <c r="K1032" s="374">
        <v>0</v>
      </c>
      <c r="L1032" s="374">
        <v>0</v>
      </c>
      <c r="M1032" s="374">
        <v>0</v>
      </c>
      <c r="N1032" s="374">
        <v>0</v>
      </c>
      <c r="O1032" s="374">
        <v>0</v>
      </c>
      <c r="P1032" s="374">
        <v>0</v>
      </c>
      <c r="Q1032" s="374">
        <v>0</v>
      </c>
      <c r="R1032" s="374">
        <v>0</v>
      </c>
      <c r="S1032" s="375">
        <v>0</v>
      </c>
      <c r="T1032" s="375">
        <v>0</v>
      </c>
      <c r="U1032" s="375">
        <v>0</v>
      </c>
      <c r="V1032" s="380" t="e">
        <f t="shared" ca="1" si="115"/>
        <v>#NAME?</v>
      </c>
    </row>
    <row r="1033" spans="1:22" ht="14.25" hidden="1" customHeight="1">
      <c r="A1033" s="383" t="s">
        <v>1817</v>
      </c>
      <c r="B1033" s="370" t="e">
        <f ca="1">_xludf.IFNA(VLOOKUP(Bolts!$A1033,'Urban Plastix Holds'!$I$37:$L$708,4,0),0)</f>
        <v>#NAME?</v>
      </c>
      <c r="C1033" s="384">
        <v>5</v>
      </c>
      <c r="D1033" s="373">
        <v>0</v>
      </c>
      <c r="E1033" s="373">
        <v>0</v>
      </c>
      <c r="F1033" s="374">
        <v>0</v>
      </c>
      <c r="G1033" s="374">
        <v>0</v>
      </c>
      <c r="H1033" s="374">
        <f ca="1">IFERROR(Bolts!$C1033*B1033,0)</f>
        <v>0</v>
      </c>
      <c r="I1033" s="374">
        <v>0</v>
      </c>
      <c r="J1033" s="374">
        <v>0</v>
      </c>
      <c r="K1033" s="374">
        <v>0</v>
      </c>
      <c r="L1033" s="374">
        <v>0</v>
      </c>
      <c r="M1033" s="374">
        <v>0</v>
      </c>
      <c r="N1033" s="374">
        <v>0</v>
      </c>
      <c r="O1033" s="374">
        <v>0</v>
      </c>
      <c r="P1033" s="374">
        <v>0</v>
      </c>
      <c r="Q1033" s="374">
        <v>0</v>
      </c>
      <c r="R1033" s="374">
        <v>0</v>
      </c>
      <c r="S1033" s="375">
        <v>0</v>
      </c>
      <c r="T1033" s="375">
        <v>0</v>
      </c>
      <c r="U1033" s="375">
        <v>0</v>
      </c>
      <c r="V1033" s="380" t="e">
        <f t="shared" ca="1" si="115"/>
        <v>#NAME?</v>
      </c>
    </row>
    <row r="1034" spans="1:22" ht="14.25" hidden="1" customHeight="1">
      <c r="A1034" s="383" t="s">
        <v>1820</v>
      </c>
      <c r="B1034" s="370" t="e">
        <f ca="1">_xludf.IFNA(VLOOKUP(Bolts!$A1034,'Urban Plastix Holds'!$I$37:$L$708,4,0),0)</f>
        <v>#NAME?</v>
      </c>
      <c r="C1034" s="384">
        <v>6</v>
      </c>
      <c r="D1034" s="373">
        <v>0</v>
      </c>
      <c r="E1034" s="373">
        <v>0</v>
      </c>
      <c r="F1034" s="374">
        <v>0</v>
      </c>
      <c r="G1034" s="374">
        <v>0</v>
      </c>
      <c r="H1034" s="374">
        <f ca="1">IFERROR(Bolts!$C1034*B1034,0)</f>
        <v>0</v>
      </c>
      <c r="I1034" s="374">
        <v>0</v>
      </c>
      <c r="J1034" s="374">
        <v>0</v>
      </c>
      <c r="K1034" s="374">
        <v>0</v>
      </c>
      <c r="L1034" s="374">
        <v>0</v>
      </c>
      <c r="M1034" s="374">
        <v>0</v>
      </c>
      <c r="N1034" s="374">
        <v>0</v>
      </c>
      <c r="O1034" s="374">
        <v>0</v>
      </c>
      <c r="P1034" s="374">
        <v>0</v>
      </c>
      <c r="Q1034" s="374">
        <v>0</v>
      </c>
      <c r="R1034" s="374">
        <v>0</v>
      </c>
      <c r="S1034" s="375">
        <v>0</v>
      </c>
      <c r="T1034" s="375">
        <v>0</v>
      </c>
      <c r="U1034" s="375">
        <v>0</v>
      </c>
      <c r="V1034" s="380" t="e">
        <f t="shared" ca="1" si="115"/>
        <v>#NAME?</v>
      </c>
    </row>
    <row r="1035" spans="1:22" ht="14.25" hidden="1" customHeight="1">
      <c r="A1035" s="383" t="s">
        <v>1823</v>
      </c>
      <c r="B1035" s="370" t="e">
        <f ca="1">_xludf.IFNA(VLOOKUP(Bolts!$A1035,'Urban Plastix Holds'!$I$37:$L$708,4,0),0)</f>
        <v>#NAME?</v>
      </c>
      <c r="C1035" s="384">
        <v>4</v>
      </c>
      <c r="D1035" s="373">
        <v>0</v>
      </c>
      <c r="E1035" s="373">
        <v>0</v>
      </c>
      <c r="F1035" s="374">
        <v>0</v>
      </c>
      <c r="G1035" s="374">
        <v>0</v>
      </c>
      <c r="H1035" s="374">
        <f ca="1">IFERROR(Bolts!$C1035*B1035,0)</f>
        <v>0</v>
      </c>
      <c r="I1035" s="374">
        <v>0</v>
      </c>
      <c r="J1035" s="374">
        <v>0</v>
      </c>
      <c r="K1035" s="374">
        <v>0</v>
      </c>
      <c r="L1035" s="374">
        <v>0</v>
      </c>
      <c r="M1035" s="374">
        <v>0</v>
      </c>
      <c r="N1035" s="374">
        <v>0</v>
      </c>
      <c r="O1035" s="374">
        <v>0</v>
      </c>
      <c r="P1035" s="374">
        <v>0</v>
      </c>
      <c r="Q1035" s="374">
        <v>0</v>
      </c>
      <c r="R1035" s="374">
        <v>0</v>
      </c>
      <c r="S1035" s="375">
        <v>0</v>
      </c>
      <c r="T1035" s="375">
        <v>0</v>
      </c>
      <c r="U1035" s="375">
        <v>0</v>
      </c>
      <c r="V1035" s="380" t="e">
        <f t="shared" ca="1" si="115"/>
        <v>#NAME?</v>
      </c>
    </row>
    <row r="1036" spans="1:22" ht="14.25" hidden="1" customHeight="1">
      <c r="A1036" s="383" t="s">
        <v>1826</v>
      </c>
      <c r="B1036" s="370" t="e">
        <f ca="1">_xludf.IFNA(VLOOKUP(Bolts!$A1036,'Urban Plastix Holds'!$I$37:$L$708,4,0),0)</f>
        <v>#NAME?</v>
      </c>
      <c r="C1036" s="384">
        <v>5</v>
      </c>
      <c r="D1036" s="373">
        <v>0</v>
      </c>
      <c r="E1036" s="373">
        <f ca="1">IFERROR(Bolts!$C1036*B1036,0)</f>
        <v>0</v>
      </c>
      <c r="F1036" s="374">
        <v>0</v>
      </c>
      <c r="G1036" s="374">
        <v>0</v>
      </c>
      <c r="H1036" s="374">
        <v>0</v>
      </c>
      <c r="I1036" s="374">
        <v>0</v>
      </c>
      <c r="J1036" s="374">
        <v>0</v>
      </c>
      <c r="K1036" s="374">
        <v>0</v>
      </c>
      <c r="L1036" s="374">
        <v>0</v>
      </c>
      <c r="M1036" s="374">
        <v>0</v>
      </c>
      <c r="N1036" s="374">
        <v>0</v>
      </c>
      <c r="O1036" s="374">
        <v>0</v>
      </c>
      <c r="P1036" s="374">
        <v>0</v>
      </c>
      <c r="Q1036" s="374">
        <v>0</v>
      </c>
      <c r="R1036" s="374">
        <v>0</v>
      </c>
      <c r="S1036" s="375">
        <v>0</v>
      </c>
      <c r="T1036" s="375">
        <v>0</v>
      </c>
      <c r="U1036" s="375">
        <v>0</v>
      </c>
      <c r="V1036" s="380" t="e">
        <f t="shared" ca="1" si="115"/>
        <v>#NAME?</v>
      </c>
    </row>
    <row r="1037" spans="1:22" ht="14.25" hidden="1" customHeight="1">
      <c r="A1037" s="383" t="s">
        <v>1829</v>
      </c>
      <c r="B1037" s="370" t="e">
        <f ca="1">_xludf.IFNA(VLOOKUP(Bolts!$A1037,'Urban Plastix Holds'!$I$37:$L$708,4,0),0)</f>
        <v>#NAME?</v>
      </c>
      <c r="C1037" s="384">
        <v>5</v>
      </c>
      <c r="D1037" s="373">
        <v>0</v>
      </c>
      <c r="E1037" s="373">
        <f ca="1">IFERROR(Bolts!$C1037*B1037,0)</f>
        <v>0</v>
      </c>
      <c r="F1037" s="374">
        <v>0</v>
      </c>
      <c r="G1037" s="374">
        <v>0</v>
      </c>
      <c r="H1037" s="374">
        <v>0</v>
      </c>
      <c r="I1037" s="374">
        <v>0</v>
      </c>
      <c r="J1037" s="374">
        <v>0</v>
      </c>
      <c r="K1037" s="374">
        <v>0</v>
      </c>
      <c r="L1037" s="374">
        <v>0</v>
      </c>
      <c r="M1037" s="374">
        <v>0</v>
      </c>
      <c r="N1037" s="374">
        <v>0</v>
      </c>
      <c r="O1037" s="374">
        <v>0</v>
      </c>
      <c r="P1037" s="374">
        <v>0</v>
      </c>
      <c r="Q1037" s="374">
        <v>0</v>
      </c>
      <c r="R1037" s="374">
        <v>0</v>
      </c>
      <c r="S1037" s="375">
        <v>0</v>
      </c>
      <c r="T1037" s="375">
        <v>0</v>
      </c>
      <c r="U1037" s="375">
        <v>0</v>
      </c>
      <c r="V1037" s="380" t="e">
        <f t="shared" ca="1" si="115"/>
        <v>#NAME?</v>
      </c>
    </row>
    <row r="1038" spans="1:22" ht="14.25" hidden="1" customHeight="1">
      <c r="A1038" s="383" t="s">
        <v>1733</v>
      </c>
      <c r="B1038" s="370" t="e">
        <f ca="1">_xludf.IFNA(VLOOKUP(Bolts!$A1038,'Urban Plastix Holds'!$I$37:$L$708,4,0),0)</f>
        <v>#NAME?</v>
      </c>
      <c r="C1038" s="384">
        <v>10</v>
      </c>
      <c r="D1038" s="373">
        <v>0</v>
      </c>
      <c r="E1038" s="373">
        <f ca="1">IFERROR(Bolts!$C1038*B1038,0)</f>
        <v>0</v>
      </c>
      <c r="F1038" s="374">
        <v>0</v>
      </c>
      <c r="G1038" s="374">
        <v>0</v>
      </c>
      <c r="H1038" s="374">
        <v>0</v>
      </c>
      <c r="I1038" s="374">
        <v>0</v>
      </c>
      <c r="J1038" s="374">
        <v>0</v>
      </c>
      <c r="K1038" s="374">
        <v>0</v>
      </c>
      <c r="L1038" s="374">
        <v>0</v>
      </c>
      <c r="M1038" s="374">
        <v>0</v>
      </c>
      <c r="N1038" s="374">
        <v>0</v>
      </c>
      <c r="O1038" s="374">
        <v>0</v>
      </c>
      <c r="P1038" s="374">
        <v>0</v>
      </c>
      <c r="Q1038" s="374">
        <v>0</v>
      </c>
      <c r="R1038" s="374">
        <v>0</v>
      </c>
      <c r="S1038" s="375">
        <v>0</v>
      </c>
      <c r="T1038" s="375">
        <v>0</v>
      </c>
      <c r="U1038" s="375">
        <v>0</v>
      </c>
      <c r="V1038" s="380" t="e">
        <f t="shared" ca="1" si="115"/>
        <v>#NAME?</v>
      </c>
    </row>
    <row r="1039" spans="1:22" ht="14.25" hidden="1" customHeight="1">
      <c r="A1039" s="383" t="s">
        <v>1832</v>
      </c>
      <c r="B1039" s="370" t="e">
        <f ca="1">_xludf.IFNA(VLOOKUP(Bolts!$A1039,'Urban Plastix Holds'!$I$37:$L$708,4,0),0)</f>
        <v>#NAME?</v>
      </c>
      <c r="C1039" s="384">
        <v>5</v>
      </c>
      <c r="D1039" s="373">
        <v>0</v>
      </c>
      <c r="E1039" s="373">
        <f ca="1">IFERROR(Bolts!$C1039*B1039,0)</f>
        <v>0</v>
      </c>
      <c r="F1039" s="374">
        <v>0</v>
      </c>
      <c r="G1039" s="374">
        <v>0</v>
      </c>
      <c r="H1039" s="374">
        <v>0</v>
      </c>
      <c r="I1039" s="374">
        <v>0</v>
      </c>
      <c r="J1039" s="374">
        <v>0</v>
      </c>
      <c r="K1039" s="374">
        <v>0</v>
      </c>
      <c r="L1039" s="374">
        <v>0</v>
      </c>
      <c r="M1039" s="374">
        <v>0</v>
      </c>
      <c r="N1039" s="374">
        <v>0</v>
      </c>
      <c r="O1039" s="374">
        <v>0</v>
      </c>
      <c r="P1039" s="374">
        <v>0</v>
      </c>
      <c r="Q1039" s="374">
        <v>0</v>
      </c>
      <c r="R1039" s="374">
        <v>0</v>
      </c>
      <c r="S1039" s="375">
        <v>0</v>
      </c>
      <c r="T1039" s="375">
        <v>0</v>
      </c>
      <c r="U1039" s="375">
        <v>0</v>
      </c>
      <c r="V1039" s="380" t="e">
        <f t="shared" ca="1" si="115"/>
        <v>#NAME?</v>
      </c>
    </row>
    <row r="1040" spans="1:22" ht="14.25" hidden="1" customHeight="1">
      <c r="A1040" s="383" t="s">
        <v>1876</v>
      </c>
      <c r="B1040" s="370" t="e">
        <f ca="1">_xludf.IFNA(VLOOKUP(Bolts!$A1040,'Urban Plastix Holds'!$I$37:$L$708,4,0),0)</f>
        <v>#NAME?</v>
      </c>
      <c r="C1040" s="384">
        <v>1</v>
      </c>
      <c r="D1040" s="373">
        <v>0</v>
      </c>
      <c r="E1040" s="373" t="e">
        <f ca="1">1*Bolts!$B1040</f>
        <v>#NAME?</v>
      </c>
      <c r="F1040" s="374">
        <v>0</v>
      </c>
      <c r="G1040" s="374">
        <v>0</v>
      </c>
      <c r="H1040" s="374">
        <v>0</v>
      </c>
      <c r="I1040" s="374">
        <v>0</v>
      </c>
      <c r="J1040" s="374">
        <v>0</v>
      </c>
      <c r="K1040" s="374">
        <v>0</v>
      </c>
      <c r="L1040" s="374">
        <v>0</v>
      </c>
      <c r="M1040" s="374">
        <v>0</v>
      </c>
      <c r="N1040" s="374">
        <v>0</v>
      </c>
      <c r="O1040" s="374">
        <v>0</v>
      </c>
      <c r="P1040" s="374">
        <v>0</v>
      </c>
      <c r="Q1040" s="374">
        <v>0</v>
      </c>
      <c r="R1040" s="374">
        <v>0</v>
      </c>
      <c r="S1040" s="375">
        <v>0</v>
      </c>
      <c r="T1040" s="375">
        <v>0</v>
      </c>
      <c r="U1040" s="375">
        <v>0</v>
      </c>
      <c r="V1040" s="380" t="e">
        <f t="shared" ca="1" si="115"/>
        <v>#NAME?</v>
      </c>
    </row>
    <row r="1041" spans="1:22" ht="14.25" hidden="1" customHeight="1">
      <c r="A1041" s="383" t="s">
        <v>1835</v>
      </c>
      <c r="B1041" s="370" t="e">
        <f ca="1">_xludf.IFNA(VLOOKUP(Bolts!$A1041,'Urban Plastix Holds'!$I$37:$L$708,4,0),0)</f>
        <v>#NAME?</v>
      </c>
      <c r="C1041" s="384">
        <v>5</v>
      </c>
      <c r="D1041" s="373">
        <v>0</v>
      </c>
      <c r="E1041" s="373">
        <f ca="1">IFERROR(Bolts!$C1041*B1041,0)</f>
        <v>0</v>
      </c>
      <c r="F1041" s="374">
        <v>0</v>
      </c>
      <c r="G1041" s="374">
        <v>0</v>
      </c>
      <c r="H1041" s="374">
        <v>0</v>
      </c>
      <c r="I1041" s="374">
        <v>0</v>
      </c>
      <c r="J1041" s="374">
        <v>0</v>
      </c>
      <c r="K1041" s="374">
        <v>0</v>
      </c>
      <c r="L1041" s="374">
        <v>0</v>
      </c>
      <c r="M1041" s="374">
        <v>0</v>
      </c>
      <c r="N1041" s="374">
        <v>0</v>
      </c>
      <c r="O1041" s="374">
        <v>0</v>
      </c>
      <c r="P1041" s="374">
        <v>0</v>
      </c>
      <c r="Q1041" s="374">
        <v>0</v>
      </c>
      <c r="R1041" s="374">
        <v>0</v>
      </c>
      <c r="S1041" s="375">
        <v>0</v>
      </c>
      <c r="T1041" s="375">
        <v>0</v>
      </c>
      <c r="U1041" s="375">
        <v>0</v>
      </c>
      <c r="V1041" s="380" t="e">
        <f t="shared" ca="1" si="115"/>
        <v>#NAME?</v>
      </c>
    </row>
    <row r="1042" spans="1:22" ht="14.25" hidden="1" customHeight="1">
      <c r="A1042" s="383" t="s">
        <v>1838</v>
      </c>
      <c r="B1042" s="370" t="e">
        <f ca="1">_xludf.IFNA(VLOOKUP(Bolts!$A1042,'Urban Plastix Holds'!$I$37:$L$708,4,0),0)</f>
        <v>#NAME?</v>
      </c>
      <c r="C1042" s="384">
        <v>5</v>
      </c>
      <c r="D1042" s="373">
        <v>0</v>
      </c>
      <c r="E1042" s="373">
        <f ca="1">IFERROR(Bolts!$C1042*B1042,0)</f>
        <v>0</v>
      </c>
      <c r="F1042" s="374">
        <v>0</v>
      </c>
      <c r="G1042" s="374">
        <v>0</v>
      </c>
      <c r="H1042" s="374">
        <v>0</v>
      </c>
      <c r="I1042" s="374">
        <v>0</v>
      </c>
      <c r="J1042" s="374">
        <v>0</v>
      </c>
      <c r="K1042" s="374">
        <v>0</v>
      </c>
      <c r="L1042" s="374">
        <v>0</v>
      </c>
      <c r="M1042" s="374">
        <v>0</v>
      </c>
      <c r="N1042" s="374">
        <v>0</v>
      </c>
      <c r="O1042" s="374">
        <v>0</v>
      </c>
      <c r="P1042" s="374">
        <v>0</v>
      </c>
      <c r="Q1042" s="374">
        <v>0</v>
      </c>
      <c r="R1042" s="374">
        <v>0</v>
      </c>
      <c r="S1042" s="375">
        <v>0</v>
      </c>
      <c r="T1042" s="375">
        <v>0</v>
      </c>
      <c r="U1042" s="375">
        <v>0</v>
      </c>
      <c r="V1042" s="380" t="e">
        <f t="shared" ca="1" si="115"/>
        <v>#NAME?</v>
      </c>
    </row>
    <row r="1043" spans="1:22" ht="14.25" hidden="1" customHeight="1">
      <c r="A1043" s="383" t="s">
        <v>1840</v>
      </c>
      <c r="B1043" s="370" t="e">
        <f ca="1">_xludf.IFNA(VLOOKUP(Bolts!$A1043,'Urban Plastix Holds'!$I$37:$L$708,4,0),0)</f>
        <v>#NAME?</v>
      </c>
      <c r="C1043" s="384">
        <v>5</v>
      </c>
      <c r="D1043" s="373">
        <v>0</v>
      </c>
      <c r="E1043" s="373">
        <f ca="1">IFERROR(Bolts!$C1043*B1043,0)</f>
        <v>0</v>
      </c>
      <c r="F1043" s="374">
        <v>0</v>
      </c>
      <c r="G1043" s="374">
        <v>0</v>
      </c>
      <c r="H1043" s="374">
        <v>0</v>
      </c>
      <c r="I1043" s="374">
        <v>0</v>
      </c>
      <c r="J1043" s="374">
        <v>0</v>
      </c>
      <c r="K1043" s="374">
        <v>0</v>
      </c>
      <c r="L1043" s="374">
        <v>0</v>
      </c>
      <c r="M1043" s="374">
        <v>0</v>
      </c>
      <c r="N1043" s="374">
        <v>0</v>
      </c>
      <c r="O1043" s="374">
        <v>0</v>
      </c>
      <c r="P1043" s="374">
        <v>0</v>
      </c>
      <c r="Q1043" s="374">
        <v>0</v>
      </c>
      <c r="R1043" s="374">
        <v>0</v>
      </c>
      <c r="S1043" s="375">
        <v>0</v>
      </c>
      <c r="T1043" s="375">
        <v>0</v>
      </c>
      <c r="U1043" s="375">
        <v>0</v>
      </c>
      <c r="V1043" s="380" t="e">
        <f t="shared" ca="1" si="115"/>
        <v>#NAME?</v>
      </c>
    </row>
    <row r="1044" spans="1:22" ht="14.25" hidden="1" customHeight="1">
      <c r="A1044" s="383" t="s">
        <v>1843</v>
      </c>
      <c r="B1044" s="370" t="e">
        <f ca="1">_xludf.IFNA(VLOOKUP(Bolts!$A1044,'Urban Plastix Holds'!$I$37:$L$708,4,0),0)</f>
        <v>#NAME?</v>
      </c>
      <c r="C1044" s="384">
        <v>5</v>
      </c>
      <c r="D1044" s="373">
        <v>0</v>
      </c>
      <c r="E1044" s="373">
        <f ca="1">IFERROR(Bolts!$C1044*B1044,0)</f>
        <v>0</v>
      </c>
      <c r="F1044" s="374">
        <v>0</v>
      </c>
      <c r="G1044" s="374">
        <v>0</v>
      </c>
      <c r="H1044" s="374">
        <v>0</v>
      </c>
      <c r="I1044" s="374">
        <v>0</v>
      </c>
      <c r="J1044" s="374">
        <v>0</v>
      </c>
      <c r="K1044" s="374">
        <v>0</v>
      </c>
      <c r="L1044" s="374">
        <v>0</v>
      </c>
      <c r="M1044" s="374">
        <v>0</v>
      </c>
      <c r="N1044" s="374">
        <v>0</v>
      </c>
      <c r="O1044" s="374">
        <v>0</v>
      </c>
      <c r="P1044" s="374">
        <v>0</v>
      </c>
      <c r="Q1044" s="374">
        <v>0</v>
      </c>
      <c r="R1044" s="374">
        <v>0</v>
      </c>
      <c r="S1044" s="375">
        <v>0</v>
      </c>
      <c r="T1044" s="375">
        <v>0</v>
      </c>
      <c r="U1044" s="375">
        <v>0</v>
      </c>
      <c r="V1044" s="380" t="e">
        <f t="shared" ca="1" si="115"/>
        <v>#NAME?</v>
      </c>
    </row>
    <row r="1045" spans="1:22" ht="14.25" hidden="1" customHeight="1">
      <c r="A1045" s="383" t="s">
        <v>1845</v>
      </c>
      <c r="B1045" s="370" t="e">
        <f ca="1">_xludf.IFNA(VLOOKUP(Bolts!$A1045,'Urban Plastix Holds'!$I$37:$L$708,4,0),0)</f>
        <v>#NAME?</v>
      </c>
      <c r="C1045" s="384">
        <v>5</v>
      </c>
      <c r="D1045" s="373">
        <v>0</v>
      </c>
      <c r="E1045" s="373">
        <f ca="1">IFERROR(Bolts!$C1045*B1045,0)</f>
        <v>0</v>
      </c>
      <c r="F1045" s="374">
        <v>0</v>
      </c>
      <c r="G1045" s="374">
        <v>0</v>
      </c>
      <c r="H1045" s="374">
        <v>0</v>
      </c>
      <c r="I1045" s="374">
        <v>0</v>
      </c>
      <c r="J1045" s="374">
        <v>0</v>
      </c>
      <c r="K1045" s="374">
        <v>0</v>
      </c>
      <c r="L1045" s="374">
        <v>0</v>
      </c>
      <c r="M1045" s="374">
        <v>0</v>
      </c>
      <c r="N1045" s="374">
        <v>0</v>
      </c>
      <c r="O1045" s="374">
        <v>0</v>
      </c>
      <c r="P1045" s="374">
        <v>0</v>
      </c>
      <c r="Q1045" s="374">
        <v>0</v>
      </c>
      <c r="R1045" s="374">
        <v>0</v>
      </c>
      <c r="S1045" s="375">
        <v>0</v>
      </c>
      <c r="T1045" s="375">
        <v>0</v>
      </c>
      <c r="U1045" s="375">
        <v>0</v>
      </c>
      <c r="V1045" s="380" t="e">
        <f t="shared" ca="1" si="115"/>
        <v>#NAME?</v>
      </c>
    </row>
    <row r="1046" spans="1:22" ht="14.25" hidden="1" customHeight="1">
      <c r="A1046" s="383" t="s">
        <v>1847</v>
      </c>
      <c r="B1046" s="370" t="e">
        <f ca="1">_xludf.IFNA(VLOOKUP(Bolts!$A1046,'Urban Plastix Holds'!$I$37:$L$708,4,0),0)</f>
        <v>#NAME?</v>
      </c>
      <c r="C1046" s="384">
        <v>5</v>
      </c>
      <c r="D1046" s="373">
        <v>0</v>
      </c>
      <c r="E1046" s="373">
        <f ca="1">IFERROR(Bolts!$C1046*B1046,0)</f>
        <v>0</v>
      </c>
      <c r="F1046" s="374">
        <v>0</v>
      </c>
      <c r="G1046" s="374">
        <v>0</v>
      </c>
      <c r="H1046" s="374">
        <v>0</v>
      </c>
      <c r="I1046" s="374">
        <v>0</v>
      </c>
      <c r="J1046" s="374">
        <v>0</v>
      </c>
      <c r="K1046" s="374">
        <v>0</v>
      </c>
      <c r="L1046" s="374">
        <v>0</v>
      </c>
      <c r="M1046" s="374">
        <v>0</v>
      </c>
      <c r="N1046" s="374">
        <v>0</v>
      </c>
      <c r="O1046" s="374">
        <v>0</v>
      </c>
      <c r="P1046" s="374">
        <v>0</v>
      </c>
      <c r="Q1046" s="374">
        <v>0</v>
      </c>
      <c r="R1046" s="374">
        <v>0</v>
      </c>
      <c r="S1046" s="375">
        <v>0</v>
      </c>
      <c r="T1046" s="375">
        <v>0</v>
      </c>
      <c r="U1046" s="375">
        <v>0</v>
      </c>
      <c r="V1046" s="380" t="e">
        <f t="shared" ca="1" si="115"/>
        <v>#NAME?</v>
      </c>
    </row>
    <row r="1047" spans="1:22" ht="14.25" hidden="1" customHeight="1">
      <c r="A1047" s="383" t="s">
        <v>1852</v>
      </c>
      <c r="B1047" s="370" t="e">
        <f ca="1">_xludf.IFNA(VLOOKUP(Bolts!$A1047,'Urban Plastix Holds'!$I$37:$L$708,4,0),0)</f>
        <v>#NAME?</v>
      </c>
      <c r="C1047" s="384">
        <v>5</v>
      </c>
      <c r="D1047" s="373">
        <f ca="1">IFERROR(Bolts!$C1047*B1047,0)</f>
        <v>0</v>
      </c>
      <c r="E1047" s="373">
        <v>0</v>
      </c>
      <c r="F1047" s="374">
        <v>0</v>
      </c>
      <c r="G1047" s="374">
        <v>0</v>
      </c>
      <c r="H1047" s="374">
        <v>0</v>
      </c>
      <c r="I1047" s="374">
        <v>0</v>
      </c>
      <c r="J1047" s="374">
        <v>0</v>
      </c>
      <c r="K1047" s="374">
        <v>0</v>
      </c>
      <c r="L1047" s="374">
        <v>0</v>
      </c>
      <c r="M1047" s="374">
        <v>0</v>
      </c>
      <c r="N1047" s="374">
        <v>0</v>
      </c>
      <c r="O1047" s="374">
        <v>0</v>
      </c>
      <c r="P1047" s="374">
        <v>0</v>
      </c>
      <c r="Q1047" s="374">
        <v>0</v>
      </c>
      <c r="R1047" s="374">
        <v>0</v>
      </c>
      <c r="S1047" s="375">
        <v>0</v>
      </c>
      <c r="T1047" s="375">
        <v>0</v>
      </c>
      <c r="U1047" s="375">
        <v>0</v>
      </c>
      <c r="V1047" s="380" t="e">
        <f t="shared" ca="1" si="115"/>
        <v>#NAME?</v>
      </c>
    </row>
    <row r="1048" spans="1:22" ht="14.25" hidden="1" customHeight="1">
      <c r="A1048" s="383" t="s">
        <v>1854</v>
      </c>
      <c r="B1048" s="370" t="e">
        <f ca="1">_xludf.IFNA(VLOOKUP(Bolts!$A1048,'Urban Plastix Holds'!$I$37:$L$708,4,0),0)</f>
        <v>#NAME?</v>
      </c>
      <c r="C1048" s="384">
        <v>5</v>
      </c>
      <c r="D1048" s="373">
        <f ca="1">IFERROR(Bolts!$C1048*B1048,0)</f>
        <v>0</v>
      </c>
      <c r="E1048" s="373">
        <v>0</v>
      </c>
      <c r="F1048" s="374">
        <v>0</v>
      </c>
      <c r="G1048" s="374">
        <v>0</v>
      </c>
      <c r="H1048" s="374">
        <v>0</v>
      </c>
      <c r="I1048" s="374">
        <v>0</v>
      </c>
      <c r="J1048" s="374">
        <v>0</v>
      </c>
      <c r="K1048" s="374">
        <v>0</v>
      </c>
      <c r="L1048" s="374">
        <v>0</v>
      </c>
      <c r="M1048" s="374">
        <v>0</v>
      </c>
      <c r="N1048" s="374">
        <v>0</v>
      </c>
      <c r="O1048" s="374">
        <v>0</v>
      </c>
      <c r="P1048" s="374">
        <v>0</v>
      </c>
      <c r="Q1048" s="374">
        <v>0</v>
      </c>
      <c r="R1048" s="374">
        <v>0</v>
      </c>
      <c r="S1048" s="375">
        <v>0</v>
      </c>
      <c r="T1048" s="375">
        <v>0</v>
      </c>
      <c r="U1048" s="375">
        <v>0</v>
      </c>
      <c r="V1048" s="380" t="e">
        <f t="shared" ca="1" si="115"/>
        <v>#NAME?</v>
      </c>
    </row>
    <row r="1049" spans="1:22" ht="14.25" hidden="1" customHeight="1">
      <c r="A1049" s="383" t="s">
        <v>1857</v>
      </c>
      <c r="B1049" s="370" t="e">
        <f ca="1">_xludf.IFNA(VLOOKUP(Bolts!$A1049,'Urban Plastix Holds'!$I$37:$L$708,4,0),0)</f>
        <v>#NAME?</v>
      </c>
      <c r="C1049" s="384">
        <v>5</v>
      </c>
      <c r="D1049" s="373">
        <f ca="1">IFERROR(Bolts!$C1049*B1049,0)</f>
        <v>0</v>
      </c>
      <c r="E1049" s="373">
        <v>0</v>
      </c>
      <c r="F1049" s="374">
        <v>0</v>
      </c>
      <c r="G1049" s="374">
        <v>0</v>
      </c>
      <c r="H1049" s="374">
        <v>0</v>
      </c>
      <c r="I1049" s="374">
        <v>0</v>
      </c>
      <c r="J1049" s="374">
        <v>0</v>
      </c>
      <c r="K1049" s="374">
        <v>0</v>
      </c>
      <c r="L1049" s="374">
        <v>0</v>
      </c>
      <c r="M1049" s="374">
        <v>0</v>
      </c>
      <c r="N1049" s="374">
        <v>0</v>
      </c>
      <c r="O1049" s="374">
        <v>0</v>
      </c>
      <c r="P1049" s="374">
        <v>0</v>
      </c>
      <c r="Q1049" s="374">
        <v>0</v>
      </c>
      <c r="R1049" s="374">
        <v>0</v>
      </c>
      <c r="S1049" s="375">
        <v>0</v>
      </c>
      <c r="T1049" s="375">
        <v>0</v>
      </c>
      <c r="U1049" s="375">
        <v>0</v>
      </c>
      <c r="V1049" s="380" t="e">
        <f t="shared" ca="1" si="115"/>
        <v>#NAME?</v>
      </c>
    </row>
    <row r="1050" spans="1:22" ht="14.25" hidden="1" customHeight="1">
      <c r="A1050" s="383" t="s">
        <v>1860</v>
      </c>
      <c r="B1050" s="370" t="e">
        <f ca="1">_xludf.IFNA(VLOOKUP(Bolts!$A1050,'Urban Plastix Holds'!$I$37:$L$708,4,0),0)</f>
        <v>#NAME?</v>
      </c>
      <c r="C1050" s="384">
        <v>10</v>
      </c>
      <c r="D1050" s="373">
        <f ca="1">IFERROR(Bolts!$C1050*B1050,0)</f>
        <v>0</v>
      </c>
      <c r="E1050" s="373">
        <v>0</v>
      </c>
      <c r="F1050" s="374">
        <v>0</v>
      </c>
      <c r="G1050" s="374">
        <v>0</v>
      </c>
      <c r="H1050" s="374">
        <v>0</v>
      </c>
      <c r="I1050" s="374">
        <v>0</v>
      </c>
      <c r="J1050" s="374">
        <v>0</v>
      </c>
      <c r="K1050" s="374">
        <v>0</v>
      </c>
      <c r="L1050" s="374">
        <v>0</v>
      </c>
      <c r="M1050" s="374">
        <v>0</v>
      </c>
      <c r="N1050" s="374">
        <v>0</v>
      </c>
      <c r="O1050" s="374">
        <v>0</v>
      </c>
      <c r="P1050" s="374">
        <v>0</v>
      </c>
      <c r="Q1050" s="374">
        <v>0</v>
      </c>
      <c r="R1050" s="374">
        <v>0</v>
      </c>
      <c r="S1050" s="375">
        <v>0</v>
      </c>
      <c r="T1050" s="375">
        <v>0</v>
      </c>
      <c r="U1050" s="375">
        <v>0</v>
      </c>
      <c r="V1050" s="380" t="e">
        <f t="shared" ca="1" si="115"/>
        <v>#NAME?</v>
      </c>
    </row>
    <row r="1051" spans="1:22" ht="14.25" hidden="1" customHeight="1">
      <c r="A1051" s="383" t="s">
        <v>1863</v>
      </c>
      <c r="B1051" s="370" t="e">
        <f ca="1">_xludf.IFNA(VLOOKUP(Bolts!$A1051,'Urban Plastix Holds'!$I$37:$L$708,4,0),0)</f>
        <v>#NAME?</v>
      </c>
      <c r="C1051" s="384">
        <v>24</v>
      </c>
      <c r="D1051" s="373">
        <f ca="1">IFERROR(Bolts!$C1051*B1051,0)</f>
        <v>0</v>
      </c>
      <c r="E1051" s="373">
        <v>0</v>
      </c>
      <c r="F1051" s="374">
        <v>0</v>
      </c>
      <c r="G1051" s="374">
        <v>0</v>
      </c>
      <c r="H1051" s="374">
        <v>0</v>
      </c>
      <c r="I1051" s="374">
        <v>0</v>
      </c>
      <c r="J1051" s="374">
        <v>0</v>
      </c>
      <c r="K1051" s="374">
        <v>0</v>
      </c>
      <c r="L1051" s="374">
        <v>0</v>
      </c>
      <c r="M1051" s="374">
        <v>0</v>
      </c>
      <c r="N1051" s="374">
        <v>0</v>
      </c>
      <c r="O1051" s="374">
        <v>0</v>
      </c>
      <c r="P1051" s="374">
        <v>0</v>
      </c>
      <c r="Q1051" s="374">
        <v>0</v>
      </c>
      <c r="R1051" s="374">
        <v>0</v>
      </c>
      <c r="S1051" s="375">
        <v>0</v>
      </c>
      <c r="T1051" s="375">
        <v>0</v>
      </c>
      <c r="U1051" s="375">
        <v>0</v>
      </c>
      <c r="V1051" s="380" t="e">
        <f t="shared" ca="1" si="115"/>
        <v>#NAME?</v>
      </c>
    </row>
    <row r="1052" spans="1:22" ht="14.25" hidden="1" customHeight="1">
      <c r="A1052" s="383" t="s">
        <v>1865</v>
      </c>
      <c r="B1052" s="370" t="e">
        <f ca="1">_xludf.IFNA(VLOOKUP(Bolts!$A1052,'Urban Plastix Holds'!$I$37:$L$708,4,0),0)</f>
        <v>#NAME?</v>
      </c>
      <c r="C1052" s="384">
        <v>10</v>
      </c>
      <c r="D1052" s="373">
        <f ca="1">IFERROR(Bolts!$C1052*B1052,0)</f>
        <v>0</v>
      </c>
      <c r="E1052" s="373">
        <v>0</v>
      </c>
      <c r="F1052" s="374">
        <v>0</v>
      </c>
      <c r="G1052" s="374">
        <v>0</v>
      </c>
      <c r="H1052" s="374">
        <v>0</v>
      </c>
      <c r="I1052" s="374">
        <v>0</v>
      </c>
      <c r="J1052" s="374">
        <v>0</v>
      </c>
      <c r="K1052" s="374">
        <v>0</v>
      </c>
      <c r="L1052" s="374">
        <v>0</v>
      </c>
      <c r="M1052" s="374">
        <v>0</v>
      </c>
      <c r="N1052" s="374">
        <v>0</v>
      </c>
      <c r="O1052" s="374">
        <v>0</v>
      </c>
      <c r="P1052" s="374">
        <v>0</v>
      </c>
      <c r="Q1052" s="374">
        <v>0</v>
      </c>
      <c r="R1052" s="374">
        <v>0</v>
      </c>
      <c r="S1052" s="375">
        <v>0</v>
      </c>
      <c r="T1052" s="375">
        <v>0</v>
      </c>
      <c r="U1052" s="375">
        <v>0</v>
      </c>
      <c r="V1052" s="380" t="e">
        <f t="shared" ca="1" si="115"/>
        <v>#NAME?</v>
      </c>
    </row>
    <row r="1053" spans="1:22" ht="14.25" hidden="1" customHeight="1">
      <c r="A1053" s="383" t="s">
        <v>1868</v>
      </c>
      <c r="B1053" s="370" t="e">
        <f ca="1">_xludf.IFNA(VLOOKUP(Bolts!$A1053,'Urban Plastix Holds'!$I$37:$L$708,4,0),0)</f>
        <v>#NAME?</v>
      </c>
      <c r="C1053" s="384">
        <v>1</v>
      </c>
      <c r="D1053" s="373">
        <v>0</v>
      </c>
      <c r="E1053" s="373">
        <v>0</v>
      </c>
      <c r="F1053" s="374">
        <v>0</v>
      </c>
      <c r="G1053" s="374">
        <v>0</v>
      </c>
      <c r="H1053" s="374">
        <v>0</v>
      </c>
      <c r="I1053" s="374">
        <v>0</v>
      </c>
      <c r="J1053" s="374">
        <v>0</v>
      </c>
      <c r="K1053" s="374">
        <v>0</v>
      </c>
      <c r="L1053" s="374">
        <v>0</v>
      </c>
      <c r="M1053" s="374">
        <v>0</v>
      </c>
      <c r="N1053" s="374">
        <v>0</v>
      </c>
      <c r="O1053" s="374">
        <v>0</v>
      </c>
      <c r="P1053" s="374">
        <v>0</v>
      </c>
      <c r="Q1053" s="374">
        <v>0</v>
      </c>
      <c r="R1053" s="374">
        <v>0</v>
      </c>
      <c r="S1053" s="375">
        <f ca="1">IFERROR(7*B1053,0)</f>
        <v>0</v>
      </c>
      <c r="T1053" s="375">
        <v>0</v>
      </c>
      <c r="U1053" s="375">
        <v>0</v>
      </c>
      <c r="V1053" s="380" t="e">
        <f t="shared" ca="1" si="115"/>
        <v>#NAME?</v>
      </c>
    </row>
    <row r="1054" spans="1:22" ht="14.25" hidden="1" customHeight="1">
      <c r="A1054" s="383" t="s">
        <v>1870</v>
      </c>
      <c r="B1054" s="370" t="e">
        <f ca="1">_xludf.IFNA(VLOOKUP(Bolts!$A1054,'Urban Plastix Holds'!$I$37:$L$708,4,0),0)</f>
        <v>#NAME?</v>
      </c>
      <c r="C1054" s="384">
        <v>1</v>
      </c>
      <c r="D1054" s="373">
        <v>0</v>
      </c>
      <c r="E1054" s="373">
        <v>0</v>
      </c>
      <c r="F1054" s="374">
        <v>0</v>
      </c>
      <c r="G1054" s="374">
        <v>0</v>
      </c>
      <c r="H1054" s="374">
        <v>0</v>
      </c>
      <c r="I1054" s="374">
        <v>0</v>
      </c>
      <c r="J1054" s="374">
        <v>0</v>
      </c>
      <c r="K1054" s="374">
        <v>0</v>
      </c>
      <c r="L1054" s="374">
        <v>0</v>
      </c>
      <c r="M1054" s="374">
        <v>0</v>
      </c>
      <c r="N1054" s="374">
        <v>0</v>
      </c>
      <c r="O1054" s="374">
        <v>0</v>
      </c>
      <c r="P1054" s="374">
        <v>0</v>
      </c>
      <c r="Q1054" s="374">
        <v>0</v>
      </c>
      <c r="R1054" s="374">
        <v>0</v>
      </c>
      <c r="S1054" s="375">
        <v>0</v>
      </c>
      <c r="T1054" s="375">
        <v>0</v>
      </c>
      <c r="U1054" s="375">
        <f ca="1">IFERROR(9*B1054,0)</f>
        <v>0</v>
      </c>
      <c r="V1054" s="380" t="e">
        <f t="shared" ca="1" si="115"/>
        <v>#NAME?</v>
      </c>
    </row>
    <row r="1055" spans="1:22" ht="14.25" hidden="1" customHeight="1">
      <c r="A1055" s="383" t="s">
        <v>2192</v>
      </c>
      <c r="B1055" s="370" t="e">
        <f ca="1">_xludf.IFNA(VLOOKUP(Bolts!$A1055,'Urban Plastix Holds'!$I$37:$L$708,4,0),0)</f>
        <v>#NAME?</v>
      </c>
      <c r="C1055" s="384">
        <v>2</v>
      </c>
      <c r="D1055" s="373">
        <v>0</v>
      </c>
      <c r="E1055" s="373">
        <v>0</v>
      </c>
      <c r="F1055" s="374">
        <v>0</v>
      </c>
      <c r="G1055" s="374">
        <v>0</v>
      </c>
      <c r="H1055" s="374">
        <v>0</v>
      </c>
      <c r="I1055" s="374">
        <v>0</v>
      </c>
      <c r="J1055" s="374">
        <f ca="1">IFERROR(2*B1055,0)</f>
        <v>0</v>
      </c>
      <c r="K1055" s="374">
        <v>0</v>
      </c>
      <c r="L1055" s="374">
        <v>0</v>
      </c>
      <c r="M1055" s="374">
        <v>0</v>
      </c>
      <c r="N1055" s="374">
        <v>0</v>
      </c>
      <c r="O1055" s="374">
        <v>0</v>
      </c>
      <c r="P1055" s="374">
        <v>0</v>
      </c>
      <c r="Q1055" s="374">
        <v>0</v>
      </c>
      <c r="R1055" s="374">
        <v>0</v>
      </c>
      <c r="S1055" s="375">
        <v>0</v>
      </c>
      <c r="T1055" s="375">
        <v>0</v>
      </c>
      <c r="U1055" s="375">
        <v>0</v>
      </c>
      <c r="V1055" s="380" t="e">
        <f t="shared" ca="1" si="115"/>
        <v>#NAME?</v>
      </c>
    </row>
    <row r="1056" spans="1:22" ht="14.25" hidden="1" customHeight="1">
      <c r="A1056" s="383" t="s">
        <v>2193</v>
      </c>
      <c r="B1056" s="370" t="e">
        <f ca="1">_xludf.IFNA(VLOOKUP(Bolts!$A1056,'Urban Plastix Holds'!$I$37:$L$708,4,0),0)</f>
        <v>#NAME?</v>
      </c>
      <c r="C1056" s="384">
        <v>3</v>
      </c>
      <c r="D1056" s="373">
        <v>0</v>
      </c>
      <c r="E1056" s="373">
        <v>0</v>
      </c>
      <c r="F1056" s="374">
        <v>0</v>
      </c>
      <c r="G1056" s="374">
        <v>0</v>
      </c>
      <c r="H1056" s="374">
        <v>0</v>
      </c>
      <c r="I1056" s="374">
        <v>0</v>
      </c>
      <c r="J1056" s="374">
        <f ca="1">IFERROR(3*B1056,0)</f>
        <v>0</v>
      </c>
      <c r="K1056" s="374">
        <v>0</v>
      </c>
      <c r="L1056" s="374">
        <v>0</v>
      </c>
      <c r="M1056" s="374">
        <v>0</v>
      </c>
      <c r="N1056" s="374">
        <v>0</v>
      </c>
      <c r="O1056" s="374">
        <v>0</v>
      </c>
      <c r="P1056" s="374">
        <v>0</v>
      </c>
      <c r="Q1056" s="374">
        <v>0</v>
      </c>
      <c r="R1056" s="374">
        <v>0</v>
      </c>
      <c r="S1056" s="375">
        <v>0</v>
      </c>
      <c r="T1056" s="375">
        <v>0</v>
      </c>
      <c r="U1056" s="375">
        <v>0</v>
      </c>
      <c r="V1056" s="380" t="e">
        <f t="shared" ca="1" si="115"/>
        <v>#NAME?</v>
      </c>
    </row>
    <row r="1057" spans="1:22" ht="14.25" hidden="1" customHeight="1">
      <c r="A1057" s="383" t="s">
        <v>2194</v>
      </c>
      <c r="B1057" s="370" t="e">
        <f ca="1">_xludf.IFNA(VLOOKUP(Bolts!$A1057,'Urban Plastix Holds'!$I$37:$L$708,4,0),0)</f>
        <v>#NAME?</v>
      </c>
      <c r="C1057" s="384">
        <v>2</v>
      </c>
      <c r="D1057" s="373">
        <v>0</v>
      </c>
      <c r="E1057" s="373">
        <v>0</v>
      </c>
      <c r="F1057" s="374">
        <v>0</v>
      </c>
      <c r="G1057" s="374">
        <v>0</v>
      </c>
      <c r="H1057" s="374">
        <v>0</v>
      </c>
      <c r="I1057" s="374">
        <f ca="1">IFERROR(2*B1057,0)</f>
        <v>0</v>
      </c>
      <c r="J1057" s="374">
        <v>0</v>
      </c>
      <c r="K1057" s="374">
        <v>0</v>
      </c>
      <c r="L1057" s="374">
        <v>0</v>
      </c>
      <c r="M1057" s="374">
        <v>0</v>
      </c>
      <c r="N1057" s="374">
        <v>0</v>
      </c>
      <c r="O1057" s="374">
        <v>0</v>
      </c>
      <c r="P1057" s="374">
        <v>0</v>
      </c>
      <c r="Q1057" s="374">
        <v>0</v>
      </c>
      <c r="R1057" s="374">
        <v>0</v>
      </c>
      <c r="S1057" s="375">
        <v>0</v>
      </c>
      <c r="T1057" s="375">
        <v>0</v>
      </c>
      <c r="U1057" s="375">
        <v>0</v>
      </c>
      <c r="V1057" s="380" t="e">
        <f t="shared" ca="1" si="115"/>
        <v>#NAME?</v>
      </c>
    </row>
    <row r="1058" spans="1:22" ht="14.25" hidden="1" customHeight="1">
      <c r="A1058" s="383" t="s">
        <v>2195</v>
      </c>
      <c r="B1058" s="370" t="e">
        <f ca="1">_xludf.IFNA(VLOOKUP(Bolts!$A1058,'Urban Plastix Holds'!$I$37:$L$708,4,0),0)</f>
        <v>#NAME?</v>
      </c>
      <c r="C1058" s="384">
        <v>5</v>
      </c>
      <c r="D1058" s="373">
        <v>0</v>
      </c>
      <c r="E1058" s="373">
        <v>0</v>
      </c>
      <c r="F1058" s="374">
        <v>0</v>
      </c>
      <c r="G1058" s="374">
        <v>0</v>
      </c>
      <c r="H1058" s="374">
        <v>0</v>
      </c>
      <c r="I1058" s="374">
        <f ca="1">IFERROR(5*B1058,0)</f>
        <v>0</v>
      </c>
      <c r="J1058" s="374">
        <v>0</v>
      </c>
      <c r="K1058" s="374">
        <v>0</v>
      </c>
      <c r="L1058" s="374">
        <v>0</v>
      </c>
      <c r="M1058" s="374">
        <v>0</v>
      </c>
      <c r="N1058" s="374">
        <v>0</v>
      </c>
      <c r="O1058" s="374">
        <v>0</v>
      </c>
      <c r="P1058" s="374">
        <v>0</v>
      </c>
      <c r="Q1058" s="374">
        <v>0</v>
      </c>
      <c r="R1058" s="374">
        <v>0</v>
      </c>
      <c r="S1058" s="375">
        <v>0</v>
      </c>
      <c r="T1058" s="375">
        <v>0</v>
      </c>
      <c r="U1058" s="375">
        <v>0</v>
      </c>
      <c r="V1058" s="380" t="e">
        <f t="shared" ca="1" si="115"/>
        <v>#NAME?</v>
      </c>
    </row>
    <row r="1059" spans="1:22" ht="14.25" hidden="1" customHeight="1">
      <c r="A1059" s="383" t="s">
        <v>2196</v>
      </c>
      <c r="B1059" s="370" t="e">
        <f ca="1">_xludf.IFNA(VLOOKUP(Bolts!$A1059,'Urban Plastix Holds'!$I$37:$L$708,4,0),0)</f>
        <v>#NAME?</v>
      </c>
      <c r="C1059" s="384">
        <v>2</v>
      </c>
      <c r="D1059" s="373">
        <v>0</v>
      </c>
      <c r="E1059" s="373">
        <v>0</v>
      </c>
      <c r="F1059" s="374">
        <v>0</v>
      </c>
      <c r="G1059" s="374">
        <v>0</v>
      </c>
      <c r="H1059" s="374">
        <f ca="1">IFERROR(2*B1059,0)</f>
        <v>0</v>
      </c>
      <c r="I1059" s="374">
        <v>0</v>
      </c>
      <c r="J1059" s="374">
        <v>0</v>
      </c>
      <c r="K1059" s="374">
        <v>0</v>
      </c>
      <c r="L1059" s="374">
        <v>0</v>
      </c>
      <c r="M1059" s="374">
        <v>0</v>
      </c>
      <c r="N1059" s="374">
        <v>0</v>
      </c>
      <c r="O1059" s="374">
        <v>0</v>
      </c>
      <c r="P1059" s="374">
        <v>0</v>
      </c>
      <c r="Q1059" s="374">
        <v>0</v>
      </c>
      <c r="R1059" s="374">
        <v>0</v>
      </c>
      <c r="S1059" s="375">
        <v>0</v>
      </c>
      <c r="T1059" s="375">
        <v>0</v>
      </c>
      <c r="U1059" s="375">
        <v>0</v>
      </c>
      <c r="V1059" s="380" t="e">
        <f t="shared" ca="1" si="115"/>
        <v>#NAME?</v>
      </c>
    </row>
    <row r="1060" spans="1:22" ht="14.25" hidden="1" customHeight="1">
      <c r="A1060" s="383" t="s">
        <v>2197</v>
      </c>
      <c r="B1060" s="370" t="e">
        <f ca="1">_xludf.IFNA(VLOOKUP(Bolts!$A1060,'Urban Plastix Holds'!$I$37:$L$708,4,0),0)</f>
        <v>#NAME?</v>
      </c>
      <c r="C1060" s="384">
        <v>5</v>
      </c>
      <c r="D1060" s="373">
        <v>0</v>
      </c>
      <c r="E1060" s="373">
        <v>0</v>
      </c>
      <c r="F1060" s="374">
        <v>0</v>
      </c>
      <c r="G1060" s="374">
        <v>0</v>
      </c>
      <c r="H1060" s="374">
        <f ca="1">IFERROR(5*B1060,0)</f>
        <v>0</v>
      </c>
      <c r="I1060" s="374">
        <v>0</v>
      </c>
      <c r="J1060" s="374">
        <v>0</v>
      </c>
      <c r="K1060" s="374">
        <v>0</v>
      </c>
      <c r="L1060" s="374">
        <v>0</v>
      </c>
      <c r="M1060" s="374">
        <v>0</v>
      </c>
      <c r="N1060" s="374">
        <v>0</v>
      </c>
      <c r="O1060" s="374">
        <v>0</v>
      </c>
      <c r="P1060" s="374">
        <v>0</v>
      </c>
      <c r="Q1060" s="374">
        <v>0</v>
      </c>
      <c r="R1060" s="374">
        <v>0</v>
      </c>
      <c r="S1060" s="375">
        <v>0</v>
      </c>
      <c r="T1060" s="375">
        <v>0</v>
      </c>
      <c r="U1060" s="375">
        <v>0</v>
      </c>
      <c r="V1060" s="380" t="e">
        <f t="shared" ca="1" si="115"/>
        <v>#NAME?</v>
      </c>
    </row>
    <row r="1061" spans="1:22" ht="14.25" hidden="1" customHeight="1">
      <c r="A1061" s="383" t="s">
        <v>2198</v>
      </c>
      <c r="B1061" s="370" t="e">
        <f ca="1">_xludf.IFNA(VLOOKUP(Bolts!$A1061,'Urban Plastix Holds'!$I$37:$L$708,4,0),0)</f>
        <v>#NAME?</v>
      </c>
      <c r="C1061" s="384">
        <v>15</v>
      </c>
      <c r="D1061" s="373">
        <f ca="1">IFERROR(15*B1061,0)</f>
        <v>0</v>
      </c>
      <c r="E1061" s="373">
        <v>0</v>
      </c>
      <c r="F1061" s="374">
        <v>0</v>
      </c>
      <c r="G1061" s="374">
        <v>0</v>
      </c>
      <c r="H1061" s="374">
        <v>0</v>
      </c>
      <c r="I1061" s="374">
        <v>0</v>
      </c>
      <c r="J1061" s="374">
        <v>0</v>
      </c>
      <c r="K1061" s="374">
        <v>0</v>
      </c>
      <c r="L1061" s="374">
        <v>0</v>
      </c>
      <c r="M1061" s="374">
        <v>0</v>
      </c>
      <c r="N1061" s="374">
        <v>0</v>
      </c>
      <c r="O1061" s="374">
        <v>0</v>
      </c>
      <c r="P1061" s="374">
        <v>0</v>
      </c>
      <c r="Q1061" s="374">
        <v>0</v>
      </c>
      <c r="R1061" s="374">
        <v>0</v>
      </c>
      <c r="S1061" s="375">
        <v>0</v>
      </c>
      <c r="T1061" s="375">
        <v>0</v>
      </c>
      <c r="U1061" s="375">
        <v>0</v>
      </c>
      <c r="V1061" s="380" t="e">
        <f t="shared" ca="1" si="115"/>
        <v>#NAME?</v>
      </c>
    </row>
    <row r="1062" spans="1:22" ht="14.25" hidden="1" customHeight="1">
      <c r="A1062" s="383" t="s">
        <v>2199</v>
      </c>
      <c r="B1062" s="370" t="e">
        <f ca="1">_xludf.IFNA(VLOOKUP(Bolts!$A1062,'Urban Plastix Holds'!$I$37:$L$708,4,0),0)</f>
        <v>#NAME?</v>
      </c>
      <c r="C1062" s="384">
        <v>25</v>
      </c>
      <c r="D1062" s="373">
        <f ca="1">IFERROR(25*B1062,0)</f>
        <v>0</v>
      </c>
      <c r="E1062" s="373">
        <v>0</v>
      </c>
      <c r="F1062" s="374">
        <v>0</v>
      </c>
      <c r="G1062" s="374">
        <v>0</v>
      </c>
      <c r="H1062" s="374">
        <v>0</v>
      </c>
      <c r="I1062" s="374">
        <v>0</v>
      </c>
      <c r="J1062" s="374">
        <v>0</v>
      </c>
      <c r="K1062" s="374">
        <v>0</v>
      </c>
      <c r="L1062" s="374">
        <v>0</v>
      </c>
      <c r="M1062" s="374">
        <v>0</v>
      </c>
      <c r="N1062" s="374">
        <v>0</v>
      </c>
      <c r="O1062" s="374">
        <v>0</v>
      </c>
      <c r="P1062" s="374">
        <v>0</v>
      </c>
      <c r="Q1062" s="374">
        <v>0</v>
      </c>
      <c r="R1062" s="374">
        <v>0</v>
      </c>
      <c r="S1062" s="375">
        <v>0</v>
      </c>
      <c r="T1062" s="375">
        <v>0</v>
      </c>
      <c r="U1062" s="375">
        <v>0</v>
      </c>
      <c r="V1062" s="380" t="e">
        <f t="shared" ca="1" si="115"/>
        <v>#NAME?</v>
      </c>
    </row>
    <row r="1063" spans="1:22" ht="14.25" hidden="1" customHeight="1">
      <c r="A1063" s="383" t="s">
        <v>2200</v>
      </c>
      <c r="B1063" s="370" t="e">
        <f ca="1">_xludf.IFNA(VLOOKUP(Bolts!$A1063,'Urban Plastix Holds'!$I$37:$L$708,4,0),0)</f>
        <v>#NAME?</v>
      </c>
      <c r="C1063" s="384">
        <v>1</v>
      </c>
      <c r="D1063" s="373">
        <v>0</v>
      </c>
      <c r="E1063" s="373">
        <v>0</v>
      </c>
      <c r="F1063" s="374">
        <v>0</v>
      </c>
      <c r="G1063" s="374">
        <v>0</v>
      </c>
      <c r="H1063" s="374">
        <v>0</v>
      </c>
      <c r="I1063" s="374">
        <v>0</v>
      </c>
      <c r="J1063" s="374">
        <v>0</v>
      </c>
      <c r="K1063" s="374">
        <f t="shared" ref="K1063:K1064" ca="1" si="116">IFERROR(1*B1063,0)</f>
        <v>0</v>
      </c>
      <c r="L1063" s="374">
        <v>0</v>
      </c>
      <c r="M1063" s="374">
        <v>0</v>
      </c>
      <c r="N1063" s="374">
        <v>0</v>
      </c>
      <c r="O1063" s="374">
        <v>0</v>
      </c>
      <c r="P1063" s="374">
        <v>0</v>
      </c>
      <c r="Q1063" s="374">
        <v>0</v>
      </c>
      <c r="R1063" s="374">
        <v>0</v>
      </c>
      <c r="S1063" s="375">
        <v>0</v>
      </c>
      <c r="T1063" s="375">
        <v>0</v>
      </c>
      <c r="U1063" s="375">
        <v>0</v>
      </c>
      <c r="V1063" s="380" t="e">
        <f t="shared" ca="1" si="115"/>
        <v>#NAME?</v>
      </c>
    </row>
    <row r="1064" spans="1:22" ht="14.25" hidden="1" customHeight="1">
      <c r="A1064" s="383" t="s">
        <v>2201</v>
      </c>
      <c r="B1064" s="370" t="e">
        <f ca="1">_xludf.IFNA(VLOOKUP(Bolts!$A1064,'Urban Plastix Holds'!$I$37:$L$708,4,0),0)</f>
        <v>#NAME?</v>
      </c>
      <c r="C1064" s="384">
        <v>1</v>
      </c>
      <c r="D1064" s="373">
        <v>0</v>
      </c>
      <c r="E1064" s="373">
        <v>0</v>
      </c>
      <c r="F1064" s="374">
        <v>0</v>
      </c>
      <c r="G1064" s="374">
        <v>0</v>
      </c>
      <c r="H1064" s="374">
        <v>0</v>
      </c>
      <c r="I1064" s="374">
        <v>0</v>
      </c>
      <c r="J1064" s="374">
        <v>0</v>
      </c>
      <c r="K1064" s="374">
        <f t="shared" ca="1" si="116"/>
        <v>0</v>
      </c>
      <c r="L1064" s="374">
        <v>0</v>
      </c>
      <c r="M1064" s="374">
        <v>0</v>
      </c>
      <c r="N1064" s="374">
        <v>0</v>
      </c>
      <c r="O1064" s="374">
        <v>0</v>
      </c>
      <c r="P1064" s="374">
        <v>0</v>
      </c>
      <c r="Q1064" s="374">
        <v>0</v>
      </c>
      <c r="R1064" s="374">
        <v>0</v>
      </c>
      <c r="S1064" s="375">
        <v>0</v>
      </c>
      <c r="T1064" s="375">
        <v>0</v>
      </c>
      <c r="U1064" s="375">
        <v>0</v>
      </c>
      <c r="V1064" s="380" t="e">
        <f t="shared" ca="1" si="115"/>
        <v>#NAME?</v>
      </c>
    </row>
    <row r="1065" spans="1:22" ht="14.25" hidden="1" customHeight="1">
      <c r="A1065" s="383" t="s">
        <v>2202</v>
      </c>
      <c r="B1065" s="370" t="e">
        <f ca="1">_xludf.IFNA(VLOOKUP(Bolts!$A1065,'Urban Plastix Holds'!$I$37:$L$708,4,0),0)</f>
        <v>#NAME?</v>
      </c>
      <c r="C1065" s="384">
        <v>2</v>
      </c>
      <c r="D1065" s="373">
        <v>0</v>
      </c>
      <c r="E1065" s="373">
        <v>0</v>
      </c>
      <c r="F1065" s="374">
        <v>0</v>
      </c>
      <c r="G1065" s="374">
        <v>0</v>
      </c>
      <c r="H1065" s="374">
        <v>0</v>
      </c>
      <c r="I1065" s="374">
        <v>0</v>
      </c>
      <c r="J1065" s="374">
        <v>0</v>
      </c>
      <c r="K1065" s="374">
        <f ca="1">IFERROR(2*B1065,0)</f>
        <v>0</v>
      </c>
      <c r="L1065" s="374">
        <v>0</v>
      </c>
      <c r="M1065" s="374">
        <v>0</v>
      </c>
      <c r="N1065" s="374">
        <v>0</v>
      </c>
      <c r="O1065" s="374">
        <v>0</v>
      </c>
      <c r="P1065" s="374">
        <v>0</v>
      </c>
      <c r="Q1065" s="374">
        <v>0</v>
      </c>
      <c r="R1065" s="374">
        <v>0</v>
      </c>
      <c r="S1065" s="375">
        <v>0</v>
      </c>
      <c r="T1065" s="375">
        <v>0</v>
      </c>
      <c r="U1065" s="375">
        <v>0</v>
      </c>
      <c r="V1065" s="380" t="e">
        <f t="shared" ca="1" si="115"/>
        <v>#NAME?</v>
      </c>
    </row>
    <row r="1066" spans="1:22" ht="14.25" hidden="1" customHeight="1">
      <c r="A1066" s="383" t="s">
        <v>2203</v>
      </c>
      <c r="B1066" s="370" t="e">
        <f ca="1">_xludf.IFNA(VLOOKUP(Bolts!$A1066,'Urban Plastix Holds'!$I$37:$L$708,4,0),0)</f>
        <v>#NAME?</v>
      </c>
      <c r="C1066" s="384">
        <v>5</v>
      </c>
      <c r="D1066" s="373">
        <v>0</v>
      </c>
      <c r="E1066" s="373">
        <v>0</v>
      </c>
      <c r="F1066" s="374">
        <v>0</v>
      </c>
      <c r="G1066" s="374">
        <v>0</v>
      </c>
      <c r="H1066" s="374">
        <v>0</v>
      </c>
      <c r="I1066" s="374">
        <v>0</v>
      </c>
      <c r="J1066" s="374">
        <f ca="1">IFERROR(5*B1066,0)</f>
        <v>0</v>
      </c>
      <c r="K1066" s="374">
        <v>0</v>
      </c>
      <c r="L1066" s="374">
        <v>0</v>
      </c>
      <c r="M1066" s="374">
        <v>0</v>
      </c>
      <c r="N1066" s="374">
        <v>0</v>
      </c>
      <c r="O1066" s="374">
        <v>0</v>
      </c>
      <c r="P1066" s="374">
        <v>0</v>
      </c>
      <c r="Q1066" s="374">
        <v>0</v>
      </c>
      <c r="R1066" s="374">
        <v>0</v>
      </c>
      <c r="S1066" s="375">
        <v>0</v>
      </c>
      <c r="T1066" s="375">
        <v>0</v>
      </c>
      <c r="U1066" s="375">
        <v>0</v>
      </c>
      <c r="V1066" s="380" t="e">
        <f t="shared" ca="1" si="115"/>
        <v>#NAME?</v>
      </c>
    </row>
    <row r="1067" spans="1:22" ht="14.25" hidden="1" customHeight="1">
      <c r="A1067" s="383" t="s">
        <v>2204</v>
      </c>
      <c r="B1067" s="370" t="e">
        <f ca="1">_xludf.IFNA(VLOOKUP(Bolts!$A1067,'Urban Plastix Holds'!$I$37:$L$708,4,0),0)</f>
        <v>#NAME?</v>
      </c>
      <c r="C1067" s="384">
        <v>3</v>
      </c>
      <c r="D1067" s="373">
        <v>0</v>
      </c>
      <c r="E1067" s="373">
        <v>0</v>
      </c>
      <c r="F1067" s="374">
        <v>0</v>
      </c>
      <c r="G1067" s="374">
        <v>0</v>
      </c>
      <c r="H1067" s="374">
        <v>0</v>
      </c>
      <c r="I1067" s="374">
        <v>0</v>
      </c>
      <c r="J1067" s="374">
        <f t="shared" ref="J1067:J1068" ca="1" si="117">IFERROR(3*B1067,0)</f>
        <v>0</v>
      </c>
      <c r="K1067" s="374">
        <v>0</v>
      </c>
      <c r="L1067" s="374">
        <v>0</v>
      </c>
      <c r="M1067" s="374">
        <v>0</v>
      </c>
      <c r="N1067" s="374">
        <v>0</v>
      </c>
      <c r="O1067" s="374">
        <v>0</v>
      </c>
      <c r="P1067" s="374">
        <v>0</v>
      </c>
      <c r="Q1067" s="374">
        <v>0</v>
      </c>
      <c r="R1067" s="374">
        <v>0</v>
      </c>
      <c r="S1067" s="375">
        <v>0</v>
      </c>
      <c r="T1067" s="375">
        <v>0</v>
      </c>
      <c r="U1067" s="375">
        <v>0</v>
      </c>
      <c r="V1067" s="380" t="e">
        <f t="shared" ca="1" si="115"/>
        <v>#NAME?</v>
      </c>
    </row>
    <row r="1068" spans="1:22" ht="14.25" hidden="1" customHeight="1">
      <c r="A1068" s="383" t="s">
        <v>2205</v>
      </c>
      <c r="B1068" s="370" t="e">
        <f ca="1">_xludf.IFNA(VLOOKUP(Bolts!$A1068,'Urban Plastix Holds'!$I$37:$L$708,4,0),0)</f>
        <v>#NAME?</v>
      </c>
      <c r="C1068" s="384">
        <v>3</v>
      </c>
      <c r="D1068" s="373">
        <v>0</v>
      </c>
      <c r="E1068" s="373">
        <v>0</v>
      </c>
      <c r="F1068" s="374">
        <v>0</v>
      </c>
      <c r="G1068" s="374">
        <v>0</v>
      </c>
      <c r="H1068" s="374">
        <v>0</v>
      </c>
      <c r="I1068" s="374">
        <v>0</v>
      </c>
      <c r="J1068" s="374">
        <f t="shared" ca="1" si="117"/>
        <v>0</v>
      </c>
      <c r="K1068" s="374">
        <v>0</v>
      </c>
      <c r="L1068" s="374">
        <v>0</v>
      </c>
      <c r="M1068" s="374">
        <v>0</v>
      </c>
      <c r="N1068" s="374">
        <v>0</v>
      </c>
      <c r="O1068" s="374">
        <v>0</v>
      </c>
      <c r="P1068" s="374">
        <v>0</v>
      </c>
      <c r="Q1068" s="374">
        <v>0</v>
      </c>
      <c r="R1068" s="374">
        <v>0</v>
      </c>
      <c r="S1068" s="375">
        <v>0</v>
      </c>
      <c r="T1068" s="375">
        <v>0</v>
      </c>
      <c r="U1068" s="375">
        <v>0</v>
      </c>
      <c r="V1068" s="380" t="e">
        <f t="shared" ca="1" si="115"/>
        <v>#NAME?</v>
      </c>
    </row>
    <row r="1069" spans="1:22" ht="14.25" hidden="1" customHeight="1">
      <c r="A1069" s="383" t="s">
        <v>2206</v>
      </c>
      <c r="B1069" s="370" t="e">
        <f ca="1">_xludf.IFNA(VLOOKUP(Bolts!$A1069,'Urban Plastix Holds'!$I$37:$L$708,4,0),0)</f>
        <v>#NAME?</v>
      </c>
      <c r="C1069" s="384">
        <v>25</v>
      </c>
      <c r="D1069" s="373" t="e">
        <f ca="1">Bolts!$C1069*Bolts!$B1069</f>
        <v>#NAME?</v>
      </c>
      <c r="E1069" s="373">
        <v>0</v>
      </c>
      <c r="F1069" s="374">
        <v>0</v>
      </c>
      <c r="G1069" s="373">
        <v>0</v>
      </c>
      <c r="H1069" s="374">
        <v>0</v>
      </c>
      <c r="I1069" s="373">
        <v>0</v>
      </c>
      <c r="J1069" s="374">
        <v>0</v>
      </c>
      <c r="K1069" s="373">
        <v>0</v>
      </c>
      <c r="L1069" s="374">
        <v>0</v>
      </c>
      <c r="M1069" s="373">
        <v>0</v>
      </c>
      <c r="N1069" s="374">
        <v>0</v>
      </c>
      <c r="O1069" s="373">
        <v>0</v>
      </c>
      <c r="P1069" s="374">
        <v>0</v>
      </c>
      <c r="Q1069" s="373">
        <v>0</v>
      </c>
      <c r="R1069" s="374">
        <v>0</v>
      </c>
      <c r="S1069" s="373">
        <v>0</v>
      </c>
      <c r="T1069" s="374">
        <v>0</v>
      </c>
      <c r="U1069" s="373">
        <v>0</v>
      </c>
      <c r="V1069" s="380" t="e">
        <f t="shared" ca="1" si="115"/>
        <v>#NAME?</v>
      </c>
    </row>
    <row r="1070" spans="1:22" ht="14.25" hidden="1" customHeight="1">
      <c r="A1070" s="383" t="s">
        <v>2207</v>
      </c>
      <c r="B1070" s="370" t="e">
        <f ca="1">_xludf.IFNA(VLOOKUP(Bolts!$A1070,'Urban Plastix Holds'!$I$37:$L$708,4,0),0)</f>
        <v>#NAME?</v>
      </c>
      <c r="C1070" s="384">
        <v>15</v>
      </c>
      <c r="D1070" s="373" t="e">
        <f ca="1">Bolts!$C1070*Bolts!$B1070</f>
        <v>#NAME?</v>
      </c>
      <c r="E1070" s="373">
        <v>0</v>
      </c>
      <c r="F1070" s="374">
        <v>0</v>
      </c>
      <c r="G1070" s="373">
        <v>0</v>
      </c>
      <c r="H1070" s="374">
        <v>0</v>
      </c>
      <c r="I1070" s="373">
        <v>0</v>
      </c>
      <c r="J1070" s="374">
        <v>0</v>
      </c>
      <c r="K1070" s="373">
        <v>0</v>
      </c>
      <c r="L1070" s="374">
        <v>0</v>
      </c>
      <c r="M1070" s="373">
        <v>0</v>
      </c>
      <c r="N1070" s="374">
        <v>0</v>
      </c>
      <c r="O1070" s="373">
        <v>0</v>
      </c>
      <c r="P1070" s="374">
        <v>0</v>
      </c>
      <c r="Q1070" s="373">
        <v>0</v>
      </c>
      <c r="R1070" s="374">
        <v>0</v>
      </c>
      <c r="S1070" s="373">
        <v>0</v>
      </c>
      <c r="T1070" s="374">
        <v>0</v>
      </c>
      <c r="U1070" s="373">
        <v>0</v>
      </c>
      <c r="V1070" s="380" t="e">
        <f t="shared" ca="1" si="115"/>
        <v>#NAME?</v>
      </c>
    </row>
    <row r="1071" spans="1:22" ht="14.25" hidden="1" customHeight="1">
      <c r="A1071" s="383" t="s">
        <v>2208</v>
      </c>
      <c r="B1071" s="370" t="e">
        <f ca="1">_xludf.IFNA(VLOOKUP(Bolts!$A1071,'Urban Plastix Holds'!$I$37:$L$708,4,0),0)</f>
        <v>#NAME?</v>
      </c>
      <c r="C1071" s="384">
        <v>5</v>
      </c>
      <c r="D1071" s="373" t="e">
        <f ca="1">Bolts!$C1071*Bolts!$B1071</f>
        <v>#NAME?</v>
      </c>
      <c r="E1071" s="373">
        <v>0</v>
      </c>
      <c r="F1071" s="374">
        <v>0</v>
      </c>
      <c r="G1071" s="373">
        <v>0</v>
      </c>
      <c r="H1071" s="374">
        <v>0</v>
      </c>
      <c r="I1071" s="373">
        <v>0</v>
      </c>
      <c r="J1071" s="374">
        <v>0</v>
      </c>
      <c r="K1071" s="373">
        <v>0</v>
      </c>
      <c r="L1071" s="374">
        <v>0</v>
      </c>
      <c r="M1071" s="373">
        <v>0</v>
      </c>
      <c r="N1071" s="374">
        <v>0</v>
      </c>
      <c r="O1071" s="373">
        <v>0</v>
      </c>
      <c r="P1071" s="374">
        <v>0</v>
      </c>
      <c r="Q1071" s="373">
        <v>0</v>
      </c>
      <c r="R1071" s="374">
        <v>0</v>
      </c>
      <c r="S1071" s="373">
        <v>0</v>
      </c>
      <c r="T1071" s="374">
        <v>0</v>
      </c>
      <c r="U1071" s="373">
        <v>0</v>
      </c>
      <c r="V1071" s="380" t="e">
        <f t="shared" ca="1" si="115"/>
        <v>#NAME?</v>
      </c>
    </row>
    <row r="1072" spans="1:22" ht="14.25" hidden="1" customHeight="1">
      <c r="A1072" s="383" t="s">
        <v>2209</v>
      </c>
      <c r="B1072" s="370" t="e">
        <f ca="1">_xludf.IFNA(VLOOKUP(Bolts!$A1072,'Urban Plastix Holds'!$I$37:$L$708,4,0),0)</f>
        <v>#NAME?</v>
      </c>
      <c r="C1072" s="384">
        <v>9</v>
      </c>
      <c r="D1072" s="373" t="e">
        <f ca="1">Bolts!$C1072*Bolts!$B1072</f>
        <v>#NAME?</v>
      </c>
      <c r="E1072" s="373">
        <v>0</v>
      </c>
      <c r="F1072" s="374">
        <v>0</v>
      </c>
      <c r="G1072" s="373">
        <v>0</v>
      </c>
      <c r="H1072" s="374">
        <v>0</v>
      </c>
      <c r="I1072" s="373">
        <v>0</v>
      </c>
      <c r="J1072" s="374">
        <v>0</v>
      </c>
      <c r="K1072" s="373">
        <v>0</v>
      </c>
      <c r="L1072" s="374">
        <v>0</v>
      </c>
      <c r="M1072" s="373">
        <v>0</v>
      </c>
      <c r="N1072" s="374">
        <v>0</v>
      </c>
      <c r="O1072" s="373">
        <v>0</v>
      </c>
      <c r="P1072" s="374">
        <v>0</v>
      </c>
      <c r="Q1072" s="373">
        <v>0</v>
      </c>
      <c r="R1072" s="374">
        <v>0</v>
      </c>
      <c r="S1072" s="373">
        <v>0</v>
      </c>
      <c r="T1072" s="374">
        <v>0</v>
      </c>
      <c r="U1072" s="373">
        <v>0</v>
      </c>
      <c r="V1072" s="380" t="e">
        <f t="shared" ca="1" si="115"/>
        <v>#NAME?</v>
      </c>
    </row>
    <row r="1073" spans="1:22" ht="14.25" hidden="1" customHeight="1">
      <c r="A1073" s="383" t="s">
        <v>2210</v>
      </c>
      <c r="B1073" s="370" t="e">
        <f ca="1">_xludf.IFNA(VLOOKUP(Bolts!$A1073,'Urban Plastix Holds'!$I$37:$L$708,4,0),0)</f>
        <v>#NAME?</v>
      </c>
      <c r="C1073" s="381">
        <v>20</v>
      </c>
      <c r="D1073" s="373" t="e">
        <f ca="1">Bolts!$C1073*Bolts!$B1073</f>
        <v>#NAME?</v>
      </c>
      <c r="E1073" s="373">
        <v>0</v>
      </c>
      <c r="F1073" s="374">
        <v>0</v>
      </c>
      <c r="G1073" s="373">
        <v>0</v>
      </c>
      <c r="H1073" s="374">
        <v>0</v>
      </c>
      <c r="I1073" s="373">
        <v>0</v>
      </c>
      <c r="J1073" s="374">
        <v>0</v>
      </c>
      <c r="K1073" s="373">
        <v>0</v>
      </c>
      <c r="L1073" s="374">
        <v>0</v>
      </c>
      <c r="M1073" s="373">
        <v>0</v>
      </c>
      <c r="N1073" s="374">
        <v>0</v>
      </c>
      <c r="O1073" s="373">
        <v>0</v>
      </c>
      <c r="P1073" s="374">
        <v>0</v>
      </c>
      <c r="Q1073" s="373">
        <v>0</v>
      </c>
      <c r="R1073" s="374">
        <v>0</v>
      </c>
      <c r="S1073" s="373">
        <v>0</v>
      </c>
      <c r="T1073" s="374">
        <v>0</v>
      </c>
      <c r="U1073" s="373">
        <v>0</v>
      </c>
      <c r="V1073" s="373" t="e">
        <f t="shared" ca="1" si="115"/>
        <v>#NAME?</v>
      </c>
    </row>
    <row r="1074" spans="1:22" ht="14.25" hidden="1" customHeight="1">
      <c r="A1074" s="383" t="s">
        <v>2211</v>
      </c>
      <c r="B1074" s="370" t="e">
        <f ca="1">_xludf.IFNA(VLOOKUP(Bolts!$A1074,'Urban Plastix Holds'!$I$37:$L$708,4,0),0)</f>
        <v>#NAME?</v>
      </c>
      <c r="C1074" s="384">
        <v>5</v>
      </c>
      <c r="D1074" s="373" t="e">
        <f ca="1">5*Bolts!$B1074</f>
        <v>#NAME?</v>
      </c>
      <c r="E1074" s="373">
        <v>0</v>
      </c>
      <c r="F1074" s="374">
        <v>0</v>
      </c>
      <c r="G1074" s="373">
        <v>0</v>
      </c>
      <c r="H1074" s="374">
        <v>0</v>
      </c>
      <c r="I1074" s="373">
        <v>0</v>
      </c>
      <c r="J1074" s="374">
        <v>0</v>
      </c>
      <c r="K1074" s="373">
        <v>0</v>
      </c>
      <c r="L1074" s="374">
        <v>0</v>
      </c>
      <c r="M1074" s="373">
        <v>0</v>
      </c>
      <c r="N1074" s="374">
        <v>0</v>
      </c>
      <c r="O1074" s="373">
        <v>0</v>
      </c>
      <c r="P1074" s="374">
        <v>0</v>
      </c>
      <c r="Q1074" s="373">
        <v>0</v>
      </c>
      <c r="R1074" s="374">
        <v>0</v>
      </c>
      <c r="S1074" s="373">
        <v>0</v>
      </c>
      <c r="T1074" s="374">
        <v>0</v>
      </c>
      <c r="U1074" s="373">
        <v>0</v>
      </c>
      <c r="V1074" s="380" t="e">
        <f t="shared" ca="1" si="115"/>
        <v>#NAME?</v>
      </c>
    </row>
    <row r="1075" spans="1:22" ht="14.25" hidden="1" customHeight="1">
      <c r="A1075" s="383" t="s">
        <v>2212</v>
      </c>
      <c r="B1075" s="370" t="e">
        <f ca="1">_xludf.IFNA(VLOOKUP(Bolts!$A1075,'Urban Plastix Holds'!$I$37:$L$708,4,0),0)</f>
        <v>#NAME?</v>
      </c>
      <c r="C1075" s="384">
        <v>5</v>
      </c>
      <c r="D1075" s="373">
        <v>0</v>
      </c>
      <c r="E1075" s="373" t="e">
        <f ca="1">5*Bolts!$B1075</f>
        <v>#NAME?</v>
      </c>
      <c r="F1075" s="374">
        <v>0</v>
      </c>
      <c r="G1075" s="374">
        <v>0</v>
      </c>
      <c r="H1075" s="374">
        <v>0</v>
      </c>
      <c r="I1075" s="374">
        <v>0</v>
      </c>
      <c r="J1075" s="374">
        <v>0</v>
      </c>
      <c r="K1075" s="374">
        <v>0</v>
      </c>
      <c r="L1075" s="374">
        <v>0</v>
      </c>
      <c r="M1075" s="374">
        <v>0</v>
      </c>
      <c r="N1075" s="374">
        <v>0</v>
      </c>
      <c r="O1075" s="374">
        <v>0</v>
      </c>
      <c r="P1075" s="374">
        <v>0</v>
      </c>
      <c r="Q1075" s="374">
        <v>0</v>
      </c>
      <c r="R1075" s="374">
        <v>0</v>
      </c>
      <c r="S1075" s="374">
        <v>0</v>
      </c>
      <c r="T1075" s="374">
        <v>0</v>
      </c>
      <c r="U1075" s="374">
        <v>0</v>
      </c>
      <c r="V1075" s="380" t="e">
        <f t="shared" ca="1" si="115"/>
        <v>#NAME?</v>
      </c>
    </row>
    <row r="1076" spans="1:22" ht="14.25" hidden="1" customHeight="1">
      <c r="A1076" s="383" t="s">
        <v>2213</v>
      </c>
      <c r="B1076" s="370" t="e">
        <f ca="1">_xludf.IFNA(VLOOKUP(Bolts!$A1076,'Urban Plastix Holds'!$I$37:$L$708,4,0),0)</f>
        <v>#NAME?</v>
      </c>
      <c r="C1076" s="384">
        <v>5</v>
      </c>
      <c r="D1076" s="373">
        <v>0</v>
      </c>
      <c r="E1076" s="373">
        <v>0</v>
      </c>
      <c r="F1076" s="374">
        <v>0</v>
      </c>
      <c r="G1076" s="374" t="e">
        <f ca="1">5*Bolts!$B1076</f>
        <v>#NAME?</v>
      </c>
      <c r="H1076" s="374">
        <v>0</v>
      </c>
      <c r="I1076" s="374">
        <v>0</v>
      </c>
      <c r="J1076" s="374">
        <v>0</v>
      </c>
      <c r="K1076" s="374">
        <v>0</v>
      </c>
      <c r="L1076" s="374">
        <v>0</v>
      </c>
      <c r="M1076" s="374">
        <v>0</v>
      </c>
      <c r="N1076" s="374">
        <v>0</v>
      </c>
      <c r="O1076" s="374">
        <v>0</v>
      </c>
      <c r="P1076" s="374">
        <v>0</v>
      </c>
      <c r="Q1076" s="374">
        <v>0</v>
      </c>
      <c r="R1076" s="374">
        <v>0</v>
      </c>
      <c r="S1076" s="374">
        <v>0</v>
      </c>
      <c r="T1076" s="374">
        <v>0</v>
      </c>
      <c r="U1076" s="374">
        <v>0</v>
      </c>
      <c r="V1076" s="380" t="e">
        <f t="shared" ca="1" si="115"/>
        <v>#NAME?</v>
      </c>
    </row>
    <row r="1077" spans="1:22" ht="14.25" hidden="1" customHeight="1">
      <c r="A1077" s="383" t="s">
        <v>2214</v>
      </c>
      <c r="B1077" s="370" t="e">
        <f ca="1">_xludf.IFNA(VLOOKUP(Bolts!$A1077,'Urban Plastix Holds'!$I$37:$L$708,4,0),0)</f>
        <v>#NAME?</v>
      </c>
      <c r="C1077" s="384">
        <v>5</v>
      </c>
      <c r="D1077" s="373">
        <v>0</v>
      </c>
      <c r="E1077" s="373">
        <v>0</v>
      </c>
      <c r="F1077" s="374">
        <v>0</v>
      </c>
      <c r="G1077" s="374" t="e">
        <f ca="1">5*Bolts!$B1077</f>
        <v>#NAME?</v>
      </c>
      <c r="H1077" s="374">
        <v>0</v>
      </c>
      <c r="I1077" s="374">
        <v>0</v>
      </c>
      <c r="J1077" s="374">
        <v>0</v>
      </c>
      <c r="K1077" s="374">
        <v>0</v>
      </c>
      <c r="L1077" s="374">
        <v>0</v>
      </c>
      <c r="M1077" s="374">
        <v>0</v>
      </c>
      <c r="N1077" s="374">
        <v>0</v>
      </c>
      <c r="O1077" s="374">
        <v>0</v>
      </c>
      <c r="P1077" s="374">
        <v>0</v>
      </c>
      <c r="Q1077" s="374">
        <v>0</v>
      </c>
      <c r="R1077" s="374">
        <v>0</v>
      </c>
      <c r="S1077" s="374">
        <v>0</v>
      </c>
      <c r="T1077" s="374">
        <v>0</v>
      </c>
      <c r="U1077" s="374">
        <v>0</v>
      </c>
      <c r="V1077" s="380" t="e">
        <f t="shared" ca="1" si="115"/>
        <v>#NAME?</v>
      </c>
    </row>
    <row r="1078" spans="1:22" ht="14.25" hidden="1" customHeight="1">
      <c r="A1078" s="383" t="s">
        <v>2215</v>
      </c>
      <c r="B1078" s="370" t="e">
        <f ca="1">_xludf.IFNA(VLOOKUP(Bolts!$A1078,'Urban Plastix Holds'!$I$37:$L$708,4,0),0)</f>
        <v>#NAME?</v>
      </c>
      <c r="C1078" s="384">
        <v>10</v>
      </c>
      <c r="D1078" s="373" t="e">
        <f ca="1">10*Bolts!$B1078</f>
        <v>#NAME?</v>
      </c>
      <c r="E1078" s="373">
        <v>0</v>
      </c>
      <c r="F1078" s="374">
        <v>0</v>
      </c>
      <c r="G1078" s="373">
        <v>0</v>
      </c>
      <c r="H1078" s="374">
        <v>0</v>
      </c>
      <c r="I1078" s="373">
        <v>0</v>
      </c>
      <c r="J1078" s="374">
        <v>0</v>
      </c>
      <c r="K1078" s="373">
        <v>0</v>
      </c>
      <c r="L1078" s="374">
        <v>0</v>
      </c>
      <c r="M1078" s="373">
        <v>0</v>
      </c>
      <c r="N1078" s="374">
        <v>0</v>
      </c>
      <c r="O1078" s="373">
        <v>0</v>
      </c>
      <c r="P1078" s="374">
        <v>0</v>
      </c>
      <c r="Q1078" s="373">
        <v>0</v>
      </c>
      <c r="R1078" s="374">
        <v>0</v>
      </c>
      <c r="S1078" s="373">
        <v>0</v>
      </c>
      <c r="T1078" s="374">
        <v>0</v>
      </c>
      <c r="U1078" s="373">
        <v>0</v>
      </c>
      <c r="V1078" s="380" t="e">
        <f t="shared" ca="1" si="115"/>
        <v>#NAME?</v>
      </c>
    </row>
    <row r="1079" spans="1:22" ht="14.25" hidden="1" customHeight="1">
      <c r="A1079" s="383" t="s">
        <v>2216</v>
      </c>
      <c r="B1079" s="370" t="e">
        <f ca="1">_xludf.IFNA(VLOOKUP(Bolts!$A1079,'Urban Plastix Holds'!$I$37:$L$708,4,0),0)</f>
        <v>#NAME?</v>
      </c>
      <c r="C1079" s="384">
        <v>4</v>
      </c>
      <c r="D1079" s="373">
        <v>0</v>
      </c>
      <c r="E1079" s="373">
        <v>0</v>
      </c>
      <c r="F1079" s="374" t="e">
        <f ca="1">4*Bolts!$B1079</f>
        <v>#NAME?</v>
      </c>
      <c r="G1079" s="374">
        <v>0</v>
      </c>
      <c r="H1079" s="374">
        <v>0</v>
      </c>
      <c r="I1079" s="374">
        <v>0</v>
      </c>
      <c r="J1079" s="374">
        <v>0</v>
      </c>
      <c r="K1079" s="374">
        <v>0</v>
      </c>
      <c r="L1079" s="374">
        <v>0</v>
      </c>
      <c r="M1079" s="374">
        <v>0</v>
      </c>
      <c r="N1079" s="374">
        <v>0</v>
      </c>
      <c r="O1079" s="374">
        <v>0</v>
      </c>
      <c r="P1079" s="374">
        <v>0</v>
      </c>
      <c r="Q1079" s="374">
        <v>0</v>
      </c>
      <c r="R1079" s="374">
        <v>0</v>
      </c>
      <c r="S1079" s="380">
        <v>0</v>
      </c>
      <c r="T1079" s="380">
        <v>0</v>
      </c>
      <c r="U1079" s="380">
        <v>0</v>
      </c>
      <c r="V1079" s="380" t="e">
        <f t="shared" ca="1" si="115"/>
        <v>#NAME?</v>
      </c>
    </row>
    <row r="1080" spans="1:22" ht="14.25" hidden="1" customHeight="1">
      <c r="A1080" s="383" t="s">
        <v>2217</v>
      </c>
      <c r="B1080" s="370" t="e">
        <f ca="1">_xludf.IFNA(VLOOKUP(Bolts!$A1080,'Urban Plastix Holds'!$I$37:$L$708,4,0),0)</f>
        <v>#NAME?</v>
      </c>
      <c r="C1080" s="384">
        <v>4</v>
      </c>
      <c r="D1080" s="373">
        <v>0</v>
      </c>
      <c r="E1080" s="373">
        <v>0</v>
      </c>
      <c r="F1080" s="374">
        <v>0</v>
      </c>
      <c r="G1080" s="374">
        <v>0</v>
      </c>
      <c r="H1080" s="374" t="e">
        <f ca="1">4*Bolts!$B1080</f>
        <v>#NAME?</v>
      </c>
      <c r="I1080" s="374">
        <v>0</v>
      </c>
      <c r="J1080" s="374">
        <v>0</v>
      </c>
      <c r="K1080" s="374">
        <v>0</v>
      </c>
      <c r="L1080" s="374">
        <v>0</v>
      </c>
      <c r="M1080" s="374">
        <v>0</v>
      </c>
      <c r="N1080" s="374">
        <v>0</v>
      </c>
      <c r="O1080" s="374">
        <v>0</v>
      </c>
      <c r="P1080" s="374">
        <v>0</v>
      </c>
      <c r="Q1080" s="374" t="e">
        <f ca="1">4*Bolts!$B1080</f>
        <v>#NAME?</v>
      </c>
      <c r="R1080" s="374">
        <v>0</v>
      </c>
      <c r="S1080" s="380">
        <v>0</v>
      </c>
      <c r="T1080" s="380">
        <v>0</v>
      </c>
      <c r="U1080" s="380">
        <v>0</v>
      </c>
      <c r="V1080" s="380" t="e">
        <f t="shared" ca="1" si="115"/>
        <v>#NAME?</v>
      </c>
    </row>
    <row r="1081" spans="1:22" ht="14.25" hidden="1" customHeight="1">
      <c r="A1081" s="383" t="s">
        <v>2218</v>
      </c>
      <c r="B1081" s="370" t="e">
        <f ca="1">_xludf.IFNA(VLOOKUP(Bolts!$A1081,'Urban Plastix Holds'!$I$37:$L$708,4,0),0)</f>
        <v>#NAME?</v>
      </c>
      <c r="C1081" s="384">
        <v>5</v>
      </c>
      <c r="D1081" s="373">
        <v>0</v>
      </c>
      <c r="E1081" s="373">
        <v>0</v>
      </c>
      <c r="F1081" s="374">
        <v>0</v>
      </c>
      <c r="G1081" s="374" t="e">
        <f ca="1">5*Bolts!$B1081</f>
        <v>#NAME?</v>
      </c>
      <c r="H1081" s="374">
        <v>0</v>
      </c>
      <c r="I1081" s="374">
        <v>0</v>
      </c>
      <c r="J1081" s="374">
        <v>0</v>
      </c>
      <c r="K1081" s="374">
        <v>0</v>
      </c>
      <c r="L1081" s="374">
        <v>0</v>
      </c>
      <c r="M1081" s="374">
        <v>0</v>
      </c>
      <c r="N1081" s="374">
        <v>0</v>
      </c>
      <c r="O1081" s="374">
        <v>0</v>
      </c>
      <c r="P1081" s="374">
        <v>0</v>
      </c>
      <c r="Q1081" s="374" t="e">
        <f ca="1">5*Bolts!$B1081</f>
        <v>#NAME?</v>
      </c>
      <c r="R1081" s="374">
        <v>0</v>
      </c>
      <c r="S1081" s="380">
        <v>0</v>
      </c>
      <c r="T1081" s="380">
        <v>0</v>
      </c>
      <c r="U1081" s="380">
        <v>0</v>
      </c>
      <c r="V1081" s="380" t="e">
        <f t="shared" ca="1" si="115"/>
        <v>#NAME?</v>
      </c>
    </row>
    <row r="1082" spans="1:22" ht="14.25" hidden="1" customHeight="1">
      <c r="A1082" s="383" t="s">
        <v>2219</v>
      </c>
      <c r="B1082" s="370" t="e">
        <f ca="1">_xludf.IFNA(VLOOKUP(Bolts!$A1082,'Urban Plastix Holds'!$I$37:$L$708,4,0),0)</f>
        <v>#NAME?</v>
      </c>
      <c r="C1082" s="384">
        <v>5</v>
      </c>
      <c r="D1082" s="373">
        <v>0</v>
      </c>
      <c r="E1082" s="373">
        <v>0</v>
      </c>
      <c r="F1082" s="374">
        <v>0</v>
      </c>
      <c r="G1082" s="374" t="e">
        <f ca="1">5*Bolts!$B1082</f>
        <v>#NAME?</v>
      </c>
      <c r="H1082" s="374">
        <v>0</v>
      </c>
      <c r="I1082" s="374">
        <v>0</v>
      </c>
      <c r="J1082" s="374">
        <v>0</v>
      </c>
      <c r="K1082" s="374">
        <v>0</v>
      </c>
      <c r="L1082" s="374">
        <v>0</v>
      </c>
      <c r="M1082" s="374">
        <v>0</v>
      </c>
      <c r="N1082" s="374">
        <v>0</v>
      </c>
      <c r="O1082" s="374">
        <v>0</v>
      </c>
      <c r="P1082" s="374">
        <v>0</v>
      </c>
      <c r="Q1082" s="374" t="e">
        <f ca="1">5*Bolts!$B1082</f>
        <v>#NAME?</v>
      </c>
      <c r="R1082" s="374">
        <v>0</v>
      </c>
      <c r="S1082" s="380">
        <v>0</v>
      </c>
      <c r="T1082" s="380">
        <v>0</v>
      </c>
      <c r="U1082" s="380">
        <v>0</v>
      </c>
      <c r="V1082" s="380" t="e">
        <f t="shared" ca="1" si="115"/>
        <v>#NAME?</v>
      </c>
    </row>
    <row r="1083" spans="1:22" ht="14.25" hidden="1" customHeight="1">
      <c r="A1083" s="383" t="s">
        <v>2220</v>
      </c>
      <c r="B1083" s="370" t="e">
        <f ca="1">_xludf.IFNA(VLOOKUP(Bolts!$A1083,'Urban Plastix Holds'!$I$37:$L$708,4,0),0)</f>
        <v>#NAME?</v>
      </c>
      <c r="C1083" s="381">
        <v>5</v>
      </c>
      <c r="D1083" s="373">
        <v>0</v>
      </c>
      <c r="E1083" s="373">
        <v>0</v>
      </c>
      <c r="F1083" s="373" t="e">
        <f ca="1">5*Bolts!$B1083</f>
        <v>#NAME?</v>
      </c>
      <c r="G1083" s="373">
        <v>0</v>
      </c>
      <c r="H1083" s="373">
        <v>0</v>
      </c>
      <c r="I1083" s="373">
        <v>0</v>
      </c>
      <c r="J1083" s="373">
        <v>0</v>
      </c>
      <c r="K1083" s="373">
        <v>0</v>
      </c>
      <c r="L1083" s="374">
        <v>0</v>
      </c>
      <c r="M1083" s="373">
        <v>0</v>
      </c>
      <c r="N1083" s="373">
        <v>0</v>
      </c>
      <c r="O1083" s="373">
        <v>0</v>
      </c>
      <c r="P1083" s="373">
        <v>0</v>
      </c>
      <c r="Q1083" s="373" t="e">
        <f ca="1">5*Bolts!$B1083</f>
        <v>#NAME?</v>
      </c>
      <c r="R1083" s="373">
        <v>0</v>
      </c>
      <c r="S1083" s="380">
        <v>0</v>
      </c>
      <c r="T1083" s="380">
        <v>0</v>
      </c>
      <c r="U1083" s="380">
        <v>0</v>
      </c>
      <c r="V1083" s="373" t="e">
        <f t="shared" ca="1" si="115"/>
        <v>#NAME?</v>
      </c>
    </row>
    <row r="1084" spans="1:22" ht="14.25" hidden="1" customHeight="1">
      <c r="A1084" s="383" t="s">
        <v>2221</v>
      </c>
      <c r="B1084" s="370" t="e">
        <f ca="1">_xludf.IFNA(VLOOKUP(Bolts!$A1084,'Urban Plastix Holds'!$I$37:$L$708,4,0),0)</f>
        <v>#NAME?</v>
      </c>
      <c r="C1084" s="384">
        <v>5</v>
      </c>
      <c r="D1084" s="373">
        <v>0</v>
      </c>
      <c r="E1084" s="373" t="e">
        <f ca="1">5*Bolts!$B1084</f>
        <v>#NAME?</v>
      </c>
      <c r="F1084" s="374">
        <v>0</v>
      </c>
      <c r="G1084" s="374">
        <v>0</v>
      </c>
      <c r="H1084" s="374">
        <v>0</v>
      </c>
      <c r="I1084" s="374">
        <v>0</v>
      </c>
      <c r="J1084" s="374">
        <v>0</v>
      </c>
      <c r="K1084" s="374">
        <v>0</v>
      </c>
      <c r="L1084" s="374">
        <v>0</v>
      </c>
      <c r="M1084" s="374">
        <v>0</v>
      </c>
      <c r="N1084" s="374">
        <v>0</v>
      </c>
      <c r="O1084" s="374">
        <v>0</v>
      </c>
      <c r="P1084" s="374">
        <v>0</v>
      </c>
      <c r="Q1084" s="374" t="e">
        <f ca="1">5*Bolts!$B1084</f>
        <v>#NAME?</v>
      </c>
      <c r="R1084" s="374">
        <v>0</v>
      </c>
      <c r="S1084" s="380">
        <v>0</v>
      </c>
      <c r="T1084" s="380">
        <v>0</v>
      </c>
      <c r="U1084" s="380">
        <v>0</v>
      </c>
      <c r="V1084" s="380" t="e">
        <f t="shared" ca="1" si="115"/>
        <v>#NAME?</v>
      </c>
    </row>
    <row r="1085" spans="1:22" ht="14.25" hidden="1" customHeight="1">
      <c r="A1085" s="383" t="s">
        <v>2222</v>
      </c>
      <c r="B1085" s="370" t="e">
        <f ca="1">_xludf.IFNA(VLOOKUP(Bolts!$A1085,'Urban Plastix Holds'!$I$37:$L$708,4,0),0)</f>
        <v>#NAME?</v>
      </c>
      <c r="C1085" s="384">
        <v>5</v>
      </c>
      <c r="D1085" s="373">
        <v>0</v>
      </c>
      <c r="E1085" s="373">
        <v>0</v>
      </c>
      <c r="F1085" s="374" t="e">
        <f ca="1">5*Bolts!$B1085</f>
        <v>#NAME?</v>
      </c>
      <c r="G1085" s="374">
        <v>0</v>
      </c>
      <c r="H1085" s="374">
        <v>0</v>
      </c>
      <c r="I1085" s="374">
        <v>0</v>
      </c>
      <c r="J1085" s="374">
        <v>0</v>
      </c>
      <c r="K1085" s="374">
        <v>0</v>
      </c>
      <c r="L1085" s="374">
        <v>0</v>
      </c>
      <c r="M1085" s="374">
        <v>0</v>
      </c>
      <c r="N1085" s="374">
        <v>0</v>
      </c>
      <c r="O1085" s="374">
        <v>0</v>
      </c>
      <c r="P1085" s="374">
        <v>0</v>
      </c>
      <c r="Q1085" s="374">
        <v>0</v>
      </c>
      <c r="R1085" s="374">
        <v>0</v>
      </c>
      <c r="S1085" s="380">
        <v>0</v>
      </c>
      <c r="T1085" s="380">
        <v>0</v>
      </c>
      <c r="U1085" s="380">
        <v>0</v>
      </c>
      <c r="V1085" s="380" t="e">
        <f t="shared" ca="1" si="115"/>
        <v>#NAME?</v>
      </c>
    </row>
    <row r="1086" spans="1:22" ht="14.25" hidden="1" customHeight="1">
      <c r="A1086" s="383" t="s">
        <v>2223</v>
      </c>
      <c r="B1086" s="370" t="e">
        <f ca="1">_xludf.IFNA(VLOOKUP(Bolts!$A1086,'Urban Plastix Holds'!$I$37:$L$708,4,0),0)</f>
        <v>#NAME?</v>
      </c>
      <c r="C1086" s="384">
        <v>10</v>
      </c>
      <c r="D1086" s="373" t="e">
        <f ca="1">10*Bolts!$B1086</f>
        <v>#NAME?</v>
      </c>
      <c r="E1086" s="373">
        <v>0</v>
      </c>
      <c r="F1086" s="374">
        <v>0</v>
      </c>
      <c r="G1086" s="374">
        <v>0</v>
      </c>
      <c r="H1086" s="374">
        <v>0</v>
      </c>
      <c r="I1086" s="374">
        <v>0</v>
      </c>
      <c r="J1086" s="374">
        <v>0</v>
      </c>
      <c r="K1086" s="374">
        <v>0</v>
      </c>
      <c r="L1086" s="374">
        <v>0</v>
      </c>
      <c r="M1086" s="374">
        <v>0</v>
      </c>
      <c r="N1086" s="374">
        <v>0</v>
      </c>
      <c r="O1086" s="374">
        <v>0</v>
      </c>
      <c r="P1086" s="374">
        <v>0</v>
      </c>
      <c r="Q1086" s="374" t="e">
        <f ca="1">10*Bolts!$B1086</f>
        <v>#NAME?</v>
      </c>
      <c r="R1086" s="374">
        <v>0</v>
      </c>
      <c r="S1086" s="380">
        <v>0</v>
      </c>
      <c r="T1086" s="380">
        <v>0</v>
      </c>
      <c r="U1086" s="380">
        <v>0</v>
      </c>
      <c r="V1086" s="380" t="e">
        <f t="shared" ca="1" si="115"/>
        <v>#NAME?</v>
      </c>
    </row>
    <row r="1087" spans="1:22" ht="14.25" hidden="1" customHeight="1">
      <c r="A1087" s="383" t="s">
        <v>2224</v>
      </c>
      <c r="B1087" s="370" t="e">
        <f ca="1">_xludf.IFNA(VLOOKUP(Bolts!$A1087,'Urban Plastix Holds'!$I$37:$L$708,4,0),0)</f>
        <v>#NAME?</v>
      </c>
      <c r="C1087" s="384">
        <v>5</v>
      </c>
      <c r="D1087" s="373">
        <v>0</v>
      </c>
      <c r="E1087" s="373">
        <v>0</v>
      </c>
      <c r="F1087" s="374">
        <v>0</v>
      </c>
      <c r="G1087" s="374">
        <v>0</v>
      </c>
      <c r="H1087" s="374">
        <v>0</v>
      </c>
      <c r="I1087" s="374">
        <f ca="1">IFERROR(5*B1087,0)</f>
        <v>0</v>
      </c>
      <c r="J1087" s="374">
        <v>0</v>
      </c>
      <c r="K1087" s="374">
        <v>0</v>
      </c>
      <c r="L1087" s="374">
        <v>0</v>
      </c>
      <c r="M1087" s="374">
        <v>0</v>
      </c>
      <c r="N1087" s="374">
        <v>0</v>
      </c>
      <c r="O1087" s="374">
        <v>0</v>
      </c>
      <c r="P1087" s="374">
        <v>0</v>
      </c>
      <c r="Q1087" s="374">
        <v>0</v>
      </c>
      <c r="R1087" s="374">
        <v>0</v>
      </c>
      <c r="S1087" s="375">
        <v>0</v>
      </c>
      <c r="T1087" s="375">
        <v>0</v>
      </c>
      <c r="U1087" s="375">
        <v>0</v>
      </c>
      <c r="V1087" s="380" t="e">
        <f t="shared" ca="1" si="115"/>
        <v>#NAME?</v>
      </c>
    </row>
    <row r="1088" spans="1:22" ht="14.25" hidden="1" customHeight="1">
      <c r="A1088" s="383" t="s">
        <v>2225</v>
      </c>
      <c r="B1088" s="370" t="e">
        <f ca="1">_xludf.IFNA(VLOOKUP(Bolts!$A1088,'Urban Plastix Holds'!$I$37:$L$708,4,0),0)</f>
        <v>#NAME?</v>
      </c>
      <c r="C1088" s="384">
        <v>5</v>
      </c>
      <c r="D1088" s="373">
        <v>0</v>
      </c>
      <c r="E1088" s="373">
        <v>0</v>
      </c>
      <c r="F1088" s="374">
        <v>0</v>
      </c>
      <c r="G1088" s="374">
        <v>0</v>
      </c>
      <c r="H1088" s="374">
        <f t="shared" ref="H1088:H1089" ca="1" si="118">IFERROR(5*B1088,0)</f>
        <v>0</v>
      </c>
      <c r="I1088" s="374">
        <v>0</v>
      </c>
      <c r="J1088" s="374">
        <v>0</v>
      </c>
      <c r="K1088" s="374">
        <v>0</v>
      </c>
      <c r="L1088" s="374">
        <v>0</v>
      </c>
      <c r="M1088" s="374">
        <v>0</v>
      </c>
      <c r="N1088" s="374">
        <v>0</v>
      </c>
      <c r="O1088" s="374">
        <v>0</v>
      </c>
      <c r="P1088" s="374">
        <v>0</v>
      </c>
      <c r="Q1088" s="374">
        <v>0</v>
      </c>
      <c r="R1088" s="374">
        <v>0</v>
      </c>
      <c r="S1088" s="375">
        <v>0</v>
      </c>
      <c r="T1088" s="375">
        <v>0</v>
      </c>
      <c r="U1088" s="375">
        <v>0</v>
      </c>
      <c r="V1088" s="380" t="e">
        <f t="shared" ca="1" si="115"/>
        <v>#NAME?</v>
      </c>
    </row>
    <row r="1089" spans="1:22" ht="14.25" hidden="1" customHeight="1">
      <c r="A1089" s="383" t="s">
        <v>2226</v>
      </c>
      <c r="B1089" s="370" t="e">
        <f ca="1">_xludf.IFNA(VLOOKUP(Bolts!$A1089,'Urban Plastix Holds'!$I$37:$L$708,4,0),0)</f>
        <v>#NAME?</v>
      </c>
      <c r="C1089" s="384">
        <v>5</v>
      </c>
      <c r="D1089" s="373">
        <v>0</v>
      </c>
      <c r="E1089" s="373">
        <v>0</v>
      </c>
      <c r="F1089" s="374">
        <v>0</v>
      </c>
      <c r="G1089" s="374">
        <v>0</v>
      </c>
      <c r="H1089" s="374">
        <f t="shared" ca="1" si="118"/>
        <v>0</v>
      </c>
      <c r="I1089" s="374">
        <v>0</v>
      </c>
      <c r="J1089" s="374">
        <v>0</v>
      </c>
      <c r="K1089" s="374">
        <v>0</v>
      </c>
      <c r="L1089" s="374">
        <v>0</v>
      </c>
      <c r="M1089" s="374">
        <v>0</v>
      </c>
      <c r="N1089" s="374">
        <v>0</v>
      </c>
      <c r="O1089" s="374">
        <v>0</v>
      </c>
      <c r="P1089" s="374">
        <v>0</v>
      </c>
      <c r="Q1089" s="374">
        <v>0</v>
      </c>
      <c r="R1089" s="374">
        <v>0</v>
      </c>
      <c r="S1089" s="375">
        <v>0</v>
      </c>
      <c r="T1089" s="375">
        <v>0</v>
      </c>
      <c r="U1089" s="375">
        <v>0</v>
      </c>
      <c r="V1089" s="380" t="e">
        <f t="shared" ca="1" si="115"/>
        <v>#NAME?</v>
      </c>
    </row>
    <row r="1090" spans="1:22" ht="14.25" hidden="1" customHeight="1">
      <c r="A1090" s="383" t="s">
        <v>2227</v>
      </c>
      <c r="B1090" s="370" t="e">
        <f ca="1">_xludf.IFNA(VLOOKUP(Bolts!$A1090,'Urban Plastix Holds'!$I$37:$L$708,4,0),0)</f>
        <v>#NAME?</v>
      </c>
      <c r="C1090" s="384">
        <v>5</v>
      </c>
      <c r="D1090" s="373">
        <v>0</v>
      </c>
      <c r="E1090" s="373">
        <f t="shared" ref="E1090:E1091" ca="1" si="119">IFERROR(5*B1090,0)</f>
        <v>0</v>
      </c>
      <c r="F1090" s="374">
        <v>0</v>
      </c>
      <c r="G1090" s="374">
        <v>0</v>
      </c>
      <c r="H1090" s="374">
        <v>0</v>
      </c>
      <c r="I1090" s="374">
        <v>0</v>
      </c>
      <c r="J1090" s="374">
        <v>0</v>
      </c>
      <c r="K1090" s="374">
        <v>0</v>
      </c>
      <c r="L1090" s="374">
        <v>0</v>
      </c>
      <c r="M1090" s="374">
        <v>0</v>
      </c>
      <c r="N1090" s="374">
        <v>0</v>
      </c>
      <c r="O1090" s="374">
        <v>0</v>
      </c>
      <c r="P1090" s="374">
        <v>0</v>
      </c>
      <c r="Q1090" s="374">
        <v>0</v>
      </c>
      <c r="R1090" s="374">
        <v>0</v>
      </c>
      <c r="S1090" s="375">
        <v>0</v>
      </c>
      <c r="T1090" s="375">
        <v>0</v>
      </c>
      <c r="U1090" s="375">
        <v>0</v>
      </c>
      <c r="V1090" s="380" t="e">
        <f t="shared" ca="1" si="115"/>
        <v>#NAME?</v>
      </c>
    </row>
    <row r="1091" spans="1:22" ht="14.25" hidden="1" customHeight="1">
      <c r="A1091" s="383" t="s">
        <v>2228</v>
      </c>
      <c r="B1091" s="370" t="e">
        <f ca="1">_xludf.IFNA(VLOOKUP(Bolts!$A1091,'Urban Plastix Holds'!$I$37:$L$708,4,0),0)</f>
        <v>#NAME?</v>
      </c>
      <c r="C1091" s="384">
        <v>5</v>
      </c>
      <c r="D1091" s="373">
        <v>0</v>
      </c>
      <c r="E1091" s="373">
        <f t="shared" ca="1" si="119"/>
        <v>0</v>
      </c>
      <c r="F1091" s="374">
        <v>0</v>
      </c>
      <c r="G1091" s="374">
        <v>0</v>
      </c>
      <c r="H1091" s="374">
        <v>0</v>
      </c>
      <c r="I1091" s="374">
        <v>0</v>
      </c>
      <c r="J1091" s="374">
        <v>0</v>
      </c>
      <c r="K1091" s="374">
        <v>0</v>
      </c>
      <c r="L1091" s="374">
        <v>0</v>
      </c>
      <c r="M1091" s="374">
        <v>0</v>
      </c>
      <c r="N1091" s="374">
        <v>0</v>
      </c>
      <c r="O1091" s="374">
        <v>0</v>
      </c>
      <c r="P1091" s="374">
        <v>0</v>
      </c>
      <c r="Q1091" s="374">
        <v>0</v>
      </c>
      <c r="R1091" s="374">
        <v>0</v>
      </c>
      <c r="S1091" s="375">
        <v>0</v>
      </c>
      <c r="T1091" s="375">
        <v>0</v>
      </c>
      <c r="U1091" s="375">
        <v>0</v>
      </c>
      <c r="V1091" s="380" t="e">
        <f t="shared" ca="1" si="115"/>
        <v>#NAME?</v>
      </c>
    </row>
    <row r="1092" spans="1:22" ht="14.25" hidden="1" customHeight="1">
      <c r="A1092" s="383" t="s">
        <v>2229</v>
      </c>
      <c r="B1092" s="370" t="e">
        <f ca="1">_xludf.IFNA(VLOOKUP(Bolts!$A1092,'Urban Plastix Holds'!$I$37:$L$708,4,0),0)</f>
        <v>#NAME?</v>
      </c>
      <c r="C1092" s="384">
        <v>25</v>
      </c>
      <c r="D1092" s="373">
        <f t="shared" ref="D1092:D1093" ca="1" si="120">IFERROR(25*B1092,0)</f>
        <v>0</v>
      </c>
      <c r="E1092" s="373">
        <v>0</v>
      </c>
      <c r="F1092" s="374">
        <v>0</v>
      </c>
      <c r="G1092" s="374">
        <v>0</v>
      </c>
      <c r="H1092" s="374">
        <v>0</v>
      </c>
      <c r="I1092" s="374">
        <v>0</v>
      </c>
      <c r="J1092" s="374">
        <v>0</v>
      </c>
      <c r="K1092" s="374">
        <v>0</v>
      </c>
      <c r="L1092" s="374">
        <v>0</v>
      </c>
      <c r="M1092" s="374">
        <v>0</v>
      </c>
      <c r="N1092" s="374">
        <v>0</v>
      </c>
      <c r="O1092" s="374">
        <v>0</v>
      </c>
      <c r="P1092" s="374">
        <v>0</v>
      </c>
      <c r="Q1092" s="374">
        <v>0</v>
      </c>
      <c r="R1092" s="374">
        <v>0</v>
      </c>
      <c r="S1092" s="375">
        <v>0</v>
      </c>
      <c r="T1092" s="375">
        <v>0</v>
      </c>
      <c r="U1092" s="375">
        <v>0</v>
      </c>
      <c r="V1092" s="380" t="e">
        <f t="shared" ca="1" si="115"/>
        <v>#NAME?</v>
      </c>
    </row>
    <row r="1093" spans="1:22" ht="14.25" hidden="1" customHeight="1">
      <c r="A1093" s="383" t="s">
        <v>2230</v>
      </c>
      <c r="B1093" s="370" t="e">
        <f ca="1">_xludf.IFNA(VLOOKUP(Bolts!$A1093,'Urban Plastix Holds'!$I$37:$L$708,4,0),0)</f>
        <v>#NAME?</v>
      </c>
      <c r="C1093" s="384">
        <v>25</v>
      </c>
      <c r="D1093" s="373">
        <f t="shared" ca="1" si="120"/>
        <v>0</v>
      </c>
      <c r="E1093" s="373">
        <v>0</v>
      </c>
      <c r="F1093" s="374">
        <v>0</v>
      </c>
      <c r="G1093" s="374">
        <v>0</v>
      </c>
      <c r="H1093" s="374">
        <v>0</v>
      </c>
      <c r="I1093" s="374">
        <v>0</v>
      </c>
      <c r="J1093" s="374">
        <v>0</v>
      </c>
      <c r="K1093" s="374">
        <v>0</v>
      </c>
      <c r="L1093" s="374">
        <v>0</v>
      </c>
      <c r="M1093" s="374">
        <v>0</v>
      </c>
      <c r="N1093" s="374">
        <v>0</v>
      </c>
      <c r="O1093" s="374">
        <v>0</v>
      </c>
      <c r="P1093" s="374">
        <v>0</v>
      </c>
      <c r="Q1093" s="374">
        <v>0</v>
      </c>
      <c r="R1093" s="374">
        <v>0</v>
      </c>
      <c r="S1093" s="375">
        <v>0</v>
      </c>
      <c r="T1093" s="375">
        <v>0</v>
      </c>
      <c r="U1093" s="375">
        <v>0</v>
      </c>
      <c r="V1093" s="380" t="e">
        <f t="shared" ca="1" si="115"/>
        <v>#NAME?</v>
      </c>
    </row>
    <row r="1094" spans="1:22" ht="14.25" hidden="1" customHeight="1">
      <c r="A1094" s="383" t="s">
        <v>2231</v>
      </c>
      <c r="B1094" s="370" t="e">
        <f ca="1">_xludf.IFNA(VLOOKUP(Bolts!$A1094,'Urban Plastix Holds'!$I$37:$L$708,4,0),0)</f>
        <v>#NAME?</v>
      </c>
      <c r="C1094" s="384">
        <v>3</v>
      </c>
      <c r="D1094" s="373">
        <v>0</v>
      </c>
      <c r="E1094" s="373">
        <v>0</v>
      </c>
      <c r="F1094" s="374">
        <v>0</v>
      </c>
      <c r="G1094" s="374">
        <v>0</v>
      </c>
      <c r="H1094" s="374">
        <v>0</v>
      </c>
      <c r="I1094" s="374">
        <f ca="1">IFERROR(3*B1094,0)</f>
        <v>0</v>
      </c>
      <c r="J1094" s="374">
        <v>0</v>
      </c>
      <c r="K1094" s="374">
        <v>0</v>
      </c>
      <c r="L1094" s="374">
        <v>0</v>
      </c>
      <c r="M1094" s="374">
        <v>0</v>
      </c>
      <c r="N1094" s="374">
        <v>0</v>
      </c>
      <c r="O1094" s="374">
        <v>0</v>
      </c>
      <c r="P1094" s="374">
        <v>0</v>
      </c>
      <c r="Q1094" s="374">
        <v>0</v>
      </c>
      <c r="R1094" s="374">
        <v>0</v>
      </c>
      <c r="S1094" s="375">
        <v>0</v>
      </c>
      <c r="T1094" s="375">
        <v>0</v>
      </c>
      <c r="U1094" s="375">
        <v>0</v>
      </c>
      <c r="V1094" s="380" t="e">
        <f t="shared" ca="1" si="115"/>
        <v>#NAME?</v>
      </c>
    </row>
    <row r="1095" spans="1:22" ht="14.25" hidden="1" customHeight="1">
      <c r="A1095" s="383" t="s">
        <v>2232</v>
      </c>
      <c r="B1095" s="370" t="e">
        <f ca="1">_xludf.IFNA(VLOOKUP(Bolts!$A1095,'Urban Plastix Holds'!$I$37:$L$708,4,0),0)</f>
        <v>#NAME?</v>
      </c>
      <c r="C1095" s="384">
        <v>5</v>
      </c>
      <c r="D1095" s="373">
        <v>0</v>
      </c>
      <c r="E1095" s="373">
        <v>0</v>
      </c>
      <c r="F1095" s="374">
        <v>0</v>
      </c>
      <c r="G1095" s="374">
        <v>0</v>
      </c>
      <c r="H1095" s="374">
        <f ca="1">IFERROR(5*B1095,0)</f>
        <v>0</v>
      </c>
      <c r="I1095" s="374">
        <v>0</v>
      </c>
      <c r="J1095" s="374">
        <v>0</v>
      </c>
      <c r="K1095" s="374">
        <v>0</v>
      </c>
      <c r="L1095" s="374">
        <v>0</v>
      </c>
      <c r="M1095" s="374">
        <v>0</v>
      </c>
      <c r="N1095" s="374">
        <v>0</v>
      </c>
      <c r="O1095" s="374">
        <v>0</v>
      </c>
      <c r="P1095" s="374">
        <v>0</v>
      </c>
      <c r="Q1095" s="374">
        <v>0</v>
      </c>
      <c r="R1095" s="374">
        <v>0</v>
      </c>
      <c r="S1095" s="375">
        <v>0</v>
      </c>
      <c r="T1095" s="375">
        <v>0</v>
      </c>
      <c r="U1095" s="375">
        <v>0</v>
      </c>
      <c r="V1095" s="380" t="e">
        <f t="shared" ca="1" si="115"/>
        <v>#NAME?</v>
      </c>
    </row>
    <row r="1096" spans="1:22" ht="14.25" hidden="1" customHeight="1">
      <c r="A1096" s="383" t="s">
        <v>2233</v>
      </c>
      <c r="B1096" s="370" t="e">
        <f ca="1">_xludf.IFNA(VLOOKUP(Bolts!$A1096,'Urban Plastix Holds'!$I$37:$L$708,4,0),0)</f>
        <v>#NAME?</v>
      </c>
      <c r="C1096" s="384">
        <v>10</v>
      </c>
      <c r="D1096" s="373">
        <v>0</v>
      </c>
      <c r="E1096" s="373">
        <v>0</v>
      </c>
      <c r="F1096" s="374">
        <v>0</v>
      </c>
      <c r="G1096" s="374">
        <v>0</v>
      </c>
      <c r="H1096" s="374">
        <f ca="1">IFERROR(10*B1096,0)</f>
        <v>0</v>
      </c>
      <c r="I1096" s="374">
        <v>0</v>
      </c>
      <c r="J1096" s="374">
        <v>0</v>
      </c>
      <c r="K1096" s="374">
        <v>0</v>
      </c>
      <c r="L1096" s="374">
        <v>0</v>
      </c>
      <c r="M1096" s="374">
        <v>0</v>
      </c>
      <c r="N1096" s="374">
        <v>0</v>
      </c>
      <c r="O1096" s="374">
        <v>0</v>
      </c>
      <c r="P1096" s="374">
        <v>0</v>
      </c>
      <c r="Q1096" s="374">
        <v>0</v>
      </c>
      <c r="R1096" s="374">
        <v>0</v>
      </c>
      <c r="S1096" s="375">
        <v>0</v>
      </c>
      <c r="T1096" s="375">
        <v>0</v>
      </c>
      <c r="U1096" s="375">
        <v>0</v>
      </c>
      <c r="V1096" s="380" t="e">
        <f t="shared" ca="1" si="115"/>
        <v>#NAME?</v>
      </c>
    </row>
    <row r="1097" spans="1:22" ht="14.25" hidden="1" customHeight="1">
      <c r="A1097" s="383" t="s">
        <v>2234</v>
      </c>
      <c r="B1097" s="370" t="e">
        <f ca="1">_xludf.IFNA(VLOOKUP(Bolts!$A1097,'Urban Plastix Holds'!$I$37:$L$708,4,0),0)</f>
        <v>#NAME?</v>
      </c>
      <c r="C1097" s="384">
        <v>10</v>
      </c>
      <c r="D1097" s="373">
        <v>0</v>
      </c>
      <c r="E1097" s="373">
        <f ca="1">IFERROR(10*B1097,0)</f>
        <v>0</v>
      </c>
      <c r="F1097" s="374">
        <v>0</v>
      </c>
      <c r="G1097" s="374">
        <v>0</v>
      </c>
      <c r="H1097" s="374">
        <v>0</v>
      </c>
      <c r="I1097" s="374">
        <v>0</v>
      </c>
      <c r="J1097" s="374">
        <v>0</v>
      </c>
      <c r="K1097" s="374">
        <v>0</v>
      </c>
      <c r="L1097" s="374">
        <v>0</v>
      </c>
      <c r="M1097" s="374">
        <v>0</v>
      </c>
      <c r="N1097" s="374">
        <v>0</v>
      </c>
      <c r="O1097" s="374">
        <v>0</v>
      </c>
      <c r="P1097" s="374">
        <v>0</v>
      </c>
      <c r="Q1097" s="374">
        <v>0</v>
      </c>
      <c r="R1097" s="374">
        <v>0</v>
      </c>
      <c r="S1097" s="375">
        <v>0</v>
      </c>
      <c r="T1097" s="375">
        <v>0</v>
      </c>
      <c r="U1097" s="375">
        <v>0</v>
      </c>
      <c r="V1097" s="380" t="e">
        <f t="shared" ca="1" si="115"/>
        <v>#NAME?</v>
      </c>
    </row>
    <row r="1098" spans="1:22" ht="14.25" hidden="1" customHeight="1">
      <c r="A1098" s="383" t="s">
        <v>2235</v>
      </c>
      <c r="B1098" s="370" t="e">
        <f ca="1">_xludf.IFNA(VLOOKUP(Bolts!$A1098,'Urban Plastix Holds'!$I$37:$L$708,4,0),0)</f>
        <v>#NAME?</v>
      </c>
      <c r="C1098" s="384">
        <v>3</v>
      </c>
      <c r="D1098" s="373">
        <v>0</v>
      </c>
      <c r="E1098" s="373">
        <v>0</v>
      </c>
      <c r="F1098" s="374">
        <v>0</v>
      </c>
      <c r="G1098" s="374">
        <v>0</v>
      </c>
      <c r="H1098" s="374">
        <v>0</v>
      </c>
      <c r="I1098" s="374">
        <f t="shared" ref="I1098:I1099" ca="1" si="121">IFERROR(3*B1098,0)</f>
        <v>0</v>
      </c>
      <c r="J1098" s="374">
        <v>0</v>
      </c>
      <c r="K1098" s="374">
        <v>0</v>
      </c>
      <c r="L1098" s="374">
        <v>0</v>
      </c>
      <c r="M1098" s="374">
        <v>0</v>
      </c>
      <c r="N1098" s="374">
        <v>0</v>
      </c>
      <c r="O1098" s="374">
        <v>0</v>
      </c>
      <c r="P1098" s="374">
        <v>0</v>
      </c>
      <c r="Q1098" s="374">
        <v>0</v>
      </c>
      <c r="R1098" s="374">
        <v>0</v>
      </c>
      <c r="S1098" s="375">
        <v>0</v>
      </c>
      <c r="T1098" s="375">
        <v>0</v>
      </c>
      <c r="U1098" s="375">
        <v>0</v>
      </c>
      <c r="V1098" s="380" t="e">
        <f t="shared" ca="1" si="115"/>
        <v>#NAME?</v>
      </c>
    </row>
    <row r="1099" spans="1:22" ht="14.25" hidden="1" customHeight="1">
      <c r="A1099" s="383" t="s">
        <v>2236</v>
      </c>
      <c r="B1099" s="370" t="e">
        <f ca="1">_xludf.IFNA(VLOOKUP(Bolts!$A1099,'Urban Plastix Holds'!$I$37:$L$708,4,0),0)</f>
        <v>#NAME?</v>
      </c>
      <c r="C1099" s="384">
        <v>3</v>
      </c>
      <c r="D1099" s="373">
        <v>0</v>
      </c>
      <c r="E1099" s="373">
        <v>0</v>
      </c>
      <c r="F1099" s="374">
        <v>0</v>
      </c>
      <c r="G1099" s="374">
        <v>0</v>
      </c>
      <c r="H1099" s="374">
        <v>0</v>
      </c>
      <c r="I1099" s="374">
        <f t="shared" ca="1" si="121"/>
        <v>0</v>
      </c>
      <c r="J1099" s="374">
        <v>0</v>
      </c>
      <c r="K1099" s="374">
        <v>0</v>
      </c>
      <c r="L1099" s="374">
        <v>0</v>
      </c>
      <c r="M1099" s="374">
        <v>0</v>
      </c>
      <c r="N1099" s="374">
        <v>0</v>
      </c>
      <c r="O1099" s="374">
        <v>0</v>
      </c>
      <c r="P1099" s="374">
        <v>0</v>
      </c>
      <c r="Q1099" s="374">
        <v>0</v>
      </c>
      <c r="R1099" s="374">
        <v>0</v>
      </c>
      <c r="S1099" s="375">
        <v>0</v>
      </c>
      <c r="T1099" s="375">
        <v>0</v>
      </c>
      <c r="U1099" s="375">
        <v>0</v>
      </c>
      <c r="V1099" s="380" t="e">
        <f t="shared" ca="1" si="115"/>
        <v>#NAME?</v>
      </c>
    </row>
    <row r="1100" spans="1:22" ht="14.25" hidden="1" customHeight="1">
      <c r="A1100" s="383" t="s">
        <v>2237</v>
      </c>
      <c r="B1100" s="370" t="e">
        <f ca="1">_xludf.IFNA(VLOOKUP(Bolts!$A1100,'Urban Plastix Holds'!$I$37:$L$708,4,0),0)</f>
        <v>#NAME?</v>
      </c>
      <c r="C1100" s="384">
        <v>5</v>
      </c>
      <c r="D1100" s="373">
        <v>0</v>
      </c>
      <c r="E1100" s="373">
        <v>0</v>
      </c>
      <c r="F1100" s="374">
        <v>0</v>
      </c>
      <c r="G1100" s="374">
        <v>0</v>
      </c>
      <c r="H1100" s="374">
        <f t="shared" ref="H1100:H1101" ca="1" si="122">IFERROR(5*B1100,0)</f>
        <v>0</v>
      </c>
      <c r="I1100" s="374">
        <v>0</v>
      </c>
      <c r="J1100" s="374">
        <v>0</v>
      </c>
      <c r="K1100" s="374">
        <v>0</v>
      </c>
      <c r="L1100" s="374">
        <v>0</v>
      </c>
      <c r="M1100" s="374">
        <v>0</v>
      </c>
      <c r="N1100" s="374">
        <v>0</v>
      </c>
      <c r="O1100" s="374">
        <v>0</v>
      </c>
      <c r="P1100" s="374">
        <v>0</v>
      </c>
      <c r="Q1100" s="374">
        <v>0</v>
      </c>
      <c r="R1100" s="374">
        <v>0</v>
      </c>
      <c r="S1100" s="375">
        <v>0</v>
      </c>
      <c r="T1100" s="375">
        <v>0</v>
      </c>
      <c r="U1100" s="375">
        <v>0</v>
      </c>
      <c r="V1100" s="380" t="e">
        <f t="shared" ca="1" si="115"/>
        <v>#NAME?</v>
      </c>
    </row>
    <row r="1101" spans="1:22" ht="14.25" hidden="1" customHeight="1">
      <c r="A1101" s="383" t="s">
        <v>2238</v>
      </c>
      <c r="B1101" s="370" t="e">
        <f ca="1">_xludf.IFNA(VLOOKUP(Bolts!$A1101,'Urban Plastix Holds'!$I$37:$L$708,4,0),0)</f>
        <v>#NAME?</v>
      </c>
      <c r="C1101" s="384">
        <v>5</v>
      </c>
      <c r="D1101" s="373">
        <v>0</v>
      </c>
      <c r="E1101" s="373">
        <v>0</v>
      </c>
      <c r="F1101" s="374">
        <v>0</v>
      </c>
      <c r="G1101" s="374">
        <v>0</v>
      </c>
      <c r="H1101" s="374">
        <f t="shared" ca="1" si="122"/>
        <v>0</v>
      </c>
      <c r="I1101" s="374">
        <v>0</v>
      </c>
      <c r="J1101" s="374">
        <v>0</v>
      </c>
      <c r="K1101" s="374">
        <v>0</v>
      </c>
      <c r="L1101" s="374">
        <v>0</v>
      </c>
      <c r="M1101" s="374">
        <v>0</v>
      </c>
      <c r="N1101" s="374">
        <v>0</v>
      </c>
      <c r="O1101" s="374">
        <v>0</v>
      </c>
      <c r="P1101" s="374">
        <v>0</v>
      </c>
      <c r="Q1101" s="374">
        <v>0</v>
      </c>
      <c r="R1101" s="374">
        <v>0</v>
      </c>
      <c r="S1101" s="375">
        <v>0</v>
      </c>
      <c r="T1101" s="375">
        <v>0</v>
      </c>
      <c r="U1101" s="375">
        <v>0</v>
      </c>
      <c r="V1101" s="380" t="e">
        <f t="shared" ca="1" si="115"/>
        <v>#NAME?</v>
      </c>
    </row>
    <row r="1102" spans="1:22" ht="14.25" hidden="1" customHeight="1">
      <c r="A1102" s="383" t="s">
        <v>2239</v>
      </c>
      <c r="B1102" s="370" t="e">
        <f ca="1">_xludf.IFNA(VLOOKUP(Bolts!$A1102,'Urban Plastix Holds'!$I$37:$L$708,4,0),0)</f>
        <v>#NAME?</v>
      </c>
      <c r="C1102" s="384">
        <v>3</v>
      </c>
      <c r="D1102" s="373">
        <v>0</v>
      </c>
      <c r="E1102" s="373">
        <v>0</v>
      </c>
      <c r="F1102" s="374">
        <v>0</v>
      </c>
      <c r="G1102" s="374">
        <v>0</v>
      </c>
      <c r="H1102" s="374">
        <f ca="1">IFERROR(3*B1102,0)</f>
        <v>0</v>
      </c>
      <c r="I1102" s="374">
        <v>0</v>
      </c>
      <c r="J1102" s="374">
        <v>0</v>
      </c>
      <c r="K1102" s="374">
        <v>0</v>
      </c>
      <c r="L1102" s="374">
        <v>0</v>
      </c>
      <c r="M1102" s="374">
        <v>0</v>
      </c>
      <c r="N1102" s="374">
        <v>0</v>
      </c>
      <c r="O1102" s="374">
        <v>0</v>
      </c>
      <c r="P1102" s="374">
        <v>0</v>
      </c>
      <c r="Q1102" s="374">
        <v>0</v>
      </c>
      <c r="R1102" s="374">
        <v>0</v>
      </c>
      <c r="S1102" s="375">
        <v>0</v>
      </c>
      <c r="T1102" s="375">
        <v>0</v>
      </c>
      <c r="U1102" s="375">
        <v>0</v>
      </c>
      <c r="V1102" s="380" t="e">
        <f t="shared" ca="1" si="115"/>
        <v>#NAME?</v>
      </c>
    </row>
    <row r="1103" spans="1:22" ht="14.25" hidden="1" customHeight="1">
      <c r="A1103" s="383" t="s">
        <v>2240</v>
      </c>
      <c r="B1103" s="370" t="e">
        <f ca="1">_xludf.IFNA(VLOOKUP(Bolts!$A1103,'Urban Plastix Holds'!$I$37:$L$708,4,0),0)</f>
        <v>#NAME?</v>
      </c>
      <c r="C1103" s="384">
        <v>5</v>
      </c>
      <c r="D1103" s="373">
        <v>0</v>
      </c>
      <c r="E1103" s="373">
        <v>0</v>
      </c>
      <c r="F1103" s="374">
        <v>0</v>
      </c>
      <c r="G1103" s="374">
        <v>0</v>
      </c>
      <c r="H1103" s="374">
        <f ca="1">IFERROR(5*B1103,0)</f>
        <v>0</v>
      </c>
      <c r="I1103" s="374">
        <v>0</v>
      </c>
      <c r="J1103" s="374">
        <v>0</v>
      </c>
      <c r="K1103" s="374">
        <v>0</v>
      </c>
      <c r="L1103" s="374">
        <v>0</v>
      </c>
      <c r="M1103" s="374">
        <v>0</v>
      </c>
      <c r="N1103" s="374">
        <v>0</v>
      </c>
      <c r="O1103" s="374">
        <v>0</v>
      </c>
      <c r="P1103" s="374">
        <v>0</v>
      </c>
      <c r="Q1103" s="374">
        <v>0</v>
      </c>
      <c r="R1103" s="374">
        <v>0</v>
      </c>
      <c r="S1103" s="375">
        <v>0</v>
      </c>
      <c r="T1103" s="375">
        <v>0</v>
      </c>
      <c r="U1103" s="375">
        <v>0</v>
      </c>
      <c r="V1103" s="380" t="e">
        <f t="shared" ca="1" si="115"/>
        <v>#NAME?</v>
      </c>
    </row>
    <row r="1104" spans="1:22" ht="14.25" hidden="1" customHeight="1">
      <c r="A1104" s="383" t="s">
        <v>2241</v>
      </c>
      <c r="B1104" s="370" t="e">
        <f ca="1">_xludf.IFNA(VLOOKUP(Bolts!$A1104,'Urban Plastix Holds'!$I$37:$L$708,4,0),0)</f>
        <v>#NAME?</v>
      </c>
      <c r="C1104" s="384">
        <v>3</v>
      </c>
      <c r="D1104" s="373">
        <v>0</v>
      </c>
      <c r="E1104" s="373">
        <f ca="1">IFERROR(3*B1104,0)</f>
        <v>0</v>
      </c>
      <c r="F1104" s="374">
        <v>0</v>
      </c>
      <c r="G1104" s="374">
        <v>0</v>
      </c>
      <c r="H1104" s="374">
        <v>0</v>
      </c>
      <c r="I1104" s="374">
        <v>0</v>
      </c>
      <c r="J1104" s="374">
        <v>0</v>
      </c>
      <c r="K1104" s="374">
        <v>0</v>
      </c>
      <c r="L1104" s="374">
        <v>0</v>
      </c>
      <c r="M1104" s="374">
        <v>0</v>
      </c>
      <c r="N1104" s="374">
        <v>0</v>
      </c>
      <c r="O1104" s="374">
        <v>0</v>
      </c>
      <c r="P1104" s="374">
        <v>0</v>
      </c>
      <c r="Q1104" s="374">
        <v>0</v>
      </c>
      <c r="R1104" s="374">
        <v>0</v>
      </c>
      <c r="S1104" s="375">
        <v>0</v>
      </c>
      <c r="T1104" s="375">
        <v>0</v>
      </c>
      <c r="U1104" s="375">
        <v>0</v>
      </c>
      <c r="V1104" s="380" t="e">
        <f t="shared" ca="1" si="115"/>
        <v>#NAME?</v>
      </c>
    </row>
    <row r="1105" spans="1:22" ht="14.25" hidden="1" customHeight="1">
      <c r="A1105" s="383" t="s">
        <v>2242</v>
      </c>
      <c r="B1105" s="370" t="e">
        <f ca="1">_xludf.IFNA(VLOOKUP(Bolts!$A1105,'Urban Plastix Holds'!$I$37:$L$708,4,0),0)</f>
        <v>#NAME?</v>
      </c>
      <c r="C1105" s="384">
        <v>2</v>
      </c>
      <c r="D1105" s="373">
        <v>0</v>
      </c>
      <c r="E1105" s="373">
        <f ca="1">IFERROR(2*B1105,0)</f>
        <v>0</v>
      </c>
      <c r="F1105" s="374">
        <v>0</v>
      </c>
      <c r="G1105" s="374">
        <v>0</v>
      </c>
      <c r="H1105" s="374">
        <v>0</v>
      </c>
      <c r="I1105" s="374">
        <v>0</v>
      </c>
      <c r="J1105" s="374">
        <v>0</v>
      </c>
      <c r="K1105" s="374">
        <v>0</v>
      </c>
      <c r="L1105" s="374">
        <v>0</v>
      </c>
      <c r="M1105" s="374">
        <v>0</v>
      </c>
      <c r="N1105" s="374">
        <v>0</v>
      </c>
      <c r="O1105" s="374">
        <v>0</v>
      </c>
      <c r="P1105" s="374">
        <v>0</v>
      </c>
      <c r="Q1105" s="374">
        <v>0</v>
      </c>
      <c r="R1105" s="374">
        <v>0</v>
      </c>
      <c r="S1105" s="375">
        <v>0</v>
      </c>
      <c r="T1105" s="375">
        <v>0</v>
      </c>
      <c r="U1105" s="375">
        <v>0</v>
      </c>
      <c r="V1105" s="380" t="e">
        <f t="shared" ca="1" si="115"/>
        <v>#NAME?</v>
      </c>
    </row>
    <row r="1106" spans="1:22" ht="14.25" hidden="1" customHeight="1">
      <c r="A1106" s="383" t="s">
        <v>2243</v>
      </c>
      <c r="B1106" s="370" t="e">
        <f ca="1">_xludf.IFNA(VLOOKUP(Bolts!$A1106,'Urban Plastix Holds'!$I$37:$L$708,4,0),0)</f>
        <v>#NAME?</v>
      </c>
      <c r="C1106" s="384">
        <v>5</v>
      </c>
      <c r="D1106" s="373">
        <v>0</v>
      </c>
      <c r="E1106" s="373">
        <f t="shared" ref="E1106:E1107" ca="1" si="123">IFERROR(5*B1106,0)</f>
        <v>0</v>
      </c>
      <c r="F1106" s="374">
        <v>0</v>
      </c>
      <c r="G1106" s="374">
        <v>0</v>
      </c>
      <c r="H1106" s="374">
        <v>0</v>
      </c>
      <c r="I1106" s="374">
        <v>0</v>
      </c>
      <c r="J1106" s="374">
        <v>0</v>
      </c>
      <c r="K1106" s="374">
        <v>0</v>
      </c>
      <c r="L1106" s="374">
        <v>0</v>
      </c>
      <c r="M1106" s="374">
        <v>0</v>
      </c>
      <c r="N1106" s="374">
        <v>0</v>
      </c>
      <c r="O1106" s="374">
        <v>0</v>
      </c>
      <c r="P1106" s="374">
        <v>0</v>
      </c>
      <c r="Q1106" s="374">
        <v>0</v>
      </c>
      <c r="R1106" s="374">
        <v>0</v>
      </c>
      <c r="S1106" s="375">
        <v>0</v>
      </c>
      <c r="T1106" s="375">
        <v>0</v>
      </c>
      <c r="U1106" s="375">
        <v>0</v>
      </c>
      <c r="V1106" s="380" t="e">
        <f t="shared" ca="1" si="115"/>
        <v>#NAME?</v>
      </c>
    </row>
    <row r="1107" spans="1:22" ht="14.25" hidden="1" customHeight="1">
      <c r="A1107" s="383" t="s">
        <v>2244</v>
      </c>
      <c r="B1107" s="370" t="e">
        <f ca="1">_xludf.IFNA(VLOOKUP(Bolts!$A1107,'Urban Plastix Holds'!$I$37:$L$708,4,0),0)</f>
        <v>#NAME?</v>
      </c>
      <c r="C1107" s="384">
        <v>5</v>
      </c>
      <c r="D1107" s="373">
        <v>0</v>
      </c>
      <c r="E1107" s="373">
        <f t="shared" ca="1" si="123"/>
        <v>0</v>
      </c>
      <c r="F1107" s="374">
        <v>0</v>
      </c>
      <c r="G1107" s="374">
        <v>0</v>
      </c>
      <c r="H1107" s="374">
        <v>0</v>
      </c>
      <c r="I1107" s="374">
        <v>0</v>
      </c>
      <c r="J1107" s="374">
        <v>0</v>
      </c>
      <c r="K1107" s="374">
        <v>0</v>
      </c>
      <c r="L1107" s="374">
        <v>0</v>
      </c>
      <c r="M1107" s="374">
        <v>0</v>
      </c>
      <c r="N1107" s="374">
        <v>0</v>
      </c>
      <c r="O1107" s="374">
        <v>0</v>
      </c>
      <c r="P1107" s="374">
        <v>0</v>
      </c>
      <c r="Q1107" s="374">
        <v>0</v>
      </c>
      <c r="R1107" s="374">
        <v>0</v>
      </c>
      <c r="S1107" s="375">
        <v>0</v>
      </c>
      <c r="T1107" s="375">
        <v>0</v>
      </c>
      <c r="U1107" s="375">
        <v>0</v>
      </c>
      <c r="V1107" s="380" t="e">
        <f t="shared" ca="1" si="115"/>
        <v>#NAME?</v>
      </c>
    </row>
    <row r="1108" spans="1:22" ht="14.25" hidden="1" customHeight="1">
      <c r="A1108" s="383" t="s">
        <v>2245</v>
      </c>
      <c r="B1108" s="370" t="e">
        <f ca="1">_xludf.IFNA(VLOOKUP(Bolts!$A1108,'Urban Plastix Holds'!$I$37:$L$708,4,0),0)</f>
        <v>#NAME?</v>
      </c>
      <c r="C1108" s="384">
        <v>10</v>
      </c>
      <c r="D1108" s="373">
        <f t="shared" ref="D1108:D1109" ca="1" si="124">IFERROR(10*B1108,0)</f>
        <v>0</v>
      </c>
      <c r="E1108" s="373">
        <v>0</v>
      </c>
      <c r="F1108" s="374">
        <v>0</v>
      </c>
      <c r="G1108" s="374">
        <v>0</v>
      </c>
      <c r="H1108" s="374">
        <v>0</v>
      </c>
      <c r="I1108" s="374">
        <v>0</v>
      </c>
      <c r="J1108" s="374">
        <v>0</v>
      </c>
      <c r="K1108" s="374">
        <v>0</v>
      </c>
      <c r="L1108" s="374">
        <v>0</v>
      </c>
      <c r="M1108" s="374">
        <v>0</v>
      </c>
      <c r="N1108" s="374">
        <v>0</v>
      </c>
      <c r="O1108" s="374">
        <v>0</v>
      </c>
      <c r="P1108" s="374">
        <v>0</v>
      </c>
      <c r="Q1108" s="374">
        <v>0</v>
      </c>
      <c r="R1108" s="374">
        <v>0</v>
      </c>
      <c r="S1108" s="375">
        <v>0</v>
      </c>
      <c r="T1108" s="375">
        <v>0</v>
      </c>
      <c r="U1108" s="375">
        <v>0</v>
      </c>
      <c r="V1108" s="380" t="e">
        <f t="shared" ca="1" si="115"/>
        <v>#NAME?</v>
      </c>
    </row>
    <row r="1109" spans="1:22" ht="14.25" hidden="1" customHeight="1">
      <c r="A1109" s="383" t="s">
        <v>2246</v>
      </c>
      <c r="B1109" s="370" t="e">
        <f ca="1">_xludf.IFNA(VLOOKUP(Bolts!$A1109,'Urban Plastix Holds'!$I$37:$L$708,4,0),0)</f>
        <v>#NAME?</v>
      </c>
      <c r="C1109" s="384">
        <v>10</v>
      </c>
      <c r="D1109" s="373">
        <f t="shared" ca="1" si="124"/>
        <v>0</v>
      </c>
      <c r="E1109" s="373">
        <v>0</v>
      </c>
      <c r="F1109" s="374">
        <v>0</v>
      </c>
      <c r="G1109" s="374">
        <v>0</v>
      </c>
      <c r="H1109" s="374">
        <v>0</v>
      </c>
      <c r="I1109" s="374">
        <v>0</v>
      </c>
      <c r="J1109" s="374">
        <v>0</v>
      </c>
      <c r="K1109" s="374">
        <v>0</v>
      </c>
      <c r="L1109" s="374">
        <v>0</v>
      </c>
      <c r="M1109" s="374">
        <v>0</v>
      </c>
      <c r="N1109" s="374">
        <v>0</v>
      </c>
      <c r="O1109" s="374">
        <v>0</v>
      </c>
      <c r="P1109" s="374">
        <v>0</v>
      </c>
      <c r="Q1109" s="374">
        <v>0</v>
      </c>
      <c r="R1109" s="374">
        <v>0</v>
      </c>
      <c r="S1109" s="375">
        <v>0</v>
      </c>
      <c r="T1109" s="375">
        <v>0</v>
      </c>
      <c r="U1109" s="375">
        <v>0</v>
      </c>
      <c r="V1109" s="380" t="e">
        <f t="shared" ca="1" si="115"/>
        <v>#NAME?</v>
      </c>
    </row>
    <row r="1110" spans="1:22" ht="14.25" hidden="1" customHeight="1">
      <c r="A1110" s="383" t="s">
        <v>2247</v>
      </c>
      <c r="B1110" s="370" t="e">
        <f ca="1">_xludf.IFNA(VLOOKUP(Bolts!$A1110,'Urban Plastix Holds'!$I$37:$L$708,4,0),0)</f>
        <v>#NAME?</v>
      </c>
      <c r="C1110" s="384">
        <v>25</v>
      </c>
      <c r="D1110" s="373">
        <f ca="1">IFERROR(25*B1110,0)</f>
        <v>0</v>
      </c>
      <c r="E1110" s="373">
        <v>0</v>
      </c>
      <c r="F1110" s="374">
        <v>0</v>
      </c>
      <c r="G1110" s="374">
        <v>0</v>
      </c>
      <c r="H1110" s="374">
        <v>0</v>
      </c>
      <c r="I1110" s="374">
        <v>0</v>
      </c>
      <c r="J1110" s="374">
        <v>0</v>
      </c>
      <c r="K1110" s="374">
        <v>0</v>
      </c>
      <c r="L1110" s="374">
        <v>0</v>
      </c>
      <c r="M1110" s="374">
        <v>0</v>
      </c>
      <c r="N1110" s="374">
        <v>0</v>
      </c>
      <c r="O1110" s="374">
        <v>0</v>
      </c>
      <c r="P1110" s="374">
        <v>0</v>
      </c>
      <c r="Q1110" s="374">
        <v>0</v>
      </c>
      <c r="R1110" s="374">
        <v>0</v>
      </c>
      <c r="S1110" s="375">
        <v>0</v>
      </c>
      <c r="T1110" s="375">
        <v>0</v>
      </c>
      <c r="U1110" s="375">
        <v>0</v>
      </c>
      <c r="V1110" s="380" t="e">
        <f t="shared" ca="1" si="115"/>
        <v>#NAME?</v>
      </c>
    </row>
    <row r="1111" spans="1:22" ht="14.25" hidden="1" customHeight="1">
      <c r="A1111" s="383" t="s">
        <v>2248</v>
      </c>
      <c r="B1111" s="370" t="e">
        <f ca="1">_xludf.IFNA(VLOOKUP(Bolts!$A1111,'Urban Plastix Holds'!$I$37:$L$708,4,0),0)</f>
        <v>#NAME?</v>
      </c>
      <c r="C1111" s="384">
        <v>5</v>
      </c>
      <c r="D1111" s="373">
        <v>0</v>
      </c>
      <c r="E1111" s="373">
        <v>0</v>
      </c>
      <c r="F1111" s="374">
        <v>0</v>
      </c>
      <c r="G1111" s="374">
        <v>0</v>
      </c>
      <c r="H1111" s="374">
        <v>0</v>
      </c>
      <c r="I1111" s="374">
        <v>0</v>
      </c>
      <c r="J1111" s="374">
        <f ca="1">IFERROR(5*B1111,0)</f>
        <v>0</v>
      </c>
      <c r="K1111" s="374">
        <v>0</v>
      </c>
      <c r="L1111" s="374">
        <v>0</v>
      </c>
      <c r="M1111" s="374">
        <v>0</v>
      </c>
      <c r="N1111" s="374">
        <v>0</v>
      </c>
      <c r="O1111" s="374">
        <v>0</v>
      </c>
      <c r="P1111" s="374">
        <v>0</v>
      </c>
      <c r="Q1111" s="374">
        <v>0</v>
      </c>
      <c r="R1111" s="374">
        <v>0</v>
      </c>
      <c r="S1111" s="375">
        <v>0</v>
      </c>
      <c r="T1111" s="375">
        <v>0</v>
      </c>
      <c r="U1111" s="375">
        <v>0</v>
      </c>
      <c r="V1111" s="380" t="e">
        <f t="shared" ca="1" si="115"/>
        <v>#NAME?</v>
      </c>
    </row>
    <row r="1112" spans="1:22" ht="14.25" hidden="1" customHeight="1">
      <c r="A1112" s="383" t="s">
        <v>2249</v>
      </c>
      <c r="B1112" s="370" t="e">
        <f ca="1">_xludf.IFNA(VLOOKUP(Bolts!$A1112,'Urban Plastix Holds'!$I$37:$L$708,4,0),0)</f>
        <v>#NAME?</v>
      </c>
      <c r="C1112" s="384">
        <v>2</v>
      </c>
      <c r="D1112" s="373">
        <v>0</v>
      </c>
      <c r="E1112" s="373">
        <v>0</v>
      </c>
      <c r="F1112" s="374">
        <v>0</v>
      </c>
      <c r="G1112" s="374">
        <v>0</v>
      </c>
      <c r="H1112" s="374">
        <v>0</v>
      </c>
      <c r="I1112" s="374">
        <v>0</v>
      </c>
      <c r="J1112" s="374">
        <f ca="1">IFERROR(2*B1112,0)</f>
        <v>0</v>
      </c>
      <c r="K1112" s="374">
        <v>0</v>
      </c>
      <c r="L1112" s="374">
        <v>0</v>
      </c>
      <c r="M1112" s="374">
        <v>0</v>
      </c>
      <c r="N1112" s="374">
        <v>0</v>
      </c>
      <c r="O1112" s="374">
        <v>0</v>
      </c>
      <c r="P1112" s="374">
        <v>0</v>
      </c>
      <c r="Q1112" s="374">
        <v>0</v>
      </c>
      <c r="R1112" s="374">
        <v>0</v>
      </c>
      <c r="S1112" s="375">
        <v>0</v>
      </c>
      <c r="T1112" s="375">
        <v>0</v>
      </c>
      <c r="U1112" s="375">
        <v>0</v>
      </c>
      <c r="V1112" s="380" t="e">
        <f t="shared" ca="1" si="115"/>
        <v>#NAME?</v>
      </c>
    </row>
    <row r="1113" spans="1:22" ht="14.25" hidden="1" customHeight="1">
      <c r="A1113" s="383" t="s">
        <v>2250</v>
      </c>
      <c r="B1113" s="370" t="e">
        <f ca="1">_xludf.IFNA(VLOOKUP(Bolts!$A1113,'Urban Plastix Holds'!$I$37:$L$708,4,0),0)</f>
        <v>#NAME?</v>
      </c>
      <c r="C1113" s="381">
        <v>2</v>
      </c>
      <c r="D1113" s="373">
        <v>0</v>
      </c>
      <c r="E1113" s="373">
        <v>0</v>
      </c>
      <c r="F1113" s="373">
        <v>0</v>
      </c>
      <c r="G1113" s="373">
        <v>0</v>
      </c>
      <c r="H1113" s="373">
        <v>0</v>
      </c>
      <c r="I1113" s="373" t="e">
        <f ca="1">2*Bolts!$B1113</f>
        <v>#NAME?</v>
      </c>
      <c r="J1113" s="373">
        <v>0</v>
      </c>
      <c r="K1113" s="373">
        <v>0</v>
      </c>
      <c r="L1113" s="374">
        <v>0</v>
      </c>
      <c r="M1113" s="373">
        <v>0</v>
      </c>
      <c r="N1113" s="373">
        <v>0</v>
      </c>
      <c r="O1113" s="373">
        <v>0</v>
      </c>
      <c r="P1113" s="373">
        <v>0</v>
      </c>
      <c r="Q1113" s="373" t="e">
        <f ca="1">2*Bolts!$B1113</f>
        <v>#NAME?</v>
      </c>
      <c r="R1113" s="373">
        <v>0</v>
      </c>
      <c r="S1113" s="380">
        <v>0</v>
      </c>
      <c r="T1113" s="380">
        <v>0</v>
      </c>
      <c r="U1113" s="380">
        <v>0</v>
      </c>
      <c r="V1113" s="373" t="e">
        <f t="shared" ca="1" si="115"/>
        <v>#NAME?</v>
      </c>
    </row>
    <row r="1114" spans="1:22" ht="14.25" hidden="1" customHeight="1">
      <c r="A1114" s="383" t="s">
        <v>2251</v>
      </c>
      <c r="B1114" s="370" t="e">
        <f ca="1">_xludf.IFNA(VLOOKUP(Bolts!$A1114,'Urban Plastix Holds'!$I$37:$L$708,4,0),0)</f>
        <v>#NAME?</v>
      </c>
      <c r="C1114" s="384">
        <v>5</v>
      </c>
      <c r="D1114" s="373">
        <v>0</v>
      </c>
      <c r="E1114" s="373">
        <v>0</v>
      </c>
      <c r="F1114" s="374">
        <v>0</v>
      </c>
      <c r="G1114" s="374">
        <v>0</v>
      </c>
      <c r="H1114" s="374">
        <v>0</v>
      </c>
      <c r="I1114" s="374">
        <v>0</v>
      </c>
      <c r="J1114" s="374">
        <v>0</v>
      </c>
      <c r="K1114" s="374">
        <v>0</v>
      </c>
      <c r="L1114" s="374">
        <v>0</v>
      </c>
      <c r="M1114" s="374">
        <v>0</v>
      </c>
      <c r="N1114" s="374">
        <v>0</v>
      </c>
      <c r="O1114" s="374">
        <v>0</v>
      </c>
      <c r="P1114" s="374">
        <v>0</v>
      </c>
      <c r="Q1114" s="374" t="e">
        <f ca="1">20*Bolts!$B1114</f>
        <v>#NAME?</v>
      </c>
      <c r="R1114" s="374">
        <v>0</v>
      </c>
      <c r="S1114" s="380">
        <v>0</v>
      </c>
      <c r="T1114" s="380">
        <v>0</v>
      </c>
      <c r="U1114" s="380">
        <v>0</v>
      </c>
      <c r="V1114" s="380" t="e">
        <f t="shared" ca="1" si="115"/>
        <v>#NAME?</v>
      </c>
    </row>
    <row r="1115" spans="1:22" ht="14.25" hidden="1" customHeight="1">
      <c r="A1115" s="383" t="s">
        <v>2252</v>
      </c>
      <c r="B1115" s="370" t="e">
        <f ca="1">_xludf.IFNA(VLOOKUP(Bolts!$A1115,'Urban Plastix Holds'!$I$37:$L$708,4,0),0)</f>
        <v>#NAME?</v>
      </c>
      <c r="C1115" s="384">
        <v>12</v>
      </c>
      <c r="D1115" s="373">
        <v>0</v>
      </c>
      <c r="E1115" s="373">
        <v>0</v>
      </c>
      <c r="F1115" s="374">
        <v>0</v>
      </c>
      <c r="G1115" s="374">
        <v>0</v>
      </c>
      <c r="H1115" s="374">
        <v>0</v>
      </c>
      <c r="I1115" s="374">
        <v>0</v>
      </c>
      <c r="J1115" s="374">
        <v>0</v>
      </c>
      <c r="K1115" s="374">
        <v>0</v>
      </c>
      <c r="L1115" s="374">
        <v>0</v>
      </c>
      <c r="M1115" s="374">
        <v>0</v>
      </c>
      <c r="N1115" s="374">
        <v>0</v>
      </c>
      <c r="O1115" s="374">
        <v>0</v>
      </c>
      <c r="P1115" s="374">
        <v>0</v>
      </c>
      <c r="Q1115" s="374" t="e">
        <f ca="1">36*Bolts!$B1115</f>
        <v>#NAME?</v>
      </c>
      <c r="R1115" s="374">
        <v>0</v>
      </c>
      <c r="S1115" s="380">
        <v>0</v>
      </c>
      <c r="T1115" s="380">
        <v>0</v>
      </c>
      <c r="U1115" s="380">
        <v>0</v>
      </c>
      <c r="V1115" s="380" t="e">
        <f t="shared" ca="1" si="115"/>
        <v>#NAME?</v>
      </c>
    </row>
    <row r="1116" spans="1:22" ht="14.25" hidden="1" customHeight="1">
      <c r="A1116" s="383" t="s">
        <v>2253</v>
      </c>
      <c r="B1116" s="370" t="e">
        <f ca="1">_xludf.IFNA(VLOOKUP(Bolts!$A1116,'Urban Plastix Holds'!$I$37:$L$708,4,0),0)</f>
        <v>#NAME?</v>
      </c>
      <c r="C1116" s="384">
        <v>11</v>
      </c>
      <c r="D1116" s="373">
        <v>0</v>
      </c>
      <c r="E1116" s="373">
        <v>0</v>
      </c>
      <c r="F1116" s="374">
        <v>0</v>
      </c>
      <c r="G1116" s="374">
        <v>0</v>
      </c>
      <c r="H1116" s="374">
        <v>0</v>
      </c>
      <c r="I1116" s="374">
        <v>0</v>
      </c>
      <c r="J1116" s="374">
        <v>0</v>
      </c>
      <c r="K1116" s="374">
        <v>0</v>
      </c>
      <c r="L1116" s="374">
        <v>0</v>
      </c>
      <c r="M1116" s="374">
        <v>0</v>
      </c>
      <c r="N1116" s="374">
        <v>0</v>
      </c>
      <c r="O1116" s="374">
        <v>0</v>
      </c>
      <c r="P1116" s="374">
        <v>0</v>
      </c>
      <c r="Q1116" s="374" t="e">
        <f ca="1">33*Bolts!$B1116</f>
        <v>#NAME?</v>
      </c>
      <c r="R1116" s="374">
        <v>0</v>
      </c>
      <c r="S1116" s="380">
        <v>0</v>
      </c>
      <c r="T1116" s="380">
        <v>0</v>
      </c>
      <c r="U1116" s="380">
        <v>0</v>
      </c>
      <c r="V1116" s="380" t="e">
        <f t="shared" ca="1" si="115"/>
        <v>#NAME?</v>
      </c>
    </row>
    <row r="1117" spans="1:22" ht="14.25" hidden="1" customHeight="1">
      <c r="A1117" s="383" t="s">
        <v>2254</v>
      </c>
      <c r="B1117" s="370" t="e">
        <f ca="1">_xludf.IFNA(VLOOKUP(Bolts!$A1117,'Urban Plastix Holds'!$I$37:$L$708,4,0),0)</f>
        <v>#NAME?</v>
      </c>
      <c r="C1117" s="384">
        <v>6</v>
      </c>
      <c r="D1117" s="373">
        <v>0</v>
      </c>
      <c r="E1117" s="373">
        <v>0</v>
      </c>
      <c r="F1117" s="374">
        <v>0</v>
      </c>
      <c r="G1117" s="374">
        <v>0</v>
      </c>
      <c r="H1117" s="374">
        <v>0</v>
      </c>
      <c r="I1117" s="374">
        <v>0</v>
      </c>
      <c r="J1117" s="374">
        <v>0</v>
      </c>
      <c r="K1117" s="374">
        <v>0</v>
      </c>
      <c r="L1117" s="374">
        <v>0</v>
      </c>
      <c r="M1117" s="374">
        <v>0</v>
      </c>
      <c r="N1117" s="374">
        <v>0</v>
      </c>
      <c r="O1117" s="374">
        <v>0</v>
      </c>
      <c r="P1117" s="374">
        <v>0</v>
      </c>
      <c r="Q1117" s="374" t="e">
        <f ca="1">18*Bolts!$B1117</f>
        <v>#NAME?</v>
      </c>
      <c r="R1117" s="374">
        <v>0</v>
      </c>
      <c r="S1117" s="380">
        <v>0</v>
      </c>
      <c r="T1117" s="380">
        <v>0</v>
      </c>
      <c r="U1117" s="380">
        <v>0</v>
      </c>
      <c r="V1117" s="380" t="e">
        <f t="shared" ca="1" si="115"/>
        <v>#NAME?</v>
      </c>
    </row>
    <row r="1118" spans="1:22" ht="14.25" hidden="1" customHeight="1">
      <c r="A1118" s="383" t="s">
        <v>2255</v>
      </c>
      <c r="B1118" s="370" t="e">
        <f ca="1">_xludf.IFNA(VLOOKUP(Bolts!$A1118,'Urban Plastix Holds'!$I$37:$L$708,4,0),0)</f>
        <v>#NAME?</v>
      </c>
      <c r="C1118" s="384">
        <v>5</v>
      </c>
      <c r="D1118" s="373">
        <v>0</v>
      </c>
      <c r="E1118" s="373">
        <v>0</v>
      </c>
      <c r="F1118" s="374" t="e">
        <f ca="1">5*Bolts!$B1118</f>
        <v>#NAME?</v>
      </c>
      <c r="G1118" s="374">
        <v>0</v>
      </c>
      <c r="H1118" s="374">
        <v>0</v>
      </c>
      <c r="I1118" s="374">
        <v>0</v>
      </c>
      <c r="J1118" s="374">
        <v>0</v>
      </c>
      <c r="K1118" s="374">
        <v>0</v>
      </c>
      <c r="L1118" s="374">
        <v>0</v>
      </c>
      <c r="M1118" s="374">
        <v>0</v>
      </c>
      <c r="N1118" s="374">
        <v>0</v>
      </c>
      <c r="O1118" s="374">
        <v>0</v>
      </c>
      <c r="P1118" s="374">
        <v>0</v>
      </c>
      <c r="Q1118" s="374" t="e">
        <f ca="1">5*Bolts!$B1118</f>
        <v>#NAME?</v>
      </c>
      <c r="R1118" s="374">
        <v>0</v>
      </c>
      <c r="S1118" s="380">
        <v>0</v>
      </c>
      <c r="T1118" s="380">
        <v>0</v>
      </c>
      <c r="U1118" s="380">
        <v>0</v>
      </c>
      <c r="V1118" s="380" t="e">
        <f t="shared" ca="1" si="115"/>
        <v>#NAME?</v>
      </c>
    </row>
    <row r="1119" spans="1:22" ht="14.25" hidden="1" customHeight="1">
      <c r="A1119" s="383" t="s">
        <v>2256</v>
      </c>
      <c r="B1119" s="370" t="e">
        <f ca="1">_xludf.IFNA(VLOOKUP(Bolts!$A1119,'Urban Plastix Holds'!$I$37:$L$708,4,0),0)</f>
        <v>#NAME?</v>
      </c>
      <c r="C1119" s="384">
        <v>5</v>
      </c>
      <c r="D1119" s="373">
        <v>0</v>
      </c>
      <c r="E1119" s="373">
        <v>0</v>
      </c>
      <c r="F1119" s="374">
        <v>0</v>
      </c>
      <c r="G1119" s="374">
        <v>0</v>
      </c>
      <c r="H1119" s="374">
        <v>0</v>
      </c>
      <c r="I1119" s="374">
        <v>0</v>
      </c>
      <c r="J1119" s="374">
        <f ca="1">IFERROR(5*B1119,0)</f>
        <v>0</v>
      </c>
      <c r="K1119" s="374">
        <v>0</v>
      </c>
      <c r="L1119" s="374">
        <v>0</v>
      </c>
      <c r="M1119" s="374">
        <v>0</v>
      </c>
      <c r="N1119" s="374">
        <v>0</v>
      </c>
      <c r="O1119" s="374">
        <v>0</v>
      </c>
      <c r="P1119" s="374">
        <v>0</v>
      </c>
      <c r="Q1119" s="374">
        <v>0</v>
      </c>
      <c r="R1119" s="374">
        <v>0</v>
      </c>
      <c r="S1119" s="375">
        <v>0</v>
      </c>
      <c r="T1119" s="375">
        <v>0</v>
      </c>
      <c r="U1119" s="375">
        <v>0</v>
      </c>
      <c r="V1119" s="380" t="e">
        <f t="shared" ca="1" si="115"/>
        <v>#NAME?</v>
      </c>
    </row>
    <row r="1120" spans="1:22" ht="14.25" hidden="1" customHeight="1">
      <c r="A1120" s="383" t="s">
        <v>2257</v>
      </c>
      <c r="B1120" s="370" t="e">
        <f ca="1">_xludf.IFNA(VLOOKUP(Bolts!$A1120,'Urban Plastix Holds'!$I$37:$L$708,4,0),0)</f>
        <v>#NAME?</v>
      </c>
      <c r="C1120" s="384">
        <v>5</v>
      </c>
      <c r="D1120" s="373">
        <v>0</v>
      </c>
      <c r="E1120" s="373">
        <v>0</v>
      </c>
      <c r="F1120" s="374">
        <v>0</v>
      </c>
      <c r="G1120" s="374">
        <v>0</v>
      </c>
      <c r="H1120" s="374">
        <f t="shared" ref="H1120:H1121" ca="1" si="125">IFERROR(5*B1120,0)</f>
        <v>0</v>
      </c>
      <c r="I1120" s="374">
        <v>0</v>
      </c>
      <c r="J1120" s="374">
        <v>0</v>
      </c>
      <c r="K1120" s="374">
        <v>0</v>
      </c>
      <c r="L1120" s="374">
        <v>0</v>
      </c>
      <c r="M1120" s="374">
        <v>0</v>
      </c>
      <c r="N1120" s="374">
        <v>0</v>
      </c>
      <c r="O1120" s="374">
        <v>0</v>
      </c>
      <c r="P1120" s="374">
        <v>0</v>
      </c>
      <c r="Q1120" s="374">
        <v>0</v>
      </c>
      <c r="R1120" s="374">
        <v>0</v>
      </c>
      <c r="S1120" s="375">
        <v>0</v>
      </c>
      <c r="T1120" s="375">
        <v>0</v>
      </c>
      <c r="U1120" s="375">
        <v>0</v>
      </c>
      <c r="V1120" s="380" t="e">
        <f t="shared" ca="1" si="115"/>
        <v>#NAME?</v>
      </c>
    </row>
    <row r="1121" spans="1:22" ht="14.25" hidden="1" customHeight="1">
      <c r="A1121" s="383" t="s">
        <v>2258</v>
      </c>
      <c r="B1121" s="370" t="e">
        <f ca="1">_xludf.IFNA(VLOOKUP(Bolts!$A1121,'Urban Plastix Holds'!$I$37:$L$708,4,0),0)</f>
        <v>#NAME?</v>
      </c>
      <c r="C1121" s="384">
        <v>5</v>
      </c>
      <c r="D1121" s="373">
        <v>0</v>
      </c>
      <c r="E1121" s="373">
        <v>0</v>
      </c>
      <c r="F1121" s="374">
        <v>0</v>
      </c>
      <c r="G1121" s="374">
        <v>0</v>
      </c>
      <c r="H1121" s="374">
        <f t="shared" ca="1" si="125"/>
        <v>0</v>
      </c>
      <c r="I1121" s="374">
        <v>0</v>
      </c>
      <c r="J1121" s="374">
        <v>0</v>
      </c>
      <c r="K1121" s="374">
        <v>0</v>
      </c>
      <c r="L1121" s="374">
        <v>0</v>
      </c>
      <c r="M1121" s="374">
        <v>0</v>
      </c>
      <c r="N1121" s="374">
        <v>0</v>
      </c>
      <c r="O1121" s="374">
        <v>0</v>
      </c>
      <c r="P1121" s="374">
        <v>0</v>
      </c>
      <c r="Q1121" s="374">
        <v>0</v>
      </c>
      <c r="R1121" s="374">
        <v>0</v>
      </c>
      <c r="S1121" s="375">
        <v>0</v>
      </c>
      <c r="T1121" s="375">
        <v>0</v>
      </c>
      <c r="U1121" s="375">
        <v>0</v>
      </c>
      <c r="V1121" s="380" t="e">
        <f t="shared" ca="1" si="115"/>
        <v>#NAME?</v>
      </c>
    </row>
    <row r="1122" spans="1:22" ht="14.25" hidden="1" customHeight="1">
      <c r="A1122" s="383" t="s">
        <v>2259</v>
      </c>
      <c r="B1122" s="370" t="e">
        <f ca="1">_xludf.IFNA(VLOOKUP(Bolts!$A1122,'Urban Plastix Holds'!$I$37:$L$708,4,0),0)</f>
        <v>#NAME?</v>
      </c>
      <c r="C1122" s="384">
        <v>10</v>
      </c>
      <c r="D1122" s="373" t="e">
        <f ca="1">10*Bolts!$B1122</f>
        <v>#NAME?</v>
      </c>
      <c r="E1122" s="373">
        <v>0</v>
      </c>
      <c r="F1122" s="374">
        <v>0</v>
      </c>
      <c r="G1122" s="373">
        <v>0</v>
      </c>
      <c r="H1122" s="374">
        <v>0</v>
      </c>
      <c r="I1122" s="373">
        <v>0</v>
      </c>
      <c r="J1122" s="374">
        <v>0</v>
      </c>
      <c r="K1122" s="373">
        <v>0</v>
      </c>
      <c r="L1122" s="374">
        <v>0</v>
      </c>
      <c r="M1122" s="373">
        <v>0</v>
      </c>
      <c r="N1122" s="374">
        <v>0</v>
      </c>
      <c r="O1122" s="373">
        <v>0</v>
      </c>
      <c r="P1122" s="374">
        <v>0</v>
      </c>
      <c r="Q1122" s="374" t="e">
        <f ca="1">10*Bolts!$B1122</f>
        <v>#NAME?</v>
      </c>
      <c r="R1122" s="374">
        <v>0</v>
      </c>
      <c r="S1122" s="375">
        <v>0</v>
      </c>
      <c r="T1122" s="375">
        <v>0</v>
      </c>
      <c r="U1122" s="375">
        <v>0</v>
      </c>
      <c r="V1122" s="380" t="e">
        <f t="shared" ca="1" si="115"/>
        <v>#NAME?</v>
      </c>
    </row>
    <row r="1123" spans="1:22" ht="14.25" hidden="1" customHeight="1">
      <c r="A1123" s="383" t="s">
        <v>2260</v>
      </c>
      <c r="B1123" s="370" t="e">
        <f ca="1">_xludf.IFNA(VLOOKUP(Bolts!$A1123,'Urban Plastix Holds'!$I$37:$L$708,4,0),0)</f>
        <v>#NAME?</v>
      </c>
      <c r="C1123" s="384">
        <v>10</v>
      </c>
      <c r="D1123" s="373" t="e">
        <f ca="1">10*Bolts!$B1123</f>
        <v>#NAME?</v>
      </c>
      <c r="E1123" s="373">
        <v>0</v>
      </c>
      <c r="F1123" s="374">
        <v>0</v>
      </c>
      <c r="G1123" s="373">
        <v>0</v>
      </c>
      <c r="H1123" s="374">
        <v>0</v>
      </c>
      <c r="I1123" s="373">
        <v>0</v>
      </c>
      <c r="J1123" s="374">
        <v>0</v>
      </c>
      <c r="K1123" s="373">
        <v>0</v>
      </c>
      <c r="L1123" s="374">
        <v>0</v>
      </c>
      <c r="M1123" s="373">
        <v>0</v>
      </c>
      <c r="N1123" s="374">
        <v>0</v>
      </c>
      <c r="O1123" s="373">
        <v>0</v>
      </c>
      <c r="P1123" s="374">
        <v>0</v>
      </c>
      <c r="Q1123" s="374" t="e">
        <f ca="1">10*Bolts!$B1123</f>
        <v>#NAME?</v>
      </c>
      <c r="R1123" s="374">
        <v>0</v>
      </c>
      <c r="S1123" s="375">
        <v>0</v>
      </c>
      <c r="T1123" s="375">
        <v>0</v>
      </c>
      <c r="U1123" s="375">
        <v>0</v>
      </c>
      <c r="V1123" s="380" t="e">
        <f t="shared" ca="1" si="115"/>
        <v>#NAME?</v>
      </c>
    </row>
    <row r="1124" spans="1:22" ht="14.25" hidden="1" customHeight="1">
      <c r="A1124" s="383" t="s">
        <v>2261</v>
      </c>
      <c r="B1124" s="370" t="e">
        <f ca="1">_xludf.IFNA(VLOOKUP(Bolts!$A1124,'Urban Plastix Holds'!$I$37:$L$708,4,0),0)</f>
        <v>#NAME?</v>
      </c>
      <c r="C1124" s="384">
        <v>5</v>
      </c>
      <c r="D1124" s="373">
        <v>0</v>
      </c>
      <c r="E1124" s="373">
        <v>0</v>
      </c>
      <c r="F1124" s="374">
        <v>0</v>
      </c>
      <c r="G1124" s="373">
        <v>0</v>
      </c>
      <c r="H1124" s="374" t="e">
        <f ca="1">5*Bolts!$B1124</f>
        <v>#NAME?</v>
      </c>
      <c r="I1124" s="373">
        <v>0</v>
      </c>
      <c r="J1124" s="374">
        <v>0</v>
      </c>
      <c r="K1124" s="373">
        <v>0</v>
      </c>
      <c r="L1124" s="374">
        <v>0</v>
      </c>
      <c r="M1124" s="373">
        <v>0</v>
      </c>
      <c r="N1124" s="374">
        <v>0</v>
      </c>
      <c r="O1124" s="373">
        <v>0</v>
      </c>
      <c r="P1124" s="374">
        <v>0</v>
      </c>
      <c r="Q1124" s="374">
        <v>0</v>
      </c>
      <c r="R1124" s="374">
        <v>0</v>
      </c>
      <c r="S1124" s="375">
        <v>0</v>
      </c>
      <c r="T1124" s="375">
        <v>0</v>
      </c>
      <c r="U1124" s="375">
        <v>0</v>
      </c>
      <c r="V1124" s="380" t="e">
        <f t="shared" ca="1" si="115"/>
        <v>#NAME?</v>
      </c>
    </row>
    <row r="1125" spans="1:22" ht="14.25" hidden="1" customHeight="1">
      <c r="A1125" s="383" t="s">
        <v>2262</v>
      </c>
      <c r="B1125" s="370" t="e">
        <f ca="1">_xludf.IFNA(VLOOKUP(Bolts!$A1125,'Urban Plastix Holds'!$I$37:$L$708,4,0),0)</f>
        <v>#NAME?</v>
      </c>
      <c r="C1125" s="384">
        <v>5</v>
      </c>
      <c r="D1125" s="373">
        <v>0</v>
      </c>
      <c r="E1125" s="373">
        <v>0</v>
      </c>
      <c r="F1125" s="374" t="e">
        <f ca="1">1*Bolts!$B1125</f>
        <v>#NAME?</v>
      </c>
      <c r="G1125" s="373" t="e">
        <f ca="1">3*Bolts!$B1125</f>
        <v>#NAME?</v>
      </c>
      <c r="H1125" s="374" t="e">
        <f ca="1">1*Bolts!$B1125</f>
        <v>#NAME?</v>
      </c>
      <c r="I1125" s="373">
        <v>0</v>
      </c>
      <c r="J1125" s="374">
        <v>0</v>
      </c>
      <c r="K1125" s="373">
        <v>0</v>
      </c>
      <c r="L1125" s="374">
        <v>0</v>
      </c>
      <c r="M1125" s="373">
        <v>0</v>
      </c>
      <c r="N1125" s="374">
        <v>0</v>
      </c>
      <c r="O1125" s="373">
        <v>0</v>
      </c>
      <c r="P1125" s="374">
        <v>0</v>
      </c>
      <c r="Q1125" s="374">
        <v>0</v>
      </c>
      <c r="R1125" s="374">
        <v>0</v>
      </c>
      <c r="S1125" s="375">
        <v>0</v>
      </c>
      <c r="T1125" s="375">
        <v>0</v>
      </c>
      <c r="U1125" s="375">
        <v>0</v>
      </c>
      <c r="V1125" s="380" t="e">
        <f t="shared" ca="1" si="115"/>
        <v>#NAME?</v>
      </c>
    </row>
    <row r="1126" spans="1:22" ht="14.25" hidden="1" customHeight="1">
      <c r="A1126" s="383" t="s">
        <v>2263</v>
      </c>
      <c r="B1126" s="370" t="e">
        <f ca="1">_xludf.IFNA(VLOOKUP(Bolts!$A1126,'Urban Plastix Holds'!$I$37:$L$708,4,0),0)</f>
        <v>#NAME?</v>
      </c>
      <c r="C1126" s="384">
        <v>10</v>
      </c>
      <c r="D1126" s="373" t="e">
        <f ca="1">3*Bolts!$B1126</f>
        <v>#NAME?</v>
      </c>
      <c r="E1126" s="373" t="e">
        <f ca="1">7*Bolts!$B1126</f>
        <v>#NAME?</v>
      </c>
      <c r="F1126" s="374">
        <v>0</v>
      </c>
      <c r="G1126" s="373">
        <v>0</v>
      </c>
      <c r="H1126" s="374">
        <v>0</v>
      </c>
      <c r="I1126" s="373">
        <v>0</v>
      </c>
      <c r="J1126" s="374">
        <v>0</v>
      </c>
      <c r="K1126" s="373">
        <v>0</v>
      </c>
      <c r="L1126" s="374">
        <v>0</v>
      </c>
      <c r="M1126" s="373">
        <v>0</v>
      </c>
      <c r="N1126" s="374">
        <v>0</v>
      </c>
      <c r="O1126" s="373">
        <v>0</v>
      </c>
      <c r="P1126" s="374">
        <v>0</v>
      </c>
      <c r="Q1126" s="374">
        <v>0</v>
      </c>
      <c r="R1126" s="374">
        <v>0</v>
      </c>
      <c r="S1126" s="375">
        <v>0</v>
      </c>
      <c r="T1126" s="375">
        <v>0</v>
      </c>
      <c r="U1126" s="375">
        <v>0</v>
      </c>
      <c r="V1126" s="380" t="e">
        <f t="shared" ca="1" si="115"/>
        <v>#NAME?</v>
      </c>
    </row>
    <row r="1127" spans="1:22" ht="14.25" hidden="1" customHeight="1">
      <c r="A1127" s="383" t="s">
        <v>2264</v>
      </c>
      <c r="B1127" s="370" t="e">
        <f ca="1">_xludf.IFNA(VLOOKUP(Bolts!$A1127,'Urban Plastix Holds'!$I$37:$L$708,4,0),0)</f>
        <v>#NAME?</v>
      </c>
      <c r="C1127" s="384">
        <v>10</v>
      </c>
      <c r="D1127" s="373" t="e">
        <f ca="1">7*Bolts!$B1127</f>
        <v>#NAME?</v>
      </c>
      <c r="E1127" s="373" t="e">
        <f ca="1">3*Bolts!$B1127</f>
        <v>#NAME?</v>
      </c>
      <c r="F1127" s="374">
        <v>0</v>
      </c>
      <c r="G1127" s="373">
        <v>0</v>
      </c>
      <c r="H1127" s="374">
        <v>0</v>
      </c>
      <c r="I1127" s="373">
        <v>0</v>
      </c>
      <c r="J1127" s="374">
        <v>0</v>
      </c>
      <c r="K1127" s="373">
        <v>0</v>
      </c>
      <c r="L1127" s="374">
        <v>0</v>
      </c>
      <c r="M1127" s="373">
        <v>0</v>
      </c>
      <c r="N1127" s="374">
        <v>0</v>
      </c>
      <c r="O1127" s="373">
        <v>0</v>
      </c>
      <c r="P1127" s="374">
        <v>0</v>
      </c>
      <c r="Q1127" s="374">
        <v>0</v>
      </c>
      <c r="R1127" s="374">
        <v>0</v>
      </c>
      <c r="S1127" s="375">
        <v>0</v>
      </c>
      <c r="T1127" s="375">
        <v>0</v>
      </c>
      <c r="U1127" s="375">
        <v>0</v>
      </c>
      <c r="V1127" s="380" t="e">
        <f t="shared" ca="1" si="115"/>
        <v>#NAME?</v>
      </c>
    </row>
    <row r="1128" spans="1:22" ht="14.25" hidden="1" customHeight="1">
      <c r="A1128" s="383" t="s">
        <v>2265</v>
      </c>
      <c r="B1128" s="370" t="e">
        <f ca="1">_xludf.IFNA(VLOOKUP(Bolts!$A1128,'Urban Plastix Holds'!$I$37:$L$708,4,0),0)</f>
        <v>#NAME?</v>
      </c>
      <c r="C1128" s="384">
        <v>10</v>
      </c>
      <c r="D1128" s="373" t="e">
        <f ca="1">4*Bolts!$B1128</f>
        <v>#NAME?</v>
      </c>
      <c r="E1128" s="373" t="e">
        <f ca="1">6*Bolts!$B1128</f>
        <v>#NAME?</v>
      </c>
      <c r="F1128" s="374">
        <v>0</v>
      </c>
      <c r="G1128" s="373">
        <v>0</v>
      </c>
      <c r="H1128" s="374">
        <v>0</v>
      </c>
      <c r="I1128" s="373">
        <v>0</v>
      </c>
      <c r="J1128" s="374">
        <v>0</v>
      </c>
      <c r="K1128" s="373">
        <v>0</v>
      </c>
      <c r="L1128" s="374">
        <v>0</v>
      </c>
      <c r="M1128" s="373">
        <v>0</v>
      </c>
      <c r="N1128" s="374">
        <v>0</v>
      </c>
      <c r="O1128" s="373">
        <v>0</v>
      </c>
      <c r="P1128" s="374">
        <v>0</v>
      </c>
      <c r="Q1128" s="374">
        <v>0</v>
      </c>
      <c r="R1128" s="374">
        <v>0</v>
      </c>
      <c r="S1128" s="375">
        <v>0</v>
      </c>
      <c r="T1128" s="375">
        <v>0</v>
      </c>
      <c r="U1128" s="375">
        <v>0</v>
      </c>
      <c r="V1128" s="380" t="e">
        <f t="shared" ca="1" si="115"/>
        <v>#NAME?</v>
      </c>
    </row>
    <row r="1129" spans="1:22" ht="14.25" hidden="1" customHeight="1">
      <c r="A1129" s="383" t="s">
        <v>2266</v>
      </c>
      <c r="B1129" s="370" t="e">
        <f ca="1">_xludf.IFNA(VLOOKUP(Bolts!$A1129,'Urban Plastix Holds'!$I$37:$L$708,4,0),0)</f>
        <v>#NAME?</v>
      </c>
      <c r="C1129" s="384">
        <v>5</v>
      </c>
      <c r="D1129" s="373">
        <v>0</v>
      </c>
      <c r="E1129" s="373" t="e">
        <f ca="1">5*Bolts!$B1129</f>
        <v>#NAME?</v>
      </c>
      <c r="F1129" s="374">
        <v>0</v>
      </c>
      <c r="G1129" s="373">
        <v>0</v>
      </c>
      <c r="H1129" s="374">
        <v>0</v>
      </c>
      <c r="I1129" s="373">
        <v>0</v>
      </c>
      <c r="J1129" s="374">
        <v>0</v>
      </c>
      <c r="K1129" s="373">
        <v>0</v>
      </c>
      <c r="L1129" s="374">
        <v>0</v>
      </c>
      <c r="M1129" s="373">
        <v>0</v>
      </c>
      <c r="N1129" s="374">
        <v>0</v>
      </c>
      <c r="O1129" s="373">
        <v>0</v>
      </c>
      <c r="P1129" s="374">
        <v>0</v>
      </c>
      <c r="Q1129" s="374">
        <v>0</v>
      </c>
      <c r="R1129" s="374">
        <v>0</v>
      </c>
      <c r="S1129" s="375">
        <v>0</v>
      </c>
      <c r="T1129" s="375">
        <v>0</v>
      </c>
      <c r="U1129" s="375">
        <v>0</v>
      </c>
      <c r="V1129" s="380" t="e">
        <f t="shared" ca="1" si="115"/>
        <v>#NAME?</v>
      </c>
    </row>
    <row r="1130" spans="1:22" ht="14.25" hidden="1" customHeight="1">
      <c r="A1130" s="383" t="s">
        <v>2267</v>
      </c>
      <c r="B1130" s="370" t="e">
        <f ca="1">_xludf.IFNA(VLOOKUP(Bolts!$A1130,'Urban Plastix Holds'!$I$37:$L$708,4,0),0)</f>
        <v>#NAME?</v>
      </c>
      <c r="C1130" s="384">
        <v>4</v>
      </c>
      <c r="D1130" s="373">
        <v>0</v>
      </c>
      <c r="E1130" s="373">
        <v>0</v>
      </c>
      <c r="F1130" s="374">
        <v>0</v>
      </c>
      <c r="G1130" s="373" t="e">
        <f ca="1">3*Bolts!$B1130</f>
        <v>#NAME?</v>
      </c>
      <c r="H1130" s="374" t="e">
        <f ca="1">1*Bolts!$B1130</f>
        <v>#NAME?</v>
      </c>
      <c r="I1130" s="373">
        <v>0</v>
      </c>
      <c r="J1130" s="374">
        <v>0</v>
      </c>
      <c r="K1130" s="373">
        <v>0</v>
      </c>
      <c r="L1130" s="374">
        <v>0</v>
      </c>
      <c r="M1130" s="373">
        <v>0</v>
      </c>
      <c r="N1130" s="374">
        <v>0</v>
      </c>
      <c r="O1130" s="373">
        <v>0</v>
      </c>
      <c r="P1130" s="374">
        <v>0</v>
      </c>
      <c r="Q1130" s="374">
        <v>0</v>
      </c>
      <c r="R1130" s="374">
        <v>0</v>
      </c>
      <c r="S1130" s="375">
        <v>0</v>
      </c>
      <c r="T1130" s="375">
        <v>0</v>
      </c>
      <c r="U1130" s="375">
        <v>0</v>
      </c>
      <c r="V1130" s="380" t="e">
        <f t="shared" ca="1" si="115"/>
        <v>#NAME?</v>
      </c>
    </row>
    <row r="1131" spans="1:22" ht="14.25" hidden="1" customHeight="1">
      <c r="A1131" s="383" t="s">
        <v>2268</v>
      </c>
      <c r="B1131" s="370" t="e">
        <f ca="1">_xludf.IFNA(VLOOKUP(Bolts!$A1131,'Urban Plastix Holds'!$I$37:$L$708,4,0),0)</f>
        <v>#NAME?</v>
      </c>
      <c r="C1131" s="384">
        <v>3</v>
      </c>
      <c r="D1131" s="373">
        <v>0</v>
      </c>
      <c r="E1131" s="373">
        <v>0</v>
      </c>
      <c r="F1131" s="374">
        <v>0</v>
      </c>
      <c r="G1131" s="373">
        <v>0</v>
      </c>
      <c r="H1131" s="374">
        <v>0</v>
      </c>
      <c r="I1131" s="373">
        <v>0</v>
      </c>
      <c r="J1131" s="374">
        <v>0</v>
      </c>
      <c r="K1131" s="373">
        <v>0</v>
      </c>
      <c r="L1131" s="374" t="e">
        <f ca="1">1*Bolts!$B1131</f>
        <v>#NAME?</v>
      </c>
      <c r="M1131" s="373">
        <v>0</v>
      </c>
      <c r="N1131" s="374" t="e">
        <f ca="1">2*Bolts!$B1131</f>
        <v>#NAME?</v>
      </c>
      <c r="O1131" s="373">
        <v>0</v>
      </c>
      <c r="P1131" s="374">
        <v>0</v>
      </c>
      <c r="Q1131" s="374">
        <v>0</v>
      </c>
      <c r="R1131" s="374">
        <v>0</v>
      </c>
      <c r="S1131" s="375">
        <v>0</v>
      </c>
      <c r="T1131" s="375">
        <v>0</v>
      </c>
      <c r="U1131" s="375">
        <v>0</v>
      </c>
      <c r="V1131" s="380" t="e">
        <f t="shared" ca="1" si="115"/>
        <v>#NAME?</v>
      </c>
    </row>
    <row r="1132" spans="1:22" ht="14.25" hidden="1" customHeight="1">
      <c r="A1132" s="383" t="s">
        <v>2269</v>
      </c>
      <c r="B1132" s="370" t="e">
        <f ca="1">_xludf.IFNA(VLOOKUP(Bolts!$A1132,'Urban Plastix Holds'!$I$37:$L$708,4,0),0)</f>
        <v>#NAME?</v>
      </c>
      <c r="C1132" s="384">
        <v>2</v>
      </c>
      <c r="D1132" s="373">
        <v>0</v>
      </c>
      <c r="E1132" s="373">
        <v>0</v>
      </c>
      <c r="F1132" s="374">
        <v>0</v>
      </c>
      <c r="G1132" s="373">
        <v>0</v>
      </c>
      <c r="H1132" s="374">
        <v>0</v>
      </c>
      <c r="I1132" s="373">
        <v>0</v>
      </c>
      <c r="J1132" s="374">
        <v>0</v>
      </c>
      <c r="K1132" s="373">
        <v>0</v>
      </c>
      <c r="L1132" s="374">
        <v>0</v>
      </c>
      <c r="M1132" s="373">
        <v>0</v>
      </c>
      <c r="N1132" s="374" t="e">
        <f ca="1">1*Bolts!$B1132</f>
        <v>#NAME?</v>
      </c>
      <c r="O1132" s="373" t="e">
        <f ca="1">1*Bolts!$B1132</f>
        <v>#NAME?</v>
      </c>
      <c r="P1132" s="374">
        <v>0</v>
      </c>
      <c r="Q1132" s="374">
        <v>0</v>
      </c>
      <c r="R1132" s="374">
        <v>0</v>
      </c>
      <c r="S1132" s="375">
        <v>0</v>
      </c>
      <c r="T1132" s="375">
        <v>0</v>
      </c>
      <c r="U1132" s="375">
        <v>0</v>
      </c>
      <c r="V1132" s="380" t="e">
        <f t="shared" ca="1" si="115"/>
        <v>#NAME?</v>
      </c>
    </row>
    <row r="1133" spans="1:22" ht="14.25" hidden="1" customHeight="1">
      <c r="A1133" s="383" t="s">
        <v>2270</v>
      </c>
      <c r="B1133" s="370" t="e">
        <f ca="1">_xludf.IFNA(VLOOKUP(Bolts!$A1133,'Urban Plastix Holds'!$I$37:$L$708,4,0),0)</f>
        <v>#NAME?</v>
      </c>
      <c r="C1133" s="384">
        <v>10</v>
      </c>
      <c r="D1133" s="373" t="e">
        <f ca="1">10*Bolts!$B1133</f>
        <v>#NAME?</v>
      </c>
      <c r="E1133" s="373">
        <v>0</v>
      </c>
      <c r="F1133" s="374">
        <v>0</v>
      </c>
      <c r="G1133" s="373">
        <v>0</v>
      </c>
      <c r="H1133" s="374">
        <v>0</v>
      </c>
      <c r="I1133" s="373">
        <v>0</v>
      </c>
      <c r="J1133" s="374">
        <v>0</v>
      </c>
      <c r="K1133" s="373">
        <v>0</v>
      </c>
      <c r="L1133" s="374">
        <v>0</v>
      </c>
      <c r="M1133" s="373">
        <v>0</v>
      </c>
      <c r="N1133" s="374">
        <v>0</v>
      </c>
      <c r="O1133" s="373">
        <v>0</v>
      </c>
      <c r="P1133" s="374">
        <v>0</v>
      </c>
      <c r="Q1133" s="374" t="e">
        <f ca="1">10*Bolts!$B1133</f>
        <v>#NAME?</v>
      </c>
      <c r="R1133" s="374">
        <v>0</v>
      </c>
      <c r="S1133" s="375">
        <v>0</v>
      </c>
      <c r="T1133" s="375">
        <v>0</v>
      </c>
      <c r="U1133" s="375">
        <v>0</v>
      </c>
      <c r="V1133" s="380" t="e">
        <f t="shared" ca="1" si="115"/>
        <v>#NAME?</v>
      </c>
    </row>
    <row r="1134" spans="1:22" ht="14.25" hidden="1" customHeight="1">
      <c r="A1134" s="383" t="s">
        <v>2271</v>
      </c>
      <c r="B1134" s="370" t="e">
        <f ca="1">_xludf.IFNA(VLOOKUP(Bolts!$A1134,'Urban Plastix Holds'!$I$37:$L$708,4,0),0)</f>
        <v>#NAME?</v>
      </c>
      <c r="C1134" s="384">
        <v>5</v>
      </c>
      <c r="D1134" s="373">
        <v>0</v>
      </c>
      <c r="E1134" s="373">
        <f ca="1">IFERROR(5*B1134,0)</f>
        <v>0</v>
      </c>
      <c r="F1134" s="374">
        <v>0</v>
      </c>
      <c r="G1134" s="374">
        <v>0</v>
      </c>
      <c r="H1134" s="374">
        <v>0</v>
      </c>
      <c r="I1134" s="374">
        <v>0</v>
      </c>
      <c r="J1134" s="374">
        <v>0</v>
      </c>
      <c r="K1134" s="374">
        <v>0</v>
      </c>
      <c r="L1134" s="374">
        <v>0</v>
      </c>
      <c r="M1134" s="374">
        <v>0</v>
      </c>
      <c r="N1134" s="374">
        <v>0</v>
      </c>
      <c r="O1134" s="374">
        <v>0</v>
      </c>
      <c r="P1134" s="374">
        <v>0</v>
      </c>
      <c r="Q1134" s="374">
        <v>0</v>
      </c>
      <c r="R1134" s="374">
        <v>0</v>
      </c>
      <c r="S1134" s="375">
        <v>0</v>
      </c>
      <c r="T1134" s="375">
        <v>0</v>
      </c>
      <c r="U1134" s="375">
        <v>0</v>
      </c>
      <c r="V1134" s="380" t="e">
        <f t="shared" ca="1" si="115"/>
        <v>#NAME?</v>
      </c>
    </row>
    <row r="1135" spans="1:22" ht="14.25" hidden="1" customHeight="1">
      <c r="A1135" s="383" t="s">
        <v>2272</v>
      </c>
      <c r="B1135" s="370" t="e">
        <f ca="1">_xludf.IFNA(VLOOKUP(Bolts!$A1135,'Urban Plastix Holds'!$I$37:$L$708,4,0),0)</f>
        <v>#NAME?</v>
      </c>
      <c r="C1135" s="384">
        <v>15</v>
      </c>
      <c r="D1135" s="373">
        <f ca="1">IFERROR(15*B1135,0)</f>
        <v>0</v>
      </c>
      <c r="E1135" s="373">
        <v>0</v>
      </c>
      <c r="F1135" s="374">
        <v>0</v>
      </c>
      <c r="G1135" s="374">
        <v>0</v>
      </c>
      <c r="H1135" s="374">
        <v>0</v>
      </c>
      <c r="I1135" s="374">
        <v>0</v>
      </c>
      <c r="J1135" s="374">
        <v>0</v>
      </c>
      <c r="K1135" s="374">
        <v>0</v>
      </c>
      <c r="L1135" s="374">
        <v>0</v>
      </c>
      <c r="M1135" s="374">
        <v>0</v>
      </c>
      <c r="N1135" s="374">
        <v>0</v>
      </c>
      <c r="O1135" s="374">
        <v>0</v>
      </c>
      <c r="P1135" s="374">
        <v>0</v>
      </c>
      <c r="Q1135" s="374">
        <v>0</v>
      </c>
      <c r="R1135" s="374">
        <v>0</v>
      </c>
      <c r="S1135" s="375">
        <v>0</v>
      </c>
      <c r="T1135" s="375">
        <v>0</v>
      </c>
      <c r="U1135" s="375">
        <v>0</v>
      </c>
      <c r="V1135" s="380" t="e">
        <f t="shared" ca="1" si="115"/>
        <v>#NAME?</v>
      </c>
    </row>
    <row r="1136" spans="1:22" ht="14.25" hidden="1" customHeight="1">
      <c r="A1136" s="383" t="s">
        <v>2273</v>
      </c>
      <c r="B1136" s="370" t="e">
        <f ca="1">_xludf.IFNA(VLOOKUP(Bolts!$A1136,'Urban Plastix Holds'!$I$37:$L$708,4,0),0)</f>
        <v>#NAME?</v>
      </c>
      <c r="C1136" s="384">
        <v>25</v>
      </c>
      <c r="D1136" s="373">
        <f t="shared" ref="D1136:D1137" ca="1" si="126">IFERROR(25*B1136,0)</f>
        <v>0</v>
      </c>
      <c r="E1136" s="373">
        <v>0</v>
      </c>
      <c r="F1136" s="374">
        <v>0</v>
      </c>
      <c r="G1136" s="374">
        <v>0</v>
      </c>
      <c r="H1136" s="374">
        <v>0</v>
      </c>
      <c r="I1136" s="374">
        <v>0</v>
      </c>
      <c r="J1136" s="374">
        <v>0</v>
      </c>
      <c r="K1136" s="374">
        <v>0</v>
      </c>
      <c r="L1136" s="374">
        <v>0</v>
      </c>
      <c r="M1136" s="374">
        <v>0</v>
      </c>
      <c r="N1136" s="374">
        <v>0</v>
      </c>
      <c r="O1136" s="374">
        <v>0</v>
      </c>
      <c r="P1136" s="374">
        <v>0</v>
      </c>
      <c r="Q1136" s="374">
        <v>0</v>
      </c>
      <c r="R1136" s="374">
        <v>0</v>
      </c>
      <c r="S1136" s="375">
        <v>0</v>
      </c>
      <c r="T1136" s="375">
        <v>0</v>
      </c>
      <c r="U1136" s="375">
        <v>0</v>
      </c>
      <c r="V1136" s="380" t="e">
        <f t="shared" ca="1" si="115"/>
        <v>#NAME?</v>
      </c>
    </row>
    <row r="1137" spans="1:22" ht="14.25" hidden="1" customHeight="1">
      <c r="A1137" s="383" t="s">
        <v>2274</v>
      </c>
      <c r="B1137" s="370" t="e">
        <f ca="1">_xludf.IFNA(VLOOKUP(Bolts!$A1137,'Urban Plastix Holds'!$I$37:$L$708,4,0),0)</f>
        <v>#NAME?</v>
      </c>
      <c r="C1137" s="384">
        <v>25</v>
      </c>
      <c r="D1137" s="373">
        <f t="shared" ca="1" si="126"/>
        <v>0</v>
      </c>
      <c r="E1137" s="373">
        <v>0</v>
      </c>
      <c r="F1137" s="374">
        <v>0</v>
      </c>
      <c r="G1137" s="374">
        <v>0</v>
      </c>
      <c r="H1137" s="374">
        <v>0</v>
      </c>
      <c r="I1137" s="374">
        <v>0</v>
      </c>
      <c r="J1137" s="374">
        <v>0</v>
      </c>
      <c r="K1137" s="374">
        <v>0</v>
      </c>
      <c r="L1137" s="374">
        <v>0</v>
      </c>
      <c r="M1137" s="374">
        <v>0</v>
      </c>
      <c r="N1137" s="374">
        <v>0</v>
      </c>
      <c r="O1137" s="374">
        <v>0</v>
      </c>
      <c r="P1137" s="374">
        <v>0</v>
      </c>
      <c r="Q1137" s="374">
        <v>0</v>
      </c>
      <c r="R1137" s="374">
        <v>0</v>
      </c>
      <c r="S1137" s="375">
        <v>0</v>
      </c>
      <c r="T1137" s="375">
        <v>0</v>
      </c>
      <c r="U1137" s="375">
        <v>0</v>
      </c>
      <c r="V1137" s="380" t="e">
        <f t="shared" ca="1" si="115"/>
        <v>#NAME?</v>
      </c>
    </row>
    <row r="1138" spans="1:22" ht="14.25" hidden="1" customHeight="1">
      <c r="A1138" s="383" t="s">
        <v>2275</v>
      </c>
      <c r="B1138" s="370" t="e">
        <f ca="1">_xludf.IFNA(VLOOKUP(Bolts!$A1138,'Urban Plastix Holds'!$I$37:$L$708,4,0),0)</f>
        <v>#NAME?</v>
      </c>
      <c r="C1138" s="384">
        <v>20</v>
      </c>
      <c r="D1138" s="373">
        <v>0</v>
      </c>
      <c r="E1138" s="373">
        <v>0</v>
      </c>
      <c r="F1138" s="374">
        <v>0</v>
      </c>
      <c r="G1138" s="374">
        <v>0</v>
      </c>
      <c r="H1138" s="374">
        <v>0</v>
      </c>
      <c r="I1138" s="374">
        <v>0</v>
      </c>
      <c r="J1138" s="374">
        <v>0</v>
      </c>
      <c r="K1138" s="374">
        <v>0</v>
      </c>
      <c r="L1138" s="374">
        <v>0</v>
      </c>
      <c r="M1138" s="374">
        <v>0</v>
      </c>
      <c r="N1138" s="374">
        <v>0</v>
      </c>
      <c r="O1138" s="374">
        <v>0</v>
      </c>
      <c r="P1138" s="374">
        <v>0</v>
      </c>
      <c r="Q1138" s="374">
        <f ca="1">IFERROR(60*B1138,0)</f>
        <v>0</v>
      </c>
      <c r="R1138" s="374">
        <v>0</v>
      </c>
      <c r="S1138" s="375">
        <v>0</v>
      </c>
      <c r="T1138" s="375">
        <v>0</v>
      </c>
      <c r="U1138" s="375">
        <v>0</v>
      </c>
      <c r="V1138" s="380" t="e">
        <f t="shared" ca="1" si="115"/>
        <v>#NAME?</v>
      </c>
    </row>
    <row r="1139" spans="1:22" ht="14.25" hidden="1" customHeight="1">
      <c r="A1139" s="383" t="s">
        <v>2276</v>
      </c>
      <c r="B1139" s="370" t="e">
        <f ca="1">_xludf.IFNA(VLOOKUP(Bolts!$A1139,'Urban Plastix Holds'!$I$37:$L$708,4,0),0)</f>
        <v>#NAME?</v>
      </c>
      <c r="C1139" s="384">
        <v>5</v>
      </c>
      <c r="D1139" s="373">
        <v>0</v>
      </c>
      <c r="E1139" s="373">
        <v>0</v>
      </c>
      <c r="F1139" s="374">
        <v>0</v>
      </c>
      <c r="G1139" s="374">
        <v>0</v>
      </c>
      <c r="H1139" s="374">
        <v>0</v>
      </c>
      <c r="I1139" s="374">
        <f ca="1">IFERROR(5*B1139,0)</f>
        <v>0</v>
      </c>
      <c r="J1139" s="374">
        <v>0</v>
      </c>
      <c r="K1139" s="374">
        <v>0</v>
      </c>
      <c r="L1139" s="374">
        <v>0</v>
      </c>
      <c r="M1139" s="374">
        <v>0</v>
      </c>
      <c r="N1139" s="374">
        <v>0</v>
      </c>
      <c r="O1139" s="374">
        <v>0</v>
      </c>
      <c r="P1139" s="374">
        <v>0</v>
      </c>
      <c r="Q1139" s="374">
        <v>0</v>
      </c>
      <c r="R1139" s="374">
        <v>0</v>
      </c>
      <c r="S1139" s="375">
        <v>0</v>
      </c>
      <c r="T1139" s="375">
        <v>0</v>
      </c>
      <c r="U1139" s="375">
        <v>0</v>
      </c>
      <c r="V1139" s="380" t="e">
        <f t="shared" ca="1" si="115"/>
        <v>#NAME?</v>
      </c>
    </row>
    <row r="1140" spans="1:22" ht="14.25" hidden="1" customHeight="1">
      <c r="A1140" s="383" t="s">
        <v>2277</v>
      </c>
      <c r="B1140" s="370" t="e">
        <f ca="1">_xludf.IFNA(VLOOKUP(Bolts!$A1140,'Urban Plastix Holds'!$I$37:$L$708,4,0),0)</f>
        <v>#NAME?</v>
      </c>
      <c r="C1140" s="384">
        <v>3</v>
      </c>
      <c r="D1140" s="373">
        <v>0</v>
      </c>
      <c r="E1140" s="373">
        <v>0</v>
      </c>
      <c r="F1140" s="374">
        <v>0</v>
      </c>
      <c r="G1140" s="374">
        <v>0</v>
      </c>
      <c r="H1140" s="374">
        <v>0</v>
      </c>
      <c r="I1140" s="374">
        <f ca="1">IFERROR(3*B1140,0)</f>
        <v>0</v>
      </c>
      <c r="J1140" s="374">
        <v>0</v>
      </c>
      <c r="K1140" s="374">
        <v>0</v>
      </c>
      <c r="L1140" s="374">
        <v>0</v>
      </c>
      <c r="M1140" s="374">
        <v>0</v>
      </c>
      <c r="N1140" s="374">
        <v>0</v>
      </c>
      <c r="O1140" s="374">
        <v>0</v>
      </c>
      <c r="P1140" s="374">
        <v>0</v>
      </c>
      <c r="Q1140" s="374">
        <v>0</v>
      </c>
      <c r="R1140" s="374">
        <v>0</v>
      </c>
      <c r="S1140" s="375">
        <v>0</v>
      </c>
      <c r="T1140" s="375">
        <v>0</v>
      </c>
      <c r="U1140" s="375">
        <v>0</v>
      </c>
      <c r="V1140" s="380" t="e">
        <f t="shared" ca="1" si="115"/>
        <v>#NAME?</v>
      </c>
    </row>
    <row r="1141" spans="1:22" ht="14.25" hidden="1" customHeight="1">
      <c r="A1141" s="383" t="s">
        <v>2278</v>
      </c>
      <c r="B1141" s="370" t="e">
        <f ca="1">_xludf.IFNA(VLOOKUP(Bolts!$A1141,'Urban Plastix Holds'!$I$37:$L$708,4,0),0)</f>
        <v>#NAME?</v>
      </c>
      <c r="C1141" s="384">
        <v>4</v>
      </c>
      <c r="D1141" s="373">
        <v>0</v>
      </c>
      <c r="E1141" s="373" t="e">
        <f ca="1">4*Bolts!$B1141</f>
        <v>#NAME?</v>
      </c>
      <c r="F1141" s="374">
        <v>0</v>
      </c>
      <c r="G1141" s="374">
        <v>0</v>
      </c>
      <c r="H1141" s="374">
        <v>0</v>
      </c>
      <c r="I1141" s="374">
        <v>0</v>
      </c>
      <c r="J1141" s="374">
        <v>0</v>
      </c>
      <c r="K1141" s="374">
        <v>0</v>
      </c>
      <c r="L1141" s="374">
        <v>0</v>
      </c>
      <c r="M1141" s="374">
        <v>0</v>
      </c>
      <c r="N1141" s="374">
        <v>0</v>
      </c>
      <c r="O1141" s="374">
        <v>0</v>
      </c>
      <c r="P1141" s="374">
        <v>0</v>
      </c>
      <c r="Q1141" s="374" t="e">
        <f ca="1">4*Bolts!$B1141</f>
        <v>#NAME?</v>
      </c>
      <c r="R1141" s="374">
        <v>0</v>
      </c>
      <c r="S1141" s="375">
        <v>0</v>
      </c>
      <c r="T1141" s="375">
        <v>0</v>
      </c>
      <c r="U1141" s="375">
        <v>0</v>
      </c>
      <c r="V1141" s="380" t="e">
        <f t="shared" ca="1" si="115"/>
        <v>#NAME?</v>
      </c>
    </row>
    <row r="1142" spans="1:22" ht="14.25" hidden="1" customHeight="1">
      <c r="A1142" s="383" t="s">
        <v>2279</v>
      </c>
      <c r="B1142" s="370" t="e">
        <f ca="1">_xludf.IFNA(VLOOKUP(Bolts!$A1142,'Urban Plastix Holds'!$I$37:$L$708,4,0),0)</f>
        <v>#NAME?</v>
      </c>
      <c r="C1142" s="384">
        <v>5</v>
      </c>
      <c r="D1142" s="373">
        <v>0</v>
      </c>
      <c r="E1142" s="373">
        <v>0</v>
      </c>
      <c r="F1142" s="374" t="e">
        <f ca="1">5*Bolts!$B1142</f>
        <v>#NAME?</v>
      </c>
      <c r="G1142" s="374">
        <v>0</v>
      </c>
      <c r="H1142" s="374">
        <v>0</v>
      </c>
      <c r="I1142" s="374">
        <v>0</v>
      </c>
      <c r="J1142" s="374">
        <v>0</v>
      </c>
      <c r="K1142" s="374">
        <v>0</v>
      </c>
      <c r="L1142" s="374">
        <v>0</v>
      </c>
      <c r="M1142" s="374">
        <v>0</v>
      </c>
      <c r="N1142" s="374">
        <v>0</v>
      </c>
      <c r="O1142" s="374">
        <v>0</v>
      </c>
      <c r="P1142" s="374">
        <v>0</v>
      </c>
      <c r="Q1142" s="374" t="e">
        <f ca="1">5*Bolts!$B1142</f>
        <v>#NAME?</v>
      </c>
      <c r="R1142" s="374">
        <v>0</v>
      </c>
      <c r="S1142" s="375">
        <v>0</v>
      </c>
      <c r="T1142" s="375">
        <v>0</v>
      </c>
      <c r="U1142" s="375">
        <v>0</v>
      </c>
      <c r="V1142" s="380" t="e">
        <f t="shared" ca="1" si="115"/>
        <v>#NAME?</v>
      </c>
    </row>
    <row r="1143" spans="1:22" ht="14.25" hidden="1" customHeight="1">
      <c r="A1143" s="383" t="s">
        <v>2280</v>
      </c>
      <c r="B1143" s="370" t="e">
        <f ca="1">_xludf.IFNA(VLOOKUP(Bolts!$A1143,'Urban Plastix Holds'!$I$37:$L$708,4,0),0)</f>
        <v>#NAME?</v>
      </c>
      <c r="C1143" s="384">
        <v>5</v>
      </c>
      <c r="D1143" s="373">
        <v>0</v>
      </c>
      <c r="E1143" s="373">
        <v>0</v>
      </c>
      <c r="F1143" s="374" t="e">
        <f ca="1">5*Bolts!$B1143</f>
        <v>#NAME?</v>
      </c>
      <c r="G1143" s="374">
        <v>0</v>
      </c>
      <c r="H1143" s="374">
        <v>0</v>
      </c>
      <c r="I1143" s="374">
        <v>0</v>
      </c>
      <c r="J1143" s="374">
        <v>0</v>
      </c>
      <c r="K1143" s="374">
        <v>0</v>
      </c>
      <c r="L1143" s="374">
        <v>0</v>
      </c>
      <c r="M1143" s="374">
        <v>0</v>
      </c>
      <c r="N1143" s="374">
        <v>0</v>
      </c>
      <c r="O1143" s="374">
        <v>0</v>
      </c>
      <c r="P1143" s="374">
        <v>0</v>
      </c>
      <c r="Q1143" s="374" t="e">
        <f ca="1">5*Bolts!$B1143</f>
        <v>#NAME?</v>
      </c>
      <c r="R1143" s="374">
        <v>0</v>
      </c>
      <c r="S1143" s="375">
        <v>0</v>
      </c>
      <c r="T1143" s="375">
        <v>0</v>
      </c>
      <c r="U1143" s="375">
        <v>0</v>
      </c>
      <c r="V1143" s="380" t="e">
        <f t="shared" ca="1" si="115"/>
        <v>#NAME?</v>
      </c>
    </row>
    <row r="1144" spans="1:22" ht="14.25" hidden="1" customHeight="1">
      <c r="A1144" s="383" t="s">
        <v>2281</v>
      </c>
      <c r="B1144" s="370" t="e">
        <f ca="1">_xludf.IFNA(VLOOKUP(Bolts!$A1144,'Urban Plastix Holds'!$I$37:$L$708,4,0),0)</f>
        <v>#NAME?</v>
      </c>
      <c r="C1144" s="384">
        <v>3</v>
      </c>
      <c r="D1144" s="373">
        <v>0</v>
      </c>
      <c r="E1144" s="373">
        <v>0</v>
      </c>
      <c r="F1144" s="374">
        <v>0</v>
      </c>
      <c r="G1144" s="374">
        <v>0</v>
      </c>
      <c r="H1144" s="374" t="e">
        <f ca="1">3*Bolts!$B1144</f>
        <v>#NAME?</v>
      </c>
      <c r="I1144" s="374">
        <v>0</v>
      </c>
      <c r="J1144" s="374">
        <v>0</v>
      </c>
      <c r="K1144" s="374">
        <v>0</v>
      </c>
      <c r="L1144" s="374">
        <v>0</v>
      </c>
      <c r="M1144" s="374">
        <v>0</v>
      </c>
      <c r="N1144" s="374">
        <v>0</v>
      </c>
      <c r="O1144" s="374">
        <v>0</v>
      </c>
      <c r="P1144" s="374">
        <v>0</v>
      </c>
      <c r="Q1144" s="374" t="e">
        <f ca="1">3*Bolts!$B1144</f>
        <v>#NAME?</v>
      </c>
      <c r="R1144" s="374">
        <v>0</v>
      </c>
      <c r="S1144" s="375">
        <v>0</v>
      </c>
      <c r="T1144" s="375">
        <v>0</v>
      </c>
      <c r="U1144" s="375">
        <v>0</v>
      </c>
      <c r="V1144" s="380" t="e">
        <f t="shared" ca="1" si="115"/>
        <v>#NAME?</v>
      </c>
    </row>
    <row r="1145" spans="1:22" ht="14.25" hidden="1" customHeight="1">
      <c r="A1145" s="383" t="s">
        <v>2282</v>
      </c>
      <c r="B1145" s="370" t="e">
        <f ca="1">_xludf.IFNA(VLOOKUP(Bolts!$A1145,'Urban Plastix Holds'!$I$37:$L$708,4,0),0)</f>
        <v>#NAME?</v>
      </c>
      <c r="C1145" s="381">
        <v>5</v>
      </c>
      <c r="D1145" s="373">
        <v>0</v>
      </c>
      <c r="E1145" s="373">
        <v>0</v>
      </c>
      <c r="F1145" s="373">
        <v>0</v>
      </c>
      <c r="G1145" s="373">
        <v>0</v>
      </c>
      <c r="H1145" s="373" t="e">
        <f ca="1">5*Bolts!$B1145</f>
        <v>#NAME?</v>
      </c>
      <c r="I1145" s="373">
        <v>0</v>
      </c>
      <c r="J1145" s="373">
        <v>0</v>
      </c>
      <c r="K1145" s="373">
        <v>0</v>
      </c>
      <c r="L1145" s="374">
        <v>0</v>
      </c>
      <c r="M1145" s="373">
        <v>0</v>
      </c>
      <c r="N1145" s="373">
        <v>0</v>
      </c>
      <c r="O1145" s="373">
        <v>0</v>
      </c>
      <c r="P1145" s="373">
        <v>0</v>
      </c>
      <c r="Q1145" s="373" t="e">
        <f ca="1">5*Bolts!$B1145</f>
        <v>#NAME?</v>
      </c>
      <c r="R1145" s="373">
        <v>0</v>
      </c>
      <c r="S1145" s="380">
        <v>0</v>
      </c>
      <c r="T1145" s="380">
        <v>0</v>
      </c>
      <c r="U1145" s="380">
        <v>0</v>
      </c>
      <c r="V1145" s="373" t="e">
        <f t="shared" ca="1" si="115"/>
        <v>#NAME?</v>
      </c>
    </row>
    <row r="1146" spans="1:22" ht="14.25" hidden="1" customHeight="1">
      <c r="A1146" s="383" t="s">
        <v>2283</v>
      </c>
      <c r="B1146" s="370" t="e">
        <f ca="1">_xludf.IFNA(VLOOKUP(Bolts!$A1146,'Urban Plastix Holds'!$I$37:$L$708,4,0),0)</f>
        <v>#NAME?</v>
      </c>
      <c r="C1146" s="384">
        <v>11</v>
      </c>
      <c r="D1146" s="373" t="e">
        <f ca="1">11*Bolts!$B1146</f>
        <v>#NAME?</v>
      </c>
      <c r="E1146" s="373">
        <v>0</v>
      </c>
      <c r="F1146" s="374">
        <v>0</v>
      </c>
      <c r="G1146" s="374">
        <v>0</v>
      </c>
      <c r="H1146" s="374">
        <v>0</v>
      </c>
      <c r="I1146" s="374">
        <v>0</v>
      </c>
      <c r="J1146" s="374">
        <v>0</v>
      </c>
      <c r="K1146" s="374">
        <v>0</v>
      </c>
      <c r="L1146" s="374">
        <v>0</v>
      </c>
      <c r="M1146" s="374">
        <v>0</v>
      </c>
      <c r="N1146" s="374">
        <v>0</v>
      </c>
      <c r="O1146" s="374">
        <v>0</v>
      </c>
      <c r="P1146" s="374">
        <v>0</v>
      </c>
      <c r="Q1146" s="374" t="e">
        <f ca="1">11*Bolts!$B1146</f>
        <v>#NAME?</v>
      </c>
      <c r="R1146" s="374">
        <v>0</v>
      </c>
      <c r="S1146" s="380">
        <v>0</v>
      </c>
      <c r="T1146" s="380">
        <v>0</v>
      </c>
      <c r="U1146" s="380">
        <v>0</v>
      </c>
      <c r="V1146" s="380" t="e">
        <f t="shared" ca="1" si="115"/>
        <v>#NAME?</v>
      </c>
    </row>
    <row r="1147" spans="1:22" ht="14.25" hidden="1" customHeight="1">
      <c r="A1147" s="383" t="s">
        <v>2284</v>
      </c>
      <c r="B1147" s="370" t="e">
        <f ca="1">_xludf.IFNA(VLOOKUP(Bolts!$A1147,'Urban Plastix Holds'!$I$37:$L$708,4,0),0)</f>
        <v>#NAME?</v>
      </c>
      <c r="C1147" s="384">
        <v>5</v>
      </c>
      <c r="D1147" s="373">
        <v>0</v>
      </c>
      <c r="E1147" s="373">
        <v>0</v>
      </c>
      <c r="F1147" s="374">
        <v>0</v>
      </c>
      <c r="G1147" s="374">
        <v>0</v>
      </c>
      <c r="H1147" s="374">
        <v>0</v>
      </c>
      <c r="I1147" s="374">
        <f ca="1">IFERROR(5*B1147,0)</f>
        <v>0</v>
      </c>
      <c r="J1147" s="374">
        <v>0</v>
      </c>
      <c r="K1147" s="374">
        <v>0</v>
      </c>
      <c r="L1147" s="374">
        <v>0</v>
      </c>
      <c r="M1147" s="374">
        <v>0</v>
      </c>
      <c r="N1147" s="374">
        <v>0</v>
      </c>
      <c r="O1147" s="374">
        <v>0</v>
      </c>
      <c r="P1147" s="374">
        <v>0</v>
      </c>
      <c r="Q1147" s="374">
        <v>0</v>
      </c>
      <c r="R1147" s="374">
        <v>0</v>
      </c>
      <c r="S1147" s="375">
        <v>0</v>
      </c>
      <c r="T1147" s="375">
        <v>0</v>
      </c>
      <c r="U1147" s="375">
        <v>0</v>
      </c>
      <c r="V1147" s="380" t="e">
        <f t="shared" ca="1" si="115"/>
        <v>#NAME?</v>
      </c>
    </row>
    <row r="1148" spans="1:22" ht="14.25" hidden="1" customHeight="1">
      <c r="A1148" s="383" t="s">
        <v>2285</v>
      </c>
      <c r="B1148" s="370" t="e">
        <f ca="1">_xludf.IFNA(VLOOKUP(Bolts!$A1148,'Urban Plastix Holds'!$I$37:$L$708,4,0),0)</f>
        <v>#NAME?</v>
      </c>
      <c r="C1148" s="384">
        <v>7</v>
      </c>
      <c r="D1148" s="373">
        <v>0</v>
      </c>
      <c r="E1148" s="373">
        <v>0</v>
      </c>
      <c r="F1148" s="374">
        <v>0</v>
      </c>
      <c r="G1148" s="374">
        <v>0</v>
      </c>
      <c r="H1148" s="374">
        <f ca="1">IFERROR(7*B1148,0)</f>
        <v>0</v>
      </c>
      <c r="I1148" s="374">
        <v>0</v>
      </c>
      <c r="J1148" s="374">
        <v>0</v>
      </c>
      <c r="K1148" s="374">
        <v>0</v>
      </c>
      <c r="L1148" s="374">
        <v>0</v>
      </c>
      <c r="M1148" s="374">
        <v>0</v>
      </c>
      <c r="N1148" s="374">
        <v>0</v>
      </c>
      <c r="O1148" s="374">
        <v>0</v>
      </c>
      <c r="P1148" s="374">
        <v>0</v>
      </c>
      <c r="Q1148" s="374">
        <v>0</v>
      </c>
      <c r="R1148" s="374">
        <v>0</v>
      </c>
      <c r="S1148" s="375">
        <v>0</v>
      </c>
      <c r="T1148" s="375">
        <v>0</v>
      </c>
      <c r="U1148" s="375">
        <v>0</v>
      </c>
      <c r="V1148" s="380" t="e">
        <f t="shared" ca="1" si="115"/>
        <v>#NAME?</v>
      </c>
    </row>
    <row r="1149" spans="1:22" ht="14.25" hidden="1" customHeight="1">
      <c r="A1149" s="383" t="s">
        <v>2286</v>
      </c>
      <c r="B1149" s="370" t="e">
        <f ca="1">_xludf.IFNA(VLOOKUP(Bolts!$A1149,'Urban Plastix Holds'!$I$37:$L$708,4,0),0)</f>
        <v>#NAME?</v>
      </c>
      <c r="C1149" s="384">
        <v>5</v>
      </c>
      <c r="D1149" s="373">
        <v>0</v>
      </c>
      <c r="E1149" s="373">
        <v>0</v>
      </c>
      <c r="F1149" s="374">
        <v>0</v>
      </c>
      <c r="G1149" s="374">
        <v>0</v>
      </c>
      <c r="H1149" s="374">
        <f ca="1">IFERROR(5*B1149,0)</f>
        <v>0</v>
      </c>
      <c r="I1149" s="374">
        <v>0</v>
      </c>
      <c r="J1149" s="374">
        <v>0</v>
      </c>
      <c r="K1149" s="374">
        <v>0</v>
      </c>
      <c r="L1149" s="374">
        <v>0</v>
      </c>
      <c r="M1149" s="374">
        <v>0</v>
      </c>
      <c r="N1149" s="374">
        <v>0</v>
      </c>
      <c r="O1149" s="374">
        <v>0</v>
      </c>
      <c r="P1149" s="374">
        <v>0</v>
      </c>
      <c r="Q1149" s="374">
        <v>0</v>
      </c>
      <c r="R1149" s="374">
        <v>0</v>
      </c>
      <c r="S1149" s="375">
        <v>0</v>
      </c>
      <c r="T1149" s="375">
        <v>0</v>
      </c>
      <c r="U1149" s="375">
        <v>0</v>
      </c>
      <c r="V1149" s="380" t="e">
        <f t="shared" ca="1" si="115"/>
        <v>#NAME?</v>
      </c>
    </row>
    <row r="1150" spans="1:22" ht="14.25" hidden="1" customHeight="1">
      <c r="A1150" s="383" t="s">
        <v>2287</v>
      </c>
      <c r="B1150" s="370" t="e">
        <f ca="1">_xludf.IFNA(VLOOKUP(Bolts!$A1150,'Urban Plastix Holds'!$I$37:$L$708,4,0),0)</f>
        <v>#NAME?</v>
      </c>
      <c r="C1150" s="384">
        <v>5</v>
      </c>
      <c r="D1150" s="373">
        <v>0</v>
      </c>
      <c r="E1150" s="373">
        <f ca="1">IFERROR(5*B1150,0)</f>
        <v>0</v>
      </c>
      <c r="F1150" s="374">
        <v>0</v>
      </c>
      <c r="G1150" s="374">
        <v>0</v>
      </c>
      <c r="H1150" s="374">
        <v>0</v>
      </c>
      <c r="I1150" s="374">
        <v>0</v>
      </c>
      <c r="J1150" s="374">
        <v>0</v>
      </c>
      <c r="K1150" s="374">
        <v>0</v>
      </c>
      <c r="L1150" s="374">
        <v>0</v>
      </c>
      <c r="M1150" s="374">
        <v>0</v>
      </c>
      <c r="N1150" s="374">
        <v>0</v>
      </c>
      <c r="O1150" s="374">
        <v>0</v>
      </c>
      <c r="P1150" s="374">
        <v>0</v>
      </c>
      <c r="Q1150" s="374">
        <v>0</v>
      </c>
      <c r="R1150" s="374">
        <v>0</v>
      </c>
      <c r="S1150" s="375">
        <v>0</v>
      </c>
      <c r="T1150" s="375">
        <v>0</v>
      </c>
      <c r="U1150" s="375">
        <v>0</v>
      </c>
      <c r="V1150" s="380" t="e">
        <f t="shared" ca="1" si="115"/>
        <v>#NAME?</v>
      </c>
    </row>
    <row r="1151" spans="1:22" ht="14.25" hidden="1" customHeight="1">
      <c r="A1151" s="383" t="s">
        <v>2288</v>
      </c>
      <c r="B1151" s="370" t="e">
        <f ca="1">_xludf.IFNA(VLOOKUP(Bolts!$A1151,'Urban Plastix Holds'!$I$37:$L$708,4,0),0)</f>
        <v>#NAME?</v>
      </c>
      <c r="C1151" s="384">
        <v>10</v>
      </c>
      <c r="D1151" s="373">
        <f ca="1">IFERROR(10*B1151,0)</f>
        <v>0</v>
      </c>
      <c r="E1151" s="373">
        <v>0</v>
      </c>
      <c r="F1151" s="374">
        <v>0</v>
      </c>
      <c r="G1151" s="374">
        <v>0</v>
      </c>
      <c r="H1151" s="374">
        <v>0</v>
      </c>
      <c r="I1151" s="374">
        <v>0</v>
      </c>
      <c r="J1151" s="374">
        <v>0</v>
      </c>
      <c r="K1151" s="374">
        <v>0</v>
      </c>
      <c r="L1151" s="374">
        <v>0</v>
      </c>
      <c r="M1151" s="374">
        <v>0</v>
      </c>
      <c r="N1151" s="374">
        <v>0</v>
      </c>
      <c r="O1151" s="374">
        <v>0</v>
      </c>
      <c r="P1151" s="374">
        <v>0</v>
      </c>
      <c r="Q1151" s="374">
        <v>0</v>
      </c>
      <c r="R1151" s="374">
        <v>0</v>
      </c>
      <c r="S1151" s="375">
        <v>0</v>
      </c>
      <c r="T1151" s="375">
        <v>0</v>
      </c>
      <c r="U1151" s="375">
        <v>0</v>
      </c>
      <c r="V1151" s="380" t="e">
        <f t="shared" ca="1" si="115"/>
        <v>#NAME?</v>
      </c>
    </row>
    <row r="1152" spans="1:22" ht="14.25" hidden="1" customHeight="1">
      <c r="A1152" s="383" t="s">
        <v>2289</v>
      </c>
      <c r="B1152" s="370" t="e">
        <f ca="1">_xludf.IFNA(VLOOKUP(Bolts!$A1152,'Urban Plastix Holds'!$I$37:$L$708,4,0),0)</f>
        <v>#NAME?</v>
      </c>
      <c r="C1152" s="384">
        <v>25</v>
      </c>
      <c r="D1152" s="373">
        <f ca="1">IFERROR(25*B1152,0)</f>
        <v>0</v>
      </c>
      <c r="E1152" s="373">
        <v>0</v>
      </c>
      <c r="F1152" s="374">
        <v>0</v>
      </c>
      <c r="G1152" s="374">
        <v>0</v>
      </c>
      <c r="H1152" s="374">
        <v>0</v>
      </c>
      <c r="I1152" s="374">
        <v>0</v>
      </c>
      <c r="J1152" s="374">
        <v>0</v>
      </c>
      <c r="K1152" s="374">
        <v>0</v>
      </c>
      <c r="L1152" s="374">
        <v>0</v>
      </c>
      <c r="M1152" s="374">
        <v>0</v>
      </c>
      <c r="N1152" s="374">
        <v>0</v>
      </c>
      <c r="O1152" s="374">
        <v>0</v>
      </c>
      <c r="P1152" s="374">
        <v>0</v>
      </c>
      <c r="Q1152" s="374">
        <v>0</v>
      </c>
      <c r="R1152" s="374">
        <v>0</v>
      </c>
      <c r="S1152" s="375">
        <v>0</v>
      </c>
      <c r="T1152" s="375">
        <v>0</v>
      </c>
      <c r="U1152" s="375">
        <v>0</v>
      </c>
      <c r="V1152" s="380" t="e">
        <f t="shared" ca="1" si="115"/>
        <v>#NAME?</v>
      </c>
    </row>
    <row r="1153" spans="1:22" ht="14.25" customHeight="1">
      <c r="A1153" s="385" t="s">
        <v>15</v>
      </c>
      <c r="B1153" s="386" t="e">
        <f ca="1">SUM(B4:B1152)</f>
        <v>#NAME?</v>
      </c>
      <c r="C1153" s="386"/>
      <c r="D1153" s="386" t="e">
        <f t="shared" ref="D1153:U1153" ca="1" si="127">SUM(D4:D1152)</f>
        <v>#NAME?</v>
      </c>
      <c r="E1153" s="386" t="e">
        <f t="shared" ca="1" si="127"/>
        <v>#NAME?</v>
      </c>
      <c r="F1153" s="386" t="e">
        <f t="shared" ca="1" si="127"/>
        <v>#NAME?</v>
      </c>
      <c r="G1153" s="386" t="e">
        <f t="shared" ca="1" si="127"/>
        <v>#NAME?</v>
      </c>
      <c r="H1153" s="386" t="e">
        <f t="shared" ca="1" si="127"/>
        <v>#NAME?</v>
      </c>
      <c r="I1153" s="386" t="e">
        <f t="shared" ca="1" si="127"/>
        <v>#NAME?</v>
      </c>
      <c r="J1153" s="386" t="e">
        <f t="shared" ca="1" si="127"/>
        <v>#NAME?</v>
      </c>
      <c r="K1153" s="386" t="e">
        <f t="shared" ca="1" si="127"/>
        <v>#NAME?</v>
      </c>
      <c r="L1153" s="386" t="e">
        <f t="shared" ca="1" si="127"/>
        <v>#NAME?</v>
      </c>
      <c r="M1153" s="386" t="e">
        <f t="shared" ca="1" si="127"/>
        <v>#NAME?</v>
      </c>
      <c r="N1153" s="386" t="e">
        <f t="shared" ca="1" si="127"/>
        <v>#NAME?</v>
      </c>
      <c r="O1153" s="386" t="e">
        <f t="shared" ca="1" si="127"/>
        <v>#NAME?</v>
      </c>
      <c r="P1153" s="386" t="e">
        <f t="shared" ca="1" si="127"/>
        <v>#NAME?</v>
      </c>
      <c r="Q1153" s="386" t="e">
        <f t="shared" ca="1" si="127"/>
        <v>#NAME?</v>
      </c>
      <c r="R1153" s="386" t="e">
        <f t="shared" ca="1" si="127"/>
        <v>#NAME?</v>
      </c>
      <c r="S1153" s="386" t="e">
        <f t="shared" ca="1" si="127"/>
        <v>#NAME?</v>
      </c>
      <c r="T1153" s="386" t="e">
        <f t="shared" ca="1" si="127"/>
        <v>#NAME?</v>
      </c>
      <c r="U1153" s="386">
        <f t="shared" ca="1" si="127"/>
        <v>0</v>
      </c>
      <c r="V1153" s="387" t="e">
        <f t="shared" ca="1" si="115"/>
        <v>#NAME?</v>
      </c>
    </row>
    <row r="1154" spans="1:22" ht="14.25" customHeight="1">
      <c r="A1154" s="388" t="s">
        <v>2290</v>
      </c>
      <c r="B1154" s="389"/>
      <c r="C1154" s="390"/>
      <c r="D1154" s="389"/>
      <c r="E1154" s="389"/>
      <c r="F1154" s="389"/>
      <c r="G1154" s="389">
        <v>0</v>
      </c>
      <c r="H1154" s="389">
        <v>0</v>
      </c>
      <c r="I1154" s="389">
        <v>0</v>
      </c>
      <c r="J1154" s="389">
        <v>0</v>
      </c>
      <c r="K1154" s="389">
        <v>0</v>
      </c>
      <c r="L1154" s="389">
        <v>0</v>
      </c>
      <c r="M1154" s="389">
        <v>0</v>
      </c>
      <c r="N1154" s="389">
        <v>0</v>
      </c>
      <c r="O1154" s="389">
        <v>0</v>
      </c>
      <c r="P1154" s="389">
        <v>0</v>
      </c>
      <c r="Q1154" s="389">
        <v>0</v>
      </c>
      <c r="R1154" s="389">
        <v>0</v>
      </c>
      <c r="S1154" s="389"/>
      <c r="T1154" s="389">
        <f>IFERROR(1*B1154,0)</f>
        <v>0</v>
      </c>
      <c r="U1154" s="389">
        <f>IFERROR(2*B1154,0)</f>
        <v>0</v>
      </c>
      <c r="V1154" s="374" t="str">
        <f t="shared" si="115"/>
        <v xml:space="preserve"> </v>
      </c>
    </row>
    <row r="1155" spans="1:22" ht="14.25" customHeight="1">
      <c r="A1155" s="391" t="s">
        <v>80</v>
      </c>
      <c r="B1155" s="509" t="s">
        <v>2291</v>
      </c>
      <c r="C1155" s="469"/>
      <c r="D1155" s="392">
        <v>0.55000000000000004</v>
      </c>
      <c r="E1155" s="392">
        <v>0.8</v>
      </c>
      <c r="F1155" s="392">
        <v>0.88</v>
      </c>
      <c r="G1155" s="392">
        <v>0.99</v>
      </c>
      <c r="H1155" s="392">
        <v>1.19</v>
      </c>
      <c r="I1155" s="392">
        <v>1.37</v>
      </c>
      <c r="J1155" s="392">
        <v>1.74</v>
      </c>
      <c r="K1155" s="392">
        <v>1.87</v>
      </c>
      <c r="L1155" s="392">
        <v>4.72</v>
      </c>
      <c r="M1155" s="392">
        <v>2.2999999999999998</v>
      </c>
      <c r="N1155" s="392">
        <v>6.9</v>
      </c>
      <c r="O1155" s="392">
        <v>6.59</v>
      </c>
      <c r="P1155" s="392">
        <v>11.33</v>
      </c>
      <c r="Q1155" s="392">
        <v>0.27</v>
      </c>
      <c r="R1155" s="392">
        <v>0.26</v>
      </c>
      <c r="S1155" s="392">
        <v>1.44</v>
      </c>
      <c r="T1155" s="392">
        <v>1.44</v>
      </c>
      <c r="U1155" s="392">
        <v>1.44</v>
      </c>
      <c r="V1155" s="393"/>
    </row>
    <row r="1156" spans="1:22" ht="14.25" customHeight="1">
      <c r="A1156" s="391" t="s">
        <v>78</v>
      </c>
      <c r="B1156" s="509" t="s">
        <v>2292</v>
      </c>
      <c r="C1156" s="469"/>
      <c r="D1156" s="392" t="e">
        <f t="shared" ref="D1156:U1156" ca="1" si="128">(D1153+D1154)*D1155</f>
        <v>#NAME?</v>
      </c>
      <c r="E1156" s="392" t="e">
        <f t="shared" ca="1" si="128"/>
        <v>#NAME?</v>
      </c>
      <c r="F1156" s="392" t="e">
        <f t="shared" ca="1" si="128"/>
        <v>#NAME?</v>
      </c>
      <c r="G1156" s="392" t="e">
        <f t="shared" ca="1" si="128"/>
        <v>#NAME?</v>
      </c>
      <c r="H1156" s="392" t="e">
        <f t="shared" ca="1" si="128"/>
        <v>#NAME?</v>
      </c>
      <c r="I1156" s="392" t="e">
        <f t="shared" ca="1" si="128"/>
        <v>#NAME?</v>
      </c>
      <c r="J1156" s="392" t="e">
        <f t="shared" ca="1" si="128"/>
        <v>#NAME?</v>
      </c>
      <c r="K1156" s="392" t="e">
        <f t="shared" ca="1" si="128"/>
        <v>#NAME?</v>
      </c>
      <c r="L1156" s="392" t="e">
        <f t="shared" ca="1" si="128"/>
        <v>#NAME?</v>
      </c>
      <c r="M1156" s="392" t="e">
        <f t="shared" ca="1" si="128"/>
        <v>#NAME?</v>
      </c>
      <c r="N1156" s="392" t="e">
        <f t="shared" ca="1" si="128"/>
        <v>#NAME?</v>
      </c>
      <c r="O1156" s="392" t="e">
        <f t="shared" ca="1" si="128"/>
        <v>#NAME?</v>
      </c>
      <c r="P1156" s="392" t="e">
        <f t="shared" ca="1" si="128"/>
        <v>#NAME?</v>
      </c>
      <c r="Q1156" s="392" t="e">
        <f t="shared" ca="1" si="128"/>
        <v>#NAME?</v>
      </c>
      <c r="R1156" s="392" t="e">
        <f t="shared" ca="1" si="128"/>
        <v>#NAME?</v>
      </c>
      <c r="S1156" s="392" t="e">
        <f t="shared" ca="1" si="128"/>
        <v>#NAME?</v>
      </c>
      <c r="T1156" s="392" t="e">
        <f t="shared" ca="1" si="128"/>
        <v>#NAME?</v>
      </c>
      <c r="U1156" s="392">
        <f t="shared" ca="1" si="128"/>
        <v>0</v>
      </c>
      <c r="V1156" s="393"/>
    </row>
    <row r="1157" spans="1:22" ht="14.25" customHeight="1">
      <c r="A1157" s="391"/>
      <c r="B1157" s="510" t="s">
        <v>2293</v>
      </c>
      <c r="C1157" s="468"/>
      <c r="D1157" s="468"/>
      <c r="E1157" s="468"/>
      <c r="F1157" s="468"/>
      <c r="G1157" s="469"/>
      <c r="H1157" s="394" t="s">
        <v>2294</v>
      </c>
      <c r="I1157" s="392" t="s">
        <v>2295</v>
      </c>
      <c r="J1157" s="392" t="s">
        <v>15</v>
      </c>
      <c r="K1157" s="395"/>
      <c r="L1157" s="395"/>
      <c r="M1157" s="395"/>
      <c r="N1157" s="395"/>
      <c r="O1157" s="395"/>
      <c r="P1157" s="395"/>
      <c r="Q1157" s="395"/>
      <c r="R1157" s="395"/>
      <c r="S1157" s="395"/>
      <c r="T1157" s="395"/>
      <c r="U1157" s="395"/>
      <c r="V1157" s="393"/>
    </row>
    <row r="1158" spans="1:22" ht="14.25" customHeight="1">
      <c r="A1158" s="391"/>
      <c r="B1158" s="501" t="s">
        <v>2296</v>
      </c>
      <c r="C1158" s="468"/>
      <c r="D1158" s="468"/>
      <c r="E1158" s="468"/>
      <c r="F1158" s="468"/>
      <c r="G1158" s="469"/>
      <c r="H1158" s="396">
        <v>0</v>
      </c>
      <c r="I1158" s="392">
        <v>11</v>
      </c>
      <c r="J1158" s="392">
        <f t="shared" ref="J1158:J1167" si="129">H1158*I1158</f>
        <v>0</v>
      </c>
      <c r="K1158" s="395"/>
      <c r="L1158" s="395"/>
      <c r="M1158" s="395"/>
      <c r="N1158" s="395"/>
      <c r="O1158" s="395"/>
      <c r="P1158" s="395"/>
      <c r="Q1158" s="395"/>
      <c r="R1158" s="395"/>
      <c r="S1158" s="395"/>
      <c r="T1158" s="395"/>
      <c r="U1158" s="395"/>
      <c r="V1158" s="393"/>
    </row>
    <row r="1159" spans="1:22" ht="14.25" customHeight="1">
      <c r="A1159" s="391"/>
      <c r="B1159" s="501" t="s">
        <v>2297</v>
      </c>
      <c r="C1159" s="468"/>
      <c r="D1159" s="468"/>
      <c r="E1159" s="468"/>
      <c r="F1159" s="468"/>
      <c r="G1159" s="469"/>
      <c r="H1159" s="396">
        <v>0</v>
      </c>
      <c r="I1159" s="392">
        <v>6</v>
      </c>
      <c r="J1159" s="392">
        <f t="shared" si="129"/>
        <v>0</v>
      </c>
      <c r="K1159" s="395"/>
      <c r="L1159" s="395"/>
      <c r="M1159" s="395"/>
      <c r="N1159" s="395"/>
      <c r="O1159" s="395"/>
      <c r="P1159" s="395"/>
      <c r="Q1159" s="395"/>
      <c r="R1159" s="395"/>
      <c r="S1159" s="395"/>
      <c r="T1159" s="395"/>
      <c r="U1159" s="395"/>
      <c r="V1159" s="393"/>
    </row>
    <row r="1160" spans="1:22" ht="14.25" customHeight="1">
      <c r="A1160" s="391"/>
      <c r="B1160" s="501" t="s">
        <v>2298</v>
      </c>
      <c r="C1160" s="468"/>
      <c r="D1160" s="468"/>
      <c r="E1160" s="468"/>
      <c r="F1160" s="468"/>
      <c r="G1160" s="469"/>
      <c r="H1160" s="396">
        <v>0</v>
      </c>
      <c r="I1160" s="392">
        <v>6</v>
      </c>
      <c r="J1160" s="392">
        <f t="shared" si="129"/>
        <v>0</v>
      </c>
      <c r="K1160" s="395"/>
      <c r="L1160" s="395"/>
      <c r="M1160" s="395"/>
      <c r="N1160" s="395"/>
      <c r="O1160" s="395"/>
      <c r="P1160" s="395"/>
      <c r="Q1160" s="395"/>
      <c r="R1160" s="395"/>
      <c r="S1160" s="395"/>
      <c r="T1160" s="395"/>
      <c r="U1160" s="395"/>
      <c r="V1160" s="393"/>
    </row>
    <row r="1161" spans="1:22" ht="14.25" customHeight="1">
      <c r="A1161" s="391"/>
      <c r="B1161" s="501" t="s">
        <v>2299</v>
      </c>
      <c r="C1161" s="468"/>
      <c r="D1161" s="468"/>
      <c r="E1161" s="468"/>
      <c r="F1161" s="468"/>
      <c r="G1161" s="469"/>
      <c r="H1161" s="396">
        <v>0</v>
      </c>
      <c r="I1161" s="392">
        <v>2.39</v>
      </c>
      <c r="J1161" s="392">
        <f t="shared" si="129"/>
        <v>0</v>
      </c>
      <c r="K1161" s="395"/>
      <c r="L1161" s="395"/>
      <c r="M1161" s="395"/>
      <c r="N1161" s="395"/>
      <c r="O1161" s="395"/>
      <c r="P1161" s="395"/>
      <c r="Q1161" s="395"/>
      <c r="R1161" s="395"/>
      <c r="S1161" s="395"/>
      <c r="T1161" s="395"/>
      <c r="U1161" s="395"/>
      <c r="V1161" s="393"/>
    </row>
    <row r="1162" spans="1:22" ht="14.25" customHeight="1">
      <c r="A1162" s="391"/>
      <c r="B1162" s="501" t="s">
        <v>2300</v>
      </c>
      <c r="C1162" s="468"/>
      <c r="D1162" s="468"/>
      <c r="E1162" s="468"/>
      <c r="F1162" s="468"/>
      <c r="G1162" s="469"/>
      <c r="H1162" s="396">
        <v>0</v>
      </c>
      <c r="I1162" s="392">
        <v>38.53</v>
      </c>
      <c r="J1162" s="392">
        <f t="shared" si="129"/>
        <v>0</v>
      </c>
      <c r="K1162" s="395"/>
      <c r="L1162" s="395"/>
      <c r="M1162" s="395"/>
      <c r="N1162" s="395"/>
      <c r="O1162" s="395"/>
      <c r="P1162" s="395"/>
      <c r="Q1162" s="395"/>
      <c r="R1162" s="395"/>
      <c r="S1162" s="395"/>
      <c r="T1162" s="395"/>
      <c r="U1162" s="395"/>
      <c r="V1162" s="393"/>
    </row>
    <row r="1163" spans="1:22" ht="14.25" customHeight="1">
      <c r="A1163" s="391"/>
      <c r="B1163" s="501" t="s">
        <v>2301</v>
      </c>
      <c r="C1163" s="468"/>
      <c r="D1163" s="468"/>
      <c r="E1163" s="468"/>
      <c r="F1163" s="468"/>
      <c r="G1163" s="469"/>
      <c r="H1163" s="396">
        <v>0</v>
      </c>
      <c r="I1163" s="392">
        <v>22.06</v>
      </c>
      <c r="J1163" s="392">
        <f t="shared" si="129"/>
        <v>0</v>
      </c>
      <c r="K1163" s="395"/>
      <c r="L1163" s="395"/>
      <c r="M1163" s="395"/>
      <c r="N1163" s="395"/>
      <c r="O1163" s="395"/>
      <c r="P1163" s="395"/>
      <c r="Q1163" s="395"/>
      <c r="R1163" s="395"/>
      <c r="S1163" s="395"/>
      <c r="T1163" s="395"/>
      <c r="U1163" s="395"/>
      <c r="V1163" s="393"/>
    </row>
    <row r="1164" spans="1:22" ht="14.25" customHeight="1">
      <c r="A1164" s="391"/>
      <c r="B1164" s="501" t="s">
        <v>2302</v>
      </c>
      <c r="C1164" s="468"/>
      <c r="D1164" s="468"/>
      <c r="E1164" s="468"/>
      <c r="F1164" s="468"/>
      <c r="G1164" s="469"/>
      <c r="H1164" s="396">
        <v>0</v>
      </c>
      <c r="I1164" s="392">
        <v>16.46</v>
      </c>
      <c r="J1164" s="392">
        <f t="shared" si="129"/>
        <v>0</v>
      </c>
      <c r="K1164" s="395"/>
      <c r="L1164" s="395"/>
      <c r="M1164" s="395"/>
      <c r="N1164" s="395"/>
      <c r="O1164" s="395"/>
      <c r="P1164" s="395"/>
      <c r="Q1164" s="395"/>
      <c r="R1164" s="395"/>
      <c r="S1164" s="395"/>
      <c r="T1164" s="395"/>
      <c r="U1164" s="395"/>
      <c r="V1164" s="393"/>
    </row>
    <row r="1165" spans="1:22" ht="14.25" customHeight="1">
      <c r="A1165" s="391"/>
      <c r="B1165" s="501" t="s">
        <v>2303</v>
      </c>
      <c r="C1165" s="468"/>
      <c r="D1165" s="468"/>
      <c r="E1165" s="468"/>
      <c r="F1165" s="468"/>
      <c r="G1165" s="469"/>
      <c r="H1165" s="396">
        <v>0</v>
      </c>
      <c r="I1165" s="392">
        <v>0.21</v>
      </c>
      <c r="J1165" s="392">
        <f t="shared" si="129"/>
        <v>0</v>
      </c>
      <c r="K1165" s="395"/>
      <c r="L1165" s="395"/>
      <c r="M1165" s="395"/>
      <c r="N1165" s="395"/>
      <c r="O1165" s="395"/>
      <c r="P1165" s="395"/>
      <c r="Q1165" s="395"/>
      <c r="R1165" s="395"/>
      <c r="S1165" s="395"/>
      <c r="T1165" s="395"/>
      <c r="U1165" s="395"/>
      <c r="V1165" s="393"/>
    </row>
    <row r="1166" spans="1:22" ht="14.25" customHeight="1">
      <c r="A1166" s="391"/>
      <c r="B1166" s="501" t="s">
        <v>2304</v>
      </c>
      <c r="C1166" s="468"/>
      <c r="D1166" s="468"/>
      <c r="E1166" s="468"/>
      <c r="F1166" s="468"/>
      <c r="G1166" s="469"/>
      <c r="H1166" s="396">
        <v>0</v>
      </c>
      <c r="I1166" s="392">
        <v>1.05</v>
      </c>
      <c r="J1166" s="392">
        <f t="shared" si="129"/>
        <v>0</v>
      </c>
      <c r="K1166" s="395"/>
      <c r="L1166" s="395"/>
      <c r="M1166" s="395"/>
      <c r="N1166" s="395"/>
      <c r="O1166" s="395"/>
      <c r="P1166" s="395"/>
      <c r="Q1166" s="395"/>
      <c r="R1166" s="395"/>
      <c r="S1166" s="395"/>
      <c r="T1166" s="395"/>
      <c r="U1166" s="395"/>
      <c r="V1166" s="393"/>
    </row>
    <row r="1167" spans="1:22" ht="14.25" customHeight="1">
      <c r="A1167" s="391"/>
      <c r="B1167" s="501" t="s">
        <v>2305</v>
      </c>
      <c r="C1167" s="468"/>
      <c r="D1167" s="468"/>
      <c r="E1167" s="468"/>
      <c r="F1167" s="468"/>
      <c r="G1167" s="469"/>
      <c r="H1167" s="396">
        <v>0</v>
      </c>
      <c r="I1167" s="392">
        <v>0.77</v>
      </c>
      <c r="J1167" s="392">
        <f t="shared" si="129"/>
        <v>0</v>
      </c>
      <c r="K1167" s="395"/>
      <c r="L1167" s="395"/>
      <c r="M1167" s="395"/>
      <c r="N1167" s="395"/>
      <c r="O1167" s="395"/>
      <c r="P1167" s="395"/>
      <c r="Q1167" s="395"/>
      <c r="R1167" s="395"/>
      <c r="S1167" s="395"/>
      <c r="T1167" s="395"/>
      <c r="U1167" s="395"/>
      <c r="V1167" s="393"/>
    </row>
    <row r="1168" spans="1:22" ht="14.25" customHeight="1">
      <c r="A1168" s="393"/>
      <c r="B1168" s="502" t="s">
        <v>143</v>
      </c>
      <c r="C1168" s="469"/>
      <c r="D1168" s="397" t="e">
        <f ca="1">SUM(D1156:U1156)+SUM(J1158:J1167)</f>
        <v>#NAME?</v>
      </c>
      <c r="E1168" s="395"/>
      <c r="F1168" s="395"/>
      <c r="G1168" s="395"/>
      <c r="H1168" s="395"/>
      <c r="I1168" s="395"/>
      <c r="J1168" s="395"/>
      <c r="K1168" s="395"/>
      <c r="L1168" s="395"/>
      <c r="M1168" s="395"/>
      <c r="N1168" s="395"/>
      <c r="O1168" s="395"/>
      <c r="P1168" s="395"/>
      <c r="Q1168" s="395"/>
      <c r="R1168" s="395"/>
      <c r="S1168" s="395"/>
      <c r="T1168" s="395"/>
      <c r="U1168" s="395"/>
      <c r="V1168" s="393"/>
    </row>
    <row r="1169" spans="1:22" ht="14.25" customHeight="1">
      <c r="A1169" s="393"/>
      <c r="B1169" s="398"/>
      <c r="C1169" s="393"/>
      <c r="D1169" s="393"/>
      <c r="E1169" s="393"/>
      <c r="F1169" s="393"/>
      <c r="G1169" s="393"/>
      <c r="H1169" s="393"/>
      <c r="I1169" s="393"/>
      <c r="J1169" s="393"/>
      <c r="K1169" s="393"/>
      <c r="L1169" s="393"/>
      <c r="M1169" s="393"/>
      <c r="N1169" s="393"/>
      <c r="O1169" s="393"/>
      <c r="P1169" s="393"/>
      <c r="Q1169" s="393"/>
      <c r="R1169" s="393"/>
      <c r="S1169" s="393"/>
      <c r="T1169" s="393"/>
      <c r="U1169" s="393"/>
      <c r="V1169" s="393"/>
    </row>
    <row r="1170" spans="1:22" ht="14.25" customHeight="1">
      <c r="B1170" s="209" t="s">
        <v>6</v>
      </c>
      <c r="C1170" s="393"/>
      <c r="D1170" s="393"/>
      <c r="E1170" s="393" t="s">
        <v>1251</v>
      </c>
      <c r="F1170" s="393"/>
      <c r="G1170" s="393"/>
      <c r="H1170" s="393" t="s">
        <v>2306</v>
      </c>
      <c r="I1170" s="393" t="s">
        <v>2307</v>
      </c>
      <c r="J1170" s="393" t="s">
        <v>2308</v>
      </c>
      <c r="K1170" s="393"/>
      <c r="L1170" s="393"/>
      <c r="M1170" s="393" t="s">
        <v>2309</v>
      </c>
      <c r="N1170" s="393" t="s">
        <v>2310</v>
      </c>
      <c r="O1170" s="393"/>
      <c r="P1170" s="393"/>
      <c r="Q1170" s="393"/>
      <c r="R1170" s="393"/>
      <c r="S1170" s="393"/>
      <c r="T1170" s="393"/>
      <c r="U1170" s="393"/>
      <c r="V1170" s="393"/>
    </row>
    <row r="1171" spans="1:22" ht="14.25" customHeight="1">
      <c r="A1171" s="273">
        <v>1</v>
      </c>
      <c r="B1171" s="274">
        <f>IF(H1171+H1174&lt;200,3,0)</f>
        <v>3</v>
      </c>
      <c r="C1171" s="393"/>
      <c r="D1171" s="399"/>
      <c r="E1171" s="400"/>
      <c r="F1171" s="393"/>
      <c r="G1171" s="393" t="s">
        <v>2311</v>
      </c>
      <c r="H1171" s="395">
        <f>IFERROR('Kilter Holds'!AG675,0)</f>
        <v>0</v>
      </c>
      <c r="I1171" s="395">
        <f t="shared" ref="I1171:I1176" si="130">H1171*(1-$E$1179)</f>
        <v>0</v>
      </c>
      <c r="J1171" s="399">
        <f>IFERROR(H1171/($H$1171+$H$1174),0)</f>
        <v>0</v>
      </c>
      <c r="K1171" s="399">
        <f t="shared" ref="K1171:K1176" si="131">IFERROR(H1171/$H$1177,0)</f>
        <v>0</v>
      </c>
      <c r="L1171" s="399"/>
      <c r="M1171" s="393" t="s">
        <v>2311</v>
      </c>
      <c r="N1171" s="401">
        <f>IFERROR('Kilter Holds'!AG679,0)</f>
        <v>0</v>
      </c>
      <c r="O1171" s="393"/>
      <c r="P1171" s="393"/>
      <c r="Q1171" s="393"/>
      <c r="R1171" s="393"/>
      <c r="S1171" s="393"/>
      <c r="T1171" s="393"/>
      <c r="U1171" s="393"/>
      <c r="V1171" s="393"/>
    </row>
    <row r="1172" spans="1:22" ht="14.25" customHeight="1">
      <c r="A1172" s="273">
        <v>2</v>
      </c>
      <c r="B1172" s="274">
        <f>IF(AND(200.01&lt;(H1171+H1174),(H1171+H1174)&lt;300),5,0)</f>
        <v>0</v>
      </c>
      <c r="C1172" s="393"/>
      <c r="D1172" s="399"/>
      <c r="E1172" s="400"/>
      <c r="F1172" s="393"/>
      <c r="G1172" s="393" t="s">
        <v>2312</v>
      </c>
      <c r="H1172" s="395">
        <f>IFERROR('Kilter Holds'!AG689,0)</f>
        <v>0</v>
      </c>
      <c r="I1172" s="395">
        <f t="shared" si="130"/>
        <v>0</v>
      </c>
      <c r="J1172" s="399">
        <f>IFERROR(H1172/($H$1172+$H$1175),0)</f>
        <v>0</v>
      </c>
      <c r="K1172" s="399">
        <f t="shared" si="131"/>
        <v>0</v>
      </c>
      <c r="L1172" s="399"/>
      <c r="M1172" s="393" t="s">
        <v>2312</v>
      </c>
      <c r="N1172" s="401">
        <f>IFERROR('Kilter Holds'!AG693,0)</f>
        <v>0</v>
      </c>
      <c r="O1172" s="393"/>
      <c r="P1172" s="393"/>
      <c r="Q1172" s="393"/>
      <c r="R1172" s="393"/>
      <c r="S1172" s="393"/>
      <c r="T1172" s="393"/>
      <c r="U1172" s="393"/>
      <c r="V1172" s="393"/>
    </row>
    <row r="1173" spans="1:22" ht="14.25" customHeight="1">
      <c r="A1173" s="273">
        <v>3</v>
      </c>
      <c r="B1173" s="274">
        <f>IF(AND(300.01&lt;(H1171+H1174),(H1171+H1174)&lt;400),10,0)</f>
        <v>0</v>
      </c>
      <c r="C1173" s="393"/>
      <c r="D1173" s="399"/>
      <c r="E1173" s="400"/>
      <c r="F1173" s="393"/>
      <c r="G1173" s="393" t="s">
        <v>2313</v>
      </c>
      <c r="H1173" s="395">
        <f>IFERROR('Kilter Holds'!AG703,0)</f>
        <v>0</v>
      </c>
      <c r="I1173" s="395">
        <f t="shared" si="130"/>
        <v>0</v>
      </c>
      <c r="J1173" s="399">
        <f>IFERROR(H1173/($H$1173+$H$1176),0)</f>
        <v>0</v>
      </c>
      <c r="K1173" s="399">
        <f t="shared" si="131"/>
        <v>0</v>
      </c>
      <c r="L1173" s="399"/>
      <c r="M1173" s="393" t="s">
        <v>2313</v>
      </c>
      <c r="N1173" s="401">
        <f>IFERROR('Kilter Holds'!AG707,0)</f>
        <v>0</v>
      </c>
      <c r="O1173" s="393"/>
      <c r="P1173" s="393"/>
      <c r="Q1173" s="393"/>
      <c r="R1173" s="393"/>
      <c r="S1173" s="393"/>
      <c r="T1173" s="393"/>
      <c r="U1173" s="393"/>
      <c r="V1173" s="393"/>
    </row>
    <row r="1174" spans="1:22" ht="14.25" customHeight="1">
      <c r="A1174" s="282">
        <v>4</v>
      </c>
      <c r="B1174" s="274">
        <f>IF(AND(400.01&lt;(H1171+H1174),(H1171+H1174)&lt;800),25,0)</f>
        <v>0</v>
      </c>
      <c r="C1174" s="393"/>
      <c r="D1174" s="399"/>
      <c r="E1174" s="400"/>
      <c r="F1174" s="393"/>
      <c r="G1174" s="393" t="s">
        <v>2314</v>
      </c>
      <c r="H1174" s="395">
        <f>IFERROR('Urban Plastix Holds'!Z368,0)</f>
        <v>0</v>
      </c>
      <c r="I1174" s="395">
        <f t="shared" si="130"/>
        <v>0</v>
      </c>
      <c r="J1174" s="399">
        <f>IFERROR(H1174/($H$1171+$H$1174),0)</f>
        <v>0</v>
      </c>
      <c r="K1174" s="399">
        <f t="shared" si="131"/>
        <v>0</v>
      </c>
      <c r="L1174" s="399"/>
      <c r="M1174" s="393" t="s">
        <v>2314</v>
      </c>
      <c r="N1174" s="401">
        <f>IFERROR('Urban Plastix Holds'!Z372,0)</f>
        <v>0</v>
      </c>
      <c r="O1174" s="393"/>
      <c r="P1174" s="393"/>
      <c r="Q1174" s="393"/>
      <c r="R1174" s="393"/>
      <c r="S1174" s="393"/>
      <c r="T1174" s="393"/>
      <c r="U1174" s="393"/>
      <c r="V1174" s="393"/>
    </row>
    <row r="1175" spans="1:22" ht="14.25" customHeight="1">
      <c r="A1175" s="282">
        <v>5</v>
      </c>
      <c r="B1175" s="274">
        <f>IF(AND(800.01&lt;(H1171+H1174),(H1171+H1174)&lt;1000),35,0)</f>
        <v>0</v>
      </c>
      <c r="C1175" s="393"/>
      <c r="D1175" s="399"/>
      <c r="E1175" s="400"/>
      <c r="F1175" s="393"/>
      <c r="G1175" s="393" t="s">
        <v>2315</v>
      </c>
      <c r="H1175" s="395">
        <f>IFERROR('Urban Plastix Holds'!Z382,0)</f>
        <v>0</v>
      </c>
      <c r="I1175" s="395">
        <f t="shared" si="130"/>
        <v>0</v>
      </c>
      <c r="J1175" s="399">
        <f>IFERROR(H1175/($H$1172+$H$1175),0)</f>
        <v>0</v>
      </c>
      <c r="K1175" s="399">
        <f t="shared" si="131"/>
        <v>0</v>
      </c>
      <c r="L1175" s="399"/>
      <c r="M1175" s="393" t="s">
        <v>2315</v>
      </c>
      <c r="N1175" s="401">
        <f>IFERROR('Urban Plastix Holds'!Z386,0)</f>
        <v>0</v>
      </c>
      <c r="O1175" s="393"/>
      <c r="P1175" s="393"/>
      <c r="Q1175" s="393"/>
      <c r="R1175" s="393"/>
      <c r="S1175" s="393"/>
      <c r="T1175" s="393"/>
      <c r="U1175" s="393"/>
      <c r="V1175" s="393"/>
    </row>
    <row r="1176" spans="1:22" ht="14.25" customHeight="1">
      <c r="A1176" s="282">
        <v>6</v>
      </c>
      <c r="B1176" s="274">
        <f>IF(AND(1000.01&lt;(H1171+H1174),(H1171+H1174)&lt;1500),45,0)</f>
        <v>0</v>
      </c>
      <c r="C1176" s="393"/>
      <c r="D1176" s="399"/>
      <c r="E1176" s="400"/>
      <c r="F1176" s="393"/>
      <c r="G1176" s="393" t="s">
        <v>2316</v>
      </c>
      <c r="H1176" s="395">
        <f>IFERROR('Urban Plastix Holds'!Z396,0)</f>
        <v>0</v>
      </c>
      <c r="I1176" s="395">
        <f t="shared" si="130"/>
        <v>0</v>
      </c>
      <c r="J1176" s="399">
        <f>IFERROR(H1176/($H$1173+$H$1176),0)</f>
        <v>0</v>
      </c>
      <c r="K1176" s="399">
        <f t="shared" si="131"/>
        <v>0</v>
      </c>
      <c r="L1176" s="399"/>
      <c r="M1176" s="393" t="s">
        <v>2316</v>
      </c>
      <c r="N1176" s="401">
        <f>IFERROR('Urban Plastix Holds'!Z400,0)</f>
        <v>0</v>
      </c>
      <c r="O1176" s="393"/>
      <c r="P1176" s="393"/>
      <c r="Q1176" s="393"/>
      <c r="R1176" s="393"/>
      <c r="S1176" s="393"/>
      <c r="T1176" s="393"/>
      <c r="U1176" s="393"/>
      <c r="V1176" s="393"/>
    </row>
    <row r="1177" spans="1:22" ht="14.25" customHeight="1">
      <c r="A1177" s="282">
        <v>7</v>
      </c>
      <c r="B1177" s="274">
        <f>IF(AND(1500.01&lt;(H1171+H1174),(H1171+H1174)&lt;1750),55,0)</f>
        <v>0</v>
      </c>
      <c r="C1177" s="393"/>
      <c r="D1177" s="399"/>
      <c r="E1177" s="400"/>
      <c r="F1177" s="393"/>
      <c r="G1177" s="393" t="s">
        <v>15</v>
      </c>
      <c r="H1177" s="395">
        <f t="shared" ref="H1177:I1177" si="132">SUM(H1171:H1176)</f>
        <v>0</v>
      </c>
      <c r="I1177" s="395">
        <f t="shared" si="132"/>
        <v>0</v>
      </c>
      <c r="J1177" s="395"/>
      <c r="K1177" s="395"/>
      <c r="L1177" s="395"/>
      <c r="M1177" s="393" t="s">
        <v>15</v>
      </c>
      <c r="N1177" s="401">
        <f>SUM(N1171:N1176)</f>
        <v>0</v>
      </c>
      <c r="O1177" s="393"/>
      <c r="P1177" s="393"/>
      <c r="Q1177" s="393"/>
      <c r="R1177" s="393"/>
      <c r="S1177" s="393"/>
      <c r="T1177" s="393"/>
      <c r="U1177" s="393"/>
      <c r="V1177" s="393"/>
    </row>
    <row r="1178" spans="1:22" ht="14.25" customHeight="1">
      <c r="A1178" s="282">
        <v>8</v>
      </c>
      <c r="B1178" s="274">
        <f>IF(AND(1750.01&lt;(H1171+H1174),(H1171+H1174)&lt;2200),65,0)</f>
        <v>0</v>
      </c>
      <c r="C1178" s="393"/>
      <c r="D1178" s="399"/>
      <c r="E1178" s="400"/>
      <c r="F1178" s="393"/>
      <c r="G1178" s="393"/>
      <c r="H1178" s="393"/>
      <c r="I1178" s="393"/>
      <c r="J1178" s="393"/>
      <c r="K1178" s="393"/>
      <c r="L1178" s="393"/>
      <c r="M1178" s="393"/>
      <c r="N1178" s="393"/>
      <c r="O1178" s="393"/>
      <c r="P1178" s="393"/>
      <c r="Q1178" s="393"/>
      <c r="R1178" s="393"/>
      <c r="S1178" s="393"/>
      <c r="T1178" s="393"/>
      <c r="U1178" s="393"/>
      <c r="V1178" s="393"/>
    </row>
    <row r="1179" spans="1:22" ht="14.25" customHeight="1">
      <c r="A1179" s="282">
        <v>9</v>
      </c>
      <c r="B1179" s="274">
        <f>IF(AND(2200.01&lt;(H1171+H1174),(H1171+H1174)&lt;2700),75,0)</f>
        <v>0</v>
      </c>
      <c r="C1179" s="393"/>
      <c r="D1179" s="393" t="s">
        <v>2317</v>
      </c>
      <c r="E1179" s="399">
        <v>0</v>
      </c>
      <c r="F1179" s="393"/>
      <c r="G1179" s="393"/>
      <c r="H1179" s="393"/>
      <c r="I1179" s="393"/>
      <c r="J1179" s="393"/>
      <c r="K1179" s="393"/>
      <c r="L1179" s="393"/>
      <c r="M1179" s="393"/>
      <c r="N1179" s="393"/>
      <c r="O1179" s="393"/>
      <c r="P1179" s="393"/>
      <c r="Q1179" s="393"/>
      <c r="R1179" s="393"/>
      <c r="S1179" s="393"/>
      <c r="T1179" s="393"/>
      <c r="U1179" s="393"/>
      <c r="V1179" s="393"/>
    </row>
    <row r="1180" spans="1:22" ht="14.25" customHeight="1">
      <c r="A1180" s="282">
        <v>10</v>
      </c>
      <c r="B1180" s="274">
        <f>IF(AND(2700.01&lt;(H1171+H1174),(H1171+H1174)&lt;3200),100,0)</f>
        <v>0</v>
      </c>
      <c r="C1180" s="393"/>
      <c r="D1180" s="393"/>
      <c r="E1180" s="393"/>
      <c r="F1180" s="393"/>
      <c r="G1180" s="393"/>
      <c r="H1180" s="393"/>
      <c r="I1180" s="393"/>
      <c r="J1180" s="393"/>
      <c r="K1180" s="393"/>
      <c r="L1180" s="393"/>
      <c r="M1180" s="393"/>
      <c r="N1180" s="393"/>
      <c r="O1180" s="393"/>
      <c r="P1180" s="393"/>
      <c r="Q1180" s="393"/>
      <c r="R1180" s="393"/>
      <c r="S1180" s="393"/>
      <c r="T1180" s="393"/>
      <c r="U1180" s="393"/>
      <c r="V1180" s="393"/>
    </row>
    <row r="1181" spans="1:22" ht="14.25" customHeight="1">
      <c r="A1181" s="282">
        <v>11</v>
      </c>
      <c r="B1181" s="274">
        <f>IF(AND(3200.01&lt;(H1171+H1174),(H1171+H1174)&lt;5200),125,0)</f>
        <v>0</v>
      </c>
      <c r="C1181" s="393"/>
      <c r="D1181" s="393"/>
      <c r="E1181" s="393"/>
      <c r="F1181" s="393"/>
      <c r="G1181" s="393"/>
      <c r="H1181" s="393"/>
      <c r="I1181" s="393"/>
      <c r="J1181" s="393"/>
      <c r="K1181" s="393"/>
      <c r="L1181" s="393"/>
      <c r="M1181" s="393"/>
      <c r="N1181" s="393"/>
      <c r="O1181" s="393"/>
      <c r="P1181" s="393"/>
      <c r="Q1181" s="393"/>
      <c r="R1181" s="393"/>
      <c r="S1181" s="393"/>
      <c r="T1181" s="393"/>
      <c r="U1181" s="393"/>
      <c r="V1181" s="393"/>
    </row>
    <row r="1182" spans="1:22" ht="14.25" customHeight="1">
      <c r="A1182" s="282">
        <v>12</v>
      </c>
      <c r="B1182" s="274">
        <f>IF(AND(5200.01&lt;(H1171+H1174),(H1171+H1174)&lt;10200),175,0)</f>
        <v>0</v>
      </c>
      <c r="C1182" s="393"/>
      <c r="D1182" s="393"/>
      <c r="E1182" s="393"/>
      <c r="F1182" s="393"/>
      <c r="G1182" s="393"/>
      <c r="H1182" s="393"/>
      <c r="I1182" s="393"/>
      <c r="J1182" s="393"/>
      <c r="K1182" s="393"/>
      <c r="L1182" s="393"/>
      <c r="M1182" s="393"/>
      <c r="N1182" s="393"/>
      <c r="O1182" s="393"/>
      <c r="P1182" s="393"/>
      <c r="Q1182" s="393"/>
      <c r="R1182" s="393"/>
      <c r="S1182" s="393"/>
      <c r="T1182" s="393"/>
      <c r="U1182" s="393"/>
      <c r="V1182" s="393"/>
    </row>
    <row r="1183" spans="1:22" ht="14.25" customHeight="1">
      <c r="A1183" s="282">
        <v>13</v>
      </c>
      <c r="B1183" s="274">
        <f>IF(AND(10200.01&lt;(H1171+H1174),(H1171+H1174)&lt;20200),250,0)</f>
        <v>0</v>
      </c>
      <c r="C1183" s="393"/>
      <c r="D1183" s="393"/>
      <c r="E1183" s="393"/>
      <c r="F1183" s="393"/>
      <c r="G1183" s="393"/>
      <c r="H1183" s="393"/>
      <c r="I1183" s="393"/>
      <c r="J1183" s="393"/>
      <c r="K1183" s="393"/>
      <c r="L1183" s="393"/>
      <c r="M1183" s="393"/>
      <c r="N1183" s="393"/>
      <c r="O1183" s="393"/>
      <c r="P1183" s="393"/>
      <c r="Q1183" s="393"/>
      <c r="R1183" s="393"/>
      <c r="S1183" s="393"/>
      <c r="T1183" s="393"/>
      <c r="U1183" s="393"/>
      <c r="V1183" s="393"/>
    </row>
    <row r="1184" spans="1:22" ht="14.25" customHeight="1">
      <c r="A1184" s="282">
        <v>14</v>
      </c>
      <c r="B1184" s="274">
        <f>IF((H1171+H1174)&gt;20200.01,350,0)</f>
        <v>0</v>
      </c>
      <c r="C1184" s="393"/>
      <c r="D1184" s="393"/>
      <c r="E1184" s="393"/>
      <c r="F1184" s="393"/>
      <c r="G1184" s="393"/>
      <c r="H1184" s="393"/>
      <c r="I1184" s="393"/>
      <c r="J1184" s="393"/>
      <c r="K1184" s="393"/>
      <c r="L1184" s="393"/>
      <c r="M1184" s="393"/>
      <c r="N1184" s="393"/>
      <c r="O1184" s="393"/>
      <c r="P1184" s="393"/>
      <c r="Q1184" s="393"/>
      <c r="R1184" s="393"/>
      <c r="S1184" s="393"/>
      <c r="T1184" s="393"/>
      <c r="U1184" s="393"/>
      <c r="V1184" s="393"/>
    </row>
    <row r="1185" spans="1:22" ht="14.25" customHeight="1">
      <c r="A1185" s="10" t="s">
        <v>2317</v>
      </c>
      <c r="B1185" s="296">
        <f>SUM(B1171:B1184)</f>
        <v>3</v>
      </c>
      <c r="C1185" s="393"/>
      <c r="D1185" s="393"/>
      <c r="E1185" s="393"/>
      <c r="F1185" s="393"/>
      <c r="G1185" s="393"/>
      <c r="H1185" s="393"/>
      <c r="I1185" s="393"/>
      <c r="J1185" s="393"/>
      <c r="K1185" s="393"/>
      <c r="L1185" s="393"/>
      <c r="M1185" s="393"/>
      <c r="N1185" s="393"/>
      <c r="O1185" s="393"/>
      <c r="P1185" s="393"/>
      <c r="Q1185" s="393"/>
      <c r="R1185" s="393"/>
      <c r="S1185" s="393"/>
      <c r="T1185" s="393"/>
      <c r="U1185" s="393"/>
      <c r="V1185" s="393"/>
    </row>
    <row r="1186" spans="1:22" ht="14.25" customHeight="1">
      <c r="A1186" s="393"/>
      <c r="B1186" s="398"/>
      <c r="C1186" s="393"/>
      <c r="D1186" s="393"/>
      <c r="E1186" s="393"/>
      <c r="F1186" s="393"/>
      <c r="G1186" s="393"/>
      <c r="H1186" s="393"/>
      <c r="I1186" s="393"/>
      <c r="J1186" s="393"/>
      <c r="K1186" s="393"/>
      <c r="L1186" s="393"/>
      <c r="M1186" s="393"/>
      <c r="N1186" s="393"/>
      <c r="O1186" s="393"/>
      <c r="P1186" s="393"/>
      <c r="Q1186" s="393"/>
      <c r="R1186" s="393"/>
      <c r="S1186" s="393"/>
      <c r="T1186" s="393"/>
      <c r="U1186" s="393"/>
      <c r="V1186" s="393"/>
    </row>
    <row r="1187" spans="1:22" ht="14.25" customHeight="1">
      <c r="A1187" s="44" t="s">
        <v>112</v>
      </c>
      <c r="B1187" s="45" t="s">
        <v>113</v>
      </c>
      <c r="C1187" s="46" t="s">
        <v>114</v>
      </c>
      <c r="D1187" s="47" t="s">
        <v>115</v>
      </c>
      <c r="E1187" s="48" t="s">
        <v>116</v>
      </c>
      <c r="F1187" s="49" t="s">
        <v>117</v>
      </c>
      <c r="G1187" s="50" t="s">
        <v>118</v>
      </c>
      <c r="H1187" s="51" t="s">
        <v>119</v>
      </c>
      <c r="I1187" s="52" t="s">
        <v>120</v>
      </c>
      <c r="J1187" s="393"/>
      <c r="K1187" s="393" t="s">
        <v>2318</v>
      </c>
      <c r="L1187" s="393"/>
      <c r="M1187" s="393"/>
      <c r="N1187" s="393"/>
      <c r="O1187" s="393"/>
      <c r="P1187" s="393"/>
      <c r="Q1187" s="393"/>
      <c r="R1187" s="393"/>
      <c r="S1187" s="393"/>
      <c r="T1187" s="393"/>
      <c r="U1187" s="393"/>
      <c r="V1187" s="393"/>
    </row>
    <row r="1188" spans="1:22" ht="14.25" customHeight="1">
      <c r="A1188" s="402" t="s">
        <v>133</v>
      </c>
      <c r="B1188" s="403" t="s">
        <v>134</v>
      </c>
      <c r="C1188" s="402" t="s">
        <v>135</v>
      </c>
      <c r="D1188" s="402" t="s">
        <v>136</v>
      </c>
      <c r="E1188" s="402" t="s">
        <v>137</v>
      </c>
      <c r="F1188" s="402" t="s">
        <v>138</v>
      </c>
      <c r="G1188" s="402" t="s">
        <v>139</v>
      </c>
      <c r="H1188" s="402" t="s">
        <v>140</v>
      </c>
      <c r="I1188" s="402" t="s">
        <v>2319</v>
      </c>
      <c r="J1188" s="393"/>
      <c r="K1188" s="393" t="s">
        <v>2320</v>
      </c>
      <c r="L1188" s="393"/>
      <c r="M1188" s="393"/>
      <c r="N1188" s="393"/>
      <c r="O1188" s="393"/>
      <c r="P1188" s="393"/>
      <c r="Q1188" s="393"/>
      <c r="R1188" s="393"/>
      <c r="S1188" s="393"/>
      <c r="T1188" s="393"/>
      <c r="U1188" s="393"/>
      <c r="V1188" s="393"/>
    </row>
    <row r="1189" spans="1:22" ht="14.25" customHeight="1">
      <c r="A1189" s="402" t="s">
        <v>2321</v>
      </c>
      <c r="B1189" s="403" t="s">
        <v>2322</v>
      </c>
      <c r="C1189" s="402" t="s">
        <v>2323</v>
      </c>
      <c r="D1189" s="402" t="s">
        <v>2324</v>
      </c>
      <c r="E1189" s="402" t="s">
        <v>2325</v>
      </c>
      <c r="F1189" s="402" t="s">
        <v>2326</v>
      </c>
      <c r="G1189" s="402" t="s">
        <v>2327</v>
      </c>
      <c r="H1189" s="402"/>
      <c r="I1189" s="402" t="s">
        <v>2328</v>
      </c>
      <c r="J1189" s="393"/>
      <c r="K1189" s="393" t="s">
        <v>2329</v>
      </c>
      <c r="L1189" s="393"/>
      <c r="M1189" s="393"/>
      <c r="N1189" s="393"/>
      <c r="O1189" s="393"/>
      <c r="P1189" s="393"/>
      <c r="Q1189" s="393"/>
      <c r="R1189" s="393"/>
      <c r="S1189" s="393"/>
      <c r="T1189" s="393"/>
      <c r="U1189" s="393"/>
      <c r="V1189" s="393"/>
    </row>
    <row r="1190" spans="1:22" ht="14.25" customHeight="1">
      <c r="A1190" s="402" t="s">
        <v>2330</v>
      </c>
      <c r="B1190" s="403" t="s">
        <v>2331</v>
      </c>
      <c r="C1190" s="402" t="s">
        <v>2332</v>
      </c>
      <c r="D1190" s="402" t="s">
        <v>2333</v>
      </c>
      <c r="E1190" s="402" t="s">
        <v>2334</v>
      </c>
      <c r="F1190" s="402" t="s">
        <v>2335</v>
      </c>
      <c r="G1190" s="402" t="s">
        <v>2336</v>
      </c>
      <c r="H1190" s="402"/>
      <c r="I1190" s="402" t="s">
        <v>2337</v>
      </c>
      <c r="J1190" s="393"/>
      <c r="K1190" s="393" t="s">
        <v>2338</v>
      </c>
      <c r="L1190" s="393"/>
      <c r="M1190" s="393"/>
      <c r="N1190" s="393"/>
      <c r="O1190" s="393"/>
      <c r="P1190" s="393"/>
      <c r="Q1190" s="393"/>
      <c r="R1190" s="393"/>
      <c r="S1190" s="393"/>
      <c r="T1190" s="393"/>
      <c r="U1190" s="393"/>
      <c r="V1190" s="393"/>
    </row>
    <row r="1191" spans="1:22" ht="14.25" customHeight="1">
      <c r="A1191" s="402" t="s">
        <v>2339</v>
      </c>
      <c r="B1191" s="403" t="s">
        <v>2340</v>
      </c>
      <c r="C1191" s="402" t="s">
        <v>2341</v>
      </c>
      <c r="D1191" s="402" t="s">
        <v>2342</v>
      </c>
      <c r="E1191" s="402" t="s">
        <v>2343</v>
      </c>
      <c r="F1191" s="402" t="s">
        <v>2326</v>
      </c>
      <c r="G1191" s="402" t="s">
        <v>2344</v>
      </c>
      <c r="H1191" s="402"/>
      <c r="I1191" s="402" t="s">
        <v>2345</v>
      </c>
      <c r="J1191" s="393"/>
      <c r="K1191" s="393"/>
      <c r="L1191" s="393"/>
      <c r="M1191" s="393"/>
      <c r="N1191" s="393"/>
      <c r="O1191" s="393"/>
      <c r="P1191" s="393"/>
      <c r="Q1191" s="393"/>
      <c r="R1191" s="393"/>
      <c r="S1191" s="393"/>
      <c r="T1191" s="393"/>
      <c r="U1191" s="393"/>
      <c r="V1191" s="393"/>
    </row>
    <row r="1192" spans="1:22" ht="14.25" customHeight="1">
      <c r="A1192" s="402" t="s">
        <v>2346</v>
      </c>
      <c r="B1192" s="403" t="s">
        <v>2347</v>
      </c>
      <c r="C1192" s="402"/>
      <c r="D1192" s="402" t="s">
        <v>2348</v>
      </c>
      <c r="E1192" s="402" t="s">
        <v>1747</v>
      </c>
      <c r="F1192" s="402" t="s">
        <v>2349</v>
      </c>
      <c r="G1192" s="402"/>
      <c r="H1192" s="402"/>
      <c r="I1192" s="402" t="s">
        <v>2350</v>
      </c>
      <c r="J1192" s="393"/>
      <c r="K1192" s="393"/>
      <c r="L1192" s="393"/>
      <c r="M1192" s="393"/>
      <c r="N1192" s="393"/>
      <c r="O1192" s="393"/>
      <c r="P1192" s="393"/>
      <c r="Q1192" s="393"/>
      <c r="R1192" s="393"/>
      <c r="S1192" s="393"/>
      <c r="T1192" s="393"/>
      <c r="U1192" s="393"/>
      <c r="V1192" s="393"/>
    </row>
    <row r="1193" spans="1:22" ht="14.25" customHeight="1">
      <c r="A1193" s="402"/>
      <c r="B1193" s="403" t="s">
        <v>2351</v>
      </c>
      <c r="C1193" s="402"/>
      <c r="D1193" s="402" t="s">
        <v>2352</v>
      </c>
      <c r="E1193" s="402" t="s">
        <v>2353</v>
      </c>
      <c r="F1193" s="402" t="s">
        <v>2354</v>
      </c>
      <c r="G1193" s="402"/>
      <c r="H1193" s="402"/>
      <c r="I1193" s="402" t="s">
        <v>2355</v>
      </c>
      <c r="J1193" s="393"/>
      <c r="K1193" s="393"/>
      <c r="L1193" s="393"/>
      <c r="M1193" s="393"/>
      <c r="N1193" s="393"/>
      <c r="O1193" s="393"/>
      <c r="P1193" s="393"/>
      <c r="Q1193" s="393"/>
      <c r="R1193" s="393"/>
      <c r="S1193" s="393"/>
      <c r="T1193" s="393"/>
      <c r="U1193" s="393"/>
      <c r="V1193" s="393"/>
    </row>
    <row r="1194" spans="1:22" ht="14.25" customHeight="1">
      <c r="A1194" s="402"/>
      <c r="B1194" s="403"/>
      <c r="C1194" s="402"/>
      <c r="D1194" s="402" t="s">
        <v>2356</v>
      </c>
      <c r="E1194" s="402" t="s">
        <v>2357</v>
      </c>
      <c r="F1194" s="402"/>
      <c r="G1194" s="402"/>
      <c r="H1194" s="402"/>
      <c r="I1194" s="402" t="s">
        <v>2358</v>
      </c>
      <c r="J1194" s="393"/>
      <c r="K1194" s="393"/>
      <c r="L1194" s="393"/>
      <c r="M1194" s="393"/>
      <c r="N1194" s="393"/>
      <c r="O1194" s="393"/>
      <c r="P1194" s="393"/>
      <c r="Q1194" s="393"/>
      <c r="R1194" s="393"/>
      <c r="S1194" s="393"/>
      <c r="T1194" s="393"/>
      <c r="U1194" s="393"/>
      <c r="V1194" s="393"/>
    </row>
    <row r="1195" spans="1:22" ht="14.25" customHeight="1">
      <c r="A1195" s="402"/>
      <c r="B1195" s="403"/>
      <c r="C1195" s="402"/>
      <c r="D1195" s="402" t="s">
        <v>2359</v>
      </c>
      <c r="E1195" s="402"/>
      <c r="F1195" s="402"/>
      <c r="G1195" s="402"/>
      <c r="H1195" s="402"/>
      <c r="I1195" s="402" t="s">
        <v>2360</v>
      </c>
      <c r="J1195" s="393"/>
      <c r="K1195" s="393"/>
      <c r="L1195" s="393"/>
      <c r="M1195" s="393"/>
      <c r="N1195" s="393"/>
      <c r="O1195" s="393"/>
      <c r="P1195" s="393"/>
      <c r="Q1195" s="393"/>
      <c r="R1195" s="393"/>
      <c r="S1195" s="393"/>
      <c r="T1195" s="393"/>
      <c r="U1195" s="393"/>
      <c r="V1195" s="393"/>
    </row>
    <row r="1196" spans="1:22" ht="14.25" customHeight="1">
      <c r="A1196" s="402"/>
      <c r="B1196" s="403"/>
      <c r="C1196" s="402"/>
      <c r="D1196" s="402" t="s">
        <v>2361</v>
      </c>
      <c r="E1196" s="402"/>
      <c r="F1196" s="402"/>
      <c r="G1196" s="402"/>
      <c r="H1196" s="402"/>
      <c r="I1196" s="402" t="s">
        <v>2362</v>
      </c>
      <c r="J1196" s="393"/>
      <c r="K1196" s="393"/>
      <c r="L1196" s="393"/>
      <c r="M1196" s="393"/>
      <c r="N1196" s="393"/>
      <c r="O1196" s="393"/>
      <c r="P1196" s="393"/>
      <c r="Q1196" s="393"/>
      <c r="R1196" s="393"/>
      <c r="S1196" s="393"/>
      <c r="T1196" s="393"/>
      <c r="U1196" s="393"/>
      <c r="V1196" s="393"/>
    </row>
    <row r="1197" spans="1:22" ht="14.25" customHeight="1">
      <c r="A1197" s="402"/>
      <c r="B1197" s="403"/>
      <c r="C1197" s="402"/>
      <c r="D1197" s="402" t="s">
        <v>2363</v>
      </c>
      <c r="E1197" s="402"/>
      <c r="F1197" s="402"/>
      <c r="G1197" s="402"/>
      <c r="H1197" s="402"/>
      <c r="I1197" s="402" t="s">
        <v>2364</v>
      </c>
      <c r="J1197" s="393"/>
      <c r="K1197" s="393"/>
      <c r="L1197" s="393"/>
      <c r="M1197" s="393"/>
      <c r="N1197" s="393"/>
      <c r="O1197" s="393"/>
      <c r="P1197" s="393"/>
      <c r="Q1197" s="393"/>
      <c r="R1197" s="393"/>
      <c r="S1197" s="393"/>
      <c r="T1197" s="393"/>
      <c r="U1197" s="393"/>
      <c r="V1197" s="393"/>
    </row>
    <row r="1198" spans="1:22" ht="14.25" customHeight="1">
      <c r="A1198" s="402"/>
      <c r="B1198" s="403"/>
      <c r="C1198" s="402"/>
      <c r="D1198" s="402"/>
      <c r="E1198" s="402"/>
      <c r="F1198" s="402"/>
      <c r="G1198" s="402"/>
      <c r="H1198" s="402"/>
      <c r="I1198" s="402"/>
      <c r="J1198" s="393"/>
      <c r="K1198" s="393"/>
      <c r="L1198" s="393"/>
      <c r="M1198" s="393"/>
      <c r="N1198" s="393"/>
      <c r="O1198" s="393"/>
      <c r="P1198" s="393"/>
      <c r="Q1198" s="393"/>
      <c r="R1198" s="393"/>
      <c r="S1198" s="393"/>
      <c r="T1198" s="393"/>
      <c r="U1198" s="393"/>
      <c r="V1198" s="393"/>
    </row>
    <row r="1199" spans="1:22" ht="14.25" customHeight="1">
      <c r="A1199" s="402"/>
      <c r="B1199" s="403"/>
      <c r="C1199" s="402"/>
      <c r="D1199" s="402"/>
      <c r="E1199" s="402"/>
      <c r="F1199" s="402"/>
      <c r="G1199" s="402"/>
      <c r="H1199" s="402"/>
      <c r="I1199" s="402"/>
      <c r="J1199" s="393"/>
      <c r="K1199" s="393"/>
      <c r="L1199" s="393"/>
      <c r="M1199" s="393"/>
      <c r="N1199" s="393"/>
      <c r="O1199" s="393"/>
      <c r="P1199" s="393"/>
      <c r="Q1199" s="393"/>
      <c r="R1199" s="393"/>
      <c r="S1199" s="393"/>
      <c r="T1199" s="393"/>
      <c r="U1199" s="393"/>
      <c r="V1199" s="393"/>
    </row>
    <row r="1200" spans="1:22" ht="14.25" customHeight="1">
      <c r="A1200" s="402"/>
      <c r="B1200" s="403"/>
      <c r="C1200" s="402"/>
      <c r="D1200" s="402"/>
      <c r="E1200" s="402"/>
      <c r="F1200" s="402"/>
      <c r="G1200" s="402"/>
      <c r="H1200" s="402"/>
      <c r="I1200" s="402"/>
      <c r="J1200" s="393"/>
      <c r="K1200" s="393"/>
      <c r="L1200" s="393"/>
      <c r="M1200" s="393"/>
      <c r="N1200" s="393"/>
      <c r="O1200" s="393"/>
      <c r="P1200" s="393"/>
      <c r="Q1200" s="393"/>
      <c r="R1200" s="393"/>
      <c r="S1200" s="393"/>
      <c r="T1200" s="393"/>
      <c r="U1200" s="393"/>
      <c r="V1200" s="393"/>
    </row>
    <row r="1201" spans="1:22" ht="14.25" customHeight="1">
      <c r="A1201" s="402"/>
      <c r="B1201" s="403"/>
      <c r="C1201" s="402"/>
      <c r="D1201" s="402"/>
      <c r="E1201" s="402"/>
      <c r="F1201" s="402"/>
      <c r="G1201" s="402"/>
      <c r="H1201" s="402"/>
      <c r="I1201" s="402"/>
      <c r="J1201" s="393"/>
      <c r="K1201" s="393"/>
      <c r="L1201" s="393"/>
      <c r="M1201" s="393"/>
      <c r="N1201" s="393"/>
      <c r="O1201" s="393"/>
      <c r="P1201" s="393"/>
      <c r="Q1201" s="393"/>
      <c r="R1201" s="393"/>
      <c r="S1201" s="393"/>
      <c r="T1201" s="393"/>
      <c r="U1201" s="393"/>
      <c r="V1201" s="393"/>
    </row>
    <row r="1202" spans="1:22" ht="14.25" customHeight="1">
      <c r="A1202" s="402"/>
      <c r="B1202" s="403"/>
      <c r="C1202" s="402"/>
      <c r="D1202" s="402"/>
      <c r="E1202" s="402"/>
      <c r="F1202" s="402"/>
      <c r="G1202" s="402"/>
      <c r="H1202" s="402"/>
      <c r="I1202" s="402"/>
      <c r="J1202" s="393"/>
      <c r="K1202" s="393"/>
      <c r="L1202" s="393"/>
      <c r="M1202" s="393"/>
      <c r="N1202" s="393"/>
      <c r="O1202" s="393"/>
      <c r="P1202" s="393"/>
      <c r="Q1202" s="393"/>
      <c r="R1202" s="393"/>
      <c r="S1202" s="393"/>
      <c r="T1202" s="393"/>
      <c r="U1202" s="393"/>
      <c r="V1202" s="393"/>
    </row>
    <row r="1203" spans="1:22" ht="14.25" customHeight="1">
      <c r="A1203" s="402"/>
      <c r="B1203" s="403"/>
      <c r="C1203" s="402"/>
      <c r="D1203" s="402"/>
      <c r="E1203" s="402"/>
      <c r="F1203" s="402"/>
      <c r="G1203" s="402"/>
      <c r="H1203" s="402"/>
      <c r="I1203" s="402"/>
      <c r="J1203" s="393"/>
      <c r="K1203" s="393"/>
      <c r="L1203" s="393"/>
      <c r="M1203" s="393"/>
      <c r="N1203" s="393"/>
      <c r="O1203" s="393"/>
      <c r="P1203" s="393"/>
      <c r="Q1203" s="393"/>
      <c r="R1203" s="393"/>
      <c r="S1203" s="393"/>
      <c r="T1203" s="393"/>
      <c r="U1203" s="393"/>
      <c r="V1203" s="393"/>
    </row>
    <row r="1204" spans="1:22" ht="14.25" customHeight="1">
      <c r="A1204" s="402"/>
      <c r="B1204" s="403"/>
      <c r="C1204" s="402"/>
      <c r="D1204" s="402"/>
      <c r="E1204" s="402"/>
      <c r="F1204" s="402"/>
      <c r="G1204" s="402"/>
      <c r="H1204" s="402"/>
      <c r="I1204" s="402"/>
      <c r="J1204" s="393"/>
      <c r="K1204" s="393"/>
      <c r="L1204" s="393"/>
      <c r="M1204" s="393"/>
      <c r="N1204" s="393"/>
      <c r="O1204" s="393"/>
      <c r="P1204" s="393"/>
      <c r="Q1204" s="393"/>
      <c r="R1204" s="393"/>
      <c r="S1204" s="393"/>
      <c r="T1204" s="393"/>
      <c r="U1204" s="393"/>
      <c r="V1204" s="393"/>
    </row>
    <row r="1205" spans="1:22" ht="14.25" customHeight="1">
      <c r="A1205" s="402"/>
      <c r="B1205" s="403"/>
      <c r="C1205" s="402"/>
      <c r="D1205" s="402"/>
      <c r="E1205" s="402"/>
      <c r="F1205" s="402"/>
      <c r="G1205" s="402"/>
      <c r="H1205" s="402"/>
      <c r="I1205" s="402"/>
      <c r="J1205" s="393"/>
      <c r="K1205" s="393"/>
      <c r="L1205" s="393"/>
      <c r="M1205" s="393"/>
      <c r="N1205" s="393"/>
      <c r="O1205" s="393"/>
      <c r="P1205" s="393"/>
      <c r="Q1205" s="393"/>
      <c r="R1205" s="393"/>
      <c r="S1205" s="393"/>
      <c r="T1205" s="393"/>
      <c r="U1205" s="393"/>
      <c r="V1205" s="393"/>
    </row>
    <row r="1206" spans="1:22" ht="14.25" customHeight="1">
      <c r="A1206" s="402"/>
      <c r="B1206" s="403"/>
      <c r="C1206" s="402"/>
      <c r="D1206" s="402"/>
      <c r="E1206" s="402"/>
      <c r="F1206" s="402"/>
      <c r="G1206" s="402"/>
      <c r="H1206" s="402"/>
      <c r="I1206" s="402"/>
      <c r="J1206" s="393"/>
      <c r="K1206" s="393"/>
      <c r="L1206" s="393"/>
      <c r="M1206" s="393"/>
      <c r="N1206" s="393"/>
      <c r="O1206" s="393"/>
      <c r="P1206" s="393"/>
      <c r="Q1206" s="393"/>
      <c r="R1206" s="393"/>
      <c r="S1206" s="393"/>
      <c r="T1206" s="393"/>
      <c r="U1206" s="393"/>
      <c r="V1206" s="393"/>
    </row>
    <row r="1207" spans="1:22" ht="14.25" customHeight="1">
      <c r="A1207" s="402"/>
      <c r="B1207" s="403"/>
      <c r="C1207" s="402"/>
      <c r="D1207" s="402"/>
      <c r="E1207" s="402"/>
      <c r="F1207" s="402"/>
      <c r="G1207" s="402"/>
      <c r="H1207" s="402"/>
      <c r="I1207" s="402"/>
      <c r="J1207" s="393"/>
      <c r="K1207" s="393"/>
      <c r="L1207" s="393"/>
      <c r="M1207" s="393"/>
      <c r="N1207" s="393"/>
      <c r="O1207" s="393"/>
      <c r="P1207" s="393"/>
      <c r="Q1207" s="393"/>
      <c r="R1207" s="393"/>
      <c r="S1207" s="393"/>
      <c r="T1207" s="393"/>
      <c r="U1207" s="393"/>
      <c r="V1207" s="393"/>
    </row>
    <row r="1208" spans="1:22" ht="14.25" customHeight="1">
      <c r="A1208" s="402"/>
      <c r="B1208" s="403"/>
      <c r="C1208" s="402"/>
      <c r="D1208" s="402"/>
      <c r="E1208" s="402"/>
      <c r="F1208" s="402"/>
      <c r="G1208" s="402"/>
      <c r="H1208" s="402"/>
      <c r="I1208" s="402"/>
      <c r="J1208" s="393"/>
      <c r="K1208" s="393"/>
      <c r="L1208" s="393"/>
      <c r="M1208" s="393"/>
      <c r="N1208" s="393"/>
      <c r="O1208" s="393"/>
      <c r="P1208" s="393"/>
      <c r="Q1208" s="393"/>
      <c r="R1208" s="393"/>
      <c r="S1208" s="393"/>
      <c r="T1208" s="393"/>
      <c r="U1208" s="393"/>
      <c r="V1208" s="393"/>
    </row>
    <row r="1209" spans="1:22" ht="14.25" customHeight="1">
      <c r="A1209" s="402"/>
      <c r="B1209" s="403"/>
      <c r="C1209" s="402"/>
      <c r="D1209" s="402"/>
      <c r="E1209" s="402"/>
      <c r="F1209" s="402"/>
      <c r="G1209" s="402"/>
      <c r="H1209" s="402"/>
      <c r="I1209" s="402"/>
      <c r="J1209" s="393"/>
      <c r="K1209" s="393"/>
      <c r="L1209" s="393"/>
      <c r="M1209" s="393"/>
      <c r="N1209" s="393"/>
      <c r="O1209" s="393"/>
      <c r="P1209" s="393"/>
      <c r="Q1209" s="393"/>
      <c r="R1209" s="393"/>
      <c r="S1209" s="393"/>
      <c r="T1209" s="393"/>
      <c r="U1209" s="393"/>
      <c r="V1209" s="393"/>
    </row>
    <row r="1210" spans="1:22" ht="14.25" customHeight="1">
      <c r="A1210" s="402"/>
      <c r="B1210" s="403"/>
      <c r="C1210" s="402"/>
      <c r="D1210" s="402"/>
      <c r="E1210" s="402"/>
      <c r="F1210" s="402"/>
      <c r="G1210" s="402"/>
      <c r="H1210" s="402"/>
      <c r="I1210" s="402"/>
      <c r="J1210" s="393"/>
      <c r="K1210" s="393"/>
      <c r="L1210" s="393"/>
      <c r="M1210" s="393"/>
      <c r="N1210" s="393"/>
      <c r="O1210" s="393"/>
      <c r="P1210" s="393"/>
      <c r="Q1210" s="393"/>
      <c r="R1210" s="393"/>
      <c r="S1210" s="393"/>
      <c r="T1210" s="393"/>
      <c r="U1210" s="393"/>
      <c r="V1210" s="393"/>
    </row>
    <row r="1211" spans="1:22" ht="14.25" customHeight="1">
      <c r="A1211" s="402"/>
      <c r="B1211" s="403"/>
      <c r="C1211" s="402"/>
      <c r="D1211" s="402"/>
      <c r="E1211" s="402"/>
      <c r="F1211" s="402"/>
      <c r="G1211" s="402"/>
      <c r="H1211" s="402"/>
      <c r="I1211" s="402"/>
      <c r="J1211" s="393"/>
      <c r="K1211" s="393"/>
      <c r="L1211" s="393"/>
      <c r="M1211" s="393"/>
      <c r="N1211" s="393"/>
      <c r="O1211" s="393"/>
      <c r="P1211" s="393"/>
      <c r="Q1211" s="393"/>
      <c r="R1211" s="393"/>
      <c r="S1211" s="393"/>
      <c r="T1211" s="393"/>
      <c r="U1211" s="393"/>
      <c r="V1211" s="393"/>
    </row>
    <row r="1212" spans="1:22" ht="14.25" customHeight="1">
      <c r="A1212" s="402"/>
      <c r="B1212" s="403"/>
      <c r="C1212" s="402"/>
      <c r="D1212" s="402"/>
      <c r="E1212" s="402"/>
      <c r="F1212" s="402"/>
      <c r="G1212" s="402"/>
      <c r="H1212" s="402"/>
      <c r="I1212" s="402"/>
      <c r="J1212" s="393"/>
      <c r="K1212" s="393"/>
      <c r="L1212" s="393"/>
      <c r="M1212" s="393"/>
      <c r="N1212" s="393"/>
      <c r="O1212" s="393"/>
      <c r="P1212" s="393"/>
      <c r="Q1212" s="393"/>
      <c r="R1212" s="393"/>
      <c r="S1212" s="393"/>
      <c r="T1212" s="393"/>
      <c r="U1212" s="393"/>
      <c r="V1212" s="393"/>
    </row>
    <row r="1213" spans="1:22" ht="14.25" customHeight="1">
      <c r="A1213" s="402"/>
      <c r="B1213" s="403"/>
      <c r="C1213" s="402"/>
      <c r="D1213" s="402"/>
      <c r="E1213" s="402"/>
      <c r="F1213" s="402"/>
      <c r="G1213" s="402"/>
      <c r="H1213" s="402"/>
      <c r="I1213" s="402"/>
      <c r="J1213" s="393"/>
      <c r="K1213" s="393"/>
      <c r="L1213" s="393"/>
      <c r="M1213" s="393"/>
      <c r="N1213" s="393"/>
      <c r="O1213" s="393"/>
      <c r="P1213" s="393"/>
      <c r="Q1213" s="393"/>
      <c r="R1213" s="393"/>
      <c r="S1213" s="393"/>
      <c r="T1213" s="393"/>
      <c r="U1213" s="393"/>
      <c r="V1213" s="393"/>
    </row>
    <row r="1214" spans="1:22" ht="14.25" customHeight="1">
      <c r="A1214" s="402"/>
      <c r="B1214" s="403"/>
      <c r="C1214" s="402"/>
      <c r="D1214" s="402"/>
      <c r="E1214" s="402"/>
      <c r="F1214" s="402"/>
      <c r="G1214" s="402"/>
      <c r="H1214" s="402"/>
      <c r="I1214" s="402"/>
      <c r="J1214" s="393"/>
      <c r="K1214" s="393"/>
      <c r="L1214" s="393"/>
      <c r="M1214" s="393"/>
      <c r="N1214" s="393"/>
      <c r="O1214" s="393"/>
      <c r="P1214" s="393"/>
      <c r="Q1214" s="393"/>
      <c r="R1214" s="393"/>
      <c r="S1214" s="393"/>
      <c r="T1214" s="393"/>
      <c r="U1214" s="393"/>
      <c r="V1214" s="393"/>
    </row>
    <row r="1215" spans="1:22" ht="14.25" customHeight="1">
      <c r="A1215" s="402"/>
      <c r="B1215" s="403"/>
      <c r="C1215" s="402"/>
      <c r="D1215" s="402"/>
      <c r="E1215" s="402"/>
      <c r="F1215" s="402"/>
      <c r="G1215" s="402"/>
      <c r="H1215" s="402"/>
      <c r="I1215" s="402"/>
      <c r="J1215" s="393"/>
      <c r="K1215" s="393"/>
      <c r="L1215" s="393"/>
      <c r="M1215" s="393"/>
      <c r="N1215" s="393"/>
      <c r="O1215" s="393"/>
      <c r="P1215" s="393"/>
      <c r="Q1215" s="393"/>
      <c r="R1215" s="393"/>
      <c r="S1215" s="393"/>
      <c r="T1215" s="393"/>
      <c r="U1215" s="393"/>
      <c r="V1215" s="393"/>
    </row>
    <row r="1216" spans="1:22" ht="14.25" customHeight="1">
      <c r="A1216" s="402"/>
      <c r="B1216" s="403"/>
      <c r="C1216" s="402"/>
      <c r="D1216" s="402"/>
      <c r="E1216" s="402"/>
      <c r="F1216" s="402"/>
      <c r="G1216" s="402"/>
      <c r="H1216" s="402"/>
      <c r="I1216" s="402"/>
      <c r="J1216" s="393"/>
      <c r="K1216" s="393"/>
      <c r="L1216" s="393"/>
      <c r="M1216" s="393"/>
      <c r="N1216" s="393"/>
      <c r="O1216" s="393"/>
      <c r="P1216" s="393"/>
      <c r="Q1216" s="393"/>
      <c r="R1216" s="393"/>
      <c r="S1216" s="393"/>
      <c r="T1216" s="393"/>
      <c r="U1216" s="393"/>
      <c r="V1216" s="393"/>
    </row>
    <row r="1217" spans="1:22" ht="14.25" customHeight="1">
      <c r="A1217" s="402"/>
      <c r="B1217" s="403"/>
      <c r="C1217" s="402"/>
      <c r="D1217" s="402"/>
      <c r="E1217" s="402"/>
      <c r="F1217" s="402"/>
      <c r="G1217" s="402"/>
      <c r="H1217" s="402"/>
      <c r="I1217" s="402"/>
      <c r="J1217" s="393"/>
      <c r="K1217" s="393"/>
      <c r="L1217" s="393"/>
      <c r="M1217" s="393"/>
      <c r="N1217" s="393"/>
      <c r="O1217" s="393"/>
      <c r="P1217" s="393"/>
      <c r="Q1217" s="393"/>
      <c r="R1217" s="393"/>
      <c r="S1217" s="393"/>
      <c r="T1217" s="393"/>
      <c r="U1217" s="393"/>
      <c r="V1217" s="393"/>
    </row>
    <row r="1218" spans="1:22" ht="14.25" customHeight="1">
      <c r="A1218" s="402"/>
      <c r="B1218" s="403"/>
      <c r="C1218" s="402"/>
      <c r="D1218" s="402"/>
      <c r="E1218" s="402"/>
      <c r="F1218" s="402"/>
      <c r="G1218" s="402"/>
      <c r="H1218" s="402"/>
      <c r="I1218" s="402"/>
      <c r="J1218" s="393"/>
      <c r="K1218" s="393"/>
      <c r="L1218" s="393"/>
      <c r="M1218" s="393"/>
      <c r="N1218" s="393"/>
      <c r="O1218" s="393"/>
      <c r="P1218" s="393"/>
      <c r="Q1218" s="393"/>
      <c r="R1218" s="393"/>
      <c r="S1218" s="393"/>
      <c r="T1218" s="393"/>
      <c r="U1218" s="393"/>
      <c r="V1218" s="393"/>
    </row>
  </sheetData>
  <mergeCells count="15">
    <mergeCell ref="B1166:G1166"/>
    <mergeCell ref="B1167:G1167"/>
    <mergeCell ref="B1168:C1168"/>
    <mergeCell ref="A1:V2"/>
    <mergeCell ref="B1155:C1155"/>
    <mergeCell ref="B1156:C1156"/>
    <mergeCell ref="B1157:G1157"/>
    <mergeCell ref="B1158:G1158"/>
    <mergeCell ref="B1159:G1159"/>
    <mergeCell ref="B1160:G1160"/>
    <mergeCell ref="B1161:G1161"/>
    <mergeCell ref="B1162:G1162"/>
    <mergeCell ref="B1163:G1163"/>
    <mergeCell ref="B1164:G1164"/>
    <mergeCell ref="B1165:G1165"/>
  </mergeCells>
  <conditionalFormatting sqref="A3:P3">
    <cfRule type="cellIs" dxfId="5" priority="1" operator="greaterThan">
      <formula>0</formula>
    </cfRule>
    <cfRule type="cellIs" dxfId="4" priority="2" operator="greaterThan">
      <formula>0</formula>
    </cfRule>
  </conditionalFormatting>
  <pageMargins left="0.7" right="0.7" top="0.75" bottom="0.75" header="0" footer="0"/>
  <pageSetup paperSize="9" orientation="portrait"/>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7201"/>
  <sheetViews>
    <sheetView topLeftCell="E1" workbookViewId="0"/>
  </sheetViews>
  <sheetFormatPr baseColWidth="10" defaultColWidth="11.1640625" defaultRowHeight="15" customHeight="1"/>
  <cols>
    <col min="1" max="1" width="13" hidden="1" customWidth="1"/>
    <col min="2" max="4" width="5.6640625" hidden="1" customWidth="1"/>
    <col min="5" max="5" width="13.1640625" customWidth="1"/>
    <col min="6" max="6" width="34.5" customWidth="1"/>
    <col min="7" max="7" width="9.83203125" customWidth="1"/>
    <col min="8" max="8" width="11.5" customWidth="1"/>
    <col min="9" max="9" width="8.1640625" customWidth="1"/>
    <col min="10" max="10" width="10.6640625" customWidth="1"/>
    <col min="11" max="11" width="14.1640625" customWidth="1"/>
    <col min="12" max="12" width="10.6640625" customWidth="1"/>
    <col min="13" max="13" width="8.6640625" customWidth="1"/>
    <col min="14" max="14" width="8.83203125" customWidth="1"/>
    <col min="15" max="15" width="13.33203125" customWidth="1"/>
    <col min="16" max="16" width="10.6640625" customWidth="1"/>
    <col min="17" max="17" width="7" customWidth="1"/>
    <col min="18" max="18" width="12.6640625" customWidth="1"/>
    <col min="19" max="20" width="8.83203125" customWidth="1"/>
    <col min="21" max="21" width="11.1640625" customWidth="1"/>
    <col min="22" max="22" width="11.33203125" customWidth="1"/>
  </cols>
  <sheetData>
    <row r="1" spans="5:22" ht="13.5" customHeight="1">
      <c r="E1" s="1" t="s">
        <v>129</v>
      </c>
      <c r="F1" s="1" t="s">
        <v>2365</v>
      </c>
      <c r="G1" s="1" t="s">
        <v>2366</v>
      </c>
      <c r="H1" s="273" t="s">
        <v>2367</v>
      </c>
      <c r="I1" s="274" t="s">
        <v>2295</v>
      </c>
      <c r="J1" s="274" t="s">
        <v>2368</v>
      </c>
      <c r="K1" s="274" t="s">
        <v>2369</v>
      </c>
      <c r="L1" s="1" t="s">
        <v>2370</v>
      </c>
      <c r="M1" s="1" t="s">
        <v>2371</v>
      </c>
      <c r="N1" s="274" t="s">
        <v>2306</v>
      </c>
      <c r="P1" s="404" t="s">
        <v>2372</v>
      </c>
      <c r="Q1" s="405" t="e">
        <f ca="1">SUM(J2:J5752)</f>
        <v>#NAME?</v>
      </c>
      <c r="U1" s="1" t="s">
        <v>2373</v>
      </c>
      <c r="V1" s="1" t="s">
        <v>2374</v>
      </c>
    </row>
    <row r="2" spans="5:22" ht="13.5" customHeight="1">
      <c r="E2" s="209" t="s">
        <v>946</v>
      </c>
      <c r="F2" s="209" t="s">
        <v>2375</v>
      </c>
      <c r="G2" s="406" t="str">
        <f>'Kilter Holds'!T36</f>
        <v>11-12</v>
      </c>
      <c r="H2" s="273" t="e">
        <f ca="1">_xludf.IFNA(VLOOKUP(Aragon!E2,'Kilter Holds'!$P$37:$AB$662,5,0),0)</f>
        <v>#NAME?</v>
      </c>
      <c r="I2" s="274"/>
      <c r="J2" s="274" t="e">
        <f t="shared" ref="J2:J256" ca="1" si="0">H2*I2</f>
        <v>#NAME?</v>
      </c>
      <c r="K2" s="274">
        <f t="shared" ref="K2:K256" si="1">IF($V$11="Y",J2*0.05,0)</f>
        <v>0</v>
      </c>
      <c r="N2" s="274"/>
      <c r="P2" s="17" t="s">
        <v>2369</v>
      </c>
      <c r="Q2" s="407">
        <f>SUM(K2:K5752)</f>
        <v>0</v>
      </c>
      <c r="U2" s="406" t="str">
        <f>'Kilter Holds'!T36</f>
        <v>11-12</v>
      </c>
      <c r="V2" s="1" t="s">
        <v>2376</v>
      </c>
    </row>
    <row r="3" spans="5:22" ht="13.5" customHeight="1">
      <c r="E3" s="209" t="s">
        <v>946</v>
      </c>
      <c r="F3" s="209" t="s">
        <v>2375</v>
      </c>
      <c r="G3" s="408" t="str">
        <f>'Kilter Holds'!U36</f>
        <v>14-01</v>
      </c>
      <c r="H3" s="273" t="e">
        <f ca="1">_xludf.IFNA(VLOOKUP(Aragon!E3,'Kilter Holds'!$P$37:$AB$662,6,0),0)</f>
        <v>#NAME?</v>
      </c>
      <c r="I3" s="274"/>
      <c r="J3" s="274" t="e">
        <f t="shared" ca="1" si="0"/>
        <v>#NAME?</v>
      </c>
      <c r="K3" s="274">
        <f t="shared" si="1"/>
        <v>0</v>
      </c>
      <c r="N3" s="274"/>
      <c r="P3" s="17" t="s">
        <v>2377</v>
      </c>
      <c r="Q3" s="407">
        <v>0</v>
      </c>
      <c r="U3" s="408" t="str">
        <f>'Kilter Holds'!U36</f>
        <v>14-01</v>
      </c>
      <c r="V3" s="1" t="s">
        <v>2376</v>
      </c>
    </row>
    <row r="4" spans="5:22" ht="13.5" customHeight="1">
      <c r="E4" s="209" t="s">
        <v>946</v>
      </c>
      <c r="F4" s="209" t="s">
        <v>2375</v>
      </c>
      <c r="G4" s="409" t="str">
        <f>'Kilter Holds'!V36</f>
        <v>15-12</v>
      </c>
      <c r="H4" s="273" t="e">
        <f ca="1">_xludf.IFNA(VLOOKUP(Aragon!E4,'Kilter Holds'!$P$37:$AB$662,7,0),0)</f>
        <v>#NAME?</v>
      </c>
      <c r="I4" s="274"/>
      <c r="J4" s="274" t="e">
        <f t="shared" ca="1" si="0"/>
        <v>#NAME?</v>
      </c>
      <c r="K4" s="274">
        <f t="shared" si="1"/>
        <v>0</v>
      </c>
      <c r="N4" s="274"/>
      <c r="P4" s="17" t="s">
        <v>6</v>
      </c>
      <c r="Q4" s="407">
        <f>Bolts!B1185</f>
        <v>3</v>
      </c>
      <c r="U4" s="409" t="str">
        <f>'Kilter Holds'!V36</f>
        <v>15-12</v>
      </c>
      <c r="V4" s="1" t="s">
        <v>2376</v>
      </c>
    </row>
    <row r="5" spans="5:22" ht="13.5" customHeight="1">
      <c r="E5" s="209" t="s">
        <v>946</v>
      </c>
      <c r="F5" s="209" t="s">
        <v>2375</v>
      </c>
      <c r="G5" s="410" t="str">
        <f>'Kilter Holds'!W36</f>
        <v>16-16</v>
      </c>
      <c r="H5" s="273" t="e">
        <f ca="1">_xludf.IFNA(VLOOKUP(Aragon!E5,'Kilter Holds'!$P$37:$AB$662,8,0),0)</f>
        <v>#NAME?</v>
      </c>
      <c r="I5" s="274"/>
      <c r="J5" s="274" t="e">
        <f t="shared" ca="1" si="0"/>
        <v>#NAME?</v>
      </c>
      <c r="K5" s="274">
        <f t="shared" si="1"/>
        <v>0</v>
      </c>
      <c r="N5" s="274"/>
      <c r="P5" s="17" t="s">
        <v>2378</v>
      </c>
      <c r="Q5" s="407"/>
      <c r="U5" s="410" t="str">
        <f>'Kilter Holds'!W36</f>
        <v>16-16</v>
      </c>
      <c r="V5" s="1" t="s">
        <v>2376</v>
      </c>
    </row>
    <row r="6" spans="5:22" ht="13.5" customHeight="1">
      <c r="E6" s="209" t="s">
        <v>946</v>
      </c>
      <c r="F6" s="209" t="s">
        <v>2375</v>
      </c>
      <c r="G6" s="411" t="str">
        <f>'Kilter Holds'!X36</f>
        <v>13-01</v>
      </c>
      <c r="H6" s="273" t="e">
        <f ca="1">_xludf.IFNA(VLOOKUP(Aragon!E6,'Kilter Holds'!$P$37:$AB$662,9,0),0)</f>
        <v>#NAME?</v>
      </c>
      <c r="I6" s="274"/>
      <c r="J6" s="274" t="e">
        <f t="shared" ca="1" si="0"/>
        <v>#NAME?</v>
      </c>
      <c r="K6" s="274">
        <f t="shared" si="1"/>
        <v>0</v>
      </c>
      <c r="N6" s="274"/>
      <c r="P6" s="35" t="s">
        <v>15</v>
      </c>
      <c r="Q6" s="412" t="e">
        <f ca="1">SUM(Q1:Q5)</f>
        <v>#NAME?</v>
      </c>
      <c r="U6" s="411" t="str">
        <f>'Kilter Holds'!X36</f>
        <v>13-01</v>
      </c>
      <c r="V6" s="1" t="s">
        <v>2376</v>
      </c>
    </row>
    <row r="7" spans="5:22" ht="13.5" customHeight="1">
      <c r="E7" s="209" t="s">
        <v>946</v>
      </c>
      <c r="F7" s="209" t="s">
        <v>2375</v>
      </c>
      <c r="G7" s="413" t="str">
        <f>'Kilter Holds'!Y36</f>
        <v>07-13</v>
      </c>
      <c r="H7" s="273" t="e">
        <f ca="1">_xludf.IFNA(VLOOKUP(Aragon!E7,'Kilter Holds'!$P$37:$AB$662,10,0),0)</f>
        <v>#NAME?</v>
      </c>
      <c r="I7" s="274"/>
      <c r="J7" s="274" t="e">
        <f t="shared" ca="1" si="0"/>
        <v>#NAME?</v>
      </c>
      <c r="K7" s="274">
        <f t="shared" si="1"/>
        <v>0</v>
      </c>
      <c r="N7" s="274"/>
      <c r="U7" s="413" t="str">
        <f>'Kilter Holds'!Y36</f>
        <v>07-13</v>
      </c>
      <c r="V7" s="1" t="s">
        <v>2376</v>
      </c>
    </row>
    <row r="8" spans="5:22" ht="13.5" customHeight="1">
      <c r="E8" s="209" t="s">
        <v>946</v>
      </c>
      <c r="F8" s="209" t="s">
        <v>2375</v>
      </c>
      <c r="G8" s="414" t="str">
        <f>'Kilter Holds'!Z36</f>
        <v>11-26</v>
      </c>
      <c r="H8" s="273" t="e">
        <f ca="1">_xludf.IFNA(VLOOKUP(Aragon!E8,'Kilter Holds'!$P$37:$AB$662,11,0),0)</f>
        <v>#NAME?</v>
      </c>
      <c r="I8" s="274"/>
      <c r="J8" s="274" t="e">
        <f t="shared" ca="1" si="0"/>
        <v>#NAME?</v>
      </c>
      <c r="K8" s="274">
        <f t="shared" si="1"/>
        <v>0</v>
      </c>
      <c r="N8" s="274"/>
      <c r="U8" s="414" t="str">
        <f>'Kilter Holds'!Z36</f>
        <v>11-26</v>
      </c>
      <c r="V8" s="1" t="s">
        <v>2376</v>
      </c>
    </row>
    <row r="9" spans="5:22" ht="13.5" customHeight="1">
      <c r="E9" s="209" t="s">
        <v>946</v>
      </c>
      <c r="F9" s="209" t="s">
        <v>2375</v>
      </c>
      <c r="G9" s="415" t="str">
        <f>'Kilter Holds'!AA36</f>
        <v>18-01</v>
      </c>
      <c r="H9" s="273" t="e">
        <f ca="1">_xludf.IFNA(VLOOKUP(Aragon!E9,'Kilter Holds'!$P$37:$AB$662,12,0),0)</f>
        <v>#NAME?</v>
      </c>
      <c r="I9" s="274"/>
      <c r="J9" s="274" t="e">
        <f t="shared" ca="1" si="0"/>
        <v>#NAME?</v>
      </c>
      <c r="K9" s="274">
        <f t="shared" si="1"/>
        <v>0</v>
      </c>
      <c r="N9" s="274"/>
      <c r="U9" s="415" t="str">
        <f>'Kilter Holds'!AA36</f>
        <v>18-01</v>
      </c>
      <c r="V9" s="1" t="s">
        <v>2376</v>
      </c>
    </row>
    <row r="10" spans="5:22" ht="13.5" customHeight="1">
      <c r="E10" s="209" t="s">
        <v>946</v>
      </c>
      <c r="F10" s="209" t="s">
        <v>2375</v>
      </c>
      <c r="G10" s="416" t="str">
        <f>'Kilter Holds'!AB36</f>
        <v>Color Code</v>
      </c>
      <c r="H10" s="273" t="e">
        <f ca="1">_xludf.IFNA(VLOOKUP(Aragon!E10,'Kilter Holds'!$P$37:$AB$662,13,0),0)</f>
        <v>#NAME?</v>
      </c>
      <c r="I10" s="274"/>
      <c r="J10" s="274" t="e">
        <f t="shared" ca="1" si="0"/>
        <v>#NAME?</v>
      </c>
      <c r="K10" s="274">
        <f t="shared" si="1"/>
        <v>0</v>
      </c>
      <c r="N10" s="274"/>
      <c r="U10" s="416" t="str">
        <f>'Kilter Holds'!AB36</f>
        <v>Color Code</v>
      </c>
      <c r="V10" s="1" t="s">
        <v>2379</v>
      </c>
    </row>
    <row r="11" spans="5:22" ht="13.5" customHeight="1">
      <c r="E11" s="209" t="s">
        <v>286</v>
      </c>
      <c r="F11" s="209" t="s">
        <v>2380</v>
      </c>
      <c r="G11" s="406" t="str">
        <f t="shared" ref="G11:G265" si="2">G2</f>
        <v>11-12</v>
      </c>
      <c r="H11" s="273" t="e">
        <f ca="1">_xludf.IFNA(VLOOKUP(Aragon!E11,'Kilter Holds'!$P$37:$AB$662,5,0),0)</f>
        <v>#NAME?</v>
      </c>
      <c r="I11" s="274"/>
      <c r="J11" s="274" t="e">
        <f t="shared" ca="1" si="0"/>
        <v>#NAME?</v>
      </c>
      <c r="K11" s="274">
        <f t="shared" si="1"/>
        <v>0</v>
      </c>
      <c r="N11" s="274"/>
      <c r="U11" s="209" t="s">
        <v>2381</v>
      </c>
      <c r="V11" s="1" t="s">
        <v>2376</v>
      </c>
    </row>
    <row r="12" spans="5:22" ht="13.5" customHeight="1">
      <c r="E12" s="209" t="s">
        <v>286</v>
      </c>
      <c r="F12" s="209" t="s">
        <v>2380</v>
      </c>
      <c r="G12" s="408" t="str">
        <f t="shared" si="2"/>
        <v>14-01</v>
      </c>
      <c r="H12" s="273" t="e">
        <f ca="1">_xludf.IFNA(VLOOKUP(Aragon!E12,'Kilter Holds'!$P$37:$AB$662,6,0),0)</f>
        <v>#NAME?</v>
      </c>
      <c r="I12" s="274"/>
      <c r="J12" s="274" t="e">
        <f t="shared" ca="1" si="0"/>
        <v>#NAME?</v>
      </c>
      <c r="K12" s="274">
        <f t="shared" si="1"/>
        <v>0</v>
      </c>
      <c r="N12" s="274"/>
      <c r="V12" s="1"/>
    </row>
    <row r="13" spans="5:22" ht="13.5" customHeight="1">
      <c r="E13" s="209" t="s">
        <v>286</v>
      </c>
      <c r="F13" s="209" t="s">
        <v>2380</v>
      </c>
      <c r="G13" s="409" t="str">
        <f t="shared" si="2"/>
        <v>15-12</v>
      </c>
      <c r="H13" s="273" t="e">
        <f ca="1">_xludf.IFNA(VLOOKUP(Aragon!E13,'Kilter Holds'!$P$37:$AB$662,7,0),0)</f>
        <v>#NAME?</v>
      </c>
      <c r="I13" s="274"/>
      <c r="J13" s="274" t="e">
        <f t="shared" ca="1" si="0"/>
        <v>#NAME?</v>
      </c>
      <c r="K13" s="274">
        <f t="shared" si="1"/>
        <v>0</v>
      </c>
      <c r="N13" s="274"/>
    </row>
    <row r="14" spans="5:22" ht="13.5" customHeight="1">
      <c r="E14" s="209" t="s">
        <v>286</v>
      </c>
      <c r="F14" s="209" t="s">
        <v>2380</v>
      </c>
      <c r="G14" s="410" t="str">
        <f t="shared" si="2"/>
        <v>16-16</v>
      </c>
      <c r="H14" s="273" t="e">
        <f ca="1">_xludf.IFNA(VLOOKUP(Aragon!E14,'Kilter Holds'!$P$37:$AB$662,8,0),0)</f>
        <v>#NAME?</v>
      </c>
      <c r="I14" s="274"/>
      <c r="J14" s="274" t="e">
        <f t="shared" ca="1" si="0"/>
        <v>#NAME?</v>
      </c>
      <c r="K14" s="274">
        <f t="shared" si="1"/>
        <v>0</v>
      </c>
      <c r="N14" s="274"/>
    </row>
    <row r="15" spans="5:22" ht="13.5" customHeight="1">
      <c r="E15" s="209" t="s">
        <v>286</v>
      </c>
      <c r="F15" s="209" t="s">
        <v>2380</v>
      </c>
      <c r="G15" s="411" t="str">
        <f t="shared" si="2"/>
        <v>13-01</v>
      </c>
      <c r="H15" s="273" t="e">
        <f ca="1">_xludf.IFNA(VLOOKUP(Aragon!E15,'Kilter Holds'!$P$37:$AB$662,9,0),0)</f>
        <v>#NAME?</v>
      </c>
      <c r="I15" s="274"/>
      <c r="J15" s="274" t="e">
        <f t="shared" ca="1" si="0"/>
        <v>#NAME?</v>
      </c>
      <c r="K15" s="274">
        <f t="shared" si="1"/>
        <v>0</v>
      </c>
      <c r="N15" s="274"/>
    </row>
    <row r="16" spans="5:22" ht="13.5" customHeight="1">
      <c r="E16" s="209" t="s">
        <v>286</v>
      </c>
      <c r="F16" s="209" t="s">
        <v>2380</v>
      </c>
      <c r="G16" s="413" t="str">
        <f t="shared" si="2"/>
        <v>07-13</v>
      </c>
      <c r="H16" s="273" t="e">
        <f ca="1">_xludf.IFNA(VLOOKUP(Aragon!E16,'Kilter Holds'!$P$37:$AB$662,10,0),0)</f>
        <v>#NAME?</v>
      </c>
      <c r="I16" s="274"/>
      <c r="J16" s="274" t="e">
        <f t="shared" ca="1" si="0"/>
        <v>#NAME?</v>
      </c>
      <c r="K16" s="274">
        <f t="shared" si="1"/>
        <v>0</v>
      </c>
      <c r="N16" s="274"/>
    </row>
    <row r="17" spans="5:16" ht="13.5" customHeight="1">
      <c r="E17" s="209" t="s">
        <v>286</v>
      </c>
      <c r="F17" s="209" t="s">
        <v>2380</v>
      </c>
      <c r="G17" s="414" t="str">
        <f t="shared" si="2"/>
        <v>11-26</v>
      </c>
      <c r="H17" s="273" t="e">
        <f ca="1">_xludf.IFNA(VLOOKUP(Aragon!E17,'Kilter Holds'!$P$37:$AB$662,11,0),0)</f>
        <v>#NAME?</v>
      </c>
      <c r="I17" s="274"/>
      <c r="J17" s="274" t="e">
        <f t="shared" ca="1" si="0"/>
        <v>#NAME?</v>
      </c>
      <c r="K17" s="274">
        <f t="shared" si="1"/>
        <v>0</v>
      </c>
      <c r="N17" s="274"/>
    </row>
    <row r="18" spans="5:16" ht="13.5" customHeight="1">
      <c r="E18" s="209" t="s">
        <v>286</v>
      </c>
      <c r="F18" s="209" t="s">
        <v>2380</v>
      </c>
      <c r="G18" s="415" t="str">
        <f t="shared" si="2"/>
        <v>18-01</v>
      </c>
      <c r="H18" s="273" t="e">
        <f ca="1">_xludf.IFNA(VLOOKUP(Aragon!E18,'Kilter Holds'!$P$37:$AB$662,12,0),0)</f>
        <v>#NAME?</v>
      </c>
      <c r="I18" s="274"/>
      <c r="J18" s="274" t="e">
        <f t="shared" ca="1" si="0"/>
        <v>#NAME?</v>
      </c>
      <c r="K18" s="274">
        <f t="shared" si="1"/>
        <v>0</v>
      </c>
      <c r="N18" s="274"/>
    </row>
    <row r="19" spans="5:16" ht="13.5" customHeight="1">
      <c r="E19" s="209" t="s">
        <v>286</v>
      </c>
      <c r="F19" s="209" t="s">
        <v>2380</v>
      </c>
      <c r="G19" s="416" t="str">
        <f t="shared" si="2"/>
        <v>Color Code</v>
      </c>
      <c r="H19" s="273" t="e">
        <f ca="1">_xludf.IFNA(VLOOKUP(Aragon!E19,'Kilter Holds'!$P$37:$AB$662,13,0),0)</f>
        <v>#NAME?</v>
      </c>
      <c r="I19" s="274"/>
      <c r="J19" s="274" t="e">
        <f t="shared" ca="1" si="0"/>
        <v>#NAME?</v>
      </c>
      <c r="K19" s="274">
        <f t="shared" si="1"/>
        <v>0</v>
      </c>
      <c r="N19" s="274"/>
    </row>
    <row r="20" spans="5:16" ht="13.5" customHeight="1">
      <c r="E20" s="209" t="s">
        <v>964</v>
      </c>
      <c r="F20" s="209" t="s">
        <v>2382</v>
      </c>
      <c r="G20" s="406" t="str">
        <f t="shared" si="2"/>
        <v>11-12</v>
      </c>
      <c r="H20" s="273" t="e">
        <f ca="1">_xludf.IFNA(VLOOKUP(Aragon!E20,'Kilter Holds'!$P$37:$AB$662,5,0),0)</f>
        <v>#NAME?</v>
      </c>
      <c r="I20" s="274"/>
      <c r="J20" s="274" t="e">
        <f t="shared" ca="1" si="0"/>
        <v>#NAME?</v>
      </c>
      <c r="K20" s="274">
        <f t="shared" si="1"/>
        <v>0</v>
      </c>
      <c r="N20" s="274"/>
    </row>
    <row r="21" spans="5:16" ht="13.5" customHeight="1">
      <c r="E21" s="209" t="s">
        <v>964</v>
      </c>
      <c r="F21" s="209" t="s">
        <v>2382</v>
      </c>
      <c r="G21" s="408" t="str">
        <f t="shared" si="2"/>
        <v>14-01</v>
      </c>
      <c r="H21" s="273" t="e">
        <f ca="1">_xludf.IFNA(VLOOKUP(Aragon!E21,'Kilter Holds'!$P$37:$AB$662,6,0),0)</f>
        <v>#NAME?</v>
      </c>
      <c r="I21" s="274"/>
      <c r="J21" s="274" t="e">
        <f t="shared" ca="1" si="0"/>
        <v>#NAME?</v>
      </c>
      <c r="K21" s="274">
        <f t="shared" si="1"/>
        <v>0</v>
      </c>
      <c r="N21" s="274"/>
    </row>
    <row r="22" spans="5:16" ht="13.5" customHeight="1">
      <c r="E22" s="209" t="s">
        <v>964</v>
      </c>
      <c r="F22" s="209" t="s">
        <v>2382</v>
      </c>
      <c r="G22" s="409" t="str">
        <f t="shared" si="2"/>
        <v>15-12</v>
      </c>
      <c r="H22" s="273" t="e">
        <f ca="1">_xludf.IFNA(VLOOKUP(Aragon!E22,'Kilter Holds'!$P$37:$AB$662,7,0),0)</f>
        <v>#NAME?</v>
      </c>
      <c r="I22" s="274"/>
      <c r="J22" s="274" t="e">
        <f t="shared" ca="1" si="0"/>
        <v>#NAME?</v>
      </c>
      <c r="K22" s="274">
        <f t="shared" si="1"/>
        <v>0</v>
      </c>
      <c r="N22" s="274"/>
    </row>
    <row r="23" spans="5:16" ht="13.5" customHeight="1">
      <c r="E23" s="209" t="s">
        <v>964</v>
      </c>
      <c r="F23" s="209" t="s">
        <v>2382</v>
      </c>
      <c r="G23" s="410" t="str">
        <f t="shared" si="2"/>
        <v>16-16</v>
      </c>
      <c r="H23" s="273" t="e">
        <f ca="1">_xludf.IFNA(VLOOKUP(Aragon!E23,'Kilter Holds'!$P$37:$AB$662,8,0),0)</f>
        <v>#NAME?</v>
      </c>
      <c r="I23" s="274"/>
      <c r="J23" s="274" t="e">
        <f t="shared" ca="1" si="0"/>
        <v>#NAME?</v>
      </c>
      <c r="K23" s="274">
        <f t="shared" si="1"/>
        <v>0</v>
      </c>
      <c r="N23" s="274"/>
    </row>
    <row r="24" spans="5:16" ht="13.5" customHeight="1">
      <c r="E24" s="209" t="s">
        <v>964</v>
      </c>
      <c r="F24" s="209" t="s">
        <v>2382</v>
      </c>
      <c r="G24" s="411" t="str">
        <f t="shared" si="2"/>
        <v>13-01</v>
      </c>
      <c r="H24" s="273" t="e">
        <f ca="1">_xludf.IFNA(VLOOKUP(Aragon!E24,'Kilter Holds'!$P$37:$AB$662,9,0),0)</f>
        <v>#NAME?</v>
      </c>
      <c r="I24" s="274"/>
      <c r="J24" s="274" t="e">
        <f t="shared" ca="1" si="0"/>
        <v>#NAME?</v>
      </c>
      <c r="K24" s="274">
        <f t="shared" si="1"/>
        <v>0</v>
      </c>
      <c r="N24" s="274"/>
      <c r="P24" s="1"/>
    </row>
    <row r="25" spans="5:16" ht="13.5" customHeight="1">
      <c r="E25" s="209" t="s">
        <v>964</v>
      </c>
      <c r="F25" s="209" t="s">
        <v>2382</v>
      </c>
      <c r="G25" s="413" t="str">
        <f t="shared" si="2"/>
        <v>07-13</v>
      </c>
      <c r="H25" s="273" t="e">
        <f ca="1">_xludf.IFNA(VLOOKUP(Aragon!E25,'Kilter Holds'!$P$37:$AB$662,10,0),0)</f>
        <v>#NAME?</v>
      </c>
      <c r="I25" s="274"/>
      <c r="J25" s="274" t="e">
        <f t="shared" ca="1" si="0"/>
        <v>#NAME?</v>
      </c>
      <c r="K25" s="274">
        <f t="shared" si="1"/>
        <v>0</v>
      </c>
      <c r="N25" s="274"/>
    </row>
    <row r="26" spans="5:16" ht="13.5" customHeight="1">
      <c r="E26" s="209" t="s">
        <v>964</v>
      </c>
      <c r="F26" s="209" t="s">
        <v>2382</v>
      </c>
      <c r="G26" s="414" t="str">
        <f t="shared" si="2"/>
        <v>11-26</v>
      </c>
      <c r="H26" s="273" t="e">
        <f ca="1">_xludf.IFNA(VLOOKUP(Aragon!E26,'Kilter Holds'!$P$37:$AB$662,11,0),0)</f>
        <v>#NAME?</v>
      </c>
      <c r="I26" s="274"/>
      <c r="J26" s="274" t="e">
        <f t="shared" ca="1" si="0"/>
        <v>#NAME?</v>
      </c>
      <c r="K26" s="274">
        <f t="shared" si="1"/>
        <v>0</v>
      </c>
      <c r="N26" s="274"/>
      <c r="O26" s="1"/>
    </row>
    <row r="27" spans="5:16" ht="13.5" customHeight="1">
      <c r="E27" s="209" t="s">
        <v>964</v>
      </c>
      <c r="F27" s="209" t="s">
        <v>2382</v>
      </c>
      <c r="G27" s="415" t="str">
        <f t="shared" si="2"/>
        <v>18-01</v>
      </c>
      <c r="H27" s="273" t="e">
        <f ca="1">_xludf.IFNA(VLOOKUP(Aragon!E27,'Kilter Holds'!$P$37:$AB$662,12,0),0)</f>
        <v>#NAME?</v>
      </c>
      <c r="I27" s="274"/>
      <c r="J27" s="274" t="e">
        <f t="shared" ca="1" si="0"/>
        <v>#NAME?</v>
      </c>
      <c r="K27" s="274">
        <f t="shared" si="1"/>
        <v>0</v>
      </c>
      <c r="N27" s="274"/>
    </row>
    <row r="28" spans="5:16" ht="13.5" customHeight="1">
      <c r="E28" s="209" t="s">
        <v>964</v>
      </c>
      <c r="F28" s="209" t="s">
        <v>2382</v>
      </c>
      <c r="G28" s="416" t="str">
        <f t="shared" si="2"/>
        <v>Color Code</v>
      </c>
      <c r="H28" s="273" t="e">
        <f ca="1">_xludf.IFNA(VLOOKUP(Aragon!E28,'Kilter Holds'!$P$37:$AB$662,13,0),0)</f>
        <v>#NAME?</v>
      </c>
      <c r="I28" s="274"/>
      <c r="J28" s="274" t="e">
        <f t="shared" ca="1" si="0"/>
        <v>#NAME?</v>
      </c>
      <c r="K28" s="274">
        <f t="shared" si="1"/>
        <v>0</v>
      </c>
      <c r="N28" s="274"/>
    </row>
    <row r="29" spans="5:16" ht="13.5" customHeight="1">
      <c r="E29" s="209" t="s">
        <v>1157</v>
      </c>
      <c r="F29" s="209" t="s">
        <v>2383</v>
      </c>
      <c r="G29" s="406" t="str">
        <f t="shared" si="2"/>
        <v>11-12</v>
      </c>
      <c r="H29" s="273" t="e">
        <f ca="1">_xludf.IFNA(VLOOKUP(Aragon!E29,'Kilter Holds'!$P$37:$AB$662,5,0),0)</f>
        <v>#NAME?</v>
      </c>
      <c r="I29" s="274"/>
      <c r="J29" s="274" t="e">
        <f t="shared" ca="1" si="0"/>
        <v>#NAME?</v>
      </c>
      <c r="K29" s="274">
        <f t="shared" si="1"/>
        <v>0</v>
      </c>
      <c r="N29" s="274"/>
    </row>
    <row r="30" spans="5:16" ht="13.5" customHeight="1">
      <c r="E30" s="209" t="s">
        <v>1157</v>
      </c>
      <c r="F30" s="209" t="s">
        <v>2383</v>
      </c>
      <c r="G30" s="408" t="str">
        <f t="shared" si="2"/>
        <v>14-01</v>
      </c>
      <c r="H30" s="273" t="e">
        <f ca="1">_xludf.IFNA(VLOOKUP(Aragon!E30,'Kilter Holds'!$P$37:$AB$662,6,0),0)</f>
        <v>#NAME?</v>
      </c>
      <c r="I30" s="274"/>
      <c r="J30" s="274" t="e">
        <f t="shared" ca="1" si="0"/>
        <v>#NAME?</v>
      </c>
      <c r="K30" s="274">
        <f t="shared" si="1"/>
        <v>0</v>
      </c>
      <c r="N30" s="274"/>
    </row>
    <row r="31" spans="5:16" ht="13.5" customHeight="1">
      <c r="E31" s="209" t="s">
        <v>1157</v>
      </c>
      <c r="F31" s="209" t="s">
        <v>2383</v>
      </c>
      <c r="G31" s="409" t="str">
        <f t="shared" si="2"/>
        <v>15-12</v>
      </c>
      <c r="H31" s="273" t="e">
        <f ca="1">_xludf.IFNA(VLOOKUP(Aragon!E31,'Kilter Holds'!$P$37:$AB$662,7,0),0)</f>
        <v>#NAME?</v>
      </c>
      <c r="I31" s="274"/>
      <c r="J31" s="274" t="e">
        <f t="shared" ca="1" si="0"/>
        <v>#NAME?</v>
      </c>
      <c r="K31" s="274">
        <f t="shared" si="1"/>
        <v>0</v>
      </c>
      <c r="N31" s="274"/>
    </row>
    <row r="32" spans="5:16" ht="13.5" customHeight="1">
      <c r="E32" s="209" t="s">
        <v>1157</v>
      </c>
      <c r="F32" s="209" t="s">
        <v>2383</v>
      </c>
      <c r="G32" s="410" t="str">
        <f t="shared" si="2"/>
        <v>16-16</v>
      </c>
      <c r="H32" s="273" t="e">
        <f ca="1">_xludf.IFNA(VLOOKUP(Aragon!E32,'Kilter Holds'!$P$37:$AB$662,8,0),0)</f>
        <v>#NAME?</v>
      </c>
      <c r="I32" s="274"/>
      <c r="J32" s="274" t="e">
        <f t="shared" ca="1" si="0"/>
        <v>#NAME?</v>
      </c>
      <c r="K32" s="274">
        <f t="shared" si="1"/>
        <v>0</v>
      </c>
      <c r="N32" s="274"/>
    </row>
    <row r="33" spans="5:18" ht="13.5" customHeight="1">
      <c r="E33" s="209" t="s">
        <v>1157</v>
      </c>
      <c r="F33" s="209" t="s">
        <v>2383</v>
      </c>
      <c r="G33" s="411" t="str">
        <f t="shared" si="2"/>
        <v>13-01</v>
      </c>
      <c r="H33" s="273" t="e">
        <f ca="1">_xludf.IFNA(VLOOKUP(Aragon!E33,'Kilter Holds'!$P$37:$AB$662,9,0),0)</f>
        <v>#NAME?</v>
      </c>
      <c r="I33" s="274"/>
      <c r="J33" s="274" t="e">
        <f t="shared" ca="1" si="0"/>
        <v>#NAME?</v>
      </c>
      <c r="K33" s="274">
        <f t="shared" si="1"/>
        <v>0</v>
      </c>
      <c r="N33" s="274"/>
    </row>
    <row r="34" spans="5:18" ht="13.5" customHeight="1">
      <c r="E34" s="209" t="s">
        <v>1157</v>
      </c>
      <c r="F34" s="209" t="s">
        <v>2383</v>
      </c>
      <c r="G34" s="413" t="str">
        <f t="shared" si="2"/>
        <v>07-13</v>
      </c>
      <c r="H34" s="273" t="e">
        <f ca="1">_xludf.IFNA(VLOOKUP(Aragon!E34,'Kilter Holds'!$P$37:$AB$662,10,0),0)</f>
        <v>#NAME?</v>
      </c>
      <c r="I34" s="274"/>
      <c r="J34" s="274" t="e">
        <f t="shared" ca="1" si="0"/>
        <v>#NAME?</v>
      </c>
      <c r="K34" s="274">
        <f t="shared" si="1"/>
        <v>0</v>
      </c>
      <c r="N34" s="274"/>
    </row>
    <row r="35" spans="5:18" ht="13.5" customHeight="1">
      <c r="E35" s="209" t="s">
        <v>1157</v>
      </c>
      <c r="F35" s="209" t="s">
        <v>2383</v>
      </c>
      <c r="G35" s="414" t="str">
        <f t="shared" si="2"/>
        <v>11-26</v>
      </c>
      <c r="H35" s="273" t="e">
        <f ca="1">_xludf.IFNA(VLOOKUP(Aragon!E35,'Kilter Holds'!$P$37:$AB$662,11,0),0)</f>
        <v>#NAME?</v>
      </c>
      <c r="I35" s="274"/>
      <c r="J35" s="274" t="e">
        <f t="shared" ca="1" si="0"/>
        <v>#NAME?</v>
      </c>
      <c r="K35" s="274">
        <f t="shared" si="1"/>
        <v>0</v>
      </c>
      <c r="N35" s="274"/>
    </row>
    <row r="36" spans="5:18" ht="13.5" customHeight="1">
      <c r="E36" s="209" t="s">
        <v>1157</v>
      </c>
      <c r="F36" s="209" t="s">
        <v>2383</v>
      </c>
      <c r="G36" s="415" t="str">
        <f t="shared" si="2"/>
        <v>18-01</v>
      </c>
      <c r="H36" s="273" t="e">
        <f ca="1">_xludf.IFNA(VLOOKUP(Aragon!E36,'Kilter Holds'!$P$37:$AB$662,12,0),0)</f>
        <v>#NAME?</v>
      </c>
      <c r="I36" s="274"/>
      <c r="J36" s="274" t="e">
        <f t="shared" ca="1" si="0"/>
        <v>#NAME?</v>
      </c>
      <c r="K36" s="274">
        <f t="shared" si="1"/>
        <v>0</v>
      </c>
      <c r="N36" s="274"/>
      <c r="R36" s="274"/>
    </row>
    <row r="37" spans="5:18" ht="13.5" customHeight="1">
      <c r="E37" s="209" t="s">
        <v>1157</v>
      </c>
      <c r="F37" s="209" t="s">
        <v>2383</v>
      </c>
      <c r="G37" s="416" t="str">
        <f t="shared" si="2"/>
        <v>Color Code</v>
      </c>
      <c r="H37" s="273" t="e">
        <f ca="1">_xludf.IFNA(VLOOKUP(Aragon!E37,'Kilter Holds'!$P$37:$AB$662,13,0),0)</f>
        <v>#NAME?</v>
      </c>
      <c r="I37" s="274"/>
      <c r="J37" s="274" t="e">
        <f t="shared" ca="1" si="0"/>
        <v>#NAME?</v>
      </c>
      <c r="K37" s="274">
        <f t="shared" si="1"/>
        <v>0</v>
      </c>
      <c r="N37" s="274"/>
    </row>
    <row r="38" spans="5:18" ht="13.5" customHeight="1">
      <c r="E38" s="209" t="s">
        <v>1095</v>
      </c>
      <c r="F38" s="209" t="s">
        <v>2384</v>
      </c>
      <c r="G38" s="406" t="str">
        <f t="shared" si="2"/>
        <v>11-12</v>
      </c>
      <c r="H38" s="273" t="e">
        <f ca="1">_xludf.IFNA(VLOOKUP(Aragon!E38,'Kilter Holds'!$P$37:$AB$662,5,0),0)</f>
        <v>#NAME?</v>
      </c>
      <c r="I38" s="274"/>
      <c r="J38" s="274" t="e">
        <f t="shared" ca="1" si="0"/>
        <v>#NAME?</v>
      </c>
      <c r="K38" s="274">
        <f t="shared" si="1"/>
        <v>0</v>
      </c>
      <c r="N38" s="274"/>
    </row>
    <row r="39" spans="5:18" ht="13.5" customHeight="1">
      <c r="E39" s="209" t="s">
        <v>1095</v>
      </c>
      <c r="F39" s="209" t="s">
        <v>2384</v>
      </c>
      <c r="G39" s="408" t="str">
        <f t="shared" si="2"/>
        <v>14-01</v>
      </c>
      <c r="H39" s="273" t="e">
        <f ca="1">_xludf.IFNA(VLOOKUP(Aragon!E39,'Kilter Holds'!$P$37:$AB$662,6,0),0)</f>
        <v>#NAME?</v>
      </c>
      <c r="I39" s="274"/>
      <c r="J39" s="274" t="e">
        <f t="shared" ca="1" si="0"/>
        <v>#NAME?</v>
      </c>
      <c r="K39" s="274">
        <f t="shared" si="1"/>
        <v>0</v>
      </c>
      <c r="N39" s="274"/>
    </row>
    <row r="40" spans="5:18" ht="13.5" customHeight="1">
      <c r="E40" s="209" t="s">
        <v>1095</v>
      </c>
      <c r="F40" s="209" t="s">
        <v>2384</v>
      </c>
      <c r="G40" s="409" t="str">
        <f t="shared" si="2"/>
        <v>15-12</v>
      </c>
      <c r="H40" s="273" t="e">
        <f ca="1">_xludf.IFNA(VLOOKUP(Aragon!E40,'Kilter Holds'!$P$37:$AB$662,7,0),0)</f>
        <v>#NAME?</v>
      </c>
      <c r="I40" s="274"/>
      <c r="J40" s="274" t="e">
        <f t="shared" ca="1" si="0"/>
        <v>#NAME?</v>
      </c>
      <c r="K40" s="274">
        <f t="shared" si="1"/>
        <v>0</v>
      </c>
      <c r="N40" s="274"/>
    </row>
    <row r="41" spans="5:18" ht="13.5" customHeight="1">
      <c r="E41" s="209" t="s">
        <v>1095</v>
      </c>
      <c r="F41" s="209" t="s">
        <v>2384</v>
      </c>
      <c r="G41" s="410" t="str">
        <f t="shared" si="2"/>
        <v>16-16</v>
      </c>
      <c r="H41" s="273" t="e">
        <f ca="1">_xludf.IFNA(VLOOKUP(Aragon!E41,'Kilter Holds'!$P$37:$AB$662,8,0),0)</f>
        <v>#NAME?</v>
      </c>
      <c r="I41" s="274"/>
      <c r="J41" s="274" t="e">
        <f t="shared" ca="1" si="0"/>
        <v>#NAME?</v>
      </c>
      <c r="K41" s="274">
        <f t="shared" si="1"/>
        <v>0</v>
      </c>
      <c r="N41" s="274"/>
      <c r="R41" s="417"/>
    </row>
    <row r="42" spans="5:18" ht="13.5" customHeight="1">
      <c r="E42" s="209" t="s">
        <v>1095</v>
      </c>
      <c r="F42" s="209" t="s">
        <v>2384</v>
      </c>
      <c r="G42" s="411" t="str">
        <f t="shared" si="2"/>
        <v>13-01</v>
      </c>
      <c r="H42" s="273" t="e">
        <f ca="1">_xludf.IFNA(VLOOKUP(Aragon!E42,'Kilter Holds'!$P$37:$AB$662,9,0),0)</f>
        <v>#NAME?</v>
      </c>
      <c r="I42" s="274"/>
      <c r="J42" s="274" t="e">
        <f t="shared" ca="1" si="0"/>
        <v>#NAME?</v>
      </c>
      <c r="K42" s="274">
        <f t="shared" si="1"/>
        <v>0</v>
      </c>
      <c r="N42" s="274"/>
      <c r="R42" s="417"/>
    </row>
    <row r="43" spans="5:18" ht="13.5" customHeight="1">
      <c r="E43" s="209" t="s">
        <v>1095</v>
      </c>
      <c r="F43" s="209" t="s">
        <v>2384</v>
      </c>
      <c r="G43" s="413" t="str">
        <f t="shared" si="2"/>
        <v>07-13</v>
      </c>
      <c r="H43" s="273" t="e">
        <f ca="1">_xludf.IFNA(VLOOKUP(Aragon!E43,'Kilter Holds'!$P$37:$AB$662,10,0),0)</f>
        <v>#NAME?</v>
      </c>
      <c r="I43" s="274"/>
      <c r="J43" s="274" t="e">
        <f t="shared" ca="1" si="0"/>
        <v>#NAME?</v>
      </c>
      <c r="K43" s="274">
        <f t="shared" si="1"/>
        <v>0</v>
      </c>
      <c r="N43" s="274"/>
    </row>
    <row r="44" spans="5:18" ht="13.5" customHeight="1">
      <c r="E44" s="209" t="s">
        <v>1095</v>
      </c>
      <c r="F44" s="209" t="s">
        <v>2384</v>
      </c>
      <c r="G44" s="414" t="str">
        <f t="shared" si="2"/>
        <v>11-26</v>
      </c>
      <c r="H44" s="273" t="e">
        <f ca="1">_xludf.IFNA(VLOOKUP(Aragon!E44,'Kilter Holds'!$P$37:$AB$662,11,0),0)</f>
        <v>#NAME?</v>
      </c>
      <c r="I44" s="274"/>
      <c r="J44" s="274" t="e">
        <f t="shared" ca="1" si="0"/>
        <v>#NAME?</v>
      </c>
      <c r="K44" s="274">
        <f t="shared" si="1"/>
        <v>0</v>
      </c>
      <c r="N44" s="274"/>
    </row>
    <row r="45" spans="5:18" ht="13.5" customHeight="1">
      <c r="E45" s="209" t="s">
        <v>1095</v>
      </c>
      <c r="F45" s="209" t="s">
        <v>2384</v>
      </c>
      <c r="G45" s="415" t="str">
        <f t="shared" si="2"/>
        <v>18-01</v>
      </c>
      <c r="H45" s="273" t="e">
        <f ca="1">_xludf.IFNA(VLOOKUP(Aragon!E45,'Kilter Holds'!$P$37:$AB$662,12,0),0)</f>
        <v>#NAME?</v>
      </c>
      <c r="I45" s="274"/>
      <c r="J45" s="274" t="e">
        <f t="shared" ca="1" si="0"/>
        <v>#NAME?</v>
      </c>
      <c r="K45" s="274">
        <f t="shared" si="1"/>
        <v>0</v>
      </c>
      <c r="N45" s="274"/>
    </row>
    <row r="46" spans="5:18" ht="13.5" customHeight="1">
      <c r="E46" s="209" t="s">
        <v>1095</v>
      </c>
      <c r="F46" s="209" t="s">
        <v>2384</v>
      </c>
      <c r="G46" s="416" t="str">
        <f t="shared" si="2"/>
        <v>Color Code</v>
      </c>
      <c r="H46" s="273" t="e">
        <f ca="1">_xludf.IFNA(VLOOKUP(Aragon!E46,'Kilter Holds'!$P$37:$AB$662,13,0),0)</f>
        <v>#NAME?</v>
      </c>
      <c r="I46" s="274"/>
      <c r="J46" s="274" t="e">
        <f t="shared" ca="1" si="0"/>
        <v>#NAME?</v>
      </c>
      <c r="K46" s="274">
        <f t="shared" si="1"/>
        <v>0</v>
      </c>
      <c r="N46" s="274"/>
    </row>
    <row r="47" spans="5:18" ht="13.5" customHeight="1">
      <c r="E47" s="209" t="s">
        <v>1097</v>
      </c>
      <c r="F47" s="209" t="s">
        <v>2385</v>
      </c>
      <c r="G47" s="406" t="str">
        <f t="shared" si="2"/>
        <v>11-12</v>
      </c>
      <c r="H47" s="273" t="e">
        <f ca="1">_xludf.IFNA(VLOOKUP(Aragon!E47,'Kilter Holds'!$P$37:$AB$662,5,0),0)</f>
        <v>#NAME?</v>
      </c>
      <c r="I47" s="274"/>
      <c r="J47" s="274" t="e">
        <f t="shared" ca="1" si="0"/>
        <v>#NAME?</v>
      </c>
      <c r="K47" s="274">
        <f t="shared" si="1"/>
        <v>0</v>
      </c>
      <c r="N47" s="274"/>
    </row>
    <row r="48" spans="5:18" ht="13.5" customHeight="1">
      <c r="E48" s="209" t="s">
        <v>1097</v>
      </c>
      <c r="F48" s="209" t="s">
        <v>2385</v>
      </c>
      <c r="G48" s="408" t="str">
        <f t="shared" si="2"/>
        <v>14-01</v>
      </c>
      <c r="H48" s="273" t="e">
        <f ca="1">_xludf.IFNA(VLOOKUP(Aragon!E48,'Kilter Holds'!$P$37:$AB$662,6,0),0)</f>
        <v>#NAME?</v>
      </c>
      <c r="I48" s="274"/>
      <c r="J48" s="274" t="e">
        <f t="shared" ca="1" si="0"/>
        <v>#NAME?</v>
      </c>
      <c r="K48" s="274">
        <f t="shared" si="1"/>
        <v>0</v>
      </c>
      <c r="N48" s="274"/>
    </row>
    <row r="49" spans="5:14" ht="13.5" customHeight="1">
      <c r="E49" s="209" t="s">
        <v>1097</v>
      </c>
      <c r="F49" s="209" t="s">
        <v>2385</v>
      </c>
      <c r="G49" s="409" t="str">
        <f t="shared" si="2"/>
        <v>15-12</v>
      </c>
      <c r="H49" s="273" t="e">
        <f ca="1">_xludf.IFNA(VLOOKUP(Aragon!E49,'Kilter Holds'!$P$37:$AB$662,7,0),0)</f>
        <v>#NAME?</v>
      </c>
      <c r="I49" s="274"/>
      <c r="J49" s="274" t="e">
        <f t="shared" ca="1" si="0"/>
        <v>#NAME?</v>
      </c>
      <c r="K49" s="274">
        <f t="shared" si="1"/>
        <v>0</v>
      </c>
      <c r="N49" s="274"/>
    </row>
    <row r="50" spans="5:14" ht="13.5" customHeight="1">
      <c r="E50" s="209" t="s">
        <v>1097</v>
      </c>
      <c r="F50" s="209" t="s">
        <v>2385</v>
      </c>
      <c r="G50" s="410" t="str">
        <f t="shared" si="2"/>
        <v>16-16</v>
      </c>
      <c r="H50" s="273" t="e">
        <f ca="1">_xludf.IFNA(VLOOKUP(Aragon!E50,'Kilter Holds'!$P$37:$AB$662,8,0),0)</f>
        <v>#NAME?</v>
      </c>
      <c r="I50" s="274"/>
      <c r="J50" s="274" t="e">
        <f t="shared" ca="1" si="0"/>
        <v>#NAME?</v>
      </c>
      <c r="K50" s="274">
        <f t="shared" si="1"/>
        <v>0</v>
      </c>
      <c r="N50" s="274"/>
    </row>
    <row r="51" spans="5:14" ht="13.5" customHeight="1">
      <c r="E51" s="209" t="s">
        <v>1097</v>
      </c>
      <c r="F51" s="209" t="s">
        <v>2385</v>
      </c>
      <c r="G51" s="411" t="str">
        <f t="shared" si="2"/>
        <v>13-01</v>
      </c>
      <c r="H51" s="273" t="e">
        <f ca="1">_xludf.IFNA(VLOOKUP(Aragon!E51,'Kilter Holds'!$P$37:$AB$662,9,0),0)</f>
        <v>#NAME?</v>
      </c>
      <c r="I51" s="274"/>
      <c r="J51" s="274" t="e">
        <f t="shared" ca="1" si="0"/>
        <v>#NAME?</v>
      </c>
      <c r="K51" s="274">
        <f t="shared" si="1"/>
        <v>0</v>
      </c>
      <c r="N51" s="274"/>
    </row>
    <row r="52" spans="5:14" ht="13.5" customHeight="1">
      <c r="E52" s="209" t="s">
        <v>1097</v>
      </c>
      <c r="F52" s="209" t="s">
        <v>2385</v>
      </c>
      <c r="G52" s="413" t="str">
        <f t="shared" si="2"/>
        <v>07-13</v>
      </c>
      <c r="H52" s="273" t="e">
        <f ca="1">_xludf.IFNA(VLOOKUP(Aragon!E52,'Kilter Holds'!$P$37:$AB$662,10,0),0)</f>
        <v>#NAME?</v>
      </c>
      <c r="I52" s="274"/>
      <c r="J52" s="274" t="e">
        <f t="shared" ca="1" si="0"/>
        <v>#NAME?</v>
      </c>
      <c r="K52" s="274">
        <f t="shared" si="1"/>
        <v>0</v>
      </c>
      <c r="N52" s="274"/>
    </row>
    <row r="53" spans="5:14" ht="13.5" customHeight="1">
      <c r="E53" s="209" t="s">
        <v>1097</v>
      </c>
      <c r="F53" s="209" t="s">
        <v>2385</v>
      </c>
      <c r="G53" s="414" t="str">
        <f t="shared" si="2"/>
        <v>11-26</v>
      </c>
      <c r="H53" s="273" t="e">
        <f ca="1">_xludf.IFNA(VLOOKUP(Aragon!E53,'Kilter Holds'!$P$37:$AB$662,11,0),0)</f>
        <v>#NAME?</v>
      </c>
      <c r="I53" s="274"/>
      <c r="J53" s="274" t="e">
        <f t="shared" ca="1" si="0"/>
        <v>#NAME?</v>
      </c>
      <c r="K53" s="274">
        <f t="shared" si="1"/>
        <v>0</v>
      </c>
      <c r="N53" s="274"/>
    </row>
    <row r="54" spans="5:14" ht="13.5" customHeight="1">
      <c r="E54" s="209" t="s">
        <v>1097</v>
      </c>
      <c r="F54" s="209" t="s">
        <v>2385</v>
      </c>
      <c r="G54" s="415" t="str">
        <f t="shared" si="2"/>
        <v>18-01</v>
      </c>
      <c r="H54" s="273" t="e">
        <f ca="1">_xludf.IFNA(VLOOKUP(Aragon!E54,'Kilter Holds'!$P$37:$AB$662,12,0),0)</f>
        <v>#NAME?</v>
      </c>
      <c r="I54" s="274"/>
      <c r="J54" s="274" t="e">
        <f t="shared" ca="1" si="0"/>
        <v>#NAME?</v>
      </c>
      <c r="K54" s="274">
        <f t="shared" si="1"/>
        <v>0</v>
      </c>
      <c r="N54" s="274"/>
    </row>
    <row r="55" spans="5:14" ht="13.5" customHeight="1">
      <c r="E55" s="209" t="s">
        <v>1097</v>
      </c>
      <c r="F55" s="209" t="s">
        <v>2385</v>
      </c>
      <c r="G55" s="416" t="str">
        <f t="shared" si="2"/>
        <v>Color Code</v>
      </c>
      <c r="H55" s="273" t="e">
        <f ca="1">_xludf.IFNA(VLOOKUP(Aragon!E55,'Kilter Holds'!$P$37:$AB$662,13,0),0)</f>
        <v>#NAME?</v>
      </c>
      <c r="I55" s="274"/>
      <c r="J55" s="274" t="e">
        <f t="shared" ca="1" si="0"/>
        <v>#NAME?</v>
      </c>
      <c r="K55" s="274">
        <f t="shared" si="1"/>
        <v>0</v>
      </c>
      <c r="N55" s="274"/>
    </row>
    <row r="56" spans="5:14" ht="13.5" customHeight="1">
      <c r="E56" s="209" t="s">
        <v>948</v>
      </c>
      <c r="F56" s="209" t="s">
        <v>2386</v>
      </c>
      <c r="G56" s="406" t="str">
        <f t="shared" si="2"/>
        <v>11-12</v>
      </c>
      <c r="H56" s="273" t="e">
        <f ca="1">_xludf.IFNA(VLOOKUP(Aragon!E56,'Kilter Holds'!$P$37:$AB$662,5,0),0)</f>
        <v>#NAME?</v>
      </c>
      <c r="I56" s="274"/>
      <c r="J56" s="274" t="e">
        <f t="shared" ca="1" si="0"/>
        <v>#NAME?</v>
      </c>
      <c r="K56" s="274">
        <f t="shared" si="1"/>
        <v>0</v>
      </c>
      <c r="N56" s="274"/>
    </row>
    <row r="57" spans="5:14" ht="13.5" customHeight="1">
      <c r="E57" s="209" t="s">
        <v>948</v>
      </c>
      <c r="F57" s="209" t="s">
        <v>2386</v>
      </c>
      <c r="G57" s="408" t="str">
        <f t="shared" si="2"/>
        <v>14-01</v>
      </c>
      <c r="H57" s="273" t="e">
        <f ca="1">_xludf.IFNA(VLOOKUP(Aragon!E57,'Kilter Holds'!$P$37:$AB$662,6,0),0)</f>
        <v>#NAME?</v>
      </c>
      <c r="I57" s="274"/>
      <c r="J57" s="274" t="e">
        <f t="shared" ca="1" si="0"/>
        <v>#NAME?</v>
      </c>
      <c r="K57" s="274">
        <f t="shared" si="1"/>
        <v>0</v>
      </c>
      <c r="N57" s="274"/>
    </row>
    <row r="58" spans="5:14" ht="13.5" customHeight="1">
      <c r="E58" s="209" t="s">
        <v>948</v>
      </c>
      <c r="F58" s="209" t="s">
        <v>2386</v>
      </c>
      <c r="G58" s="409" t="str">
        <f t="shared" si="2"/>
        <v>15-12</v>
      </c>
      <c r="H58" s="273" t="e">
        <f ca="1">_xludf.IFNA(VLOOKUP(Aragon!E58,'Kilter Holds'!$P$37:$AB$662,7,0),0)</f>
        <v>#NAME?</v>
      </c>
      <c r="I58" s="274"/>
      <c r="J58" s="274" t="e">
        <f t="shared" ca="1" si="0"/>
        <v>#NAME?</v>
      </c>
      <c r="K58" s="274">
        <f t="shared" si="1"/>
        <v>0</v>
      </c>
      <c r="N58" s="274"/>
    </row>
    <row r="59" spans="5:14" ht="13.5" customHeight="1">
      <c r="E59" s="209" t="s">
        <v>948</v>
      </c>
      <c r="F59" s="209" t="s">
        <v>2386</v>
      </c>
      <c r="G59" s="410" t="str">
        <f t="shared" si="2"/>
        <v>16-16</v>
      </c>
      <c r="H59" s="273" t="e">
        <f ca="1">_xludf.IFNA(VLOOKUP(Aragon!E59,'Kilter Holds'!$P$37:$AB$662,8,0),0)</f>
        <v>#NAME?</v>
      </c>
      <c r="I59" s="274"/>
      <c r="J59" s="274" t="e">
        <f t="shared" ca="1" si="0"/>
        <v>#NAME?</v>
      </c>
      <c r="K59" s="274">
        <f t="shared" si="1"/>
        <v>0</v>
      </c>
      <c r="N59" s="274"/>
    </row>
    <row r="60" spans="5:14" ht="13.5" customHeight="1">
      <c r="E60" s="209" t="s">
        <v>948</v>
      </c>
      <c r="F60" s="209" t="s">
        <v>2386</v>
      </c>
      <c r="G60" s="411" t="str">
        <f t="shared" si="2"/>
        <v>13-01</v>
      </c>
      <c r="H60" s="273" t="e">
        <f ca="1">_xludf.IFNA(VLOOKUP(Aragon!E60,'Kilter Holds'!$P$37:$AB$662,9,0),0)</f>
        <v>#NAME?</v>
      </c>
      <c r="I60" s="274"/>
      <c r="J60" s="274" t="e">
        <f t="shared" ca="1" si="0"/>
        <v>#NAME?</v>
      </c>
      <c r="K60" s="274">
        <f t="shared" si="1"/>
        <v>0</v>
      </c>
      <c r="N60" s="274"/>
    </row>
    <row r="61" spans="5:14" ht="13.5" customHeight="1">
      <c r="E61" s="209" t="s">
        <v>948</v>
      </c>
      <c r="F61" s="209" t="s">
        <v>2386</v>
      </c>
      <c r="G61" s="413" t="str">
        <f t="shared" si="2"/>
        <v>07-13</v>
      </c>
      <c r="H61" s="273" t="e">
        <f ca="1">_xludf.IFNA(VLOOKUP(Aragon!E61,'Kilter Holds'!$P$37:$AB$662,10,0),0)</f>
        <v>#NAME?</v>
      </c>
      <c r="I61" s="274"/>
      <c r="J61" s="274" t="e">
        <f t="shared" ca="1" si="0"/>
        <v>#NAME?</v>
      </c>
      <c r="K61" s="274">
        <f t="shared" si="1"/>
        <v>0</v>
      </c>
      <c r="N61" s="274"/>
    </row>
    <row r="62" spans="5:14" ht="13.5" customHeight="1">
      <c r="E62" s="209" t="s">
        <v>948</v>
      </c>
      <c r="F62" s="209" t="s">
        <v>2386</v>
      </c>
      <c r="G62" s="414" t="str">
        <f t="shared" si="2"/>
        <v>11-26</v>
      </c>
      <c r="H62" s="273" t="e">
        <f ca="1">_xludf.IFNA(VLOOKUP(Aragon!E62,'Kilter Holds'!$P$37:$AB$662,11,0),0)</f>
        <v>#NAME?</v>
      </c>
      <c r="I62" s="274"/>
      <c r="J62" s="274" t="e">
        <f t="shared" ca="1" si="0"/>
        <v>#NAME?</v>
      </c>
      <c r="K62" s="274">
        <f t="shared" si="1"/>
        <v>0</v>
      </c>
      <c r="N62" s="274"/>
    </row>
    <row r="63" spans="5:14" ht="13.5" customHeight="1">
      <c r="E63" s="209" t="s">
        <v>948</v>
      </c>
      <c r="F63" s="209" t="s">
        <v>2386</v>
      </c>
      <c r="G63" s="415" t="str">
        <f t="shared" si="2"/>
        <v>18-01</v>
      </c>
      <c r="H63" s="273" t="e">
        <f ca="1">_xludf.IFNA(VLOOKUP(Aragon!E63,'Kilter Holds'!$P$37:$AB$662,12,0),0)</f>
        <v>#NAME?</v>
      </c>
      <c r="I63" s="274"/>
      <c r="J63" s="274" t="e">
        <f t="shared" ca="1" si="0"/>
        <v>#NAME?</v>
      </c>
      <c r="K63" s="274">
        <f t="shared" si="1"/>
        <v>0</v>
      </c>
      <c r="N63" s="274"/>
    </row>
    <row r="64" spans="5:14" ht="13.5" customHeight="1">
      <c r="E64" s="209" t="s">
        <v>948</v>
      </c>
      <c r="F64" s="209" t="s">
        <v>2386</v>
      </c>
      <c r="G64" s="416" t="str">
        <f t="shared" si="2"/>
        <v>Color Code</v>
      </c>
      <c r="H64" s="273" t="e">
        <f ca="1">_xludf.IFNA(VLOOKUP(Aragon!E64,'Kilter Holds'!$P$37:$AB$662,13,0),0)</f>
        <v>#NAME?</v>
      </c>
      <c r="I64" s="274"/>
      <c r="J64" s="274" t="e">
        <f t="shared" ca="1" si="0"/>
        <v>#NAME?</v>
      </c>
      <c r="K64" s="274">
        <f t="shared" si="1"/>
        <v>0</v>
      </c>
      <c r="N64" s="274"/>
    </row>
    <row r="65" spans="5:14" ht="13.5" customHeight="1">
      <c r="E65" s="209" t="s">
        <v>950</v>
      </c>
      <c r="F65" s="209" t="s">
        <v>2387</v>
      </c>
      <c r="G65" s="406" t="str">
        <f t="shared" si="2"/>
        <v>11-12</v>
      </c>
      <c r="H65" s="273" t="e">
        <f ca="1">_xludf.IFNA(VLOOKUP(Aragon!E65,'Kilter Holds'!$P$37:$AB$662,5,0),0)</f>
        <v>#NAME?</v>
      </c>
      <c r="I65" s="274"/>
      <c r="J65" s="274" t="e">
        <f t="shared" ca="1" si="0"/>
        <v>#NAME?</v>
      </c>
      <c r="K65" s="274">
        <f t="shared" si="1"/>
        <v>0</v>
      </c>
      <c r="N65" s="274"/>
    </row>
    <row r="66" spans="5:14" ht="13.5" customHeight="1">
      <c r="E66" s="209" t="s">
        <v>950</v>
      </c>
      <c r="F66" s="209" t="s">
        <v>2387</v>
      </c>
      <c r="G66" s="408" t="str">
        <f t="shared" si="2"/>
        <v>14-01</v>
      </c>
      <c r="H66" s="273" t="e">
        <f ca="1">_xludf.IFNA(VLOOKUP(Aragon!E66,'Kilter Holds'!$P$37:$AB$662,6,0),0)</f>
        <v>#NAME?</v>
      </c>
      <c r="I66" s="274"/>
      <c r="J66" s="274" t="e">
        <f t="shared" ca="1" si="0"/>
        <v>#NAME?</v>
      </c>
      <c r="K66" s="274">
        <f t="shared" si="1"/>
        <v>0</v>
      </c>
      <c r="N66" s="274"/>
    </row>
    <row r="67" spans="5:14" ht="13.5" customHeight="1">
      <c r="E67" s="209" t="s">
        <v>950</v>
      </c>
      <c r="F67" s="209" t="s">
        <v>2387</v>
      </c>
      <c r="G67" s="409" t="str">
        <f t="shared" si="2"/>
        <v>15-12</v>
      </c>
      <c r="H67" s="273" t="e">
        <f ca="1">_xludf.IFNA(VLOOKUP(Aragon!E67,'Kilter Holds'!$P$37:$AB$662,7,0),0)</f>
        <v>#NAME?</v>
      </c>
      <c r="I67" s="274"/>
      <c r="J67" s="274" t="e">
        <f t="shared" ca="1" si="0"/>
        <v>#NAME?</v>
      </c>
      <c r="K67" s="274">
        <f t="shared" si="1"/>
        <v>0</v>
      </c>
      <c r="N67" s="274"/>
    </row>
    <row r="68" spans="5:14" ht="13.5" customHeight="1">
      <c r="E68" s="209" t="s">
        <v>950</v>
      </c>
      <c r="F68" s="209" t="s">
        <v>2387</v>
      </c>
      <c r="G68" s="410" t="str">
        <f t="shared" si="2"/>
        <v>16-16</v>
      </c>
      <c r="H68" s="273" t="e">
        <f ca="1">_xludf.IFNA(VLOOKUP(Aragon!E68,'Kilter Holds'!$P$37:$AB$662,8,0),0)</f>
        <v>#NAME?</v>
      </c>
      <c r="I68" s="274"/>
      <c r="J68" s="274" t="e">
        <f t="shared" ca="1" si="0"/>
        <v>#NAME?</v>
      </c>
      <c r="K68" s="274">
        <f t="shared" si="1"/>
        <v>0</v>
      </c>
      <c r="N68" s="274"/>
    </row>
    <row r="69" spans="5:14" ht="13.5" customHeight="1">
      <c r="E69" s="209" t="s">
        <v>950</v>
      </c>
      <c r="F69" s="209" t="s">
        <v>2387</v>
      </c>
      <c r="G69" s="411" t="str">
        <f t="shared" si="2"/>
        <v>13-01</v>
      </c>
      <c r="H69" s="273" t="e">
        <f ca="1">_xludf.IFNA(VLOOKUP(Aragon!E69,'Kilter Holds'!$P$37:$AB$662,9,0),0)</f>
        <v>#NAME?</v>
      </c>
      <c r="I69" s="274"/>
      <c r="J69" s="274" t="e">
        <f t="shared" ca="1" si="0"/>
        <v>#NAME?</v>
      </c>
      <c r="K69" s="274">
        <f t="shared" si="1"/>
        <v>0</v>
      </c>
      <c r="N69" s="274"/>
    </row>
    <row r="70" spans="5:14" ht="13.5" customHeight="1">
      <c r="E70" s="209" t="s">
        <v>950</v>
      </c>
      <c r="F70" s="209" t="s">
        <v>2387</v>
      </c>
      <c r="G70" s="413" t="str">
        <f t="shared" si="2"/>
        <v>07-13</v>
      </c>
      <c r="H70" s="273" t="e">
        <f ca="1">_xludf.IFNA(VLOOKUP(Aragon!E70,'Kilter Holds'!$P$37:$AB$662,10,0),0)</f>
        <v>#NAME?</v>
      </c>
      <c r="I70" s="274"/>
      <c r="J70" s="274" t="e">
        <f t="shared" ca="1" si="0"/>
        <v>#NAME?</v>
      </c>
      <c r="K70" s="274">
        <f t="shared" si="1"/>
        <v>0</v>
      </c>
      <c r="N70" s="274"/>
    </row>
    <row r="71" spans="5:14" ht="13.5" customHeight="1">
      <c r="E71" s="209" t="s">
        <v>950</v>
      </c>
      <c r="F71" s="209" t="s">
        <v>2387</v>
      </c>
      <c r="G71" s="414" t="str">
        <f t="shared" si="2"/>
        <v>11-26</v>
      </c>
      <c r="H71" s="273" t="e">
        <f ca="1">_xludf.IFNA(VLOOKUP(Aragon!E71,'Kilter Holds'!$P$37:$AB$662,11,0),0)</f>
        <v>#NAME?</v>
      </c>
      <c r="I71" s="274"/>
      <c r="J71" s="274" t="e">
        <f t="shared" ca="1" si="0"/>
        <v>#NAME?</v>
      </c>
      <c r="K71" s="274">
        <f t="shared" si="1"/>
        <v>0</v>
      </c>
      <c r="N71" s="274"/>
    </row>
    <row r="72" spans="5:14" ht="13.5" customHeight="1">
      <c r="E72" s="209" t="s">
        <v>950</v>
      </c>
      <c r="F72" s="209" t="s">
        <v>2387</v>
      </c>
      <c r="G72" s="415" t="str">
        <f t="shared" si="2"/>
        <v>18-01</v>
      </c>
      <c r="H72" s="273" t="e">
        <f ca="1">_xludf.IFNA(VLOOKUP(Aragon!E72,'Kilter Holds'!$P$37:$AB$662,12,0),0)</f>
        <v>#NAME?</v>
      </c>
      <c r="I72" s="274"/>
      <c r="J72" s="274" t="e">
        <f t="shared" ca="1" si="0"/>
        <v>#NAME?</v>
      </c>
      <c r="K72" s="274">
        <f t="shared" si="1"/>
        <v>0</v>
      </c>
      <c r="N72" s="274"/>
    </row>
    <row r="73" spans="5:14" ht="13.5" customHeight="1">
      <c r="E73" s="209" t="s">
        <v>950</v>
      </c>
      <c r="F73" s="209" t="s">
        <v>2387</v>
      </c>
      <c r="G73" s="416" t="str">
        <f t="shared" si="2"/>
        <v>Color Code</v>
      </c>
      <c r="H73" s="273" t="e">
        <f ca="1">_xludf.IFNA(VLOOKUP(Aragon!E73,'Kilter Holds'!$P$37:$AB$662,13,0),0)</f>
        <v>#NAME?</v>
      </c>
      <c r="I73" s="274"/>
      <c r="J73" s="274" t="e">
        <f t="shared" ca="1" si="0"/>
        <v>#NAME?</v>
      </c>
      <c r="K73" s="274">
        <f t="shared" si="1"/>
        <v>0</v>
      </c>
      <c r="N73" s="274"/>
    </row>
    <row r="74" spans="5:14" ht="13.5" customHeight="1">
      <c r="E74" s="209" t="s">
        <v>966</v>
      </c>
      <c r="F74" s="209" t="s">
        <v>2388</v>
      </c>
      <c r="G74" s="406" t="str">
        <f t="shared" si="2"/>
        <v>11-12</v>
      </c>
      <c r="H74" s="273" t="e">
        <f ca="1">_xludf.IFNA(VLOOKUP(Aragon!E74,'Kilter Holds'!$P$37:$AB$662,5,0),0)</f>
        <v>#NAME?</v>
      </c>
      <c r="I74" s="274"/>
      <c r="J74" s="274" t="e">
        <f t="shared" ca="1" si="0"/>
        <v>#NAME?</v>
      </c>
      <c r="K74" s="274">
        <f t="shared" si="1"/>
        <v>0</v>
      </c>
      <c r="N74" s="274"/>
    </row>
    <row r="75" spans="5:14" ht="13.5" customHeight="1">
      <c r="E75" s="209" t="s">
        <v>966</v>
      </c>
      <c r="F75" s="209" t="s">
        <v>2388</v>
      </c>
      <c r="G75" s="408" t="str">
        <f t="shared" si="2"/>
        <v>14-01</v>
      </c>
      <c r="H75" s="273" t="e">
        <f ca="1">_xludf.IFNA(VLOOKUP(Aragon!E75,'Kilter Holds'!$P$37:$AB$662,6,0),0)</f>
        <v>#NAME?</v>
      </c>
      <c r="I75" s="274"/>
      <c r="J75" s="274" t="e">
        <f t="shared" ca="1" si="0"/>
        <v>#NAME?</v>
      </c>
      <c r="K75" s="274">
        <f t="shared" si="1"/>
        <v>0</v>
      </c>
      <c r="N75" s="274"/>
    </row>
    <row r="76" spans="5:14" ht="13.5" customHeight="1">
      <c r="E76" s="209" t="s">
        <v>966</v>
      </c>
      <c r="F76" s="209" t="s">
        <v>2388</v>
      </c>
      <c r="G76" s="409" t="str">
        <f t="shared" si="2"/>
        <v>15-12</v>
      </c>
      <c r="H76" s="273" t="e">
        <f ca="1">_xludf.IFNA(VLOOKUP(Aragon!E76,'Kilter Holds'!$P$37:$AB$662,7,0),0)</f>
        <v>#NAME?</v>
      </c>
      <c r="I76" s="274"/>
      <c r="J76" s="274" t="e">
        <f t="shared" ca="1" si="0"/>
        <v>#NAME?</v>
      </c>
      <c r="K76" s="274">
        <f t="shared" si="1"/>
        <v>0</v>
      </c>
      <c r="N76" s="274"/>
    </row>
    <row r="77" spans="5:14" ht="13.5" customHeight="1">
      <c r="E77" s="209" t="s">
        <v>966</v>
      </c>
      <c r="F77" s="209" t="s">
        <v>2388</v>
      </c>
      <c r="G77" s="410" t="str">
        <f t="shared" si="2"/>
        <v>16-16</v>
      </c>
      <c r="H77" s="273" t="e">
        <f ca="1">_xludf.IFNA(VLOOKUP(Aragon!E77,'Kilter Holds'!$P$37:$AB$662,8,0),0)</f>
        <v>#NAME?</v>
      </c>
      <c r="I77" s="274"/>
      <c r="J77" s="274" t="e">
        <f t="shared" ca="1" si="0"/>
        <v>#NAME?</v>
      </c>
      <c r="K77" s="274">
        <f t="shared" si="1"/>
        <v>0</v>
      </c>
      <c r="N77" s="274"/>
    </row>
    <row r="78" spans="5:14" ht="13.5" customHeight="1">
      <c r="E78" s="209" t="s">
        <v>966</v>
      </c>
      <c r="F78" s="209" t="s">
        <v>2388</v>
      </c>
      <c r="G78" s="411" t="str">
        <f t="shared" si="2"/>
        <v>13-01</v>
      </c>
      <c r="H78" s="273" t="e">
        <f ca="1">_xludf.IFNA(VLOOKUP(Aragon!E78,'Kilter Holds'!$P$37:$AB$662,9,0),0)</f>
        <v>#NAME?</v>
      </c>
      <c r="I78" s="274"/>
      <c r="J78" s="274" t="e">
        <f t="shared" ca="1" si="0"/>
        <v>#NAME?</v>
      </c>
      <c r="K78" s="274">
        <f t="shared" si="1"/>
        <v>0</v>
      </c>
      <c r="N78" s="274"/>
    </row>
    <row r="79" spans="5:14" ht="13.5" customHeight="1">
      <c r="E79" s="209" t="s">
        <v>966</v>
      </c>
      <c r="F79" s="209" t="s">
        <v>2388</v>
      </c>
      <c r="G79" s="413" t="str">
        <f t="shared" si="2"/>
        <v>07-13</v>
      </c>
      <c r="H79" s="273" t="e">
        <f ca="1">_xludf.IFNA(VLOOKUP(Aragon!E79,'Kilter Holds'!$P$37:$AB$662,10,0),0)</f>
        <v>#NAME?</v>
      </c>
      <c r="I79" s="274"/>
      <c r="J79" s="274" t="e">
        <f t="shared" ca="1" si="0"/>
        <v>#NAME?</v>
      </c>
      <c r="K79" s="274">
        <f t="shared" si="1"/>
        <v>0</v>
      </c>
      <c r="N79" s="274"/>
    </row>
    <row r="80" spans="5:14" ht="13.5" customHeight="1">
      <c r="E80" s="209" t="s">
        <v>966</v>
      </c>
      <c r="F80" s="209" t="s">
        <v>2388</v>
      </c>
      <c r="G80" s="414" t="str">
        <f t="shared" si="2"/>
        <v>11-26</v>
      </c>
      <c r="H80" s="273" t="e">
        <f ca="1">_xludf.IFNA(VLOOKUP(Aragon!E80,'Kilter Holds'!$P$37:$AB$662,11,0),0)</f>
        <v>#NAME?</v>
      </c>
      <c r="I80" s="274"/>
      <c r="J80" s="274" t="e">
        <f t="shared" ca="1" si="0"/>
        <v>#NAME?</v>
      </c>
      <c r="K80" s="274">
        <f t="shared" si="1"/>
        <v>0</v>
      </c>
      <c r="N80" s="274"/>
    </row>
    <row r="81" spans="5:14" ht="13.5" customHeight="1">
      <c r="E81" s="209" t="s">
        <v>966</v>
      </c>
      <c r="F81" s="209" t="s">
        <v>2388</v>
      </c>
      <c r="G81" s="415" t="str">
        <f t="shared" si="2"/>
        <v>18-01</v>
      </c>
      <c r="H81" s="273" t="e">
        <f ca="1">_xludf.IFNA(VLOOKUP(Aragon!E81,'Kilter Holds'!$P$37:$AB$662,12,0),0)</f>
        <v>#NAME?</v>
      </c>
      <c r="I81" s="274"/>
      <c r="J81" s="274" t="e">
        <f t="shared" ca="1" si="0"/>
        <v>#NAME?</v>
      </c>
      <c r="K81" s="274">
        <f t="shared" si="1"/>
        <v>0</v>
      </c>
      <c r="N81" s="274"/>
    </row>
    <row r="82" spans="5:14" ht="13.5" customHeight="1">
      <c r="E82" s="209" t="s">
        <v>966</v>
      </c>
      <c r="F82" s="209" t="s">
        <v>2388</v>
      </c>
      <c r="G82" s="416" t="str">
        <f t="shared" si="2"/>
        <v>Color Code</v>
      </c>
      <c r="H82" s="273" t="e">
        <f ca="1">_xludf.IFNA(VLOOKUP(Aragon!E82,'Kilter Holds'!$P$37:$AB$662,13,0),0)</f>
        <v>#NAME?</v>
      </c>
      <c r="I82" s="274"/>
      <c r="J82" s="274" t="e">
        <f t="shared" ca="1" si="0"/>
        <v>#NAME?</v>
      </c>
      <c r="K82" s="274">
        <f t="shared" si="1"/>
        <v>0</v>
      </c>
      <c r="N82" s="274"/>
    </row>
    <row r="83" spans="5:14" ht="13.5" customHeight="1">
      <c r="E83" s="209" t="s">
        <v>1119</v>
      </c>
      <c r="F83" s="209" t="s">
        <v>2389</v>
      </c>
      <c r="G83" s="406" t="str">
        <f t="shared" si="2"/>
        <v>11-12</v>
      </c>
      <c r="H83" s="273" t="e">
        <f ca="1">_xludf.IFNA(VLOOKUP(Aragon!E83,'Kilter Holds'!$P$37:$AB$662,5,0),0)</f>
        <v>#NAME?</v>
      </c>
      <c r="I83" s="274"/>
      <c r="J83" s="274" t="e">
        <f t="shared" ca="1" si="0"/>
        <v>#NAME?</v>
      </c>
      <c r="K83" s="274">
        <f t="shared" si="1"/>
        <v>0</v>
      </c>
      <c r="N83" s="274"/>
    </row>
    <row r="84" spans="5:14" ht="13.5" customHeight="1">
      <c r="E84" s="209" t="s">
        <v>1119</v>
      </c>
      <c r="F84" s="209" t="s">
        <v>2389</v>
      </c>
      <c r="G84" s="408" t="str">
        <f t="shared" si="2"/>
        <v>14-01</v>
      </c>
      <c r="H84" s="273" t="e">
        <f ca="1">_xludf.IFNA(VLOOKUP(Aragon!E84,'Kilter Holds'!$P$37:$AB$662,6,0),0)</f>
        <v>#NAME?</v>
      </c>
      <c r="I84" s="274"/>
      <c r="J84" s="274" t="e">
        <f t="shared" ca="1" si="0"/>
        <v>#NAME?</v>
      </c>
      <c r="K84" s="274">
        <f t="shared" si="1"/>
        <v>0</v>
      </c>
      <c r="N84" s="274"/>
    </row>
    <row r="85" spans="5:14" ht="13.5" customHeight="1">
      <c r="E85" s="209" t="s">
        <v>1119</v>
      </c>
      <c r="F85" s="209" t="s">
        <v>2389</v>
      </c>
      <c r="G85" s="409" t="str">
        <f t="shared" si="2"/>
        <v>15-12</v>
      </c>
      <c r="H85" s="273" t="e">
        <f ca="1">_xludf.IFNA(VLOOKUP(Aragon!E85,'Kilter Holds'!$P$37:$AB$662,7,0),0)</f>
        <v>#NAME?</v>
      </c>
      <c r="I85" s="274"/>
      <c r="J85" s="274" t="e">
        <f t="shared" ca="1" si="0"/>
        <v>#NAME?</v>
      </c>
      <c r="K85" s="274">
        <f t="shared" si="1"/>
        <v>0</v>
      </c>
      <c r="N85" s="274"/>
    </row>
    <row r="86" spans="5:14" ht="13.5" customHeight="1">
      <c r="E86" s="209" t="s">
        <v>1119</v>
      </c>
      <c r="F86" s="209" t="s">
        <v>2389</v>
      </c>
      <c r="G86" s="410" t="str">
        <f t="shared" si="2"/>
        <v>16-16</v>
      </c>
      <c r="H86" s="273" t="e">
        <f ca="1">_xludf.IFNA(VLOOKUP(Aragon!E86,'Kilter Holds'!$P$37:$AB$662,8,0),0)</f>
        <v>#NAME?</v>
      </c>
      <c r="I86" s="274"/>
      <c r="J86" s="274" t="e">
        <f t="shared" ca="1" si="0"/>
        <v>#NAME?</v>
      </c>
      <c r="K86" s="274">
        <f t="shared" si="1"/>
        <v>0</v>
      </c>
      <c r="N86" s="274"/>
    </row>
    <row r="87" spans="5:14" ht="13.5" customHeight="1">
      <c r="E87" s="209" t="s">
        <v>1119</v>
      </c>
      <c r="F87" s="209" t="s">
        <v>2389</v>
      </c>
      <c r="G87" s="411" t="str">
        <f t="shared" si="2"/>
        <v>13-01</v>
      </c>
      <c r="H87" s="273" t="e">
        <f ca="1">_xludf.IFNA(VLOOKUP(Aragon!E87,'Kilter Holds'!$P$37:$AB$662,9,0),0)</f>
        <v>#NAME?</v>
      </c>
      <c r="I87" s="274"/>
      <c r="J87" s="274" t="e">
        <f t="shared" ca="1" si="0"/>
        <v>#NAME?</v>
      </c>
      <c r="K87" s="274">
        <f t="shared" si="1"/>
        <v>0</v>
      </c>
      <c r="N87" s="274"/>
    </row>
    <row r="88" spans="5:14" ht="13.5" customHeight="1">
      <c r="E88" s="209" t="s">
        <v>1119</v>
      </c>
      <c r="F88" s="209" t="s">
        <v>2389</v>
      </c>
      <c r="G88" s="413" t="str">
        <f t="shared" si="2"/>
        <v>07-13</v>
      </c>
      <c r="H88" s="273" t="e">
        <f ca="1">_xludf.IFNA(VLOOKUP(Aragon!E88,'Kilter Holds'!$P$37:$AB$662,10,0),0)</f>
        <v>#NAME?</v>
      </c>
      <c r="I88" s="274"/>
      <c r="J88" s="274" t="e">
        <f t="shared" ca="1" si="0"/>
        <v>#NAME?</v>
      </c>
      <c r="K88" s="274">
        <f t="shared" si="1"/>
        <v>0</v>
      </c>
      <c r="N88" s="274"/>
    </row>
    <row r="89" spans="5:14" ht="13.5" customHeight="1">
      <c r="E89" s="209" t="s">
        <v>1119</v>
      </c>
      <c r="F89" s="209" t="s">
        <v>2389</v>
      </c>
      <c r="G89" s="414" t="str">
        <f t="shared" si="2"/>
        <v>11-26</v>
      </c>
      <c r="H89" s="273" t="e">
        <f ca="1">_xludf.IFNA(VLOOKUP(Aragon!E89,'Kilter Holds'!$P$37:$AB$662,11,0),0)</f>
        <v>#NAME?</v>
      </c>
      <c r="I89" s="274"/>
      <c r="J89" s="274" t="e">
        <f t="shared" ca="1" si="0"/>
        <v>#NAME?</v>
      </c>
      <c r="K89" s="274">
        <f t="shared" si="1"/>
        <v>0</v>
      </c>
      <c r="N89" s="274"/>
    </row>
    <row r="90" spans="5:14" ht="13.5" customHeight="1">
      <c r="E90" s="209" t="s">
        <v>1119</v>
      </c>
      <c r="F90" s="209" t="s">
        <v>2389</v>
      </c>
      <c r="G90" s="415" t="str">
        <f t="shared" si="2"/>
        <v>18-01</v>
      </c>
      <c r="H90" s="273" t="e">
        <f ca="1">_xludf.IFNA(VLOOKUP(Aragon!E90,'Kilter Holds'!$P$37:$AB$662,12,0),0)</f>
        <v>#NAME?</v>
      </c>
      <c r="I90" s="274"/>
      <c r="J90" s="274" t="e">
        <f t="shared" ca="1" si="0"/>
        <v>#NAME?</v>
      </c>
      <c r="K90" s="274">
        <f t="shared" si="1"/>
        <v>0</v>
      </c>
      <c r="N90" s="274"/>
    </row>
    <row r="91" spans="5:14" ht="13.5" customHeight="1">
      <c r="E91" s="209" t="s">
        <v>1119</v>
      </c>
      <c r="F91" s="209" t="s">
        <v>2389</v>
      </c>
      <c r="G91" s="416" t="str">
        <f t="shared" si="2"/>
        <v>Color Code</v>
      </c>
      <c r="H91" s="273" t="e">
        <f ca="1">_xludf.IFNA(VLOOKUP(Aragon!E91,'Kilter Holds'!$P$37:$AB$662,13,0),0)</f>
        <v>#NAME?</v>
      </c>
      <c r="I91" s="274"/>
      <c r="J91" s="274" t="e">
        <f t="shared" ca="1" si="0"/>
        <v>#NAME?</v>
      </c>
      <c r="K91" s="274">
        <f t="shared" si="1"/>
        <v>0</v>
      </c>
      <c r="N91" s="274"/>
    </row>
    <row r="92" spans="5:14" ht="13.5" customHeight="1">
      <c r="E92" s="209" t="s">
        <v>952</v>
      </c>
      <c r="F92" s="209" t="s">
        <v>2390</v>
      </c>
      <c r="G92" s="406" t="str">
        <f t="shared" si="2"/>
        <v>11-12</v>
      </c>
      <c r="H92" s="273" t="e">
        <f ca="1">_xludf.IFNA(VLOOKUP(Aragon!E92,'Kilter Holds'!$P$37:$AB$662,5,0),0)</f>
        <v>#NAME?</v>
      </c>
      <c r="I92" s="274"/>
      <c r="J92" s="274" t="e">
        <f t="shared" ca="1" si="0"/>
        <v>#NAME?</v>
      </c>
      <c r="K92" s="274">
        <f t="shared" si="1"/>
        <v>0</v>
      </c>
      <c r="N92" s="274"/>
    </row>
    <row r="93" spans="5:14" ht="13.5" customHeight="1">
      <c r="E93" s="209" t="s">
        <v>952</v>
      </c>
      <c r="F93" s="209" t="s">
        <v>2390</v>
      </c>
      <c r="G93" s="408" t="str">
        <f t="shared" si="2"/>
        <v>14-01</v>
      </c>
      <c r="H93" s="273" t="e">
        <f ca="1">_xludf.IFNA(VLOOKUP(Aragon!E93,'Kilter Holds'!$P$37:$AB$662,6,0),0)</f>
        <v>#NAME?</v>
      </c>
      <c r="I93" s="274"/>
      <c r="J93" s="274" t="e">
        <f t="shared" ca="1" si="0"/>
        <v>#NAME?</v>
      </c>
      <c r="K93" s="274">
        <f t="shared" si="1"/>
        <v>0</v>
      </c>
      <c r="N93" s="274"/>
    </row>
    <row r="94" spans="5:14" ht="13.5" customHeight="1">
      <c r="E94" s="209" t="s">
        <v>952</v>
      </c>
      <c r="F94" s="209" t="s">
        <v>2390</v>
      </c>
      <c r="G94" s="409" t="str">
        <f t="shared" si="2"/>
        <v>15-12</v>
      </c>
      <c r="H94" s="273" t="e">
        <f ca="1">_xludf.IFNA(VLOOKUP(Aragon!E94,'Kilter Holds'!$P$37:$AB$662,7,0),0)</f>
        <v>#NAME?</v>
      </c>
      <c r="I94" s="274"/>
      <c r="J94" s="274" t="e">
        <f t="shared" ca="1" si="0"/>
        <v>#NAME?</v>
      </c>
      <c r="K94" s="274">
        <f t="shared" si="1"/>
        <v>0</v>
      </c>
      <c r="N94" s="274"/>
    </row>
    <row r="95" spans="5:14" ht="13.5" customHeight="1">
      <c r="E95" s="209" t="s">
        <v>952</v>
      </c>
      <c r="F95" s="209" t="s">
        <v>2390</v>
      </c>
      <c r="G95" s="410" t="str">
        <f t="shared" si="2"/>
        <v>16-16</v>
      </c>
      <c r="H95" s="273" t="e">
        <f ca="1">_xludf.IFNA(VLOOKUP(Aragon!E95,'Kilter Holds'!$P$37:$AB$662,8,0),0)</f>
        <v>#NAME?</v>
      </c>
      <c r="I95" s="274"/>
      <c r="J95" s="274" t="e">
        <f t="shared" ca="1" si="0"/>
        <v>#NAME?</v>
      </c>
      <c r="K95" s="274">
        <f t="shared" si="1"/>
        <v>0</v>
      </c>
      <c r="N95" s="274"/>
    </row>
    <row r="96" spans="5:14" ht="13.5" customHeight="1">
      <c r="E96" s="209" t="s">
        <v>952</v>
      </c>
      <c r="F96" s="209" t="s">
        <v>2390</v>
      </c>
      <c r="G96" s="411" t="str">
        <f t="shared" si="2"/>
        <v>13-01</v>
      </c>
      <c r="H96" s="273" t="e">
        <f ca="1">_xludf.IFNA(VLOOKUP(Aragon!E96,'Kilter Holds'!$P$37:$AB$662,9,0),0)</f>
        <v>#NAME?</v>
      </c>
      <c r="I96" s="274"/>
      <c r="J96" s="274" t="e">
        <f t="shared" ca="1" si="0"/>
        <v>#NAME?</v>
      </c>
      <c r="K96" s="274">
        <f t="shared" si="1"/>
        <v>0</v>
      </c>
      <c r="N96" s="274"/>
    </row>
    <row r="97" spans="5:14" ht="13.5" customHeight="1">
      <c r="E97" s="209" t="s">
        <v>952</v>
      </c>
      <c r="F97" s="209" t="s">
        <v>2390</v>
      </c>
      <c r="G97" s="413" t="str">
        <f t="shared" si="2"/>
        <v>07-13</v>
      </c>
      <c r="H97" s="273" t="e">
        <f ca="1">_xludf.IFNA(VLOOKUP(Aragon!E97,'Kilter Holds'!$P$37:$AB$662,10,0),0)</f>
        <v>#NAME?</v>
      </c>
      <c r="I97" s="274"/>
      <c r="J97" s="274" t="e">
        <f t="shared" ca="1" si="0"/>
        <v>#NAME?</v>
      </c>
      <c r="K97" s="274">
        <f t="shared" si="1"/>
        <v>0</v>
      </c>
      <c r="N97" s="274"/>
    </row>
    <row r="98" spans="5:14" ht="13.5" customHeight="1">
      <c r="E98" s="209" t="s">
        <v>952</v>
      </c>
      <c r="F98" s="209" t="s">
        <v>2390</v>
      </c>
      <c r="G98" s="414" t="str">
        <f t="shared" si="2"/>
        <v>11-26</v>
      </c>
      <c r="H98" s="273" t="e">
        <f ca="1">_xludf.IFNA(VLOOKUP(Aragon!E98,'Kilter Holds'!$P$37:$AB$662,11,0),0)</f>
        <v>#NAME?</v>
      </c>
      <c r="I98" s="274"/>
      <c r="J98" s="274" t="e">
        <f t="shared" ca="1" si="0"/>
        <v>#NAME?</v>
      </c>
      <c r="K98" s="274">
        <f t="shared" si="1"/>
        <v>0</v>
      </c>
      <c r="N98" s="274"/>
    </row>
    <row r="99" spans="5:14" ht="13.5" customHeight="1">
      <c r="E99" s="209" t="s">
        <v>952</v>
      </c>
      <c r="F99" s="209" t="s">
        <v>2390</v>
      </c>
      <c r="G99" s="415" t="str">
        <f t="shared" si="2"/>
        <v>18-01</v>
      </c>
      <c r="H99" s="273" t="e">
        <f ca="1">_xludf.IFNA(VLOOKUP(Aragon!E99,'Kilter Holds'!$P$37:$AB$662,12,0),0)</f>
        <v>#NAME?</v>
      </c>
      <c r="I99" s="274"/>
      <c r="J99" s="274" t="e">
        <f t="shared" ca="1" si="0"/>
        <v>#NAME?</v>
      </c>
      <c r="K99" s="274">
        <f t="shared" si="1"/>
        <v>0</v>
      </c>
      <c r="N99" s="274"/>
    </row>
    <row r="100" spans="5:14" ht="13.5" customHeight="1">
      <c r="E100" s="209" t="s">
        <v>952</v>
      </c>
      <c r="F100" s="209" t="s">
        <v>2390</v>
      </c>
      <c r="G100" s="416" t="str">
        <f t="shared" si="2"/>
        <v>Color Code</v>
      </c>
      <c r="H100" s="273" t="e">
        <f ca="1">_xludf.IFNA(VLOOKUP(Aragon!E100,'Kilter Holds'!$P$37:$AB$662,13,0),0)</f>
        <v>#NAME?</v>
      </c>
      <c r="I100" s="274"/>
      <c r="J100" s="274" t="e">
        <f t="shared" ca="1" si="0"/>
        <v>#NAME?</v>
      </c>
      <c r="K100" s="274">
        <f t="shared" si="1"/>
        <v>0</v>
      </c>
      <c r="N100" s="274"/>
    </row>
    <row r="101" spans="5:14" ht="13.5" customHeight="1">
      <c r="E101" s="209" t="s">
        <v>968</v>
      </c>
      <c r="F101" s="209" t="s">
        <v>2391</v>
      </c>
      <c r="G101" s="406" t="str">
        <f t="shared" si="2"/>
        <v>11-12</v>
      </c>
      <c r="H101" s="273" t="e">
        <f ca="1">_xludf.IFNA(VLOOKUP(Aragon!E101,'Kilter Holds'!$P$37:$AB$662,5,0),0)</f>
        <v>#NAME?</v>
      </c>
      <c r="I101" s="274"/>
      <c r="J101" s="274" t="e">
        <f t="shared" ca="1" si="0"/>
        <v>#NAME?</v>
      </c>
      <c r="K101" s="274">
        <f t="shared" si="1"/>
        <v>0</v>
      </c>
      <c r="N101" s="274"/>
    </row>
    <row r="102" spans="5:14" ht="13.5" customHeight="1">
      <c r="E102" s="209" t="s">
        <v>968</v>
      </c>
      <c r="F102" s="209" t="s">
        <v>2391</v>
      </c>
      <c r="G102" s="408" t="str">
        <f t="shared" si="2"/>
        <v>14-01</v>
      </c>
      <c r="H102" s="273" t="e">
        <f ca="1">_xludf.IFNA(VLOOKUP(Aragon!E102,'Kilter Holds'!$P$37:$AB$662,6,0),0)</f>
        <v>#NAME?</v>
      </c>
      <c r="I102" s="274"/>
      <c r="J102" s="274" t="e">
        <f t="shared" ca="1" si="0"/>
        <v>#NAME?</v>
      </c>
      <c r="K102" s="274">
        <f t="shared" si="1"/>
        <v>0</v>
      </c>
      <c r="N102" s="274"/>
    </row>
    <row r="103" spans="5:14" ht="13.5" customHeight="1">
      <c r="E103" s="209" t="s">
        <v>968</v>
      </c>
      <c r="F103" s="209" t="s">
        <v>2391</v>
      </c>
      <c r="G103" s="409" t="str">
        <f t="shared" si="2"/>
        <v>15-12</v>
      </c>
      <c r="H103" s="273" t="e">
        <f ca="1">_xludf.IFNA(VLOOKUP(Aragon!E103,'Kilter Holds'!$P$37:$AB$662,7,0),0)</f>
        <v>#NAME?</v>
      </c>
      <c r="I103" s="274"/>
      <c r="J103" s="274" t="e">
        <f t="shared" ca="1" si="0"/>
        <v>#NAME?</v>
      </c>
      <c r="K103" s="274">
        <f t="shared" si="1"/>
        <v>0</v>
      </c>
      <c r="N103" s="274"/>
    </row>
    <row r="104" spans="5:14" ht="13.5" customHeight="1">
      <c r="E104" s="209" t="s">
        <v>968</v>
      </c>
      <c r="F104" s="209" t="s">
        <v>2391</v>
      </c>
      <c r="G104" s="410" t="str">
        <f t="shared" si="2"/>
        <v>16-16</v>
      </c>
      <c r="H104" s="273" t="e">
        <f ca="1">_xludf.IFNA(VLOOKUP(Aragon!E104,'Kilter Holds'!$P$37:$AB$662,8,0),0)</f>
        <v>#NAME?</v>
      </c>
      <c r="I104" s="274"/>
      <c r="J104" s="274" t="e">
        <f t="shared" ca="1" si="0"/>
        <v>#NAME?</v>
      </c>
      <c r="K104" s="274">
        <f t="shared" si="1"/>
        <v>0</v>
      </c>
      <c r="N104" s="274"/>
    </row>
    <row r="105" spans="5:14" ht="13.5" customHeight="1">
      <c r="E105" s="209" t="s">
        <v>968</v>
      </c>
      <c r="F105" s="209" t="s">
        <v>2391</v>
      </c>
      <c r="G105" s="411" t="str">
        <f t="shared" si="2"/>
        <v>13-01</v>
      </c>
      <c r="H105" s="273" t="e">
        <f ca="1">_xludf.IFNA(VLOOKUP(Aragon!E105,'Kilter Holds'!$P$37:$AB$662,9,0),0)</f>
        <v>#NAME?</v>
      </c>
      <c r="I105" s="274"/>
      <c r="J105" s="274" t="e">
        <f t="shared" ca="1" si="0"/>
        <v>#NAME?</v>
      </c>
      <c r="K105" s="274">
        <f t="shared" si="1"/>
        <v>0</v>
      </c>
      <c r="N105" s="274"/>
    </row>
    <row r="106" spans="5:14" ht="13.5" customHeight="1">
      <c r="E106" s="209" t="s">
        <v>968</v>
      </c>
      <c r="F106" s="209" t="s">
        <v>2391</v>
      </c>
      <c r="G106" s="413" t="str">
        <f t="shared" si="2"/>
        <v>07-13</v>
      </c>
      <c r="H106" s="273" t="e">
        <f ca="1">_xludf.IFNA(VLOOKUP(Aragon!E106,'Kilter Holds'!$P$37:$AB$662,10,0),0)</f>
        <v>#NAME?</v>
      </c>
      <c r="I106" s="274"/>
      <c r="J106" s="274" t="e">
        <f t="shared" ca="1" si="0"/>
        <v>#NAME?</v>
      </c>
      <c r="K106" s="274">
        <f t="shared" si="1"/>
        <v>0</v>
      </c>
      <c r="N106" s="274"/>
    </row>
    <row r="107" spans="5:14" ht="13.5" customHeight="1">
      <c r="E107" s="209" t="s">
        <v>968</v>
      </c>
      <c r="F107" s="209" t="s">
        <v>2391</v>
      </c>
      <c r="G107" s="414" t="str">
        <f t="shared" si="2"/>
        <v>11-26</v>
      </c>
      <c r="H107" s="273" t="e">
        <f ca="1">_xludf.IFNA(VLOOKUP(Aragon!E107,'Kilter Holds'!$P$37:$AB$662,11,0),0)</f>
        <v>#NAME?</v>
      </c>
      <c r="I107" s="274"/>
      <c r="J107" s="274" t="e">
        <f t="shared" ca="1" si="0"/>
        <v>#NAME?</v>
      </c>
      <c r="K107" s="274">
        <f t="shared" si="1"/>
        <v>0</v>
      </c>
      <c r="N107" s="274"/>
    </row>
    <row r="108" spans="5:14" ht="13.5" customHeight="1">
      <c r="E108" s="209" t="s">
        <v>968</v>
      </c>
      <c r="F108" s="209" t="s">
        <v>2391</v>
      </c>
      <c r="G108" s="415" t="str">
        <f t="shared" si="2"/>
        <v>18-01</v>
      </c>
      <c r="H108" s="273" t="e">
        <f ca="1">_xludf.IFNA(VLOOKUP(Aragon!E108,'Kilter Holds'!$P$37:$AB$662,12,0),0)</f>
        <v>#NAME?</v>
      </c>
      <c r="I108" s="274"/>
      <c r="J108" s="274" t="e">
        <f t="shared" ca="1" si="0"/>
        <v>#NAME?</v>
      </c>
      <c r="K108" s="274">
        <f t="shared" si="1"/>
        <v>0</v>
      </c>
      <c r="N108" s="274"/>
    </row>
    <row r="109" spans="5:14" ht="13.5" customHeight="1">
      <c r="E109" s="209" t="s">
        <v>968</v>
      </c>
      <c r="F109" s="209" t="s">
        <v>2391</v>
      </c>
      <c r="G109" s="416" t="str">
        <f t="shared" si="2"/>
        <v>Color Code</v>
      </c>
      <c r="H109" s="273" t="e">
        <f ca="1">_xludf.IFNA(VLOOKUP(Aragon!E109,'Kilter Holds'!$P$37:$AB$662,13,0),0)</f>
        <v>#NAME?</v>
      </c>
      <c r="I109" s="274"/>
      <c r="J109" s="274" t="e">
        <f t="shared" ca="1" si="0"/>
        <v>#NAME?</v>
      </c>
      <c r="K109" s="274">
        <f t="shared" si="1"/>
        <v>0</v>
      </c>
      <c r="N109" s="274"/>
    </row>
    <row r="110" spans="5:14" ht="13.5" customHeight="1">
      <c r="E110" s="209" t="s">
        <v>743</v>
      </c>
      <c r="F110" s="209" t="s">
        <v>2392</v>
      </c>
      <c r="G110" s="406" t="str">
        <f t="shared" si="2"/>
        <v>11-12</v>
      </c>
      <c r="H110" s="273" t="e">
        <f ca="1">_xludf.IFNA(VLOOKUP(Aragon!E110,'Kilter Holds'!$P$37:$AB$662,5,0),0)</f>
        <v>#NAME?</v>
      </c>
      <c r="I110" s="274"/>
      <c r="J110" s="274" t="e">
        <f t="shared" ca="1" si="0"/>
        <v>#NAME?</v>
      </c>
      <c r="K110" s="274">
        <f t="shared" si="1"/>
        <v>0</v>
      </c>
      <c r="N110" s="274"/>
    </row>
    <row r="111" spans="5:14" ht="13.5" customHeight="1">
      <c r="E111" s="209" t="s">
        <v>743</v>
      </c>
      <c r="F111" s="209" t="s">
        <v>2392</v>
      </c>
      <c r="G111" s="408" t="str">
        <f t="shared" si="2"/>
        <v>14-01</v>
      </c>
      <c r="H111" s="273" t="e">
        <f ca="1">_xludf.IFNA(VLOOKUP(Aragon!E111,'Kilter Holds'!$P$37:$AB$662,6,0),0)</f>
        <v>#NAME?</v>
      </c>
      <c r="I111" s="274"/>
      <c r="J111" s="274" t="e">
        <f t="shared" ca="1" si="0"/>
        <v>#NAME?</v>
      </c>
      <c r="K111" s="274">
        <f t="shared" si="1"/>
        <v>0</v>
      </c>
      <c r="N111" s="274"/>
    </row>
    <row r="112" spans="5:14" ht="13.5" customHeight="1">
      <c r="E112" s="209" t="s">
        <v>743</v>
      </c>
      <c r="F112" s="209" t="s">
        <v>2392</v>
      </c>
      <c r="G112" s="409" t="str">
        <f t="shared" si="2"/>
        <v>15-12</v>
      </c>
      <c r="H112" s="273" t="e">
        <f ca="1">_xludf.IFNA(VLOOKUP(Aragon!E112,'Kilter Holds'!$P$37:$AB$662,7,0),0)</f>
        <v>#NAME?</v>
      </c>
      <c r="I112" s="274"/>
      <c r="J112" s="274" t="e">
        <f t="shared" ca="1" si="0"/>
        <v>#NAME?</v>
      </c>
      <c r="K112" s="274">
        <f t="shared" si="1"/>
        <v>0</v>
      </c>
      <c r="N112" s="274"/>
    </row>
    <row r="113" spans="5:14" ht="13.5" customHeight="1">
      <c r="E113" s="209" t="s">
        <v>743</v>
      </c>
      <c r="F113" s="209" t="s">
        <v>2392</v>
      </c>
      <c r="G113" s="410" t="str">
        <f t="shared" si="2"/>
        <v>16-16</v>
      </c>
      <c r="H113" s="273" t="e">
        <f ca="1">_xludf.IFNA(VLOOKUP(Aragon!E113,'Kilter Holds'!$P$37:$AB$662,8,0),0)</f>
        <v>#NAME?</v>
      </c>
      <c r="I113" s="274"/>
      <c r="J113" s="274" t="e">
        <f t="shared" ca="1" si="0"/>
        <v>#NAME?</v>
      </c>
      <c r="K113" s="274">
        <f t="shared" si="1"/>
        <v>0</v>
      </c>
      <c r="N113" s="274"/>
    </row>
    <row r="114" spans="5:14" ht="13.5" customHeight="1">
      <c r="E114" s="209" t="s">
        <v>743</v>
      </c>
      <c r="F114" s="209" t="s">
        <v>2392</v>
      </c>
      <c r="G114" s="411" t="str">
        <f t="shared" si="2"/>
        <v>13-01</v>
      </c>
      <c r="H114" s="273" t="e">
        <f ca="1">_xludf.IFNA(VLOOKUP(Aragon!E114,'Kilter Holds'!$P$37:$AB$662,9,0),0)</f>
        <v>#NAME?</v>
      </c>
      <c r="I114" s="274"/>
      <c r="J114" s="274" t="e">
        <f t="shared" ca="1" si="0"/>
        <v>#NAME?</v>
      </c>
      <c r="K114" s="274">
        <f t="shared" si="1"/>
        <v>0</v>
      </c>
      <c r="N114" s="274"/>
    </row>
    <row r="115" spans="5:14" ht="13.5" customHeight="1">
      <c r="E115" s="209" t="s">
        <v>743</v>
      </c>
      <c r="F115" s="209" t="s">
        <v>2392</v>
      </c>
      <c r="G115" s="413" t="str">
        <f t="shared" si="2"/>
        <v>07-13</v>
      </c>
      <c r="H115" s="273" t="e">
        <f ca="1">_xludf.IFNA(VLOOKUP(Aragon!E115,'Kilter Holds'!$P$37:$AB$662,10,0),0)</f>
        <v>#NAME?</v>
      </c>
      <c r="I115" s="274"/>
      <c r="J115" s="274" t="e">
        <f t="shared" ca="1" si="0"/>
        <v>#NAME?</v>
      </c>
      <c r="K115" s="274">
        <f t="shared" si="1"/>
        <v>0</v>
      </c>
      <c r="N115" s="274"/>
    </row>
    <row r="116" spans="5:14" ht="13.5" customHeight="1">
      <c r="E116" s="209" t="s">
        <v>743</v>
      </c>
      <c r="F116" s="209" t="s">
        <v>2392</v>
      </c>
      <c r="G116" s="414" t="str">
        <f t="shared" si="2"/>
        <v>11-26</v>
      </c>
      <c r="H116" s="273" t="e">
        <f ca="1">_xludf.IFNA(VLOOKUP(Aragon!E116,'Kilter Holds'!$P$37:$AB$662,11,0),0)</f>
        <v>#NAME?</v>
      </c>
      <c r="I116" s="274"/>
      <c r="J116" s="274" t="e">
        <f t="shared" ca="1" si="0"/>
        <v>#NAME?</v>
      </c>
      <c r="K116" s="274">
        <f t="shared" si="1"/>
        <v>0</v>
      </c>
      <c r="N116" s="274"/>
    </row>
    <row r="117" spans="5:14" ht="13.5" customHeight="1">
      <c r="E117" s="209" t="s">
        <v>743</v>
      </c>
      <c r="F117" s="209" t="s">
        <v>2392</v>
      </c>
      <c r="G117" s="415" t="str">
        <f t="shared" si="2"/>
        <v>18-01</v>
      </c>
      <c r="H117" s="273" t="e">
        <f ca="1">_xludf.IFNA(VLOOKUP(Aragon!E117,'Kilter Holds'!$P$37:$AB$662,12,0),0)</f>
        <v>#NAME?</v>
      </c>
      <c r="I117" s="274"/>
      <c r="J117" s="274" t="e">
        <f t="shared" ca="1" si="0"/>
        <v>#NAME?</v>
      </c>
      <c r="K117" s="274">
        <f t="shared" si="1"/>
        <v>0</v>
      </c>
      <c r="N117" s="274"/>
    </row>
    <row r="118" spans="5:14" ht="13.5" customHeight="1">
      <c r="E118" s="209" t="s">
        <v>743</v>
      </c>
      <c r="F118" s="209" t="s">
        <v>2392</v>
      </c>
      <c r="G118" s="416" t="str">
        <f t="shared" si="2"/>
        <v>Color Code</v>
      </c>
      <c r="H118" s="273" t="e">
        <f ca="1">_xludf.IFNA(VLOOKUP(Aragon!E118,'Kilter Holds'!$P$37:$AB$662,13,0),0)</f>
        <v>#NAME?</v>
      </c>
      <c r="I118" s="274"/>
      <c r="J118" s="274" t="e">
        <f t="shared" ca="1" si="0"/>
        <v>#NAME?</v>
      </c>
      <c r="K118" s="274">
        <f t="shared" si="1"/>
        <v>0</v>
      </c>
      <c r="N118" s="274"/>
    </row>
    <row r="119" spans="5:14" ht="13.5" customHeight="1">
      <c r="E119" s="209" t="s">
        <v>970</v>
      </c>
      <c r="F119" s="209" t="s">
        <v>2393</v>
      </c>
      <c r="G119" s="406" t="str">
        <f t="shared" si="2"/>
        <v>11-12</v>
      </c>
      <c r="H119" s="273" t="e">
        <f ca="1">_xludf.IFNA(VLOOKUP(Aragon!E119,'Kilter Holds'!$P$37:$AB$662,5,0),0)</f>
        <v>#NAME?</v>
      </c>
      <c r="I119" s="274"/>
      <c r="J119" s="274" t="e">
        <f t="shared" ca="1" si="0"/>
        <v>#NAME?</v>
      </c>
      <c r="K119" s="274">
        <f t="shared" si="1"/>
        <v>0</v>
      </c>
      <c r="N119" s="274"/>
    </row>
    <row r="120" spans="5:14" ht="13.5" customHeight="1">
      <c r="E120" s="209" t="s">
        <v>970</v>
      </c>
      <c r="F120" s="209" t="s">
        <v>2393</v>
      </c>
      <c r="G120" s="408" t="str">
        <f t="shared" si="2"/>
        <v>14-01</v>
      </c>
      <c r="H120" s="273" t="e">
        <f ca="1">_xludf.IFNA(VLOOKUP(Aragon!E120,'Kilter Holds'!$P$37:$AB$662,6,0),0)</f>
        <v>#NAME?</v>
      </c>
      <c r="I120" s="274"/>
      <c r="J120" s="274" t="e">
        <f t="shared" ca="1" si="0"/>
        <v>#NAME?</v>
      </c>
      <c r="K120" s="274">
        <f t="shared" si="1"/>
        <v>0</v>
      </c>
      <c r="N120" s="274"/>
    </row>
    <row r="121" spans="5:14" ht="13.5" customHeight="1">
      <c r="E121" s="209" t="s">
        <v>970</v>
      </c>
      <c r="F121" s="209" t="s">
        <v>2393</v>
      </c>
      <c r="G121" s="409" t="str">
        <f t="shared" si="2"/>
        <v>15-12</v>
      </c>
      <c r="H121" s="273" t="e">
        <f ca="1">_xludf.IFNA(VLOOKUP(Aragon!E121,'Kilter Holds'!$P$37:$AB$662,7,0),0)</f>
        <v>#NAME?</v>
      </c>
      <c r="I121" s="274"/>
      <c r="J121" s="274" t="e">
        <f t="shared" ca="1" si="0"/>
        <v>#NAME?</v>
      </c>
      <c r="K121" s="274">
        <f t="shared" si="1"/>
        <v>0</v>
      </c>
      <c r="N121" s="274"/>
    </row>
    <row r="122" spans="5:14" ht="13.5" customHeight="1">
      <c r="E122" s="209" t="s">
        <v>970</v>
      </c>
      <c r="F122" s="209" t="s">
        <v>2393</v>
      </c>
      <c r="G122" s="410" t="str">
        <f t="shared" si="2"/>
        <v>16-16</v>
      </c>
      <c r="H122" s="273" t="e">
        <f ca="1">_xludf.IFNA(VLOOKUP(Aragon!E122,'Kilter Holds'!$P$37:$AB$662,8,0),0)</f>
        <v>#NAME?</v>
      </c>
      <c r="I122" s="274"/>
      <c r="J122" s="274" t="e">
        <f t="shared" ca="1" si="0"/>
        <v>#NAME?</v>
      </c>
      <c r="K122" s="274">
        <f t="shared" si="1"/>
        <v>0</v>
      </c>
      <c r="N122" s="274"/>
    </row>
    <row r="123" spans="5:14" ht="13.5" customHeight="1">
      <c r="E123" s="209" t="s">
        <v>970</v>
      </c>
      <c r="F123" s="209" t="s">
        <v>2393</v>
      </c>
      <c r="G123" s="411" t="str">
        <f t="shared" si="2"/>
        <v>13-01</v>
      </c>
      <c r="H123" s="273" t="e">
        <f ca="1">_xludf.IFNA(VLOOKUP(Aragon!E123,'Kilter Holds'!$P$37:$AB$662,9,0),0)</f>
        <v>#NAME?</v>
      </c>
      <c r="I123" s="274"/>
      <c r="J123" s="274" t="e">
        <f t="shared" ca="1" si="0"/>
        <v>#NAME?</v>
      </c>
      <c r="K123" s="274">
        <f t="shared" si="1"/>
        <v>0</v>
      </c>
      <c r="N123" s="274"/>
    </row>
    <row r="124" spans="5:14" ht="13.5" customHeight="1">
      <c r="E124" s="209" t="s">
        <v>970</v>
      </c>
      <c r="F124" s="209" t="s">
        <v>2393</v>
      </c>
      <c r="G124" s="413" t="str">
        <f t="shared" si="2"/>
        <v>07-13</v>
      </c>
      <c r="H124" s="273" t="e">
        <f ca="1">_xludf.IFNA(VLOOKUP(Aragon!E124,'Kilter Holds'!$P$37:$AB$662,10,0),0)</f>
        <v>#NAME?</v>
      </c>
      <c r="I124" s="274"/>
      <c r="J124" s="274" t="e">
        <f t="shared" ca="1" si="0"/>
        <v>#NAME?</v>
      </c>
      <c r="K124" s="274">
        <f t="shared" si="1"/>
        <v>0</v>
      </c>
      <c r="N124" s="274"/>
    </row>
    <row r="125" spans="5:14" ht="13.5" customHeight="1">
      <c r="E125" s="209" t="s">
        <v>970</v>
      </c>
      <c r="F125" s="209" t="s">
        <v>2393</v>
      </c>
      <c r="G125" s="414" t="str">
        <f t="shared" si="2"/>
        <v>11-26</v>
      </c>
      <c r="H125" s="273" t="e">
        <f ca="1">_xludf.IFNA(VLOOKUP(Aragon!E125,'Kilter Holds'!$P$37:$AB$662,11,0),0)</f>
        <v>#NAME?</v>
      </c>
      <c r="I125" s="274"/>
      <c r="J125" s="274" t="e">
        <f t="shared" ca="1" si="0"/>
        <v>#NAME?</v>
      </c>
      <c r="K125" s="274">
        <f t="shared" si="1"/>
        <v>0</v>
      </c>
      <c r="N125" s="274"/>
    </row>
    <row r="126" spans="5:14" ht="13.5" customHeight="1">
      <c r="E126" s="209" t="s">
        <v>970</v>
      </c>
      <c r="F126" s="209" t="s">
        <v>2393</v>
      </c>
      <c r="G126" s="415" t="str">
        <f t="shared" si="2"/>
        <v>18-01</v>
      </c>
      <c r="H126" s="273" t="e">
        <f ca="1">_xludf.IFNA(VLOOKUP(Aragon!E126,'Kilter Holds'!$P$37:$AB$662,12,0),0)</f>
        <v>#NAME?</v>
      </c>
      <c r="I126" s="274"/>
      <c r="J126" s="274" t="e">
        <f t="shared" ca="1" si="0"/>
        <v>#NAME?</v>
      </c>
      <c r="K126" s="274">
        <f t="shared" si="1"/>
        <v>0</v>
      </c>
      <c r="N126" s="274"/>
    </row>
    <row r="127" spans="5:14" ht="13.5" customHeight="1">
      <c r="E127" s="209" t="s">
        <v>970</v>
      </c>
      <c r="F127" s="209" t="s">
        <v>2393</v>
      </c>
      <c r="G127" s="416" t="str">
        <f t="shared" si="2"/>
        <v>Color Code</v>
      </c>
      <c r="H127" s="273" t="e">
        <f ca="1">_xludf.IFNA(VLOOKUP(Aragon!E127,'Kilter Holds'!$P$37:$AB$662,13,0),0)</f>
        <v>#NAME?</v>
      </c>
      <c r="I127" s="274"/>
      <c r="J127" s="274" t="e">
        <f t="shared" ca="1" si="0"/>
        <v>#NAME?</v>
      </c>
      <c r="K127" s="274">
        <f t="shared" si="1"/>
        <v>0</v>
      </c>
      <c r="N127" s="274"/>
    </row>
    <row r="128" spans="5:14" ht="13.5" customHeight="1">
      <c r="E128" s="209" t="s">
        <v>1121</v>
      </c>
      <c r="F128" s="209" t="s">
        <v>2394</v>
      </c>
      <c r="G128" s="406" t="str">
        <f t="shared" si="2"/>
        <v>11-12</v>
      </c>
      <c r="H128" s="273" t="e">
        <f ca="1">_xludf.IFNA(VLOOKUP(Aragon!E128,'Kilter Holds'!$P$37:$AB$662,5,0),0)</f>
        <v>#NAME?</v>
      </c>
      <c r="I128" s="274"/>
      <c r="J128" s="274" t="e">
        <f t="shared" ca="1" si="0"/>
        <v>#NAME?</v>
      </c>
      <c r="K128" s="274">
        <f t="shared" si="1"/>
        <v>0</v>
      </c>
      <c r="N128" s="274"/>
    </row>
    <row r="129" spans="5:14" ht="13.5" customHeight="1">
      <c r="E129" s="209" t="s">
        <v>1121</v>
      </c>
      <c r="F129" s="209" t="s">
        <v>2394</v>
      </c>
      <c r="G129" s="408" t="str">
        <f t="shared" si="2"/>
        <v>14-01</v>
      </c>
      <c r="H129" s="273" t="e">
        <f ca="1">_xludf.IFNA(VLOOKUP(Aragon!E129,'Kilter Holds'!$P$37:$AB$662,6,0),0)</f>
        <v>#NAME?</v>
      </c>
      <c r="I129" s="274"/>
      <c r="J129" s="274" t="e">
        <f t="shared" ca="1" si="0"/>
        <v>#NAME?</v>
      </c>
      <c r="K129" s="274">
        <f t="shared" si="1"/>
        <v>0</v>
      </c>
      <c r="N129" s="274"/>
    </row>
    <row r="130" spans="5:14" ht="13.5" customHeight="1">
      <c r="E130" s="209" t="s">
        <v>1121</v>
      </c>
      <c r="F130" s="209" t="s">
        <v>2394</v>
      </c>
      <c r="G130" s="409" t="str">
        <f t="shared" si="2"/>
        <v>15-12</v>
      </c>
      <c r="H130" s="273" t="e">
        <f ca="1">_xludf.IFNA(VLOOKUP(Aragon!E130,'Kilter Holds'!$P$37:$AB$662,7,0),0)</f>
        <v>#NAME?</v>
      </c>
      <c r="I130" s="274"/>
      <c r="J130" s="274" t="e">
        <f t="shared" ca="1" si="0"/>
        <v>#NAME?</v>
      </c>
      <c r="K130" s="274">
        <f t="shared" si="1"/>
        <v>0</v>
      </c>
      <c r="N130" s="274"/>
    </row>
    <row r="131" spans="5:14" ht="13.5" customHeight="1">
      <c r="E131" s="209" t="s">
        <v>1121</v>
      </c>
      <c r="F131" s="209" t="s">
        <v>2394</v>
      </c>
      <c r="G131" s="410" t="str">
        <f t="shared" si="2"/>
        <v>16-16</v>
      </c>
      <c r="H131" s="273" t="e">
        <f ca="1">_xludf.IFNA(VLOOKUP(Aragon!E131,'Kilter Holds'!$P$37:$AB$662,8,0),0)</f>
        <v>#NAME?</v>
      </c>
      <c r="I131" s="274"/>
      <c r="J131" s="274" t="e">
        <f t="shared" ca="1" si="0"/>
        <v>#NAME?</v>
      </c>
      <c r="K131" s="274">
        <f t="shared" si="1"/>
        <v>0</v>
      </c>
      <c r="N131" s="274"/>
    </row>
    <row r="132" spans="5:14" ht="13.5" customHeight="1">
      <c r="E132" s="209" t="s">
        <v>1121</v>
      </c>
      <c r="F132" s="209" t="s">
        <v>2394</v>
      </c>
      <c r="G132" s="411" t="str">
        <f t="shared" si="2"/>
        <v>13-01</v>
      </c>
      <c r="H132" s="273" t="e">
        <f ca="1">_xludf.IFNA(VLOOKUP(Aragon!E132,'Kilter Holds'!$P$37:$AB$662,9,0),0)</f>
        <v>#NAME?</v>
      </c>
      <c r="I132" s="274"/>
      <c r="J132" s="274" t="e">
        <f t="shared" ca="1" si="0"/>
        <v>#NAME?</v>
      </c>
      <c r="K132" s="274">
        <f t="shared" si="1"/>
        <v>0</v>
      </c>
      <c r="N132" s="274"/>
    </row>
    <row r="133" spans="5:14" ht="13.5" customHeight="1">
      <c r="E133" s="209" t="s">
        <v>1121</v>
      </c>
      <c r="F133" s="209" t="s">
        <v>2394</v>
      </c>
      <c r="G133" s="413" t="str">
        <f t="shared" si="2"/>
        <v>07-13</v>
      </c>
      <c r="H133" s="273" t="e">
        <f ca="1">_xludf.IFNA(VLOOKUP(Aragon!E133,'Kilter Holds'!$P$37:$AB$662,10,0),0)</f>
        <v>#NAME?</v>
      </c>
      <c r="I133" s="274"/>
      <c r="J133" s="274" t="e">
        <f t="shared" ca="1" si="0"/>
        <v>#NAME?</v>
      </c>
      <c r="K133" s="274">
        <f t="shared" si="1"/>
        <v>0</v>
      </c>
      <c r="N133" s="274"/>
    </row>
    <row r="134" spans="5:14" ht="13.5" customHeight="1">
      <c r="E134" s="209" t="s">
        <v>1121</v>
      </c>
      <c r="F134" s="209" t="s">
        <v>2394</v>
      </c>
      <c r="G134" s="414" t="str">
        <f t="shared" si="2"/>
        <v>11-26</v>
      </c>
      <c r="H134" s="273" t="e">
        <f ca="1">_xludf.IFNA(VLOOKUP(Aragon!E134,'Kilter Holds'!$P$37:$AB$662,11,0),0)</f>
        <v>#NAME?</v>
      </c>
      <c r="I134" s="274"/>
      <c r="J134" s="274" t="e">
        <f t="shared" ca="1" si="0"/>
        <v>#NAME?</v>
      </c>
      <c r="K134" s="274">
        <f t="shared" si="1"/>
        <v>0</v>
      </c>
      <c r="N134" s="274"/>
    </row>
    <row r="135" spans="5:14" ht="13.5" customHeight="1">
      <c r="E135" s="209" t="s">
        <v>1121</v>
      </c>
      <c r="F135" s="209" t="s">
        <v>2394</v>
      </c>
      <c r="G135" s="415" t="str">
        <f t="shared" si="2"/>
        <v>18-01</v>
      </c>
      <c r="H135" s="273" t="e">
        <f ca="1">_xludf.IFNA(VLOOKUP(Aragon!E135,'Kilter Holds'!$P$37:$AB$662,12,0),0)</f>
        <v>#NAME?</v>
      </c>
      <c r="I135" s="274"/>
      <c r="J135" s="274" t="e">
        <f t="shared" ca="1" si="0"/>
        <v>#NAME?</v>
      </c>
      <c r="K135" s="274">
        <f t="shared" si="1"/>
        <v>0</v>
      </c>
      <c r="N135" s="274"/>
    </row>
    <row r="136" spans="5:14" ht="13.5" customHeight="1">
      <c r="E136" s="209" t="s">
        <v>1121</v>
      </c>
      <c r="F136" s="209" t="s">
        <v>2394</v>
      </c>
      <c r="G136" s="416" t="str">
        <f t="shared" si="2"/>
        <v>Color Code</v>
      </c>
      <c r="H136" s="273" t="e">
        <f ca="1">_xludf.IFNA(VLOOKUP(Aragon!E136,'Kilter Holds'!$P$37:$AB$662,13,0),0)</f>
        <v>#NAME?</v>
      </c>
      <c r="I136" s="274"/>
      <c r="J136" s="274" t="e">
        <f t="shared" ca="1" si="0"/>
        <v>#NAME?</v>
      </c>
      <c r="K136" s="274">
        <f t="shared" si="1"/>
        <v>0</v>
      </c>
      <c r="N136" s="274"/>
    </row>
    <row r="137" spans="5:14" ht="13.5" customHeight="1">
      <c r="E137" s="209" t="s">
        <v>1159</v>
      </c>
      <c r="F137" s="209" t="s">
        <v>2395</v>
      </c>
      <c r="G137" s="406" t="str">
        <f t="shared" si="2"/>
        <v>11-12</v>
      </c>
      <c r="H137" s="273" t="e">
        <f ca="1">_xludf.IFNA(VLOOKUP(Aragon!E137,'Kilter Holds'!$P$37:$AB$662,5,0),0)</f>
        <v>#NAME?</v>
      </c>
      <c r="I137" s="274"/>
      <c r="J137" s="274" t="e">
        <f t="shared" ca="1" si="0"/>
        <v>#NAME?</v>
      </c>
      <c r="K137" s="274">
        <f t="shared" si="1"/>
        <v>0</v>
      </c>
      <c r="N137" s="274"/>
    </row>
    <row r="138" spans="5:14" ht="13.5" customHeight="1">
      <c r="E138" s="209" t="s">
        <v>1159</v>
      </c>
      <c r="F138" s="209" t="s">
        <v>2395</v>
      </c>
      <c r="G138" s="408" t="str">
        <f t="shared" si="2"/>
        <v>14-01</v>
      </c>
      <c r="H138" s="273" t="e">
        <f ca="1">_xludf.IFNA(VLOOKUP(Aragon!E138,'Kilter Holds'!$P$37:$AB$662,6,0),0)</f>
        <v>#NAME?</v>
      </c>
      <c r="I138" s="274"/>
      <c r="J138" s="274" t="e">
        <f t="shared" ca="1" si="0"/>
        <v>#NAME?</v>
      </c>
      <c r="K138" s="274">
        <f t="shared" si="1"/>
        <v>0</v>
      </c>
      <c r="N138" s="274"/>
    </row>
    <row r="139" spans="5:14" ht="13.5" customHeight="1">
      <c r="E139" s="209" t="s">
        <v>1159</v>
      </c>
      <c r="F139" s="209" t="s">
        <v>2395</v>
      </c>
      <c r="G139" s="409" t="str">
        <f t="shared" si="2"/>
        <v>15-12</v>
      </c>
      <c r="H139" s="273" t="e">
        <f ca="1">_xludf.IFNA(VLOOKUP(Aragon!E139,'Kilter Holds'!$P$37:$AB$662,7,0),0)</f>
        <v>#NAME?</v>
      </c>
      <c r="I139" s="274"/>
      <c r="J139" s="274" t="e">
        <f t="shared" ca="1" si="0"/>
        <v>#NAME?</v>
      </c>
      <c r="K139" s="274">
        <f t="shared" si="1"/>
        <v>0</v>
      </c>
      <c r="N139" s="274"/>
    </row>
    <row r="140" spans="5:14" ht="13.5" customHeight="1">
      <c r="E140" s="209" t="s">
        <v>1159</v>
      </c>
      <c r="F140" s="209" t="s">
        <v>2395</v>
      </c>
      <c r="G140" s="410" t="str">
        <f t="shared" si="2"/>
        <v>16-16</v>
      </c>
      <c r="H140" s="273" t="e">
        <f ca="1">_xludf.IFNA(VLOOKUP(Aragon!E140,'Kilter Holds'!$P$37:$AB$662,8,0),0)</f>
        <v>#NAME?</v>
      </c>
      <c r="I140" s="274"/>
      <c r="J140" s="274" t="e">
        <f t="shared" ca="1" si="0"/>
        <v>#NAME?</v>
      </c>
      <c r="K140" s="274">
        <f t="shared" si="1"/>
        <v>0</v>
      </c>
      <c r="N140" s="274"/>
    </row>
    <row r="141" spans="5:14" ht="13.5" customHeight="1">
      <c r="E141" s="209" t="s">
        <v>1159</v>
      </c>
      <c r="F141" s="209" t="s">
        <v>2395</v>
      </c>
      <c r="G141" s="411" t="str">
        <f t="shared" si="2"/>
        <v>13-01</v>
      </c>
      <c r="H141" s="273" t="e">
        <f ca="1">_xludf.IFNA(VLOOKUP(Aragon!E141,'Kilter Holds'!$P$37:$AB$662,9,0),0)</f>
        <v>#NAME?</v>
      </c>
      <c r="I141" s="274"/>
      <c r="J141" s="274" t="e">
        <f t="shared" ca="1" si="0"/>
        <v>#NAME?</v>
      </c>
      <c r="K141" s="274">
        <f t="shared" si="1"/>
        <v>0</v>
      </c>
      <c r="N141" s="274"/>
    </row>
    <row r="142" spans="5:14" ht="13.5" customHeight="1">
      <c r="E142" s="209" t="s">
        <v>1159</v>
      </c>
      <c r="F142" s="209" t="s">
        <v>2395</v>
      </c>
      <c r="G142" s="413" t="str">
        <f t="shared" si="2"/>
        <v>07-13</v>
      </c>
      <c r="H142" s="273" t="e">
        <f ca="1">_xludf.IFNA(VLOOKUP(Aragon!E142,'Kilter Holds'!$P$37:$AB$662,10,0),0)</f>
        <v>#NAME?</v>
      </c>
      <c r="I142" s="274"/>
      <c r="J142" s="274" t="e">
        <f t="shared" ca="1" si="0"/>
        <v>#NAME?</v>
      </c>
      <c r="K142" s="274">
        <f t="shared" si="1"/>
        <v>0</v>
      </c>
      <c r="N142" s="274"/>
    </row>
    <row r="143" spans="5:14" ht="13.5" customHeight="1">
      <c r="E143" s="209" t="s">
        <v>1159</v>
      </c>
      <c r="F143" s="209" t="s">
        <v>2395</v>
      </c>
      <c r="G143" s="414" t="str">
        <f t="shared" si="2"/>
        <v>11-26</v>
      </c>
      <c r="H143" s="273" t="e">
        <f ca="1">_xludf.IFNA(VLOOKUP(Aragon!E143,'Kilter Holds'!$P$37:$AB$662,11,0),0)</f>
        <v>#NAME?</v>
      </c>
      <c r="I143" s="274"/>
      <c r="J143" s="274" t="e">
        <f t="shared" ca="1" si="0"/>
        <v>#NAME?</v>
      </c>
      <c r="K143" s="274">
        <f t="shared" si="1"/>
        <v>0</v>
      </c>
      <c r="N143" s="274"/>
    </row>
    <row r="144" spans="5:14" ht="13.5" customHeight="1">
      <c r="E144" s="209" t="s">
        <v>1159</v>
      </c>
      <c r="F144" s="209" t="s">
        <v>2395</v>
      </c>
      <c r="G144" s="415" t="str">
        <f t="shared" si="2"/>
        <v>18-01</v>
      </c>
      <c r="H144" s="273" t="e">
        <f ca="1">_xludf.IFNA(VLOOKUP(Aragon!E144,'Kilter Holds'!$P$37:$AB$662,12,0),0)</f>
        <v>#NAME?</v>
      </c>
      <c r="I144" s="274"/>
      <c r="J144" s="274" t="e">
        <f t="shared" ca="1" si="0"/>
        <v>#NAME?</v>
      </c>
      <c r="K144" s="274">
        <f t="shared" si="1"/>
        <v>0</v>
      </c>
      <c r="N144" s="274"/>
    </row>
    <row r="145" spans="1:14" ht="13.5" customHeight="1">
      <c r="E145" s="209" t="s">
        <v>1159</v>
      </c>
      <c r="F145" s="209" t="s">
        <v>2395</v>
      </c>
      <c r="G145" s="416" t="str">
        <f t="shared" si="2"/>
        <v>Color Code</v>
      </c>
      <c r="H145" s="273" t="e">
        <f ca="1">_xludf.IFNA(VLOOKUP(Aragon!E145,'Kilter Holds'!$P$37:$AB$662,13,0),0)</f>
        <v>#NAME?</v>
      </c>
      <c r="I145" s="274"/>
      <c r="J145" s="274" t="e">
        <f t="shared" ca="1" si="0"/>
        <v>#NAME?</v>
      </c>
      <c r="K145" s="274">
        <f t="shared" si="1"/>
        <v>0</v>
      </c>
      <c r="N145" s="274"/>
    </row>
    <row r="146" spans="1:14" ht="13.5" customHeight="1">
      <c r="E146" s="209" t="s">
        <v>1161</v>
      </c>
      <c r="F146" s="209" t="s">
        <v>2396</v>
      </c>
      <c r="G146" s="406" t="str">
        <f t="shared" si="2"/>
        <v>11-12</v>
      </c>
      <c r="H146" s="273" t="e">
        <f ca="1">_xludf.IFNA(VLOOKUP(Aragon!E146,'Kilter Holds'!$P$37:$AB$662,5,0),0)</f>
        <v>#NAME?</v>
      </c>
      <c r="I146" s="274"/>
      <c r="J146" s="274" t="e">
        <f t="shared" ca="1" si="0"/>
        <v>#NAME?</v>
      </c>
      <c r="K146" s="274">
        <f t="shared" si="1"/>
        <v>0</v>
      </c>
      <c r="N146" s="274"/>
    </row>
    <row r="147" spans="1:14" ht="13.5" customHeight="1">
      <c r="E147" s="209" t="s">
        <v>1161</v>
      </c>
      <c r="F147" s="209" t="s">
        <v>2396</v>
      </c>
      <c r="G147" s="408" t="str">
        <f t="shared" si="2"/>
        <v>14-01</v>
      </c>
      <c r="H147" s="273" t="e">
        <f ca="1">_xludf.IFNA(VLOOKUP(Aragon!E147,'Kilter Holds'!$P$37:$AB$662,6,0),0)</f>
        <v>#NAME?</v>
      </c>
      <c r="I147" s="274"/>
      <c r="J147" s="274" t="e">
        <f t="shared" ca="1" si="0"/>
        <v>#NAME?</v>
      </c>
      <c r="K147" s="274">
        <f t="shared" si="1"/>
        <v>0</v>
      </c>
      <c r="N147" s="274"/>
    </row>
    <row r="148" spans="1:14" ht="13.5" customHeight="1">
      <c r="E148" s="209" t="s">
        <v>1161</v>
      </c>
      <c r="F148" s="209" t="s">
        <v>2396</v>
      </c>
      <c r="G148" s="409" t="str">
        <f t="shared" si="2"/>
        <v>15-12</v>
      </c>
      <c r="H148" s="273" t="e">
        <f ca="1">_xludf.IFNA(VLOOKUP(Aragon!E148,'Kilter Holds'!$P$37:$AB$662,7,0),0)</f>
        <v>#NAME?</v>
      </c>
      <c r="I148" s="274"/>
      <c r="J148" s="274" t="e">
        <f t="shared" ca="1" si="0"/>
        <v>#NAME?</v>
      </c>
      <c r="K148" s="274">
        <f t="shared" si="1"/>
        <v>0</v>
      </c>
      <c r="N148" s="274"/>
    </row>
    <row r="149" spans="1:14" ht="13.5" customHeight="1">
      <c r="E149" s="209" t="s">
        <v>1161</v>
      </c>
      <c r="F149" s="209" t="s">
        <v>2396</v>
      </c>
      <c r="G149" s="410" t="str">
        <f t="shared" si="2"/>
        <v>16-16</v>
      </c>
      <c r="H149" s="273" t="e">
        <f ca="1">_xludf.IFNA(VLOOKUP(Aragon!E149,'Kilter Holds'!$P$37:$AB$662,8,0),0)</f>
        <v>#NAME?</v>
      </c>
      <c r="I149" s="274"/>
      <c r="J149" s="274" t="e">
        <f t="shared" ca="1" si="0"/>
        <v>#NAME?</v>
      </c>
      <c r="K149" s="274">
        <f t="shared" si="1"/>
        <v>0</v>
      </c>
      <c r="N149" s="274"/>
    </row>
    <row r="150" spans="1:14" ht="13.5" customHeight="1">
      <c r="E150" s="209" t="s">
        <v>1161</v>
      </c>
      <c r="F150" s="209" t="s">
        <v>2396</v>
      </c>
      <c r="G150" s="411" t="str">
        <f t="shared" si="2"/>
        <v>13-01</v>
      </c>
      <c r="H150" s="273" t="e">
        <f ca="1">_xludf.IFNA(VLOOKUP(Aragon!E150,'Kilter Holds'!$P$37:$AB$662,9,0),0)</f>
        <v>#NAME?</v>
      </c>
      <c r="I150" s="274"/>
      <c r="J150" s="274" t="e">
        <f t="shared" ca="1" si="0"/>
        <v>#NAME?</v>
      </c>
      <c r="K150" s="274">
        <f t="shared" si="1"/>
        <v>0</v>
      </c>
      <c r="N150" s="274"/>
    </row>
    <row r="151" spans="1:14" ht="13.5" customHeight="1">
      <c r="E151" s="209" t="s">
        <v>1161</v>
      </c>
      <c r="F151" s="209" t="s">
        <v>2396</v>
      </c>
      <c r="G151" s="413" t="str">
        <f t="shared" si="2"/>
        <v>07-13</v>
      </c>
      <c r="H151" s="273" t="e">
        <f ca="1">_xludf.IFNA(VLOOKUP(Aragon!E151,'Kilter Holds'!$P$37:$AB$662,10,0),0)</f>
        <v>#NAME?</v>
      </c>
      <c r="I151" s="274"/>
      <c r="J151" s="274" t="e">
        <f t="shared" ca="1" si="0"/>
        <v>#NAME?</v>
      </c>
      <c r="K151" s="274">
        <f t="shared" si="1"/>
        <v>0</v>
      </c>
      <c r="N151" s="274"/>
    </row>
    <row r="152" spans="1:14" ht="13.5" customHeight="1">
      <c r="E152" s="209" t="s">
        <v>1161</v>
      </c>
      <c r="F152" s="209" t="s">
        <v>2396</v>
      </c>
      <c r="G152" s="414" t="str">
        <f t="shared" si="2"/>
        <v>11-26</v>
      </c>
      <c r="H152" s="273" t="e">
        <f ca="1">_xludf.IFNA(VLOOKUP(Aragon!E152,'Kilter Holds'!$P$37:$AB$662,11,0),0)</f>
        <v>#NAME?</v>
      </c>
      <c r="I152" s="274"/>
      <c r="J152" s="274" t="e">
        <f t="shared" ca="1" si="0"/>
        <v>#NAME?</v>
      </c>
      <c r="K152" s="274">
        <f t="shared" si="1"/>
        <v>0</v>
      </c>
      <c r="N152" s="274"/>
    </row>
    <row r="153" spans="1:14" ht="13.5" customHeight="1">
      <c r="E153" s="209" t="s">
        <v>1161</v>
      </c>
      <c r="F153" s="209" t="s">
        <v>2396</v>
      </c>
      <c r="G153" s="415" t="str">
        <f t="shared" si="2"/>
        <v>18-01</v>
      </c>
      <c r="H153" s="273" t="e">
        <f ca="1">_xludf.IFNA(VLOOKUP(Aragon!E153,'Kilter Holds'!$P$37:$AB$662,12,0),0)</f>
        <v>#NAME?</v>
      </c>
      <c r="I153" s="274"/>
      <c r="J153" s="274" t="e">
        <f t="shared" ca="1" si="0"/>
        <v>#NAME?</v>
      </c>
      <c r="K153" s="274">
        <f t="shared" si="1"/>
        <v>0</v>
      </c>
      <c r="N153" s="274"/>
    </row>
    <row r="154" spans="1:14" ht="13.5" customHeight="1">
      <c r="E154" s="209" t="s">
        <v>1161</v>
      </c>
      <c r="F154" s="209" t="s">
        <v>2396</v>
      </c>
      <c r="G154" s="416" t="str">
        <f t="shared" si="2"/>
        <v>Color Code</v>
      </c>
      <c r="H154" s="273" t="e">
        <f ca="1">_xludf.IFNA(VLOOKUP(Aragon!E154,'Kilter Holds'!$P$37:$AB$662,13,0),0)</f>
        <v>#NAME?</v>
      </c>
      <c r="I154" s="274"/>
      <c r="J154" s="274" t="e">
        <f t="shared" ca="1" si="0"/>
        <v>#NAME?</v>
      </c>
      <c r="K154" s="274">
        <f t="shared" si="1"/>
        <v>0</v>
      </c>
      <c r="N154" s="274"/>
    </row>
    <row r="155" spans="1:14" ht="13.5" customHeight="1">
      <c r="A155" s="1" t="s">
        <v>1243</v>
      </c>
      <c r="E155" s="209" t="s">
        <v>755</v>
      </c>
      <c r="F155" s="209" t="s">
        <v>2397</v>
      </c>
      <c r="G155" s="406" t="str">
        <f t="shared" si="2"/>
        <v>11-12</v>
      </c>
      <c r="H155" s="273" t="e">
        <f ca="1">_xludf.IFNA(VLOOKUP(Aragon!E155,'Kilter Holds'!$P$37:$AB$662,5,0),0)+_xludf.IFNA(VLOOKUP(A155,'Kilter Holds'!$P$37:$AB$662,5,0),0)</f>
        <v>#NAME?</v>
      </c>
      <c r="I155" s="274"/>
      <c r="J155" s="274" t="e">
        <f t="shared" ca="1" si="0"/>
        <v>#NAME?</v>
      </c>
      <c r="K155" s="274">
        <f t="shared" si="1"/>
        <v>0</v>
      </c>
      <c r="N155" s="274"/>
    </row>
    <row r="156" spans="1:14" ht="13.5" customHeight="1">
      <c r="A156" s="1" t="s">
        <v>1243</v>
      </c>
      <c r="E156" s="209" t="s">
        <v>755</v>
      </c>
      <c r="F156" s="209" t="s">
        <v>2397</v>
      </c>
      <c r="G156" s="408" t="str">
        <f t="shared" si="2"/>
        <v>14-01</v>
      </c>
      <c r="H156" s="273" t="e">
        <f ca="1">_xludf.IFNA(VLOOKUP(Aragon!E156,'Kilter Holds'!$P$37:$AB$662,6,0),0)+_xludf.IFNA(VLOOKUP(A156,'Kilter Holds'!$P$37:$AB$662,6,0),0)</f>
        <v>#NAME?</v>
      </c>
      <c r="I156" s="274"/>
      <c r="J156" s="274" t="e">
        <f t="shared" ca="1" si="0"/>
        <v>#NAME?</v>
      </c>
      <c r="K156" s="274">
        <f t="shared" si="1"/>
        <v>0</v>
      </c>
      <c r="N156" s="274"/>
    </row>
    <row r="157" spans="1:14" ht="13.5" customHeight="1">
      <c r="A157" s="1" t="s">
        <v>1243</v>
      </c>
      <c r="E157" s="209" t="s">
        <v>755</v>
      </c>
      <c r="F157" s="209" t="s">
        <v>2397</v>
      </c>
      <c r="G157" s="409" t="str">
        <f t="shared" si="2"/>
        <v>15-12</v>
      </c>
      <c r="H157" s="273" t="e">
        <f ca="1">_xludf.IFNA(VLOOKUP(Aragon!E157,'Kilter Holds'!$P$37:$AB$662,7,0),0)+_xludf.IFNA(VLOOKUP(A157,'Kilter Holds'!$P$37:$AB$662,7,0),0)</f>
        <v>#NAME?</v>
      </c>
      <c r="I157" s="274"/>
      <c r="J157" s="274" t="e">
        <f t="shared" ca="1" si="0"/>
        <v>#NAME?</v>
      </c>
      <c r="K157" s="274">
        <f t="shared" si="1"/>
        <v>0</v>
      </c>
      <c r="N157" s="274"/>
    </row>
    <row r="158" spans="1:14" ht="13.5" customHeight="1">
      <c r="A158" s="1" t="s">
        <v>1243</v>
      </c>
      <c r="E158" s="209" t="s">
        <v>755</v>
      </c>
      <c r="F158" s="209" t="s">
        <v>2397</v>
      </c>
      <c r="G158" s="410" t="str">
        <f t="shared" si="2"/>
        <v>16-16</v>
      </c>
      <c r="H158" s="273" t="e">
        <f ca="1">_xludf.IFNA(VLOOKUP(Aragon!E158,'Kilter Holds'!$P$37:$AB$662,8,0),0)+_xludf.IFNA(VLOOKUP(A158,'Kilter Holds'!$P$37:$AB$662,8,0),0)</f>
        <v>#NAME?</v>
      </c>
      <c r="I158" s="274"/>
      <c r="J158" s="274" t="e">
        <f t="shared" ca="1" si="0"/>
        <v>#NAME?</v>
      </c>
      <c r="K158" s="274">
        <f t="shared" si="1"/>
        <v>0</v>
      </c>
      <c r="N158" s="274"/>
    </row>
    <row r="159" spans="1:14" ht="13.5" customHeight="1">
      <c r="A159" s="1" t="s">
        <v>1243</v>
      </c>
      <c r="E159" s="209" t="s">
        <v>755</v>
      </c>
      <c r="F159" s="209" t="s">
        <v>2397</v>
      </c>
      <c r="G159" s="411" t="str">
        <f t="shared" si="2"/>
        <v>13-01</v>
      </c>
      <c r="H159" s="273" t="e">
        <f ca="1">_xludf.IFNA(VLOOKUP(Aragon!E159,'Kilter Holds'!$P$37:$AB$662,9,0),0)+_xludf.IFNA(VLOOKUP(A159,'Kilter Holds'!$P$37:$AB$662,9,0),0)</f>
        <v>#NAME?</v>
      </c>
      <c r="I159" s="274"/>
      <c r="J159" s="274" t="e">
        <f t="shared" ca="1" si="0"/>
        <v>#NAME?</v>
      </c>
      <c r="K159" s="274">
        <f t="shared" si="1"/>
        <v>0</v>
      </c>
      <c r="N159" s="274"/>
    </row>
    <row r="160" spans="1:14" ht="13.5" customHeight="1">
      <c r="A160" s="1" t="s">
        <v>1243</v>
      </c>
      <c r="E160" s="209" t="s">
        <v>755</v>
      </c>
      <c r="F160" s="209" t="s">
        <v>2397</v>
      </c>
      <c r="G160" s="413" t="str">
        <f t="shared" si="2"/>
        <v>07-13</v>
      </c>
      <c r="H160" s="273" t="e">
        <f ca="1">_xludf.IFNA(VLOOKUP(Aragon!E160,'Kilter Holds'!$P$37:$AB$662,10,0),0)+_xludf.IFNA(VLOOKUP(A160,'Kilter Holds'!$P$37:$AB$662,10,0),0)</f>
        <v>#NAME?</v>
      </c>
      <c r="I160" s="274"/>
      <c r="J160" s="274" t="e">
        <f t="shared" ca="1" si="0"/>
        <v>#NAME?</v>
      </c>
      <c r="K160" s="274">
        <f t="shared" si="1"/>
        <v>0</v>
      </c>
      <c r="N160" s="274"/>
    </row>
    <row r="161" spans="1:14" ht="13.5" customHeight="1">
      <c r="A161" s="1" t="s">
        <v>1243</v>
      </c>
      <c r="E161" s="209" t="s">
        <v>755</v>
      </c>
      <c r="F161" s="209" t="s">
        <v>2397</v>
      </c>
      <c r="G161" s="414" t="str">
        <f t="shared" si="2"/>
        <v>11-26</v>
      </c>
      <c r="H161" s="273" t="e">
        <f ca="1">_xludf.IFNA(VLOOKUP(Aragon!E161,'Kilter Holds'!$P$37:$AB$662,11,0),0)+_xludf.IFNA(VLOOKUP(A161,'Kilter Holds'!$P$37:$AB$662,11,0),0)</f>
        <v>#NAME?</v>
      </c>
      <c r="I161" s="274"/>
      <c r="J161" s="274" t="e">
        <f t="shared" ca="1" si="0"/>
        <v>#NAME?</v>
      </c>
      <c r="K161" s="274">
        <f t="shared" si="1"/>
        <v>0</v>
      </c>
      <c r="N161" s="274"/>
    </row>
    <row r="162" spans="1:14" ht="13.5" customHeight="1">
      <c r="A162" s="1" t="s">
        <v>1243</v>
      </c>
      <c r="E162" s="209" t="s">
        <v>755</v>
      </c>
      <c r="F162" s="209" t="s">
        <v>2397</v>
      </c>
      <c r="G162" s="415" t="str">
        <f t="shared" si="2"/>
        <v>18-01</v>
      </c>
      <c r="H162" s="273" t="e">
        <f ca="1">_xludf.IFNA(VLOOKUP(Aragon!E162,'Kilter Holds'!$P$37:$AB$662,12,0),0)+_xludf.IFNA(VLOOKUP(A162,'Kilter Holds'!$P$37:$AB$662,12,0),0)</f>
        <v>#NAME?</v>
      </c>
      <c r="I162" s="274"/>
      <c r="J162" s="274" t="e">
        <f t="shared" ca="1" si="0"/>
        <v>#NAME?</v>
      </c>
      <c r="K162" s="274">
        <f t="shared" si="1"/>
        <v>0</v>
      </c>
      <c r="N162" s="274"/>
    </row>
    <row r="163" spans="1:14" ht="13.5" customHeight="1">
      <c r="A163" s="1" t="s">
        <v>1243</v>
      </c>
      <c r="E163" s="209" t="s">
        <v>755</v>
      </c>
      <c r="F163" s="209" t="s">
        <v>2397</v>
      </c>
      <c r="G163" s="416" t="str">
        <f t="shared" si="2"/>
        <v>Color Code</v>
      </c>
      <c r="H163" s="273" t="e">
        <f ca="1">_xludf.IFNA(VLOOKUP(Aragon!E163,'Kilter Holds'!$P$37:$AB$662,13,0),0)+_xludf.IFNA(VLOOKUP(A163,'Kilter Holds'!$P$37:$AB$662,13,0),0)</f>
        <v>#NAME?</v>
      </c>
      <c r="I163" s="274"/>
      <c r="J163" s="274" t="e">
        <f t="shared" ca="1" si="0"/>
        <v>#NAME?</v>
      </c>
      <c r="K163" s="274">
        <f t="shared" si="1"/>
        <v>0</v>
      </c>
      <c r="N163" s="274"/>
    </row>
    <row r="164" spans="1:14" ht="13.5" customHeight="1">
      <c r="E164" s="209" t="s">
        <v>757</v>
      </c>
      <c r="F164" s="209" t="s">
        <v>2398</v>
      </c>
      <c r="G164" s="406" t="str">
        <f t="shared" si="2"/>
        <v>11-12</v>
      </c>
      <c r="H164" s="273" t="e">
        <f ca="1">_xludf.IFNA(VLOOKUP(Aragon!E164,'Kilter Holds'!$P$37:$AB$662,5,0),0)</f>
        <v>#NAME?</v>
      </c>
      <c r="I164" s="274"/>
      <c r="J164" s="274" t="e">
        <f t="shared" ca="1" si="0"/>
        <v>#NAME?</v>
      </c>
      <c r="K164" s="274">
        <f t="shared" si="1"/>
        <v>0</v>
      </c>
      <c r="N164" s="274"/>
    </row>
    <row r="165" spans="1:14" ht="13.5" customHeight="1">
      <c r="E165" s="209" t="s">
        <v>757</v>
      </c>
      <c r="F165" s="209" t="s">
        <v>2398</v>
      </c>
      <c r="G165" s="408" t="str">
        <f t="shared" si="2"/>
        <v>14-01</v>
      </c>
      <c r="H165" s="273" t="e">
        <f ca="1">_xludf.IFNA(VLOOKUP(Aragon!E165,'Kilter Holds'!$P$37:$AB$662,6,0),0)</f>
        <v>#NAME?</v>
      </c>
      <c r="I165" s="274"/>
      <c r="J165" s="274" t="e">
        <f t="shared" ca="1" si="0"/>
        <v>#NAME?</v>
      </c>
      <c r="K165" s="274">
        <f t="shared" si="1"/>
        <v>0</v>
      </c>
      <c r="N165" s="274"/>
    </row>
    <row r="166" spans="1:14" ht="13.5" customHeight="1">
      <c r="E166" s="209" t="s">
        <v>757</v>
      </c>
      <c r="F166" s="209" t="s">
        <v>2398</v>
      </c>
      <c r="G166" s="409" t="str">
        <f t="shared" si="2"/>
        <v>15-12</v>
      </c>
      <c r="H166" s="273" t="e">
        <f ca="1">_xludf.IFNA(VLOOKUP(Aragon!E166,'Kilter Holds'!$P$37:$AB$662,7,0),0)</f>
        <v>#NAME?</v>
      </c>
      <c r="I166" s="274"/>
      <c r="J166" s="274" t="e">
        <f t="shared" ca="1" si="0"/>
        <v>#NAME?</v>
      </c>
      <c r="K166" s="274">
        <f t="shared" si="1"/>
        <v>0</v>
      </c>
      <c r="N166" s="274"/>
    </row>
    <row r="167" spans="1:14" ht="13.5" customHeight="1">
      <c r="E167" s="209" t="s">
        <v>757</v>
      </c>
      <c r="F167" s="209" t="s">
        <v>2398</v>
      </c>
      <c r="G167" s="410" t="str">
        <f t="shared" si="2"/>
        <v>16-16</v>
      </c>
      <c r="H167" s="273" t="e">
        <f ca="1">_xludf.IFNA(VLOOKUP(Aragon!E167,'Kilter Holds'!$P$37:$AB$662,8,0),0)</f>
        <v>#NAME?</v>
      </c>
      <c r="I167" s="274"/>
      <c r="J167" s="274" t="e">
        <f t="shared" ca="1" si="0"/>
        <v>#NAME?</v>
      </c>
      <c r="K167" s="274">
        <f t="shared" si="1"/>
        <v>0</v>
      </c>
      <c r="N167" s="274"/>
    </row>
    <row r="168" spans="1:14" ht="13.5" customHeight="1">
      <c r="E168" s="209" t="s">
        <v>757</v>
      </c>
      <c r="F168" s="209" t="s">
        <v>2398</v>
      </c>
      <c r="G168" s="411" t="str">
        <f t="shared" si="2"/>
        <v>13-01</v>
      </c>
      <c r="H168" s="273" t="e">
        <f ca="1">_xludf.IFNA(VLOOKUP(Aragon!E168,'Kilter Holds'!$P$37:$AB$662,9,0),0)</f>
        <v>#NAME?</v>
      </c>
      <c r="I168" s="274"/>
      <c r="J168" s="274" t="e">
        <f t="shared" ca="1" si="0"/>
        <v>#NAME?</v>
      </c>
      <c r="K168" s="274">
        <f t="shared" si="1"/>
        <v>0</v>
      </c>
      <c r="N168" s="274"/>
    </row>
    <row r="169" spans="1:14" ht="13.5" customHeight="1">
      <c r="E169" s="209" t="s">
        <v>757</v>
      </c>
      <c r="F169" s="209" t="s">
        <v>2398</v>
      </c>
      <c r="G169" s="413" t="str">
        <f t="shared" si="2"/>
        <v>07-13</v>
      </c>
      <c r="H169" s="273" t="e">
        <f ca="1">_xludf.IFNA(VLOOKUP(Aragon!E169,'Kilter Holds'!$P$37:$AB$662,10,0),0)</f>
        <v>#NAME?</v>
      </c>
      <c r="I169" s="274"/>
      <c r="J169" s="274" t="e">
        <f t="shared" ca="1" si="0"/>
        <v>#NAME?</v>
      </c>
      <c r="K169" s="274">
        <f t="shared" si="1"/>
        <v>0</v>
      </c>
      <c r="N169" s="274"/>
    </row>
    <row r="170" spans="1:14" ht="13.5" customHeight="1">
      <c r="E170" s="209" t="s">
        <v>757</v>
      </c>
      <c r="F170" s="209" t="s">
        <v>2398</v>
      </c>
      <c r="G170" s="414" t="str">
        <f t="shared" si="2"/>
        <v>11-26</v>
      </c>
      <c r="H170" s="273" t="e">
        <f ca="1">_xludf.IFNA(VLOOKUP(Aragon!E170,'Kilter Holds'!$P$37:$AB$662,11,0),0)</f>
        <v>#NAME?</v>
      </c>
      <c r="I170" s="274"/>
      <c r="J170" s="274" t="e">
        <f t="shared" ca="1" si="0"/>
        <v>#NAME?</v>
      </c>
      <c r="K170" s="274">
        <f t="shared" si="1"/>
        <v>0</v>
      </c>
      <c r="N170" s="274"/>
    </row>
    <row r="171" spans="1:14" ht="13.5" customHeight="1">
      <c r="E171" s="209" t="s">
        <v>757</v>
      </c>
      <c r="F171" s="209" t="s">
        <v>2398</v>
      </c>
      <c r="G171" s="415" t="str">
        <f t="shared" si="2"/>
        <v>18-01</v>
      </c>
      <c r="H171" s="273" t="e">
        <f ca="1">_xludf.IFNA(VLOOKUP(Aragon!E171,'Kilter Holds'!$P$37:$AB$662,12,0),0)</f>
        <v>#NAME?</v>
      </c>
      <c r="I171" s="274"/>
      <c r="J171" s="274" t="e">
        <f t="shared" ca="1" si="0"/>
        <v>#NAME?</v>
      </c>
      <c r="K171" s="274">
        <f t="shared" si="1"/>
        <v>0</v>
      </c>
      <c r="N171" s="274"/>
    </row>
    <row r="172" spans="1:14" ht="13.5" customHeight="1">
      <c r="E172" s="209" t="s">
        <v>757</v>
      </c>
      <c r="F172" s="209" t="s">
        <v>2398</v>
      </c>
      <c r="G172" s="416" t="str">
        <f t="shared" si="2"/>
        <v>Color Code</v>
      </c>
      <c r="H172" s="273" t="e">
        <f ca="1">_xludf.IFNA(VLOOKUP(Aragon!E172,'Kilter Holds'!$P$37:$AB$662,13,0),0)</f>
        <v>#NAME?</v>
      </c>
      <c r="I172" s="274"/>
      <c r="J172" s="274" t="e">
        <f t="shared" ca="1" si="0"/>
        <v>#NAME?</v>
      </c>
      <c r="K172" s="274">
        <f t="shared" si="1"/>
        <v>0</v>
      </c>
      <c r="N172" s="274"/>
    </row>
    <row r="173" spans="1:14" ht="13.5" customHeight="1">
      <c r="A173" s="1" t="s">
        <v>1241</v>
      </c>
      <c r="E173" s="209" t="s">
        <v>1048</v>
      </c>
      <c r="F173" s="209" t="s">
        <v>2399</v>
      </c>
      <c r="G173" s="406" t="str">
        <f t="shared" si="2"/>
        <v>11-12</v>
      </c>
      <c r="H173" s="273" t="e">
        <f ca="1">_xludf.IFNA(VLOOKUP(E173,'Kilter Holds'!$P$37:$AB$662,5,0),0)+_xludf.IFNA(VLOOKUP(A173,'Kilter Holds'!$P$37:$AB$662,5,0),0)</f>
        <v>#NAME?</v>
      </c>
      <c r="I173" s="274"/>
      <c r="J173" s="274" t="e">
        <f t="shared" ca="1" si="0"/>
        <v>#NAME?</v>
      </c>
      <c r="K173" s="274">
        <f t="shared" si="1"/>
        <v>0</v>
      </c>
      <c r="N173" s="274"/>
    </row>
    <row r="174" spans="1:14" ht="13.5" customHeight="1">
      <c r="A174" s="1" t="s">
        <v>1241</v>
      </c>
      <c r="E174" s="209" t="s">
        <v>1048</v>
      </c>
      <c r="F174" s="209" t="s">
        <v>2399</v>
      </c>
      <c r="G174" s="408" t="str">
        <f t="shared" si="2"/>
        <v>14-01</v>
      </c>
      <c r="H174" s="273" t="e">
        <f ca="1">_xludf.IFNA(VLOOKUP(E174,'Kilter Holds'!$P$37:$AB$662,6,0),0)+_xludf.IFNA(VLOOKUP(A174,'Kilter Holds'!$P$37:$AB$662,6,0),0)</f>
        <v>#NAME?</v>
      </c>
      <c r="I174" s="274"/>
      <c r="J174" s="274" t="e">
        <f t="shared" ca="1" si="0"/>
        <v>#NAME?</v>
      </c>
      <c r="K174" s="274">
        <f t="shared" si="1"/>
        <v>0</v>
      </c>
      <c r="N174" s="274"/>
    </row>
    <row r="175" spans="1:14" ht="13.5" customHeight="1">
      <c r="A175" s="1" t="s">
        <v>1241</v>
      </c>
      <c r="E175" s="209" t="s">
        <v>1048</v>
      </c>
      <c r="F175" s="209" t="s">
        <v>2399</v>
      </c>
      <c r="G175" s="409" t="str">
        <f t="shared" si="2"/>
        <v>15-12</v>
      </c>
      <c r="H175" s="273" t="e">
        <f ca="1">_xludf.IFNA(VLOOKUP(E175,'Kilter Holds'!$P$37:$AB$662,7,0),0)+_xludf.IFNA(VLOOKUP(A175,'Kilter Holds'!$P$37:$AB$662,7,0),0)</f>
        <v>#NAME?</v>
      </c>
      <c r="I175" s="274"/>
      <c r="J175" s="274" t="e">
        <f t="shared" ca="1" si="0"/>
        <v>#NAME?</v>
      </c>
      <c r="K175" s="274">
        <f t="shared" si="1"/>
        <v>0</v>
      </c>
      <c r="N175" s="274"/>
    </row>
    <row r="176" spans="1:14" ht="13.5" customHeight="1">
      <c r="A176" s="1" t="s">
        <v>1241</v>
      </c>
      <c r="E176" s="209" t="s">
        <v>1048</v>
      </c>
      <c r="F176" s="209" t="s">
        <v>2399</v>
      </c>
      <c r="G176" s="410" t="str">
        <f t="shared" si="2"/>
        <v>16-16</v>
      </c>
      <c r="H176" s="273" t="e">
        <f ca="1">_xludf.IFNA(VLOOKUP(E176,'Kilter Holds'!$P$37:$AB$662,8,0),0)+_xludf.IFNA(VLOOKUP(A176,'Kilter Holds'!$P$37:$AB$662,8,0),0)</f>
        <v>#NAME?</v>
      </c>
      <c r="I176" s="274"/>
      <c r="J176" s="274" t="e">
        <f t="shared" ca="1" si="0"/>
        <v>#NAME?</v>
      </c>
      <c r="K176" s="274">
        <f t="shared" si="1"/>
        <v>0</v>
      </c>
      <c r="N176" s="274"/>
    </row>
    <row r="177" spans="1:14" ht="13.5" customHeight="1">
      <c r="A177" s="1" t="s">
        <v>1241</v>
      </c>
      <c r="E177" s="209" t="s">
        <v>1048</v>
      </c>
      <c r="F177" s="209" t="s">
        <v>2399</v>
      </c>
      <c r="G177" s="411" t="str">
        <f t="shared" si="2"/>
        <v>13-01</v>
      </c>
      <c r="H177" s="273" t="e">
        <f ca="1">_xludf.IFNA(VLOOKUP(E177,'Kilter Holds'!$P$37:$AB$662,9,0),0)+_xludf.IFNA(VLOOKUP(A177,'Kilter Holds'!$P$37:$AB$662,9,0),0)</f>
        <v>#NAME?</v>
      </c>
      <c r="I177" s="274"/>
      <c r="J177" s="274" t="e">
        <f t="shared" ca="1" si="0"/>
        <v>#NAME?</v>
      </c>
      <c r="K177" s="274">
        <f t="shared" si="1"/>
        <v>0</v>
      </c>
      <c r="N177" s="274"/>
    </row>
    <row r="178" spans="1:14" ht="13.5" customHeight="1">
      <c r="A178" s="1" t="s">
        <v>1241</v>
      </c>
      <c r="E178" s="209" t="s">
        <v>1048</v>
      </c>
      <c r="F178" s="209" t="s">
        <v>2399</v>
      </c>
      <c r="G178" s="413" t="str">
        <f t="shared" si="2"/>
        <v>07-13</v>
      </c>
      <c r="H178" s="273" t="e">
        <f ca="1">_xludf.IFNA(VLOOKUP(E178,'Kilter Holds'!$P$37:$AB$662,10,0),0)+_xludf.IFNA(VLOOKUP(A178,'Kilter Holds'!$P$37:$AB$662,10,0),0)</f>
        <v>#NAME?</v>
      </c>
      <c r="I178" s="274"/>
      <c r="J178" s="274" t="e">
        <f t="shared" ca="1" si="0"/>
        <v>#NAME?</v>
      </c>
      <c r="K178" s="274">
        <f t="shared" si="1"/>
        <v>0</v>
      </c>
      <c r="N178" s="274"/>
    </row>
    <row r="179" spans="1:14" ht="13.5" customHeight="1">
      <c r="A179" s="1" t="s">
        <v>1241</v>
      </c>
      <c r="E179" s="209" t="s">
        <v>1048</v>
      </c>
      <c r="F179" s="209" t="s">
        <v>2399</v>
      </c>
      <c r="G179" s="414" t="str">
        <f t="shared" si="2"/>
        <v>11-26</v>
      </c>
      <c r="H179" s="273" t="e">
        <f ca="1">_xludf.IFNA(VLOOKUP(E179,'Kilter Holds'!$P$37:$AB$662,11,0),0)+_xludf.IFNA(VLOOKUP(A179,'Kilter Holds'!$P$37:$AB$662,11,0),0)</f>
        <v>#NAME?</v>
      </c>
      <c r="I179" s="274"/>
      <c r="J179" s="274" t="e">
        <f t="shared" ca="1" si="0"/>
        <v>#NAME?</v>
      </c>
      <c r="K179" s="274">
        <f t="shared" si="1"/>
        <v>0</v>
      </c>
      <c r="N179" s="274"/>
    </row>
    <row r="180" spans="1:14" ht="13.5" customHeight="1">
      <c r="A180" s="1" t="s">
        <v>1241</v>
      </c>
      <c r="E180" s="209" t="s">
        <v>1048</v>
      </c>
      <c r="F180" s="209" t="s">
        <v>2399</v>
      </c>
      <c r="G180" s="415" t="str">
        <f t="shared" si="2"/>
        <v>18-01</v>
      </c>
      <c r="H180" s="273" t="e">
        <f ca="1">_xludf.IFNA(VLOOKUP(E180,'Kilter Holds'!$P$37:$AB$662,12,0),0)+_xludf.IFNA(VLOOKUP(A180,'Kilter Holds'!$P$37:$AB$662,12,0),0)</f>
        <v>#NAME?</v>
      </c>
      <c r="I180" s="274"/>
      <c r="J180" s="274" t="e">
        <f t="shared" ca="1" si="0"/>
        <v>#NAME?</v>
      </c>
      <c r="K180" s="274">
        <f t="shared" si="1"/>
        <v>0</v>
      </c>
      <c r="N180" s="274"/>
    </row>
    <row r="181" spans="1:14" ht="13.5" customHeight="1">
      <c r="A181" s="1" t="s">
        <v>1241</v>
      </c>
      <c r="E181" s="209" t="s">
        <v>1048</v>
      </c>
      <c r="F181" s="209" t="s">
        <v>2399</v>
      </c>
      <c r="G181" s="416" t="str">
        <f t="shared" si="2"/>
        <v>Color Code</v>
      </c>
      <c r="H181" s="273" t="e">
        <f ca="1">_xludf.IFNA(VLOOKUP(E181,'Kilter Holds'!$P$37:$AB$662,13,0),0)+_xludf.IFNA(VLOOKUP(A181,'Kilter Holds'!$P$37:$AB$662,13,0),0)</f>
        <v>#NAME?</v>
      </c>
      <c r="I181" s="274"/>
      <c r="J181" s="274" t="e">
        <f t="shared" ca="1" si="0"/>
        <v>#NAME?</v>
      </c>
      <c r="K181" s="274">
        <f t="shared" si="1"/>
        <v>0</v>
      </c>
      <c r="N181" s="274"/>
    </row>
    <row r="182" spans="1:14" ht="13.5" customHeight="1">
      <c r="E182" s="209" t="s">
        <v>1050</v>
      </c>
      <c r="F182" s="209" t="s">
        <v>2400</v>
      </c>
      <c r="G182" s="406" t="str">
        <f t="shared" si="2"/>
        <v>11-12</v>
      </c>
      <c r="H182" s="273" t="e">
        <f ca="1">_xludf.IFNA(VLOOKUP(Aragon!E182,'Kilter Holds'!$P$37:$AB$662,5,0),0)</f>
        <v>#NAME?</v>
      </c>
      <c r="I182" s="274"/>
      <c r="J182" s="274" t="e">
        <f t="shared" ca="1" si="0"/>
        <v>#NAME?</v>
      </c>
      <c r="K182" s="274">
        <f t="shared" si="1"/>
        <v>0</v>
      </c>
      <c r="N182" s="274"/>
    </row>
    <row r="183" spans="1:14" ht="13.5" customHeight="1">
      <c r="E183" s="209" t="s">
        <v>1050</v>
      </c>
      <c r="F183" s="209" t="s">
        <v>2400</v>
      </c>
      <c r="G183" s="408" t="str">
        <f t="shared" si="2"/>
        <v>14-01</v>
      </c>
      <c r="H183" s="273" t="e">
        <f ca="1">_xludf.IFNA(VLOOKUP(Aragon!E183,'Kilter Holds'!$P$37:$AB$662,6,0),0)</f>
        <v>#NAME?</v>
      </c>
      <c r="I183" s="274"/>
      <c r="J183" s="274" t="e">
        <f t="shared" ca="1" si="0"/>
        <v>#NAME?</v>
      </c>
      <c r="K183" s="274">
        <f t="shared" si="1"/>
        <v>0</v>
      </c>
      <c r="N183" s="274"/>
    </row>
    <row r="184" spans="1:14" ht="13.5" customHeight="1">
      <c r="E184" s="209" t="s">
        <v>1050</v>
      </c>
      <c r="F184" s="209" t="s">
        <v>2400</v>
      </c>
      <c r="G184" s="409" t="str">
        <f t="shared" si="2"/>
        <v>15-12</v>
      </c>
      <c r="H184" s="273" t="e">
        <f ca="1">_xludf.IFNA(VLOOKUP(Aragon!E184,'Kilter Holds'!$P$37:$AB$662,7,0),0)</f>
        <v>#NAME?</v>
      </c>
      <c r="I184" s="274"/>
      <c r="J184" s="274" t="e">
        <f t="shared" ca="1" si="0"/>
        <v>#NAME?</v>
      </c>
      <c r="K184" s="274">
        <f t="shared" si="1"/>
        <v>0</v>
      </c>
      <c r="N184" s="274"/>
    </row>
    <row r="185" spans="1:14" ht="13.5" customHeight="1">
      <c r="E185" s="209" t="s">
        <v>1050</v>
      </c>
      <c r="F185" s="209" t="s">
        <v>2400</v>
      </c>
      <c r="G185" s="410" t="str">
        <f t="shared" si="2"/>
        <v>16-16</v>
      </c>
      <c r="H185" s="273" t="e">
        <f ca="1">_xludf.IFNA(VLOOKUP(Aragon!E185,'Kilter Holds'!$P$37:$AB$662,8,0),0)</f>
        <v>#NAME?</v>
      </c>
      <c r="I185" s="274"/>
      <c r="J185" s="274" t="e">
        <f t="shared" ca="1" si="0"/>
        <v>#NAME?</v>
      </c>
      <c r="K185" s="274">
        <f t="shared" si="1"/>
        <v>0</v>
      </c>
      <c r="N185" s="274"/>
    </row>
    <row r="186" spans="1:14" ht="13.5" customHeight="1">
      <c r="E186" s="209" t="s">
        <v>1050</v>
      </c>
      <c r="F186" s="209" t="s">
        <v>2400</v>
      </c>
      <c r="G186" s="411" t="str">
        <f t="shared" si="2"/>
        <v>13-01</v>
      </c>
      <c r="H186" s="273" t="e">
        <f ca="1">_xludf.IFNA(VLOOKUP(Aragon!E186,'Kilter Holds'!$P$37:$AB$662,9,0),0)</f>
        <v>#NAME?</v>
      </c>
      <c r="I186" s="274"/>
      <c r="J186" s="274" t="e">
        <f t="shared" ca="1" si="0"/>
        <v>#NAME?</v>
      </c>
      <c r="K186" s="274">
        <f t="shared" si="1"/>
        <v>0</v>
      </c>
      <c r="N186" s="274"/>
    </row>
    <row r="187" spans="1:14" ht="13.5" customHeight="1">
      <c r="E187" s="209" t="s">
        <v>1050</v>
      </c>
      <c r="F187" s="209" t="s">
        <v>2400</v>
      </c>
      <c r="G187" s="413" t="str">
        <f t="shared" si="2"/>
        <v>07-13</v>
      </c>
      <c r="H187" s="273" t="e">
        <f ca="1">_xludf.IFNA(VLOOKUP(Aragon!E187,'Kilter Holds'!$P$37:$AB$662,10,0),0)</f>
        <v>#NAME?</v>
      </c>
      <c r="I187" s="274"/>
      <c r="J187" s="274" t="e">
        <f t="shared" ca="1" si="0"/>
        <v>#NAME?</v>
      </c>
      <c r="K187" s="274">
        <f t="shared" si="1"/>
        <v>0</v>
      </c>
      <c r="N187" s="274"/>
    </row>
    <row r="188" spans="1:14" ht="13.5" customHeight="1">
      <c r="E188" s="209" t="s">
        <v>1050</v>
      </c>
      <c r="F188" s="209" t="s">
        <v>2400</v>
      </c>
      <c r="G188" s="414" t="str">
        <f t="shared" si="2"/>
        <v>11-26</v>
      </c>
      <c r="H188" s="273" t="e">
        <f ca="1">_xludf.IFNA(VLOOKUP(Aragon!E188,'Kilter Holds'!$P$37:$AB$662,11,0),0)</f>
        <v>#NAME?</v>
      </c>
      <c r="I188" s="274"/>
      <c r="J188" s="274" t="e">
        <f t="shared" ca="1" si="0"/>
        <v>#NAME?</v>
      </c>
      <c r="K188" s="274">
        <f t="shared" si="1"/>
        <v>0</v>
      </c>
      <c r="N188" s="274"/>
    </row>
    <row r="189" spans="1:14" ht="13.5" customHeight="1">
      <c r="E189" s="209" t="s">
        <v>1050</v>
      </c>
      <c r="F189" s="209" t="s">
        <v>2400</v>
      </c>
      <c r="G189" s="415" t="str">
        <f t="shared" si="2"/>
        <v>18-01</v>
      </c>
      <c r="H189" s="273" t="e">
        <f ca="1">_xludf.IFNA(VLOOKUP(Aragon!E189,'Kilter Holds'!$P$37:$AB$662,12,0),0)</f>
        <v>#NAME?</v>
      </c>
      <c r="I189" s="274"/>
      <c r="J189" s="274" t="e">
        <f t="shared" ca="1" si="0"/>
        <v>#NAME?</v>
      </c>
      <c r="K189" s="274">
        <f t="shared" si="1"/>
        <v>0</v>
      </c>
      <c r="N189" s="274"/>
    </row>
    <row r="190" spans="1:14" ht="13.5" customHeight="1">
      <c r="E190" s="209" t="s">
        <v>1050</v>
      </c>
      <c r="F190" s="209" t="s">
        <v>2400</v>
      </c>
      <c r="G190" s="416" t="str">
        <f t="shared" si="2"/>
        <v>Color Code</v>
      </c>
      <c r="H190" s="273" t="e">
        <f ca="1">_xludf.IFNA(VLOOKUP(Aragon!E190,'Kilter Holds'!$P$37:$AB$662,13,0),0)</f>
        <v>#NAME?</v>
      </c>
      <c r="I190" s="274"/>
      <c r="J190" s="274" t="e">
        <f t="shared" ca="1" si="0"/>
        <v>#NAME?</v>
      </c>
      <c r="K190" s="274">
        <f t="shared" si="1"/>
        <v>0</v>
      </c>
      <c r="N190" s="274"/>
    </row>
    <row r="191" spans="1:14" ht="13.5" customHeight="1">
      <c r="E191" s="209" t="s">
        <v>745</v>
      </c>
      <c r="F191" s="209" t="s">
        <v>2401</v>
      </c>
      <c r="G191" s="406" t="str">
        <f t="shared" si="2"/>
        <v>11-12</v>
      </c>
      <c r="H191" s="273" t="e">
        <f ca="1">_xludf.IFNA(VLOOKUP(Aragon!E191,'Kilter Holds'!$P$37:$AB$662,5,0),0)</f>
        <v>#NAME?</v>
      </c>
      <c r="I191" s="274"/>
      <c r="J191" s="274" t="e">
        <f t="shared" ca="1" si="0"/>
        <v>#NAME?</v>
      </c>
      <c r="K191" s="274">
        <f t="shared" si="1"/>
        <v>0</v>
      </c>
      <c r="N191" s="274"/>
    </row>
    <row r="192" spans="1:14" ht="13.5" customHeight="1">
      <c r="E192" s="209" t="s">
        <v>745</v>
      </c>
      <c r="F192" s="209" t="s">
        <v>2401</v>
      </c>
      <c r="G192" s="408" t="str">
        <f t="shared" si="2"/>
        <v>14-01</v>
      </c>
      <c r="H192" s="273" t="e">
        <f ca="1">_xludf.IFNA(VLOOKUP(Aragon!E192,'Kilter Holds'!$P$37:$AB$662,6,0),0)</f>
        <v>#NAME?</v>
      </c>
      <c r="I192" s="274"/>
      <c r="J192" s="274" t="e">
        <f t="shared" ca="1" si="0"/>
        <v>#NAME?</v>
      </c>
      <c r="K192" s="274">
        <f t="shared" si="1"/>
        <v>0</v>
      </c>
      <c r="N192" s="274"/>
    </row>
    <row r="193" spans="5:14" ht="13.5" customHeight="1">
      <c r="E193" s="209" t="s">
        <v>745</v>
      </c>
      <c r="F193" s="209" t="s">
        <v>2401</v>
      </c>
      <c r="G193" s="409" t="str">
        <f t="shared" si="2"/>
        <v>15-12</v>
      </c>
      <c r="H193" s="273" t="e">
        <f ca="1">_xludf.IFNA(VLOOKUP(Aragon!E193,'Kilter Holds'!$P$37:$AB$662,7,0),0)</f>
        <v>#NAME?</v>
      </c>
      <c r="I193" s="274"/>
      <c r="J193" s="274" t="e">
        <f t="shared" ca="1" si="0"/>
        <v>#NAME?</v>
      </c>
      <c r="K193" s="274">
        <f t="shared" si="1"/>
        <v>0</v>
      </c>
      <c r="N193" s="274"/>
    </row>
    <row r="194" spans="5:14" ht="13.5" customHeight="1">
      <c r="E194" s="209" t="s">
        <v>745</v>
      </c>
      <c r="F194" s="209" t="s">
        <v>2401</v>
      </c>
      <c r="G194" s="410" t="str">
        <f t="shared" si="2"/>
        <v>16-16</v>
      </c>
      <c r="H194" s="273" t="e">
        <f ca="1">_xludf.IFNA(VLOOKUP(Aragon!E194,'Kilter Holds'!$P$37:$AB$662,8,0),0)</f>
        <v>#NAME?</v>
      </c>
      <c r="I194" s="274"/>
      <c r="J194" s="274" t="e">
        <f t="shared" ca="1" si="0"/>
        <v>#NAME?</v>
      </c>
      <c r="K194" s="274">
        <f t="shared" si="1"/>
        <v>0</v>
      </c>
      <c r="N194" s="274"/>
    </row>
    <row r="195" spans="5:14" ht="13.5" customHeight="1">
      <c r="E195" s="209" t="s">
        <v>745</v>
      </c>
      <c r="F195" s="209" t="s">
        <v>2401</v>
      </c>
      <c r="G195" s="411" t="str">
        <f t="shared" si="2"/>
        <v>13-01</v>
      </c>
      <c r="H195" s="273" t="e">
        <f ca="1">_xludf.IFNA(VLOOKUP(Aragon!E195,'Kilter Holds'!$P$37:$AB$662,9,0),0)</f>
        <v>#NAME?</v>
      </c>
      <c r="I195" s="274"/>
      <c r="J195" s="274" t="e">
        <f t="shared" ca="1" si="0"/>
        <v>#NAME?</v>
      </c>
      <c r="K195" s="274">
        <f t="shared" si="1"/>
        <v>0</v>
      </c>
      <c r="N195" s="274"/>
    </row>
    <row r="196" spans="5:14" ht="13.5" customHeight="1">
      <c r="E196" s="209" t="s">
        <v>745</v>
      </c>
      <c r="F196" s="209" t="s">
        <v>2401</v>
      </c>
      <c r="G196" s="413" t="str">
        <f t="shared" si="2"/>
        <v>07-13</v>
      </c>
      <c r="H196" s="273" t="e">
        <f ca="1">_xludf.IFNA(VLOOKUP(Aragon!E196,'Kilter Holds'!$P$37:$AB$662,10,0),0)</f>
        <v>#NAME?</v>
      </c>
      <c r="I196" s="274"/>
      <c r="J196" s="274" t="e">
        <f t="shared" ca="1" si="0"/>
        <v>#NAME?</v>
      </c>
      <c r="K196" s="274">
        <f t="shared" si="1"/>
        <v>0</v>
      </c>
      <c r="N196" s="274"/>
    </row>
    <row r="197" spans="5:14" ht="13.5" customHeight="1">
      <c r="E197" s="209" t="s">
        <v>745</v>
      </c>
      <c r="F197" s="209" t="s">
        <v>2401</v>
      </c>
      <c r="G197" s="414" t="str">
        <f t="shared" si="2"/>
        <v>11-26</v>
      </c>
      <c r="H197" s="273" t="e">
        <f ca="1">_xludf.IFNA(VLOOKUP(Aragon!E197,'Kilter Holds'!$P$37:$AB$662,11,0),0)</f>
        <v>#NAME?</v>
      </c>
      <c r="I197" s="274"/>
      <c r="J197" s="274" t="e">
        <f t="shared" ca="1" si="0"/>
        <v>#NAME?</v>
      </c>
      <c r="K197" s="274">
        <f t="shared" si="1"/>
        <v>0</v>
      </c>
      <c r="N197" s="274"/>
    </row>
    <row r="198" spans="5:14" ht="13.5" customHeight="1">
      <c r="E198" s="209" t="s">
        <v>745</v>
      </c>
      <c r="F198" s="209" t="s">
        <v>2401</v>
      </c>
      <c r="G198" s="415" t="str">
        <f t="shared" si="2"/>
        <v>18-01</v>
      </c>
      <c r="H198" s="273" t="e">
        <f ca="1">_xludf.IFNA(VLOOKUP(Aragon!E198,'Kilter Holds'!$P$37:$AB$662,12,0),0)</f>
        <v>#NAME?</v>
      </c>
      <c r="I198" s="274"/>
      <c r="J198" s="274" t="e">
        <f t="shared" ca="1" si="0"/>
        <v>#NAME?</v>
      </c>
      <c r="K198" s="274">
        <f t="shared" si="1"/>
        <v>0</v>
      </c>
      <c r="N198" s="274"/>
    </row>
    <row r="199" spans="5:14" ht="13.5" customHeight="1">
      <c r="E199" s="209" t="s">
        <v>745</v>
      </c>
      <c r="F199" s="209" t="s">
        <v>2401</v>
      </c>
      <c r="G199" s="416" t="str">
        <f t="shared" si="2"/>
        <v>Color Code</v>
      </c>
      <c r="H199" s="273" t="e">
        <f ca="1">_xludf.IFNA(VLOOKUP(Aragon!E199,'Kilter Holds'!$P$37:$AB$662,13,0),0)</f>
        <v>#NAME?</v>
      </c>
      <c r="I199" s="274"/>
      <c r="J199" s="274" t="e">
        <f t="shared" ca="1" si="0"/>
        <v>#NAME?</v>
      </c>
      <c r="K199" s="274">
        <f t="shared" si="1"/>
        <v>0</v>
      </c>
      <c r="N199" s="274"/>
    </row>
    <row r="200" spans="5:14" ht="13.5" customHeight="1">
      <c r="E200" s="209" t="s">
        <v>1123</v>
      </c>
      <c r="F200" s="209" t="s">
        <v>2402</v>
      </c>
      <c r="G200" s="406" t="str">
        <f t="shared" si="2"/>
        <v>11-12</v>
      </c>
      <c r="H200" s="273" t="e">
        <f ca="1">_xludf.IFNA(VLOOKUP(Aragon!E200,'Kilter Holds'!$P$37:$AB$662,5,0),0)</f>
        <v>#NAME?</v>
      </c>
      <c r="I200" s="274"/>
      <c r="J200" s="274" t="e">
        <f t="shared" ca="1" si="0"/>
        <v>#NAME?</v>
      </c>
      <c r="K200" s="274">
        <f t="shared" si="1"/>
        <v>0</v>
      </c>
      <c r="N200" s="274"/>
    </row>
    <row r="201" spans="5:14" ht="13.5" customHeight="1">
      <c r="E201" s="209" t="s">
        <v>1123</v>
      </c>
      <c r="F201" s="209" t="s">
        <v>2402</v>
      </c>
      <c r="G201" s="408" t="str">
        <f t="shared" si="2"/>
        <v>14-01</v>
      </c>
      <c r="H201" s="273" t="e">
        <f ca="1">_xludf.IFNA(VLOOKUP(Aragon!E201,'Kilter Holds'!$P$37:$AB$662,6,0),0)</f>
        <v>#NAME?</v>
      </c>
      <c r="I201" s="274"/>
      <c r="J201" s="274" t="e">
        <f t="shared" ca="1" si="0"/>
        <v>#NAME?</v>
      </c>
      <c r="K201" s="274">
        <f t="shared" si="1"/>
        <v>0</v>
      </c>
      <c r="N201" s="274"/>
    </row>
    <row r="202" spans="5:14" ht="13.5" customHeight="1">
      <c r="E202" s="209" t="s">
        <v>1123</v>
      </c>
      <c r="F202" s="209" t="s">
        <v>2402</v>
      </c>
      <c r="G202" s="409" t="str">
        <f t="shared" si="2"/>
        <v>15-12</v>
      </c>
      <c r="H202" s="273" t="e">
        <f ca="1">_xludf.IFNA(VLOOKUP(Aragon!E202,'Kilter Holds'!$P$37:$AB$662,7,0),0)</f>
        <v>#NAME?</v>
      </c>
      <c r="I202" s="274"/>
      <c r="J202" s="274" t="e">
        <f t="shared" ca="1" si="0"/>
        <v>#NAME?</v>
      </c>
      <c r="K202" s="274">
        <f t="shared" si="1"/>
        <v>0</v>
      </c>
      <c r="N202" s="274"/>
    </row>
    <row r="203" spans="5:14" ht="13.5" customHeight="1">
      <c r="E203" s="209" t="s">
        <v>1123</v>
      </c>
      <c r="F203" s="209" t="s">
        <v>2402</v>
      </c>
      <c r="G203" s="410" t="str">
        <f t="shared" si="2"/>
        <v>16-16</v>
      </c>
      <c r="H203" s="273" t="e">
        <f ca="1">_xludf.IFNA(VLOOKUP(Aragon!E203,'Kilter Holds'!$P$37:$AB$662,8,0),0)</f>
        <v>#NAME?</v>
      </c>
      <c r="I203" s="274"/>
      <c r="J203" s="274" t="e">
        <f t="shared" ca="1" si="0"/>
        <v>#NAME?</v>
      </c>
      <c r="K203" s="274">
        <f t="shared" si="1"/>
        <v>0</v>
      </c>
      <c r="N203" s="274"/>
    </row>
    <row r="204" spans="5:14" ht="13.5" customHeight="1">
      <c r="E204" s="209" t="s">
        <v>1123</v>
      </c>
      <c r="F204" s="209" t="s">
        <v>2402</v>
      </c>
      <c r="G204" s="411" t="str">
        <f t="shared" si="2"/>
        <v>13-01</v>
      </c>
      <c r="H204" s="273" t="e">
        <f ca="1">_xludf.IFNA(VLOOKUP(Aragon!E204,'Kilter Holds'!$P$37:$AB$662,9,0),0)</f>
        <v>#NAME?</v>
      </c>
      <c r="I204" s="274"/>
      <c r="J204" s="274" t="e">
        <f t="shared" ca="1" si="0"/>
        <v>#NAME?</v>
      </c>
      <c r="K204" s="274">
        <f t="shared" si="1"/>
        <v>0</v>
      </c>
      <c r="N204" s="274"/>
    </row>
    <row r="205" spans="5:14" ht="13.5" customHeight="1">
      <c r="E205" s="209" t="s">
        <v>1123</v>
      </c>
      <c r="F205" s="209" t="s">
        <v>2402</v>
      </c>
      <c r="G205" s="413" t="str">
        <f t="shared" si="2"/>
        <v>07-13</v>
      </c>
      <c r="H205" s="273" t="e">
        <f ca="1">_xludf.IFNA(VLOOKUP(Aragon!E205,'Kilter Holds'!$P$37:$AB$662,10,0),0)</f>
        <v>#NAME?</v>
      </c>
      <c r="I205" s="274"/>
      <c r="J205" s="274" t="e">
        <f t="shared" ca="1" si="0"/>
        <v>#NAME?</v>
      </c>
      <c r="K205" s="274">
        <f t="shared" si="1"/>
        <v>0</v>
      </c>
      <c r="N205" s="274"/>
    </row>
    <row r="206" spans="5:14" ht="13.5" customHeight="1">
      <c r="E206" s="209" t="s">
        <v>1123</v>
      </c>
      <c r="F206" s="209" t="s">
        <v>2402</v>
      </c>
      <c r="G206" s="414" t="str">
        <f t="shared" si="2"/>
        <v>11-26</v>
      </c>
      <c r="H206" s="273" t="e">
        <f ca="1">_xludf.IFNA(VLOOKUP(Aragon!E206,'Kilter Holds'!$P$37:$AB$662,11,0),0)</f>
        <v>#NAME?</v>
      </c>
      <c r="I206" s="274"/>
      <c r="J206" s="274" t="e">
        <f t="shared" ca="1" si="0"/>
        <v>#NAME?</v>
      </c>
      <c r="K206" s="274">
        <f t="shared" si="1"/>
        <v>0</v>
      </c>
      <c r="N206" s="274"/>
    </row>
    <row r="207" spans="5:14" ht="13.5" customHeight="1">
      <c r="E207" s="209" t="s">
        <v>1123</v>
      </c>
      <c r="F207" s="209" t="s">
        <v>2402</v>
      </c>
      <c r="G207" s="415" t="str">
        <f t="shared" si="2"/>
        <v>18-01</v>
      </c>
      <c r="H207" s="273" t="e">
        <f ca="1">_xludf.IFNA(VLOOKUP(Aragon!E207,'Kilter Holds'!$P$37:$AB$662,12,0),0)</f>
        <v>#NAME?</v>
      </c>
      <c r="I207" s="274"/>
      <c r="J207" s="274" t="e">
        <f t="shared" ca="1" si="0"/>
        <v>#NAME?</v>
      </c>
      <c r="K207" s="274">
        <f t="shared" si="1"/>
        <v>0</v>
      </c>
      <c r="N207" s="274"/>
    </row>
    <row r="208" spans="5:14" ht="13.5" customHeight="1">
      <c r="E208" s="209" t="s">
        <v>1123</v>
      </c>
      <c r="F208" s="209" t="s">
        <v>2402</v>
      </c>
      <c r="G208" s="416" t="str">
        <f t="shared" si="2"/>
        <v>Color Code</v>
      </c>
      <c r="H208" s="273" t="e">
        <f ca="1">_xludf.IFNA(VLOOKUP(Aragon!E208,'Kilter Holds'!$P$37:$AB$662,13,0),0)</f>
        <v>#NAME?</v>
      </c>
      <c r="I208" s="274"/>
      <c r="J208" s="274" t="e">
        <f t="shared" ca="1" si="0"/>
        <v>#NAME?</v>
      </c>
      <c r="K208" s="274">
        <f t="shared" si="1"/>
        <v>0</v>
      </c>
      <c r="N208" s="274"/>
    </row>
    <row r="209" spans="5:14" ht="13.5" customHeight="1">
      <c r="E209" s="209" t="s">
        <v>1020</v>
      </c>
      <c r="F209" s="209" t="s">
        <v>2403</v>
      </c>
      <c r="G209" s="406" t="str">
        <f t="shared" si="2"/>
        <v>11-12</v>
      </c>
      <c r="H209" s="273" t="e">
        <f ca="1">_xludf.IFNA(VLOOKUP(Aragon!E209,'Kilter Holds'!$P$37:$AB$662,5,0),0)</f>
        <v>#NAME?</v>
      </c>
      <c r="I209" s="274"/>
      <c r="J209" s="274" t="e">
        <f t="shared" ca="1" si="0"/>
        <v>#NAME?</v>
      </c>
      <c r="K209" s="274">
        <f t="shared" si="1"/>
        <v>0</v>
      </c>
      <c r="N209" s="274"/>
    </row>
    <row r="210" spans="5:14" ht="13.5" customHeight="1">
      <c r="E210" s="209" t="s">
        <v>1020</v>
      </c>
      <c r="F210" s="209" t="s">
        <v>2403</v>
      </c>
      <c r="G210" s="408" t="str">
        <f t="shared" si="2"/>
        <v>14-01</v>
      </c>
      <c r="H210" s="273" t="e">
        <f ca="1">_xludf.IFNA(VLOOKUP(Aragon!E210,'Kilter Holds'!$P$37:$AB$662,6,0),0)</f>
        <v>#NAME?</v>
      </c>
      <c r="I210" s="274"/>
      <c r="J210" s="274" t="e">
        <f t="shared" ca="1" si="0"/>
        <v>#NAME?</v>
      </c>
      <c r="K210" s="274">
        <f t="shared" si="1"/>
        <v>0</v>
      </c>
      <c r="N210" s="274"/>
    </row>
    <row r="211" spans="5:14" ht="13.5" customHeight="1">
      <c r="E211" s="209" t="s">
        <v>1020</v>
      </c>
      <c r="F211" s="209" t="s">
        <v>2403</v>
      </c>
      <c r="G211" s="409" t="str">
        <f t="shared" si="2"/>
        <v>15-12</v>
      </c>
      <c r="H211" s="273" t="e">
        <f ca="1">_xludf.IFNA(VLOOKUP(Aragon!E211,'Kilter Holds'!$P$37:$AB$662,7,0),0)</f>
        <v>#NAME?</v>
      </c>
      <c r="I211" s="274"/>
      <c r="J211" s="274" t="e">
        <f t="shared" ca="1" si="0"/>
        <v>#NAME?</v>
      </c>
      <c r="K211" s="274">
        <f t="shared" si="1"/>
        <v>0</v>
      </c>
      <c r="N211" s="274"/>
    </row>
    <row r="212" spans="5:14" ht="13.5" customHeight="1">
      <c r="E212" s="209" t="s">
        <v>1020</v>
      </c>
      <c r="F212" s="209" t="s">
        <v>2403</v>
      </c>
      <c r="G212" s="410" t="str">
        <f t="shared" si="2"/>
        <v>16-16</v>
      </c>
      <c r="H212" s="273" t="e">
        <f ca="1">_xludf.IFNA(VLOOKUP(Aragon!E212,'Kilter Holds'!$P$37:$AB$662,8,0),0)</f>
        <v>#NAME?</v>
      </c>
      <c r="I212" s="274"/>
      <c r="J212" s="274" t="e">
        <f t="shared" ca="1" si="0"/>
        <v>#NAME?</v>
      </c>
      <c r="K212" s="274">
        <f t="shared" si="1"/>
        <v>0</v>
      </c>
      <c r="N212" s="274"/>
    </row>
    <row r="213" spans="5:14" ht="13.5" customHeight="1">
      <c r="E213" s="209" t="s">
        <v>1020</v>
      </c>
      <c r="F213" s="209" t="s">
        <v>2403</v>
      </c>
      <c r="G213" s="411" t="str">
        <f t="shared" si="2"/>
        <v>13-01</v>
      </c>
      <c r="H213" s="273" t="e">
        <f ca="1">_xludf.IFNA(VLOOKUP(Aragon!E213,'Kilter Holds'!$P$37:$AB$662,9,0),0)</f>
        <v>#NAME?</v>
      </c>
      <c r="I213" s="274"/>
      <c r="J213" s="274" t="e">
        <f t="shared" ca="1" si="0"/>
        <v>#NAME?</v>
      </c>
      <c r="K213" s="274">
        <f t="shared" si="1"/>
        <v>0</v>
      </c>
      <c r="N213" s="274"/>
    </row>
    <row r="214" spans="5:14" ht="13.5" customHeight="1">
      <c r="E214" s="209" t="s">
        <v>1020</v>
      </c>
      <c r="F214" s="209" t="s">
        <v>2403</v>
      </c>
      <c r="G214" s="413" t="str">
        <f t="shared" si="2"/>
        <v>07-13</v>
      </c>
      <c r="H214" s="273" t="e">
        <f ca="1">_xludf.IFNA(VLOOKUP(Aragon!E214,'Kilter Holds'!$P$37:$AB$662,10,0),0)</f>
        <v>#NAME?</v>
      </c>
      <c r="I214" s="274"/>
      <c r="J214" s="274" t="e">
        <f t="shared" ca="1" si="0"/>
        <v>#NAME?</v>
      </c>
      <c r="K214" s="274">
        <f t="shared" si="1"/>
        <v>0</v>
      </c>
      <c r="N214" s="274"/>
    </row>
    <row r="215" spans="5:14" ht="13.5" customHeight="1">
      <c r="E215" s="209" t="s">
        <v>1020</v>
      </c>
      <c r="F215" s="209" t="s">
        <v>2403</v>
      </c>
      <c r="G215" s="414" t="str">
        <f t="shared" si="2"/>
        <v>11-26</v>
      </c>
      <c r="H215" s="273" t="e">
        <f ca="1">_xludf.IFNA(VLOOKUP(Aragon!E215,'Kilter Holds'!$P$37:$AB$662,11,0),0)</f>
        <v>#NAME?</v>
      </c>
      <c r="I215" s="274"/>
      <c r="J215" s="274" t="e">
        <f t="shared" ca="1" si="0"/>
        <v>#NAME?</v>
      </c>
      <c r="K215" s="274">
        <f t="shared" si="1"/>
        <v>0</v>
      </c>
      <c r="N215" s="274"/>
    </row>
    <row r="216" spans="5:14" ht="13.5" customHeight="1">
      <c r="E216" s="209" t="s">
        <v>1020</v>
      </c>
      <c r="F216" s="209" t="s">
        <v>2403</v>
      </c>
      <c r="G216" s="415" t="str">
        <f t="shared" si="2"/>
        <v>18-01</v>
      </c>
      <c r="H216" s="273" t="e">
        <f ca="1">_xludf.IFNA(VLOOKUP(Aragon!E216,'Kilter Holds'!$P$37:$AB$662,12,0),0)</f>
        <v>#NAME?</v>
      </c>
      <c r="I216" s="274"/>
      <c r="J216" s="274" t="e">
        <f t="shared" ca="1" si="0"/>
        <v>#NAME?</v>
      </c>
      <c r="K216" s="274">
        <f t="shared" si="1"/>
        <v>0</v>
      </c>
      <c r="N216" s="274"/>
    </row>
    <row r="217" spans="5:14" ht="13.5" customHeight="1">
      <c r="E217" s="209" t="s">
        <v>1020</v>
      </c>
      <c r="F217" s="209" t="s">
        <v>2403</v>
      </c>
      <c r="G217" s="416" t="str">
        <f t="shared" si="2"/>
        <v>Color Code</v>
      </c>
      <c r="H217" s="273" t="e">
        <f ca="1">_xludf.IFNA(VLOOKUP(Aragon!E217,'Kilter Holds'!$P$37:$AB$662,13,0),0)</f>
        <v>#NAME?</v>
      </c>
      <c r="I217" s="274"/>
      <c r="J217" s="274" t="e">
        <f t="shared" ca="1" si="0"/>
        <v>#NAME?</v>
      </c>
      <c r="K217" s="274">
        <f t="shared" si="1"/>
        <v>0</v>
      </c>
      <c r="N217" s="274"/>
    </row>
    <row r="218" spans="5:14" ht="13.5" customHeight="1">
      <c r="E218" s="209" t="s">
        <v>1022</v>
      </c>
      <c r="F218" s="209" t="s">
        <v>2404</v>
      </c>
      <c r="G218" s="406" t="str">
        <f t="shared" si="2"/>
        <v>11-12</v>
      </c>
      <c r="H218" s="273" t="e">
        <f ca="1">_xludf.IFNA(VLOOKUP(Aragon!E218,'Kilter Holds'!$P$37:$AB$662,5,0),0)</f>
        <v>#NAME?</v>
      </c>
      <c r="I218" s="274"/>
      <c r="J218" s="274" t="e">
        <f t="shared" ca="1" si="0"/>
        <v>#NAME?</v>
      </c>
      <c r="K218" s="274">
        <f t="shared" si="1"/>
        <v>0</v>
      </c>
      <c r="N218" s="274"/>
    </row>
    <row r="219" spans="5:14" ht="13.5" customHeight="1">
      <c r="E219" s="209" t="s">
        <v>1022</v>
      </c>
      <c r="F219" s="209" t="s">
        <v>2404</v>
      </c>
      <c r="G219" s="408" t="str">
        <f t="shared" si="2"/>
        <v>14-01</v>
      </c>
      <c r="H219" s="273" t="e">
        <f ca="1">_xludf.IFNA(VLOOKUP(Aragon!E219,'Kilter Holds'!$P$37:$AB$662,6,0),0)</f>
        <v>#NAME?</v>
      </c>
      <c r="I219" s="274"/>
      <c r="J219" s="274" t="e">
        <f t="shared" ca="1" si="0"/>
        <v>#NAME?</v>
      </c>
      <c r="K219" s="274">
        <f t="shared" si="1"/>
        <v>0</v>
      </c>
      <c r="N219" s="274"/>
    </row>
    <row r="220" spans="5:14" ht="13.5" customHeight="1">
      <c r="E220" s="209" t="s">
        <v>1022</v>
      </c>
      <c r="F220" s="209" t="s">
        <v>2404</v>
      </c>
      <c r="G220" s="409" t="str">
        <f t="shared" si="2"/>
        <v>15-12</v>
      </c>
      <c r="H220" s="273" t="e">
        <f ca="1">_xludf.IFNA(VLOOKUP(Aragon!E220,'Kilter Holds'!$P$37:$AB$662,7,0),0)</f>
        <v>#NAME?</v>
      </c>
      <c r="I220" s="274"/>
      <c r="J220" s="274" t="e">
        <f t="shared" ca="1" si="0"/>
        <v>#NAME?</v>
      </c>
      <c r="K220" s="274">
        <f t="shared" si="1"/>
        <v>0</v>
      </c>
      <c r="N220" s="274"/>
    </row>
    <row r="221" spans="5:14" ht="13.5" customHeight="1">
      <c r="E221" s="209" t="s">
        <v>1022</v>
      </c>
      <c r="F221" s="209" t="s">
        <v>2404</v>
      </c>
      <c r="G221" s="410" t="str">
        <f t="shared" si="2"/>
        <v>16-16</v>
      </c>
      <c r="H221" s="273" t="e">
        <f ca="1">_xludf.IFNA(VLOOKUP(Aragon!E221,'Kilter Holds'!$P$37:$AB$662,8,0),0)</f>
        <v>#NAME?</v>
      </c>
      <c r="I221" s="274"/>
      <c r="J221" s="274" t="e">
        <f t="shared" ca="1" si="0"/>
        <v>#NAME?</v>
      </c>
      <c r="K221" s="274">
        <f t="shared" si="1"/>
        <v>0</v>
      </c>
      <c r="N221" s="274"/>
    </row>
    <row r="222" spans="5:14" ht="13.5" customHeight="1">
      <c r="E222" s="209" t="s">
        <v>1022</v>
      </c>
      <c r="F222" s="209" t="s">
        <v>2404</v>
      </c>
      <c r="G222" s="411" t="str">
        <f t="shared" si="2"/>
        <v>13-01</v>
      </c>
      <c r="H222" s="273" t="e">
        <f ca="1">_xludf.IFNA(VLOOKUP(Aragon!E222,'Kilter Holds'!$P$37:$AB$662,9,0),0)</f>
        <v>#NAME?</v>
      </c>
      <c r="I222" s="274"/>
      <c r="J222" s="274" t="e">
        <f t="shared" ca="1" si="0"/>
        <v>#NAME?</v>
      </c>
      <c r="K222" s="274">
        <f t="shared" si="1"/>
        <v>0</v>
      </c>
      <c r="N222" s="274"/>
    </row>
    <row r="223" spans="5:14" ht="13.5" customHeight="1">
      <c r="E223" s="209" t="s">
        <v>1022</v>
      </c>
      <c r="F223" s="209" t="s">
        <v>2404</v>
      </c>
      <c r="G223" s="413" t="str">
        <f t="shared" si="2"/>
        <v>07-13</v>
      </c>
      <c r="H223" s="273" t="e">
        <f ca="1">_xludf.IFNA(VLOOKUP(Aragon!E223,'Kilter Holds'!$P$37:$AB$662,10,0),0)</f>
        <v>#NAME?</v>
      </c>
      <c r="I223" s="274"/>
      <c r="J223" s="274" t="e">
        <f t="shared" ca="1" si="0"/>
        <v>#NAME?</v>
      </c>
      <c r="K223" s="274">
        <f t="shared" si="1"/>
        <v>0</v>
      </c>
      <c r="N223" s="274"/>
    </row>
    <row r="224" spans="5:14" ht="13.5" customHeight="1">
      <c r="E224" s="209" t="s">
        <v>1022</v>
      </c>
      <c r="F224" s="209" t="s">
        <v>2404</v>
      </c>
      <c r="G224" s="414" t="str">
        <f t="shared" si="2"/>
        <v>11-26</v>
      </c>
      <c r="H224" s="273" t="e">
        <f ca="1">_xludf.IFNA(VLOOKUP(Aragon!E224,'Kilter Holds'!$P$37:$AB$662,11,0),0)</f>
        <v>#NAME?</v>
      </c>
      <c r="I224" s="274"/>
      <c r="J224" s="274" t="e">
        <f t="shared" ca="1" si="0"/>
        <v>#NAME?</v>
      </c>
      <c r="K224" s="274">
        <f t="shared" si="1"/>
        <v>0</v>
      </c>
      <c r="N224" s="274"/>
    </row>
    <row r="225" spans="5:14" ht="13.5" customHeight="1">
      <c r="E225" s="209" t="s">
        <v>1022</v>
      </c>
      <c r="F225" s="209" t="s">
        <v>2404</v>
      </c>
      <c r="G225" s="415" t="str">
        <f t="shared" si="2"/>
        <v>18-01</v>
      </c>
      <c r="H225" s="273" t="e">
        <f ca="1">_xludf.IFNA(VLOOKUP(Aragon!E225,'Kilter Holds'!$P$37:$AB$662,12,0),0)</f>
        <v>#NAME?</v>
      </c>
      <c r="I225" s="274"/>
      <c r="J225" s="274" t="e">
        <f t="shared" ca="1" si="0"/>
        <v>#NAME?</v>
      </c>
      <c r="K225" s="274">
        <f t="shared" si="1"/>
        <v>0</v>
      </c>
      <c r="N225" s="274"/>
    </row>
    <row r="226" spans="5:14" ht="13.5" customHeight="1">
      <c r="E226" s="209" t="s">
        <v>1022</v>
      </c>
      <c r="F226" s="209" t="s">
        <v>2404</v>
      </c>
      <c r="G226" s="416" t="str">
        <f t="shared" si="2"/>
        <v>Color Code</v>
      </c>
      <c r="H226" s="273" t="e">
        <f ca="1">_xludf.IFNA(VLOOKUP(Aragon!E226,'Kilter Holds'!$P$37:$AB$662,13,0),0)</f>
        <v>#NAME?</v>
      </c>
      <c r="I226" s="274"/>
      <c r="J226" s="274" t="e">
        <f t="shared" ca="1" si="0"/>
        <v>#NAME?</v>
      </c>
      <c r="K226" s="274">
        <f t="shared" si="1"/>
        <v>0</v>
      </c>
      <c r="N226" s="274"/>
    </row>
    <row r="227" spans="5:14" ht="13.5" customHeight="1">
      <c r="E227" s="209" t="s">
        <v>747</v>
      </c>
      <c r="F227" s="209" t="s">
        <v>2405</v>
      </c>
      <c r="G227" s="406" t="str">
        <f t="shared" si="2"/>
        <v>11-12</v>
      </c>
      <c r="H227" s="273" t="e">
        <f ca="1">_xludf.IFNA(VLOOKUP(Aragon!E227,'Kilter Holds'!$P$37:$AB$662,5,0),0)</f>
        <v>#NAME?</v>
      </c>
      <c r="I227" s="274"/>
      <c r="J227" s="274" t="e">
        <f t="shared" ca="1" si="0"/>
        <v>#NAME?</v>
      </c>
      <c r="K227" s="274">
        <f t="shared" si="1"/>
        <v>0</v>
      </c>
      <c r="N227" s="274"/>
    </row>
    <row r="228" spans="5:14" ht="13.5" customHeight="1">
      <c r="E228" s="209" t="s">
        <v>747</v>
      </c>
      <c r="F228" s="209" t="s">
        <v>2405</v>
      </c>
      <c r="G228" s="408" t="str">
        <f t="shared" si="2"/>
        <v>14-01</v>
      </c>
      <c r="H228" s="273" t="e">
        <f ca="1">_xludf.IFNA(VLOOKUP(Aragon!E228,'Kilter Holds'!$P$37:$AB$662,6,0),0)</f>
        <v>#NAME?</v>
      </c>
      <c r="I228" s="274"/>
      <c r="J228" s="274" t="e">
        <f t="shared" ca="1" si="0"/>
        <v>#NAME?</v>
      </c>
      <c r="K228" s="274">
        <f t="shared" si="1"/>
        <v>0</v>
      </c>
      <c r="N228" s="274"/>
    </row>
    <row r="229" spans="5:14" ht="13.5" customHeight="1">
      <c r="E229" s="209" t="s">
        <v>747</v>
      </c>
      <c r="F229" s="209" t="s">
        <v>2405</v>
      </c>
      <c r="G229" s="409" t="str">
        <f t="shared" si="2"/>
        <v>15-12</v>
      </c>
      <c r="H229" s="273" t="e">
        <f ca="1">_xludf.IFNA(VLOOKUP(Aragon!E229,'Kilter Holds'!$P$37:$AB$662,7,0),0)</f>
        <v>#NAME?</v>
      </c>
      <c r="I229" s="274"/>
      <c r="J229" s="274" t="e">
        <f t="shared" ca="1" si="0"/>
        <v>#NAME?</v>
      </c>
      <c r="K229" s="274">
        <f t="shared" si="1"/>
        <v>0</v>
      </c>
      <c r="N229" s="274"/>
    </row>
    <row r="230" spans="5:14" ht="13.5" customHeight="1">
      <c r="E230" s="209" t="s">
        <v>747</v>
      </c>
      <c r="F230" s="209" t="s">
        <v>2405</v>
      </c>
      <c r="G230" s="410" t="str">
        <f t="shared" si="2"/>
        <v>16-16</v>
      </c>
      <c r="H230" s="273" t="e">
        <f ca="1">_xludf.IFNA(VLOOKUP(Aragon!E230,'Kilter Holds'!$P$37:$AB$662,8,0),0)</f>
        <v>#NAME?</v>
      </c>
      <c r="I230" s="274"/>
      <c r="J230" s="274" t="e">
        <f t="shared" ca="1" si="0"/>
        <v>#NAME?</v>
      </c>
      <c r="K230" s="274">
        <f t="shared" si="1"/>
        <v>0</v>
      </c>
      <c r="N230" s="274"/>
    </row>
    <row r="231" spans="5:14" ht="13.5" customHeight="1">
      <c r="E231" s="209" t="s">
        <v>747</v>
      </c>
      <c r="F231" s="209" t="s">
        <v>2405</v>
      </c>
      <c r="G231" s="411" t="str">
        <f t="shared" si="2"/>
        <v>13-01</v>
      </c>
      <c r="H231" s="273" t="e">
        <f ca="1">_xludf.IFNA(VLOOKUP(Aragon!E231,'Kilter Holds'!$P$37:$AB$662,9,0),0)</f>
        <v>#NAME?</v>
      </c>
      <c r="I231" s="274"/>
      <c r="J231" s="274" t="e">
        <f t="shared" ca="1" si="0"/>
        <v>#NAME?</v>
      </c>
      <c r="K231" s="274">
        <f t="shared" si="1"/>
        <v>0</v>
      </c>
      <c r="N231" s="274"/>
    </row>
    <row r="232" spans="5:14" ht="13.5" customHeight="1">
      <c r="E232" s="209" t="s">
        <v>747</v>
      </c>
      <c r="F232" s="209" t="s">
        <v>2405</v>
      </c>
      <c r="G232" s="413" t="str">
        <f t="shared" si="2"/>
        <v>07-13</v>
      </c>
      <c r="H232" s="273" t="e">
        <f ca="1">_xludf.IFNA(VLOOKUP(Aragon!E232,'Kilter Holds'!$P$37:$AB$662,10,0),0)</f>
        <v>#NAME?</v>
      </c>
      <c r="I232" s="274"/>
      <c r="J232" s="274" t="e">
        <f t="shared" ca="1" si="0"/>
        <v>#NAME?</v>
      </c>
      <c r="K232" s="274">
        <f t="shared" si="1"/>
        <v>0</v>
      </c>
      <c r="N232" s="274"/>
    </row>
    <row r="233" spans="5:14" ht="13.5" customHeight="1">
      <c r="E233" s="209" t="s">
        <v>747</v>
      </c>
      <c r="F233" s="209" t="s">
        <v>2405</v>
      </c>
      <c r="G233" s="414" t="str">
        <f t="shared" si="2"/>
        <v>11-26</v>
      </c>
      <c r="H233" s="273" t="e">
        <f ca="1">_xludf.IFNA(VLOOKUP(Aragon!E233,'Kilter Holds'!$P$37:$AB$662,11,0),0)</f>
        <v>#NAME?</v>
      </c>
      <c r="I233" s="274"/>
      <c r="J233" s="274" t="e">
        <f t="shared" ca="1" si="0"/>
        <v>#NAME?</v>
      </c>
      <c r="K233" s="274">
        <f t="shared" si="1"/>
        <v>0</v>
      </c>
      <c r="N233" s="274"/>
    </row>
    <row r="234" spans="5:14" ht="13.5" customHeight="1">
      <c r="E234" s="209" t="s">
        <v>747</v>
      </c>
      <c r="F234" s="209" t="s">
        <v>2405</v>
      </c>
      <c r="G234" s="415" t="str">
        <f t="shared" si="2"/>
        <v>18-01</v>
      </c>
      <c r="H234" s="273" t="e">
        <f ca="1">_xludf.IFNA(VLOOKUP(Aragon!E234,'Kilter Holds'!$P$37:$AB$662,12,0),0)</f>
        <v>#NAME?</v>
      </c>
      <c r="I234" s="274"/>
      <c r="J234" s="274" t="e">
        <f t="shared" ca="1" si="0"/>
        <v>#NAME?</v>
      </c>
      <c r="K234" s="274">
        <f t="shared" si="1"/>
        <v>0</v>
      </c>
      <c r="N234" s="274"/>
    </row>
    <row r="235" spans="5:14" ht="13.5" customHeight="1">
      <c r="E235" s="209" t="s">
        <v>747</v>
      </c>
      <c r="F235" s="209" t="s">
        <v>2405</v>
      </c>
      <c r="G235" s="416" t="str">
        <f t="shared" si="2"/>
        <v>Color Code</v>
      </c>
      <c r="H235" s="273" t="e">
        <f ca="1">_xludf.IFNA(VLOOKUP(Aragon!E235,'Kilter Holds'!$P$37:$AB$662,13,0),0)</f>
        <v>#NAME?</v>
      </c>
      <c r="I235" s="274"/>
      <c r="J235" s="274" t="e">
        <f t="shared" ca="1" si="0"/>
        <v>#NAME?</v>
      </c>
      <c r="K235" s="274">
        <f t="shared" si="1"/>
        <v>0</v>
      </c>
      <c r="N235" s="274"/>
    </row>
    <row r="236" spans="5:14" ht="13.5" customHeight="1">
      <c r="E236" s="209" t="s">
        <v>1175</v>
      </c>
      <c r="F236" s="209" t="s">
        <v>2406</v>
      </c>
      <c r="G236" s="406" t="str">
        <f t="shared" si="2"/>
        <v>11-12</v>
      </c>
      <c r="H236" s="273" t="e">
        <f ca="1">_xludf.IFNA(VLOOKUP(Aragon!E236,'Kilter Holds'!$P$37:$AB$662,5,0),0)</f>
        <v>#NAME?</v>
      </c>
      <c r="I236" s="274"/>
      <c r="J236" s="274" t="e">
        <f t="shared" ca="1" si="0"/>
        <v>#NAME?</v>
      </c>
      <c r="K236" s="274">
        <f t="shared" si="1"/>
        <v>0</v>
      </c>
      <c r="N236" s="274"/>
    </row>
    <row r="237" spans="5:14" ht="13.5" customHeight="1">
      <c r="E237" s="209" t="s">
        <v>1175</v>
      </c>
      <c r="F237" s="209" t="s">
        <v>2406</v>
      </c>
      <c r="G237" s="408" t="str">
        <f t="shared" si="2"/>
        <v>14-01</v>
      </c>
      <c r="H237" s="273" t="e">
        <f ca="1">_xludf.IFNA(VLOOKUP(Aragon!E237,'Kilter Holds'!$P$37:$AB$662,6,0),0)</f>
        <v>#NAME?</v>
      </c>
      <c r="I237" s="274"/>
      <c r="J237" s="274" t="e">
        <f t="shared" ca="1" si="0"/>
        <v>#NAME?</v>
      </c>
      <c r="K237" s="274">
        <f t="shared" si="1"/>
        <v>0</v>
      </c>
      <c r="N237" s="274"/>
    </row>
    <row r="238" spans="5:14" ht="13.5" customHeight="1">
      <c r="E238" s="209" t="s">
        <v>1175</v>
      </c>
      <c r="F238" s="209" t="s">
        <v>2406</v>
      </c>
      <c r="G238" s="409" t="str">
        <f t="shared" si="2"/>
        <v>15-12</v>
      </c>
      <c r="H238" s="273" t="e">
        <f ca="1">_xludf.IFNA(VLOOKUP(Aragon!E238,'Kilter Holds'!$P$37:$AB$662,7,0),0)</f>
        <v>#NAME?</v>
      </c>
      <c r="I238" s="274"/>
      <c r="J238" s="274" t="e">
        <f t="shared" ca="1" si="0"/>
        <v>#NAME?</v>
      </c>
      <c r="K238" s="274">
        <f t="shared" si="1"/>
        <v>0</v>
      </c>
      <c r="N238" s="274"/>
    </row>
    <row r="239" spans="5:14" ht="13.5" customHeight="1">
      <c r="E239" s="209" t="s">
        <v>1175</v>
      </c>
      <c r="F239" s="209" t="s">
        <v>2406</v>
      </c>
      <c r="G239" s="410" t="str">
        <f t="shared" si="2"/>
        <v>16-16</v>
      </c>
      <c r="H239" s="273" t="e">
        <f ca="1">_xludf.IFNA(VLOOKUP(Aragon!E239,'Kilter Holds'!$P$37:$AB$662,8,0),0)</f>
        <v>#NAME?</v>
      </c>
      <c r="I239" s="274"/>
      <c r="J239" s="274" t="e">
        <f t="shared" ca="1" si="0"/>
        <v>#NAME?</v>
      </c>
      <c r="K239" s="274">
        <f t="shared" si="1"/>
        <v>0</v>
      </c>
      <c r="N239" s="274"/>
    </row>
    <row r="240" spans="5:14" ht="13.5" customHeight="1">
      <c r="E240" s="209" t="s">
        <v>1175</v>
      </c>
      <c r="F240" s="209" t="s">
        <v>2406</v>
      </c>
      <c r="G240" s="411" t="str">
        <f t="shared" si="2"/>
        <v>13-01</v>
      </c>
      <c r="H240" s="273" t="e">
        <f ca="1">_xludf.IFNA(VLOOKUP(Aragon!E240,'Kilter Holds'!$P$37:$AB$662,9,0),0)</f>
        <v>#NAME?</v>
      </c>
      <c r="I240" s="274"/>
      <c r="J240" s="274" t="e">
        <f t="shared" ca="1" si="0"/>
        <v>#NAME?</v>
      </c>
      <c r="K240" s="274">
        <f t="shared" si="1"/>
        <v>0</v>
      </c>
      <c r="N240" s="274"/>
    </row>
    <row r="241" spans="5:14" ht="13.5" customHeight="1">
      <c r="E241" s="209" t="s">
        <v>1175</v>
      </c>
      <c r="F241" s="209" t="s">
        <v>2406</v>
      </c>
      <c r="G241" s="413" t="str">
        <f t="shared" si="2"/>
        <v>07-13</v>
      </c>
      <c r="H241" s="273" t="e">
        <f ca="1">_xludf.IFNA(VLOOKUP(Aragon!E241,'Kilter Holds'!$P$37:$AB$662,10,0),0)</f>
        <v>#NAME?</v>
      </c>
      <c r="I241" s="274"/>
      <c r="J241" s="274" t="e">
        <f t="shared" ca="1" si="0"/>
        <v>#NAME?</v>
      </c>
      <c r="K241" s="274">
        <f t="shared" si="1"/>
        <v>0</v>
      </c>
      <c r="N241" s="274"/>
    </row>
    <row r="242" spans="5:14" ht="13.5" customHeight="1">
      <c r="E242" s="209" t="s">
        <v>1175</v>
      </c>
      <c r="F242" s="209" t="s">
        <v>2406</v>
      </c>
      <c r="G242" s="414" t="str">
        <f t="shared" si="2"/>
        <v>11-26</v>
      </c>
      <c r="H242" s="273" t="e">
        <f ca="1">_xludf.IFNA(VLOOKUP(Aragon!E242,'Kilter Holds'!$P$37:$AB$662,11,0),0)</f>
        <v>#NAME?</v>
      </c>
      <c r="I242" s="274"/>
      <c r="J242" s="274" t="e">
        <f t="shared" ca="1" si="0"/>
        <v>#NAME?</v>
      </c>
      <c r="K242" s="274">
        <f t="shared" si="1"/>
        <v>0</v>
      </c>
      <c r="N242" s="274"/>
    </row>
    <row r="243" spans="5:14" ht="13.5" customHeight="1">
      <c r="E243" s="209" t="s">
        <v>1175</v>
      </c>
      <c r="F243" s="209" t="s">
        <v>2406</v>
      </c>
      <c r="G243" s="415" t="str">
        <f t="shared" si="2"/>
        <v>18-01</v>
      </c>
      <c r="H243" s="273" t="e">
        <f ca="1">_xludf.IFNA(VLOOKUP(Aragon!E243,'Kilter Holds'!$P$37:$AB$662,12,0),0)</f>
        <v>#NAME?</v>
      </c>
      <c r="I243" s="274"/>
      <c r="J243" s="274" t="e">
        <f t="shared" ca="1" si="0"/>
        <v>#NAME?</v>
      </c>
      <c r="K243" s="274">
        <f t="shared" si="1"/>
        <v>0</v>
      </c>
      <c r="N243" s="274"/>
    </row>
    <row r="244" spans="5:14" ht="13.5" customHeight="1">
      <c r="E244" s="209" t="s">
        <v>1175</v>
      </c>
      <c r="F244" s="209" t="s">
        <v>2406</v>
      </c>
      <c r="G244" s="416" t="str">
        <f t="shared" si="2"/>
        <v>Color Code</v>
      </c>
      <c r="H244" s="273" t="e">
        <f ca="1">_xludf.IFNA(VLOOKUP(Aragon!E244,'Kilter Holds'!$P$37:$AB$662,13,0),0)</f>
        <v>#NAME?</v>
      </c>
      <c r="I244" s="274"/>
      <c r="J244" s="274" t="e">
        <f t="shared" ca="1" si="0"/>
        <v>#NAME?</v>
      </c>
      <c r="K244" s="274">
        <f t="shared" si="1"/>
        <v>0</v>
      </c>
      <c r="N244" s="274"/>
    </row>
    <row r="245" spans="5:14" ht="13.5" customHeight="1">
      <c r="E245" s="209" t="s">
        <v>1177</v>
      </c>
      <c r="F245" s="209" t="s">
        <v>2407</v>
      </c>
      <c r="G245" s="406" t="str">
        <f t="shared" si="2"/>
        <v>11-12</v>
      </c>
      <c r="H245" s="273" t="e">
        <f ca="1">_xludf.IFNA(VLOOKUP(Aragon!E245,'Kilter Holds'!$P$37:$AB$662,5,0),0)</f>
        <v>#NAME?</v>
      </c>
      <c r="I245" s="274"/>
      <c r="J245" s="274" t="e">
        <f t="shared" ca="1" si="0"/>
        <v>#NAME?</v>
      </c>
      <c r="K245" s="274">
        <f t="shared" si="1"/>
        <v>0</v>
      </c>
      <c r="N245" s="274"/>
    </row>
    <row r="246" spans="5:14" ht="13.5" customHeight="1">
      <c r="E246" s="209" t="s">
        <v>1177</v>
      </c>
      <c r="F246" s="209" t="s">
        <v>2407</v>
      </c>
      <c r="G246" s="408" t="str">
        <f t="shared" si="2"/>
        <v>14-01</v>
      </c>
      <c r="H246" s="273" t="e">
        <f ca="1">_xludf.IFNA(VLOOKUP(Aragon!E246,'Kilter Holds'!$P$37:$AB$662,6,0),0)</f>
        <v>#NAME?</v>
      </c>
      <c r="I246" s="274"/>
      <c r="J246" s="274" t="e">
        <f t="shared" ca="1" si="0"/>
        <v>#NAME?</v>
      </c>
      <c r="K246" s="274">
        <f t="shared" si="1"/>
        <v>0</v>
      </c>
      <c r="N246" s="274"/>
    </row>
    <row r="247" spans="5:14" ht="13.5" customHeight="1">
      <c r="E247" s="209" t="s">
        <v>1177</v>
      </c>
      <c r="F247" s="209" t="s">
        <v>2407</v>
      </c>
      <c r="G247" s="409" t="str">
        <f t="shared" si="2"/>
        <v>15-12</v>
      </c>
      <c r="H247" s="273" t="e">
        <f ca="1">_xludf.IFNA(VLOOKUP(Aragon!E247,'Kilter Holds'!$P$37:$AB$662,7,0),0)</f>
        <v>#NAME?</v>
      </c>
      <c r="I247" s="274"/>
      <c r="J247" s="274" t="e">
        <f t="shared" ca="1" si="0"/>
        <v>#NAME?</v>
      </c>
      <c r="K247" s="274">
        <f t="shared" si="1"/>
        <v>0</v>
      </c>
      <c r="N247" s="274"/>
    </row>
    <row r="248" spans="5:14" ht="13.5" customHeight="1">
      <c r="E248" s="209" t="s">
        <v>1177</v>
      </c>
      <c r="F248" s="209" t="s">
        <v>2407</v>
      </c>
      <c r="G248" s="410" t="str">
        <f t="shared" si="2"/>
        <v>16-16</v>
      </c>
      <c r="H248" s="273" t="e">
        <f ca="1">_xludf.IFNA(VLOOKUP(Aragon!E248,'Kilter Holds'!$P$37:$AB$662,8,0),0)</f>
        <v>#NAME?</v>
      </c>
      <c r="I248" s="274"/>
      <c r="J248" s="274" t="e">
        <f t="shared" ca="1" si="0"/>
        <v>#NAME?</v>
      </c>
      <c r="K248" s="274">
        <f t="shared" si="1"/>
        <v>0</v>
      </c>
      <c r="N248" s="274"/>
    </row>
    <row r="249" spans="5:14" ht="13.5" customHeight="1">
      <c r="E249" s="209" t="s">
        <v>1177</v>
      </c>
      <c r="F249" s="209" t="s">
        <v>2407</v>
      </c>
      <c r="G249" s="411" t="str">
        <f t="shared" si="2"/>
        <v>13-01</v>
      </c>
      <c r="H249" s="273" t="e">
        <f ca="1">_xludf.IFNA(VLOOKUP(Aragon!E249,'Kilter Holds'!$P$37:$AB$662,9,0),0)</f>
        <v>#NAME?</v>
      </c>
      <c r="I249" s="274"/>
      <c r="J249" s="274" t="e">
        <f t="shared" ca="1" si="0"/>
        <v>#NAME?</v>
      </c>
      <c r="K249" s="274">
        <f t="shared" si="1"/>
        <v>0</v>
      </c>
      <c r="N249" s="274"/>
    </row>
    <row r="250" spans="5:14" ht="13.5" customHeight="1">
      <c r="E250" s="209" t="s">
        <v>1177</v>
      </c>
      <c r="F250" s="209" t="s">
        <v>2407</v>
      </c>
      <c r="G250" s="413" t="str">
        <f t="shared" si="2"/>
        <v>07-13</v>
      </c>
      <c r="H250" s="273" t="e">
        <f ca="1">_xludf.IFNA(VLOOKUP(Aragon!E250,'Kilter Holds'!$P$37:$AB$662,10,0),0)</f>
        <v>#NAME?</v>
      </c>
      <c r="I250" s="274"/>
      <c r="J250" s="274" t="e">
        <f t="shared" ca="1" si="0"/>
        <v>#NAME?</v>
      </c>
      <c r="K250" s="274">
        <f t="shared" si="1"/>
        <v>0</v>
      </c>
      <c r="N250" s="274"/>
    </row>
    <row r="251" spans="5:14" ht="13.5" customHeight="1">
      <c r="E251" s="209" t="s">
        <v>1177</v>
      </c>
      <c r="F251" s="209" t="s">
        <v>2407</v>
      </c>
      <c r="G251" s="414" t="str">
        <f t="shared" si="2"/>
        <v>11-26</v>
      </c>
      <c r="H251" s="273" t="e">
        <f ca="1">_xludf.IFNA(VLOOKUP(Aragon!E251,'Kilter Holds'!$P$37:$AB$662,11,0),0)</f>
        <v>#NAME?</v>
      </c>
      <c r="I251" s="274"/>
      <c r="J251" s="274" t="e">
        <f t="shared" ca="1" si="0"/>
        <v>#NAME?</v>
      </c>
      <c r="K251" s="274">
        <f t="shared" si="1"/>
        <v>0</v>
      </c>
      <c r="N251" s="274"/>
    </row>
    <row r="252" spans="5:14" ht="13.5" customHeight="1">
      <c r="E252" s="209" t="s">
        <v>1177</v>
      </c>
      <c r="F252" s="209" t="s">
        <v>2407</v>
      </c>
      <c r="G252" s="415" t="str">
        <f t="shared" si="2"/>
        <v>18-01</v>
      </c>
      <c r="H252" s="273" t="e">
        <f ca="1">_xludf.IFNA(VLOOKUP(Aragon!E252,'Kilter Holds'!$P$37:$AB$662,12,0),0)</f>
        <v>#NAME?</v>
      </c>
      <c r="I252" s="274"/>
      <c r="J252" s="274" t="e">
        <f t="shared" ca="1" si="0"/>
        <v>#NAME?</v>
      </c>
      <c r="K252" s="274">
        <f t="shared" si="1"/>
        <v>0</v>
      </c>
      <c r="N252" s="274"/>
    </row>
    <row r="253" spans="5:14" ht="13.5" customHeight="1">
      <c r="E253" s="209" t="s">
        <v>1177</v>
      </c>
      <c r="F253" s="209" t="s">
        <v>2407</v>
      </c>
      <c r="G253" s="416" t="str">
        <f t="shared" si="2"/>
        <v>Color Code</v>
      </c>
      <c r="H253" s="273" t="e">
        <f ca="1">_xludf.IFNA(VLOOKUP(Aragon!E253,'Kilter Holds'!$P$37:$AB$662,13,0),0)</f>
        <v>#NAME?</v>
      </c>
      <c r="I253" s="274"/>
      <c r="J253" s="274" t="e">
        <f t="shared" ca="1" si="0"/>
        <v>#NAME?</v>
      </c>
      <c r="K253" s="274">
        <f t="shared" si="1"/>
        <v>0</v>
      </c>
      <c r="N253" s="274"/>
    </row>
    <row r="254" spans="5:14" ht="13.5" customHeight="1">
      <c r="E254" s="209" t="s">
        <v>1099</v>
      </c>
      <c r="F254" s="209" t="s">
        <v>2408</v>
      </c>
      <c r="G254" s="406" t="str">
        <f t="shared" si="2"/>
        <v>11-12</v>
      </c>
      <c r="H254" s="273" t="e">
        <f ca="1">_xludf.IFNA(VLOOKUP(Aragon!E254,'Kilter Holds'!$P$37:$AB$662,5,0),0)</f>
        <v>#NAME?</v>
      </c>
      <c r="I254" s="274"/>
      <c r="J254" s="274" t="e">
        <f t="shared" ca="1" si="0"/>
        <v>#NAME?</v>
      </c>
      <c r="K254" s="274">
        <f t="shared" si="1"/>
        <v>0</v>
      </c>
      <c r="N254" s="274"/>
    </row>
    <row r="255" spans="5:14" ht="13.5" customHeight="1">
      <c r="E255" s="209" t="s">
        <v>1099</v>
      </c>
      <c r="F255" s="209" t="s">
        <v>2408</v>
      </c>
      <c r="G255" s="408" t="str">
        <f t="shared" si="2"/>
        <v>14-01</v>
      </c>
      <c r="H255" s="273" t="e">
        <f ca="1">_xludf.IFNA(VLOOKUP(Aragon!E255,'Kilter Holds'!$P$37:$AB$662,6,0),0)</f>
        <v>#NAME?</v>
      </c>
      <c r="I255" s="274"/>
      <c r="J255" s="274" t="e">
        <f t="shared" ca="1" si="0"/>
        <v>#NAME?</v>
      </c>
      <c r="K255" s="274">
        <f t="shared" si="1"/>
        <v>0</v>
      </c>
      <c r="N255" s="274"/>
    </row>
    <row r="256" spans="5:14" ht="13.5" customHeight="1">
      <c r="E256" s="209" t="s">
        <v>1099</v>
      </c>
      <c r="F256" s="209" t="s">
        <v>2408</v>
      </c>
      <c r="G256" s="409" t="str">
        <f t="shared" si="2"/>
        <v>15-12</v>
      </c>
      <c r="H256" s="273" t="e">
        <f ca="1">_xludf.IFNA(VLOOKUP(Aragon!E256,'Kilter Holds'!$P$37:$AB$662,7,0),0)</f>
        <v>#NAME?</v>
      </c>
      <c r="I256" s="274"/>
      <c r="J256" s="274" t="e">
        <f t="shared" ca="1" si="0"/>
        <v>#NAME?</v>
      </c>
      <c r="K256" s="274">
        <f t="shared" si="1"/>
        <v>0</v>
      </c>
      <c r="N256" s="274"/>
    </row>
    <row r="257" spans="5:14" ht="13.5" customHeight="1">
      <c r="E257" s="209" t="s">
        <v>1099</v>
      </c>
      <c r="F257" s="209" t="s">
        <v>2408</v>
      </c>
      <c r="G257" s="410" t="str">
        <f t="shared" si="2"/>
        <v>16-16</v>
      </c>
      <c r="H257" s="273" t="e">
        <f ca="1">_xludf.IFNA(VLOOKUP(Aragon!E257,'Kilter Holds'!$P$37:$AB$662,8,0),0)</f>
        <v>#NAME?</v>
      </c>
      <c r="I257" s="274"/>
      <c r="J257" s="274" t="e">
        <f t="shared" ref="J257:J511" ca="1" si="3">H257*I257</f>
        <v>#NAME?</v>
      </c>
      <c r="K257" s="274">
        <f t="shared" ref="K257:K511" si="4">IF($V$11="Y",J257*0.05,0)</f>
        <v>0</v>
      </c>
      <c r="N257" s="274"/>
    </row>
    <row r="258" spans="5:14" ht="13.5" customHeight="1">
      <c r="E258" s="209" t="s">
        <v>1099</v>
      </c>
      <c r="F258" s="209" t="s">
        <v>2408</v>
      </c>
      <c r="G258" s="411" t="str">
        <f t="shared" si="2"/>
        <v>13-01</v>
      </c>
      <c r="H258" s="273" t="e">
        <f ca="1">_xludf.IFNA(VLOOKUP(Aragon!E258,'Kilter Holds'!$P$37:$AB$662,9,0),0)</f>
        <v>#NAME?</v>
      </c>
      <c r="I258" s="274"/>
      <c r="J258" s="274" t="e">
        <f t="shared" ca="1" si="3"/>
        <v>#NAME?</v>
      </c>
      <c r="K258" s="274">
        <f t="shared" si="4"/>
        <v>0</v>
      </c>
      <c r="N258" s="274"/>
    </row>
    <row r="259" spans="5:14" ht="13.5" customHeight="1">
      <c r="E259" s="209" t="s">
        <v>1099</v>
      </c>
      <c r="F259" s="209" t="s">
        <v>2408</v>
      </c>
      <c r="G259" s="413" t="str">
        <f t="shared" si="2"/>
        <v>07-13</v>
      </c>
      <c r="H259" s="273" t="e">
        <f ca="1">_xludf.IFNA(VLOOKUP(Aragon!E259,'Kilter Holds'!$P$37:$AB$662,10,0),0)</f>
        <v>#NAME?</v>
      </c>
      <c r="I259" s="274"/>
      <c r="J259" s="274" t="e">
        <f t="shared" ca="1" si="3"/>
        <v>#NAME?</v>
      </c>
      <c r="K259" s="274">
        <f t="shared" si="4"/>
        <v>0</v>
      </c>
      <c r="N259" s="274"/>
    </row>
    <row r="260" spans="5:14" ht="13.5" customHeight="1">
      <c r="E260" s="209" t="s">
        <v>1099</v>
      </c>
      <c r="F260" s="209" t="s">
        <v>2408</v>
      </c>
      <c r="G260" s="414" t="str">
        <f t="shared" si="2"/>
        <v>11-26</v>
      </c>
      <c r="H260" s="273" t="e">
        <f ca="1">_xludf.IFNA(VLOOKUP(Aragon!E260,'Kilter Holds'!$P$37:$AB$662,11,0),0)</f>
        <v>#NAME?</v>
      </c>
      <c r="I260" s="274"/>
      <c r="J260" s="274" t="e">
        <f t="shared" ca="1" si="3"/>
        <v>#NAME?</v>
      </c>
      <c r="K260" s="274">
        <f t="shared" si="4"/>
        <v>0</v>
      </c>
      <c r="N260" s="274"/>
    </row>
    <row r="261" spans="5:14" ht="13.5" customHeight="1">
      <c r="E261" s="209" t="s">
        <v>1099</v>
      </c>
      <c r="F261" s="209" t="s">
        <v>2408</v>
      </c>
      <c r="G261" s="415" t="str">
        <f t="shared" si="2"/>
        <v>18-01</v>
      </c>
      <c r="H261" s="273" t="e">
        <f ca="1">_xludf.IFNA(VLOOKUP(Aragon!E261,'Kilter Holds'!$P$37:$AB$662,12,0),0)</f>
        <v>#NAME?</v>
      </c>
      <c r="I261" s="274"/>
      <c r="J261" s="274" t="e">
        <f t="shared" ca="1" si="3"/>
        <v>#NAME?</v>
      </c>
      <c r="K261" s="274">
        <f t="shared" si="4"/>
        <v>0</v>
      </c>
      <c r="N261" s="274"/>
    </row>
    <row r="262" spans="5:14" ht="13.5" customHeight="1">
      <c r="E262" s="209" t="s">
        <v>1099</v>
      </c>
      <c r="F262" s="209" t="s">
        <v>2408</v>
      </c>
      <c r="G262" s="416" t="str">
        <f t="shared" si="2"/>
        <v>Color Code</v>
      </c>
      <c r="H262" s="273" t="e">
        <f ca="1">_xludf.IFNA(VLOOKUP(Aragon!E262,'Kilter Holds'!$P$37:$AB$662,13,0),0)</f>
        <v>#NAME?</v>
      </c>
      <c r="I262" s="274"/>
      <c r="J262" s="274" t="e">
        <f t="shared" ca="1" si="3"/>
        <v>#NAME?</v>
      </c>
      <c r="K262" s="274">
        <f t="shared" si="4"/>
        <v>0</v>
      </c>
      <c r="N262" s="274"/>
    </row>
    <row r="263" spans="5:14" ht="13.5" customHeight="1">
      <c r="E263" s="209" t="s">
        <v>1101</v>
      </c>
      <c r="F263" s="209" t="s">
        <v>2409</v>
      </c>
      <c r="G263" s="406" t="str">
        <f t="shared" si="2"/>
        <v>11-12</v>
      </c>
      <c r="H263" s="273" t="e">
        <f ca="1">_xludf.IFNA(VLOOKUP(Aragon!E263,'Kilter Holds'!$P$37:$AB$662,5,0),0)</f>
        <v>#NAME?</v>
      </c>
      <c r="I263" s="274"/>
      <c r="J263" s="274" t="e">
        <f t="shared" ca="1" si="3"/>
        <v>#NAME?</v>
      </c>
      <c r="K263" s="274">
        <f t="shared" si="4"/>
        <v>0</v>
      </c>
      <c r="N263" s="274"/>
    </row>
    <row r="264" spans="5:14" ht="13.5" customHeight="1">
      <c r="E264" s="209" t="s">
        <v>1101</v>
      </c>
      <c r="F264" s="209" t="s">
        <v>2409</v>
      </c>
      <c r="G264" s="408" t="str">
        <f t="shared" si="2"/>
        <v>14-01</v>
      </c>
      <c r="H264" s="273" t="e">
        <f ca="1">_xludf.IFNA(VLOOKUP(Aragon!E264,'Kilter Holds'!$P$37:$AB$662,6,0),0)</f>
        <v>#NAME?</v>
      </c>
      <c r="I264" s="274"/>
      <c r="J264" s="274" t="e">
        <f t="shared" ca="1" si="3"/>
        <v>#NAME?</v>
      </c>
      <c r="K264" s="274">
        <f t="shared" si="4"/>
        <v>0</v>
      </c>
      <c r="N264" s="274"/>
    </row>
    <row r="265" spans="5:14" ht="13.5" customHeight="1">
      <c r="E265" s="209" t="s">
        <v>1101</v>
      </c>
      <c r="F265" s="209" t="s">
        <v>2409</v>
      </c>
      <c r="G265" s="409" t="str">
        <f t="shared" si="2"/>
        <v>15-12</v>
      </c>
      <c r="H265" s="273" t="e">
        <f ca="1">_xludf.IFNA(VLOOKUP(Aragon!E265,'Kilter Holds'!$P$37:$AB$662,7,0),0)</f>
        <v>#NAME?</v>
      </c>
      <c r="I265" s="274"/>
      <c r="J265" s="274" t="e">
        <f t="shared" ca="1" si="3"/>
        <v>#NAME?</v>
      </c>
      <c r="K265" s="274">
        <f t="shared" si="4"/>
        <v>0</v>
      </c>
      <c r="N265" s="274"/>
    </row>
    <row r="266" spans="5:14" ht="13.5" customHeight="1">
      <c r="E266" s="209" t="s">
        <v>1101</v>
      </c>
      <c r="F266" s="209" t="s">
        <v>2409</v>
      </c>
      <c r="G266" s="410" t="str">
        <f t="shared" ref="G266:G520" si="5">G257</f>
        <v>16-16</v>
      </c>
      <c r="H266" s="273" t="e">
        <f ca="1">_xludf.IFNA(VLOOKUP(Aragon!E266,'Kilter Holds'!$P$37:$AB$662,8,0),0)</f>
        <v>#NAME?</v>
      </c>
      <c r="I266" s="274"/>
      <c r="J266" s="274" t="e">
        <f t="shared" ca="1" si="3"/>
        <v>#NAME?</v>
      </c>
      <c r="K266" s="274">
        <f t="shared" si="4"/>
        <v>0</v>
      </c>
      <c r="N266" s="274"/>
    </row>
    <row r="267" spans="5:14" ht="13.5" customHeight="1">
      <c r="E267" s="209" t="s">
        <v>1101</v>
      </c>
      <c r="F267" s="209" t="s">
        <v>2409</v>
      </c>
      <c r="G267" s="411" t="str">
        <f t="shared" si="5"/>
        <v>13-01</v>
      </c>
      <c r="H267" s="273" t="e">
        <f ca="1">_xludf.IFNA(VLOOKUP(Aragon!E267,'Kilter Holds'!$P$37:$AB$662,9,0),0)</f>
        <v>#NAME?</v>
      </c>
      <c r="I267" s="274"/>
      <c r="J267" s="274" t="e">
        <f t="shared" ca="1" si="3"/>
        <v>#NAME?</v>
      </c>
      <c r="K267" s="274">
        <f t="shared" si="4"/>
        <v>0</v>
      </c>
      <c r="N267" s="274"/>
    </row>
    <row r="268" spans="5:14" ht="13.5" customHeight="1">
      <c r="E268" s="209" t="s">
        <v>1101</v>
      </c>
      <c r="F268" s="209" t="s">
        <v>2409</v>
      </c>
      <c r="G268" s="413" t="str">
        <f t="shared" si="5"/>
        <v>07-13</v>
      </c>
      <c r="H268" s="273" t="e">
        <f ca="1">_xludf.IFNA(VLOOKUP(Aragon!E268,'Kilter Holds'!$P$37:$AB$662,10,0),0)</f>
        <v>#NAME?</v>
      </c>
      <c r="I268" s="274"/>
      <c r="J268" s="274" t="e">
        <f t="shared" ca="1" si="3"/>
        <v>#NAME?</v>
      </c>
      <c r="K268" s="274">
        <f t="shared" si="4"/>
        <v>0</v>
      </c>
      <c r="N268" s="274"/>
    </row>
    <row r="269" spans="5:14" ht="13.5" customHeight="1">
      <c r="E269" s="209" t="s">
        <v>1101</v>
      </c>
      <c r="F269" s="209" t="s">
        <v>2409</v>
      </c>
      <c r="G269" s="414" t="str">
        <f t="shared" si="5"/>
        <v>11-26</v>
      </c>
      <c r="H269" s="273" t="e">
        <f ca="1">_xludf.IFNA(VLOOKUP(Aragon!E269,'Kilter Holds'!$P$37:$AB$662,11,0),0)</f>
        <v>#NAME?</v>
      </c>
      <c r="I269" s="274"/>
      <c r="J269" s="274" t="e">
        <f t="shared" ca="1" si="3"/>
        <v>#NAME?</v>
      </c>
      <c r="K269" s="274">
        <f t="shared" si="4"/>
        <v>0</v>
      </c>
      <c r="N269" s="274"/>
    </row>
    <row r="270" spans="5:14" ht="13.5" customHeight="1">
      <c r="E270" s="209" t="s">
        <v>1101</v>
      </c>
      <c r="F270" s="209" t="s">
        <v>2409</v>
      </c>
      <c r="G270" s="415" t="str">
        <f t="shared" si="5"/>
        <v>18-01</v>
      </c>
      <c r="H270" s="273" t="e">
        <f ca="1">_xludf.IFNA(VLOOKUP(Aragon!E270,'Kilter Holds'!$P$37:$AB$662,12,0),0)</f>
        <v>#NAME?</v>
      </c>
      <c r="I270" s="274"/>
      <c r="J270" s="274" t="e">
        <f t="shared" ca="1" si="3"/>
        <v>#NAME?</v>
      </c>
      <c r="K270" s="274">
        <f t="shared" si="4"/>
        <v>0</v>
      </c>
      <c r="N270" s="274"/>
    </row>
    <row r="271" spans="5:14" ht="13.5" customHeight="1">
      <c r="E271" s="209" t="s">
        <v>1101</v>
      </c>
      <c r="F271" s="209" t="s">
        <v>2409</v>
      </c>
      <c r="G271" s="416" t="str">
        <f t="shared" si="5"/>
        <v>Color Code</v>
      </c>
      <c r="H271" s="273" t="e">
        <f ca="1">_xludf.IFNA(VLOOKUP(Aragon!E271,'Kilter Holds'!$P$37:$AB$662,13,0),0)</f>
        <v>#NAME?</v>
      </c>
      <c r="I271" s="274"/>
      <c r="J271" s="274" t="e">
        <f t="shared" ca="1" si="3"/>
        <v>#NAME?</v>
      </c>
      <c r="K271" s="274">
        <f t="shared" si="4"/>
        <v>0</v>
      </c>
      <c r="N271" s="274"/>
    </row>
    <row r="272" spans="5:14" ht="13.5" customHeight="1">
      <c r="E272" s="209" t="s">
        <v>289</v>
      </c>
      <c r="F272" s="209" t="s">
        <v>2410</v>
      </c>
      <c r="G272" s="406" t="str">
        <f t="shared" si="5"/>
        <v>11-12</v>
      </c>
      <c r="H272" s="273" t="e">
        <f ca="1">_xludf.IFNA(VLOOKUP(Aragon!E272,'Kilter Holds'!$P$37:$AB$662,5,0),0)</f>
        <v>#NAME?</v>
      </c>
      <c r="I272" s="274"/>
      <c r="J272" s="274" t="e">
        <f t="shared" ca="1" si="3"/>
        <v>#NAME?</v>
      </c>
      <c r="K272" s="274">
        <f t="shared" si="4"/>
        <v>0</v>
      </c>
      <c r="N272" s="274"/>
    </row>
    <row r="273" spans="5:14" ht="13.5" customHeight="1">
      <c r="E273" s="209" t="s">
        <v>289</v>
      </c>
      <c r="F273" s="209" t="s">
        <v>2410</v>
      </c>
      <c r="G273" s="408" t="str">
        <f t="shared" si="5"/>
        <v>14-01</v>
      </c>
      <c r="H273" s="273" t="e">
        <f ca="1">_xludf.IFNA(VLOOKUP(Aragon!E273,'Kilter Holds'!$P$37:$AB$662,6,0),0)</f>
        <v>#NAME?</v>
      </c>
      <c r="I273" s="274"/>
      <c r="J273" s="274" t="e">
        <f t="shared" ca="1" si="3"/>
        <v>#NAME?</v>
      </c>
      <c r="K273" s="274">
        <f t="shared" si="4"/>
        <v>0</v>
      </c>
      <c r="N273" s="274"/>
    </row>
    <row r="274" spans="5:14" ht="13.5" customHeight="1">
      <c r="E274" s="209" t="s">
        <v>289</v>
      </c>
      <c r="F274" s="209" t="s">
        <v>2410</v>
      </c>
      <c r="G274" s="409" t="str">
        <f t="shared" si="5"/>
        <v>15-12</v>
      </c>
      <c r="H274" s="273" t="e">
        <f ca="1">_xludf.IFNA(VLOOKUP(Aragon!E274,'Kilter Holds'!$P$37:$AB$662,7,0),0)</f>
        <v>#NAME?</v>
      </c>
      <c r="I274" s="274"/>
      <c r="J274" s="274" t="e">
        <f t="shared" ca="1" si="3"/>
        <v>#NAME?</v>
      </c>
      <c r="K274" s="274">
        <f t="shared" si="4"/>
        <v>0</v>
      </c>
      <c r="N274" s="274"/>
    </row>
    <row r="275" spans="5:14" ht="13.5" customHeight="1">
      <c r="E275" s="209" t="s">
        <v>289</v>
      </c>
      <c r="F275" s="209" t="s">
        <v>2410</v>
      </c>
      <c r="G275" s="410" t="str">
        <f t="shared" si="5"/>
        <v>16-16</v>
      </c>
      <c r="H275" s="273" t="e">
        <f ca="1">_xludf.IFNA(VLOOKUP(Aragon!E275,'Kilter Holds'!$P$37:$AB$662,8,0),0)</f>
        <v>#NAME?</v>
      </c>
      <c r="I275" s="274"/>
      <c r="J275" s="274" t="e">
        <f t="shared" ca="1" si="3"/>
        <v>#NAME?</v>
      </c>
      <c r="K275" s="274">
        <f t="shared" si="4"/>
        <v>0</v>
      </c>
      <c r="N275" s="274"/>
    </row>
    <row r="276" spans="5:14" ht="13.5" customHeight="1">
      <c r="E276" s="209" t="s">
        <v>289</v>
      </c>
      <c r="F276" s="209" t="s">
        <v>2410</v>
      </c>
      <c r="G276" s="411" t="str">
        <f t="shared" si="5"/>
        <v>13-01</v>
      </c>
      <c r="H276" s="273" t="e">
        <f ca="1">_xludf.IFNA(VLOOKUP(Aragon!E276,'Kilter Holds'!$P$37:$AB$662,9,0),0)</f>
        <v>#NAME?</v>
      </c>
      <c r="I276" s="274"/>
      <c r="J276" s="274" t="e">
        <f t="shared" ca="1" si="3"/>
        <v>#NAME?</v>
      </c>
      <c r="K276" s="274">
        <f t="shared" si="4"/>
        <v>0</v>
      </c>
      <c r="N276" s="274"/>
    </row>
    <row r="277" spans="5:14" ht="13.5" customHeight="1">
      <c r="E277" s="209" t="s">
        <v>289</v>
      </c>
      <c r="F277" s="209" t="s">
        <v>2410</v>
      </c>
      <c r="G277" s="413" t="str">
        <f t="shared" si="5"/>
        <v>07-13</v>
      </c>
      <c r="H277" s="273" t="e">
        <f ca="1">_xludf.IFNA(VLOOKUP(Aragon!E277,'Kilter Holds'!$P$37:$AB$662,10,0),0)</f>
        <v>#NAME?</v>
      </c>
      <c r="I277" s="274"/>
      <c r="J277" s="274" t="e">
        <f t="shared" ca="1" si="3"/>
        <v>#NAME?</v>
      </c>
      <c r="K277" s="274">
        <f t="shared" si="4"/>
        <v>0</v>
      </c>
      <c r="N277" s="274"/>
    </row>
    <row r="278" spans="5:14" ht="13.5" customHeight="1">
      <c r="E278" s="209" t="s">
        <v>289</v>
      </c>
      <c r="F278" s="209" t="s">
        <v>2410</v>
      </c>
      <c r="G278" s="414" t="str">
        <f t="shared" si="5"/>
        <v>11-26</v>
      </c>
      <c r="H278" s="273" t="e">
        <f ca="1">_xludf.IFNA(VLOOKUP(Aragon!E278,'Kilter Holds'!$P$37:$AB$662,11,0),0)</f>
        <v>#NAME?</v>
      </c>
      <c r="I278" s="274"/>
      <c r="J278" s="274" t="e">
        <f t="shared" ca="1" si="3"/>
        <v>#NAME?</v>
      </c>
      <c r="K278" s="274">
        <f t="shared" si="4"/>
        <v>0</v>
      </c>
      <c r="N278" s="274"/>
    </row>
    <row r="279" spans="5:14" ht="13.5" customHeight="1">
      <c r="E279" s="209" t="s">
        <v>289</v>
      </c>
      <c r="F279" s="209" t="s">
        <v>2410</v>
      </c>
      <c r="G279" s="415" t="str">
        <f t="shared" si="5"/>
        <v>18-01</v>
      </c>
      <c r="H279" s="273" t="e">
        <f ca="1">_xludf.IFNA(VLOOKUP(Aragon!E279,'Kilter Holds'!$P$37:$AB$662,12,0),0)</f>
        <v>#NAME?</v>
      </c>
      <c r="I279" s="274"/>
      <c r="J279" s="274" t="e">
        <f t="shared" ca="1" si="3"/>
        <v>#NAME?</v>
      </c>
      <c r="K279" s="274">
        <f t="shared" si="4"/>
        <v>0</v>
      </c>
      <c r="N279" s="274"/>
    </row>
    <row r="280" spans="5:14" ht="13.5" customHeight="1">
      <c r="E280" s="209" t="s">
        <v>289</v>
      </c>
      <c r="F280" s="209" t="s">
        <v>2410</v>
      </c>
      <c r="G280" s="416" t="str">
        <f t="shared" si="5"/>
        <v>Color Code</v>
      </c>
      <c r="H280" s="273" t="e">
        <f ca="1">_xludf.IFNA(VLOOKUP(Aragon!E280,'Kilter Holds'!$P$37:$AB$662,13,0),0)</f>
        <v>#NAME?</v>
      </c>
      <c r="I280" s="274"/>
      <c r="J280" s="274" t="e">
        <f t="shared" ca="1" si="3"/>
        <v>#NAME?</v>
      </c>
      <c r="K280" s="274">
        <f t="shared" si="4"/>
        <v>0</v>
      </c>
      <c r="N280" s="274"/>
    </row>
    <row r="281" spans="5:14" ht="13.5" customHeight="1">
      <c r="E281" s="209" t="s">
        <v>257</v>
      </c>
      <c r="F281" s="209" t="s">
        <v>2411</v>
      </c>
      <c r="G281" s="406" t="str">
        <f t="shared" si="5"/>
        <v>11-12</v>
      </c>
      <c r="H281" s="273" t="e">
        <f ca="1">_xludf.IFNA(VLOOKUP(Aragon!E281,'Kilter Holds'!$P$37:$AB$662,5,0),0)</f>
        <v>#NAME?</v>
      </c>
      <c r="I281" s="274"/>
      <c r="J281" s="274" t="e">
        <f t="shared" ca="1" si="3"/>
        <v>#NAME?</v>
      </c>
      <c r="K281" s="274">
        <f t="shared" si="4"/>
        <v>0</v>
      </c>
      <c r="N281" s="274"/>
    </row>
    <row r="282" spans="5:14" ht="13.5" customHeight="1">
      <c r="E282" s="209" t="s">
        <v>257</v>
      </c>
      <c r="F282" s="209" t="s">
        <v>2411</v>
      </c>
      <c r="G282" s="408" t="str">
        <f t="shared" si="5"/>
        <v>14-01</v>
      </c>
      <c r="H282" s="273" t="e">
        <f ca="1">_xludf.IFNA(VLOOKUP(Aragon!E282,'Kilter Holds'!$P$37:$AB$662,6,0),0)</f>
        <v>#NAME?</v>
      </c>
      <c r="I282" s="274"/>
      <c r="J282" s="274" t="e">
        <f t="shared" ca="1" si="3"/>
        <v>#NAME?</v>
      </c>
      <c r="K282" s="274">
        <f t="shared" si="4"/>
        <v>0</v>
      </c>
      <c r="N282" s="274"/>
    </row>
    <row r="283" spans="5:14" ht="13.5" customHeight="1">
      <c r="E283" s="209" t="s">
        <v>257</v>
      </c>
      <c r="F283" s="209" t="s">
        <v>2411</v>
      </c>
      <c r="G283" s="409" t="str">
        <f t="shared" si="5"/>
        <v>15-12</v>
      </c>
      <c r="H283" s="273" t="e">
        <f ca="1">_xludf.IFNA(VLOOKUP(Aragon!E283,'Kilter Holds'!$P$37:$AB$662,7,0),0)</f>
        <v>#NAME?</v>
      </c>
      <c r="I283" s="274"/>
      <c r="J283" s="274" t="e">
        <f t="shared" ca="1" si="3"/>
        <v>#NAME?</v>
      </c>
      <c r="K283" s="274">
        <f t="shared" si="4"/>
        <v>0</v>
      </c>
      <c r="N283" s="274"/>
    </row>
    <row r="284" spans="5:14" ht="13.5" customHeight="1">
      <c r="E284" s="209" t="s">
        <v>257</v>
      </c>
      <c r="F284" s="209" t="s">
        <v>2411</v>
      </c>
      <c r="G284" s="410" t="str">
        <f t="shared" si="5"/>
        <v>16-16</v>
      </c>
      <c r="H284" s="273" t="e">
        <f ca="1">_xludf.IFNA(VLOOKUP(Aragon!E284,'Kilter Holds'!$P$37:$AB$662,8,0),0)</f>
        <v>#NAME?</v>
      </c>
      <c r="I284" s="274"/>
      <c r="J284" s="274" t="e">
        <f t="shared" ca="1" si="3"/>
        <v>#NAME?</v>
      </c>
      <c r="K284" s="274">
        <f t="shared" si="4"/>
        <v>0</v>
      </c>
      <c r="N284" s="274"/>
    </row>
    <row r="285" spans="5:14" ht="13.5" customHeight="1">
      <c r="E285" s="209" t="s">
        <v>257</v>
      </c>
      <c r="F285" s="209" t="s">
        <v>2411</v>
      </c>
      <c r="G285" s="411" t="str">
        <f t="shared" si="5"/>
        <v>13-01</v>
      </c>
      <c r="H285" s="273" t="e">
        <f ca="1">_xludf.IFNA(VLOOKUP(Aragon!E285,'Kilter Holds'!$P$37:$AB$662,9,0),0)</f>
        <v>#NAME?</v>
      </c>
      <c r="I285" s="274"/>
      <c r="J285" s="274" t="e">
        <f t="shared" ca="1" si="3"/>
        <v>#NAME?</v>
      </c>
      <c r="K285" s="274">
        <f t="shared" si="4"/>
        <v>0</v>
      </c>
      <c r="N285" s="274"/>
    </row>
    <row r="286" spans="5:14" ht="13.5" customHeight="1">
      <c r="E286" s="209" t="s">
        <v>257</v>
      </c>
      <c r="F286" s="209" t="s">
        <v>2411</v>
      </c>
      <c r="G286" s="413" t="str">
        <f t="shared" si="5"/>
        <v>07-13</v>
      </c>
      <c r="H286" s="273" t="e">
        <f ca="1">_xludf.IFNA(VLOOKUP(Aragon!E286,'Kilter Holds'!$P$37:$AB$662,10,0),0)</f>
        <v>#NAME?</v>
      </c>
      <c r="I286" s="274"/>
      <c r="J286" s="274" t="e">
        <f t="shared" ca="1" si="3"/>
        <v>#NAME?</v>
      </c>
      <c r="K286" s="274">
        <f t="shared" si="4"/>
        <v>0</v>
      </c>
      <c r="N286" s="274"/>
    </row>
    <row r="287" spans="5:14" ht="13.5" customHeight="1">
      <c r="E287" s="209" t="s">
        <v>257</v>
      </c>
      <c r="F287" s="209" t="s">
        <v>2411</v>
      </c>
      <c r="G287" s="414" t="str">
        <f t="shared" si="5"/>
        <v>11-26</v>
      </c>
      <c r="H287" s="273" t="e">
        <f ca="1">_xludf.IFNA(VLOOKUP(Aragon!E287,'Kilter Holds'!$P$37:$AB$662,11,0),0)</f>
        <v>#NAME?</v>
      </c>
      <c r="I287" s="274"/>
      <c r="J287" s="274" t="e">
        <f t="shared" ca="1" si="3"/>
        <v>#NAME?</v>
      </c>
      <c r="K287" s="274">
        <f t="shared" si="4"/>
        <v>0</v>
      </c>
      <c r="N287" s="274"/>
    </row>
    <row r="288" spans="5:14" ht="13.5" customHeight="1">
      <c r="E288" s="209" t="s">
        <v>257</v>
      </c>
      <c r="F288" s="209" t="s">
        <v>2411</v>
      </c>
      <c r="G288" s="415" t="str">
        <f t="shared" si="5"/>
        <v>18-01</v>
      </c>
      <c r="H288" s="273" t="e">
        <f ca="1">_xludf.IFNA(VLOOKUP(Aragon!E288,'Kilter Holds'!$P$37:$AB$662,12,0),0)</f>
        <v>#NAME?</v>
      </c>
      <c r="I288" s="274"/>
      <c r="J288" s="274" t="e">
        <f t="shared" ca="1" si="3"/>
        <v>#NAME?</v>
      </c>
      <c r="K288" s="274">
        <f t="shared" si="4"/>
        <v>0</v>
      </c>
      <c r="N288" s="274"/>
    </row>
    <row r="289" spans="5:14" ht="13.5" customHeight="1">
      <c r="E289" s="209" t="s">
        <v>257</v>
      </c>
      <c r="F289" s="209" t="s">
        <v>2411</v>
      </c>
      <c r="G289" s="416" t="str">
        <f t="shared" si="5"/>
        <v>Color Code</v>
      </c>
      <c r="H289" s="273" t="e">
        <f ca="1">_xludf.IFNA(VLOOKUP(Aragon!E289,'Kilter Holds'!$P$37:$AB$662,13,0),0)</f>
        <v>#NAME?</v>
      </c>
      <c r="I289" s="274"/>
      <c r="J289" s="274" t="e">
        <f t="shared" ca="1" si="3"/>
        <v>#NAME?</v>
      </c>
      <c r="K289" s="274">
        <f t="shared" si="4"/>
        <v>0</v>
      </c>
      <c r="N289" s="274"/>
    </row>
    <row r="290" spans="5:14" ht="13.5" customHeight="1">
      <c r="E290" s="209" t="s">
        <v>737</v>
      </c>
      <c r="F290" s="209" t="s">
        <v>2412</v>
      </c>
      <c r="G290" s="406" t="str">
        <f t="shared" si="5"/>
        <v>11-12</v>
      </c>
      <c r="H290" s="273" t="e">
        <f ca="1">_xludf.IFNA(VLOOKUP(Aragon!E290,'Kilter Holds'!$P$37:$AB$662,5,0),0)</f>
        <v>#NAME?</v>
      </c>
      <c r="I290" s="274"/>
      <c r="J290" s="274" t="e">
        <f t="shared" ca="1" si="3"/>
        <v>#NAME?</v>
      </c>
      <c r="K290" s="274">
        <f t="shared" si="4"/>
        <v>0</v>
      </c>
      <c r="N290" s="274"/>
    </row>
    <row r="291" spans="5:14" ht="13.5" customHeight="1">
      <c r="E291" s="209" t="s">
        <v>737</v>
      </c>
      <c r="F291" s="209" t="s">
        <v>2412</v>
      </c>
      <c r="G291" s="408" t="str">
        <f t="shared" si="5"/>
        <v>14-01</v>
      </c>
      <c r="H291" s="273" t="e">
        <f ca="1">_xludf.IFNA(VLOOKUP(Aragon!E291,'Kilter Holds'!$P$37:$AB$662,6,0),0)</f>
        <v>#NAME?</v>
      </c>
      <c r="I291" s="274"/>
      <c r="J291" s="274" t="e">
        <f t="shared" ca="1" si="3"/>
        <v>#NAME?</v>
      </c>
      <c r="K291" s="274">
        <f t="shared" si="4"/>
        <v>0</v>
      </c>
      <c r="N291" s="274"/>
    </row>
    <row r="292" spans="5:14" ht="13.5" customHeight="1">
      <c r="E292" s="209" t="s">
        <v>737</v>
      </c>
      <c r="F292" s="209" t="s">
        <v>2412</v>
      </c>
      <c r="G292" s="409" t="str">
        <f t="shared" si="5"/>
        <v>15-12</v>
      </c>
      <c r="H292" s="273" t="e">
        <f ca="1">_xludf.IFNA(VLOOKUP(Aragon!E292,'Kilter Holds'!$P$37:$AB$662,7,0),0)</f>
        <v>#NAME?</v>
      </c>
      <c r="I292" s="274"/>
      <c r="J292" s="274" t="e">
        <f t="shared" ca="1" si="3"/>
        <v>#NAME?</v>
      </c>
      <c r="K292" s="274">
        <f t="shared" si="4"/>
        <v>0</v>
      </c>
      <c r="N292" s="274"/>
    </row>
    <row r="293" spans="5:14" ht="13.5" customHeight="1">
      <c r="E293" s="209" t="s">
        <v>737</v>
      </c>
      <c r="F293" s="209" t="s">
        <v>2412</v>
      </c>
      <c r="G293" s="410" t="str">
        <f t="shared" si="5"/>
        <v>16-16</v>
      </c>
      <c r="H293" s="273" t="e">
        <f ca="1">_xludf.IFNA(VLOOKUP(Aragon!E293,'Kilter Holds'!$P$37:$AB$662,8,0),0)</f>
        <v>#NAME?</v>
      </c>
      <c r="I293" s="274"/>
      <c r="J293" s="274" t="e">
        <f t="shared" ca="1" si="3"/>
        <v>#NAME?</v>
      </c>
      <c r="K293" s="274">
        <f t="shared" si="4"/>
        <v>0</v>
      </c>
      <c r="N293" s="274"/>
    </row>
    <row r="294" spans="5:14" ht="13.5" customHeight="1">
      <c r="E294" s="209" t="s">
        <v>737</v>
      </c>
      <c r="F294" s="209" t="s">
        <v>2412</v>
      </c>
      <c r="G294" s="411" t="str">
        <f t="shared" si="5"/>
        <v>13-01</v>
      </c>
      <c r="H294" s="273" t="e">
        <f ca="1">_xludf.IFNA(VLOOKUP(Aragon!E294,'Kilter Holds'!$P$37:$AB$662,9,0),0)</f>
        <v>#NAME?</v>
      </c>
      <c r="I294" s="274"/>
      <c r="J294" s="274" t="e">
        <f t="shared" ca="1" si="3"/>
        <v>#NAME?</v>
      </c>
      <c r="K294" s="274">
        <f t="shared" si="4"/>
        <v>0</v>
      </c>
      <c r="N294" s="274"/>
    </row>
    <row r="295" spans="5:14" ht="13.5" customHeight="1">
      <c r="E295" s="209" t="s">
        <v>737</v>
      </c>
      <c r="F295" s="209" t="s">
        <v>2412</v>
      </c>
      <c r="G295" s="413" t="str">
        <f t="shared" si="5"/>
        <v>07-13</v>
      </c>
      <c r="H295" s="273" t="e">
        <f ca="1">_xludf.IFNA(VLOOKUP(Aragon!E295,'Kilter Holds'!$P$37:$AB$662,10,0),0)</f>
        <v>#NAME?</v>
      </c>
      <c r="I295" s="274"/>
      <c r="J295" s="274" t="e">
        <f t="shared" ca="1" si="3"/>
        <v>#NAME?</v>
      </c>
      <c r="K295" s="274">
        <f t="shared" si="4"/>
        <v>0</v>
      </c>
      <c r="N295" s="274"/>
    </row>
    <row r="296" spans="5:14" ht="13.5" customHeight="1">
      <c r="E296" s="209" t="s">
        <v>737</v>
      </c>
      <c r="F296" s="209" t="s">
        <v>2412</v>
      </c>
      <c r="G296" s="414" t="str">
        <f t="shared" si="5"/>
        <v>11-26</v>
      </c>
      <c r="H296" s="273" t="e">
        <f ca="1">_xludf.IFNA(VLOOKUP(Aragon!E296,'Kilter Holds'!$P$37:$AB$662,11,0),0)</f>
        <v>#NAME?</v>
      </c>
      <c r="I296" s="274"/>
      <c r="J296" s="274" t="e">
        <f t="shared" ca="1" si="3"/>
        <v>#NAME?</v>
      </c>
      <c r="K296" s="274">
        <f t="shared" si="4"/>
        <v>0</v>
      </c>
      <c r="N296" s="274"/>
    </row>
    <row r="297" spans="5:14" ht="13.5" customHeight="1">
      <c r="E297" s="209" t="s">
        <v>737</v>
      </c>
      <c r="F297" s="209" t="s">
        <v>2412</v>
      </c>
      <c r="G297" s="415" t="str">
        <f t="shared" si="5"/>
        <v>18-01</v>
      </c>
      <c r="H297" s="273" t="e">
        <f ca="1">_xludf.IFNA(VLOOKUP(Aragon!E297,'Kilter Holds'!$P$37:$AB$662,12,0),0)</f>
        <v>#NAME?</v>
      </c>
      <c r="I297" s="274"/>
      <c r="J297" s="274" t="e">
        <f t="shared" ca="1" si="3"/>
        <v>#NAME?</v>
      </c>
      <c r="K297" s="274">
        <f t="shared" si="4"/>
        <v>0</v>
      </c>
      <c r="N297" s="274"/>
    </row>
    <row r="298" spans="5:14" ht="13.5" customHeight="1">
      <c r="E298" s="209" t="s">
        <v>737</v>
      </c>
      <c r="F298" s="209" t="s">
        <v>2412</v>
      </c>
      <c r="G298" s="416" t="str">
        <f t="shared" si="5"/>
        <v>Color Code</v>
      </c>
      <c r="H298" s="273" t="e">
        <f ca="1">_xludf.IFNA(VLOOKUP(Aragon!E298,'Kilter Holds'!$P$37:$AB$662,13,0),0)</f>
        <v>#NAME?</v>
      </c>
      <c r="I298" s="274"/>
      <c r="J298" s="274" t="e">
        <f t="shared" ca="1" si="3"/>
        <v>#NAME?</v>
      </c>
      <c r="K298" s="274">
        <f t="shared" si="4"/>
        <v>0</v>
      </c>
      <c r="N298" s="274"/>
    </row>
    <row r="299" spans="5:14" ht="13.5" customHeight="1">
      <c r="E299" s="209" t="s">
        <v>259</v>
      </c>
      <c r="F299" s="209" t="s">
        <v>2413</v>
      </c>
      <c r="G299" s="406" t="str">
        <f t="shared" si="5"/>
        <v>11-12</v>
      </c>
      <c r="H299" s="273" t="e">
        <f ca="1">_xludf.IFNA(VLOOKUP(Aragon!E299,'Kilter Holds'!$P$37:$AB$662,5,0),0)</f>
        <v>#NAME?</v>
      </c>
      <c r="I299" s="274"/>
      <c r="J299" s="274" t="e">
        <f t="shared" ca="1" si="3"/>
        <v>#NAME?</v>
      </c>
      <c r="K299" s="274">
        <f t="shared" si="4"/>
        <v>0</v>
      </c>
      <c r="N299" s="274"/>
    </row>
    <row r="300" spans="5:14" ht="13.5" customHeight="1">
      <c r="E300" s="209" t="s">
        <v>259</v>
      </c>
      <c r="F300" s="209" t="s">
        <v>2413</v>
      </c>
      <c r="G300" s="408" t="str">
        <f t="shared" si="5"/>
        <v>14-01</v>
      </c>
      <c r="H300" s="273" t="e">
        <f ca="1">_xludf.IFNA(VLOOKUP(Aragon!E300,'Kilter Holds'!$P$37:$AB$662,6,0),0)</f>
        <v>#NAME?</v>
      </c>
      <c r="I300" s="274"/>
      <c r="J300" s="274" t="e">
        <f t="shared" ca="1" si="3"/>
        <v>#NAME?</v>
      </c>
      <c r="K300" s="274">
        <f t="shared" si="4"/>
        <v>0</v>
      </c>
      <c r="N300" s="274"/>
    </row>
    <row r="301" spans="5:14" ht="13.5" customHeight="1">
      <c r="E301" s="209" t="s">
        <v>259</v>
      </c>
      <c r="F301" s="209" t="s">
        <v>2413</v>
      </c>
      <c r="G301" s="409" t="str">
        <f t="shared" si="5"/>
        <v>15-12</v>
      </c>
      <c r="H301" s="273" t="e">
        <f ca="1">_xludf.IFNA(VLOOKUP(Aragon!E301,'Kilter Holds'!$P$37:$AB$662,7,0),0)</f>
        <v>#NAME?</v>
      </c>
      <c r="I301" s="274"/>
      <c r="J301" s="274" t="e">
        <f t="shared" ca="1" si="3"/>
        <v>#NAME?</v>
      </c>
      <c r="K301" s="274">
        <f t="shared" si="4"/>
        <v>0</v>
      </c>
      <c r="N301" s="274"/>
    </row>
    <row r="302" spans="5:14" ht="13.5" customHeight="1">
      <c r="E302" s="209" t="s">
        <v>259</v>
      </c>
      <c r="F302" s="209" t="s">
        <v>2413</v>
      </c>
      <c r="G302" s="410" t="str">
        <f t="shared" si="5"/>
        <v>16-16</v>
      </c>
      <c r="H302" s="273" t="e">
        <f ca="1">_xludf.IFNA(VLOOKUP(Aragon!E302,'Kilter Holds'!$P$37:$AB$662,8,0),0)</f>
        <v>#NAME?</v>
      </c>
      <c r="I302" s="274"/>
      <c r="J302" s="274" t="e">
        <f t="shared" ca="1" si="3"/>
        <v>#NAME?</v>
      </c>
      <c r="K302" s="274">
        <f t="shared" si="4"/>
        <v>0</v>
      </c>
      <c r="N302" s="274"/>
    </row>
    <row r="303" spans="5:14" ht="13.5" customHeight="1">
      <c r="E303" s="209" t="s">
        <v>259</v>
      </c>
      <c r="F303" s="209" t="s">
        <v>2413</v>
      </c>
      <c r="G303" s="411" t="str">
        <f t="shared" si="5"/>
        <v>13-01</v>
      </c>
      <c r="H303" s="273" t="e">
        <f ca="1">_xludf.IFNA(VLOOKUP(Aragon!E303,'Kilter Holds'!$P$37:$AB$662,9,0),0)</f>
        <v>#NAME?</v>
      </c>
      <c r="I303" s="274"/>
      <c r="J303" s="274" t="e">
        <f t="shared" ca="1" si="3"/>
        <v>#NAME?</v>
      </c>
      <c r="K303" s="274">
        <f t="shared" si="4"/>
        <v>0</v>
      </c>
      <c r="N303" s="274"/>
    </row>
    <row r="304" spans="5:14" ht="13.5" customHeight="1">
      <c r="E304" s="209" t="s">
        <v>259</v>
      </c>
      <c r="F304" s="209" t="s">
        <v>2413</v>
      </c>
      <c r="G304" s="413" t="str">
        <f t="shared" si="5"/>
        <v>07-13</v>
      </c>
      <c r="H304" s="273" t="e">
        <f ca="1">_xludf.IFNA(VLOOKUP(Aragon!E304,'Kilter Holds'!$P$37:$AB$662,10,0),0)</f>
        <v>#NAME?</v>
      </c>
      <c r="I304" s="274"/>
      <c r="J304" s="274" t="e">
        <f t="shared" ca="1" si="3"/>
        <v>#NAME?</v>
      </c>
      <c r="K304" s="274">
        <f t="shared" si="4"/>
        <v>0</v>
      </c>
      <c r="N304" s="274"/>
    </row>
    <row r="305" spans="5:14" ht="13.5" customHeight="1">
      <c r="E305" s="209" t="s">
        <v>259</v>
      </c>
      <c r="F305" s="209" t="s">
        <v>2413</v>
      </c>
      <c r="G305" s="414" t="str">
        <f t="shared" si="5"/>
        <v>11-26</v>
      </c>
      <c r="H305" s="273" t="e">
        <f ca="1">_xludf.IFNA(VLOOKUP(Aragon!E305,'Kilter Holds'!$P$37:$AB$662,11,0),0)</f>
        <v>#NAME?</v>
      </c>
      <c r="I305" s="274"/>
      <c r="J305" s="274" t="e">
        <f t="shared" ca="1" si="3"/>
        <v>#NAME?</v>
      </c>
      <c r="K305" s="274">
        <f t="shared" si="4"/>
        <v>0</v>
      </c>
      <c r="N305" s="274"/>
    </row>
    <row r="306" spans="5:14" ht="13.5" customHeight="1">
      <c r="E306" s="209" t="s">
        <v>259</v>
      </c>
      <c r="F306" s="209" t="s">
        <v>2413</v>
      </c>
      <c r="G306" s="415" t="str">
        <f t="shared" si="5"/>
        <v>18-01</v>
      </c>
      <c r="H306" s="273" t="e">
        <f ca="1">_xludf.IFNA(VLOOKUP(Aragon!E306,'Kilter Holds'!$P$37:$AB$662,12,0),0)</f>
        <v>#NAME?</v>
      </c>
      <c r="I306" s="274"/>
      <c r="J306" s="274" t="e">
        <f t="shared" ca="1" si="3"/>
        <v>#NAME?</v>
      </c>
      <c r="K306" s="274">
        <f t="shared" si="4"/>
        <v>0</v>
      </c>
      <c r="N306" s="274"/>
    </row>
    <row r="307" spans="5:14" ht="13.5" customHeight="1">
      <c r="E307" s="209" t="s">
        <v>259</v>
      </c>
      <c r="F307" s="209" t="s">
        <v>2413</v>
      </c>
      <c r="G307" s="416" t="str">
        <f t="shared" si="5"/>
        <v>Color Code</v>
      </c>
      <c r="H307" s="273" t="e">
        <f ca="1">_xludf.IFNA(VLOOKUP(Aragon!E307,'Kilter Holds'!$P$37:$AB$662,13,0),0)</f>
        <v>#NAME?</v>
      </c>
      <c r="I307" s="274"/>
      <c r="J307" s="274" t="e">
        <f t="shared" ca="1" si="3"/>
        <v>#NAME?</v>
      </c>
      <c r="K307" s="274">
        <f t="shared" si="4"/>
        <v>0</v>
      </c>
      <c r="N307" s="274"/>
    </row>
    <row r="308" spans="5:14" ht="13.5" customHeight="1">
      <c r="E308" s="209" t="s">
        <v>739</v>
      </c>
      <c r="F308" s="209" t="s">
        <v>2414</v>
      </c>
      <c r="G308" s="406" t="str">
        <f t="shared" si="5"/>
        <v>11-12</v>
      </c>
      <c r="H308" s="273" t="e">
        <f ca="1">_xludf.IFNA(VLOOKUP(Aragon!E308,'Kilter Holds'!$P$37:$AB$662,5,0),0)</f>
        <v>#NAME?</v>
      </c>
      <c r="I308" s="274"/>
      <c r="J308" s="274" t="e">
        <f t="shared" ca="1" si="3"/>
        <v>#NAME?</v>
      </c>
      <c r="K308" s="274">
        <f t="shared" si="4"/>
        <v>0</v>
      </c>
      <c r="N308" s="274"/>
    </row>
    <row r="309" spans="5:14" ht="13.5" customHeight="1">
      <c r="E309" s="209" t="s">
        <v>739</v>
      </c>
      <c r="F309" s="209" t="s">
        <v>2414</v>
      </c>
      <c r="G309" s="408" t="str">
        <f t="shared" si="5"/>
        <v>14-01</v>
      </c>
      <c r="H309" s="273" t="e">
        <f ca="1">_xludf.IFNA(VLOOKUP(Aragon!E309,'Kilter Holds'!$P$37:$AB$662,6,0),0)</f>
        <v>#NAME?</v>
      </c>
      <c r="I309" s="274"/>
      <c r="J309" s="274" t="e">
        <f t="shared" ca="1" si="3"/>
        <v>#NAME?</v>
      </c>
      <c r="K309" s="274">
        <f t="shared" si="4"/>
        <v>0</v>
      </c>
      <c r="N309" s="274"/>
    </row>
    <row r="310" spans="5:14" ht="13.5" customHeight="1">
      <c r="E310" s="209" t="s">
        <v>739</v>
      </c>
      <c r="F310" s="209" t="s">
        <v>2414</v>
      </c>
      <c r="G310" s="409" t="str">
        <f t="shared" si="5"/>
        <v>15-12</v>
      </c>
      <c r="H310" s="273" t="e">
        <f ca="1">_xludf.IFNA(VLOOKUP(Aragon!E310,'Kilter Holds'!$P$37:$AB$662,7,0),0)</f>
        <v>#NAME?</v>
      </c>
      <c r="I310" s="274"/>
      <c r="J310" s="274" t="e">
        <f t="shared" ca="1" si="3"/>
        <v>#NAME?</v>
      </c>
      <c r="K310" s="274">
        <f t="shared" si="4"/>
        <v>0</v>
      </c>
      <c r="N310" s="274"/>
    </row>
    <row r="311" spans="5:14" ht="13.5" customHeight="1">
      <c r="E311" s="209" t="s">
        <v>739</v>
      </c>
      <c r="F311" s="209" t="s">
        <v>2414</v>
      </c>
      <c r="G311" s="410" t="str">
        <f t="shared" si="5"/>
        <v>16-16</v>
      </c>
      <c r="H311" s="273" t="e">
        <f ca="1">_xludf.IFNA(VLOOKUP(Aragon!E311,'Kilter Holds'!$P$37:$AB$662,8,0),0)</f>
        <v>#NAME?</v>
      </c>
      <c r="I311" s="274"/>
      <c r="J311" s="274" t="e">
        <f t="shared" ca="1" si="3"/>
        <v>#NAME?</v>
      </c>
      <c r="K311" s="274">
        <f t="shared" si="4"/>
        <v>0</v>
      </c>
      <c r="N311" s="274"/>
    </row>
    <row r="312" spans="5:14" ht="13.5" customHeight="1">
      <c r="E312" s="209" t="s">
        <v>739</v>
      </c>
      <c r="F312" s="209" t="s">
        <v>2414</v>
      </c>
      <c r="G312" s="411" t="str">
        <f t="shared" si="5"/>
        <v>13-01</v>
      </c>
      <c r="H312" s="273" t="e">
        <f ca="1">_xludf.IFNA(VLOOKUP(Aragon!E312,'Kilter Holds'!$P$37:$AB$662,9,0),0)</f>
        <v>#NAME?</v>
      </c>
      <c r="I312" s="274"/>
      <c r="J312" s="274" t="e">
        <f t="shared" ca="1" si="3"/>
        <v>#NAME?</v>
      </c>
      <c r="K312" s="274">
        <f t="shared" si="4"/>
        <v>0</v>
      </c>
      <c r="N312" s="274"/>
    </row>
    <row r="313" spans="5:14" ht="13.5" customHeight="1">
      <c r="E313" s="209" t="s">
        <v>739</v>
      </c>
      <c r="F313" s="209" t="s">
        <v>2414</v>
      </c>
      <c r="G313" s="413" t="str">
        <f t="shared" si="5"/>
        <v>07-13</v>
      </c>
      <c r="H313" s="273" t="e">
        <f ca="1">_xludf.IFNA(VLOOKUP(Aragon!E313,'Kilter Holds'!$P$37:$AB$662,10,0),0)</f>
        <v>#NAME?</v>
      </c>
      <c r="I313" s="274"/>
      <c r="J313" s="274" t="e">
        <f t="shared" ca="1" si="3"/>
        <v>#NAME?</v>
      </c>
      <c r="K313" s="274">
        <f t="shared" si="4"/>
        <v>0</v>
      </c>
      <c r="N313" s="274"/>
    </row>
    <row r="314" spans="5:14" ht="13.5" customHeight="1">
      <c r="E314" s="209" t="s">
        <v>739</v>
      </c>
      <c r="F314" s="209" t="s">
        <v>2414</v>
      </c>
      <c r="G314" s="414" t="str">
        <f t="shared" si="5"/>
        <v>11-26</v>
      </c>
      <c r="H314" s="273" t="e">
        <f ca="1">_xludf.IFNA(VLOOKUP(Aragon!E314,'Kilter Holds'!$P$37:$AB$662,11,0),0)</f>
        <v>#NAME?</v>
      </c>
      <c r="I314" s="274"/>
      <c r="J314" s="274" t="e">
        <f t="shared" ca="1" si="3"/>
        <v>#NAME?</v>
      </c>
      <c r="K314" s="274">
        <f t="shared" si="4"/>
        <v>0</v>
      </c>
      <c r="N314" s="274"/>
    </row>
    <row r="315" spans="5:14" ht="13.5" customHeight="1">
      <c r="E315" s="209" t="s">
        <v>739</v>
      </c>
      <c r="F315" s="209" t="s">
        <v>2414</v>
      </c>
      <c r="G315" s="415" t="str">
        <f t="shared" si="5"/>
        <v>18-01</v>
      </c>
      <c r="H315" s="273" t="e">
        <f ca="1">_xludf.IFNA(VLOOKUP(Aragon!E315,'Kilter Holds'!$P$37:$AB$662,12,0),0)</f>
        <v>#NAME?</v>
      </c>
      <c r="I315" s="274"/>
      <c r="J315" s="274" t="e">
        <f t="shared" ca="1" si="3"/>
        <v>#NAME?</v>
      </c>
      <c r="K315" s="274">
        <f t="shared" si="4"/>
        <v>0</v>
      </c>
      <c r="N315" s="274"/>
    </row>
    <row r="316" spans="5:14" ht="13.5" customHeight="1">
      <c r="E316" s="209" t="s">
        <v>739</v>
      </c>
      <c r="F316" s="209" t="s">
        <v>2414</v>
      </c>
      <c r="G316" s="416" t="str">
        <f t="shared" si="5"/>
        <v>Color Code</v>
      </c>
      <c r="H316" s="273" t="e">
        <f ca="1">_xludf.IFNA(VLOOKUP(Aragon!E316,'Kilter Holds'!$P$37:$AB$662,13,0),0)</f>
        <v>#NAME?</v>
      </c>
      <c r="I316" s="274"/>
      <c r="J316" s="274" t="e">
        <f t="shared" ca="1" si="3"/>
        <v>#NAME?</v>
      </c>
      <c r="K316" s="274">
        <f t="shared" si="4"/>
        <v>0</v>
      </c>
      <c r="N316" s="274"/>
    </row>
    <row r="317" spans="5:14" ht="13.5" customHeight="1">
      <c r="E317" s="209" t="s">
        <v>972</v>
      </c>
      <c r="F317" s="209" t="s">
        <v>2415</v>
      </c>
      <c r="G317" s="406" t="str">
        <f t="shared" si="5"/>
        <v>11-12</v>
      </c>
      <c r="H317" s="273" t="e">
        <f ca="1">_xludf.IFNA(VLOOKUP(Aragon!E317,'Kilter Holds'!$P$37:$AB$662,5,0),0)</f>
        <v>#NAME?</v>
      </c>
      <c r="I317" s="274"/>
      <c r="J317" s="274" t="e">
        <f t="shared" ca="1" si="3"/>
        <v>#NAME?</v>
      </c>
      <c r="K317" s="274">
        <f t="shared" si="4"/>
        <v>0</v>
      </c>
      <c r="N317" s="274"/>
    </row>
    <row r="318" spans="5:14" ht="13.5" customHeight="1">
      <c r="E318" s="209" t="s">
        <v>972</v>
      </c>
      <c r="F318" s="209" t="s">
        <v>2415</v>
      </c>
      <c r="G318" s="408" t="str">
        <f t="shared" si="5"/>
        <v>14-01</v>
      </c>
      <c r="H318" s="273" t="e">
        <f ca="1">_xludf.IFNA(VLOOKUP(Aragon!E318,'Kilter Holds'!$P$37:$AB$662,6,0),0)</f>
        <v>#NAME?</v>
      </c>
      <c r="I318" s="274"/>
      <c r="J318" s="274" t="e">
        <f t="shared" ca="1" si="3"/>
        <v>#NAME?</v>
      </c>
      <c r="K318" s="274">
        <f t="shared" si="4"/>
        <v>0</v>
      </c>
      <c r="N318" s="274"/>
    </row>
    <row r="319" spans="5:14" ht="13.5" customHeight="1">
      <c r="E319" s="209" t="s">
        <v>972</v>
      </c>
      <c r="F319" s="209" t="s">
        <v>2415</v>
      </c>
      <c r="G319" s="409" t="str">
        <f t="shared" si="5"/>
        <v>15-12</v>
      </c>
      <c r="H319" s="273" t="e">
        <f ca="1">_xludf.IFNA(VLOOKUP(Aragon!E319,'Kilter Holds'!$P$37:$AB$662,7,0),0)</f>
        <v>#NAME?</v>
      </c>
      <c r="I319" s="274"/>
      <c r="J319" s="274" t="e">
        <f t="shared" ca="1" si="3"/>
        <v>#NAME?</v>
      </c>
      <c r="K319" s="274">
        <f t="shared" si="4"/>
        <v>0</v>
      </c>
      <c r="N319" s="274"/>
    </row>
    <row r="320" spans="5:14" ht="13.5" customHeight="1">
      <c r="E320" s="209" t="s">
        <v>972</v>
      </c>
      <c r="F320" s="209" t="s">
        <v>2415</v>
      </c>
      <c r="G320" s="410" t="str">
        <f t="shared" si="5"/>
        <v>16-16</v>
      </c>
      <c r="H320" s="273" t="e">
        <f ca="1">_xludf.IFNA(VLOOKUP(Aragon!E320,'Kilter Holds'!$P$37:$AB$662,8,0),0)</f>
        <v>#NAME?</v>
      </c>
      <c r="I320" s="274"/>
      <c r="J320" s="274" t="e">
        <f t="shared" ca="1" si="3"/>
        <v>#NAME?</v>
      </c>
      <c r="K320" s="274">
        <f t="shared" si="4"/>
        <v>0</v>
      </c>
      <c r="N320" s="274"/>
    </row>
    <row r="321" spans="1:14" ht="13.5" customHeight="1">
      <c r="E321" s="209" t="s">
        <v>972</v>
      </c>
      <c r="F321" s="209" t="s">
        <v>2415</v>
      </c>
      <c r="G321" s="411" t="str">
        <f t="shared" si="5"/>
        <v>13-01</v>
      </c>
      <c r="H321" s="273" t="e">
        <f ca="1">_xludf.IFNA(VLOOKUP(Aragon!E321,'Kilter Holds'!$P$37:$AB$662,9,0),0)</f>
        <v>#NAME?</v>
      </c>
      <c r="I321" s="274"/>
      <c r="J321" s="274" t="e">
        <f t="shared" ca="1" si="3"/>
        <v>#NAME?</v>
      </c>
      <c r="K321" s="274">
        <f t="shared" si="4"/>
        <v>0</v>
      </c>
      <c r="N321" s="274"/>
    </row>
    <row r="322" spans="1:14" ht="13.5" customHeight="1">
      <c r="E322" s="209" t="s">
        <v>972</v>
      </c>
      <c r="F322" s="209" t="s">
        <v>2415</v>
      </c>
      <c r="G322" s="413" t="str">
        <f t="shared" si="5"/>
        <v>07-13</v>
      </c>
      <c r="H322" s="273" t="e">
        <f ca="1">_xludf.IFNA(VLOOKUP(Aragon!E322,'Kilter Holds'!$P$37:$AB$662,10,0),0)</f>
        <v>#NAME?</v>
      </c>
      <c r="I322" s="274"/>
      <c r="J322" s="274" t="e">
        <f t="shared" ca="1" si="3"/>
        <v>#NAME?</v>
      </c>
      <c r="K322" s="274">
        <f t="shared" si="4"/>
        <v>0</v>
      </c>
      <c r="N322" s="274"/>
    </row>
    <row r="323" spans="1:14" ht="13.5" customHeight="1">
      <c r="E323" s="209" t="s">
        <v>972</v>
      </c>
      <c r="F323" s="209" t="s">
        <v>2415</v>
      </c>
      <c r="G323" s="414" t="str">
        <f t="shared" si="5"/>
        <v>11-26</v>
      </c>
      <c r="H323" s="273" t="e">
        <f ca="1">_xludf.IFNA(VLOOKUP(Aragon!E323,'Kilter Holds'!$P$37:$AB$662,11,0),0)</f>
        <v>#NAME?</v>
      </c>
      <c r="I323" s="274"/>
      <c r="J323" s="274" t="e">
        <f t="shared" ca="1" si="3"/>
        <v>#NAME?</v>
      </c>
      <c r="K323" s="274">
        <f t="shared" si="4"/>
        <v>0</v>
      </c>
      <c r="N323" s="274"/>
    </row>
    <row r="324" spans="1:14" ht="13.5" customHeight="1">
      <c r="E324" s="209" t="s">
        <v>972</v>
      </c>
      <c r="F324" s="209" t="s">
        <v>2415</v>
      </c>
      <c r="G324" s="415" t="str">
        <f t="shared" si="5"/>
        <v>18-01</v>
      </c>
      <c r="H324" s="273" t="e">
        <f ca="1">_xludf.IFNA(VLOOKUP(Aragon!E324,'Kilter Holds'!$P$37:$AB$662,12,0),0)</f>
        <v>#NAME?</v>
      </c>
      <c r="I324" s="274"/>
      <c r="J324" s="274" t="e">
        <f t="shared" ca="1" si="3"/>
        <v>#NAME?</v>
      </c>
      <c r="K324" s="274">
        <f t="shared" si="4"/>
        <v>0</v>
      </c>
      <c r="N324" s="274"/>
    </row>
    <row r="325" spans="1:14" ht="13.5" customHeight="1">
      <c r="E325" s="209" t="s">
        <v>972</v>
      </c>
      <c r="F325" s="209" t="s">
        <v>2415</v>
      </c>
      <c r="G325" s="416" t="str">
        <f t="shared" si="5"/>
        <v>Color Code</v>
      </c>
      <c r="H325" s="273" t="e">
        <f ca="1">_xludf.IFNA(VLOOKUP(Aragon!E325,'Kilter Holds'!$P$37:$AB$662,13,0),0)</f>
        <v>#NAME?</v>
      </c>
      <c r="I325" s="274"/>
      <c r="J325" s="274" t="e">
        <f t="shared" ca="1" si="3"/>
        <v>#NAME?</v>
      </c>
      <c r="K325" s="274">
        <f t="shared" si="4"/>
        <v>0</v>
      </c>
      <c r="N325" s="274"/>
    </row>
    <row r="326" spans="1:14" ht="13.5" customHeight="1">
      <c r="E326" s="209" t="s">
        <v>974</v>
      </c>
      <c r="F326" s="209" t="s">
        <v>2416</v>
      </c>
      <c r="G326" s="406" t="str">
        <f t="shared" si="5"/>
        <v>11-12</v>
      </c>
      <c r="H326" s="273" t="e">
        <f ca="1">_xludf.IFNA(VLOOKUP(Aragon!E326,'Kilter Holds'!$P$37:$AB$662,5,0),0)</f>
        <v>#NAME?</v>
      </c>
      <c r="I326" s="274"/>
      <c r="J326" s="274" t="e">
        <f t="shared" ca="1" si="3"/>
        <v>#NAME?</v>
      </c>
      <c r="K326" s="274">
        <f t="shared" si="4"/>
        <v>0</v>
      </c>
      <c r="N326" s="274"/>
    </row>
    <row r="327" spans="1:14" ht="13.5" customHeight="1">
      <c r="E327" s="209" t="s">
        <v>974</v>
      </c>
      <c r="F327" s="209" t="s">
        <v>2416</v>
      </c>
      <c r="G327" s="408" t="str">
        <f t="shared" si="5"/>
        <v>14-01</v>
      </c>
      <c r="H327" s="273" t="e">
        <f ca="1">_xludf.IFNA(VLOOKUP(Aragon!E327,'Kilter Holds'!$P$37:$AB$662,6,0),0)</f>
        <v>#NAME?</v>
      </c>
      <c r="I327" s="274"/>
      <c r="J327" s="274" t="e">
        <f t="shared" ca="1" si="3"/>
        <v>#NAME?</v>
      </c>
      <c r="K327" s="274">
        <f t="shared" si="4"/>
        <v>0</v>
      </c>
      <c r="N327" s="274"/>
    </row>
    <row r="328" spans="1:14" ht="13.5" customHeight="1">
      <c r="E328" s="209" t="s">
        <v>974</v>
      </c>
      <c r="F328" s="209" t="s">
        <v>2416</v>
      </c>
      <c r="G328" s="409" t="str">
        <f t="shared" si="5"/>
        <v>15-12</v>
      </c>
      <c r="H328" s="273" t="e">
        <f ca="1">_xludf.IFNA(VLOOKUP(Aragon!E328,'Kilter Holds'!$P$37:$AB$662,7,0),0)</f>
        <v>#NAME?</v>
      </c>
      <c r="I328" s="274"/>
      <c r="J328" s="274" t="e">
        <f t="shared" ca="1" si="3"/>
        <v>#NAME?</v>
      </c>
      <c r="K328" s="274">
        <f t="shared" si="4"/>
        <v>0</v>
      </c>
      <c r="N328" s="274"/>
    </row>
    <row r="329" spans="1:14" ht="13.5" customHeight="1">
      <c r="E329" s="209" t="s">
        <v>974</v>
      </c>
      <c r="F329" s="209" t="s">
        <v>2416</v>
      </c>
      <c r="G329" s="410" t="str">
        <f t="shared" si="5"/>
        <v>16-16</v>
      </c>
      <c r="H329" s="273" t="e">
        <f ca="1">_xludf.IFNA(VLOOKUP(Aragon!E329,'Kilter Holds'!$P$37:$AB$662,8,0),0)</f>
        <v>#NAME?</v>
      </c>
      <c r="I329" s="274"/>
      <c r="J329" s="274" t="e">
        <f t="shared" ca="1" si="3"/>
        <v>#NAME?</v>
      </c>
      <c r="K329" s="274">
        <f t="shared" si="4"/>
        <v>0</v>
      </c>
      <c r="N329" s="274"/>
    </row>
    <row r="330" spans="1:14" ht="13.5" customHeight="1">
      <c r="E330" s="209" t="s">
        <v>974</v>
      </c>
      <c r="F330" s="209" t="s">
        <v>2416</v>
      </c>
      <c r="G330" s="411" t="str">
        <f t="shared" si="5"/>
        <v>13-01</v>
      </c>
      <c r="H330" s="273" t="e">
        <f ca="1">_xludf.IFNA(VLOOKUP(Aragon!E330,'Kilter Holds'!$P$37:$AB$662,9,0),0)</f>
        <v>#NAME?</v>
      </c>
      <c r="I330" s="274"/>
      <c r="J330" s="274" t="e">
        <f t="shared" ca="1" si="3"/>
        <v>#NAME?</v>
      </c>
      <c r="K330" s="274">
        <f t="shared" si="4"/>
        <v>0</v>
      </c>
      <c r="N330" s="274"/>
    </row>
    <row r="331" spans="1:14" ht="13.5" customHeight="1">
      <c r="E331" s="209" t="s">
        <v>974</v>
      </c>
      <c r="F331" s="209" t="s">
        <v>2416</v>
      </c>
      <c r="G331" s="413" t="str">
        <f t="shared" si="5"/>
        <v>07-13</v>
      </c>
      <c r="H331" s="273" t="e">
        <f ca="1">_xludf.IFNA(VLOOKUP(Aragon!E331,'Kilter Holds'!$P$37:$AB$662,10,0),0)</f>
        <v>#NAME?</v>
      </c>
      <c r="I331" s="274"/>
      <c r="J331" s="274" t="e">
        <f t="shared" ca="1" si="3"/>
        <v>#NAME?</v>
      </c>
      <c r="K331" s="274">
        <f t="shared" si="4"/>
        <v>0</v>
      </c>
      <c r="N331" s="274"/>
    </row>
    <row r="332" spans="1:14" ht="13.5" customHeight="1">
      <c r="E332" s="209" t="s">
        <v>974</v>
      </c>
      <c r="F332" s="209" t="s">
        <v>2416</v>
      </c>
      <c r="G332" s="414" t="str">
        <f t="shared" si="5"/>
        <v>11-26</v>
      </c>
      <c r="H332" s="273" t="e">
        <f ca="1">_xludf.IFNA(VLOOKUP(Aragon!E332,'Kilter Holds'!$P$37:$AB$662,11,0),0)</f>
        <v>#NAME?</v>
      </c>
      <c r="I332" s="274"/>
      <c r="J332" s="274" t="e">
        <f t="shared" ca="1" si="3"/>
        <v>#NAME?</v>
      </c>
      <c r="K332" s="274">
        <f t="shared" si="4"/>
        <v>0</v>
      </c>
      <c r="N332" s="274"/>
    </row>
    <row r="333" spans="1:14" ht="13.5" customHeight="1">
      <c r="E333" s="209" t="s">
        <v>974</v>
      </c>
      <c r="F333" s="209" t="s">
        <v>2416</v>
      </c>
      <c r="G333" s="415" t="str">
        <f t="shared" si="5"/>
        <v>18-01</v>
      </c>
      <c r="H333" s="273" t="e">
        <f ca="1">_xludf.IFNA(VLOOKUP(Aragon!E333,'Kilter Holds'!$P$37:$AB$662,12,0),0)</f>
        <v>#NAME?</v>
      </c>
      <c r="I333" s="274"/>
      <c r="J333" s="274" t="e">
        <f t="shared" ca="1" si="3"/>
        <v>#NAME?</v>
      </c>
      <c r="K333" s="274">
        <f t="shared" si="4"/>
        <v>0</v>
      </c>
      <c r="N333" s="274"/>
    </row>
    <row r="334" spans="1:14" ht="13.5" customHeight="1">
      <c r="E334" s="209" t="s">
        <v>974</v>
      </c>
      <c r="F334" s="209" t="s">
        <v>2416</v>
      </c>
      <c r="G334" s="416" t="str">
        <f t="shared" si="5"/>
        <v>Color Code</v>
      </c>
      <c r="H334" s="273" t="e">
        <f ca="1">_xludf.IFNA(VLOOKUP(Aragon!E334,'Kilter Holds'!$P$37:$AB$662,13,0),0)</f>
        <v>#NAME?</v>
      </c>
      <c r="I334" s="274"/>
      <c r="J334" s="274" t="e">
        <f t="shared" ca="1" si="3"/>
        <v>#NAME?</v>
      </c>
      <c r="K334" s="274">
        <f t="shared" si="4"/>
        <v>0</v>
      </c>
      <c r="N334" s="274"/>
    </row>
    <row r="335" spans="1:14" ht="13.5" customHeight="1">
      <c r="A335" s="1" t="s">
        <v>1239</v>
      </c>
      <c r="E335" s="209" t="s">
        <v>1163</v>
      </c>
      <c r="F335" s="209" t="s">
        <v>2417</v>
      </c>
      <c r="G335" s="406" t="str">
        <f t="shared" si="5"/>
        <v>11-12</v>
      </c>
      <c r="H335" s="273" t="e">
        <f ca="1">_xludf.IFNA(VLOOKUP(E335,'Kilter Holds'!$P$37:$AB$662,5,0),0)+_xludf.IFNA(VLOOKUP(A335,'Kilter Holds'!$P$37:$AB$662,5,0),0)</f>
        <v>#NAME?</v>
      </c>
      <c r="I335" s="274"/>
      <c r="J335" s="274" t="e">
        <f t="shared" ca="1" si="3"/>
        <v>#NAME?</v>
      </c>
      <c r="K335" s="274">
        <f t="shared" si="4"/>
        <v>0</v>
      </c>
      <c r="N335" s="274"/>
    </row>
    <row r="336" spans="1:14" ht="13.5" customHeight="1">
      <c r="A336" s="1" t="s">
        <v>1239</v>
      </c>
      <c r="E336" s="209" t="s">
        <v>1163</v>
      </c>
      <c r="F336" s="209" t="s">
        <v>2417</v>
      </c>
      <c r="G336" s="408" t="str">
        <f t="shared" si="5"/>
        <v>14-01</v>
      </c>
      <c r="H336" s="273" t="e">
        <f ca="1">_xludf.IFNA(VLOOKUP(E336,'Kilter Holds'!$P$37:$AB$662,6,0),0)+_xludf.IFNA(VLOOKUP(A336,'Kilter Holds'!$P$37:$AB$662,6,0),0)</f>
        <v>#NAME?</v>
      </c>
      <c r="I336" s="274"/>
      <c r="J336" s="274" t="e">
        <f t="shared" ca="1" si="3"/>
        <v>#NAME?</v>
      </c>
      <c r="K336" s="274">
        <f t="shared" si="4"/>
        <v>0</v>
      </c>
      <c r="N336" s="274"/>
    </row>
    <row r="337" spans="1:14" ht="13.5" customHeight="1">
      <c r="A337" s="1" t="s">
        <v>1239</v>
      </c>
      <c r="E337" s="209" t="s">
        <v>1163</v>
      </c>
      <c r="F337" s="209" t="s">
        <v>2417</v>
      </c>
      <c r="G337" s="409" t="str">
        <f t="shared" si="5"/>
        <v>15-12</v>
      </c>
      <c r="H337" s="273" t="e">
        <f ca="1">_xludf.IFNA(VLOOKUP(E337,'Kilter Holds'!$P$37:$AB$662,7,0),0)+_xludf.IFNA(VLOOKUP(A337,'Kilter Holds'!$P$37:$AB$662,7,0),0)</f>
        <v>#NAME?</v>
      </c>
      <c r="I337" s="274"/>
      <c r="J337" s="274" t="e">
        <f t="shared" ca="1" si="3"/>
        <v>#NAME?</v>
      </c>
      <c r="K337" s="274">
        <f t="shared" si="4"/>
        <v>0</v>
      </c>
      <c r="N337" s="274"/>
    </row>
    <row r="338" spans="1:14" ht="13.5" customHeight="1">
      <c r="A338" s="1" t="s">
        <v>1239</v>
      </c>
      <c r="E338" s="209" t="s">
        <v>1163</v>
      </c>
      <c r="F338" s="209" t="s">
        <v>2417</v>
      </c>
      <c r="G338" s="410" t="str">
        <f t="shared" si="5"/>
        <v>16-16</v>
      </c>
      <c r="H338" s="273" t="e">
        <f ca="1">_xludf.IFNA(VLOOKUP(E338,'Kilter Holds'!$P$37:$AB$662,8,0),0)+_xludf.IFNA(VLOOKUP(A338,'Kilter Holds'!$P$37:$AB$662,8,0),0)</f>
        <v>#NAME?</v>
      </c>
      <c r="I338" s="274"/>
      <c r="J338" s="274" t="e">
        <f t="shared" ca="1" si="3"/>
        <v>#NAME?</v>
      </c>
      <c r="K338" s="274">
        <f t="shared" si="4"/>
        <v>0</v>
      </c>
      <c r="N338" s="274"/>
    </row>
    <row r="339" spans="1:14" ht="13.5" customHeight="1">
      <c r="A339" s="1" t="s">
        <v>1239</v>
      </c>
      <c r="E339" s="209" t="s">
        <v>1163</v>
      </c>
      <c r="F339" s="209" t="s">
        <v>2417</v>
      </c>
      <c r="G339" s="411" t="str">
        <f t="shared" si="5"/>
        <v>13-01</v>
      </c>
      <c r="H339" s="273" t="e">
        <f ca="1">_xludf.IFNA(VLOOKUP(E339,'Kilter Holds'!$P$37:$AB$662,9,0),0)+_xludf.IFNA(VLOOKUP(A339,'Kilter Holds'!$P$37:$AB$662,9,0),0)</f>
        <v>#NAME?</v>
      </c>
      <c r="I339" s="274"/>
      <c r="J339" s="274" t="e">
        <f t="shared" ca="1" si="3"/>
        <v>#NAME?</v>
      </c>
      <c r="K339" s="274">
        <f t="shared" si="4"/>
        <v>0</v>
      </c>
      <c r="N339" s="274"/>
    </row>
    <row r="340" spans="1:14" ht="13.5" customHeight="1">
      <c r="A340" s="1" t="s">
        <v>1239</v>
      </c>
      <c r="E340" s="209" t="s">
        <v>1163</v>
      </c>
      <c r="F340" s="209" t="s">
        <v>2417</v>
      </c>
      <c r="G340" s="413" t="str">
        <f t="shared" si="5"/>
        <v>07-13</v>
      </c>
      <c r="H340" s="273" t="e">
        <f ca="1">_xludf.IFNA(VLOOKUP(E340,'Kilter Holds'!$P$37:$AB$662,10,0),0)+_xludf.IFNA(VLOOKUP(A340,'Kilter Holds'!$P$37:$AB$662,10,0),0)</f>
        <v>#NAME?</v>
      </c>
      <c r="I340" s="274"/>
      <c r="J340" s="274" t="e">
        <f t="shared" ca="1" si="3"/>
        <v>#NAME?</v>
      </c>
      <c r="K340" s="274">
        <f t="shared" si="4"/>
        <v>0</v>
      </c>
      <c r="N340" s="274"/>
    </row>
    <row r="341" spans="1:14" ht="13.5" customHeight="1">
      <c r="A341" s="1" t="s">
        <v>1239</v>
      </c>
      <c r="E341" s="209" t="s">
        <v>1163</v>
      </c>
      <c r="F341" s="209" t="s">
        <v>2417</v>
      </c>
      <c r="G341" s="414" t="str">
        <f t="shared" si="5"/>
        <v>11-26</v>
      </c>
      <c r="H341" s="273" t="e">
        <f ca="1">_xludf.IFNA(VLOOKUP(E341,'Kilter Holds'!$P$37:$AB$662,11,0),0)+_xludf.IFNA(VLOOKUP(A341,'Kilter Holds'!$P$37:$AB$662,11,0),0)</f>
        <v>#NAME?</v>
      </c>
      <c r="I341" s="274"/>
      <c r="J341" s="274" t="e">
        <f t="shared" ca="1" si="3"/>
        <v>#NAME?</v>
      </c>
      <c r="K341" s="274">
        <f t="shared" si="4"/>
        <v>0</v>
      </c>
      <c r="N341" s="274"/>
    </row>
    <row r="342" spans="1:14" ht="13.5" customHeight="1">
      <c r="A342" s="1" t="s">
        <v>1239</v>
      </c>
      <c r="E342" s="209" t="s">
        <v>1163</v>
      </c>
      <c r="F342" s="209" t="s">
        <v>2417</v>
      </c>
      <c r="G342" s="415" t="str">
        <f t="shared" si="5"/>
        <v>18-01</v>
      </c>
      <c r="H342" s="273" t="e">
        <f ca="1">_xludf.IFNA(VLOOKUP(E342,'Kilter Holds'!$P$37:$AB$662,12,0),0)+_xludf.IFNA(VLOOKUP(A342,'Kilter Holds'!$P$37:$AB$662,12,0),0)</f>
        <v>#NAME?</v>
      </c>
      <c r="I342" s="274"/>
      <c r="J342" s="274" t="e">
        <f t="shared" ca="1" si="3"/>
        <v>#NAME?</v>
      </c>
      <c r="K342" s="274">
        <f t="shared" si="4"/>
        <v>0</v>
      </c>
      <c r="N342" s="274"/>
    </row>
    <row r="343" spans="1:14" ht="13.5" customHeight="1">
      <c r="A343" s="1" t="s">
        <v>1239</v>
      </c>
      <c r="E343" s="209" t="s">
        <v>1163</v>
      </c>
      <c r="F343" s="209" t="s">
        <v>2417</v>
      </c>
      <c r="G343" s="416" t="str">
        <f t="shared" si="5"/>
        <v>Color Code</v>
      </c>
      <c r="H343" s="273" t="e">
        <f ca="1">_xludf.IFNA(VLOOKUP(E343,'Kilter Holds'!$P$37:$AB$662,13,0),0)+_xludf.IFNA(VLOOKUP(A343,'Kilter Holds'!$P$37:$AB$662,13,0),0)</f>
        <v>#NAME?</v>
      </c>
      <c r="I343" s="274"/>
      <c r="J343" s="274" t="e">
        <f t="shared" ca="1" si="3"/>
        <v>#NAME?</v>
      </c>
      <c r="K343" s="274">
        <f t="shared" si="4"/>
        <v>0</v>
      </c>
      <c r="N343" s="274"/>
    </row>
    <row r="344" spans="1:14" ht="13.5" customHeight="1">
      <c r="E344" s="209" t="s">
        <v>1052</v>
      </c>
      <c r="F344" s="209" t="s">
        <v>2418</v>
      </c>
      <c r="G344" s="406" t="str">
        <f t="shared" si="5"/>
        <v>11-12</v>
      </c>
      <c r="H344" s="273" t="e">
        <f ca="1">_xludf.IFNA(VLOOKUP(Aragon!E344,'Kilter Holds'!$P$37:$AB$662,5,0),0)</f>
        <v>#NAME?</v>
      </c>
      <c r="I344" s="274"/>
      <c r="J344" s="274" t="e">
        <f t="shared" ca="1" si="3"/>
        <v>#NAME?</v>
      </c>
      <c r="K344" s="274">
        <f t="shared" si="4"/>
        <v>0</v>
      </c>
      <c r="N344" s="274"/>
    </row>
    <row r="345" spans="1:14" ht="13.5" customHeight="1">
      <c r="E345" s="209" t="s">
        <v>1052</v>
      </c>
      <c r="F345" s="209" t="s">
        <v>2418</v>
      </c>
      <c r="G345" s="408" t="str">
        <f t="shared" si="5"/>
        <v>14-01</v>
      </c>
      <c r="H345" s="273" t="e">
        <f ca="1">_xludf.IFNA(VLOOKUP(Aragon!E345,'Kilter Holds'!$P$37:$AB$662,6,0),0)</f>
        <v>#NAME?</v>
      </c>
      <c r="I345" s="274"/>
      <c r="J345" s="274" t="e">
        <f t="shared" ca="1" si="3"/>
        <v>#NAME?</v>
      </c>
      <c r="K345" s="274">
        <f t="shared" si="4"/>
        <v>0</v>
      </c>
      <c r="N345" s="274"/>
    </row>
    <row r="346" spans="1:14" ht="13.5" customHeight="1">
      <c r="E346" s="209" t="s">
        <v>1052</v>
      </c>
      <c r="F346" s="209" t="s">
        <v>2418</v>
      </c>
      <c r="G346" s="409" t="str">
        <f t="shared" si="5"/>
        <v>15-12</v>
      </c>
      <c r="H346" s="273" t="e">
        <f ca="1">_xludf.IFNA(VLOOKUP(Aragon!E346,'Kilter Holds'!$P$37:$AB$662,7,0),0)</f>
        <v>#NAME?</v>
      </c>
      <c r="I346" s="274"/>
      <c r="J346" s="274" t="e">
        <f t="shared" ca="1" si="3"/>
        <v>#NAME?</v>
      </c>
      <c r="K346" s="274">
        <f t="shared" si="4"/>
        <v>0</v>
      </c>
      <c r="N346" s="274"/>
    </row>
    <row r="347" spans="1:14" ht="13.5" customHeight="1">
      <c r="E347" s="209" t="s">
        <v>1052</v>
      </c>
      <c r="F347" s="209" t="s">
        <v>2418</v>
      </c>
      <c r="G347" s="410" t="str">
        <f t="shared" si="5"/>
        <v>16-16</v>
      </c>
      <c r="H347" s="273" t="e">
        <f ca="1">_xludf.IFNA(VLOOKUP(Aragon!E347,'Kilter Holds'!$P$37:$AB$662,8,0),0)</f>
        <v>#NAME?</v>
      </c>
      <c r="I347" s="274"/>
      <c r="J347" s="274" t="e">
        <f t="shared" ca="1" si="3"/>
        <v>#NAME?</v>
      </c>
      <c r="K347" s="274">
        <f t="shared" si="4"/>
        <v>0</v>
      </c>
      <c r="N347" s="274"/>
    </row>
    <row r="348" spans="1:14" ht="13.5" customHeight="1">
      <c r="E348" s="209" t="s">
        <v>1052</v>
      </c>
      <c r="F348" s="209" t="s">
        <v>2418</v>
      </c>
      <c r="G348" s="411" t="str">
        <f t="shared" si="5"/>
        <v>13-01</v>
      </c>
      <c r="H348" s="273" t="e">
        <f ca="1">_xludf.IFNA(VLOOKUP(Aragon!E348,'Kilter Holds'!$P$37:$AB$662,9,0),0)</f>
        <v>#NAME?</v>
      </c>
      <c r="I348" s="274"/>
      <c r="J348" s="274" t="e">
        <f t="shared" ca="1" si="3"/>
        <v>#NAME?</v>
      </c>
      <c r="K348" s="274">
        <f t="shared" si="4"/>
        <v>0</v>
      </c>
      <c r="N348" s="274"/>
    </row>
    <row r="349" spans="1:14" ht="13.5" customHeight="1">
      <c r="E349" s="209" t="s">
        <v>1052</v>
      </c>
      <c r="F349" s="209" t="s">
        <v>2418</v>
      </c>
      <c r="G349" s="413" t="str">
        <f t="shared" si="5"/>
        <v>07-13</v>
      </c>
      <c r="H349" s="273" t="e">
        <f ca="1">_xludf.IFNA(VLOOKUP(Aragon!E349,'Kilter Holds'!$P$37:$AB$662,10,0),0)</f>
        <v>#NAME?</v>
      </c>
      <c r="I349" s="274"/>
      <c r="J349" s="274" t="e">
        <f t="shared" ca="1" si="3"/>
        <v>#NAME?</v>
      </c>
      <c r="K349" s="274">
        <f t="shared" si="4"/>
        <v>0</v>
      </c>
      <c r="N349" s="274"/>
    </row>
    <row r="350" spans="1:14" ht="13.5" customHeight="1">
      <c r="E350" s="209" t="s">
        <v>1052</v>
      </c>
      <c r="F350" s="209" t="s">
        <v>2418</v>
      </c>
      <c r="G350" s="414" t="str">
        <f t="shared" si="5"/>
        <v>11-26</v>
      </c>
      <c r="H350" s="273" t="e">
        <f ca="1">_xludf.IFNA(VLOOKUP(Aragon!E350,'Kilter Holds'!$P$37:$AB$662,11,0),0)</f>
        <v>#NAME?</v>
      </c>
      <c r="I350" s="274"/>
      <c r="J350" s="274" t="e">
        <f t="shared" ca="1" si="3"/>
        <v>#NAME?</v>
      </c>
      <c r="K350" s="274">
        <f t="shared" si="4"/>
        <v>0</v>
      </c>
      <c r="N350" s="274"/>
    </row>
    <row r="351" spans="1:14" ht="13.5" customHeight="1">
      <c r="E351" s="209" t="s">
        <v>1052</v>
      </c>
      <c r="F351" s="209" t="s">
        <v>2418</v>
      </c>
      <c r="G351" s="415" t="str">
        <f t="shared" si="5"/>
        <v>18-01</v>
      </c>
      <c r="H351" s="273" t="e">
        <f ca="1">_xludf.IFNA(VLOOKUP(Aragon!E351,'Kilter Holds'!$P$37:$AB$662,12,0),0)</f>
        <v>#NAME?</v>
      </c>
      <c r="I351" s="274"/>
      <c r="J351" s="274" t="e">
        <f t="shared" ca="1" si="3"/>
        <v>#NAME?</v>
      </c>
      <c r="K351" s="274">
        <f t="shared" si="4"/>
        <v>0</v>
      </c>
      <c r="N351" s="274"/>
    </row>
    <row r="352" spans="1:14" ht="13.5" customHeight="1">
      <c r="E352" s="209" t="s">
        <v>1052</v>
      </c>
      <c r="F352" s="209" t="s">
        <v>2418</v>
      </c>
      <c r="G352" s="416" t="str">
        <f t="shared" si="5"/>
        <v>Color Code</v>
      </c>
      <c r="H352" s="273" t="e">
        <f ca="1">_xludf.IFNA(VLOOKUP(Aragon!E352,'Kilter Holds'!$P$37:$AB$662,13,0),0)</f>
        <v>#NAME?</v>
      </c>
      <c r="I352" s="274"/>
      <c r="J352" s="274" t="e">
        <f t="shared" ca="1" si="3"/>
        <v>#NAME?</v>
      </c>
      <c r="K352" s="274">
        <f t="shared" si="4"/>
        <v>0</v>
      </c>
      <c r="N352" s="274"/>
    </row>
    <row r="353" spans="5:14" ht="13.5" customHeight="1">
      <c r="E353" s="209" t="s">
        <v>749</v>
      </c>
      <c r="F353" s="209" t="s">
        <v>2419</v>
      </c>
      <c r="G353" s="406" t="str">
        <f t="shared" si="5"/>
        <v>11-12</v>
      </c>
      <c r="H353" s="273" t="e">
        <f ca="1">_xludf.IFNA(VLOOKUP(Aragon!E353,'Kilter Holds'!$P$37:$AB$662,5,0),0)</f>
        <v>#NAME?</v>
      </c>
      <c r="I353" s="274"/>
      <c r="J353" s="274" t="e">
        <f t="shared" ca="1" si="3"/>
        <v>#NAME?</v>
      </c>
      <c r="K353" s="274">
        <f t="shared" si="4"/>
        <v>0</v>
      </c>
      <c r="N353" s="274"/>
    </row>
    <row r="354" spans="5:14" ht="13.5" customHeight="1">
      <c r="E354" s="209" t="s">
        <v>749</v>
      </c>
      <c r="F354" s="209" t="s">
        <v>2419</v>
      </c>
      <c r="G354" s="408" t="str">
        <f t="shared" si="5"/>
        <v>14-01</v>
      </c>
      <c r="H354" s="273" t="e">
        <f ca="1">_xludf.IFNA(VLOOKUP(Aragon!E354,'Kilter Holds'!$P$37:$AB$662,6,0),0)</f>
        <v>#NAME?</v>
      </c>
      <c r="I354" s="274"/>
      <c r="J354" s="274" t="e">
        <f t="shared" ca="1" si="3"/>
        <v>#NAME?</v>
      </c>
      <c r="K354" s="274">
        <f t="shared" si="4"/>
        <v>0</v>
      </c>
      <c r="N354" s="274"/>
    </row>
    <row r="355" spans="5:14" ht="13.5" customHeight="1">
      <c r="E355" s="209" t="s">
        <v>749</v>
      </c>
      <c r="F355" s="209" t="s">
        <v>2419</v>
      </c>
      <c r="G355" s="409" t="str">
        <f t="shared" si="5"/>
        <v>15-12</v>
      </c>
      <c r="H355" s="273" t="e">
        <f ca="1">_xludf.IFNA(VLOOKUP(Aragon!E355,'Kilter Holds'!$P$37:$AB$662,7,0),0)</f>
        <v>#NAME?</v>
      </c>
      <c r="I355" s="274"/>
      <c r="J355" s="274" t="e">
        <f t="shared" ca="1" si="3"/>
        <v>#NAME?</v>
      </c>
      <c r="K355" s="274">
        <f t="shared" si="4"/>
        <v>0</v>
      </c>
      <c r="N355" s="274"/>
    </row>
    <row r="356" spans="5:14" ht="13.5" customHeight="1">
      <c r="E356" s="209" t="s">
        <v>749</v>
      </c>
      <c r="F356" s="209" t="s">
        <v>2419</v>
      </c>
      <c r="G356" s="410" t="str">
        <f t="shared" si="5"/>
        <v>16-16</v>
      </c>
      <c r="H356" s="273" t="e">
        <f ca="1">_xludf.IFNA(VLOOKUP(Aragon!E356,'Kilter Holds'!$P$37:$AB$662,8,0),0)</f>
        <v>#NAME?</v>
      </c>
      <c r="I356" s="274"/>
      <c r="J356" s="274" t="e">
        <f t="shared" ca="1" si="3"/>
        <v>#NAME?</v>
      </c>
      <c r="K356" s="274">
        <f t="shared" si="4"/>
        <v>0</v>
      </c>
      <c r="N356" s="274"/>
    </row>
    <row r="357" spans="5:14" ht="13.5" customHeight="1">
      <c r="E357" s="209" t="s">
        <v>749</v>
      </c>
      <c r="F357" s="209" t="s">
        <v>2419</v>
      </c>
      <c r="G357" s="411" t="str">
        <f t="shared" si="5"/>
        <v>13-01</v>
      </c>
      <c r="H357" s="273" t="e">
        <f ca="1">_xludf.IFNA(VLOOKUP(Aragon!E357,'Kilter Holds'!$P$37:$AB$662,9,0),0)</f>
        <v>#NAME?</v>
      </c>
      <c r="I357" s="274"/>
      <c r="J357" s="274" t="e">
        <f t="shared" ca="1" si="3"/>
        <v>#NAME?</v>
      </c>
      <c r="K357" s="274">
        <f t="shared" si="4"/>
        <v>0</v>
      </c>
      <c r="N357" s="274"/>
    </row>
    <row r="358" spans="5:14" ht="13.5" customHeight="1">
      <c r="E358" s="209" t="s">
        <v>749</v>
      </c>
      <c r="F358" s="209" t="s">
        <v>2419</v>
      </c>
      <c r="G358" s="413" t="str">
        <f t="shared" si="5"/>
        <v>07-13</v>
      </c>
      <c r="H358" s="273" t="e">
        <f ca="1">_xludf.IFNA(VLOOKUP(Aragon!E358,'Kilter Holds'!$P$37:$AB$662,10,0),0)</f>
        <v>#NAME?</v>
      </c>
      <c r="I358" s="274"/>
      <c r="J358" s="274" t="e">
        <f t="shared" ca="1" si="3"/>
        <v>#NAME?</v>
      </c>
      <c r="K358" s="274">
        <f t="shared" si="4"/>
        <v>0</v>
      </c>
      <c r="N358" s="274"/>
    </row>
    <row r="359" spans="5:14" ht="13.5" customHeight="1">
      <c r="E359" s="209" t="s">
        <v>749</v>
      </c>
      <c r="F359" s="209" t="s">
        <v>2419</v>
      </c>
      <c r="G359" s="414" t="str">
        <f t="shared" si="5"/>
        <v>11-26</v>
      </c>
      <c r="H359" s="273" t="e">
        <f ca="1">_xludf.IFNA(VLOOKUP(Aragon!E359,'Kilter Holds'!$P$37:$AB$662,11,0),0)</f>
        <v>#NAME?</v>
      </c>
      <c r="I359" s="274"/>
      <c r="J359" s="274" t="e">
        <f t="shared" ca="1" si="3"/>
        <v>#NAME?</v>
      </c>
      <c r="K359" s="274">
        <f t="shared" si="4"/>
        <v>0</v>
      </c>
      <c r="N359" s="274"/>
    </row>
    <row r="360" spans="5:14" ht="13.5" customHeight="1">
      <c r="E360" s="209" t="s">
        <v>749</v>
      </c>
      <c r="F360" s="209" t="s">
        <v>2419</v>
      </c>
      <c r="G360" s="415" t="str">
        <f t="shared" si="5"/>
        <v>18-01</v>
      </c>
      <c r="H360" s="273" t="e">
        <f ca="1">_xludf.IFNA(VLOOKUP(Aragon!E360,'Kilter Holds'!$P$37:$AB$662,12,0),0)</f>
        <v>#NAME?</v>
      </c>
      <c r="I360" s="274"/>
      <c r="J360" s="274" t="e">
        <f t="shared" ca="1" si="3"/>
        <v>#NAME?</v>
      </c>
      <c r="K360" s="274">
        <f t="shared" si="4"/>
        <v>0</v>
      </c>
      <c r="N360" s="274"/>
    </row>
    <row r="361" spans="5:14" ht="13.5" customHeight="1">
      <c r="E361" s="209" t="s">
        <v>749</v>
      </c>
      <c r="F361" s="209" t="s">
        <v>2419</v>
      </c>
      <c r="G361" s="416" t="str">
        <f t="shared" si="5"/>
        <v>Color Code</v>
      </c>
      <c r="H361" s="273" t="e">
        <f ca="1">_xludf.IFNA(VLOOKUP(Aragon!E361,'Kilter Holds'!$P$37:$AB$662,13,0),0)</f>
        <v>#NAME?</v>
      </c>
      <c r="I361" s="274"/>
      <c r="J361" s="274" t="e">
        <f t="shared" ca="1" si="3"/>
        <v>#NAME?</v>
      </c>
      <c r="K361" s="274">
        <f t="shared" si="4"/>
        <v>0</v>
      </c>
      <c r="N361" s="274"/>
    </row>
    <row r="362" spans="5:14" ht="13.5" customHeight="1">
      <c r="E362" s="209" t="s">
        <v>976</v>
      </c>
      <c r="F362" s="209" t="s">
        <v>2420</v>
      </c>
      <c r="G362" s="406" t="str">
        <f t="shared" si="5"/>
        <v>11-12</v>
      </c>
      <c r="H362" s="273" t="e">
        <f ca="1">_xludf.IFNA(VLOOKUP(Aragon!E362,'Kilter Holds'!$P$37:$AB$662,5,0),0)</f>
        <v>#NAME?</v>
      </c>
      <c r="I362" s="274"/>
      <c r="J362" s="274" t="e">
        <f t="shared" ca="1" si="3"/>
        <v>#NAME?</v>
      </c>
      <c r="K362" s="274">
        <f t="shared" si="4"/>
        <v>0</v>
      </c>
      <c r="N362" s="274"/>
    </row>
    <row r="363" spans="5:14" ht="13.5" customHeight="1">
      <c r="E363" s="209" t="s">
        <v>976</v>
      </c>
      <c r="F363" s="209" t="s">
        <v>2420</v>
      </c>
      <c r="G363" s="408" t="str">
        <f t="shared" si="5"/>
        <v>14-01</v>
      </c>
      <c r="H363" s="273" t="e">
        <f ca="1">_xludf.IFNA(VLOOKUP(Aragon!E363,'Kilter Holds'!$P$37:$AB$662,6,0),0)</f>
        <v>#NAME?</v>
      </c>
      <c r="I363" s="274"/>
      <c r="J363" s="274" t="e">
        <f t="shared" ca="1" si="3"/>
        <v>#NAME?</v>
      </c>
      <c r="K363" s="274">
        <f t="shared" si="4"/>
        <v>0</v>
      </c>
      <c r="N363" s="274"/>
    </row>
    <row r="364" spans="5:14" ht="13.5" customHeight="1">
      <c r="E364" s="209" t="s">
        <v>976</v>
      </c>
      <c r="F364" s="209" t="s">
        <v>2420</v>
      </c>
      <c r="G364" s="409" t="str">
        <f t="shared" si="5"/>
        <v>15-12</v>
      </c>
      <c r="H364" s="273" t="e">
        <f ca="1">_xludf.IFNA(VLOOKUP(Aragon!E364,'Kilter Holds'!$P$37:$AB$662,7,0),0)</f>
        <v>#NAME?</v>
      </c>
      <c r="I364" s="274"/>
      <c r="J364" s="274" t="e">
        <f t="shared" ca="1" si="3"/>
        <v>#NAME?</v>
      </c>
      <c r="K364" s="274">
        <f t="shared" si="4"/>
        <v>0</v>
      </c>
      <c r="N364" s="274"/>
    </row>
    <row r="365" spans="5:14" ht="13.5" customHeight="1">
      <c r="E365" s="209" t="s">
        <v>976</v>
      </c>
      <c r="F365" s="209" t="s">
        <v>2420</v>
      </c>
      <c r="G365" s="410" t="str">
        <f t="shared" si="5"/>
        <v>16-16</v>
      </c>
      <c r="H365" s="273" t="e">
        <f ca="1">_xludf.IFNA(VLOOKUP(Aragon!E365,'Kilter Holds'!$P$37:$AB$662,8,0),0)</f>
        <v>#NAME?</v>
      </c>
      <c r="I365" s="274"/>
      <c r="J365" s="274" t="e">
        <f t="shared" ca="1" si="3"/>
        <v>#NAME?</v>
      </c>
      <c r="K365" s="274">
        <f t="shared" si="4"/>
        <v>0</v>
      </c>
      <c r="N365" s="274"/>
    </row>
    <row r="366" spans="5:14" ht="13.5" customHeight="1">
      <c r="E366" s="209" t="s">
        <v>976</v>
      </c>
      <c r="F366" s="209" t="s">
        <v>2420</v>
      </c>
      <c r="G366" s="411" t="str">
        <f t="shared" si="5"/>
        <v>13-01</v>
      </c>
      <c r="H366" s="273" t="e">
        <f ca="1">_xludf.IFNA(VLOOKUP(Aragon!E366,'Kilter Holds'!$P$37:$AB$662,9,0),0)</f>
        <v>#NAME?</v>
      </c>
      <c r="I366" s="274"/>
      <c r="J366" s="274" t="e">
        <f t="shared" ca="1" si="3"/>
        <v>#NAME?</v>
      </c>
      <c r="K366" s="274">
        <f t="shared" si="4"/>
        <v>0</v>
      </c>
      <c r="N366" s="274"/>
    </row>
    <row r="367" spans="5:14" ht="13.5" customHeight="1">
      <c r="E367" s="209" t="s">
        <v>976</v>
      </c>
      <c r="F367" s="209" t="s">
        <v>2420</v>
      </c>
      <c r="G367" s="413" t="str">
        <f t="shared" si="5"/>
        <v>07-13</v>
      </c>
      <c r="H367" s="273" t="e">
        <f ca="1">_xludf.IFNA(VLOOKUP(Aragon!E367,'Kilter Holds'!$P$37:$AB$662,10,0),0)</f>
        <v>#NAME?</v>
      </c>
      <c r="I367" s="274"/>
      <c r="J367" s="274" t="e">
        <f t="shared" ca="1" si="3"/>
        <v>#NAME?</v>
      </c>
      <c r="K367" s="274">
        <f t="shared" si="4"/>
        <v>0</v>
      </c>
      <c r="N367" s="274"/>
    </row>
    <row r="368" spans="5:14" ht="13.5" customHeight="1">
      <c r="E368" s="209" t="s">
        <v>976</v>
      </c>
      <c r="F368" s="209" t="s">
        <v>2420</v>
      </c>
      <c r="G368" s="414" t="str">
        <f t="shared" si="5"/>
        <v>11-26</v>
      </c>
      <c r="H368" s="273" t="e">
        <f ca="1">_xludf.IFNA(VLOOKUP(Aragon!E368,'Kilter Holds'!$P$37:$AB$662,11,0),0)</f>
        <v>#NAME?</v>
      </c>
      <c r="I368" s="274"/>
      <c r="J368" s="274" t="e">
        <f t="shared" ca="1" si="3"/>
        <v>#NAME?</v>
      </c>
      <c r="K368" s="274">
        <f t="shared" si="4"/>
        <v>0</v>
      </c>
      <c r="N368" s="274"/>
    </row>
    <row r="369" spans="5:14" ht="13.5" customHeight="1">
      <c r="E369" s="209" t="s">
        <v>976</v>
      </c>
      <c r="F369" s="209" t="s">
        <v>2420</v>
      </c>
      <c r="G369" s="415" t="str">
        <f t="shared" si="5"/>
        <v>18-01</v>
      </c>
      <c r="H369" s="273" t="e">
        <f ca="1">_xludf.IFNA(VLOOKUP(Aragon!E369,'Kilter Holds'!$P$37:$AB$662,12,0),0)</f>
        <v>#NAME?</v>
      </c>
      <c r="I369" s="274"/>
      <c r="J369" s="274" t="e">
        <f t="shared" ca="1" si="3"/>
        <v>#NAME?</v>
      </c>
      <c r="K369" s="274">
        <f t="shared" si="4"/>
        <v>0</v>
      </c>
      <c r="N369" s="274"/>
    </row>
    <row r="370" spans="5:14" ht="13.5" customHeight="1">
      <c r="E370" s="209" t="s">
        <v>976</v>
      </c>
      <c r="F370" s="209" t="s">
        <v>2420</v>
      </c>
      <c r="G370" s="416" t="str">
        <f t="shared" si="5"/>
        <v>Color Code</v>
      </c>
      <c r="H370" s="273" t="e">
        <f ca="1">_xludf.IFNA(VLOOKUP(Aragon!E370,'Kilter Holds'!$P$37:$AB$662,13,0),0)</f>
        <v>#NAME?</v>
      </c>
      <c r="I370" s="274"/>
      <c r="J370" s="274" t="e">
        <f t="shared" ca="1" si="3"/>
        <v>#NAME?</v>
      </c>
      <c r="K370" s="274">
        <f t="shared" si="4"/>
        <v>0</v>
      </c>
      <c r="N370" s="274"/>
    </row>
    <row r="371" spans="5:14" ht="13.5" customHeight="1">
      <c r="E371" s="209" t="s">
        <v>751</v>
      </c>
      <c r="F371" s="209" t="s">
        <v>2421</v>
      </c>
      <c r="G371" s="406" t="str">
        <f t="shared" si="5"/>
        <v>11-12</v>
      </c>
      <c r="H371" s="273" t="e">
        <f ca="1">_xludf.IFNA(VLOOKUP(Aragon!E371,'Kilter Holds'!$P$37:$AB$662,5,0),0)</f>
        <v>#NAME?</v>
      </c>
      <c r="I371" s="274"/>
      <c r="J371" s="274" t="e">
        <f t="shared" ca="1" si="3"/>
        <v>#NAME?</v>
      </c>
      <c r="K371" s="274">
        <f t="shared" si="4"/>
        <v>0</v>
      </c>
      <c r="N371" s="274"/>
    </row>
    <row r="372" spans="5:14" ht="13.5" customHeight="1">
      <c r="E372" s="209" t="s">
        <v>751</v>
      </c>
      <c r="F372" s="209" t="s">
        <v>2421</v>
      </c>
      <c r="G372" s="408" t="str">
        <f t="shared" si="5"/>
        <v>14-01</v>
      </c>
      <c r="H372" s="273" t="e">
        <f ca="1">_xludf.IFNA(VLOOKUP(Aragon!E372,'Kilter Holds'!$P$37:$AB$662,6,0),0)</f>
        <v>#NAME?</v>
      </c>
      <c r="I372" s="274"/>
      <c r="J372" s="274" t="e">
        <f t="shared" ca="1" si="3"/>
        <v>#NAME?</v>
      </c>
      <c r="K372" s="274">
        <f t="shared" si="4"/>
        <v>0</v>
      </c>
      <c r="N372" s="274"/>
    </row>
    <row r="373" spans="5:14" ht="13.5" customHeight="1">
      <c r="E373" s="209" t="s">
        <v>751</v>
      </c>
      <c r="F373" s="209" t="s">
        <v>2421</v>
      </c>
      <c r="G373" s="409" t="str">
        <f t="shared" si="5"/>
        <v>15-12</v>
      </c>
      <c r="H373" s="273" t="e">
        <f ca="1">_xludf.IFNA(VLOOKUP(Aragon!E373,'Kilter Holds'!$P$37:$AB$662,7,0),0)</f>
        <v>#NAME?</v>
      </c>
      <c r="I373" s="274"/>
      <c r="J373" s="274" t="e">
        <f t="shared" ca="1" si="3"/>
        <v>#NAME?</v>
      </c>
      <c r="K373" s="274">
        <f t="shared" si="4"/>
        <v>0</v>
      </c>
      <c r="N373" s="274"/>
    </row>
    <row r="374" spans="5:14" ht="13.5" customHeight="1">
      <c r="E374" s="209" t="s">
        <v>751</v>
      </c>
      <c r="F374" s="209" t="s">
        <v>2421</v>
      </c>
      <c r="G374" s="410" t="str">
        <f t="shared" si="5"/>
        <v>16-16</v>
      </c>
      <c r="H374" s="273" t="e">
        <f ca="1">_xludf.IFNA(VLOOKUP(Aragon!E374,'Kilter Holds'!$P$37:$AB$662,8,0),0)</f>
        <v>#NAME?</v>
      </c>
      <c r="I374" s="274"/>
      <c r="J374" s="274" t="e">
        <f t="shared" ca="1" si="3"/>
        <v>#NAME?</v>
      </c>
      <c r="K374" s="274">
        <f t="shared" si="4"/>
        <v>0</v>
      </c>
      <c r="N374" s="274"/>
    </row>
    <row r="375" spans="5:14" ht="13.5" customHeight="1">
      <c r="E375" s="209" t="s">
        <v>751</v>
      </c>
      <c r="F375" s="209" t="s">
        <v>2421</v>
      </c>
      <c r="G375" s="411" t="str">
        <f t="shared" si="5"/>
        <v>13-01</v>
      </c>
      <c r="H375" s="273" t="e">
        <f ca="1">_xludf.IFNA(VLOOKUP(Aragon!E375,'Kilter Holds'!$P$37:$AB$662,9,0),0)</f>
        <v>#NAME?</v>
      </c>
      <c r="I375" s="274"/>
      <c r="J375" s="274" t="e">
        <f t="shared" ca="1" si="3"/>
        <v>#NAME?</v>
      </c>
      <c r="K375" s="274">
        <f t="shared" si="4"/>
        <v>0</v>
      </c>
      <c r="N375" s="274"/>
    </row>
    <row r="376" spans="5:14" ht="13.5" customHeight="1">
      <c r="E376" s="209" t="s">
        <v>751</v>
      </c>
      <c r="F376" s="209" t="s">
        <v>2421</v>
      </c>
      <c r="G376" s="413" t="str">
        <f t="shared" si="5"/>
        <v>07-13</v>
      </c>
      <c r="H376" s="273" t="e">
        <f ca="1">_xludf.IFNA(VLOOKUP(Aragon!E376,'Kilter Holds'!$P$37:$AB$662,10,0),0)</f>
        <v>#NAME?</v>
      </c>
      <c r="I376" s="274"/>
      <c r="J376" s="274" t="e">
        <f t="shared" ca="1" si="3"/>
        <v>#NAME?</v>
      </c>
      <c r="K376" s="274">
        <f t="shared" si="4"/>
        <v>0</v>
      </c>
      <c r="N376" s="274"/>
    </row>
    <row r="377" spans="5:14" ht="13.5" customHeight="1">
      <c r="E377" s="209" t="s">
        <v>751</v>
      </c>
      <c r="F377" s="209" t="s">
        <v>2421</v>
      </c>
      <c r="G377" s="414" t="str">
        <f t="shared" si="5"/>
        <v>11-26</v>
      </c>
      <c r="H377" s="273" t="e">
        <f ca="1">_xludf.IFNA(VLOOKUP(Aragon!E377,'Kilter Holds'!$P$37:$AB$662,11,0),0)</f>
        <v>#NAME?</v>
      </c>
      <c r="I377" s="274"/>
      <c r="J377" s="274" t="e">
        <f t="shared" ca="1" si="3"/>
        <v>#NAME?</v>
      </c>
      <c r="K377" s="274">
        <f t="shared" si="4"/>
        <v>0</v>
      </c>
      <c r="N377" s="274"/>
    </row>
    <row r="378" spans="5:14" ht="13.5" customHeight="1">
      <c r="E378" s="209" t="s">
        <v>751</v>
      </c>
      <c r="F378" s="209" t="s">
        <v>2421</v>
      </c>
      <c r="G378" s="415" t="str">
        <f t="shared" si="5"/>
        <v>18-01</v>
      </c>
      <c r="H378" s="273" t="e">
        <f ca="1">_xludf.IFNA(VLOOKUP(Aragon!E378,'Kilter Holds'!$P$37:$AB$662,12,0),0)</f>
        <v>#NAME?</v>
      </c>
      <c r="I378" s="274"/>
      <c r="J378" s="274" t="e">
        <f t="shared" ca="1" si="3"/>
        <v>#NAME?</v>
      </c>
      <c r="K378" s="274">
        <f t="shared" si="4"/>
        <v>0</v>
      </c>
      <c r="N378" s="274"/>
    </row>
    <row r="379" spans="5:14" ht="13.5" customHeight="1">
      <c r="E379" s="209" t="s">
        <v>751</v>
      </c>
      <c r="F379" s="209" t="s">
        <v>2421</v>
      </c>
      <c r="G379" s="416" t="str">
        <f t="shared" si="5"/>
        <v>Color Code</v>
      </c>
      <c r="H379" s="273" t="e">
        <f ca="1">_xludf.IFNA(VLOOKUP(Aragon!E379,'Kilter Holds'!$P$37:$AB$662,13,0),0)</f>
        <v>#NAME?</v>
      </c>
      <c r="I379" s="274"/>
      <c r="J379" s="274" t="e">
        <f t="shared" ca="1" si="3"/>
        <v>#NAME?</v>
      </c>
      <c r="K379" s="274">
        <f t="shared" si="4"/>
        <v>0</v>
      </c>
      <c r="N379" s="274"/>
    </row>
    <row r="380" spans="5:14" ht="13.5" customHeight="1">
      <c r="E380" s="209" t="s">
        <v>978</v>
      </c>
      <c r="F380" s="209" t="s">
        <v>2422</v>
      </c>
      <c r="G380" s="406" t="str">
        <f t="shared" si="5"/>
        <v>11-12</v>
      </c>
      <c r="H380" s="273" t="e">
        <f ca="1">_xludf.IFNA(VLOOKUP(Aragon!E380,'Kilter Holds'!$P$37:$AB$662,5,0),0)</f>
        <v>#NAME?</v>
      </c>
      <c r="I380" s="274"/>
      <c r="J380" s="274" t="e">
        <f t="shared" ca="1" si="3"/>
        <v>#NAME?</v>
      </c>
      <c r="K380" s="274">
        <f t="shared" si="4"/>
        <v>0</v>
      </c>
      <c r="N380" s="274"/>
    </row>
    <row r="381" spans="5:14" ht="13.5" customHeight="1">
      <c r="E381" s="209" t="s">
        <v>978</v>
      </c>
      <c r="F381" s="209" t="s">
        <v>2422</v>
      </c>
      <c r="G381" s="408" t="str">
        <f t="shared" si="5"/>
        <v>14-01</v>
      </c>
      <c r="H381" s="273" t="e">
        <f ca="1">_xludf.IFNA(VLOOKUP(Aragon!E381,'Kilter Holds'!$P$37:$AB$662,6,0),0)</f>
        <v>#NAME?</v>
      </c>
      <c r="I381" s="274"/>
      <c r="J381" s="274" t="e">
        <f t="shared" ca="1" si="3"/>
        <v>#NAME?</v>
      </c>
      <c r="K381" s="274">
        <f t="shared" si="4"/>
        <v>0</v>
      </c>
      <c r="N381" s="274"/>
    </row>
    <row r="382" spans="5:14" ht="13.5" customHeight="1">
      <c r="E382" s="209" t="s">
        <v>978</v>
      </c>
      <c r="F382" s="209" t="s">
        <v>2422</v>
      </c>
      <c r="G382" s="409" t="str">
        <f t="shared" si="5"/>
        <v>15-12</v>
      </c>
      <c r="H382" s="273" t="e">
        <f ca="1">_xludf.IFNA(VLOOKUP(Aragon!E382,'Kilter Holds'!$P$37:$AB$662,7,0),0)</f>
        <v>#NAME?</v>
      </c>
      <c r="I382" s="274"/>
      <c r="J382" s="274" t="e">
        <f t="shared" ca="1" si="3"/>
        <v>#NAME?</v>
      </c>
      <c r="K382" s="274">
        <f t="shared" si="4"/>
        <v>0</v>
      </c>
      <c r="N382" s="274"/>
    </row>
    <row r="383" spans="5:14" ht="13.5" customHeight="1">
      <c r="E383" s="209" t="s">
        <v>978</v>
      </c>
      <c r="F383" s="209" t="s">
        <v>2422</v>
      </c>
      <c r="G383" s="410" t="str">
        <f t="shared" si="5"/>
        <v>16-16</v>
      </c>
      <c r="H383" s="273" t="e">
        <f ca="1">_xludf.IFNA(VLOOKUP(Aragon!E383,'Kilter Holds'!$P$37:$AB$662,8,0),0)</f>
        <v>#NAME?</v>
      </c>
      <c r="I383" s="274"/>
      <c r="J383" s="274" t="e">
        <f t="shared" ca="1" si="3"/>
        <v>#NAME?</v>
      </c>
      <c r="K383" s="274">
        <f t="shared" si="4"/>
        <v>0</v>
      </c>
      <c r="N383" s="274"/>
    </row>
    <row r="384" spans="5:14" ht="13.5" customHeight="1">
      <c r="E384" s="209" t="s">
        <v>978</v>
      </c>
      <c r="F384" s="209" t="s">
        <v>2422</v>
      </c>
      <c r="G384" s="411" t="str">
        <f t="shared" si="5"/>
        <v>13-01</v>
      </c>
      <c r="H384" s="273" t="e">
        <f ca="1">_xludf.IFNA(VLOOKUP(Aragon!E384,'Kilter Holds'!$P$37:$AB$662,9,0),0)</f>
        <v>#NAME?</v>
      </c>
      <c r="I384" s="274"/>
      <c r="J384" s="274" t="e">
        <f t="shared" ca="1" si="3"/>
        <v>#NAME?</v>
      </c>
      <c r="K384" s="274">
        <f t="shared" si="4"/>
        <v>0</v>
      </c>
      <c r="N384" s="274"/>
    </row>
    <row r="385" spans="1:14" ht="13.5" customHeight="1">
      <c r="E385" s="209" t="s">
        <v>978</v>
      </c>
      <c r="F385" s="209" t="s">
        <v>2422</v>
      </c>
      <c r="G385" s="413" t="str">
        <f t="shared" si="5"/>
        <v>07-13</v>
      </c>
      <c r="H385" s="273" t="e">
        <f ca="1">_xludf.IFNA(VLOOKUP(Aragon!E385,'Kilter Holds'!$P$37:$AB$662,10,0),0)</f>
        <v>#NAME?</v>
      </c>
      <c r="I385" s="274"/>
      <c r="J385" s="274" t="e">
        <f t="shared" ca="1" si="3"/>
        <v>#NAME?</v>
      </c>
      <c r="K385" s="274">
        <f t="shared" si="4"/>
        <v>0</v>
      </c>
      <c r="N385" s="274"/>
    </row>
    <row r="386" spans="1:14" ht="13.5" customHeight="1">
      <c r="E386" s="209" t="s">
        <v>978</v>
      </c>
      <c r="F386" s="209" t="s">
        <v>2422</v>
      </c>
      <c r="G386" s="414" t="str">
        <f t="shared" si="5"/>
        <v>11-26</v>
      </c>
      <c r="H386" s="273" t="e">
        <f ca="1">_xludf.IFNA(VLOOKUP(Aragon!E386,'Kilter Holds'!$P$37:$AB$662,11,0),0)</f>
        <v>#NAME?</v>
      </c>
      <c r="I386" s="274"/>
      <c r="J386" s="274" t="e">
        <f t="shared" ca="1" si="3"/>
        <v>#NAME?</v>
      </c>
      <c r="K386" s="274">
        <f t="shared" si="4"/>
        <v>0</v>
      </c>
      <c r="N386" s="274"/>
    </row>
    <row r="387" spans="1:14" ht="13.5" customHeight="1">
      <c r="E387" s="209" t="s">
        <v>978</v>
      </c>
      <c r="F387" s="209" t="s">
        <v>2422</v>
      </c>
      <c r="G387" s="415" t="str">
        <f t="shared" si="5"/>
        <v>18-01</v>
      </c>
      <c r="H387" s="273" t="e">
        <f ca="1">_xludf.IFNA(VLOOKUP(Aragon!E387,'Kilter Holds'!$P$37:$AB$662,12,0),0)</f>
        <v>#NAME?</v>
      </c>
      <c r="I387" s="274"/>
      <c r="J387" s="274" t="e">
        <f t="shared" ca="1" si="3"/>
        <v>#NAME?</v>
      </c>
      <c r="K387" s="274">
        <f t="shared" si="4"/>
        <v>0</v>
      </c>
      <c r="N387" s="274"/>
    </row>
    <row r="388" spans="1:14" ht="13.5" customHeight="1">
      <c r="E388" s="209" t="s">
        <v>978</v>
      </c>
      <c r="F388" s="209" t="s">
        <v>2422</v>
      </c>
      <c r="G388" s="416" t="str">
        <f t="shared" si="5"/>
        <v>Color Code</v>
      </c>
      <c r="H388" s="273" t="e">
        <f ca="1">_xludf.IFNA(VLOOKUP(Aragon!E388,'Kilter Holds'!$P$37:$AB$662,13,0),0)</f>
        <v>#NAME?</v>
      </c>
      <c r="I388" s="274"/>
      <c r="J388" s="274" t="e">
        <f t="shared" ca="1" si="3"/>
        <v>#NAME?</v>
      </c>
      <c r="K388" s="274">
        <f t="shared" si="4"/>
        <v>0</v>
      </c>
      <c r="N388" s="274"/>
    </row>
    <row r="389" spans="1:14" ht="13.5" customHeight="1">
      <c r="E389" s="209" t="s">
        <v>753</v>
      </c>
      <c r="F389" s="209" t="s">
        <v>2423</v>
      </c>
      <c r="G389" s="406" t="str">
        <f t="shared" si="5"/>
        <v>11-12</v>
      </c>
      <c r="H389" s="273" t="e">
        <f ca="1">_xludf.IFNA(VLOOKUP(Aragon!E389,'Kilter Holds'!$P$37:$AB$662,5,0),0)</f>
        <v>#NAME?</v>
      </c>
      <c r="I389" s="274"/>
      <c r="J389" s="274" t="e">
        <f t="shared" ca="1" si="3"/>
        <v>#NAME?</v>
      </c>
      <c r="K389" s="274">
        <f t="shared" si="4"/>
        <v>0</v>
      </c>
      <c r="N389" s="274"/>
    </row>
    <row r="390" spans="1:14" ht="13.5" customHeight="1">
      <c r="E390" s="209" t="s">
        <v>753</v>
      </c>
      <c r="F390" s="209" t="s">
        <v>2423</v>
      </c>
      <c r="G390" s="408" t="str">
        <f t="shared" si="5"/>
        <v>14-01</v>
      </c>
      <c r="H390" s="273" t="e">
        <f ca="1">_xludf.IFNA(VLOOKUP(Aragon!E390,'Kilter Holds'!$P$37:$AB$662,6,0),0)</f>
        <v>#NAME?</v>
      </c>
      <c r="I390" s="274"/>
      <c r="J390" s="274" t="e">
        <f t="shared" ca="1" si="3"/>
        <v>#NAME?</v>
      </c>
      <c r="K390" s="274">
        <f t="shared" si="4"/>
        <v>0</v>
      </c>
      <c r="N390" s="274"/>
    </row>
    <row r="391" spans="1:14" ht="13.5" customHeight="1">
      <c r="E391" s="209" t="s">
        <v>753</v>
      </c>
      <c r="F391" s="209" t="s">
        <v>2423</v>
      </c>
      <c r="G391" s="409" t="str">
        <f t="shared" si="5"/>
        <v>15-12</v>
      </c>
      <c r="H391" s="273" t="e">
        <f ca="1">_xludf.IFNA(VLOOKUP(Aragon!E391,'Kilter Holds'!$P$37:$AB$662,7,0),0)</f>
        <v>#NAME?</v>
      </c>
      <c r="I391" s="274"/>
      <c r="J391" s="274" t="e">
        <f t="shared" ca="1" si="3"/>
        <v>#NAME?</v>
      </c>
      <c r="K391" s="274">
        <f t="shared" si="4"/>
        <v>0</v>
      </c>
      <c r="N391" s="274"/>
    </row>
    <row r="392" spans="1:14" ht="13.5" customHeight="1">
      <c r="E392" s="209" t="s">
        <v>753</v>
      </c>
      <c r="F392" s="209" t="s">
        <v>2423</v>
      </c>
      <c r="G392" s="410" t="str">
        <f t="shared" si="5"/>
        <v>16-16</v>
      </c>
      <c r="H392" s="273" t="e">
        <f ca="1">_xludf.IFNA(VLOOKUP(Aragon!E392,'Kilter Holds'!$P$37:$AB$662,8,0),0)</f>
        <v>#NAME?</v>
      </c>
      <c r="I392" s="274"/>
      <c r="J392" s="274" t="e">
        <f t="shared" ca="1" si="3"/>
        <v>#NAME?</v>
      </c>
      <c r="K392" s="274">
        <f t="shared" si="4"/>
        <v>0</v>
      </c>
      <c r="N392" s="274"/>
    </row>
    <row r="393" spans="1:14" ht="13.5" customHeight="1">
      <c r="E393" s="209" t="s">
        <v>753</v>
      </c>
      <c r="F393" s="209" t="s">
        <v>2423</v>
      </c>
      <c r="G393" s="411" t="str">
        <f t="shared" si="5"/>
        <v>13-01</v>
      </c>
      <c r="H393" s="273" t="e">
        <f ca="1">_xludf.IFNA(VLOOKUP(Aragon!E393,'Kilter Holds'!$P$37:$AB$662,9,0),0)</f>
        <v>#NAME?</v>
      </c>
      <c r="I393" s="274"/>
      <c r="J393" s="274" t="e">
        <f t="shared" ca="1" si="3"/>
        <v>#NAME?</v>
      </c>
      <c r="K393" s="274">
        <f t="shared" si="4"/>
        <v>0</v>
      </c>
      <c r="N393" s="274"/>
    </row>
    <row r="394" spans="1:14" ht="13.5" customHeight="1">
      <c r="E394" s="209" t="s">
        <v>753</v>
      </c>
      <c r="F394" s="209" t="s">
        <v>2423</v>
      </c>
      <c r="G394" s="413" t="str">
        <f t="shared" si="5"/>
        <v>07-13</v>
      </c>
      <c r="H394" s="273" t="e">
        <f ca="1">_xludf.IFNA(VLOOKUP(Aragon!E394,'Kilter Holds'!$P$37:$AB$662,10,0),0)</f>
        <v>#NAME?</v>
      </c>
      <c r="I394" s="274"/>
      <c r="J394" s="274" t="e">
        <f t="shared" ca="1" si="3"/>
        <v>#NAME?</v>
      </c>
      <c r="K394" s="274">
        <f t="shared" si="4"/>
        <v>0</v>
      </c>
      <c r="N394" s="274"/>
    </row>
    <row r="395" spans="1:14" ht="13.5" customHeight="1">
      <c r="E395" s="209" t="s">
        <v>753</v>
      </c>
      <c r="F395" s="209" t="s">
        <v>2423</v>
      </c>
      <c r="G395" s="414" t="str">
        <f t="shared" si="5"/>
        <v>11-26</v>
      </c>
      <c r="H395" s="273" t="e">
        <f ca="1">_xludf.IFNA(VLOOKUP(Aragon!E395,'Kilter Holds'!$P$37:$AB$662,11,0),0)</f>
        <v>#NAME?</v>
      </c>
      <c r="I395" s="274"/>
      <c r="J395" s="274" t="e">
        <f t="shared" ca="1" si="3"/>
        <v>#NAME?</v>
      </c>
      <c r="K395" s="274">
        <f t="shared" si="4"/>
        <v>0</v>
      </c>
      <c r="N395" s="274"/>
    </row>
    <row r="396" spans="1:14" ht="13.5" customHeight="1">
      <c r="E396" s="209" t="s">
        <v>753</v>
      </c>
      <c r="F396" s="209" t="s">
        <v>2423</v>
      </c>
      <c r="G396" s="415" t="str">
        <f t="shared" si="5"/>
        <v>18-01</v>
      </c>
      <c r="H396" s="273" t="e">
        <f ca="1">_xludf.IFNA(VLOOKUP(Aragon!E396,'Kilter Holds'!$P$37:$AB$662,12,0),0)</f>
        <v>#NAME?</v>
      </c>
      <c r="I396" s="274"/>
      <c r="J396" s="274" t="e">
        <f t="shared" ca="1" si="3"/>
        <v>#NAME?</v>
      </c>
      <c r="K396" s="274">
        <f t="shared" si="4"/>
        <v>0</v>
      </c>
      <c r="N396" s="274"/>
    </row>
    <row r="397" spans="1:14" ht="13.5" customHeight="1">
      <c r="E397" s="209" t="s">
        <v>753</v>
      </c>
      <c r="F397" s="209" t="s">
        <v>2423</v>
      </c>
      <c r="G397" s="416" t="str">
        <f t="shared" si="5"/>
        <v>Color Code</v>
      </c>
      <c r="H397" s="273" t="e">
        <f ca="1">_xludf.IFNA(VLOOKUP(Aragon!E397,'Kilter Holds'!$P$37:$AB$662,13,0),0)</f>
        <v>#NAME?</v>
      </c>
      <c r="I397" s="274"/>
      <c r="J397" s="274" t="e">
        <f t="shared" ca="1" si="3"/>
        <v>#NAME?</v>
      </c>
      <c r="K397" s="274">
        <f t="shared" si="4"/>
        <v>0</v>
      </c>
      <c r="N397" s="274"/>
    </row>
    <row r="398" spans="1:14" ht="13.5" customHeight="1">
      <c r="A398" s="1" t="s">
        <v>1239</v>
      </c>
      <c r="E398" s="209" t="s">
        <v>1165</v>
      </c>
      <c r="F398" s="209" t="s">
        <v>2424</v>
      </c>
      <c r="G398" s="406" t="str">
        <f t="shared" si="5"/>
        <v>11-12</v>
      </c>
      <c r="H398" s="273" t="e">
        <f ca="1">_xludf.IFNA(VLOOKUP(E398,'Kilter Holds'!$P$37:$AB$662,5,0),0)+_xludf.IFNA(VLOOKUP(A398,'Kilter Holds'!$P$37:$AB$662,5,0),0)</f>
        <v>#NAME?</v>
      </c>
      <c r="I398" s="274"/>
      <c r="J398" s="274" t="e">
        <f t="shared" ca="1" si="3"/>
        <v>#NAME?</v>
      </c>
      <c r="K398" s="274">
        <f t="shared" si="4"/>
        <v>0</v>
      </c>
      <c r="N398" s="274"/>
    </row>
    <row r="399" spans="1:14" ht="13.5" customHeight="1">
      <c r="A399" s="1" t="s">
        <v>1239</v>
      </c>
      <c r="E399" s="209" t="s">
        <v>1165</v>
      </c>
      <c r="F399" s="209" t="s">
        <v>2424</v>
      </c>
      <c r="G399" s="408" t="str">
        <f t="shared" si="5"/>
        <v>14-01</v>
      </c>
      <c r="H399" s="273" t="e">
        <f ca="1">_xludf.IFNA(VLOOKUP(E399,'Kilter Holds'!$P$37:$AB$662,6,0),0)+_xludf.IFNA(VLOOKUP(A399,'Kilter Holds'!$P$37:$AB$662,6,0),0)</f>
        <v>#NAME?</v>
      </c>
      <c r="I399" s="274"/>
      <c r="J399" s="274" t="e">
        <f t="shared" ca="1" si="3"/>
        <v>#NAME?</v>
      </c>
      <c r="K399" s="274">
        <f t="shared" si="4"/>
        <v>0</v>
      </c>
      <c r="N399" s="274"/>
    </row>
    <row r="400" spans="1:14" ht="13.5" customHeight="1">
      <c r="A400" s="1" t="s">
        <v>1239</v>
      </c>
      <c r="E400" s="209" t="s">
        <v>1165</v>
      </c>
      <c r="F400" s="209" t="s">
        <v>2424</v>
      </c>
      <c r="G400" s="409" t="str">
        <f t="shared" si="5"/>
        <v>15-12</v>
      </c>
      <c r="H400" s="273" t="e">
        <f ca="1">_xludf.IFNA(VLOOKUP(E400,'Kilter Holds'!$P$37:$AB$662,7,0),0)+_xludf.IFNA(VLOOKUP(A400,'Kilter Holds'!$P$37:$AB$662,7,0),0)</f>
        <v>#NAME?</v>
      </c>
      <c r="I400" s="274"/>
      <c r="J400" s="274" t="e">
        <f t="shared" ca="1" si="3"/>
        <v>#NAME?</v>
      </c>
      <c r="K400" s="274">
        <f t="shared" si="4"/>
        <v>0</v>
      </c>
      <c r="N400" s="274"/>
    </row>
    <row r="401" spans="1:14" ht="13.5" customHeight="1">
      <c r="A401" s="1" t="s">
        <v>1239</v>
      </c>
      <c r="E401" s="209" t="s">
        <v>1165</v>
      </c>
      <c r="F401" s="209" t="s">
        <v>2424</v>
      </c>
      <c r="G401" s="410" t="str">
        <f t="shared" si="5"/>
        <v>16-16</v>
      </c>
      <c r="H401" s="273" t="e">
        <f ca="1">_xludf.IFNA(VLOOKUP(E401,'Kilter Holds'!$P$37:$AB$662,8,0),0)+_xludf.IFNA(VLOOKUP(A401,'Kilter Holds'!$P$37:$AB$662,8,0),0)</f>
        <v>#NAME?</v>
      </c>
      <c r="I401" s="274"/>
      <c r="J401" s="274" t="e">
        <f t="shared" ca="1" si="3"/>
        <v>#NAME?</v>
      </c>
      <c r="K401" s="274">
        <f t="shared" si="4"/>
        <v>0</v>
      </c>
      <c r="N401" s="274"/>
    </row>
    <row r="402" spans="1:14" ht="13.5" customHeight="1">
      <c r="A402" s="1" t="s">
        <v>1239</v>
      </c>
      <c r="E402" s="209" t="s">
        <v>1165</v>
      </c>
      <c r="F402" s="209" t="s">
        <v>2424</v>
      </c>
      <c r="G402" s="411" t="str">
        <f t="shared" si="5"/>
        <v>13-01</v>
      </c>
      <c r="H402" s="273" t="e">
        <f ca="1">_xludf.IFNA(VLOOKUP(E402,'Kilter Holds'!$P$37:$AB$662,9,0),0)+_xludf.IFNA(VLOOKUP(A402,'Kilter Holds'!$P$37:$AB$662,9,0),0)</f>
        <v>#NAME?</v>
      </c>
      <c r="I402" s="274"/>
      <c r="J402" s="274" t="e">
        <f t="shared" ca="1" si="3"/>
        <v>#NAME?</v>
      </c>
      <c r="K402" s="274">
        <f t="shared" si="4"/>
        <v>0</v>
      </c>
      <c r="N402" s="274"/>
    </row>
    <row r="403" spans="1:14" ht="13.5" customHeight="1">
      <c r="A403" s="1" t="s">
        <v>1239</v>
      </c>
      <c r="E403" s="209" t="s">
        <v>1165</v>
      </c>
      <c r="F403" s="209" t="s">
        <v>2424</v>
      </c>
      <c r="G403" s="413" t="str">
        <f t="shared" si="5"/>
        <v>07-13</v>
      </c>
      <c r="H403" s="273" t="e">
        <f ca="1">_xludf.IFNA(VLOOKUP(E403,'Kilter Holds'!$P$37:$AB$662,10,0),0)+_xludf.IFNA(VLOOKUP(A403,'Kilter Holds'!$P$37:$AB$662,10,0),0)</f>
        <v>#NAME?</v>
      </c>
      <c r="I403" s="274"/>
      <c r="J403" s="274" t="e">
        <f t="shared" ca="1" si="3"/>
        <v>#NAME?</v>
      </c>
      <c r="K403" s="274">
        <f t="shared" si="4"/>
        <v>0</v>
      </c>
      <c r="N403" s="274"/>
    </row>
    <row r="404" spans="1:14" ht="13.5" customHeight="1">
      <c r="A404" s="1" t="s">
        <v>1239</v>
      </c>
      <c r="E404" s="209" t="s">
        <v>1165</v>
      </c>
      <c r="F404" s="209" t="s">
        <v>2424</v>
      </c>
      <c r="G404" s="414" t="str">
        <f t="shared" si="5"/>
        <v>11-26</v>
      </c>
      <c r="H404" s="273" t="e">
        <f ca="1">_xludf.IFNA(VLOOKUP(E404,'Kilter Holds'!$P$37:$AB$662,11,0),0)+_xludf.IFNA(VLOOKUP(A404,'Kilter Holds'!$P$37:$AB$662,11,0),0)</f>
        <v>#NAME?</v>
      </c>
      <c r="I404" s="274"/>
      <c r="J404" s="274" t="e">
        <f t="shared" ca="1" si="3"/>
        <v>#NAME?</v>
      </c>
      <c r="K404" s="274">
        <f t="shared" si="4"/>
        <v>0</v>
      </c>
      <c r="N404" s="274"/>
    </row>
    <row r="405" spans="1:14" ht="13.5" customHeight="1">
      <c r="A405" s="1" t="s">
        <v>1239</v>
      </c>
      <c r="E405" s="209" t="s">
        <v>1165</v>
      </c>
      <c r="F405" s="209" t="s">
        <v>2424</v>
      </c>
      <c r="G405" s="415" t="str">
        <f t="shared" si="5"/>
        <v>18-01</v>
      </c>
      <c r="H405" s="273" t="e">
        <f ca="1">_xludf.IFNA(VLOOKUP(E405,'Kilter Holds'!$P$37:$AB$662,12,0),0)+_xludf.IFNA(VLOOKUP(A405,'Kilter Holds'!$P$37:$AB$662,12,0),0)</f>
        <v>#NAME?</v>
      </c>
      <c r="I405" s="274"/>
      <c r="J405" s="274" t="e">
        <f t="shared" ca="1" si="3"/>
        <v>#NAME?</v>
      </c>
      <c r="K405" s="274">
        <f t="shared" si="4"/>
        <v>0</v>
      </c>
      <c r="N405" s="274"/>
    </row>
    <row r="406" spans="1:14" ht="13.5" customHeight="1">
      <c r="A406" s="1" t="s">
        <v>1239</v>
      </c>
      <c r="E406" s="209" t="s">
        <v>1165</v>
      </c>
      <c r="F406" s="209" t="s">
        <v>2424</v>
      </c>
      <c r="G406" s="416" t="str">
        <f t="shared" si="5"/>
        <v>Color Code</v>
      </c>
      <c r="H406" s="273" t="e">
        <f ca="1">_xludf.IFNA(VLOOKUP(E406,'Kilter Holds'!$P$37:$AB$662,13,0),0)+_xludf.IFNA(VLOOKUP(A406,'Kilter Holds'!$P$37:$AB$662,13,0),0)</f>
        <v>#NAME?</v>
      </c>
      <c r="I406" s="274"/>
      <c r="J406" s="274" t="e">
        <f t="shared" ca="1" si="3"/>
        <v>#NAME?</v>
      </c>
      <c r="K406" s="274">
        <f t="shared" si="4"/>
        <v>0</v>
      </c>
      <c r="N406" s="274"/>
    </row>
    <row r="407" spans="1:14" ht="13.5" customHeight="1">
      <c r="E407" s="209" t="s">
        <v>727</v>
      </c>
      <c r="F407" s="209" t="s">
        <v>2425</v>
      </c>
      <c r="G407" s="406" t="str">
        <f t="shared" si="5"/>
        <v>11-12</v>
      </c>
      <c r="H407" s="273" t="e">
        <f ca="1">_xludf.IFNA(VLOOKUP(Aragon!E407,'Kilter Holds'!$P$37:$AB$662,5,0),0)</f>
        <v>#NAME?</v>
      </c>
      <c r="I407" s="274"/>
      <c r="J407" s="274" t="e">
        <f t="shared" ca="1" si="3"/>
        <v>#NAME?</v>
      </c>
      <c r="K407" s="274">
        <f t="shared" si="4"/>
        <v>0</v>
      </c>
      <c r="N407" s="274"/>
    </row>
    <row r="408" spans="1:14" ht="13.5" customHeight="1">
      <c r="E408" s="209" t="s">
        <v>727</v>
      </c>
      <c r="F408" s="209" t="s">
        <v>2425</v>
      </c>
      <c r="G408" s="408" t="str">
        <f t="shared" si="5"/>
        <v>14-01</v>
      </c>
      <c r="H408" s="273" t="e">
        <f ca="1">_xludf.IFNA(VLOOKUP(Aragon!E408,'Kilter Holds'!$P$37:$AB$662,6,0),0)</f>
        <v>#NAME?</v>
      </c>
      <c r="I408" s="274"/>
      <c r="J408" s="274" t="e">
        <f t="shared" ca="1" si="3"/>
        <v>#NAME?</v>
      </c>
      <c r="K408" s="274">
        <f t="shared" si="4"/>
        <v>0</v>
      </c>
      <c r="N408" s="274"/>
    </row>
    <row r="409" spans="1:14" ht="13.5" customHeight="1">
      <c r="E409" s="209" t="s">
        <v>727</v>
      </c>
      <c r="F409" s="209" t="s">
        <v>2425</v>
      </c>
      <c r="G409" s="409" t="str">
        <f t="shared" si="5"/>
        <v>15-12</v>
      </c>
      <c r="H409" s="273" t="e">
        <f ca="1">_xludf.IFNA(VLOOKUP(Aragon!E409,'Kilter Holds'!$P$37:$AB$662,7,0),0)</f>
        <v>#NAME?</v>
      </c>
      <c r="I409" s="274"/>
      <c r="J409" s="274" t="e">
        <f t="shared" ca="1" si="3"/>
        <v>#NAME?</v>
      </c>
      <c r="K409" s="274">
        <f t="shared" si="4"/>
        <v>0</v>
      </c>
      <c r="N409" s="274"/>
    </row>
    <row r="410" spans="1:14" ht="13.5" customHeight="1">
      <c r="E410" s="209" t="s">
        <v>727</v>
      </c>
      <c r="F410" s="209" t="s">
        <v>2425</v>
      </c>
      <c r="G410" s="410" t="str">
        <f t="shared" si="5"/>
        <v>16-16</v>
      </c>
      <c r="H410" s="273" t="e">
        <f ca="1">_xludf.IFNA(VLOOKUP(Aragon!E410,'Kilter Holds'!$P$37:$AB$662,8,0),0)</f>
        <v>#NAME?</v>
      </c>
      <c r="I410" s="274"/>
      <c r="J410" s="274" t="e">
        <f t="shared" ca="1" si="3"/>
        <v>#NAME?</v>
      </c>
      <c r="K410" s="274">
        <f t="shared" si="4"/>
        <v>0</v>
      </c>
      <c r="N410" s="274"/>
    </row>
    <row r="411" spans="1:14" ht="13.5" customHeight="1">
      <c r="E411" s="209" t="s">
        <v>727</v>
      </c>
      <c r="F411" s="209" t="s">
        <v>2425</v>
      </c>
      <c r="G411" s="411" t="str">
        <f t="shared" si="5"/>
        <v>13-01</v>
      </c>
      <c r="H411" s="273" t="e">
        <f ca="1">_xludf.IFNA(VLOOKUP(Aragon!E411,'Kilter Holds'!$P$37:$AB$662,9,0),0)</f>
        <v>#NAME?</v>
      </c>
      <c r="I411" s="274"/>
      <c r="J411" s="274" t="e">
        <f t="shared" ca="1" si="3"/>
        <v>#NAME?</v>
      </c>
      <c r="K411" s="274">
        <f t="shared" si="4"/>
        <v>0</v>
      </c>
      <c r="N411" s="274"/>
    </row>
    <row r="412" spans="1:14" ht="13.5" customHeight="1">
      <c r="E412" s="209" t="s">
        <v>727</v>
      </c>
      <c r="F412" s="209" t="s">
        <v>2425</v>
      </c>
      <c r="G412" s="413" t="str">
        <f t="shared" si="5"/>
        <v>07-13</v>
      </c>
      <c r="H412" s="273" t="e">
        <f ca="1">_xludf.IFNA(VLOOKUP(Aragon!E412,'Kilter Holds'!$P$37:$AB$662,10,0),0)</f>
        <v>#NAME?</v>
      </c>
      <c r="I412" s="274"/>
      <c r="J412" s="274" t="e">
        <f t="shared" ca="1" si="3"/>
        <v>#NAME?</v>
      </c>
      <c r="K412" s="274">
        <f t="shared" si="4"/>
        <v>0</v>
      </c>
      <c r="N412" s="274"/>
    </row>
    <row r="413" spans="1:14" ht="13.5" customHeight="1">
      <c r="E413" s="209" t="s">
        <v>727</v>
      </c>
      <c r="F413" s="209" t="s">
        <v>2425</v>
      </c>
      <c r="G413" s="414" t="str">
        <f t="shared" si="5"/>
        <v>11-26</v>
      </c>
      <c r="H413" s="273" t="e">
        <f ca="1">_xludf.IFNA(VLOOKUP(Aragon!E413,'Kilter Holds'!$P$37:$AB$662,11,0),0)</f>
        <v>#NAME?</v>
      </c>
      <c r="I413" s="274"/>
      <c r="J413" s="274" t="e">
        <f t="shared" ca="1" si="3"/>
        <v>#NAME?</v>
      </c>
      <c r="K413" s="274">
        <f t="shared" si="4"/>
        <v>0</v>
      </c>
      <c r="N413" s="274"/>
    </row>
    <row r="414" spans="1:14" ht="13.5" customHeight="1">
      <c r="E414" s="209" t="s">
        <v>727</v>
      </c>
      <c r="F414" s="209" t="s">
        <v>2425</v>
      </c>
      <c r="G414" s="415" t="str">
        <f t="shared" si="5"/>
        <v>18-01</v>
      </c>
      <c r="H414" s="273" t="e">
        <f ca="1">_xludf.IFNA(VLOOKUP(Aragon!E414,'Kilter Holds'!$P$37:$AB$662,12,0),0)</f>
        <v>#NAME?</v>
      </c>
      <c r="I414" s="274"/>
      <c r="J414" s="274" t="e">
        <f t="shared" ca="1" si="3"/>
        <v>#NAME?</v>
      </c>
      <c r="K414" s="274">
        <f t="shared" si="4"/>
        <v>0</v>
      </c>
      <c r="N414" s="274"/>
    </row>
    <row r="415" spans="1:14" ht="13.5" customHeight="1">
      <c r="E415" s="209" t="s">
        <v>727</v>
      </c>
      <c r="F415" s="209" t="s">
        <v>2425</v>
      </c>
      <c r="G415" s="416" t="str">
        <f t="shared" si="5"/>
        <v>Color Code</v>
      </c>
      <c r="H415" s="273" t="e">
        <f ca="1">_xludf.IFNA(VLOOKUP(Aragon!E415,'Kilter Holds'!$P$37:$AB$662,13,0),0)</f>
        <v>#NAME?</v>
      </c>
      <c r="I415" s="274"/>
      <c r="J415" s="274" t="e">
        <f t="shared" ca="1" si="3"/>
        <v>#NAME?</v>
      </c>
      <c r="K415" s="274">
        <f t="shared" si="4"/>
        <v>0</v>
      </c>
      <c r="N415" s="274"/>
    </row>
    <row r="416" spans="1:14" ht="13.5" customHeight="1">
      <c r="E416" s="209" t="s">
        <v>729</v>
      </c>
      <c r="F416" s="209" t="s">
        <v>2426</v>
      </c>
      <c r="G416" s="406" t="str">
        <f t="shared" si="5"/>
        <v>11-12</v>
      </c>
      <c r="H416" s="273" t="e">
        <f ca="1">_xludf.IFNA(VLOOKUP(Aragon!E416,'Kilter Holds'!$P$37:$AB$662,5,0),0)</f>
        <v>#NAME?</v>
      </c>
      <c r="I416" s="274"/>
      <c r="J416" s="274" t="e">
        <f t="shared" ca="1" si="3"/>
        <v>#NAME?</v>
      </c>
      <c r="K416" s="274">
        <f t="shared" si="4"/>
        <v>0</v>
      </c>
      <c r="N416" s="274"/>
    </row>
    <row r="417" spans="5:14" ht="13.5" customHeight="1">
      <c r="E417" s="209" t="s">
        <v>729</v>
      </c>
      <c r="F417" s="209" t="s">
        <v>2426</v>
      </c>
      <c r="G417" s="408" t="str">
        <f t="shared" si="5"/>
        <v>14-01</v>
      </c>
      <c r="H417" s="273" t="e">
        <f ca="1">_xludf.IFNA(VLOOKUP(Aragon!E417,'Kilter Holds'!$P$37:$AB$662,6,0),0)</f>
        <v>#NAME?</v>
      </c>
      <c r="I417" s="274"/>
      <c r="J417" s="274" t="e">
        <f t="shared" ca="1" si="3"/>
        <v>#NAME?</v>
      </c>
      <c r="K417" s="274">
        <f t="shared" si="4"/>
        <v>0</v>
      </c>
      <c r="N417" s="274"/>
    </row>
    <row r="418" spans="5:14" ht="13.5" customHeight="1">
      <c r="E418" s="209" t="s">
        <v>729</v>
      </c>
      <c r="F418" s="209" t="s">
        <v>2426</v>
      </c>
      <c r="G418" s="409" t="str">
        <f t="shared" si="5"/>
        <v>15-12</v>
      </c>
      <c r="H418" s="273" t="e">
        <f ca="1">_xludf.IFNA(VLOOKUP(Aragon!E418,'Kilter Holds'!$P$37:$AB$662,7,0),0)</f>
        <v>#NAME?</v>
      </c>
      <c r="I418" s="274"/>
      <c r="J418" s="274" t="e">
        <f t="shared" ca="1" si="3"/>
        <v>#NAME?</v>
      </c>
      <c r="K418" s="274">
        <f t="shared" si="4"/>
        <v>0</v>
      </c>
      <c r="N418" s="274"/>
    </row>
    <row r="419" spans="5:14" ht="13.5" customHeight="1">
      <c r="E419" s="209" t="s">
        <v>729</v>
      </c>
      <c r="F419" s="209" t="s">
        <v>2426</v>
      </c>
      <c r="G419" s="410" t="str">
        <f t="shared" si="5"/>
        <v>16-16</v>
      </c>
      <c r="H419" s="273" t="e">
        <f ca="1">_xludf.IFNA(VLOOKUP(Aragon!E419,'Kilter Holds'!$P$37:$AB$662,8,0),0)</f>
        <v>#NAME?</v>
      </c>
      <c r="I419" s="274"/>
      <c r="J419" s="274" t="e">
        <f t="shared" ca="1" si="3"/>
        <v>#NAME?</v>
      </c>
      <c r="K419" s="274">
        <f t="shared" si="4"/>
        <v>0</v>
      </c>
      <c r="N419" s="274"/>
    </row>
    <row r="420" spans="5:14" ht="13.5" customHeight="1">
      <c r="E420" s="209" t="s">
        <v>729</v>
      </c>
      <c r="F420" s="209" t="s">
        <v>2426</v>
      </c>
      <c r="G420" s="411" t="str">
        <f t="shared" si="5"/>
        <v>13-01</v>
      </c>
      <c r="H420" s="273" t="e">
        <f ca="1">_xludf.IFNA(VLOOKUP(Aragon!E420,'Kilter Holds'!$P$37:$AB$662,9,0),0)</f>
        <v>#NAME?</v>
      </c>
      <c r="I420" s="274"/>
      <c r="J420" s="274" t="e">
        <f t="shared" ca="1" si="3"/>
        <v>#NAME?</v>
      </c>
      <c r="K420" s="274">
        <f t="shared" si="4"/>
        <v>0</v>
      </c>
      <c r="N420" s="274"/>
    </row>
    <row r="421" spans="5:14" ht="13.5" customHeight="1">
      <c r="E421" s="209" t="s">
        <v>729</v>
      </c>
      <c r="F421" s="209" t="s">
        <v>2426</v>
      </c>
      <c r="G421" s="413" t="str">
        <f t="shared" si="5"/>
        <v>07-13</v>
      </c>
      <c r="H421" s="273" t="e">
        <f ca="1">_xludf.IFNA(VLOOKUP(Aragon!E421,'Kilter Holds'!$P$37:$AB$662,10,0),0)</f>
        <v>#NAME?</v>
      </c>
      <c r="I421" s="274"/>
      <c r="J421" s="274" t="e">
        <f t="shared" ca="1" si="3"/>
        <v>#NAME?</v>
      </c>
      <c r="K421" s="274">
        <f t="shared" si="4"/>
        <v>0</v>
      </c>
      <c r="N421" s="274"/>
    </row>
    <row r="422" spans="5:14" ht="13.5" customHeight="1">
      <c r="E422" s="209" t="s">
        <v>729</v>
      </c>
      <c r="F422" s="209" t="s">
        <v>2426</v>
      </c>
      <c r="G422" s="414" t="str">
        <f t="shared" si="5"/>
        <v>11-26</v>
      </c>
      <c r="H422" s="273" t="e">
        <f ca="1">_xludf.IFNA(VLOOKUP(Aragon!E422,'Kilter Holds'!$P$37:$AB$662,11,0),0)</f>
        <v>#NAME?</v>
      </c>
      <c r="I422" s="274"/>
      <c r="J422" s="274" t="e">
        <f t="shared" ca="1" si="3"/>
        <v>#NAME?</v>
      </c>
      <c r="K422" s="274">
        <f t="shared" si="4"/>
        <v>0</v>
      </c>
      <c r="N422" s="274"/>
    </row>
    <row r="423" spans="5:14" ht="13.5" customHeight="1">
      <c r="E423" s="209" t="s">
        <v>729</v>
      </c>
      <c r="F423" s="209" t="s">
        <v>2426</v>
      </c>
      <c r="G423" s="415" t="str">
        <f t="shared" si="5"/>
        <v>18-01</v>
      </c>
      <c r="H423" s="273" t="e">
        <f ca="1">_xludf.IFNA(VLOOKUP(Aragon!E423,'Kilter Holds'!$P$37:$AB$662,12,0),0)</f>
        <v>#NAME?</v>
      </c>
      <c r="I423" s="274"/>
      <c r="J423" s="274" t="e">
        <f t="shared" ca="1" si="3"/>
        <v>#NAME?</v>
      </c>
      <c r="K423" s="274">
        <f t="shared" si="4"/>
        <v>0</v>
      </c>
      <c r="N423" s="274"/>
    </row>
    <row r="424" spans="5:14" ht="13.5" customHeight="1">
      <c r="E424" s="209" t="s">
        <v>729</v>
      </c>
      <c r="F424" s="209" t="s">
        <v>2426</v>
      </c>
      <c r="G424" s="416" t="str">
        <f t="shared" si="5"/>
        <v>Color Code</v>
      </c>
      <c r="H424" s="273" t="e">
        <f ca="1">_xludf.IFNA(VLOOKUP(Aragon!E424,'Kilter Holds'!$P$37:$AB$662,13,0),0)</f>
        <v>#NAME?</v>
      </c>
      <c r="I424" s="274"/>
      <c r="J424" s="274" t="e">
        <f t="shared" ca="1" si="3"/>
        <v>#NAME?</v>
      </c>
      <c r="K424" s="274">
        <f t="shared" si="4"/>
        <v>0</v>
      </c>
      <c r="N424" s="274"/>
    </row>
    <row r="425" spans="5:14" ht="13.5" customHeight="1">
      <c r="E425" s="209" t="s">
        <v>731</v>
      </c>
      <c r="F425" s="209" t="s">
        <v>2427</v>
      </c>
      <c r="G425" s="406" t="str">
        <f t="shared" si="5"/>
        <v>11-12</v>
      </c>
      <c r="H425" s="273" t="e">
        <f ca="1">_xludf.IFNA(VLOOKUP(Aragon!E425,'Kilter Holds'!$P$37:$AB$662,5,0),0)</f>
        <v>#NAME?</v>
      </c>
      <c r="I425" s="274"/>
      <c r="J425" s="274" t="e">
        <f t="shared" ca="1" si="3"/>
        <v>#NAME?</v>
      </c>
      <c r="K425" s="274">
        <f t="shared" si="4"/>
        <v>0</v>
      </c>
      <c r="N425" s="274"/>
    </row>
    <row r="426" spans="5:14" ht="13.5" customHeight="1">
      <c r="E426" s="209" t="s">
        <v>731</v>
      </c>
      <c r="F426" s="209" t="s">
        <v>2427</v>
      </c>
      <c r="G426" s="408" t="str">
        <f t="shared" si="5"/>
        <v>14-01</v>
      </c>
      <c r="H426" s="273" t="e">
        <f ca="1">_xludf.IFNA(VLOOKUP(Aragon!E426,'Kilter Holds'!$P$37:$AB$662,6,0),0)</f>
        <v>#NAME?</v>
      </c>
      <c r="I426" s="274"/>
      <c r="J426" s="274" t="e">
        <f t="shared" ca="1" si="3"/>
        <v>#NAME?</v>
      </c>
      <c r="K426" s="274">
        <f t="shared" si="4"/>
        <v>0</v>
      </c>
      <c r="N426" s="274"/>
    </row>
    <row r="427" spans="5:14" ht="13.5" customHeight="1">
      <c r="E427" s="209" t="s">
        <v>731</v>
      </c>
      <c r="F427" s="209" t="s">
        <v>2427</v>
      </c>
      <c r="G427" s="409" t="str">
        <f t="shared" si="5"/>
        <v>15-12</v>
      </c>
      <c r="H427" s="273" t="e">
        <f ca="1">_xludf.IFNA(VLOOKUP(Aragon!E427,'Kilter Holds'!$P$37:$AB$662,7,0),0)</f>
        <v>#NAME?</v>
      </c>
      <c r="I427" s="274"/>
      <c r="J427" s="274" t="e">
        <f t="shared" ca="1" si="3"/>
        <v>#NAME?</v>
      </c>
      <c r="K427" s="274">
        <f t="shared" si="4"/>
        <v>0</v>
      </c>
      <c r="N427" s="274"/>
    </row>
    <row r="428" spans="5:14" ht="13.5" customHeight="1">
      <c r="E428" s="209" t="s">
        <v>731</v>
      </c>
      <c r="F428" s="209" t="s">
        <v>2427</v>
      </c>
      <c r="G428" s="410" t="str">
        <f t="shared" si="5"/>
        <v>16-16</v>
      </c>
      <c r="H428" s="273" t="e">
        <f ca="1">_xludf.IFNA(VLOOKUP(Aragon!E428,'Kilter Holds'!$P$37:$AB$662,8,0),0)</f>
        <v>#NAME?</v>
      </c>
      <c r="I428" s="274"/>
      <c r="J428" s="274" t="e">
        <f t="shared" ca="1" si="3"/>
        <v>#NAME?</v>
      </c>
      <c r="K428" s="274">
        <f t="shared" si="4"/>
        <v>0</v>
      </c>
      <c r="N428" s="274"/>
    </row>
    <row r="429" spans="5:14" ht="13.5" customHeight="1">
      <c r="E429" s="209" t="s">
        <v>731</v>
      </c>
      <c r="F429" s="209" t="s">
        <v>2427</v>
      </c>
      <c r="G429" s="411" t="str">
        <f t="shared" si="5"/>
        <v>13-01</v>
      </c>
      <c r="H429" s="273" t="e">
        <f ca="1">_xludf.IFNA(VLOOKUP(Aragon!E429,'Kilter Holds'!$P$37:$AB$662,9,0),0)</f>
        <v>#NAME?</v>
      </c>
      <c r="I429" s="274"/>
      <c r="J429" s="274" t="e">
        <f t="shared" ca="1" si="3"/>
        <v>#NAME?</v>
      </c>
      <c r="K429" s="274">
        <f t="shared" si="4"/>
        <v>0</v>
      </c>
      <c r="N429" s="274"/>
    </row>
    <row r="430" spans="5:14" ht="13.5" customHeight="1">
      <c r="E430" s="209" t="s">
        <v>731</v>
      </c>
      <c r="F430" s="209" t="s">
        <v>2427</v>
      </c>
      <c r="G430" s="413" t="str">
        <f t="shared" si="5"/>
        <v>07-13</v>
      </c>
      <c r="H430" s="273" t="e">
        <f ca="1">_xludf.IFNA(VLOOKUP(Aragon!E430,'Kilter Holds'!$P$37:$AB$662,10,0),0)</f>
        <v>#NAME?</v>
      </c>
      <c r="I430" s="274"/>
      <c r="J430" s="274" t="e">
        <f t="shared" ca="1" si="3"/>
        <v>#NAME?</v>
      </c>
      <c r="K430" s="274">
        <f t="shared" si="4"/>
        <v>0</v>
      </c>
      <c r="N430" s="274"/>
    </row>
    <row r="431" spans="5:14" ht="13.5" customHeight="1">
      <c r="E431" s="209" t="s">
        <v>731</v>
      </c>
      <c r="F431" s="209" t="s">
        <v>2427</v>
      </c>
      <c r="G431" s="414" t="str">
        <f t="shared" si="5"/>
        <v>11-26</v>
      </c>
      <c r="H431" s="273" t="e">
        <f ca="1">_xludf.IFNA(VLOOKUP(Aragon!E431,'Kilter Holds'!$P$37:$AB$662,11,0),0)</f>
        <v>#NAME?</v>
      </c>
      <c r="I431" s="274"/>
      <c r="J431" s="274" t="e">
        <f t="shared" ca="1" si="3"/>
        <v>#NAME?</v>
      </c>
      <c r="K431" s="274">
        <f t="shared" si="4"/>
        <v>0</v>
      </c>
      <c r="N431" s="274"/>
    </row>
    <row r="432" spans="5:14" ht="13.5" customHeight="1">
      <c r="E432" s="209" t="s">
        <v>731</v>
      </c>
      <c r="F432" s="209" t="s">
        <v>2427</v>
      </c>
      <c r="G432" s="415" t="str">
        <f t="shared" si="5"/>
        <v>18-01</v>
      </c>
      <c r="H432" s="273" t="e">
        <f ca="1">_xludf.IFNA(VLOOKUP(Aragon!E432,'Kilter Holds'!$P$37:$AB$662,12,0),0)</f>
        <v>#NAME?</v>
      </c>
      <c r="I432" s="274"/>
      <c r="J432" s="274" t="e">
        <f t="shared" ca="1" si="3"/>
        <v>#NAME?</v>
      </c>
      <c r="K432" s="274">
        <f t="shared" si="4"/>
        <v>0</v>
      </c>
      <c r="N432" s="274"/>
    </row>
    <row r="433" spans="5:14" ht="13.5" customHeight="1">
      <c r="E433" s="209" t="s">
        <v>731</v>
      </c>
      <c r="F433" s="209" t="s">
        <v>2427</v>
      </c>
      <c r="G433" s="416" t="str">
        <f t="shared" si="5"/>
        <v>Color Code</v>
      </c>
      <c r="H433" s="273" t="e">
        <f ca="1">_xludf.IFNA(VLOOKUP(Aragon!E433,'Kilter Holds'!$P$37:$AB$662,13,0),0)</f>
        <v>#NAME?</v>
      </c>
      <c r="I433" s="274"/>
      <c r="J433" s="274" t="e">
        <f t="shared" ca="1" si="3"/>
        <v>#NAME?</v>
      </c>
      <c r="K433" s="274">
        <f t="shared" si="4"/>
        <v>0</v>
      </c>
      <c r="N433" s="274"/>
    </row>
    <row r="434" spans="5:14" ht="13.5" customHeight="1">
      <c r="E434" s="209" t="s">
        <v>733</v>
      </c>
      <c r="F434" s="209" t="s">
        <v>2428</v>
      </c>
      <c r="G434" s="406" t="str">
        <f t="shared" si="5"/>
        <v>11-12</v>
      </c>
      <c r="H434" s="273" t="e">
        <f ca="1">_xludf.IFNA(VLOOKUP(Aragon!E434,'Kilter Holds'!$P$37:$AB$662,5,0),0)</f>
        <v>#NAME?</v>
      </c>
      <c r="I434" s="274"/>
      <c r="J434" s="274" t="e">
        <f t="shared" ca="1" si="3"/>
        <v>#NAME?</v>
      </c>
      <c r="K434" s="274">
        <f t="shared" si="4"/>
        <v>0</v>
      </c>
      <c r="N434" s="274"/>
    </row>
    <row r="435" spans="5:14" ht="13.5" customHeight="1">
      <c r="E435" s="209" t="s">
        <v>733</v>
      </c>
      <c r="F435" s="209" t="s">
        <v>2428</v>
      </c>
      <c r="G435" s="408" t="str">
        <f t="shared" si="5"/>
        <v>14-01</v>
      </c>
      <c r="H435" s="273" t="e">
        <f ca="1">_xludf.IFNA(VLOOKUP(Aragon!E435,'Kilter Holds'!$P$37:$AB$662,6,0),0)</f>
        <v>#NAME?</v>
      </c>
      <c r="I435" s="274"/>
      <c r="J435" s="274" t="e">
        <f t="shared" ca="1" si="3"/>
        <v>#NAME?</v>
      </c>
      <c r="K435" s="274">
        <f t="shared" si="4"/>
        <v>0</v>
      </c>
      <c r="N435" s="274"/>
    </row>
    <row r="436" spans="5:14" ht="13.5" customHeight="1">
      <c r="E436" s="209" t="s">
        <v>733</v>
      </c>
      <c r="F436" s="209" t="s">
        <v>2428</v>
      </c>
      <c r="G436" s="409" t="str">
        <f t="shared" si="5"/>
        <v>15-12</v>
      </c>
      <c r="H436" s="273" t="e">
        <f ca="1">_xludf.IFNA(VLOOKUP(Aragon!E436,'Kilter Holds'!$P$37:$AB$662,7,0),0)</f>
        <v>#NAME?</v>
      </c>
      <c r="I436" s="274"/>
      <c r="J436" s="274" t="e">
        <f t="shared" ca="1" si="3"/>
        <v>#NAME?</v>
      </c>
      <c r="K436" s="274">
        <f t="shared" si="4"/>
        <v>0</v>
      </c>
      <c r="N436" s="274"/>
    </row>
    <row r="437" spans="5:14" ht="13.5" customHeight="1">
      <c r="E437" s="209" t="s">
        <v>733</v>
      </c>
      <c r="F437" s="209" t="s">
        <v>2428</v>
      </c>
      <c r="G437" s="410" t="str">
        <f t="shared" si="5"/>
        <v>16-16</v>
      </c>
      <c r="H437" s="273" t="e">
        <f ca="1">_xludf.IFNA(VLOOKUP(Aragon!E437,'Kilter Holds'!$P$37:$AB$662,8,0),0)</f>
        <v>#NAME?</v>
      </c>
      <c r="I437" s="274"/>
      <c r="J437" s="274" t="e">
        <f t="shared" ca="1" si="3"/>
        <v>#NAME?</v>
      </c>
      <c r="K437" s="274">
        <f t="shared" si="4"/>
        <v>0</v>
      </c>
      <c r="N437" s="274"/>
    </row>
    <row r="438" spans="5:14" ht="13.5" customHeight="1">
      <c r="E438" s="209" t="s">
        <v>733</v>
      </c>
      <c r="F438" s="209" t="s">
        <v>2428</v>
      </c>
      <c r="G438" s="411" t="str">
        <f t="shared" si="5"/>
        <v>13-01</v>
      </c>
      <c r="H438" s="273" t="e">
        <f ca="1">_xludf.IFNA(VLOOKUP(Aragon!E438,'Kilter Holds'!$P$37:$AB$662,9,0),0)</f>
        <v>#NAME?</v>
      </c>
      <c r="I438" s="274"/>
      <c r="J438" s="274" t="e">
        <f t="shared" ca="1" si="3"/>
        <v>#NAME?</v>
      </c>
      <c r="K438" s="274">
        <f t="shared" si="4"/>
        <v>0</v>
      </c>
      <c r="N438" s="274"/>
    </row>
    <row r="439" spans="5:14" ht="13.5" customHeight="1">
      <c r="E439" s="209" t="s">
        <v>733</v>
      </c>
      <c r="F439" s="209" t="s">
        <v>2428</v>
      </c>
      <c r="G439" s="413" t="str">
        <f t="shared" si="5"/>
        <v>07-13</v>
      </c>
      <c r="H439" s="273" t="e">
        <f ca="1">_xludf.IFNA(VLOOKUP(Aragon!E439,'Kilter Holds'!$P$37:$AB$662,10,0),0)</f>
        <v>#NAME?</v>
      </c>
      <c r="I439" s="274"/>
      <c r="J439" s="274" t="e">
        <f t="shared" ca="1" si="3"/>
        <v>#NAME?</v>
      </c>
      <c r="K439" s="274">
        <f t="shared" si="4"/>
        <v>0</v>
      </c>
      <c r="N439" s="274"/>
    </row>
    <row r="440" spans="5:14" ht="13.5" customHeight="1">
      <c r="E440" s="209" t="s">
        <v>733</v>
      </c>
      <c r="F440" s="209" t="s">
        <v>2428</v>
      </c>
      <c r="G440" s="414" t="str">
        <f t="shared" si="5"/>
        <v>11-26</v>
      </c>
      <c r="H440" s="273" t="e">
        <f ca="1">_xludf.IFNA(VLOOKUP(Aragon!E440,'Kilter Holds'!$P$37:$AB$662,11,0),0)</f>
        <v>#NAME?</v>
      </c>
      <c r="I440" s="274"/>
      <c r="J440" s="274" t="e">
        <f t="shared" ca="1" si="3"/>
        <v>#NAME?</v>
      </c>
      <c r="K440" s="274">
        <f t="shared" si="4"/>
        <v>0</v>
      </c>
      <c r="N440" s="274"/>
    </row>
    <row r="441" spans="5:14" ht="13.5" customHeight="1">
      <c r="E441" s="209" t="s">
        <v>733</v>
      </c>
      <c r="F441" s="209" t="s">
        <v>2428</v>
      </c>
      <c r="G441" s="415" t="str">
        <f t="shared" si="5"/>
        <v>18-01</v>
      </c>
      <c r="H441" s="273" t="e">
        <f ca="1">_xludf.IFNA(VLOOKUP(Aragon!E441,'Kilter Holds'!$P$37:$AB$662,12,0),0)</f>
        <v>#NAME?</v>
      </c>
      <c r="I441" s="274"/>
      <c r="J441" s="274" t="e">
        <f t="shared" ca="1" si="3"/>
        <v>#NAME?</v>
      </c>
      <c r="K441" s="274">
        <f t="shared" si="4"/>
        <v>0</v>
      </c>
      <c r="N441" s="274"/>
    </row>
    <row r="442" spans="5:14" ht="13.5" customHeight="1">
      <c r="E442" s="209" t="s">
        <v>733</v>
      </c>
      <c r="F442" s="209" t="s">
        <v>2428</v>
      </c>
      <c r="G442" s="416" t="str">
        <f t="shared" si="5"/>
        <v>Color Code</v>
      </c>
      <c r="H442" s="273" t="e">
        <f ca="1">_xludf.IFNA(VLOOKUP(Aragon!E442,'Kilter Holds'!$P$37:$AB$662,13,0),0)</f>
        <v>#NAME?</v>
      </c>
      <c r="I442" s="274"/>
      <c r="J442" s="274" t="e">
        <f t="shared" ca="1" si="3"/>
        <v>#NAME?</v>
      </c>
      <c r="K442" s="274">
        <f t="shared" si="4"/>
        <v>0</v>
      </c>
      <c r="N442" s="274"/>
    </row>
    <row r="443" spans="5:14" ht="13.5" customHeight="1">
      <c r="E443" s="209" t="s">
        <v>1059</v>
      </c>
      <c r="F443" s="209" t="s">
        <v>2429</v>
      </c>
      <c r="G443" s="406" t="str">
        <f t="shared" si="5"/>
        <v>11-12</v>
      </c>
      <c r="H443" s="273" t="e">
        <f ca="1">_xludf.IFNA(VLOOKUP(Aragon!E443,'Kilter Holds'!$P$37:$AB$662,5,0),0)</f>
        <v>#NAME?</v>
      </c>
      <c r="I443" s="274"/>
      <c r="J443" s="274" t="e">
        <f t="shared" ca="1" si="3"/>
        <v>#NAME?</v>
      </c>
      <c r="K443" s="274">
        <f t="shared" si="4"/>
        <v>0</v>
      </c>
      <c r="N443" s="274"/>
    </row>
    <row r="444" spans="5:14" ht="13.5" customHeight="1">
      <c r="E444" s="209" t="s">
        <v>1059</v>
      </c>
      <c r="F444" s="209" t="s">
        <v>2429</v>
      </c>
      <c r="G444" s="408" t="str">
        <f t="shared" si="5"/>
        <v>14-01</v>
      </c>
      <c r="H444" s="273" t="e">
        <f ca="1">_xludf.IFNA(VLOOKUP(Aragon!E444,'Kilter Holds'!$P$37:$AB$662,6,0),0)</f>
        <v>#NAME?</v>
      </c>
      <c r="I444" s="274"/>
      <c r="J444" s="274" t="e">
        <f t="shared" ca="1" si="3"/>
        <v>#NAME?</v>
      </c>
      <c r="K444" s="274">
        <f t="shared" si="4"/>
        <v>0</v>
      </c>
      <c r="N444" s="274"/>
    </row>
    <row r="445" spans="5:14" ht="13.5" customHeight="1">
      <c r="E445" s="209" t="s">
        <v>1059</v>
      </c>
      <c r="F445" s="209" t="s">
        <v>2429</v>
      </c>
      <c r="G445" s="409" t="str">
        <f t="shared" si="5"/>
        <v>15-12</v>
      </c>
      <c r="H445" s="273" t="e">
        <f ca="1">_xludf.IFNA(VLOOKUP(Aragon!E445,'Kilter Holds'!$P$37:$AB$662,7,0),0)</f>
        <v>#NAME?</v>
      </c>
      <c r="I445" s="274"/>
      <c r="J445" s="274" t="e">
        <f t="shared" ca="1" si="3"/>
        <v>#NAME?</v>
      </c>
      <c r="K445" s="274">
        <f t="shared" si="4"/>
        <v>0</v>
      </c>
      <c r="N445" s="274"/>
    </row>
    <row r="446" spans="5:14" ht="13.5" customHeight="1">
      <c r="E446" s="209" t="s">
        <v>1059</v>
      </c>
      <c r="F446" s="209" t="s">
        <v>2429</v>
      </c>
      <c r="G446" s="410" t="str">
        <f t="shared" si="5"/>
        <v>16-16</v>
      </c>
      <c r="H446" s="273" t="e">
        <f ca="1">_xludf.IFNA(VLOOKUP(Aragon!E446,'Kilter Holds'!$P$37:$AB$662,8,0),0)</f>
        <v>#NAME?</v>
      </c>
      <c r="I446" s="274"/>
      <c r="J446" s="274" t="e">
        <f t="shared" ca="1" si="3"/>
        <v>#NAME?</v>
      </c>
      <c r="K446" s="274">
        <f t="shared" si="4"/>
        <v>0</v>
      </c>
      <c r="N446" s="274"/>
    </row>
    <row r="447" spans="5:14" ht="13.5" customHeight="1">
      <c r="E447" s="209" t="s">
        <v>1059</v>
      </c>
      <c r="F447" s="209" t="s">
        <v>2429</v>
      </c>
      <c r="G447" s="411" t="str">
        <f t="shared" si="5"/>
        <v>13-01</v>
      </c>
      <c r="H447" s="273" t="e">
        <f ca="1">_xludf.IFNA(VLOOKUP(Aragon!E447,'Kilter Holds'!$P$37:$AB$662,9,0),0)</f>
        <v>#NAME?</v>
      </c>
      <c r="I447" s="274"/>
      <c r="J447" s="274" t="e">
        <f t="shared" ca="1" si="3"/>
        <v>#NAME?</v>
      </c>
      <c r="K447" s="274">
        <f t="shared" si="4"/>
        <v>0</v>
      </c>
      <c r="N447" s="274"/>
    </row>
    <row r="448" spans="5:14" ht="13.5" customHeight="1">
      <c r="E448" s="209" t="s">
        <v>1059</v>
      </c>
      <c r="F448" s="209" t="s">
        <v>2429</v>
      </c>
      <c r="G448" s="413" t="str">
        <f t="shared" si="5"/>
        <v>07-13</v>
      </c>
      <c r="H448" s="273" t="e">
        <f ca="1">_xludf.IFNA(VLOOKUP(Aragon!E448,'Kilter Holds'!$P$37:$AB$662,10,0),0)</f>
        <v>#NAME?</v>
      </c>
      <c r="I448" s="274"/>
      <c r="J448" s="274" t="e">
        <f t="shared" ca="1" si="3"/>
        <v>#NAME?</v>
      </c>
      <c r="K448" s="274">
        <f t="shared" si="4"/>
        <v>0</v>
      </c>
      <c r="N448" s="274"/>
    </row>
    <row r="449" spans="5:14" ht="13.5" customHeight="1">
      <c r="E449" s="209" t="s">
        <v>1059</v>
      </c>
      <c r="F449" s="209" t="s">
        <v>2429</v>
      </c>
      <c r="G449" s="414" t="str">
        <f t="shared" si="5"/>
        <v>11-26</v>
      </c>
      <c r="H449" s="273" t="e">
        <f ca="1">_xludf.IFNA(VLOOKUP(Aragon!E449,'Kilter Holds'!$P$37:$AB$662,11,0),0)</f>
        <v>#NAME?</v>
      </c>
      <c r="I449" s="274"/>
      <c r="J449" s="274" t="e">
        <f t="shared" ca="1" si="3"/>
        <v>#NAME?</v>
      </c>
      <c r="K449" s="274">
        <f t="shared" si="4"/>
        <v>0</v>
      </c>
      <c r="N449" s="274"/>
    </row>
    <row r="450" spans="5:14" ht="13.5" customHeight="1">
      <c r="E450" s="209" t="s">
        <v>1059</v>
      </c>
      <c r="F450" s="209" t="s">
        <v>2429</v>
      </c>
      <c r="G450" s="415" t="str">
        <f t="shared" si="5"/>
        <v>18-01</v>
      </c>
      <c r="H450" s="273" t="e">
        <f ca="1">_xludf.IFNA(VLOOKUP(Aragon!E450,'Kilter Holds'!$P$37:$AB$662,12,0),0)</f>
        <v>#NAME?</v>
      </c>
      <c r="I450" s="274"/>
      <c r="J450" s="274" t="e">
        <f t="shared" ca="1" si="3"/>
        <v>#NAME?</v>
      </c>
      <c r="K450" s="274">
        <f t="shared" si="4"/>
        <v>0</v>
      </c>
      <c r="N450" s="274"/>
    </row>
    <row r="451" spans="5:14" ht="13.5" customHeight="1">
      <c r="E451" s="209" t="s">
        <v>1059</v>
      </c>
      <c r="F451" s="209" t="s">
        <v>2429</v>
      </c>
      <c r="G451" s="416" t="str">
        <f t="shared" si="5"/>
        <v>Color Code</v>
      </c>
      <c r="H451" s="273" t="e">
        <f ca="1">_xludf.IFNA(VLOOKUP(Aragon!E451,'Kilter Holds'!$P$37:$AB$662,13,0),0)</f>
        <v>#NAME?</v>
      </c>
      <c r="I451" s="274"/>
      <c r="J451" s="274" t="e">
        <f t="shared" ca="1" si="3"/>
        <v>#NAME?</v>
      </c>
      <c r="K451" s="274">
        <f t="shared" si="4"/>
        <v>0</v>
      </c>
      <c r="N451" s="274"/>
    </row>
    <row r="452" spans="5:14" ht="13.5" customHeight="1">
      <c r="E452" s="209" t="s">
        <v>1061</v>
      </c>
      <c r="F452" s="209" t="s">
        <v>2430</v>
      </c>
      <c r="G452" s="406" t="str">
        <f t="shared" si="5"/>
        <v>11-12</v>
      </c>
      <c r="H452" s="273" t="e">
        <f ca="1">_xludf.IFNA(VLOOKUP(Aragon!E452,'Kilter Holds'!$P$37:$AB$662,5,0),0)</f>
        <v>#NAME?</v>
      </c>
      <c r="I452" s="274"/>
      <c r="J452" s="274" t="e">
        <f t="shared" ca="1" si="3"/>
        <v>#NAME?</v>
      </c>
      <c r="K452" s="274">
        <f t="shared" si="4"/>
        <v>0</v>
      </c>
      <c r="N452" s="274"/>
    </row>
    <row r="453" spans="5:14" ht="13.5" customHeight="1">
      <c r="E453" s="209" t="s">
        <v>1061</v>
      </c>
      <c r="F453" s="209" t="s">
        <v>2430</v>
      </c>
      <c r="G453" s="408" t="str">
        <f t="shared" si="5"/>
        <v>14-01</v>
      </c>
      <c r="H453" s="273" t="e">
        <f ca="1">_xludf.IFNA(VLOOKUP(Aragon!E453,'Kilter Holds'!$P$37:$AB$662,6,0),0)</f>
        <v>#NAME?</v>
      </c>
      <c r="I453" s="274"/>
      <c r="J453" s="274" t="e">
        <f t="shared" ca="1" si="3"/>
        <v>#NAME?</v>
      </c>
      <c r="K453" s="274">
        <f t="shared" si="4"/>
        <v>0</v>
      </c>
      <c r="N453" s="274"/>
    </row>
    <row r="454" spans="5:14" ht="13.5" customHeight="1">
      <c r="E454" s="209" t="s">
        <v>1061</v>
      </c>
      <c r="F454" s="209" t="s">
        <v>2430</v>
      </c>
      <c r="G454" s="409" t="str">
        <f t="shared" si="5"/>
        <v>15-12</v>
      </c>
      <c r="H454" s="273" t="e">
        <f ca="1">_xludf.IFNA(VLOOKUP(Aragon!E454,'Kilter Holds'!$P$37:$AB$662,7,0),0)</f>
        <v>#NAME?</v>
      </c>
      <c r="I454" s="274"/>
      <c r="J454" s="274" t="e">
        <f t="shared" ca="1" si="3"/>
        <v>#NAME?</v>
      </c>
      <c r="K454" s="274">
        <f t="shared" si="4"/>
        <v>0</v>
      </c>
      <c r="N454" s="274"/>
    </row>
    <row r="455" spans="5:14" ht="13.5" customHeight="1">
      <c r="E455" s="209" t="s">
        <v>1061</v>
      </c>
      <c r="F455" s="209" t="s">
        <v>2430</v>
      </c>
      <c r="G455" s="410" t="str">
        <f t="shared" si="5"/>
        <v>16-16</v>
      </c>
      <c r="H455" s="273" t="e">
        <f ca="1">_xludf.IFNA(VLOOKUP(Aragon!E455,'Kilter Holds'!$P$37:$AB$662,8,0),0)</f>
        <v>#NAME?</v>
      </c>
      <c r="I455" s="274"/>
      <c r="J455" s="274" t="e">
        <f t="shared" ca="1" si="3"/>
        <v>#NAME?</v>
      </c>
      <c r="K455" s="274">
        <f t="shared" si="4"/>
        <v>0</v>
      </c>
      <c r="N455" s="274"/>
    </row>
    <row r="456" spans="5:14" ht="13.5" customHeight="1">
      <c r="E456" s="209" t="s">
        <v>1061</v>
      </c>
      <c r="F456" s="209" t="s">
        <v>2430</v>
      </c>
      <c r="G456" s="411" t="str">
        <f t="shared" si="5"/>
        <v>13-01</v>
      </c>
      <c r="H456" s="273" t="e">
        <f ca="1">_xludf.IFNA(VLOOKUP(Aragon!E456,'Kilter Holds'!$P$37:$AB$662,9,0),0)</f>
        <v>#NAME?</v>
      </c>
      <c r="I456" s="274"/>
      <c r="J456" s="274" t="e">
        <f t="shared" ca="1" si="3"/>
        <v>#NAME?</v>
      </c>
      <c r="K456" s="274">
        <f t="shared" si="4"/>
        <v>0</v>
      </c>
      <c r="N456" s="274"/>
    </row>
    <row r="457" spans="5:14" ht="13.5" customHeight="1">
      <c r="E457" s="209" t="s">
        <v>1061</v>
      </c>
      <c r="F457" s="209" t="s">
        <v>2430</v>
      </c>
      <c r="G457" s="413" t="str">
        <f t="shared" si="5"/>
        <v>07-13</v>
      </c>
      <c r="H457" s="273" t="e">
        <f ca="1">_xludf.IFNA(VLOOKUP(Aragon!E457,'Kilter Holds'!$P$37:$AB$662,10,0),0)</f>
        <v>#NAME?</v>
      </c>
      <c r="I457" s="274"/>
      <c r="J457" s="274" t="e">
        <f t="shared" ca="1" si="3"/>
        <v>#NAME?</v>
      </c>
      <c r="K457" s="274">
        <f t="shared" si="4"/>
        <v>0</v>
      </c>
      <c r="N457" s="274"/>
    </row>
    <row r="458" spans="5:14" ht="13.5" customHeight="1">
      <c r="E458" s="209" t="s">
        <v>1061</v>
      </c>
      <c r="F458" s="209" t="s">
        <v>2430</v>
      </c>
      <c r="G458" s="414" t="str">
        <f t="shared" si="5"/>
        <v>11-26</v>
      </c>
      <c r="H458" s="273" t="e">
        <f ca="1">_xludf.IFNA(VLOOKUP(Aragon!E458,'Kilter Holds'!$P$37:$AB$662,11,0),0)</f>
        <v>#NAME?</v>
      </c>
      <c r="I458" s="274"/>
      <c r="J458" s="274" t="e">
        <f t="shared" ca="1" si="3"/>
        <v>#NAME?</v>
      </c>
      <c r="K458" s="274">
        <f t="shared" si="4"/>
        <v>0</v>
      </c>
      <c r="N458" s="274"/>
    </row>
    <row r="459" spans="5:14" ht="13.5" customHeight="1">
      <c r="E459" s="209" t="s">
        <v>1061</v>
      </c>
      <c r="F459" s="209" t="s">
        <v>2430</v>
      </c>
      <c r="G459" s="415" t="str">
        <f t="shared" si="5"/>
        <v>18-01</v>
      </c>
      <c r="H459" s="273" t="e">
        <f ca="1">_xludf.IFNA(VLOOKUP(Aragon!E459,'Kilter Holds'!$P$37:$AB$662,12,0),0)</f>
        <v>#NAME?</v>
      </c>
      <c r="I459" s="274"/>
      <c r="J459" s="274" t="e">
        <f t="shared" ca="1" si="3"/>
        <v>#NAME?</v>
      </c>
      <c r="K459" s="274">
        <f t="shared" si="4"/>
        <v>0</v>
      </c>
      <c r="N459" s="274"/>
    </row>
    <row r="460" spans="5:14" ht="13.5" customHeight="1">
      <c r="E460" s="209" t="s">
        <v>1061</v>
      </c>
      <c r="F460" s="209" t="s">
        <v>2430</v>
      </c>
      <c r="G460" s="416" t="str">
        <f t="shared" si="5"/>
        <v>Color Code</v>
      </c>
      <c r="H460" s="273" t="e">
        <f ca="1">_xludf.IFNA(VLOOKUP(Aragon!E460,'Kilter Holds'!$P$37:$AB$662,13,0),0)</f>
        <v>#NAME?</v>
      </c>
      <c r="I460" s="274"/>
      <c r="J460" s="274" t="e">
        <f t="shared" ca="1" si="3"/>
        <v>#NAME?</v>
      </c>
      <c r="K460" s="274">
        <f t="shared" si="4"/>
        <v>0</v>
      </c>
      <c r="N460" s="274"/>
    </row>
    <row r="461" spans="5:14" ht="13.5" customHeight="1">
      <c r="E461" s="209" t="s">
        <v>1063</v>
      </c>
      <c r="F461" s="209" t="s">
        <v>2431</v>
      </c>
      <c r="G461" s="406" t="str">
        <f t="shared" si="5"/>
        <v>11-12</v>
      </c>
      <c r="H461" s="273" t="e">
        <f ca="1">_xludf.IFNA(VLOOKUP(Aragon!E461,'Kilter Holds'!$P$37:$AB$662,5,0),0)</f>
        <v>#NAME?</v>
      </c>
      <c r="I461" s="274"/>
      <c r="J461" s="274" t="e">
        <f t="shared" ca="1" si="3"/>
        <v>#NAME?</v>
      </c>
      <c r="K461" s="274">
        <f t="shared" si="4"/>
        <v>0</v>
      </c>
      <c r="N461" s="274"/>
    </row>
    <row r="462" spans="5:14" ht="13.5" customHeight="1">
      <c r="E462" s="209" t="s">
        <v>1063</v>
      </c>
      <c r="F462" s="209" t="s">
        <v>2431</v>
      </c>
      <c r="G462" s="408" t="str">
        <f t="shared" si="5"/>
        <v>14-01</v>
      </c>
      <c r="H462" s="273" t="e">
        <f ca="1">_xludf.IFNA(VLOOKUP(Aragon!E462,'Kilter Holds'!$P$37:$AB$662,6,0),0)</f>
        <v>#NAME?</v>
      </c>
      <c r="I462" s="274"/>
      <c r="J462" s="274" t="e">
        <f t="shared" ca="1" si="3"/>
        <v>#NAME?</v>
      </c>
      <c r="K462" s="274">
        <f t="shared" si="4"/>
        <v>0</v>
      </c>
      <c r="N462" s="274"/>
    </row>
    <row r="463" spans="5:14" ht="13.5" customHeight="1">
      <c r="E463" s="209" t="s">
        <v>1063</v>
      </c>
      <c r="F463" s="209" t="s">
        <v>2431</v>
      </c>
      <c r="G463" s="409" t="str">
        <f t="shared" si="5"/>
        <v>15-12</v>
      </c>
      <c r="H463" s="273" t="e">
        <f ca="1">_xludf.IFNA(VLOOKUP(Aragon!E463,'Kilter Holds'!$P$37:$AB$662,7,0),0)</f>
        <v>#NAME?</v>
      </c>
      <c r="I463" s="274"/>
      <c r="J463" s="274" t="e">
        <f t="shared" ca="1" si="3"/>
        <v>#NAME?</v>
      </c>
      <c r="K463" s="274">
        <f t="shared" si="4"/>
        <v>0</v>
      </c>
      <c r="N463" s="274"/>
    </row>
    <row r="464" spans="5:14" ht="13.5" customHeight="1">
      <c r="E464" s="209" t="s">
        <v>1063</v>
      </c>
      <c r="F464" s="209" t="s">
        <v>2431</v>
      </c>
      <c r="G464" s="410" t="str">
        <f t="shared" si="5"/>
        <v>16-16</v>
      </c>
      <c r="H464" s="273" t="e">
        <f ca="1">_xludf.IFNA(VLOOKUP(Aragon!E464,'Kilter Holds'!$P$37:$AB$662,8,0),0)</f>
        <v>#NAME?</v>
      </c>
      <c r="I464" s="274"/>
      <c r="J464" s="274" t="e">
        <f t="shared" ca="1" si="3"/>
        <v>#NAME?</v>
      </c>
      <c r="K464" s="274">
        <f t="shared" si="4"/>
        <v>0</v>
      </c>
      <c r="N464" s="274"/>
    </row>
    <row r="465" spans="5:14" ht="13.5" customHeight="1">
      <c r="E465" s="209" t="s">
        <v>1063</v>
      </c>
      <c r="F465" s="209" t="s">
        <v>2431</v>
      </c>
      <c r="G465" s="411" t="str">
        <f t="shared" si="5"/>
        <v>13-01</v>
      </c>
      <c r="H465" s="273" t="e">
        <f ca="1">_xludf.IFNA(VLOOKUP(Aragon!E465,'Kilter Holds'!$P$37:$AB$662,9,0),0)</f>
        <v>#NAME?</v>
      </c>
      <c r="I465" s="274"/>
      <c r="J465" s="274" t="e">
        <f t="shared" ca="1" si="3"/>
        <v>#NAME?</v>
      </c>
      <c r="K465" s="274">
        <f t="shared" si="4"/>
        <v>0</v>
      </c>
      <c r="N465" s="274"/>
    </row>
    <row r="466" spans="5:14" ht="13.5" customHeight="1">
      <c r="E466" s="209" t="s">
        <v>1063</v>
      </c>
      <c r="F466" s="209" t="s">
        <v>2431</v>
      </c>
      <c r="G466" s="413" t="str">
        <f t="shared" si="5"/>
        <v>07-13</v>
      </c>
      <c r="H466" s="273" t="e">
        <f ca="1">_xludf.IFNA(VLOOKUP(Aragon!E466,'Kilter Holds'!$P$37:$AB$662,10,0),0)</f>
        <v>#NAME?</v>
      </c>
      <c r="I466" s="274"/>
      <c r="J466" s="274" t="e">
        <f t="shared" ca="1" si="3"/>
        <v>#NAME?</v>
      </c>
      <c r="K466" s="274">
        <f t="shared" si="4"/>
        <v>0</v>
      </c>
      <c r="N466" s="274"/>
    </row>
    <row r="467" spans="5:14" ht="13.5" customHeight="1">
      <c r="E467" s="209" t="s">
        <v>1063</v>
      </c>
      <c r="F467" s="209" t="s">
        <v>2431</v>
      </c>
      <c r="G467" s="414" t="str">
        <f t="shared" si="5"/>
        <v>11-26</v>
      </c>
      <c r="H467" s="273" t="e">
        <f ca="1">_xludf.IFNA(VLOOKUP(Aragon!E467,'Kilter Holds'!$P$37:$AB$662,11,0),0)</f>
        <v>#NAME?</v>
      </c>
      <c r="I467" s="274"/>
      <c r="J467" s="274" t="e">
        <f t="shared" ca="1" si="3"/>
        <v>#NAME?</v>
      </c>
      <c r="K467" s="274">
        <f t="shared" si="4"/>
        <v>0</v>
      </c>
      <c r="N467" s="274"/>
    </row>
    <row r="468" spans="5:14" ht="13.5" customHeight="1">
      <c r="E468" s="209" t="s">
        <v>1063</v>
      </c>
      <c r="F468" s="209" t="s">
        <v>2431</v>
      </c>
      <c r="G468" s="415" t="str">
        <f t="shared" si="5"/>
        <v>18-01</v>
      </c>
      <c r="H468" s="273" t="e">
        <f ca="1">_xludf.IFNA(VLOOKUP(Aragon!E468,'Kilter Holds'!$P$37:$AB$662,12,0),0)</f>
        <v>#NAME?</v>
      </c>
      <c r="I468" s="274"/>
      <c r="J468" s="274" t="e">
        <f t="shared" ca="1" si="3"/>
        <v>#NAME?</v>
      </c>
      <c r="K468" s="274">
        <f t="shared" si="4"/>
        <v>0</v>
      </c>
      <c r="N468" s="274"/>
    </row>
    <row r="469" spans="5:14" ht="13.5" customHeight="1">
      <c r="E469" s="209" t="s">
        <v>1063</v>
      </c>
      <c r="F469" s="209" t="s">
        <v>2431</v>
      </c>
      <c r="G469" s="416" t="str">
        <f t="shared" si="5"/>
        <v>Color Code</v>
      </c>
      <c r="H469" s="273" t="e">
        <f ca="1">_xludf.IFNA(VLOOKUP(Aragon!E469,'Kilter Holds'!$P$37:$AB$662,13,0),0)</f>
        <v>#NAME?</v>
      </c>
      <c r="I469" s="274"/>
      <c r="J469" s="274" t="e">
        <f t="shared" ca="1" si="3"/>
        <v>#NAME?</v>
      </c>
      <c r="K469" s="274">
        <f t="shared" si="4"/>
        <v>0</v>
      </c>
      <c r="N469" s="274"/>
    </row>
    <row r="470" spans="5:14" ht="13.5" customHeight="1">
      <c r="E470" s="209" t="s">
        <v>1065</v>
      </c>
      <c r="F470" s="209" t="s">
        <v>2432</v>
      </c>
      <c r="G470" s="406" t="str">
        <f t="shared" si="5"/>
        <v>11-12</v>
      </c>
      <c r="H470" s="273" t="e">
        <f ca="1">_xludf.IFNA(VLOOKUP(Aragon!E470,'Kilter Holds'!$P$37:$AB$662,5,0),0)</f>
        <v>#NAME?</v>
      </c>
      <c r="I470" s="274"/>
      <c r="J470" s="274" t="e">
        <f t="shared" ca="1" si="3"/>
        <v>#NAME?</v>
      </c>
      <c r="K470" s="274">
        <f t="shared" si="4"/>
        <v>0</v>
      </c>
      <c r="N470" s="274"/>
    </row>
    <row r="471" spans="5:14" ht="13.5" customHeight="1">
      <c r="E471" s="209" t="s">
        <v>1065</v>
      </c>
      <c r="F471" s="209" t="s">
        <v>2432</v>
      </c>
      <c r="G471" s="408" t="str">
        <f t="shared" si="5"/>
        <v>14-01</v>
      </c>
      <c r="H471" s="273" t="e">
        <f ca="1">_xludf.IFNA(VLOOKUP(Aragon!E471,'Kilter Holds'!$P$37:$AB$662,6,0),0)</f>
        <v>#NAME?</v>
      </c>
      <c r="I471" s="274"/>
      <c r="J471" s="274" t="e">
        <f t="shared" ca="1" si="3"/>
        <v>#NAME?</v>
      </c>
      <c r="K471" s="274">
        <f t="shared" si="4"/>
        <v>0</v>
      </c>
      <c r="N471" s="274"/>
    </row>
    <row r="472" spans="5:14" ht="13.5" customHeight="1">
      <c r="E472" s="209" t="s">
        <v>1065</v>
      </c>
      <c r="F472" s="209" t="s">
        <v>2432</v>
      </c>
      <c r="G472" s="409" t="str">
        <f t="shared" si="5"/>
        <v>15-12</v>
      </c>
      <c r="H472" s="273" t="e">
        <f ca="1">_xludf.IFNA(VLOOKUP(Aragon!E472,'Kilter Holds'!$P$37:$AB$662,7,0),0)</f>
        <v>#NAME?</v>
      </c>
      <c r="I472" s="274"/>
      <c r="J472" s="274" t="e">
        <f t="shared" ca="1" si="3"/>
        <v>#NAME?</v>
      </c>
      <c r="K472" s="274">
        <f t="shared" si="4"/>
        <v>0</v>
      </c>
      <c r="N472" s="274"/>
    </row>
    <row r="473" spans="5:14" ht="13.5" customHeight="1">
      <c r="E473" s="209" t="s">
        <v>1065</v>
      </c>
      <c r="F473" s="209" t="s">
        <v>2432</v>
      </c>
      <c r="G473" s="410" t="str">
        <f t="shared" si="5"/>
        <v>16-16</v>
      </c>
      <c r="H473" s="273" t="e">
        <f ca="1">_xludf.IFNA(VLOOKUP(Aragon!E473,'Kilter Holds'!$P$37:$AB$662,8,0),0)</f>
        <v>#NAME?</v>
      </c>
      <c r="I473" s="274"/>
      <c r="J473" s="274" t="e">
        <f t="shared" ca="1" si="3"/>
        <v>#NAME?</v>
      </c>
      <c r="K473" s="274">
        <f t="shared" si="4"/>
        <v>0</v>
      </c>
      <c r="N473" s="274"/>
    </row>
    <row r="474" spans="5:14" ht="13.5" customHeight="1">
      <c r="E474" s="209" t="s">
        <v>1065</v>
      </c>
      <c r="F474" s="209" t="s">
        <v>2432</v>
      </c>
      <c r="G474" s="411" t="str">
        <f t="shared" si="5"/>
        <v>13-01</v>
      </c>
      <c r="H474" s="273" t="e">
        <f ca="1">_xludf.IFNA(VLOOKUP(Aragon!E474,'Kilter Holds'!$P$37:$AB$662,9,0),0)</f>
        <v>#NAME?</v>
      </c>
      <c r="I474" s="274"/>
      <c r="J474" s="274" t="e">
        <f t="shared" ca="1" si="3"/>
        <v>#NAME?</v>
      </c>
      <c r="K474" s="274">
        <f t="shared" si="4"/>
        <v>0</v>
      </c>
      <c r="N474" s="274"/>
    </row>
    <row r="475" spans="5:14" ht="13.5" customHeight="1">
      <c r="E475" s="209" t="s">
        <v>1065</v>
      </c>
      <c r="F475" s="209" t="s">
        <v>2432</v>
      </c>
      <c r="G475" s="413" t="str">
        <f t="shared" si="5"/>
        <v>07-13</v>
      </c>
      <c r="H475" s="273" t="e">
        <f ca="1">_xludf.IFNA(VLOOKUP(Aragon!E475,'Kilter Holds'!$P$37:$AB$662,10,0),0)</f>
        <v>#NAME?</v>
      </c>
      <c r="I475" s="274"/>
      <c r="J475" s="274" t="e">
        <f t="shared" ca="1" si="3"/>
        <v>#NAME?</v>
      </c>
      <c r="K475" s="274">
        <f t="shared" si="4"/>
        <v>0</v>
      </c>
      <c r="N475" s="274"/>
    </row>
    <row r="476" spans="5:14" ht="13.5" customHeight="1">
      <c r="E476" s="209" t="s">
        <v>1065</v>
      </c>
      <c r="F476" s="209" t="s">
        <v>2432</v>
      </c>
      <c r="G476" s="414" t="str">
        <f t="shared" si="5"/>
        <v>11-26</v>
      </c>
      <c r="H476" s="273" t="e">
        <f ca="1">_xludf.IFNA(VLOOKUP(Aragon!E476,'Kilter Holds'!$P$37:$AB$662,11,0),0)</f>
        <v>#NAME?</v>
      </c>
      <c r="I476" s="274"/>
      <c r="J476" s="274" t="e">
        <f t="shared" ca="1" si="3"/>
        <v>#NAME?</v>
      </c>
      <c r="K476" s="274">
        <f t="shared" si="4"/>
        <v>0</v>
      </c>
      <c r="N476" s="274"/>
    </row>
    <row r="477" spans="5:14" ht="13.5" customHeight="1">
      <c r="E477" s="209" t="s">
        <v>1065</v>
      </c>
      <c r="F477" s="209" t="s">
        <v>2432</v>
      </c>
      <c r="G477" s="415" t="str">
        <f t="shared" si="5"/>
        <v>18-01</v>
      </c>
      <c r="H477" s="273" t="e">
        <f ca="1">_xludf.IFNA(VLOOKUP(Aragon!E477,'Kilter Holds'!$P$37:$AB$662,12,0),0)</f>
        <v>#NAME?</v>
      </c>
      <c r="I477" s="274"/>
      <c r="J477" s="274" t="e">
        <f t="shared" ca="1" si="3"/>
        <v>#NAME?</v>
      </c>
      <c r="K477" s="274">
        <f t="shared" si="4"/>
        <v>0</v>
      </c>
      <c r="N477" s="274"/>
    </row>
    <row r="478" spans="5:14" ht="13.5" customHeight="1">
      <c r="E478" s="209" t="s">
        <v>1065</v>
      </c>
      <c r="F478" s="209" t="s">
        <v>2432</v>
      </c>
      <c r="G478" s="416" t="str">
        <f t="shared" si="5"/>
        <v>Color Code</v>
      </c>
      <c r="H478" s="273" t="e">
        <f ca="1">_xludf.IFNA(VLOOKUP(Aragon!E478,'Kilter Holds'!$P$37:$AB$662,13,0),0)</f>
        <v>#NAME?</v>
      </c>
      <c r="I478" s="274"/>
      <c r="J478" s="274" t="e">
        <f t="shared" ca="1" si="3"/>
        <v>#NAME?</v>
      </c>
      <c r="K478" s="274">
        <f t="shared" si="4"/>
        <v>0</v>
      </c>
      <c r="N478" s="274"/>
    </row>
    <row r="479" spans="5:14" ht="13.5" customHeight="1">
      <c r="E479" s="209" t="s">
        <v>890</v>
      </c>
      <c r="F479" s="209" t="s">
        <v>2433</v>
      </c>
      <c r="G479" s="406" t="str">
        <f t="shared" si="5"/>
        <v>11-12</v>
      </c>
      <c r="H479" s="273" t="e">
        <f ca="1">_xludf.IFNA(VLOOKUP(Aragon!E479,'Kilter Holds'!$P$37:$AB$662,5,0),0)</f>
        <v>#NAME?</v>
      </c>
      <c r="I479" s="274"/>
      <c r="J479" s="274" t="e">
        <f t="shared" ca="1" si="3"/>
        <v>#NAME?</v>
      </c>
      <c r="K479" s="274">
        <f t="shared" si="4"/>
        <v>0</v>
      </c>
      <c r="N479" s="274"/>
    </row>
    <row r="480" spans="5:14" ht="13.5" customHeight="1">
      <c r="E480" s="209" t="s">
        <v>890</v>
      </c>
      <c r="F480" s="209" t="s">
        <v>2433</v>
      </c>
      <c r="G480" s="408" t="str">
        <f t="shared" si="5"/>
        <v>14-01</v>
      </c>
      <c r="H480" s="273" t="e">
        <f ca="1">_xludf.IFNA(VLOOKUP(Aragon!E480,'Kilter Holds'!$P$37:$AB$662,6,0),0)</f>
        <v>#NAME?</v>
      </c>
      <c r="I480" s="274"/>
      <c r="J480" s="274" t="e">
        <f t="shared" ca="1" si="3"/>
        <v>#NAME?</v>
      </c>
      <c r="K480" s="274">
        <f t="shared" si="4"/>
        <v>0</v>
      </c>
      <c r="N480" s="274"/>
    </row>
    <row r="481" spans="5:14" ht="13.5" customHeight="1">
      <c r="E481" s="209" t="s">
        <v>890</v>
      </c>
      <c r="F481" s="209" t="s">
        <v>2433</v>
      </c>
      <c r="G481" s="409" t="str">
        <f t="shared" si="5"/>
        <v>15-12</v>
      </c>
      <c r="H481" s="273" t="e">
        <f ca="1">_xludf.IFNA(VLOOKUP(Aragon!E481,'Kilter Holds'!$P$37:$AB$662,7,0),0)</f>
        <v>#NAME?</v>
      </c>
      <c r="I481" s="274"/>
      <c r="J481" s="274" t="e">
        <f t="shared" ca="1" si="3"/>
        <v>#NAME?</v>
      </c>
      <c r="K481" s="274">
        <f t="shared" si="4"/>
        <v>0</v>
      </c>
      <c r="N481" s="274"/>
    </row>
    <row r="482" spans="5:14" ht="13.5" customHeight="1">
      <c r="E482" s="209" t="s">
        <v>890</v>
      </c>
      <c r="F482" s="209" t="s">
        <v>2433</v>
      </c>
      <c r="G482" s="410" t="str">
        <f t="shared" si="5"/>
        <v>16-16</v>
      </c>
      <c r="H482" s="273" t="e">
        <f ca="1">_xludf.IFNA(VLOOKUP(Aragon!E482,'Kilter Holds'!$P$37:$AB$662,8,0),0)</f>
        <v>#NAME?</v>
      </c>
      <c r="I482" s="274"/>
      <c r="J482" s="274" t="e">
        <f t="shared" ca="1" si="3"/>
        <v>#NAME?</v>
      </c>
      <c r="K482" s="274">
        <f t="shared" si="4"/>
        <v>0</v>
      </c>
      <c r="N482" s="274"/>
    </row>
    <row r="483" spans="5:14" ht="13.5" customHeight="1">
      <c r="E483" s="209" t="s">
        <v>890</v>
      </c>
      <c r="F483" s="209" t="s">
        <v>2433</v>
      </c>
      <c r="G483" s="411" t="str">
        <f t="shared" si="5"/>
        <v>13-01</v>
      </c>
      <c r="H483" s="273" t="e">
        <f ca="1">_xludf.IFNA(VLOOKUP(Aragon!E483,'Kilter Holds'!$P$37:$AB$662,9,0),0)</f>
        <v>#NAME?</v>
      </c>
      <c r="I483" s="274"/>
      <c r="J483" s="274" t="e">
        <f t="shared" ca="1" si="3"/>
        <v>#NAME?</v>
      </c>
      <c r="K483" s="274">
        <f t="shared" si="4"/>
        <v>0</v>
      </c>
      <c r="N483" s="274"/>
    </row>
    <row r="484" spans="5:14" ht="13.5" customHeight="1">
      <c r="E484" s="209" t="s">
        <v>890</v>
      </c>
      <c r="F484" s="209" t="s">
        <v>2433</v>
      </c>
      <c r="G484" s="413" t="str">
        <f t="shared" si="5"/>
        <v>07-13</v>
      </c>
      <c r="H484" s="273" t="e">
        <f ca="1">_xludf.IFNA(VLOOKUP(Aragon!E484,'Kilter Holds'!$P$37:$AB$662,10,0),0)</f>
        <v>#NAME?</v>
      </c>
      <c r="I484" s="274"/>
      <c r="J484" s="274" t="e">
        <f t="shared" ca="1" si="3"/>
        <v>#NAME?</v>
      </c>
      <c r="K484" s="274">
        <f t="shared" si="4"/>
        <v>0</v>
      </c>
      <c r="N484" s="274"/>
    </row>
    <row r="485" spans="5:14" ht="13.5" customHeight="1">
      <c r="E485" s="209" t="s">
        <v>890</v>
      </c>
      <c r="F485" s="209" t="s">
        <v>2433</v>
      </c>
      <c r="G485" s="414" t="str">
        <f t="shared" si="5"/>
        <v>11-26</v>
      </c>
      <c r="H485" s="273" t="e">
        <f ca="1">_xludf.IFNA(VLOOKUP(Aragon!E485,'Kilter Holds'!$P$37:$AB$662,11,0),0)</f>
        <v>#NAME?</v>
      </c>
      <c r="I485" s="274"/>
      <c r="J485" s="274" t="e">
        <f t="shared" ca="1" si="3"/>
        <v>#NAME?</v>
      </c>
      <c r="K485" s="274">
        <f t="shared" si="4"/>
        <v>0</v>
      </c>
      <c r="N485" s="274"/>
    </row>
    <row r="486" spans="5:14" ht="13.5" customHeight="1">
      <c r="E486" s="209" t="s">
        <v>890</v>
      </c>
      <c r="F486" s="209" t="s">
        <v>2433</v>
      </c>
      <c r="G486" s="415" t="str">
        <f t="shared" si="5"/>
        <v>18-01</v>
      </c>
      <c r="H486" s="273" t="e">
        <f ca="1">_xludf.IFNA(VLOOKUP(Aragon!E486,'Kilter Holds'!$P$37:$AB$662,12,0),0)</f>
        <v>#NAME?</v>
      </c>
      <c r="I486" s="274"/>
      <c r="J486" s="274" t="e">
        <f t="shared" ca="1" si="3"/>
        <v>#NAME?</v>
      </c>
      <c r="K486" s="274">
        <f t="shared" si="4"/>
        <v>0</v>
      </c>
      <c r="N486" s="274"/>
    </row>
    <row r="487" spans="5:14" ht="13.5" customHeight="1">
      <c r="E487" s="209" t="s">
        <v>890</v>
      </c>
      <c r="F487" s="209" t="s">
        <v>2433</v>
      </c>
      <c r="G487" s="416" t="str">
        <f t="shared" si="5"/>
        <v>Color Code</v>
      </c>
      <c r="H487" s="273" t="e">
        <f ca="1">_xludf.IFNA(VLOOKUP(Aragon!E487,'Kilter Holds'!$P$37:$AB$662,13,0),0)</f>
        <v>#NAME?</v>
      </c>
      <c r="I487" s="274"/>
      <c r="J487" s="274" t="e">
        <f t="shared" ca="1" si="3"/>
        <v>#NAME?</v>
      </c>
      <c r="K487" s="274">
        <f t="shared" si="4"/>
        <v>0</v>
      </c>
      <c r="N487" s="274"/>
    </row>
    <row r="488" spans="5:14" ht="13.5" customHeight="1">
      <c r="E488" s="209" t="s">
        <v>892</v>
      </c>
      <c r="F488" s="209" t="s">
        <v>2434</v>
      </c>
      <c r="G488" s="406" t="str">
        <f t="shared" si="5"/>
        <v>11-12</v>
      </c>
      <c r="H488" s="273" t="e">
        <f ca="1">_xludf.IFNA(VLOOKUP(Aragon!E488,'Kilter Holds'!$P$37:$AB$662,5,0),0)</f>
        <v>#NAME?</v>
      </c>
      <c r="I488" s="274"/>
      <c r="J488" s="274" t="e">
        <f t="shared" ca="1" si="3"/>
        <v>#NAME?</v>
      </c>
      <c r="K488" s="274">
        <f t="shared" si="4"/>
        <v>0</v>
      </c>
      <c r="N488" s="274"/>
    </row>
    <row r="489" spans="5:14" ht="13.5" customHeight="1">
      <c r="E489" s="209" t="s">
        <v>892</v>
      </c>
      <c r="F489" s="209" t="s">
        <v>2434</v>
      </c>
      <c r="G489" s="408" t="str">
        <f t="shared" si="5"/>
        <v>14-01</v>
      </c>
      <c r="H489" s="273" t="e">
        <f ca="1">_xludf.IFNA(VLOOKUP(Aragon!E489,'Kilter Holds'!$P$37:$AB$662,6,0),0)</f>
        <v>#NAME?</v>
      </c>
      <c r="I489" s="274"/>
      <c r="J489" s="274" t="e">
        <f t="shared" ca="1" si="3"/>
        <v>#NAME?</v>
      </c>
      <c r="K489" s="274">
        <f t="shared" si="4"/>
        <v>0</v>
      </c>
      <c r="N489" s="274"/>
    </row>
    <row r="490" spans="5:14" ht="13.5" customHeight="1">
      <c r="E490" s="209" t="s">
        <v>892</v>
      </c>
      <c r="F490" s="209" t="s">
        <v>2434</v>
      </c>
      <c r="G490" s="409" t="str">
        <f t="shared" si="5"/>
        <v>15-12</v>
      </c>
      <c r="H490" s="273" t="e">
        <f ca="1">_xludf.IFNA(VLOOKUP(Aragon!E490,'Kilter Holds'!$P$37:$AB$662,7,0),0)</f>
        <v>#NAME?</v>
      </c>
      <c r="I490" s="274"/>
      <c r="J490" s="274" t="e">
        <f t="shared" ca="1" si="3"/>
        <v>#NAME?</v>
      </c>
      <c r="K490" s="274">
        <f t="shared" si="4"/>
        <v>0</v>
      </c>
      <c r="N490" s="274"/>
    </row>
    <row r="491" spans="5:14" ht="13.5" customHeight="1">
      <c r="E491" s="209" t="s">
        <v>892</v>
      </c>
      <c r="F491" s="209" t="s">
        <v>2434</v>
      </c>
      <c r="G491" s="410" t="str">
        <f t="shared" si="5"/>
        <v>16-16</v>
      </c>
      <c r="H491" s="273" t="e">
        <f ca="1">_xludf.IFNA(VLOOKUP(Aragon!E491,'Kilter Holds'!$P$37:$AB$662,8,0),0)</f>
        <v>#NAME?</v>
      </c>
      <c r="I491" s="274"/>
      <c r="J491" s="274" t="e">
        <f t="shared" ca="1" si="3"/>
        <v>#NAME?</v>
      </c>
      <c r="K491" s="274">
        <f t="shared" si="4"/>
        <v>0</v>
      </c>
      <c r="N491" s="274"/>
    </row>
    <row r="492" spans="5:14" ht="13.5" customHeight="1">
      <c r="E492" s="209" t="s">
        <v>892</v>
      </c>
      <c r="F492" s="209" t="s">
        <v>2434</v>
      </c>
      <c r="G492" s="411" t="str">
        <f t="shared" si="5"/>
        <v>13-01</v>
      </c>
      <c r="H492" s="273" t="e">
        <f ca="1">_xludf.IFNA(VLOOKUP(Aragon!E492,'Kilter Holds'!$P$37:$AB$662,9,0),0)</f>
        <v>#NAME?</v>
      </c>
      <c r="I492" s="274"/>
      <c r="J492" s="274" t="e">
        <f t="shared" ca="1" si="3"/>
        <v>#NAME?</v>
      </c>
      <c r="K492" s="274">
        <f t="shared" si="4"/>
        <v>0</v>
      </c>
      <c r="N492" s="274"/>
    </row>
    <row r="493" spans="5:14" ht="13.5" customHeight="1">
      <c r="E493" s="209" t="s">
        <v>892</v>
      </c>
      <c r="F493" s="209" t="s">
        <v>2434</v>
      </c>
      <c r="G493" s="413" t="str">
        <f t="shared" si="5"/>
        <v>07-13</v>
      </c>
      <c r="H493" s="273" t="e">
        <f ca="1">_xludf.IFNA(VLOOKUP(Aragon!E493,'Kilter Holds'!$P$37:$AB$662,10,0),0)</f>
        <v>#NAME?</v>
      </c>
      <c r="I493" s="274"/>
      <c r="J493" s="274" t="e">
        <f t="shared" ca="1" si="3"/>
        <v>#NAME?</v>
      </c>
      <c r="K493" s="274">
        <f t="shared" si="4"/>
        <v>0</v>
      </c>
      <c r="N493" s="274"/>
    </row>
    <row r="494" spans="5:14" ht="13.5" customHeight="1">
      <c r="E494" s="209" t="s">
        <v>892</v>
      </c>
      <c r="F494" s="209" t="s">
        <v>2434</v>
      </c>
      <c r="G494" s="414" t="str">
        <f t="shared" si="5"/>
        <v>11-26</v>
      </c>
      <c r="H494" s="273" t="e">
        <f ca="1">_xludf.IFNA(VLOOKUP(Aragon!E494,'Kilter Holds'!$P$37:$AB$662,11,0),0)</f>
        <v>#NAME?</v>
      </c>
      <c r="I494" s="274"/>
      <c r="J494" s="274" t="e">
        <f t="shared" ca="1" si="3"/>
        <v>#NAME?</v>
      </c>
      <c r="K494" s="274">
        <f t="shared" si="4"/>
        <v>0</v>
      </c>
      <c r="N494" s="274"/>
    </row>
    <row r="495" spans="5:14" ht="13.5" customHeight="1">
      <c r="E495" s="209" t="s">
        <v>892</v>
      </c>
      <c r="F495" s="209" t="s">
        <v>2434</v>
      </c>
      <c r="G495" s="415" t="str">
        <f t="shared" si="5"/>
        <v>18-01</v>
      </c>
      <c r="H495" s="273" t="e">
        <f ca="1">_xludf.IFNA(VLOOKUP(Aragon!E495,'Kilter Holds'!$P$37:$AB$662,12,0),0)</f>
        <v>#NAME?</v>
      </c>
      <c r="I495" s="274"/>
      <c r="J495" s="274" t="e">
        <f t="shared" ca="1" si="3"/>
        <v>#NAME?</v>
      </c>
      <c r="K495" s="274">
        <f t="shared" si="4"/>
        <v>0</v>
      </c>
      <c r="N495" s="274"/>
    </row>
    <row r="496" spans="5:14" ht="13.5" customHeight="1">
      <c r="E496" s="209" t="s">
        <v>892</v>
      </c>
      <c r="F496" s="209" t="s">
        <v>2434</v>
      </c>
      <c r="G496" s="416" t="str">
        <f t="shared" si="5"/>
        <v>Color Code</v>
      </c>
      <c r="H496" s="273" t="e">
        <f ca="1">_xludf.IFNA(VLOOKUP(Aragon!E496,'Kilter Holds'!$P$37:$AB$662,13,0),0)</f>
        <v>#NAME?</v>
      </c>
      <c r="I496" s="274"/>
      <c r="J496" s="274" t="e">
        <f t="shared" ca="1" si="3"/>
        <v>#NAME?</v>
      </c>
      <c r="K496" s="274">
        <f t="shared" si="4"/>
        <v>0</v>
      </c>
      <c r="N496" s="274"/>
    </row>
    <row r="497" spans="5:14" ht="13.5" customHeight="1">
      <c r="E497" s="209" t="s">
        <v>894</v>
      </c>
      <c r="F497" s="209" t="s">
        <v>2435</v>
      </c>
      <c r="G497" s="406" t="str">
        <f t="shared" si="5"/>
        <v>11-12</v>
      </c>
      <c r="H497" s="273" t="e">
        <f ca="1">_xludf.IFNA(VLOOKUP(Aragon!E497,'Kilter Holds'!$P$37:$AB$662,5,0),0)</f>
        <v>#NAME?</v>
      </c>
      <c r="I497" s="274"/>
      <c r="J497" s="274" t="e">
        <f t="shared" ca="1" si="3"/>
        <v>#NAME?</v>
      </c>
      <c r="K497" s="274">
        <f t="shared" si="4"/>
        <v>0</v>
      </c>
      <c r="N497" s="274"/>
    </row>
    <row r="498" spans="5:14" ht="13.5" customHeight="1">
      <c r="E498" s="209" t="s">
        <v>894</v>
      </c>
      <c r="F498" s="209" t="s">
        <v>2435</v>
      </c>
      <c r="G498" s="408" t="str">
        <f t="shared" si="5"/>
        <v>14-01</v>
      </c>
      <c r="H498" s="273" t="e">
        <f ca="1">_xludf.IFNA(VLOOKUP(Aragon!E498,'Kilter Holds'!$P$37:$AB$662,6,0),0)</f>
        <v>#NAME?</v>
      </c>
      <c r="I498" s="274"/>
      <c r="J498" s="274" t="e">
        <f t="shared" ca="1" si="3"/>
        <v>#NAME?</v>
      </c>
      <c r="K498" s="274">
        <f t="shared" si="4"/>
        <v>0</v>
      </c>
      <c r="N498" s="274"/>
    </row>
    <row r="499" spans="5:14" ht="13.5" customHeight="1">
      <c r="E499" s="209" t="s">
        <v>894</v>
      </c>
      <c r="F499" s="209" t="s">
        <v>2435</v>
      </c>
      <c r="G499" s="409" t="str">
        <f t="shared" si="5"/>
        <v>15-12</v>
      </c>
      <c r="H499" s="273" t="e">
        <f ca="1">_xludf.IFNA(VLOOKUP(Aragon!E499,'Kilter Holds'!$P$37:$AB$662,7,0),0)</f>
        <v>#NAME?</v>
      </c>
      <c r="I499" s="274"/>
      <c r="J499" s="274" t="e">
        <f t="shared" ca="1" si="3"/>
        <v>#NAME?</v>
      </c>
      <c r="K499" s="274">
        <f t="shared" si="4"/>
        <v>0</v>
      </c>
      <c r="N499" s="274"/>
    </row>
    <row r="500" spans="5:14" ht="13.5" customHeight="1">
      <c r="E500" s="209" t="s">
        <v>894</v>
      </c>
      <c r="F500" s="209" t="s">
        <v>2435</v>
      </c>
      <c r="G500" s="410" t="str">
        <f t="shared" si="5"/>
        <v>16-16</v>
      </c>
      <c r="H500" s="273" t="e">
        <f ca="1">_xludf.IFNA(VLOOKUP(Aragon!E500,'Kilter Holds'!$P$37:$AB$662,8,0),0)</f>
        <v>#NAME?</v>
      </c>
      <c r="I500" s="274"/>
      <c r="J500" s="274" t="e">
        <f t="shared" ca="1" si="3"/>
        <v>#NAME?</v>
      </c>
      <c r="K500" s="274">
        <f t="shared" si="4"/>
        <v>0</v>
      </c>
      <c r="N500" s="274"/>
    </row>
    <row r="501" spans="5:14" ht="13.5" customHeight="1">
      <c r="E501" s="209" t="s">
        <v>894</v>
      </c>
      <c r="F501" s="209" t="s">
        <v>2435</v>
      </c>
      <c r="G501" s="411" t="str">
        <f t="shared" si="5"/>
        <v>13-01</v>
      </c>
      <c r="H501" s="273" t="e">
        <f ca="1">_xludf.IFNA(VLOOKUP(Aragon!E501,'Kilter Holds'!$P$37:$AB$662,9,0),0)</f>
        <v>#NAME?</v>
      </c>
      <c r="I501" s="274"/>
      <c r="J501" s="274" t="e">
        <f t="shared" ca="1" si="3"/>
        <v>#NAME?</v>
      </c>
      <c r="K501" s="274">
        <f t="shared" si="4"/>
        <v>0</v>
      </c>
      <c r="N501" s="274"/>
    </row>
    <row r="502" spans="5:14" ht="13.5" customHeight="1">
      <c r="E502" s="209" t="s">
        <v>894</v>
      </c>
      <c r="F502" s="209" t="s">
        <v>2435</v>
      </c>
      <c r="G502" s="413" t="str">
        <f t="shared" si="5"/>
        <v>07-13</v>
      </c>
      <c r="H502" s="273" t="e">
        <f ca="1">_xludf.IFNA(VLOOKUP(Aragon!E502,'Kilter Holds'!$P$37:$AB$662,10,0),0)</f>
        <v>#NAME?</v>
      </c>
      <c r="I502" s="274"/>
      <c r="J502" s="274" t="e">
        <f t="shared" ca="1" si="3"/>
        <v>#NAME?</v>
      </c>
      <c r="K502" s="274">
        <f t="shared" si="4"/>
        <v>0</v>
      </c>
      <c r="N502" s="274"/>
    </row>
    <row r="503" spans="5:14" ht="13.5" customHeight="1">
      <c r="E503" s="209" t="s">
        <v>894</v>
      </c>
      <c r="F503" s="209" t="s">
        <v>2435</v>
      </c>
      <c r="G503" s="414" t="str">
        <f t="shared" si="5"/>
        <v>11-26</v>
      </c>
      <c r="H503" s="273" t="e">
        <f ca="1">_xludf.IFNA(VLOOKUP(Aragon!E503,'Kilter Holds'!$P$37:$AB$662,11,0),0)</f>
        <v>#NAME?</v>
      </c>
      <c r="I503" s="274"/>
      <c r="J503" s="274" t="e">
        <f t="shared" ca="1" si="3"/>
        <v>#NAME?</v>
      </c>
      <c r="K503" s="274">
        <f t="shared" si="4"/>
        <v>0</v>
      </c>
      <c r="N503" s="274"/>
    </row>
    <row r="504" spans="5:14" ht="13.5" customHeight="1">
      <c r="E504" s="209" t="s">
        <v>894</v>
      </c>
      <c r="F504" s="209" t="s">
        <v>2435</v>
      </c>
      <c r="G504" s="415" t="str">
        <f t="shared" si="5"/>
        <v>18-01</v>
      </c>
      <c r="H504" s="273" t="e">
        <f ca="1">_xludf.IFNA(VLOOKUP(Aragon!E504,'Kilter Holds'!$P$37:$AB$662,12,0),0)</f>
        <v>#NAME?</v>
      </c>
      <c r="I504" s="274"/>
      <c r="J504" s="274" t="e">
        <f t="shared" ca="1" si="3"/>
        <v>#NAME?</v>
      </c>
      <c r="K504" s="274">
        <f t="shared" si="4"/>
        <v>0</v>
      </c>
      <c r="N504" s="274"/>
    </row>
    <row r="505" spans="5:14" ht="13.5" customHeight="1">
      <c r="E505" s="209" t="s">
        <v>894</v>
      </c>
      <c r="F505" s="209" t="s">
        <v>2435</v>
      </c>
      <c r="G505" s="416" t="str">
        <f t="shared" si="5"/>
        <v>Color Code</v>
      </c>
      <c r="H505" s="273" t="e">
        <f ca="1">_xludf.IFNA(VLOOKUP(Aragon!E505,'Kilter Holds'!$P$37:$AB$662,13,0),0)</f>
        <v>#NAME?</v>
      </c>
      <c r="I505" s="274"/>
      <c r="J505" s="274" t="e">
        <f t="shared" ca="1" si="3"/>
        <v>#NAME?</v>
      </c>
      <c r="K505" s="274">
        <f t="shared" si="4"/>
        <v>0</v>
      </c>
      <c r="N505" s="274"/>
    </row>
    <row r="506" spans="5:14" ht="13.5" customHeight="1">
      <c r="E506" s="209" t="s">
        <v>896</v>
      </c>
      <c r="F506" s="209" t="s">
        <v>2436</v>
      </c>
      <c r="G506" s="406" t="str">
        <f t="shared" si="5"/>
        <v>11-12</v>
      </c>
      <c r="H506" s="273" t="e">
        <f ca="1">_xludf.IFNA(VLOOKUP(Aragon!E506,'Kilter Holds'!$P$37:$AB$662,5,0),0)</f>
        <v>#NAME?</v>
      </c>
      <c r="I506" s="274"/>
      <c r="J506" s="274" t="e">
        <f t="shared" ca="1" si="3"/>
        <v>#NAME?</v>
      </c>
      <c r="K506" s="274">
        <f t="shared" si="4"/>
        <v>0</v>
      </c>
      <c r="N506" s="274"/>
    </row>
    <row r="507" spans="5:14" ht="13.5" customHeight="1">
      <c r="E507" s="209" t="s">
        <v>896</v>
      </c>
      <c r="F507" s="209" t="s">
        <v>2436</v>
      </c>
      <c r="G507" s="408" t="str">
        <f t="shared" si="5"/>
        <v>14-01</v>
      </c>
      <c r="H507" s="273" t="e">
        <f ca="1">_xludf.IFNA(VLOOKUP(Aragon!E507,'Kilter Holds'!$P$37:$AB$662,6,0),0)</f>
        <v>#NAME?</v>
      </c>
      <c r="I507" s="274"/>
      <c r="J507" s="274" t="e">
        <f t="shared" ca="1" si="3"/>
        <v>#NAME?</v>
      </c>
      <c r="K507" s="274">
        <f t="shared" si="4"/>
        <v>0</v>
      </c>
      <c r="N507" s="274"/>
    </row>
    <row r="508" spans="5:14" ht="13.5" customHeight="1">
      <c r="E508" s="209" t="s">
        <v>896</v>
      </c>
      <c r="F508" s="209" t="s">
        <v>2436</v>
      </c>
      <c r="G508" s="409" t="str">
        <f t="shared" si="5"/>
        <v>15-12</v>
      </c>
      <c r="H508" s="273" t="e">
        <f ca="1">_xludf.IFNA(VLOOKUP(Aragon!E508,'Kilter Holds'!$P$37:$AB$662,7,0),0)</f>
        <v>#NAME?</v>
      </c>
      <c r="I508" s="274"/>
      <c r="J508" s="274" t="e">
        <f t="shared" ca="1" si="3"/>
        <v>#NAME?</v>
      </c>
      <c r="K508" s="274">
        <f t="shared" si="4"/>
        <v>0</v>
      </c>
      <c r="N508" s="274"/>
    </row>
    <row r="509" spans="5:14" ht="13.5" customHeight="1">
      <c r="E509" s="209" t="s">
        <v>896</v>
      </c>
      <c r="F509" s="209" t="s">
        <v>2436</v>
      </c>
      <c r="G509" s="410" t="str">
        <f t="shared" si="5"/>
        <v>16-16</v>
      </c>
      <c r="H509" s="273" t="e">
        <f ca="1">_xludf.IFNA(VLOOKUP(Aragon!E509,'Kilter Holds'!$P$37:$AB$662,8,0),0)</f>
        <v>#NAME?</v>
      </c>
      <c r="I509" s="274"/>
      <c r="J509" s="274" t="e">
        <f t="shared" ca="1" si="3"/>
        <v>#NAME?</v>
      </c>
      <c r="K509" s="274">
        <f t="shared" si="4"/>
        <v>0</v>
      </c>
      <c r="N509" s="274"/>
    </row>
    <row r="510" spans="5:14" ht="13.5" customHeight="1">
      <c r="E510" s="209" t="s">
        <v>896</v>
      </c>
      <c r="F510" s="209" t="s">
        <v>2436</v>
      </c>
      <c r="G510" s="411" t="str">
        <f t="shared" si="5"/>
        <v>13-01</v>
      </c>
      <c r="H510" s="273" t="e">
        <f ca="1">_xludf.IFNA(VLOOKUP(Aragon!E510,'Kilter Holds'!$P$37:$AB$662,9,0),0)</f>
        <v>#NAME?</v>
      </c>
      <c r="I510" s="274"/>
      <c r="J510" s="274" t="e">
        <f t="shared" ca="1" si="3"/>
        <v>#NAME?</v>
      </c>
      <c r="K510" s="274">
        <f t="shared" si="4"/>
        <v>0</v>
      </c>
      <c r="N510" s="274"/>
    </row>
    <row r="511" spans="5:14" ht="13.5" customHeight="1">
      <c r="E511" s="209" t="s">
        <v>896</v>
      </c>
      <c r="F511" s="209" t="s">
        <v>2436</v>
      </c>
      <c r="G511" s="413" t="str">
        <f t="shared" si="5"/>
        <v>07-13</v>
      </c>
      <c r="H511" s="273" t="e">
        <f ca="1">_xludf.IFNA(VLOOKUP(Aragon!E511,'Kilter Holds'!$P$37:$AB$662,10,0),0)</f>
        <v>#NAME?</v>
      </c>
      <c r="I511" s="274"/>
      <c r="J511" s="274" t="e">
        <f t="shared" ca="1" si="3"/>
        <v>#NAME?</v>
      </c>
      <c r="K511" s="274">
        <f t="shared" si="4"/>
        <v>0</v>
      </c>
      <c r="N511" s="274"/>
    </row>
    <row r="512" spans="5:14" ht="13.5" customHeight="1">
      <c r="E512" s="209" t="s">
        <v>896</v>
      </c>
      <c r="F512" s="209" t="s">
        <v>2436</v>
      </c>
      <c r="G512" s="414" t="str">
        <f t="shared" si="5"/>
        <v>11-26</v>
      </c>
      <c r="H512" s="273" t="e">
        <f ca="1">_xludf.IFNA(VLOOKUP(Aragon!E512,'Kilter Holds'!$P$37:$AB$662,11,0),0)</f>
        <v>#NAME?</v>
      </c>
      <c r="I512" s="274"/>
      <c r="J512" s="274" t="e">
        <f t="shared" ref="J512:J766" ca="1" si="6">H512*I512</f>
        <v>#NAME?</v>
      </c>
      <c r="K512" s="274">
        <f t="shared" ref="K512:K766" si="7">IF($V$11="Y",J512*0.05,0)</f>
        <v>0</v>
      </c>
      <c r="N512" s="274"/>
    </row>
    <row r="513" spans="1:14" ht="13.5" customHeight="1">
      <c r="E513" s="209" t="s">
        <v>896</v>
      </c>
      <c r="F513" s="209" t="s">
        <v>2436</v>
      </c>
      <c r="G513" s="415" t="str">
        <f t="shared" si="5"/>
        <v>18-01</v>
      </c>
      <c r="H513" s="273" t="e">
        <f ca="1">_xludf.IFNA(VLOOKUP(Aragon!E513,'Kilter Holds'!$P$37:$AB$662,12,0),0)</f>
        <v>#NAME?</v>
      </c>
      <c r="I513" s="274"/>
      <c r="J513" s="274" t="e">
        <f t="shared" ca="1" si="6"/>
        <v>#NAME?</v>
      </c>
      <c r="K513" s="274">
        <f t="shared" si="7"/>
        <v>0</v>
      </c>
      <c r="N513" s="274"/>
    </row>
    <row r="514" spans="1:14" ht="13.5" customHeight="1">
      <c r="E514" s="209" t="s">
        <v>896</v>
      </c>
      <c r="F514" s="209" t="s">
        <v>2436</v>
      </c>
      <c r="G514" s="416" t="str">
        <f t="shared" si="5"/>
        <v>Color Code</v>
      </c>
      <c r="H514" s="273" t="e">
        <f ca="1">_xludf.IFNA(VLOOKUP(Aragon!E514,'Kilter Holds'!$P$37:$AB$662,13,0),0)</f>
        <v>#NAME?</v>
      </c>
      <c r="I514" s="274"/>
      <c r="J514" s="274" t="e">
        <f t="shared" ca="1" si="6"/>
        <v>#NAME?</v>
      </c>
      <c r="K514" s="274">
        <f t="shared" si="7"/>
        <v>0</v>
      </c>
      <c r="N514" s="274"/>
    </row>
    <row r="515" spans="1:14" ht="13.5" customHeight="1">
      <c r="A515" s="1" t="s">
        <v>1233</v>
      </c>
      <c r="B515" s="1"/>
      <c r="C515" s="1"/>
      <c r="D515" s="1"/>
      <c r="E515" s="209" t="s">
        <v>1125</v>
      </c>
      <c r="F515" s="209" t="s">
        <v>2437</v>
      </c>
      <c r="G515" s="406" t="str">
        <f t="shared" si="5"/>
        <v>11-12</v>
      </c>
      <c r="H515" s="273" t="e">
        <f ca="1">_xludf.IFNA(VLOOKUP(E515,'Kilter Holds'!$P$37:$AB$662,5,0),0)+_xludf.IFNA(VLOOKUP(A515,'Kilter Holds'!$P$37:$AB$662,5,0),0)</f>
        <v>#NAME?</v>
      </c>
      <c r="I515" s="274"/>
      <c r="J515" s="274" t="e">
        <f t="shared" ca="1" si="6"/>
        <v>#NAME?</v>
      </c>
      <c r="K515" s="274">
        <f t="shared" si="7"/>
        <v>0</v>
      </c>
      <c r="N515" s="274"/>
    </row>
    <row r="516" spans="1:14" ht="13.5" customHeight="1">
      <c r="A516" s="1" t="s">
        <v>1233</v>
      </c>
      <c r="B516" s="1"/>
      <c r="C516" s="1"/>
      <c r="D516" s="1"/>
      <c r="E516" s="209" t="s">
        <v>1125</v>
      </c>
      <c r="F516" s="209" t="s">
        <v>2437</v>
      </c>
      <c r="G516" s="408" t="str">
        <f t="shared" si="5"/>
        <v>14-01</v>
      </c>
      <c r="H516" s="273" t="e">
        <f ca="1">_xludf.IFNA(VLOOKUP(E516,'Kilter Holds'!$P$37:$AB$662,6,0),0)+_xludf.IFNA(VLOOKUP(A516,'Kilter Holds'!$P$37:$AB$662,6,0),0)</f>
        <v>#NAME?</v>
      </c>
      <c r="I516" s="274"/>
      <c r="J516" s="274" t="e">
        <f t="shared" ca="1" si="6"/>
        <v>#NAME?</v>
      </c>
      <c r="K516" s="274">
        <f t="shared" si="7"/>
        <v>0</v>
      </c>
      <c r="N516" s="274"/>
    </row>
    <row r="517" spans="1:14" ht="13.5" customHeight="1">
      <c r="A517" s="1" t="s">
        <v>1233</v>
      </c>
      <c r="B517" s="1"/>
      <c r="C517" s="1"/>
      <c r="D517" s="1"/>
      <c r="E517" s="209" t="s">
        <v>1125</v>
      </c>
      <c r="F517" s="209" t="s">
        <v>2437</v>
      </c>
      <c r="G517" s="409" t="str">
        <f t="shared" si="5"/>
        <v>15-12</v>
      </c>
      <c r="H517" s="273" t="e">
        <f ca="1">_xludf.IFNA(VLOOKUP(E517,'Kilter Holds'!$P$37:$AB$662,7,0),0)+_xludf.IFNA(VLOOKUP(A517,'Kilter Holds'!$P$37:$AB$662,7,0),0)</f>
        <v>#NAME?</v>
      </c>
      <c r="I517" s="274"/>
      <c r="J517" s="274" t="e">
        <f t="shared" ca="1" si="6"/>
        <v>#NAME?</v>
      </c>
      <c r="K517" s="274">
        <f t="shared" si="7"/>
        <v>0</v>
      </c>
      <c r="N517" s="274"/>
    </row>
    <row r="518" spans="1:14" ht="13.5" customHeight="1">
      <c r="A518" s="1" t="s">
        <v>1233</v>
      </c>
      <c r="B518" s="1"/>
      <c r="C518" s="1"/>
      <c r="D518" s="1"/>
      <c r="E518" s="209" t="s">
        <v>1125</v>
      </c>
      <c r="F518" s="209" t="s">
        <v>2437</v>
      </c>
      <c r="G518" s="410" t="str">
        <f t="shared" si="5"/>
        <v>16-16</v>
      </c>
      <c r="H518" s="273" t="e">
        <f ca="1">_xludf.IFNA(VLOOKUP(E518,'Kilter Holds'!$P$37:$AB$662,8,0),0)+_xludf.IFNA(VLOOKUP(A518,'Kilter Holds'!$P$37:$AB$662,8,0),0)</f>
        <v>#NAME?</v>
      </c>
      <c r="I518" s="274"/>
      <c r="J518" s="274" t="e">
        <f t="shared" ca="1" si="6"/>
        <v>#NAME?</v>
      </c>
      <c r="K518" s="274">
        <f t="shared" si="7"/>
        <v>0</v>
      </c>
      <c r="N518" s="274"/>
    </row>
    <row r="519" spans="1:14" ht="13.5" customHeight="1">
      <c r="A519" s="1" t="s">
        <v>1233</v>
      </c>
      <c r="B519" s="1"/>
      <c r="C519" s="1"/>
      <c r="D519" s="1"/>
      <c r="E519" s="209" t="s">
        <v>1125</v>
      </c>
      <c r="F519" s="209" t="s">
        <v>2437</v>
      </c>
      <c r="G519" s="411" t="str">
        <f t="shared" si="5"/>
        <v>13-01</v>
      </c>
      <c r="H519" s="273" t="e">
        <f ca="1">_xludf.IFNA(VLOOKUP(E519,'Kilter Holds'!$P$37:$AB$662,9,0),0)+_xludf.IFNA(VLOOKUP(A519,'Kilter Holds'!$P$37:$AB$662,9,0),0)</f>
        <v>#NAME?</v>
      </c>
      <c r="I519" s="274"/>
      <c r="J519" s="274" t="e">
        <f t="shared" ca="1" si="6"/>
        <v>#NAME?</v>
      </c>
      <c r="K519" s="274">
        <f t="shared" si="7"/>
        <v>0</v>
      </c>
      <c r="N519" s="274"/>
    </row>
    <row r="520" spans="1:14" ht="13.5" customHeight="1">
      <c r="A520" s="1" t="s">
        <v>1233</v>
      </c>
      <c r="B520" s="1"/>
      <c r="C520" s="1"/>
      <c r="D520" s="1"/>
      <c r="E520" s="209" t="s">
        <v>1125</v>
      </c>
      <c r="F520" s="209" t="s">
        <v>2437</v>
      </c>
      <c r="G520" s="413" t="str">
        <f t="shared" si="5"/>
        <v>07-13</v>
      </c>
      <c r="H520" s="273" t="e">
        <f ca="1">_xludf.IFNA(VLOOKUP(E520,'Kilter Holds'!$P$37:$AB$662,10,0),0)+_xludf.IFNA(VLOOKUP(A520,'Kilter Holds'!$P$37:$AB$662,10,0),0)</f>
        <v>#NAME?</v>
      </c>
      <c r="I520" s="274"/>
      <c r="J520" s="274" t="e">
        <f t="shared" ca="1" si="6"/>
        <v>#NAME?</v>
      </c>
      <c r="K520" s="274">
        <f t="shared" si="7"/>
        <v>0</v>
      </c>
      <c r="N520" s="274"/>
    </row>
    <row r="521" spans="1:14" ht="13.5" customHeight="1">
      <c r="A521" s="1" t="s">
        <v>1233</v>
      </c>
      <c r="B521" s="1"/>
      <c r="C521" s="1"/>
      <c r="D521" s="1"/>
      <c r="E521" s="209" t="s">
        <v>1125</v>
      </c>
      <c r="F521" s="209" t="s">
        <v>2437</v>
      </c>
      <c r="G521" s="414" t="str">
        <f t="shared" ref="G521:G775" si="8">G512</f>
        <v>11-26</v>
      </c>
      <c r="H521" s="273" t="e">
        <f ca="1">_xludf.IFNA(VLOOKUP(E521,'Kilter Holds'!$P$37:$AB$662,11,0),0)+_xludf.IFNA(VLOOKUP(A521,'Kilter Holds'!$P$37:$AB$662,11,0),0)</f>
        <v>#NAME?</v>
      </c>
      <c r="I521" s="274"/>
      <c r="J521" s="274" t="e">
        <f t="shared" ca="1" si="6"/>
        <v>#NAME?</v>
      </c>
      <c r="K521" s="274">
        <f t="shared" si="7"/>
        <v>0</v>
      </c>
      <c r="N521" s="274"/>
    </row>
    <row r="522" spans="1:14" ht="13.5" customHeight="1">
      <c r="A522" s="1" t="s">
        <v>1233</v>
      </c>
      <c r="B522" s="1"/>
      <c r="C522" s="1"/>
      <c r="D522" s="1"/>
      <c r="E522" s="209" t="s">
        <v>1125</v>
      </c>
      <c r="F522" s="209" t="s">
        <v>2437</v>
      </c>
      <c r="G522" s="415" t="str">
        <f t="shared" si="8"/>
        <v>18-01</v>
      </c>
      <c r="H522" s="273" t="e">
        <f ca="1">_xludf.IFNA(VLOOKUP(E522,'Kilter Holds'!$P$37:$AB$662,12,0),0)+_xludf.IFNA(VLOOKUP(A522,'Kilter Holds'!$P$37:$AB$662,12,0),0)</f>
        <v>#NAME?</v>
      </c>
      <c r="I522" s="274"/>
      <c r="J522" s="274" t="e">
        <f t="shared" ca="1" si="6"/>
        <v>#NAME?</v>
      </c>
      <c r="K522" s="274">
        <f t="shared" si="7"/>
        <v>0</v>
      </c>
      <c r="N522" s="274"/>
    </row>
    <row r="523" spans="1:14" ht="13.5" customHeight="1">
      <c r="A523" s="1" t="s">
        <v>1233</v>
      </c>
      <c r="B523" s="1"/>
      <c r="C523" s="1"/>
      <c r="D523" s="1"/>
      <c r="E523" s="209" t="s">
        <v>1125</v>
      </c>
      <c r="F523" s="209" t="s">
        <v>2437</v>
      </c>
      <c r="G523" s="416" t="str">
        <f t="shared" si="8"/>
        <v>Color Code</v>
      </c>
      <c r="H523" s="273" t="e">
        <f ca="1">_xludf.IFNA(VLOOKUP(E523,'Kilter Holds'!$P$37:$AB$662,13,0),0)+_xludf.IFNA(VLOOKUP(A523,'Kilter Holds'!$P$37:$AB$662,13,0),0)</f>
        <v>#NAME?</v>
      </c>
      <c r="I523" s="274"/>
      <c r="J523" s="274" t="e">
        <f t="shared" ca="1" si="6"/>
        <v>#NAME?</v>
      </c>
      <c r="K523" s="274">
        <f t="shared" si="7"/>
        <v>0</v>
      </c>
      <c r="N523" s="274"/>
    </row>
    <row r="524" spans="1:14" ht="13.5" customHeight="1">
      <c r="E524" s="209" t="s">
        <v>1103</v>
      </c>
      <c r="F524" s="209" t="s">
        <v>2438</v>
      </c>
      <c r="G524" s="406" t="str">
        <f t="shared" si="8"/>
        <v>11-12</v>
      </c>
      <c r="H524" s="273" t="e">
        <f ca="1">_xludf.IFNA(VLOOKUP(Aragon!E524,'Kilter Holds'!$P$37:$AB$662,5,0),0)</f>
        <v>#NAME?</v>
      </c>
      <c r="I524" s="274"/>
      <c r="J524" s="274" t="e">
        <f t="shared" ca="1" si="6"/>
        <v>#NAME?</v>
      </c>
      <c r="K524" s="274">
        <f t="shared" si="7"/>
        <v>0</v>
      </c>
      <c r="N524" s="274"/>
    </row>
    <row r="525" spans="1:14" ht="13.5" customHeight="1">
      <c r="E525" s="209" t="s">
        <v>1103</v>
      </c>
      <c r="F525" s="209" t="s">
        <v>2438</v>
      </c>
      <c r="G525" s="408" t="str">
        <f t="shared" si="8"/>
        <v>14-01</v>
      </c>
      <c r="H525" s="273" t="e">
        <f ca="1">_xludf.IFNA(VLOOKUP(Aragon!E525,'Kilter Holds'!$P$37:$AB$662,6,0),0)</f>
        <v>#NAME?</v>
      </c>
      <c r="I525" s="274"/>
      <c r="J525" s="274" t="e">
        <f t="shared" ca="1" si="6"/>
        <v>#NAME?</v>
      </c>
      <c r="K525" s="274">
        <f t="shared" si="7"/>
        <v>0</v>
      </c>
      <c r="N525" s="274"/>
    </row>
    <row r="526" spans="1:14" ht="13.5" customHeight="1">
      <c r="E526" s="209" t="s">
        <v>1103</v>
      </c>
      <c r="F526" s="209" t="s">
        <v>2438</v>
      </c>
      <c r="G526" s="409" t="str">
        <f t="shared" si="8"/>
        <v>15-12</v>
      </c>
      <c r="H526" s="273" t="e">
        <f ca="1">_xludf.IFNA(VLOOKUP(Aragon!E526,'Kilter Holds'!$P$37:$AB$662,7,0),0)</f>
        <v>#NAME?</v>
      </c>
      <c r="I526" s="274"/>
      <c r="J526" s="274" t="e">
        <f t="shared" ca="1" si="6"/>
        <v>#NAME?</v>
      </c>
      <c r="K526" s="274">
        <f t="shared" si="7"/>
        <v>0</v>
      </c>
      <c r="N526" s="274"/>
    </row>
    <row r="527" spans="1:14" ht="13.5" customHeight="1">
      <c r="E527" s="209" t="s">
        <v>1103</v>
      </c>
      <c r="F527" s="209" t="s">
        <v>2438</v>
      </c>
      <c r="G527" s="410" t="str">
        <f t="shared" si="8"/>
        <v>16-16</v>
      </c>
      <c r="H527" s="273" t="e">
        <f ca="1">_xludf.IFNA(VLOOKUP(Aragon!E527,'Kilter Holds'!$P$37:$AB$662,8,0),0)</f>
        <v>#NAME?</v>
      </c>
      <c r="I527" s="274"/>
      <c r="J527" s="274" t="e">
        <f t="shared" ca="1" si="6"/>
        <v>#NAME?</v>
      </c>
      <c r="K527" s="274">
        <f t="shared" si="7"/>
        <v>0</v>
      </c>
      <c r="N527" s="274"/>
    </row>
    <row r="528" spans="1:14" ht="13.5" customHeight="1">
      <c r="E528" s="209" t="s">
        <v>1103</v>
      </c>
      <c r="F528" s="209" t="s">
        <v>2438</v>
      </c>
      <c r="G528" s="411" t="str">
        <f t="shared" si="8"/>
        <v>13-01</v>
      </c>
      <c r="H528" s="273" t="e">
        <f ca="1">_xludf.IFNA(VLOOKUP(Aragon!E528,'Kilter Holds'!$P$37:$AB$662,9,0),0)</f>
        <v>#NAME?</v>
      </c>
      <c r="I528" s="274"/>
      <c r="J528" s="274" t="e">
        <f t="shared" ca="1" si="6"/>
        <v>#NAME?</v>
      </c>
      <c r="K528" s="274">
        <f t="shared" si="7"/>
        <v>0</v>
      </c>
      <c r="N528" s="274"/>
    </row>
    <row r="529" spans="5:14" ht="13.5" customHeight="1">
      <c r="E529" s="209" t="s">
        <v>1103</v>
      </c>
      <c r="F529" s="209" t="s">
        <v>2438</v>
      </c>
      <c r="G529" s="413" t="str">
        <f t="shared" si="8"/>
        <v>07-13</v>
      </c>
      <c r="H529" s="273" t="e">
        <f ca="1">_xludf.IFNA(VLOOKUP(Aragon!E529,'Kilter Holds'!$P$37:$AB$662,10,0),0)</f>
        <v>#NAME?</v>
      </c>
      <c r="I529" s="274"/>
      <c r="J529" s="274" t="e">
        <f t="shared" ca="1" si="6"/>
        <v>#NAME?</v>
      </c>
      <c r="K529" s="274">
        <f t="shared" si="7"/>
        <v>0</v>
      </c>
      <c r="N529" s="274"/>
    </row>
    <row r="530" spans="5:14" ht="13.5" customHeight="1">
      <c r="E530" s="209" t="s">
        <v>1103</v>
      </c>
      <c r="F530" s="209" t="s">
        <v>2438</v>
      </c>
      <c r="G530" s="414" t="str">
        <f t="shared" si="8"/>
        <v>11-26</v>
      </c>
      <c r="H530" s="273" t="e">
        <f ca="1">_xludf.IFNA(VLOOKUP(Aragon!E530,'Kilter Holds'!$P$37:$AB$662,11,0),0)</f>
        <v>#NAME?</v>
      </c>
      <c r="I530" s="274"/>
      <c r="J530" s="274" t="e">
        <f t="shared" ca="1" si="6"/>
        <v>#NAME?</v>
      </c>
      <c r="K530" s="274">
        <f t="shared" si="7"/>
        <v>0</v>
      </c>
      <c r="N530" s="274"/>
    </row>
    <row r="531" spans="5:14" ht="13.5" customHeight="1">
      <c r="E531" s="209" t="s">
        <v>1103</v>
      </c>
      <c r="F531" s="209" t="s">
        <v>2438</v>
      </c>
      <c r="G531" s="415" t="str">
        <f t="shared" si="8"/>
        <v>18-01</v>
      </c>
      <c r="H531" s="273" t="e">
        <f ca="1">_xludf.IFNA(VLOOKUP(Aragon!E531,'Kilter Holds'!$P$37:$AB$662,12,0),0)</f>
        <v>#NAME?</v>
      </c>
      <c r="I531" s="274"/>
      <c r="J531" s="274" t="e">
        <f t="shared" ca="1" si="6"/>
        <v>#NAME?</v>
      </c>
      <c r="K531" s="274">
        <f t="shared" si="7"/>
        <v>0</v>
      </c>
      <c r="N531" s="274"/>
    </row>
    <row r="532" spans="5:14" ht="13.5" customHeight="1">
      <c r="E532" s="209" t="s">
        <v>1103</v>
      </c>
      <c r="F532" s="209" t="s">
        <v>2438</v>
      </c>
      <c r="G532" s="416" t="str">
        <f t="shared" si="8"/>
        <v>Color Code</v>
      </c>
      <c r="H532" s="273" t="e">
        <f ca="1">_xludf.IFNA(VLOOKUP(Aragon!E532,'Kilter Holds'!$P$37:$AB$662,13,0),0)</f>
        <v>#NAME?</v>
      </c>
      <c r="I532" s="274"/>
      <c r="J532" s="274" t="e">
        <f t="shared" ca="1" si="6"/>
        <v>#NAME?</v>
      </c>
      <c r="K532" s="274">
        <f t="shared" si="7"/>
        <v>0</v>
      </c>
      <c r="N532" s="274"/>
    </row>
    <row r="533" spans="5:14" ht="13.5" customHeight="1">
      <c r="E533" s="209" t="s">
        <v>980</v>
      </c>
      <c r="F533" s="209" t="s">
        <v>2439</v>
      </c>
      <c r="G533" s="406" t="str">
        <f t="shared" si="8"/>
        <v>11-12</v>
      </c>
      <c r="H533" s="273" t="e">
        <f ca="1">_xludf.IFNA(VLOOKUP(Aragon!E533,'Kilter Holds'!$P$37:$AB$662,5,0),0)</f>
        <v>#NAME?</v>
      </c>
      <c r="I533" s="274"/>
      <c r="J533" s="274" t="e">
        <f t="shared" ca="1" si="6"/>
        <v>#NAME?</v>
      </c>
      <c r="K533" s="274">
        <f t="shared" si="7"/>
        <v>0</v>
      </c>
      <c r="N533" s="274"/>
    </row>
    <row r="534" spans="5:14" ht="13.5" customHeight="1">
      <c r="E534" s="209" t="s">
        <v>980</v>
      </c>
      <c r="F534" s="209" t="s">
        <v>2439</v>
      </c>
      <c r="G534" s="408" t="str">
        <f t="shared" si="8"/>
        <v>14-01</v>
      </c>
      <c r="H534" s="273" t="e">
        <f ca="1">_xludf.IFNA(VLOOKUP(Aragon!E534,'Kilter Holds'!$P$37:$AB$662,6,0),0)</f>
        <v>#NAME?</v>
      </c>
      <c r="I534" s="274"/>
      <c r="J534" s="274" t="e">
        <f t="shared" ca="1" si="6"/>
        <v>#NAME?</v>
      </c>
      <c r="K534" s="274">
        <f t="shared" si="7"/>
        <v>0</v>
      </c>
      <c r="N534" s="274"/>
    </row>
    <row r="535" spans="5:14" ht="13.5" customHeight="1">
      <c r="E535" s="209" t="s">
        <v>980</v>
      </c>
      <c r="F535" s="209" t="s">
        <v>2439</v>
      </c>
      <c r="G535" s="409" t="str">
        <f t="shared" si="8"/>
        <v>15-12</v>
      </c>
      <c r="H535" s="273" t="e">
        <f ca="1">_xludf.IFNA(VLOOKUP(Aragon!E535,'Kilter Holds'!$P$37:$AB$662,7,0),0)</f>
        <v>#NAME?</v>
      </c>
      <c r="I535" s="274"/>
      <c r="J535" s="274" t="e">
        <f t="shared" ca="1" si="6"/>
        <v>#NAME?</v>
      </c>
      <c r="K535" s="274">
        <f t="shared" si="7"/>
        <v>0</v>
      </c>
      <c r="N535" s="274"/>
    </row>
    <row r="536" spans="5:14" ht="13.5" customHeight="1">
      <c r="E536" s="209" t="s">
        <v>980</v>
      </c>
      <c r="F536" s="209" t="s">
        <v>2439</v>
      </c>
      <c r="G536" s="410" t="str">
        <f t="shared" si="8"/>
        <v>16-16</v>
      </c>
      <c r="H536" s="273" t="e">
        <f ca="1">_xludf.IFNA(VLOOKUP(Aragon!E536,'Kilter Holds'!$P$37:$AB$662,8,0),0)</f>
        <v>#NAME?</v>
      </c>
      <c r="I536" s="274"/>
      <c r="J536" s="274" t="e">
        <f t="shared" ca="1" si="6"/>
        <v>#NAME?</v>
      </c>
      <c r="K536" s="274">
        <f t="shared" si="7"/>
        <v>0</v>
      </c>
      <c r="N536" s="274"/>
    </row>
    <row r="537" spans="5:14" ht="13.5" customHeight="1">
      <c r="E537" s="209" t="s">
        <v>980</v>
      </c>
      <c r="F537" s="209" t="s">
        <v>2439</v>
      </c>
      <c r="G537" s="411" t="str">
        <f t="shared" si="8"/>
        <v>13-01</v>
      </c>
      <c r="H537" s="273" t="e">
        <f ca="1">_xludf.IFNA(VLOOKUP(Aragon!E537,'Kilter Holds'!$P$37:$AB$662,9,0),0)</f>
        <v>#NAME?</v>
      </c>
      <c r="I537" s="274"/>
      <c r="J537" s="274" t="e">
        <f t="shared" ca="1" si="6"/>
        <v>#NAME?</v>
      </c>
      <c r="K537" s="274">
        <f t="shared" si="7"/>
        <v>0</v>
      </c>
      <c r="N537" s="274"/>
    </row>
    <row r="538" spans="5:14" ht="13.5" customHeight="1">
      <c r="E538" s="209" t="s">
        <v>980</v>
      </c>
      <c r="F538" s="209" t="s">
        <v>2439</v>
      </c>
      <c r="G538" s="413" t="str">
        <f t="shared" si="8"/>
        <v>07-13</v>
      </c>
      <c r="H538" s="273" t="e">
        <f ca="1">_xludf.IFNA(VLOOKUP(Aragon!E538,'Kilter Holds'!$P$37:$AB$662,10,0),0)</f>
        <v>#NAME?</v>
      </c>
      <c r="I538" s="274"/>
      <c r="J538" s="274" t="e">
        <f t="shared" ca="1" si="6"/>
        <v>#NAME?</v>
      </c>
      <c r="K538" s="274">
        <f t="shared" si="7"/>
        <v>0</v>
      </c>
      <c r="N538" s="274"/>
    </row>
    <row r="539" spans="5:14" ht="13.5" customHeight="1">
      <c r="E539" s="209" t="s">
        <v>980</v>
      </c>
      <c r="F539" s="209" t="s">
        <v>2439</v>
      </c>
      <c r="G539" s="414" t="str">
        <f t="shared" si="8"/>
        <v>11-26</v>
      </c>
      <c r="H539" s="273" t="e">
        <f ca="1">_xludf.IFNA(VLOOKUP(Aragon!E539,'Kilter Holds'!$P$37:$AB$662,11,0),0)</f>
        <v>#NAME?</v>
      </c>
      <c r="I539" s="274"/>
      <c r="J539" s="274" t="e">
        <f t="shared" ca="1" si="6"/>
        <v>#NAME?</v>
      </c>
      <c r="K539" s="274">
        <f t="shared" si="7"/>
        <v>0</v>
      </c>
      <c r="N539" s="274"/>
    </row>
    <row r="540" spans="5:14" ht="13.5" customHeight="1">
      <c r="E540" s="209" t="s">
        <v>980</v>
      </c>
      <c r="F540" s="209" t="s">
        <v>2439</v>
      </c>
      <c r="G540" s="415" t="str">
        <f t="shared" si="8"/>
        <v>18-01</v>
      </c>
      <c r="H540" s="273" t="e">
        <f ca="1">_xludf.IFNA(VLOOKUP(Aragon!E540,'Kilter Holds'!$P$37:$AB$662,12,0),0)</f>
        <v>#NAME?</v>
      </c>
      <c r="I540" s="274"/>
      <c r="J540" s="274" t="e">
        <f t="shared" ca="1" si="6"/>
        <v>#NAME?</v>
      </c>
      <c r="K540" s="274">
        <f t="shared" si="7"/>
        <v>0</v>
      </c>
      <c r="N540" s="274"/>
    </row>
    <row r="541" spans="5:14" ht="13.5" customHeight="1">
      <c r="E541" s="209" t="s">
        <v>980</v>
      </c>
      <c r="F541" s="209" t="s">
        <v>2439</v>
      </c>
      <c r="G541" s="416" t="str">
        <f t="shared" si="8"/>
        <v>Color Code</v>
      </c>
      <c r="H541" s="273" t="e">
        <f ca="1">_xludf.IFNA(VLOOKUP(Aragon!E541,'Kilter Holds'!$P$37:$AB$662,13,0),0)</f>
        <v>#NAME?</v>
      </c>
      <c r="I541" s="274"/>
      <c r="J541" s="274" t="e">
        <f t="shared" ca="1" si="6"/>
        <v>#NAME?</v>
      </c>
      <c r="K541" s="274">
        <f t="shared" si="7"/>
        <v>0</v>
      </c>
      <c r="N541" s="274"/>
    </row>
    <row r="542" spans="5:14" ht="13.5" customHeight="1">
      <c r="E542" s="209" t="s">
        <v>898</v>
      </c>
      <c r="F542" s="209" t="s">
        <v>2440</v>
      </c>
      <c r="G542" s="406" t="str">
        <f t="shared" si="8"/>
        <v>11-12</v>
      </c>
      <c r="H542" s="273" t="e">
        <f ca="1">_xludf.IFNA(VLOOKUP(Aragon!E542,'Kilter Holds'!$P$37:$AB$662,5,0),0)</f>
        <v>#NAME?</v>
      </c>
      <c r="I542" s="274"/>
      <c r="J542" s="274" t="e">
        <f t="shared" ca="1" si="6"/>
        <v>#NAME?</v>
      </c>
      <c r="K542" s="274">
        <f t="shared" si="7"/>
        <v>0</v>
      </c>
      <c r="N542" s="274"/>
    </row>
    <row r="543" spans="5:14" ht="13.5" customHeight="1">
      <c r="E543" s="209" t="s">
        <v>898</v>
      </c>
      <c r="F543" s="209" t="s">
        <v>2440</v>
      </c>
      <c r="G543" s="408" t="str">
        <f t="shared" si="8"/>
        <v>14-01</v>
      </c>
      <c r="H543" s="273" t="e">
        <f ca="1">_xludf.IFNA(VLOOKUP(Aragon!E543,'Kilter Holds'!$P$37:$AB$662,6,0),0)</f>
        <v>#NAME?</v>
      </c>
      <c r="I543" s="274"/>
      <c r="J543" s="274" t="e">
        <f t="shared" ca="1" si="6"/>
        <v>#NAME?</v>
      </c>
      <c r="K543" s="274">
        <f t="shared" si="7"/>
        <v>0</v>
      </c>
      <c r="N543" s="274"/>
    </row>
    <row r="544" spans="5:14" ht="13.5" customHeight="1">
      <c r="E544" s="209" t="s">
        <v>898</v>
      </c>
      <c r="F544" s="209" t="s">
        <v>2440</v>
      </c>
      <c r="G544" s="409" t="str">
        <f t="shared" si="8"/>
        <v>15-12</v>
      </c>
      <c r="H544" s="273" t="e">
        <f ca="1">_xludf.IFNA(VLOOKUP(Aragon!E544,'Kilter Holds'!$P$37:$AB$662,7,0),0)</f>
        <v>#NAME?</v>
      </c>
      <c r="I544" s="274"/>
      <c r="J544" s="274" t="e">
        <f t="shared" ca="1" si="6"/>
        <v>#NAME?</v>
      </c>
      <c r="K544" s="274">
        <f t="shared" si="7"/>
        <v>0</v>
      </c>
      <c r="N544" s="274"/>
    </row>
    <row r="545" spans="5:14" ht="13.5" customHeight="1">
      <c r="E545" s="209" t="s">
        <v>898</v>
      </c>
      <c r="F545" s="209" t="s">
        <v>2440</v>
      </c>
      <c r="G545" s="410" t="str">
        <f t="shared" si="8"/>
        <v>16-16</v>
      </c>
      <c r="H545" s="273" t="e">
        <f ca="1">_xludf.IFNA(VLOOKUP(Aragon!E545,'Kilter Holds'!$P$37:$AB$662,8,0),0)</f>
        <v>#NAME?</v>
      </c>
      <c r="I545" s="274"/>
      <c r="J545" s="274" t="e">
        <f t="shared" ca="1" si="6"/>
        <v>#NAME?</v>
      </c>
      <c r="K545" s="274">
        <f t="shared" si="7"/>
        <v>0</v>
      </c>
      <c r="N545" s="274"/>
    </row>
    <row r="546" spans="5:14" ht="13.5" customHeight="1">
      <c r="E546" s="209" t="s">
        <v>898</v>
      </c>
      <c r="F546" s="209" t="s">
        <v>2440</v>
      </c>
      <c r="G546" s="411" t="str">
        <f t="shared" si="8"/>
        <v>13-01</v>
      </c>
      <c r="H546" s="273" t="e">
        <f ca="1">_xludf.IFNA(VLOOKUP(Aragon!E546,'Kilter Holds'!$P$37:$AB$662,9,0),0)</f>
        <v>#NAME?</v>
      </c>
      <c r="I546" s="274"/>
      <c r="J546" s="274" t="e">
        <f t="shared" ca="1" si="6"/>
        <v>#NAME?</v>
      </c>
      <c r="K546" s="274">
        <f t="shared" si="7"/>
        <v>0</v>
      </c>
      <c r="N546" s="274"/>
    </row>
    <row r="547" spans="5:14" ht="13.5" customHeight="1">
      <c r="E547" s="209" t="s">
        <v>898</v>
      </c>
      <c r="F547" s="209" t="s">
        <v>2440</v>
      </c>
      <c r="G547" s="413" t="str">
        <f t="shared" si="8"/>
        <v>07-13</v>
      </c>
      <c r="H547" s="273" t="e">
        <f ca="1">_xludf.IFNA(VLOOKUP(Aragon!E547,'Kilter Holds'!$P$37:$AB$662,10,0),0)</f>
        <v>#NAME?</v>
      </c>
      <c r="I547" s="274"/>
      <c r="J547" s="274" t="e">
        <f t="shared" ca="1" si="6"/>
        <v>#NAME?</v>
      </c>
      <c r="K547" s="274">
        <f t="shared" si="7"/>
        <v>0</v>
      </c>
      <c r="N547" s="274"/>
    </row>
    <row r="548" spans="5:14" ht="13.5" customHeight="1">
      <c r="E548" s="209" t="s">
        <v>898</v>
      </c>
      <c r="F548" s="209" t="s">
        <v>2440</v>
      </c>
      <c r="G548" s="414" t="str">
        <f t="shared" si="8"/>
        <v>11-26</v>
      </c>
      <c r="H548" s="273" t="e">
        <f ca="1">_xludf.IFNA(VLOOKUP(Aragon!E548,'Kilter Holds'!$P$37:$AB$662,11,0),0)</f>
        <v>#NAME?</v>
      </c>
      <c r="I548" s="274"/>
      <c r="J548" s="274" t="e">
        <f t="shared" ca="1" si="6"/>
        <v>#NAME?</v>
      </c>
      <c r="K548" s="274">
        <f t="shared" si="7"/>
        <v>0</v>
      </c>
      <c r="N548" s="274"/>
    </row>
    <row r="549" spans="5:14" ht="13.5" customHeight="1">
      <c r="E549" s="209" t="s">
        <v>898</v>
      </c>
      <c r="F549" s="209" t="s">
        <v>2440</v>
      </c>
      <c r="G549" s="415" t="str">
        <f t="shared" si="8"/>
        <v>18-01</v>
      </c>
      <c r="H549" s="273" t="e">
        <f ca="1">_xludf.IFNA(VLOOKUP(Aragon!E549,'Kilter Holds'!$P$37:$AB$662,12,0),0)</f>
        <v>#NAME?</v>
      </c>
      <c r="I549" s="274"/>
      <c r="J549" s="274" t="e">
        <f t="shared" ca="1" si="6"/>
        <v>#NAME?</v>
      </c>
      <c r="K549" s="274">
        <f t="shared" si="7"/>
        <v>0</v>
      </c>
      <c r="N549" s="274"/>
    </row>
    <row r="550" spans="5:14" ht="13.5" customHeight="1">
      <c r="E550" s="209" t="s">
        <v>898</v>
      </c>
      <c r="F550" s="209" t="s">
        <v>2440</v>
      </c>
      <c r="G550" s="416" t="str">
        <f t="shared" si="8"/>
        <v>Color Code</v>
      </c>
      <c r="H550" s="273" t="e">
        <f ca="1">_xludf.IFNA(VLOOKUP(Aragon!E550,'Kilter Holds'!$P$37:$AB$662,13,0),0)</f>
        <v>#NAME?</v>
      </c>
      <c r="I550" s="274"/>
      <c r="J550" s="274" t="e">
        <f t="shared" ca="1" si="6"/>
        <v>#NAME?</v>
      </c>
      <c r="K550" s="274">
        <f t="shared" si="7"/>
        <v>0</v>
      </c>
      <c r="N550" s="274"/>
    </row>
    <row r="551" spans="5:14" ht="13.5" customHeight="1">
      <c r="E551" s="209" t="s">
        <v>900</v>
      </c>
      <c r="F551" s="209" t="s">
        <v>2441</v>
      </c>
      <c r="G551" s="406" t="str">
        <f t="shared" si="8"/>
        <v>11-12</v>
      </c>
      <c r="H551" s="273" t="e">
        <f ca="1">_xludf.IFNA(VLOOKUP(Aragon!E551,'Kilter Holds'!$P$37:$AB$662,5,0),0)</f>
        <v>#NAME?</v>
      </c>
      <c r="I551" s="274"/>
      <c r="J551" s="274" t="e">
        <f t="shared" ca="1" si="6"/>
        <v>#NAME?</v>
      </c>
      <c r="K551" s="274">
        <f t="shared" si="7"/>
        <v>0</v>
      </c>
      <c r="N551" s="274"/>
    </row>
    <row r="552" spans="5:14" ht="13.5" customHeight="1">
      <c r="E552" s="209" t="s">
        <v>900</v>
      </c>
      <c r="F552" s="209" t="s">
        <v>2441</v>
      </c>
      <c r="G552" s="408" t="str">
        <f t="shared" si="8"/>
        <v>14-01</v>
      </c>
      <c r="H552" s="273" t="e">
        <f ca="1">_xludf.IFNA(VLOOKUP(Aragon!E552,'Kilter Holds'!$P$37:$AB$662,6,0),0)</f>
        <v>#NAME?</v>
      </c>
      <c r="I552" s="274"/>
      <c r="J552" s="274" t="e">
        <f t="shared" ca="1" si="6"/>
        <v>#NAME?</v>
      </c>
      <c r="K552" s="274">
        <f t="shared" si="7"/>
        <v>0</v>
      </c>
      <c r="N552" s="274"/>
    </row>
    <row r="553" spans="5:14" ht="13.5" customHeight="1">
      <c r="E553" s="209" t="s">
        <v>900</v>
      </c>
      <c r="F553" s="209" t="s">
        <v>2441</v>
      </c>
      <c r="G553" s="409" t="str">
        <f t="shared" si="8"/>
        <v>15-12</v>
      </c>
      <c r="H553" s="273" t="e">
        <f ca="1">_xludf.IFNA(VLOOKUP(Aragon!E553,'Kilter Holds'!$P$37:$AB$662,7,0),0)</f>
        <v>#NAME?</v>
      </c>
      <c r="I553" s="274"/>
      <c r="J553" s="274" t="e">
        <f t="shared" ca="1" si="6"/>
        <v>#NAME?</v>
      </c>
      <c r="K553" s="274">
        <f t="shared" si="7"/>
        <v>0</v>
      </c>
      <c r="N553" s="274"/>
    </row>
    <row r="554" spans="5:14" ht="13.5" customHeight="1">
      <c r="E554" s="209" t="s">
        <v>900</v>
      </c>
      <c r="F554" s="209" t="s">
        <v>2441</v>
      </c>
      <c r="G554" s="410" t="str">
        <f t="shared" si="8"/>
        <v>16-16</v>
      </c>
      <c r="H554" s="273" t="e">
        <f ca="1">_xludf.IFNA(VLOOKUP(Aragon!E554,'Kilter Holds'!$P$37:$AB$662,8,0),0)</f>
        <v>#NAME?</v>
      </c>
      <c r="I554" s="274"/>
      <c r="J554" s="274" t="e">
        <f t="shared" ca="1" si="6"/>
        <v>#NAME?</v>
      </c>
      <c r="K554" s="274">
        <f t="shared" si="7"/>
        <v>0</v>
      </c>
      <c r="N554" s="274"/>
    </row>
    <row r="555" spans="5:14" ht="13.5" customHeight="1">
      <c r="E555" s="209" t="s">
        <v>900</v>
      </c>
      <c r="F555" s="209" t="s">
        <v>2441</v>
      </c>
      <c r="G555" s="411" t="str">
        <f t="shared" si="8"/>
        <v>13-01</v>
      </c>
      <c r="H555" s="273" t="e">
        <f ca="1">_xludf.IFNA(VLOOKUP(Aragon!E555,'Kilter Holds'!$P$37:$AB$662,9,0),0)</f>
        <v>#NAME?</v>
      </c>
      <c r="I555" s="274"/>
      <c r="J555" s="274" t="e">
        <f t="shared" ca="1" si="6"/>
        <v>#NAME?</v>
      </c>
      <c r="K555" s="274">
        <f t="shared" si="7"/>
        <v>0</v>
      </c>
      <c r="N555" s="274"/>
    </row>
    <row r="556" spans="5:14" ht="13.5" customHeight="1">
      <c r="E556" s="209" t="s">
        <v>900</v>
      </c>
      <c r="F556" s="209" t="s">
        <v>2441</v>
      </c>
      <c r="G556" s="413" t="str">
        <f t="shared" si="8"/>
        <v>07-13</v>
      </c>
      <c r="H556" s="273" t="e">
        <f ca="1">_xludf.IFNA(VLOOKUP(Aragon!E556,'Kilter Holds'!$P$37:$AB$662,10,0),0)</f>
        <v>#NAME?</v>
      </c>
      <c r="I556" s="274"/>
      <c r="J556" s="274" t="e">
        <f t="shared" ca="1" si="6"/>
        <v>#NAME?</v>
      </c>
      <c r="K556" s="274">
        <f t="shared" si="7"/>
        <v>0</v>
      </c>
      <c r="N556" s="274"/>
    </row>
    <row r="557" spans="5:14" ht="13.5" customHeight="1">
      <c r="E557" s="209" t="s">
        <v>900</v>
      </c>
      <c r="F557" s="209" t="s">
        <v>2441</v>
      </c>
      <c r="G557" s="414" t="str">
        <f t="shared" si="8"/>
        <v>11-26</v>
      </c>
      <c r="H557" s="273" t="e">
        <f ca="1">_xludf.IFNA(VLOOKUP(Aragon!E557,'Kilter Holds'!$P$37:$AB$662,11,0),0)</f>
        <v>#NAME?</v>
      </c>
      <c r="I557" s="274"/>
      <c r="J557" s="274" t="e">
        <f t="shared" ca="1" si="6"/>
        <v>#NAME?</v>
      </c>
      <c r="K557" s="274">
        <f t="shared" si="7"/>
        <v>0</v>
      </c>
      <c r="N557" s="274"/>
    </row>
    <row r="558" spans="5:14" ht="13.5" customHeight="1">
      <c r="E558" s="209" t="s">
        <v>900</v>
      </c>
      <c r="F558" s="209" t="s">
        <v>2441</v>
      </c>
      <c r="G558" s="415" t="str">
        <f t="shared" si="8"/>
        <v>18-01</v>
      </c>
      <c r="H558" s="273" t="e">
        <f ca="1">_xludf.IFNA(VLOOKUP(Aragon!E558,'Kilter Holds'!$P$37:$AB$662,12,0),0)</f>
        <v>#NAME?</v>
      </c>
      <c r="I558" s="274"/>
      <c r="J558" s="274" t="e">
        <f t="shared" ca="1" si="6"/>
        <v>#NAME?</v>
      </c>
      <c r="K558" s="274">
        <f t="shared" si="7"/>
        <v>0</v>
      </c>
      <c r="N558" s="274"/>
    </row>
    <row r="559" spans="5:14" ht="13.5" customHeight="1">
      <c r="E559" s="209" t="s">
        <v>900</v>
      </c>
      <c r="F559" s="209" t="s">
        <v>2441</v>
      </c>
      <c r="G559" s="416" t="str">
        <f t="shared" si="8"/>
        <v>Color Code</v>
      </c>
      <c r="H559" s="273" t="e">
        <f ca="1">_xludf.IFNA(VLOOKUP(Aragon!E559,'Kilter Holds'!$P$37:$AB$662,13,0),0)</f>
        <v>#NAME?</v>
      </c>
      <c r="I559" s="274"/>
      <c r="J559" s="274" t="e">
        <f t="shared" ca="1" si="6"/>
        <v>#NAME?</v>
      </c>
      <c r="K559" s="274">
        <f t="shared" si="7"/>
        <v>0</v>
      </c>
      <c r="N559" s="274"/>
    </row>
    <row r="560" spans="5:14" ht="13.5" customHeight="1">
      <c r="E560" s="209" t="s">
        <v>902</v>
      </c>
      <c r="F560" s="209" t="s">
        <v>2442</v>
      </c>
      <c r="G560" s="406" t="str">
        <f t="shared" si="8"/>
        <v>11-12</v>
      </c>
      <c r="H560" s="273" t="e">
        <f ca="1">_xludf.IFNA(VLOOKUP(Aragon!E560,'Kilter Holds'!$P$37:$AB$662,5,0),0)</f>
        <v>#NAME?</v>
      </c>
      <c r="I560" s="274"/>
      <c r="J560" s="274" t="e">
        <f t="shared" ca="1" si="6"/>
        <v>#NAME?</v>
      </c>
      <c r="K560" s="274">
        <f t="shared" si="7"/>
        <v>0</v>
      </c>
      <c r="N560" s="274"/>
    </row>
    <row r="561" spans="5:14" ht="13.5" customHeight="1">
      <c r="E561" s="209" t="s">
        <v>902</v>
      </c>
      <c r="F561" s="209" t="s">
        <v>2442</v>
      </c>
      <c r="G561" s="408" t="str">
        <f t="shared" si="8"/>
        <v>14-01</v>
      </c>
      <c r="H561" s="273" t="e">
        <f ca="1">_xludf.IFNA(VLOOKUP(Aragon!E561,'Kilter Holds'!$P$37:$AB$662,6,0),0)</f>
        <v>#NAME?</v>
      </c>
      <c r="I561" s="274"/>
      <c r="J561" s="274" t="e">
        <f t="shared" ca="1" si="6"/>
        <v>#NAME?</v>
      </c>
      <c r="K561" s="274">
        <f t="shared" si="7"/>
        <v>0</v>
      </c>
      <c r="N561" s="274"/>
    </row>
    <row r="562" spans="5:14" ht="13.5" customHeight="1">
      <c r="E562" s="209" t="s">
        <v>902</v>
      </c>
      <c r="F562" s="209" t="s">
        <v>2442</v>
      </c>
      <c r="G562" s="409" t="str">
        <f t="shared" si="8"/>
        <v>15-12</v>
      </c>
      <c r="H562" s="273" t="e">
        <f ca="1">_xludf.IFNA(VLOOKUP(Aragon!E562,'Kilter Holds'!$P$37:$AB$662,7,0),0)</f>
        <v>#NAME?</v>
      </c>
      <c r="I562" s="274"/>
      <c r="J562" s="274" t="e">
        <f t="shared" ca="1" si="6"/>
        <v>#NAME?</v>
      </c>
      <c r="K562" s="274">
        <f t="shared" si="7"/>
        <v>0</v>
      </c>
      <c r="N562" s="274"/>
    </row>
    <row r="563" spans="5:14" ht="13.5" customHeight="1">
      <c r="E563" s="209" t="s">
        <v>902</v>
      </c>
      <c r="F563" s="209" t="s">
        <v>2442</v>
      </c>
      <c r="G563" s="410" t="str">
        <f t="shared" si="8"/>
        <v>16-16</v>
      </c>
      <c r="H563" s="273" t="e">
        <f ca="1">_xludf.IFNA(VLOOKUP(Aragon!E563,'Kilter Holds'!$P$37:$AB$662,8,0),0)</f>
        <v>#NAME?</v>
      </c>
      <c r="I563" s="274"/>
      <c r="J563" s="274" t="e">
        <f t="shared" ca="1" si="6"/>
        <v>#NAME?</v>
      </c>
      <c r="K563" s="274">
        <f t="shared" si="7"/>
        <v>0</v>
      </c>
      <c r="N563" s="274"/>
    </row>
    <row r="564" spans="5:14" ht="13.5" customHeight="1">
      <c r="E564" s="209" t="s">
        <v>902</v>
      </c>
      <c r="F564" s="209" t="s">
        <v>2442</v>
      </c>
      <c r="G564" s="411" t="str">
        <f t="shared" si="8"/>
        <v>13-01</v>
      </c>
      <c r="H564" s="273" t="e">
        <f ca="1">_xludf.IFNA(VLOOKUP(Aragon!E564,'Kilter Holds'!$P$37:$AB$662,9,0),0)</f>
        <v>#NAME?</v>
      </c>
      <c r="I564" s="274"/>
      <c r="J564" s="274" t="e">
        <f t="shared" ca="1" si="6"/>
        <v>#NAME?</v>
      </c>
      <c r="K564" s="274">
        <f t="shared" si="7"/>
        <v>0</v>
      </c>
      <c r="N564" s="274"/>
    </row>
    <row r="565" spans="5:14" ht="13.5" customHeight="1">
      <c r="E565" s="209" t="s">
        <v>902</v>
      </c>
      <c r="F565" s="209" t="s">
        <v>2442</v>
      </c>
      <c r="G565" s="413" t="str">
        <f t="shared" si="8"/>
        <v>07-13</v>
      </c>
      <c r="H565" s="273" t="e">
        <f ca="1">_xludf.IFNA(VLOOKUP(Aragon!E565,'Kilter Holds'!$P$37:$AB$662,10,0),0)</f>
        <v>#NAME?</v>
      </c>
      <c r="I565" s="274"/>
      <c r="J565" s="274" t="e">
        <f t="shared" ca="1" si="6"/>
        <v>#NAME?</v>
      </c>
      <c r="K565" s="274">
        <f t="shared" si="7"/>
        <v>0</v>
      </c>
      <c r="N565" s="274"/>
    </row>
    <row r="566" spans="5:14" ht="13.5" customHeight="1">
      <c r="E566" s="209" t="s">
        <v>902</v>
      </c>
      <c r="F566" s="209" t="s">
        <v>2442</v>
      </c>
      <c r="G566" s="414" t="str">
        <f t="shared" si="8"/>
        <v>11-26</v>
      </c>
      <c r="H566" s="273" t="e">
        <f ca="1">_xludf.IFNA(VLOOKUP(Aragon!E566,'Kilter Holds'!$P$37:$AB$662,11,0),0)</f>
        <v>#NAME?</v>
      </c>
      <c r="I566" s="274"/>
      <c r="J566" s="274" t="e">
        <f t="shared" ca="1" si="6"/>
        <v>#NAME?</v>
      </c>
      <c r="K566" s="274">
        <f t="shared" si="7"/>
        <v>0</v>
      </c>
      <c r="N566" s="274"/>
    </row>
    <row r="567" spans="5:14" ht="13.5" customHeight="1">
      <c r="E567" s="209" t="s">
        <v>902</v>
      </c>
      <c r="F567" s="209" t="s">
        <v>2442</v>
      </c>
      <c r="G567" s="415" t="str">
        <f t="shared" si="8"/>
        <v>18-01</v>
      </c>
      <c r="H567" s="273" t="e">
        <f ca="1">_xludf.IFNA(VLOOKUP(Aragon!E567,'Kilter Holds'!$P$37:$AB$662,12,0),0)</f>
        <v>#NAME?</v>
      </c>
      <c r="I567" s="274"/>
      <c r="J567" s="274" t="e">
        <f t="shared" ca="1" si="6"/>
        <v>#NAME?</v>
      </c>
      <c r="K567" s="274">
        <f t="shared" si="7"/>
        <v>0</v>
      </c>
      <c r="N567" s="274"/>
    </row>
    <row r="568" spans="5:14" ht="13.5" customHeight="1">
      <c r="E568" s="209" t="s">
        <v>902</v>
      </c>
      <c r="F568" s="209" t="s">
        <v>2442</v>
      </c>
      <c r="G568" s="416" t="str">
        <f t="shared" si="8"/>
        <v>Color Code</v>
      </c>
      <c r="H568" s="273" t="e">
        <f ca="1">_xludf.IFNA(VLOOKUP(Aragon!E568,'Kilter Holds'!$P$37:$AB$662,13,0),0)</f>
        <v>#NAME?</v>
      </c>
      <c r="I568" s="274"/>
      <c r="J568" s="274" t="e">
        <f t="shared" ca="1" si="6"/>
        <v>#NAME?</v>
      </c>
      <c r="K568" s="274">
        <f t="shared" si="7"/>
        <v>0</v>
      </c>
      <c r="N568" s="274"/>
    </row>
    <row r="569" spans="5:14" ht="13.5" customHeight="1">
      <c r="E569" s="209" t="s">
        <v>904</v>
      </c>
      <c r="F569" s="209" t="s">
        <v>2443</v>
      </c>
      <c r="G569" s="406" t="str">
        <f t="shared" si="8"/>
        <v>11-12</v>
      </c>
      <c r="H569" s="273" t="e">
        <f ca="1">_xludf.IFNA(VLOOKUP(Aragon!E569,'Kilter Holds'!$P$37:$AB$662,5,0),0)</f>
        <v>#NAME?</v>
      </c>
      <c r="I569" s="274"/>
      <c r="J569" s="274" t="e">
        <f t="shared" ca="1" si="6"/>
        <v>#NAME?</v>
      </c>
      <c r="K569" s="274">
        <f t="shared" si="7"/>
        <v>0</v>
      </c>
      <c r="N569" s="274"/>
    </row>
    <row r="570" spans="5:14" ht="13.5" customHeight="1">
      <c r="E570" s="209" t="s">
        <v>904</v>
      </c>
      <c r="F570" s="209" t="s">
        <v>2443</v>
      </c>
      <c r="G570" s="408" t="str">
        <f t="shared" si="8"/>
        <v>14-01</v>
      </c>
      <c r="H570" s="273" t="e">
        <f ca="1">_xludf.IFNA(VLOOKUP(Aragon!E570,'Kilter Holds'!$P$37:$AB$662,6,0),0)</f>
        <v>#NAME?</v>
      </c>
      <c r="I570" s="274"/>
      <c r="J570" s="274" t="e">
        <f t="shared" ca="1" si="6"/>
        <v>#NAME?</v>
      </c>
      <c r="K570" s="274">
        <f t="shared" si="7"/>
        <v>0</v>
      </c>
      <c r="N570" s="274"/>
    </row>
    <row r="571" spans="5:14" ht="13.5" customHeight="1">
      <c r="E571" s="209" t="s">
        <v>904</v>
      </c>
      <c r="F571" s="209" t="s">
        <v>2443</v>
      </c>
      <c r="G571" s="409" t="str">
        <f t="shared" si="8"/>
        <v>15-12</v>
      </c>
      <c r="H571" s="273" t="e">
        <f ca="1">_xludf.IFNA(VLOOKUP(Aragon!E571,'Kilter Holds'!$P$37:$AB$662,7,0),0)</f>
        <v>#NAME?</v>
      </c>
      <c r="I571" s="274"/>
      <c r="J571" s="274" t="e">
        <f t="shared" ca="1" si="6"/>
        <v>#NAME?</v>
      </c>
      <c r="K571" s="274">
        <f t="shared" si="7"/>
        <v>0</v>
      </c>
      <c r="N571" s="274"/>
    </row>
    <row r="572" spans="5:14" ht="13.5" customHeight="1">
      <c r="E572" s="209" t="s">
        <v>904</v>
      </c>
      <c r="F572" s="209" t="s">
        <v>2443</v>
      </c>
      <c r="G572" s="410" t="str">
        <f t="shared" si="8"/>
        <v>16-16</v>
      </c>
      <c r="H572" s="273" t="e">
        <f ca="1">_xludf.IFNA(VLOOKUP(Aragon!E572,'Kilter Holds'!$P$37:$AB$662,8,0),0)</f>
        <v>#NAME?</v>
      </c>
      <c r="I572" s="274"/>
      <c r="J572" s="274" t="e">
        <f t="shared" ca="1" si="6"/>
        <v>#NAME?</v>
      </c>
      <c r="K572" s="274">
        <f t="shared" si="7"/>
        <v>0</v>
      </c>
      <c r="N572" s="274"/>
    </row>
    <row r="573" spans="5:14" ht="13.5" customHeight="1">
      <c r="E573" s="209" t="s">
        <v>904</v>
      </c>
      <c r="F573" s="209" t="s">
        <v>2443</v>
      </c>
      <c r="G573" s="411" t="str">
        <f t="shared" si="8"/>
        <v>13-01</v>
      </c>
      <c r="H573" s="273" t="e">
        <f ca="1">_xludf.IFNA(VLOOKUP(Aragon!E573,'Kilter Holds'!$P$37:$AB$662,9,0),0)</f>
        <v>#NAME?</v>
      </c>
      <c r="I573" s="274"/>
      <c r="J573" s="274" t="e">
        <f t="shared" ca="1" si="6"/>
        <v>#NAME?</v>
      </c>
      <c r="K573" s="274">
        <f t="shared" si="7"/>
        <v>0</v>
      </c>
      <c r="N573" s="274"/>
    </row>
    <row r="574" spans="5:14" ht="13.5" customHeight="1">
      <c r="E574" s="209" t="s">
        <v>904</v>
      </c>
      <c r="F574" s="209" t="s">
        <v>2443</v>
      </c>
      <c r="G574" s="413" t="str">
        <f t="shared" si="8"/>
        <v>07-13</v>
      </c>
      <c r="H574" s="273" t="e">
        <f ca="1">_xludf.IFNA(VLOOKUP(Aragon!E574,'Kilter Holds'!$P$37:$AB$662,10,0),0)</f>
        <v>#NAME?</v>
      </c>
      <c r="I574" s="274"/>
      <c r="J574" s="274" t="e">
        <f t="shared" ca="1" si="6"/>
        <v>#NAME?</v>
      </c>
      <c r="K574" s="274">
        <f t="shared" si="7"/>
        <v>0</v>
      </c>
      <c r="N574" s="274"/>
    </row>
    <row r="575" spans="5:14" ht="13.5" customHeight="1">
      <c r="E575" s="209" t="s">
        <v>904</v>
      </c>
      <c r="F575" s="209" t="s">
        <v>2443</v>
      </c>
      <c r="G575" s="414" t="str">
        <f t="shared" si="8"/>
        <v>11-26</v>
      </c>
      <c r="H575" s="273" t="e">
        <f ca="1">_xludf.IFNA(VLOOKUP(Aragon!E575,'Kilter Holds'!$P$37:$AB$662,11,0),0)</f>
        <v>#NAME?</v>
      </c>
      <c r="I575" s="274"/>
      <c r="J575" s="274" t="e">
        <f t="shared" ca="1" si="6"/>
        <v>#NAME?</v>
      </c>
      <c r="K575" s="274">
        <f t="shared" si="7"/>
        <v>0</v>
      </c>
      <c r="N575" s="274"/>
    </row>
    <row r="576" spans="5:14" ht="13.5" customHeight="1">
      <c r="E576" s="209" t="s">
        <v>904</v>
      </c>
      <c r="F576" s="209" t="s">
        <v>2443</v>
      </c>
      <c r="G576" s="415" t="str">
        <f t="shared" si="8"/>
        <v>18-01</v>
      </c>
      <c r="H576" s="273" t="e">
        <f ca="1">_xludf.IFNA(VLOOKUP(Aragon!E576,'Kilter Holds'!$P$37:$AB$662,12,0),0)</f>
        <v>#NAME?</v>
      </c>
      <c r="I576" s="274"/>
      <c r="J576" s="274" t="e">
        <f t="shared" ca="1" si="6"/>
        <v>#NAME?</v>
      </c>
      <c r="K576" s="274">
        <f t="shared" si="7"/>
        <v>0</v>
      </c>
      <c r="N576" s="274"/>
    </row>
    <row r="577" spans="5:14" ht="13.5" customHeight="1">
      <c r="E577" s="209" t="s">
        <v>904</v>
      </c>
      <c r="F577" s="209" t="s">
        <v>2443</v>
      </c>
      <c r="G577" s="416" t="str">
        <f t="shared" si="8"/>
        <v>Color Code</v>
      </c>
      <c r="H577" s="273" t="e">
        <f ca="1">_xludf.IFNA(VLOOKUP(Aragon!E577,'Kilter Holds'!$P$37:$AB$662,13,0),0)</f>
        <v>#NAME?</v>
      </c>
      <c r="I577" s="274"/>
      <c r="J577" s="274" t="e">
        <f t="shared" ca="1" si="6"/>
        <v>#NAME?</v>
      </c>
      <c r="K577" s="274">
        <f t="shared" si="7"/>
        <v>0</v>
      </c>
      <c r="N577" s="274"/>
    </row>
    <row r="578" spans="5:14" ht="13.5" customHeight="1">
      <c r="E578" s="209" t="s">
        <v>954</v>
      </c>
      <c r="F578" s="209" t="s">
        <v>2444</v>
      </c>
      <c r="G578" s="406" t="str">
        <f t="shared" si="8"/>
        <v>11-12</v>
      </c>
      <c r="H578" s="273" t="e">
        <f ca="1">_xludf.IFNA(VLOOKUP(Aragon!E578,'Kilter Holds'!$P$37:$AB$662,5,0),0)</f>
        <v>#NAME?</v>
      </c>
      <c r="I578" s="274"/>
      <c r="J578" s="274" t="e">
        <f t="shared" ca="1" si="6"/>
        <v>#NAME?</v>
      </c>
      <c r="K578" s="274">
        <f t="shared" si="7"/>
        <v>0</v>
      </c>
      <c r="N578" s="274"/>
    </row>
    <row r="579" spans="5:14" ht="13.5" customHeight="1">
      <c r="E579" s="209" t="s">
        <v>954</v>
      </c>
      <c r="F579" s="209" t="s">
        <v>2444</v>
      </c>
      <c r="G579" s="408" t="str">
        <f t="shared" si="8"/>
        <v>14-01</v>
      </c>
      <c r="H579" s="273" t="e">
        <f ca="1">_xludf.IFNA(VLOOKUP(Aragon!E579,'Kilter Holds'!$P$37:$AB$662,6,0),0)</f>
        <v>#NAME?</v>
      </c>
      <c r="I579" s="274"/>
      <c r="J579" s="274" t="e">
        <f t="shared" ca="1" si="6"/>
        <v>#NAME?</v>
      </c>
      <c r="K579" s="274">
        <f t="shared" si="7"/>
        <v>0</v>
      </c>
      <c r="N579" s="274"/>
    </row>
    <row r="580" spans="5:14" ht="13.5" customHeight="1">
      <c r="E580" s="209" t="s">
        <v>954</v>
      </c>
      <c r="F580" s="209" t="s">
        <v>2444</v>
      </c>
      <c r="G580" s="409" t="str">
        <f t="shared" si="8"/>
        <v>15-12</v>
      </c>
      <c r="H580" s="273" t="e">
        <f ca="1">_xludf.IFNA(VLOOKUP(Aragon!E580,'Kilter Holds'!$P$37:$AB$662,7,0),0)</f>
        <v>#NAME?</v>
      </c>
      <c r="I580" s="274"/>
      <c r="J580" s="274" t="e">
        <f t="shared" ca="1" si="6"/>
        <v>#NAME?</v>
      </c>
      <c r="K580" s="274">
        <f t="shared" si="7"/>
        <v>0</v>
      </c>
      <c r="N580" s="274"/>
    </row>
    <row r="581" spans="5:14" ht="13.5" customHeight="1">
      <c r="E581" s="209" t="s">
        <v>954</v>
      </c>
      <c r="F581" s="209" t="s">
        <v>2444</v>
      </c>
      <c r="G581" s="410" t="str">
        <f t="shared" si="8"/>
        <v>16-16</v>
      </c>
      <c r="H581" s="273" t="e">
        <f ca="1">_xludf.IFNA(VLOOKUP(Aragon!E581,'Kilter Holds'!$P$37:$AB$662,8,0),0)</f>
        <v>#NAME?</v>
      </c>
      <c r="I581" s="274"/>
      <c r="J581" s="274" t="e">
        <f t="shared" ca="1" si="6"/>
        <v>#NAME?</v>
      </c>
      <c r="K581" s="274">
        <f t="shared" si="7"/>
        <v>0</v>
      </c>
      <c r="N581" s="274"/>
    </row>
    <row r="582" spans="5:14" ht="13.5" customHeight="1">
      <c r="E582" s="209" t="s">
        <v>954</v>
      </c>
      <c r="F582" s="209" t="s">
        <v>2444</v>
      </c>
      <c r="G582" s="411" t="str">
        <f t="shared" si="8"/>
        <v>13-01</v>
      </c>
      <c r="H582" s="273" t="e">
        <f ca="1">_xludf.IFNA(VLOOKUP(Aragon!E582,'Kilter Holds'!$P$37:$AB$662,9,0),0)</f>
        <v>#NAME?</v>
      </c>
      <c r="I582" s="274"/>
      <c r="J582" s="274" t="e">
        <f t="shared" ca="1" si="6"/>
        <v>#NAME?</v>
      </c>
      <c r="K582" s="274">
        <f t="shared" si="7"/>
        <v>0</v>
      </c>
      <c r="N582" s="274"/>
    </row>
    <row r="583" spans="5:14" ht="13.5" customHeight="1">
      <c r="E583" s="209" t="s">
        <v>954</v>
      </c>
      <c r="F583" s="209" t="s">
        <v>2444</v>
      </c>
      <c r="G583" s="413" t="str">
        <f t="shared" si="8"/>
        <v>07-13</v>
      </c>
      <c r="H583" s="273" t="e">
        <f ca="1">_xludf.IFNA(VLOOKUP(Aragon!E583,'Kilter Holds'!$P$37:$AB$662,10,0),0)</f>
        <v>#NAME?</v>
      </c>
      <c r="I583" s="274"/>
      <c r="J583" s="274" t="e">
        <f t="shared" ca="1" si="6"/>
        <v>#NAME?</v>
      </c>
      <c r="K583" s="274">
        <f t="shared" si="7"/>
        <v>0</v>
      </c>
      <c r="N583" s="274"/>
    </row>
    <row r="584" spans="5:14" ht="13.5" customHeight="1">
      <c r="E584" s="209" t="s">
        <v>954</v>
      </c>
      <c r="F584" s="209" t="s">
        <v>2444</v>
      </c>
      <c r="G584" s="414" t="str">
        <f t="shared" si="8"/>
        <v>11-26</v>
      </c>
      <c r="H584" s="273" t="e">
        <f ca="1">_xludf.IFNA(VLOOKUP(Aragon!E584,'Kilter Holds'!$P$37:$AB$662,11,0),0)</f>
        <v>#NAME?</v>
      </c>
      <c r="I584" s="274"/>
      <c r="J584" s="274" t="e">
        <f t="shared" ca="1" si="6"/>
        <v>#NAME?</v>
      </c>
      <c r="K584" s="274">
        <f t="shared" si="7"/>
        <v>0</v>
      </c>
      <c r="N584" s="274"/>
    </row>
    <row r="585" spans="5:14" ht="13.5" customHeight="1">
      <c r="E585" s="209" t="s">
        <v>954</v>
      </c>
      <c r="F585" s="209" t="s">
        <v>2444</v>
      </c>
      <c r="G585" s="415" t="str">
        <f t="shared" si="8"/>
        <v>18-01</v>
      </c>
      <c r="H585" s="273" t="e">
        <f ca="1">_xludf.IFNA(VLOOKUP(Aragon!E585,'Kilter Holds'!$P$37:$AB$662,12,0),0)</f>
        <v>#NAME?</v>
      </c>
      <c r="I585" s="274"/>
      <c r="J585" s="274" t="e">
        <f t="shared" ca="1" si="6"/>
        <v>#NAME?</v>
      </c>
      <c r="K585" s="274">
        <f t="shared" si="7"/>
        <v>0</v>
      </c>
      <c r="N585" s="274"/>
    </row>
    <row r="586" spans="5:14" ht="13.5" customHeight="1">
      <c r="E586" s="209" t="s">
        <v>954</v>
      </c>
      <c r="F586" s="209" t="s">
        <v>2444</v>
      </c>
      <c r="G586" s="416" t="str">
        <f t="shared" si="8"/>
        <v>Color Code</v>
      </c>
      <c r="H586" s="273" t="e">
        <f ca="1">_xludf.IFNA(VLOOKUP(Aragon!E586,'Kilter Holds'!$P$37:$AB$662,13,0),0)</f>
        <v>#NAME?</v>
      </c>
      <c r="I586" s="274"/>
      <c r="J586" s="274" t="e">
        <f t="shared" ca="1" si="6"/>
        <v>#NAME?</v>
      </c>
      <c r="K586" s="274">
        <f t="shared" si="7"/>
        <v>0</v>
      </c>
      <c r="N586" s="274"/>
    </row>
    <row r="587" spans="5:14" ht="13.5" customHeight="1">
      <c r="E587" s="209" t="s">
        <v>1127</v>
      </c>
      <c r="F587" s="209" t="s">
        <v>2445</v>
      </c>
      <c r="G587" s="406" t="str">
        <f t="shared" si="8"/>
        <v>11-12</v>
      </c>
      <c r="H587" s="273" t="e">
        <f ca="1">_xludf.IFNA(VLOOKUP(Aragon!E587,'Kilter Holds'!$P$37:$AB$662,5,0),0)</f>
        <v>#NAME?</v>
      </c>
      <c r="I587" s="274"/>
      <c r="J587" s="274" t="e">
        <f t="shared" ca="1" si="6"/>
        <v>#NAME?</v>
      </c>
      <c r="K587" s="274">
        <f t="shared" si="7"/>
        <v>0</v>
      </c>
      <c r="N587" s="274"/>
    </row>
    <row r="588" spans="5:14" ht="13.5" customHeight="1">
      <c r="E588" s="209" t="s">
        <v>1127</v>
      </c>
      <c r="F588" s="209" t="s">
        <v>2445</v>
      </c>
      <c r="G588" s="408" t="str">
        <f t="shared" si="8"/>
        <v>14-01</v>
      </c>
      <c r="H588" s="273" t="e">
        <f ca="1">_xludf.IFNA(VLOOKUP(Aragon!E588,'Kilter Holds'!$P$37:$AB$662,6,0),0)</f>
        <v>#NAME?</v>
      </c>
      <c r="I588" s="274"/>
      <c r="J588" s="274" t="e">
        <f t="shared" ca="1" si="6"/>
        <v>#NAME?</v>
      </c>
      <c r="K588" s="274">
        <f t="shared" si="7"/>
        <v>0</v>
      </c>
      <c r="N588" s="274"/>
    </row>
    <row r="589" spans="5:14" ht="13.5" customHeight="1">
      <c r="E589" s="209" t="s">
        <v>1127</v>
      </c>
      <c r="F589" s="209" t="s">
        <v>2445</v>
      </c>
      <c r="G589" s="409" t="str">
        <f t="shared" si="8"/>
        <v>15-12</v>
      </c>
      <c r="H589" s="273" t="e">
        <f ca="1">_xludf.IFNA(VLOOKUP(Aragon!E589,'Kilter Holds'!$P$37:$AB$662,7,0),0)</f>
        <v>#NAME?</v>
      </c>
      <c r="I589" s="274"/>
      <c r="J589" s="274" t="e">
        <f t="shared" ca="1" si="6"/>
        <v>#NAME?</v>
      </c>
      <c r="K589" s="274">
        <f t="shared" si="7"/>
        <v>0</v>
      </c>
      <c r="N589" s="274"/>
    </row>
    <row r="590" spans="5:14" ht="13.5" customHeight="1">
      <c r="E590" s="209" t="s">
        <v>1127</v>
      </c>
      <c r="F590" s="209" t="s">
        <v>2445</v>
      </c>
      <c r="G590" s="410" t="str">
        <f t="shared" si="8"/>
        <v>16-16</v>
      </c>
      <c r="H590" s="273" t="e">
        <f ca="1">_xludf.IFNA(VLOOKUP(Aragon!E590,'Kilter Holds'!$P$37:$AB$662,8,0),0)</f>
        <v>#NAME?</v>
      </c>
      <c r="I590" s="274"/>
      <c r="J590" s="274" t="e">
        <f t="shared" ca="1" si="6"/>
        <v>#NAME?</v>
      </c>
      <c r="K590" s="274">
        <f t="shared" si="7"/>
        <v>0</v>
      </c>
      <c r="N590" s="274"/>
    </row>
    <row r="591" spans="5:14" ht="13.5" customHeight="1">
      <c r="E591" s="209" t="s">
        <v>1127</v>
      </c>
      <c r="F591" s="209" t="s">
        <v>2445</v>
      </c>
      <c r="G591" s="411" t="str">
        <f t="shared" si="8"/>
        <v>13-01</v>
      </c>
      <c r="H591" s="273" t="e">
        <f ca="1">_xludf.IFNA(VLOOKUP(Aragon!E591,'Kilter Holds'!$P$37:$AB$662,9,0),0)</f>
        <v>#NAME?</v>
      </c>
      <c r="I591" s="274"/>
      <c r="J591" s="274" t="e">
        <f t="shared" ca="1" si="6"/>
        <v>#NAME?</v>
      </c>
      <c r="K591" s="274">
        <f t="shared" si="7"/>
        <v>0</v>
      </c>
      <c r="N591" s="274"/>
    </row>
    <row r="592" spans="5:14" ht="13.5" customHeight="1">
      <c r="E592" s="209" t="s">
        <v>1127</v>
      </c>
      <c r="F592" s="209" t="s">
        <v>2445</v>
      </c>
      <c r="G592" s="413" t="str">
        <f t="shared" si="8"/>
        <v>07-13</v>
      </c>
      <c r="H592" s="273" t="e">
        <f ca="1">_xludf.IFNA(VLOOKUP(Aragon!E592,'Kilter Holds'!$P$37:$AB$662,10,0),0)</f>
        <v>#NAME?</v>
      </c>
      <c r="I592" s="274"/>
      <c r="J592" s="274" t="e">
        <f t="shared" ca="1" si="6"/>
        <v>#NAME?</v>
      </c>
      <c r="K592" s="274">
        <f t="shared" si="7"/>
        <v>0</v>
      </c>
      <c r="N592" s="274"/>
    </row>
    <row r="593" spans="1:14" ht="13.5" customHeight="1">
      <c r="E593" s="209" t="s">
        <v>1127</v>
      </c>
      <c r="F593" s="209" t="s">
        <v>2445</v>
      </c>
      <c r="G593" s="414" t="str">
        <f t="shared" si="8"/>
        <v>11-26</v>
      </c>
      <c r="H593" s="273" t="e">
        <f ca="1">_xludf.IFNA(VLOOKUP(Aragon!E593,'Kilter Holds'!$P$37:$AB$662,11,0),0)</f>
        <v>#NAME?</v>
      </c>
      <c r="I593" s="274"/>
      <c r="J593" s="274" t="e">
        <f t="shared" ca="1" si="6"/>
        <v>#NAME?</v>
      </c>
      <c r="K593" s="274">
        <f t="shared" si="7"/>
        <v>0</v>
      </c>
      <c r="N593" s="274"/>
    </row>
    <row r="594" spans="1:14" ht="13.5" customHeight="1">
      <c r="E594" s="209" t="s">
        <v>1127</v>
      </c>
      <c r="F594" s="209" t="s">
        <v>2445</v>
      </c>
      <c r="G594" s="415" t="str">
        <f t="shared" si="8"/>
        <v>18-01</v>
      </c>
      <c r="H594" s="273" t="e">
        <f ca="1">_xludf.IFNA(VLOOKUP(Aragon!E594,'Kilter Holds'!$P$37:$AB$662,12,0),0)</f>
        <v>#NAME?</v>
      </c>
      <c r="I594" s="274"/>
      <c r="J594" s="274" t="e">
        <f t="shared" ca="1" si="6"/>
        <v>#NAME?</v>
      </c>
      <c r="K594" s="274">
        <f t="shared" si="7"/>
        <v>0</v>
      </c>
      <c r="N594" s="274"/>
    </row>
    <row r="595" spans="1:14" ht="13.5" customHeight="1">
      <c r="E595" s="209" t="s">
        <v>1127</v>
      </c>
      <c r="F595" s="209" t="s">
        <v>2445</v>
      </c>
      <c r="G595" s="416" t="str">
        <f t="shared" si="8"/>
        <v>Color Code</v>
      </c>
      <c r="H595" s="273" t="e">
        <f ca="1">_xludf.IFNA(VLOOKUP(Aragon!E595,'Kilter Holds'!$P$37:$AB$662,13,0),0)</f>
        <v>#NAME?</v>
      </c>
      <c r="I595" s="274"/>
      <c r="J595" s="274" t="e">
        <f t="shared" ca="1" si="6"/>
        <v>#NAME?</v>
      </c>
      <c r="K595" s="274">
        <f t="shared" si="7"/>
        <v>0</v>
      </c>
      <c r="N595" s="274"/>
    </row>
    <row r="596" spans="1:14" ht="13.5" customHeight="1">
      <c r="E596" s="209" t="s">
        <v>1129</v>
      </c>
      <c r="F596" s="209" t="s">
        <v>2446</v>
      </c>
      <c r="G596" s="406" t="str">
        <f t="shared" si="8"/>
        <v>11-12</v>
      </c>
      <c r="H596" s="273" t="e">
        <f ca="1">_xludf.IFNA(VLOOKUP(Aragon!E596,'Kilter Holds'!$P$37:$AB$662,5,0),0)</f>
        <v>#NAME?</v>
      </c>
      <c r="I596" s="274"/>
      <c r="J596" s="274" t="e">
        <f t="shared" ca="1" si="6"/>
        <v>#NAME?</v>
      </c>
      <c r="K596" s="274">
        <f t="shared" si="7"/>
        <v>0</v>
      </c>
      <c r="N596" s="274"/>
    </row>
    <row r="597" spans="1:14" ht="13.5" customHeight="1">
      <c r="E597" s="209" t="s">
        <v>1129</v>
      </c>
      <c r="F597" s="209" t="s">
        <v>2446</v>
      </c>
      <c r="G597" s="408" t="str">
        <f t="shared" si="8"/>
        <v>14-01</v>
      </c>
      <c r="H597" s="273" t="e">
        <f ca="1">_xludf.IFNA(VLOOKUP(Aragon!E597,'Kilter Holds'!$P$37:$AB$662,6,0),0)</f>
        <v>#NAME?</v>
      </c>
      <c r="I597" s="274"/>
      <c r="J597" s="274" t="e">
        <f t="shared" ca="1" si="6"/>
        <v>#NAME?</v>
      </c>
      <c r="K597" s="274">
        <f t="shared" si="7"/>
        <v>0</v>
      </c>
      <c r="N597" s="274"/>
    </row>
    <row r="598" spans="1:14" ht="13.5" customHeight="1">
      <c r="E598" s="209" t="s">
        <v>1129</v>
      </c>
      <c r="F598" s="209" t="s">
        <v>2446</v>
      </c>
      <c r="G598" s="409" t="str">
        <f t="shared" si="8"/>
        <v>15-12</v>
      </c>
      <c r="H598" s="273" t="e">
        <f ca="1">_xludf.IFNA(VLOOKUP(Aragon!E598,'Kilter Holds'!$P$37:$AB$662,7,0),0)</f>
        <v>#NAME?</v>
      </c>
      <c r="I598" s="274"/>
      <c r="J598" s="274" t="e">
        <f t="shared" ca="1" si="6"/>
        <v>#NAME?</v>
      </c>
      <c r="K598" s="274">
        <f t="shared" si="7"/>
        <v>0</v>
      </c>
      <c r="N598" s="274"/>
    </row>
    <row r="599" spans="1:14" ht="13.5" customHeight="1">
      <c r="E599" s="209" t="s">
        <v>1129</v>
      </c>
      <c r="F599" s="209" t="s">
        <v>2446</v>
      </c>
      <c r="G599" s="410" t="str">
        <f t="shared" si="8"/>
        <v>16-16</v>
      </c>
      <c r="H599" s="273" t="e">
        <f ca="1">_xludf.IFNA(VLOOKUP(Aragon!E599,'Kilter Holds'!$P$37:$AB$662,8,0),0)</f>
        <v>#NAME?</v>
      </c>
      <c r="I599" s="274"/>
      <c r="J599" s="274" t="e">
        <f t="shared" ca="1" si="6"/>
        <v>#NAME?</v>
      </c>
      <c r="K599" s="274">
        <f t="shared" si="7"/>
        <v>0</v>
      </c>
      <c r="N599" s="274"/>
    </row>
    <row r="600" spans="1:14" ht="13.5" customHeight="1">
      <c r="E600" s="209" t="s">
        <v>1129</v>
      </c>
      <c r="F600" s="209" t="s">
        <v>2446</v>
      </c>
      <c r="G600" s="411" t="str">
        <f t="shared" si="8"/>
        <v>13-01</v>
      </c>
      <c r="H600" s="273" t="e">
        <f ca="1">_xludf.IFNA(VLOOKUP(Aragon!E600,'Kilter Holds'!$P$37:$AB$662,9,0),0)</f>
        <v>#NAME?</v>
      </c>
      <c r="I600" s="274"/>
      <c r="J600" s="274" t="e">
        <f t="shared" ca="1" si="6"/>
        <v>#NAME?</v>
      </c>
      <c r="K600" s="274">
        <f t="shared" si="7"/>
        <v>0</v>
      </c>
      <c r="N600" s="274"/>
    </row>
    <row r="601" spans="1:14" ht="13.5" customHeight="1">
      <c r="E601" s="209" t="s">
        <v>1129</v>
      </c>
      <c r="F601" s="209" t="s">
        <v>2446</v>
      </c>
      <c r="G601" s="413" t="str">
        <f t="shared" si="8"/>
        <v>07-13</v>
      </c>
      <c r="H601" s="273" t="e">
        <f ca="1">_xludf.IFNA(VLOOKUP(Aragon!E601,'Kilter Holds'!$P$37:$AB$662,10,0),0)</f>
        <v>#NAME?</v>
      </c>
      <c r="I601" s="274"/>
      <c r="J601" s="274" t="e">
        <f t="shared" ca="1" si="6"/>
        <v>#NAME?</v>
      </c>
      <c r="K601" s="274">
        <f t="shared" si="7"/>
        <v>0</v>
      </c>
      <c r="N601" s="274"/>
    </row>
    <row r="602" spans="1:14" ht="13.5" customHeight="1">
      <c r="E602" s="209" t="s">
        <v>1129</v>
      </c>
      <c r="F602" s="209" t="s">
        <v>2446</v>
      </c>
      <c r="G602" s="414" t="str">
        <f t="shared" si="8"/>
        <v>11-26</v>
      </c>
      <c r="H602" s="273" t="e">
        <f ca="1">_xludf.IFNA(VLOOKUP(Aragon!E602,'Kilter Holds'!$P$37:$AB$662,11,0),0)</f>
        <v>#NAME?</v>
      </c>
      <c r="I602" s="274"/>
      <c r="J602" s="274" t="e">
        <f t="shared" ca="1" si="6"/>
        <v>#NAME?</v>
      </c>
      <c r="K602" s="274">
        <f t="shared" si="7"/>
        <v>0</v>
      </c>
      <c r="N602" s="274"/>
    </row>
    <row r="603" spans="1:14" ht="13.5" customHeight="1">
      <c r="E603" s="209" t="s">
        <v>1129</v>
      </c>
      <c r="F603" s="209" t="s">
        <v>2446</v>
      </c>
      <c r="G603" s="415" t="str">
        <f t="shared" si="8"/>
        <v>18-01</v>
      </c>
      <c r="H603" s="273" t="e">
        <f ca="1">_xludf.IFNA(VLOOKUP(Aragon!E603,'Kilter Holds'!$P$37:$AB$662,12,0),0)</f>
        <v>#NAME?</v>
      </c>
      <c r="I603" s="274"/>
      <c r="J603" s="274" t="e">
        <f t="shared" ca="1" si="6"/>
        <v>#NAME?</v>
      </c>
      <c r="K603" s="274">
        <f t="shared" si="7"/>
        <v>0</v>
      </c>
      <c r="N603" s="274"/>
    </row>
    <row r="604" spans="1:14" ht="13.5" customHeight="1">
      <c r="E604" s="209" t="s">
        <v>1129</v>
      </c>
      <c r="F604" s="209" t="s">
        <v>2446</v>
      </c>
      <c r="G604" s="416" t="str">
        <f t="shared" si="8"/>
        <v>Color Code</v>
      </c>
      <c r="H604" s="273" t="e">
        <f ca="1">_xludf.IFNA(VLOOKUP(Aragon!E604,'Kilter Holds'!$P$37:$AB$662,13,0),0)</f>
        <v>#NAME?</v>
      </c>
      <c r="I604" s="274"/>
      <c r="J604" s="274" t="e">
        <f t="shared" ca="1" si="6"/>
        <v>#NAME?</v>
      </c>
      <c r="K604" s="274">
        <f t="shared" si="7"/>
        <v>0</v>
      </c>
      <c r="N604" s="274"/>
    </row>
    <row r="605" spans="1:14" ht="13.5" customHeight="1">
      <c r="A605" s="1" t="s">
        <v>1233</v>
      </c>
      <c r="B605" s="1"/>
      <c r="C605" s="1"/>
      <c r="D605" s="1"/>
      <c r="E605" s="209" t="s">
        <v>1131</v>
      </c>
      <c r="F605" s="209" t="s">
        <v>2447</v>
      </c>
      <c r="G605" s="406" t="str">
        <f t="shared" si="8"/>
        <v>11-12</v>
      </c>
      <c r="H605" s="273" t="e">
        <f ca="1">_xludf.IFNA(VLOOKUP(E605,'Kilter Holds'!$P$37:$AB$662,5,0),0)+_xludf.IFNA(VLOOKUP(A605,'Kilter Holds'!$P$37:$AB$662,5,0),0)</f>
        <v>#NAME?</v>
      </c>
      <c r="I605" s="274"/>
      <c r="J605" s="274" t="e">
        <f t="shared" ca="1" si="6"/>
        <v>#NAME?</v>
      </c>
      <c r="K605" s="274">
        <f t="shared" si="7"/>
        <v>0</v>
      </c>
      <c r="N605" s="274"/>
    </row>
    <row r="606" spans="1:14" ht="13.5" customHeight="1">
      <c r="A606" s="1" t="s">
        <v>1233</v>
      </c>
      <c r="B606" s="1"/>
      <c r="C606" s="1"/>
      <c r="D606" s="1"/>
      <c r="E606" s="209" t="s">
        <v>1131</v>
      </c>
      <c r="F606" s="209" t="s">
        <v>2447</v>
      </c>
      <c r="G606" s="408" t="str">
        <f t="shared" si="8"/>
        <v>14-01</v>
      </c>
      <c r="H606" s="273" t="e">
        <f ca="1">_xludf.IFNA(VLOOKUP(E606,'Kilter Holds'!$P$37:$AB$662,6,0),0)+_xludf.IFNA(VLOOKUP(A606,'Kilter Holds'!$P$37:$AB$662,6,0),0)</f>
        <v>#NAME?</v>
      </c>
      <c r="I606" s="274"/>
      <c r="J606" s="274" t="e">
        <f t="shared" ca="1" si="6"/>
        <v>#NAME?</v>
      </c>
      <c r="K606" s="274">
        <f t="shared" si="7"/>
        <v>0</v>
      </c>
      <c r="N606" s="274"/>
    </row>
    <row r="607" spans="1:14" ht="13.5" customHeight="1">
      <c r="A607" s="1" t="s">
        <v>1233</v>
      </c>
      <c r="B607" s="1"/>
      <c r="C607" s="1"/>
      <c r="D607" s="1"/>
      <c r="E607" s="209" t="s">
        <v>1131</v>
      </c>
      <c r="F607" s="209" t="s">
        <v>2447</v>
      </c>
      <c r="G607" s="409" t="str">
        <f t="shared" si="8"/>
        <v>15-12</v>
      </c>
      <c r="H607" s="273" t="e">
        <f ca="1">_xludf.IFNA(VLOOKUP(E607,'Kilter Holds'!$P$37:$AB$662,7,0),0)+_xludf.IFNA(VLOOKUP(A607,'Kilter Holds'!$P$37:$AB$662,7,0),0)</f>
        <v>#NAME?</v>
      </c>
      <c r="I607" s="274"/>
      <c r="J607" s="274" t="e">
        <f t="shared" ca="1" si="6"/>
        <v>#NAME?</v>
      </c>
      <c r="K607" s="274">
        <f t="shared" si="7"/>
        <v>0</v>
      </c>
      <c r="N607" s="274"/>
    </row>
    <row r="608" spans="1:14" ht="13.5" customHeight="1">
      <c r="A608" s="1" t="s">
        <v>1233</v>
      </c>
      <c r="B608" s="1"/>
      <c r="C608" s="1"/>
      <c r="D608" s="1"/>
      <c r="E608" s="209" t="s">
        <v>1131</v>
      </c>
      <c r="F608" s="209" t="s">
        <v>2447</v>
      </c>
      <c r="G608" s="410" t="str">
        <f t="shared" si="8"/>
        <v>16-16</v>
      </c>
      <c r="H608" s="273" t="e">
        <f ca="1">_xludf.IFNA(VLOOKUP(E608,'Kilter Holds'!$P$37:$AB$662,8,0),0)+_xludf.IFNA(VLOOKUP(A608,'Kilter Holds'!$P$37:$AB$662,8,0),0)</f>
        <v>#NAME?</v>
      </c>
      <c r="I608" s="274"/>
      <c r="J608" s="274" t="e">
        <f t="shared" ca="1" si="6"/>
        <v>#NAME?</v>
      </c>
      <c r="K608" s="274">
        <f t="shared" si="7"/>
        <v>0</v>
      </c>
      <c r="N608" s="274"/>
    </row>
    <row r="609" spans="1:14" ht="13.5" customHeight="1">
      <c r="A609" s="1" t="s">
        <v>1233</v>
      </c>
      <c r="B609" s="1"/>
      <c r="C609" s="1"/>
      <c r="D609" s="1"/>
      <c r="E609" s="209" t="s">
        <v>1131</v>
      </c>
      <c r="F609" s="209" t="s">
        <v>2447</v>
      </c>
      <c r="G609" s="411" t="str">
        <f t="shared" si="8"/>
        <v>13-01</v>
      </c>
      <c r="H609" s="273" t="e">
        <f ca="1">_xludf.IFNA(VLOOKUP(E609,'Kilter Holds'!$P$37:$AB$662,9,0),0)+_xludf.IFNA(VLOOKUP(A609,'Kilter Holds'!$P$37:$AB$662,9,0),0)</f>
        <v>#NAME?</v>
      </c>
      <c r="I609" s="274"/>
      <c r="J609" s="274" t="e">
        <f t="shared" ca="1" si="6"/>
        <v>#NAME?</v>
      </c>
      <c r="K609" s="274">
        <f t="shared" si="7"/>
        <v>0</v>
      </c>
      <c r="N609" s="274"/>
    </row>
    <row r="610" spans="1:14" ht="13.5" customHeight="1">
      <c r="A610" s="1" t="s">
        <v>1233</v>
      </c>
      <c r="B610" s="1"/>
      <c r="C610" s="1"/>
      <c r="D610" s="1"/>
      <c r="E610" s="209" t="s">
        <v>1131</v>
      </c>
      <c r="F610" s="209" t="s">
        <v>2447</v>
      </c>
      <c r="G610" s="413" t="str">
        <f t="shared" si="8"/>
        <v>07-13</v>
      </c>
      <c r="H610" s="273" t="e">
        <f ca="1">_xludf.IFNA(VLOOKUP(E610,'Kilter Holds'!$P$37:$AB$662,10,0),0)+_xludf.IFNA(VLOOKUP(A610,'Kilter Holds'!$P$37:$AB$662,10,0),0)</f>
        <v>#NAME?</v>
      </c>
      <c r="I610" s="274"/>
      <c r="J610" s="274" t="e">
        <f t="shared" ca="1" si="6"/>
        <v>#NAME?</v>
      </c>
      <c r="K610" s="274">
        <f t="shared" si="7"/>
        <v>0</v>
      </c>
      <c r="N610" s="274"/>
    </row>
    <row r="611" spans="1:14" ht="13.5" customHeight="1">
      <c r="A611" s="1" t="s">
        <v>1233</v>
      </c>
      <c r="B611" s="1"/>
      <c r="C611" s="1"/>
      <c r="D611" s="1"/>
      <c r="E611" s="209" t="s">
        <v>1131</v>
      </c>
      <c r="F611" s="209" t="s">
        <v>2447</v>
      </c>
      <c r="G611" s="414" t="str">
        <f t="shared" si="8"/>
        <v>11-26</v>
      </c>
      <c r="H611" s="273" t="e">
        <f ca="1">_xludf.IFNA(VLOOKUP(E611,'Kilter Holds'!$P$37:$AB$662,11,0),0)+_xludf.IFNA(VLOOKUP(A611,'Kilter Holds'!$P$37:$AB$662,11,0),0)</f>
        <v>#NAME?</v>
      </c>
      <c r="I611" s="274"/>
      <c r="J611" s="274" t="e">
        <f t="shared" ca="1" si="6"/>
        <v>#NAME?</v>
      </c>
      <c r="K611" s="274">
        <f t="shared" si="7"/>
        <v>0</v>
      </c>
      <c r="N611" s="274"/>
    </row>
    <row r="612" spans="1:14" ht="13.5" customHeight="1">
      <c r="A612" s="1" t="s">
        <v>1233</v>
      </c>
      <c r="B612" s="1"/>
      <c r="C612" s="1"/>
      <c r="D612" s="1"/>
      <c r="E612" s="209" t="s">
        <v>1131</v>
      </c>
      <c r="F612" s="209" t="s">
        <v>2447</v>
      </c>
      <c r="G612" s="415" t="str">
        <f t="shared" si="8"/>
        <v>18-01</v>
      </c>
      <c r="H612" s="273" t="e">
        <f ca="1">_xludf.IFNA(VLOOKUP(E612,'Kilter Holds'!$P$37:$AB$662,12,0),0)+_xludf.IFNA(VLOOKUP(A612,'Kilter Holds'!$P$37:$AB$662,12,0),0)</f>
        <v>#NAME?</v>
      </c>
      <c r="I612" s="274"/>
      <c r="J612" s="274" t="e">
        <f t="shared" ca="1" si="6"/>
        <v>#NAME?</v>
      </c>
      <c r="K612" s="274">
        <f t="shared" si="7"/>
        <v>0</v>
      </c>
      <c r="N612" s="274"/>
    </row>
    <row r="613" spans="1:14" ht="13.5" customHeight="1">
      <c r="A613" s="1" t="s">
        <v>1233</v>
      </c>
      <c r="B613" s="1"/>
      <c r="C613" s="1"/>
      <c r="D613" s="1"/>
      <c r="E613" s="209" t="s">
        <v>1131</v>
      </c>
      <c r="F613" s="209" t="s">
        <v>2447</v>
      </c>
      <c r="G613" s="416" t="str">
        <f t="shared" si="8"/>
        <v>Color Code</v>
      </c>
      <c r="H613" s="273" t="e">
        <f ca="1">_xludf.IFNA(VLOOKUP(E613,'Kilter Holds'!$P$37:$AB$662,13,0),0)+_xludf.IFNA(VLOOKUP(A613,'Kilter Holds'!$P$37:$AB$662,13,0),0)</f>
        <v>#NAME?</v>
      </c>
      <c r="I613" s="274"/>
      <c r="J613" s="274" t="e">
        <f t="shared" ca="1" si="6"/>
        <v>#NAME?</v>
      </c>
      <c r="K613" s="274">
        <f t="shared" si="7"/>
        <v>0</v>
      </c>
      <c r="N613" s="274"/>
    </row>
    <row r="614" spans="1:14" ht="13.5" customHeight="1">
      <c r="E614" s="209" t="s">
        <v>1105</v>
      </c>
      <c r="F614" s="209" t="s">
        <v>2448</v>
      </c>
      <c r="G614" s="406" t="str">
        <f t="shared" si="8"/>
        <v>11-12</v>
      </c>
      <c r="H614" s="273" t="e">
        <f ca="1">_xludf.IFNA(VLOOKUP(Aragon!E614,'Kilter Holds'!$P$37:$AB$662,5,0),0)</f>
        <v>#NAME?</v>
      </c>
      <c r="I614" s="274"/>
      <c r="J614" s="274" t="e">
        <f t="shared" ca="1" si="6"/>
        <v>#NAME?</v>
      </c>
      <c r="K614" s="274">
        <f t="shared" si="7"/>
        <v>0</v>
      </c>
      <c r="N614" s="274"/>
    </row>
    <row r="615" spans="1:14" ht="13.5" customHeight="1">
      <c r="E615" s="209" t="s">
        <v>1105</v>
      </c>
      <c r="F615" s="209" t="s">
        <v>2448</v>
      </c>
      <c r="G615" s="408" t="str">
        <f t="shared" si="8"/>
        <v>14-01</v>
      </c>
      <c r="H615" s="273" t="e">
        <f ca="1">_xludf.IFNA(VLOOKUP(Aragon!E615,'Kilter Holds'!$P$37:$AB$662,6,0),0)</f>
        <v>#NAME?</v>
      </c>
      <c r="I615" s="274"/>
      <c r="J615" s="274" t="e">
        <f t="shared" ca="1" si="6"/>
        <v>#NAME?</v>
      </c>
      <c r="K615" s="274">
        <f t="shared" si="7"/>
        <v>0</v>
      </c>
      <c r="N615" s="274"/>
    </row>
    <row r="616" spans="1:14" ht="13.5" customHeight="1">
      <c r="E616" s="209" t="s">
        <v>1105</v>
      </c>
      <c r="F616" s="209" t="s">
        <v>2448</v>
      </c>
      <c r="G616" s="409" t="str">
        <f t="shared" si="8"/>
        <v>15-12</v>
      </c>
      <c r="H616" s="273" t="e">
        <f ca="1">_xludf.IFNA(VLOOKUP(Aragon!E616,'Kilter Holds'!$P$37:$AB$662,7,0),0)</f>
        <v>#NAME?</v>
      </c>
      <c r="I616" s="274"/>
      <c r="J616" s="274" t="e">
        <f t="shared" ca="1" si="6"/>
        <v>#NAME?</v>
      </c>
      <c r="K616" s="274">
        <f t="shared" si="7"/>
        <v>0</v>
      </c>
      <c r="N616" s="274"/>
    </row>
    <row r="617" spans="1:14" ht="13.5" customHeight="1">
      <c r="E617" s="209" t="s">
        <v>1105</v>
      </c>
      <c r="F617" s="209" t="s">
        <v>2448</v>
      </c>
      <c r="G617" s="410" t="str">
        <f t="shared" si="8"/>
        <v>16-16</v>
      </c>
      <c r="H617" s="273" t="e">
        <f ca="1">_xludf.IFNA(VLOOKUP(Aragon!E617,'Kilter Holds'!$P$37:$AB$662,8,0),0)</f>
        <v>#NAME?</v>
      </c>
      <c r="I617" s="274"/>
      <c r="J617" s="274" t="e">
        <f t="shared" ca="1" si="6"/>
        <v>#NAME?</v>
      </c>
      <c r="K617" s="274">
        <f t="shared" si="7"/>
        <v>0</v>
      </c>
      <c r="N617" s="274"/>
    </row>
    <row r="618" spans="1:14" ht="13.5" customHeight="1">
      <c r="E618" s="209" t="s">
        <v>1105</v>
      </c>
      <c r="F618" s="209" t="s">
        <v>2448</v>
      </c>
      <c r="G618" s="411" t="str">
        <f t="shared" si="8"/>
        <v>13-01</v>
      </c>
      <c r="H618" s="273" t="e">
        <f ca="1">_xludf.IFNA(VLOOKUP(Aragon!E618,'Kilter Holds'!$P$37:$AB$662,9,0),0)</f>
        <v>#NAME?</v>
      </c>
      <c r="I618" s="274"/>
      <c r="J618" s="274" t="e">
        <f t="shared" ca="1" si="6"/>
        <v>#NAME?</v>
      </c>
      <c r="K618" s="274">
        <f t="shared" si="7"/>
        <v>0</v>
      </c>
      <c r="N618" s="274"/>
    </row>
    <row r="619" spans="1:14" ht="13.5" customHeight="1">
      <c r="E619" s="209" t="s">
        <v>1105</v>
      </c>
      <c r="F619" s="209" t="s">
        <v>2448</v>
      </c>
      <c r="G619" s="413" t="str">
        <f t="shared" si="8"/>
        <v>07-13</v>
      </c>
      <c r="H619" s="273" t="e">
        <f ca="1">_xludf.IFNA(VLOOKUP(Aragon!E619,'Kilter Holds'!$P$37:$AB$662,10,0),0)</f>
        <v>#NAME?</v>
      </c>
      <c r="I619" s="274"/>
      <c r="J619" s="274" t="e">
        <f t="shared" ca="1" si="6"/>
        <v>#NAME?</v>
      </c>
      <c r="K619" s="274">
        <f t="shared" si="7"/>
        <v>0</v>
      </c>
      <c r="N619" s="274"/>
    </row>
    <row r="620" spans="1:14" ht="13.5" customHeight="1">
      <c r="E620" s="209" t="s">
        <v>1105</v>
      </c>
      <c r="F620" s="209" t="s">
        <v>2448</v>
      </c>
      <c r="G620" s="414" t="str">
        <f t="shared" si="8"/>
        <v>11-26</v>
      </c>
      <c r="H620" s="273" t="e">
        <f ca="1">_xludf.IFNA(VLOOKUP(Aragon!E620,'Kilter Holds'!$P$37:$AB$662,11,0),0)</f>
        <v>#NAME?</v>
      </c>
      <c r="I620" s="274"/>
      <c r="J620" s="274" t="e">
        <f t="shared" ca="1" si="6"/>
        <v>#NAME?</v>
      </c>
      <c r="K620" s="274">
        <f t="shared" si="7"/>
        <v>0</v>
      </c>
      <c r="N620" s="274"/>
    </row>
    <row r="621" spans="1:14" ht="13.5" customHeight="1">
      <c r="E621" s="209" t="s">
        <v>1105</v>
      </c>
      <c r="F621" s="209" t="s">
        <v>2448</v>
      </c>
      <c r="G621" s="415" t="str">
        <f t="shared" si="8"/>
        <v>18-01</v>
      </c>
      <c r="H621" s="273" t="e">
        <f ca="1">_xludf.IFNA(VLOOKUP(Aragon!E621,'Kilter Holds'!$P$37:$AB$662,12,0),0)</f>
        <v>#NAME?</v>
      </c>
      <c r="I621" s="274"/>
      <c r="J621" s="274" t="e">
        <f t="shared" ca="1" si="6"/>
        <v>#NAME?</v>
      </c>
      <c r="K621" s="274">
        <f t="shared" si="7"/>
        <v>0</v>
      </c>
      <c r="N621" s="274"/>
    </row>
    <row r="622" spans="1:14" ht="13.5" customHeight="1">
      <c r="E622" s="209" t="s">
        <v>1105</v>
      </c>
      <c r="F622" s="209" t="s">
        <v>2448</v>
      </c>
      <c r="G622" s="416" t="str">
        <f t="shared" si="8"/>
        <v>Color Code</v>
      </c>
      <c r="H622" s="273" t="e">
        <f ca="1">_xludf.IFNA(VLOOKUP(Aragon!E622,'Kilter Holds'!$P$37:$AB$662,13,0),0)</f>
        <v>#NAME?</v>
      </c>
      <c r="I622" s="274"/>
      <c r="J622" s="274" t="e">
        <f t="shared" ca="1" si="6"/>
        <v>#NAME?</v>
      </c>
      <c r="K622" s="274">
        <f t="shared" si="7"/>
        <v>0</v>
      </c>
      <c r="N622" s="274"/>
    </row>
    <row r="623" spans="1:14" ht="13.5" customHeight="1">
      <c r="E623" s="209" t="s">
        <v>982</v>
      </c>
      <c r="F623" s="209" t="s">
        <v>2449</v>
      </c>
      <c r="G623" s="406" t="str">
        <f t="shared" si="8"/>
        <v>11-12</v>
      </c>
      <c r="H623" s="273" t="e">
        <f ca="1">_xludf.IFNA(VLOOKUP(Aragon!E623,'Kilter Holds'!$P$37:$AB$662,5,0),0)</f>
        <v>#NAME?</v>
      </c>
      <c r="I623" s="274"/>
      <c r="J623" s="274" t="e">
        <f t="shared" ca="1" si="6"/>
        <v>#NAME?</v>
      </c>
      <c r="K623" s="274">
        <f t="shared" si="7"/>
        <v>0</v>
      </c>
      <c r="N623" s="274"/>
    </row>
    <row r="624" spans="1:14" ht="13.5" customHeight="1">
      <c r="E624" s="209" t="s">
        <v>982</v>
      </c>
      <c r="F624" s="209" t="s">
        <v>2449</v>
      </c>
      <c r="G624" s="408" t="str">
        <f t="shared" si="8"/>
        <v>14-01</v>
      </c>
      <c r="H624" s="273" t="e">
        <f ca="1">_xludf.IFNA(VLOOKUP(Aragon!E624,'Kilter Holds'!$P$37:$AB$662,6,0),0)</f>
        <v>#NAME?</v>
      </c>
      <c r="I624" s="274"/>
      <c r="J624" s="274" t="e">
        <f t="shared" ca="1" si="6"/>
        <v>#NAME?</v>
      </c>
      <c r="K624" s="274">
        <f t="shared" si="7"/>
        <v>0</v>
      </c>
      <c r="N624" s="274"/>
    </row>
    <row r="625" spans="5:14" ht="13.5" customHeight="1">
      <c r="E625" s="209" t="s">
        <v>982</v>
      </c>
      <c r="F625" s="209" t="s">
        <v>2449</v>
      </c>
      <c r="G625" s="409" t="str">
        <f t="shared" si="8"/>
        <v>15-12</v>
      </c>
      <c r="H625" s="273" t="e">
        <f ca="1">_xludf.IFNA(VLOOKUP(Aragon!E625,'Kilter Holds'!$P$37:$AB$662,7,0),0)</f>
        <v>#NAME?</v>
      </c>
      <c r="I625" s="274"/>
      <c r="J625" s="274" t="e">
        <f t="shared" ca="1" si="6"/>
        <v>#NAME?</v>
      </c>
      <c r="K625" s="274">
        <f t="shared" si="7"/>
        <v>0</v>
      </c>
      <c r="N625" s="274"/>
    </row>
    <row r="626" spans="5:14" ht="13.5" customHeight="1">
      <c r="E626" s="209" t="s">
        <v>982</v>
      </c>
      <c r="F626" s="209" t="s">
        <v>2449</v>
      </c>
      <c r="G626" s="410" t="str">
        <f t="shared" si="8"/>
        <v>16-16</v>
      </c>
      <c r="H626" s="273" t="e">
        <f ca="1">_xludf.IFNA(VLOOKUP(Aragon!E626,'Kilter Holds'!$P$37:$AB$662,8,0),0)</f>
        <v>#NAME?</v>
      </c>
      <c r="I626" s="274"/>
      <c r="J626" s="274" t="e">
        <f t="shared" ca="1" si="6"/>
        <v>#NAME?</v>
      </c>
      <c r="K626" s="274">
        <f t="shared" si="7"/>
        <v>0</v>
      </c>
      <c r="N626" s="274"/>
    </row>
    <row r="627" spans="5:14" ht="13.5" customHeight="1">
      <c r="E627" s="209" t="s">
        <v>982</v>
      </c>
      <c r="F627" s="209" t="s">
        <v>2449</v>
      </c>
      <c r="G627" s="411" t="str">
        <f t="shared" si="8"/>
        <v>13-01</v>
      </c>
      <c r="H627" s="273" t="e">
        <f ca="1">_xludf.IFNA(VLOOKUP(Aragon!E627,'Kilter Holds'!$P$37:$AB$662,9,0),0)</f>
        <v>#NAME?</v>
      </c>
      <c r="I627" s="274"/>
      <c r="J627" s="274" t="e">
        <f t="shared" ca="1" si="6"/>
        <v>#NAME?</v>
      </c>
      <c r="K627" s="274">
        <f t="shared" si="7"/>
        <v>0</v>
      </c>
      <c r="N627" s="274"/>
    </row>
    <row r="628" spans="5:14" ht="13.5" customHeight="1">
      <c r="E628" s="209" t="s">
        <v>982</v>
      </c>
      <c r="F628" s="209" t="s">
        <v>2449</v>
      </c>
      <c r="G628" s="413" t="str">
        <f t="shared" si="8"/>
        <v>07-13</v>
      </c>
      <c r="H628" s="273" t="e">
        <f ca="1">_xludf.IFNA(VLOOKUP(Aragon!E628,'Kilter Holds'!$P$37:$AB$662,10,0),0)</f>
        <v>#NAME?</v>
      </c>
      <c r="I628" s="274"/>
      <c r="J628" s="274" t="e">
        <f t="shared" ca="1" si="6"/>
        <v>#NAME?</v>
      </c>
      <c r="K628" s="274">
        <f t="shared" si="7"/>
        <v>0</v>
      </c>
      <c r="N628" s="274"/>
    </row>
    <row r="629" spans="5:14" ht="13.5" customHeight="1">
      <c r="E629" s="209" t="s">
        <v>982</v>
      </c>
      <c r="F629" s="209" t="s">
        <v>2449</v>
      </c>
      <c r="G629" s="414" t="str">
        <f t="shared" si="8"/>
        <v>11-26</v>
      </c>
      <c r="H629" s="273" t="e">
        <f ca="1">_xludf.IFNA(VLOOKUP(Aragon!E629,'Kilter Holds'!$P$37:$AB$662,11,0),0)</f>
        <v>#NAME?</v>
      </c>
      <c r="I629" s="274"/>
      <c r="J629" s="274" t="e">
        <f t="shared" ca="1" si="6"/>
        <v>#NAME?</v>
      </c>
      <c r="K629" s="274">
        <f t="shared" si="7"/>
        <v>0</v>
      </c>
      <c r="N629" s="274"/>
    </row>
    <row r="630" spans="5:14" ht="13.5" customHeight="1">
      <c r="E630" s="209" t="s">
        <v>982</v>
      </c>
      <c r="F630" s="209" t="s">
        <v>2449</v>
      </c>
      <c r="G630" s="415" t="str">
        <f t="shared" si="8"/>
        <v>18-01</v>
      </c>
      <c r="H630" s="273" t="e">
        <f ca="1">_xludf.IFNA(VLOOKUP(Aragon!E630,'Kilter Holds'!$P$37:$AB$662,12,0),0)</f>
        <v>#NAME?</v>
      </c>
      <c r="I630" s="274"/>
      <c r="J630" s="274" t="e">
        <f t="shared" ca="1" si="6"/>
        <v>#NAME?</v>
      </c>
      <c r="K630" s="274">
        <f t="shared" si="7"/>
        <v>0</v>
      </c>
      <c r="N630" s="274"/>
    </row>
    <row r="631" spans="5:14" ht="13.5" customHeight="1">
      <c r="E631" s="209" t="s">
        <v>982</v>
      </c>
      <c r="F631" s="209" t="s">
        <v>2449</v>
      </c>
      <c r="G631" s="416" t="str">
        <f t="shared" si="8"/>
        <v>Color Code</v>
      </c>
      <c r="H631" s="273" t="e">
        <f ca="1">_xludf.IFNA(VLOOKUP(Aragon!E631,'Kilter Holds'!$P$37:$AB$662,13,0),0)</f>
        <v>#NAME?</v>
      </c>
      <c r="I631" s="274"/>
      <c r="J631" s="274" t="e">
        <f t="shared" ca="1" si="6"/>
        <v>#NAME?</v>
      </c>
      <c r="K631" s="274">
        <f t="shared" si="7"/>
        <v>0</v>
      </c>
      <c r="N631" s="274"/>
    </row>
    <row r="632" spans="5:14" ht="13.5" customHeight="1">
      <c r="E632" s="209" t="s">
        <v>956</v>
      </c>
      <c r="F632" s="209" t="s">
        <v>2450</v>
      </c>
      <c r="G632" s="406" t="str">
        <f t="shared" si="8"/>
        <v>11-12</v>
      </c>
      <c r="H632" s="273" t="e">
        <f ca="1">_xludf.IFNA(VLOOKUP(Aragon!E632,'Kilter Holds'!$P$37:$AB$662,5,0),0)</f>
        <v>#NAME?</v>
      </c>
      <c r="I632" s="274"/>
      <c r="J632" s="274" t="e">
        <f t="shared" ca="1" si="6"/>
        <v>#NAME?</v>
      </c>
      <c r="K632" s="274">
        <f t="shared" si="7"/>
        <v>0</v>
      </c>
      <c r="N632" s="274"/>
    </row>
    <row r="633" spans="5:14" ht="13.5" customHeight="1">
      <c r="E633" s="209" t="s">
        <v>956</v>
      </c>
      <c r="F633" s="209" t="s">
        <v>2450</v>
      </c>
      <c r="G633" s="408" t="str">
        <f t="shared" si="8"/>
        <v>14-01</v>
      </c>
      <c r="H633" s="273" t="e">
        <f ca="1">_xludf.IFNA(VLOOKUP(Aragon!E633,'Kilter Holds'!$P$37:$AB$662,6,0),0)</f>
        <v>#NAME?</v>
      </c>
      <c r="I633" s="274"/>
      <c r="J633" s="274" t="e">
        <f t="shared" ca="1" si="6"/>
        <v>#NAME?</v>
      </c>
      <c r="K633" s="274">
        <f t="shared" si="7"/>
        <v>0</v>
      </c>
      <c r="N633" s="274"/>
    </row>
    <row r="634" spans="5:14" ht="13.5" customHeight="1">
      <c r="E634" s="209" t="s">
        <v>956</v>
      </c>
      <c r="F634" s="209" t="s">
        <v>2450</v>
      </c>
      <c r="G634" s="409" t="str">
        <f t="shared" si="8"/>
        <v>15-12</v>
      </c>
      <c r="H634" s="273" t="e">
        <f ca="1">_xludf.IFNA(VLOOKUP(Aragon!E634,'Kilter Holds'!$P$37:$AB$662,7,0),0)</f>
        <v>#NAME?</v>
      </c>
      <c r="I634" s="274"/>
      <c r="J634" s="274" t="e">
        <f t="shared" ca="1" si="6"/>
        <v>#NAME?</v>
      </c>
      <c r="K634" s="274">
        <f t="shared" si="7"/>
        <v>0</v>
      </c>
      <c r="N634" s="274"/>
    </row>
    <row r="635" spans="5:14" ht="13.5" customHeight="1">
      <c r="E635" s="209" t="s">
        <v>956</v>
      </c>
      <c r="F635" s="209" t="s">
        <v>2450</v>
      </c>
      <c r="G635" s="410" t="str">
        <f t="shared" si="8"/>
        <v>16-16</v>
      </c>
      <c r="H635" s="273" t="e">
        <f ca="1">_xludf.IFNA(VLOOKUP(Aragon!E635,'Kilter Holds'!$P$37:$AB$662,8,0),0)</f>
        <v>#NAME?</v>
      </c>
      <c r="I635" s="274"/>
      <c r="J635" s="274" t="e">
        <f t="shared" ca="1" si="6"/>
        <v>#NAME?</v>
      </c>
      <c r="K635" s="274">
        <f t="shared" si="7"/>
        <v>0</v>
      </c>
      <c r="N635" s="274"/>
    </row>
    <row r="636" spans="5:14" ht="13.5" customHeight="1">
      <c r="E636" s="209" t="s">
        <v>956</v>
      </c>
      <c r="F636" s="209" t="s">
        <v>2450</v>
      </c>
      <c r="G636" s="411" t="str">
        <f t="shared" si="8"/>
        <v>13-01</v>
      </c>
      <c r="H636" s="273" t="e">
        <f ca="1">_xludf.IFNA(VLOOKUP(Aragon!E636,'Kilter Holds'!$P$37:$AB$662,9,0),0)</f>
        <v>#NAME?</v>
      </c>
      <c r="I636" s="274"/>
      <c r="J636" s="274" t="e">
        <f t="shared" ca="1" si="6"/>
        <v>#NAME?</v>
      </c>
      <c r="K636" s="274">
        <f t="shared" si="7"/>
        <v>0</v>
      </c>
      <c r="N636" s="274"/>
    </row>
    <row r="637" spans="5:14" ht="13.5" customHeight="1">
      <c r="E637" s="209" t="s">
        <v>956</v>
      </c>
      <c r="F637" s="209" t="s">
        <v>2450</v>
      </c>
      <c r="G637" s="413" t="str">
        <f t="shared" si="8"/>
        <v>07-13</v>
      </c>
      <c r="H637" s="273" t="e">
        <f ca="1">_xludf.IFNA(VLOOKUP(Aragon!E637,'Kilter Holds'!$P$37:$AB$662,10,0),0)</f>
        <v>#NAME?</v>
      </c>
      <c r="I637" s="274"/>
      <c r="J637" s="274" t="e">
        <f t="shared" ca="1" si="6"/>
        <v>#NAME?</v>
      </c>
      <c r="K637" s="274">
        <f t="shared" si="7"/>
        <v>0</v>
      </c>
      <c r="N637" s="274"/>
    </row>
    <row r="638" spans="5:14" ht="13.5" customHeight="1">
      <c r="E638" s="209" t="s">
        <v>956</v>
      </c>
      <c r="F638" s="209" t="s">
        <v>2450</v>
      </c>
      <c r="G638" s="414" t="str">
        <f t="shared" si="8"/>
        <v>11-26</v>
      </c>
      <c r="H638" s="273" t="e">
        <f ca="1">_xludf.IFNA(VLOOKUP(Aragon!E638,'Kilter Holds'!$P$37:$AB$662,11,0),0)</f>
        <v>#NAME?</v>
      </c>
      <c r="I638" s="274"/>
      <c r="J638" s="274" t="e">
        <f t="shared" ca="1" si="6"/>
        <v>#NAME?</v>
      </c>
      <c r="K638" s="274">
        <f t="shared" si="7"/>
        <v>0</v>
      </c>
      <c r="N638" s="274"/>
    </row>
    <row r="639" spans="5:14" ht="13.5" customHeight="1">
      <c r="E639" s="209" t="s">
        <v>956</v>
      </c>
      <c r="F639" s="209" t="s">
        <v>2450</v>
      </c>
      <c r="G639" s="415" t="str">
        <f t="shared" si="8"/>
        <v>18-01</v>
      </c>
      <c r="H639" s="273" t="e">
        <f ca="1">_xludf.IFNA(VLOOKUP(Aragon!E639,'Kilter Holds'!$P$37:$AB$662,12,0),0)</f>
        <v>#NAME?</v>
      </c>
      <c r="I639" s="274"/>
      <c r="J639" s="274" t="e">
        <f t="shared" ca="1" si="6"/>
        <v>#NAME?</v>
      </c>
      <c r="K639" s="274">
        <f t="shared" si="7"/>
        <v>0</v>
      </c>
      <c r="N639" s="274"/>
    </row>
    <row r="640" spans="5:14" ht="13.5" customHeight="1">
      <c r="E640" s="209" t="s">
        <v>956</v>
      </c>
      <c r="F640" s="209" t="s">
        <v>2450</v>
      </c>
      <c r="G640" s="416" t="str">
        <f t="shared" si="8"/>
        <v>Color Code</v>
      </c>
      <c r="H640" s="273" t="e">
        <f ca="1">_xludf.IFNA(VLOOKUP(Aragon!E640,'Kilter Holds'!$P$37:$AB$662,13,0),0)</f>
        <v>#NAME?</v>
      </c>
      <c r="I640" s="274"/>
      <c r="J640" s="274" t="e">
        <f t="shared" ca="1" si="6"/>
        <v>#NAME?</v>
      </c>
      <c r="K640" s="274">
        <f t="shared" si="7"/>
        <v>0</v>
      </c>
      <c r="N640" s="274"/>
    </row>
    <row r="641" spans="5:14" ht="13.5" customHeight="1">
      <c r="E641" s="209" t="s">
        <v>233</v>
      </c>
      <c r="F641" s="209" t="s">
        <v>2451</v>
      </c>
      <c r="G641" s="406" t="str">
        <f t="shared" si="8"/>
        <v>11-12</v>
      </c>
      <c r="H641" s="273" t="e">
        <f ca="1">_xludf.IFNA(VLOOKUP(Aragon!E641,'Kilter Holds'!$P$37:$AB$662,5,0),0)</f>
        <v>#NAME?</v>
      </c>
      <c r="I641" s="274"/>
      <c r="J641" s="274" t="e">
        <f t="shared" ca="1" si="6"/>
        <v>#NAME?</v>
      </c>
      <c r="K641" s="274">
        <f t="shared" si="7"/>
        <v>0</v>
      </c>
      <c r="N641" s="274"/>
    </row>
    <row r="642" spans="5:14" ht="13.5" customHeight="1">
      <c r="E642" s="209" t="s">
        <v>233</v>
      </c>
      <c r="F642" s="209" t="s">
        <v>2451</v>
      </c>
      <c r="G642" s="408" t="str">
        <f t="shared" si="8"/>
        <v>14-01</v>
      </c>
      <c r="H642" s="273" t="e">
        <f ca="1">_xludf.IFNA(VLOOKUP(Aragon!E642,'Kilter Holds'!$P$37:$AB$662,6,0),0)</f>
        <v>#NAME?</v>
      </c>
      <c r="I642" s="274"/>
      <c r="J642" s="274" t="e">
        <f t="shared" ca="1" si="6"/>
        <v>#NAME?</v>
      </c>
      <c r="K642" s="274">
        <f t="shared" si="7"/>
        <v>0</v>
      </c>
      <c r="N642" s="274"/>
    </row>
    <row r="643" spans="5:14" ht="13.5" customHeight="1">
      <c r="E643" s="209" t="s">
        <v>233</v>
      </c>
      <c r="F643" s="209" t="s">
        <v>2451</v>
      </c>
      <c r="G643" s="409" t="str">
        <f t="shared" si="8"/>
        <v>15-12</v>
      </c>
      <c r="H643" s="273" t="e">
        <f ca="1">_xludf.IFNA(VLOOKUP(Aragon!E643,'Kilter Holds'!$P$37:$AB$662,7,0),0)</f>
        <v>#NAME?</v>
      </c>
      <c r="I643" s="274"/>
      <c r="J643" s="274" t="e">
        <f t="shared" ca="1" si="6"/>
        <v>#NAME?</v>
      </c>
      <c r="K643" s="274">
        <f t="shared" si="7"/>
        <v>0</v>
      </c>
      <c r="N643" s="274"/>
    </row>
    <row r="644" spans="5:14" ht="13.5" customHeight="1">
      <c r="E644" s="209" t="s">
        <v>233</v>
      </c>
      <c r="F644" s="209" t="s">
        <v>2451</v>
      </c>
      <c r="G644" s="410" t="str">
        <f t="shared" si="8"/>
        <v>16-16</v>
      </c>
      <c r="H644" s="273" t="e">
        <f ca="1">_xludf.IFNA(VLOOKUP(Aragon!E644,'Kilter Holds'!$P$37:$AB$662,8,0),0)</f>
        <v>#NAME?</v>
      </c>
      <c r="I644" s="274"/>
      <c r="J644" s="274" t="e">
        <f t="shared" ca="1" si="6"/>
        <v>#NAME?</v>
      </c>
      <c r="K644" s="274">
        <f t="shared" si="7"/>
        <v>0</v>
      </c>
      <c r="N644" s="274"/>
    </row>
    <row r="645" spans="5:14" ht="13.5" customHeight="1">
      <c r="E645" s="209" t="s">
        <v>233</v>
      </c>
      <c r="F645" s="209" t="s">
        <v>2451</v>
      </c>
      <c r="G645" s="411" t="str">
        <f t="shared" si="8"/>
        <v>13-01</v>
      </c>
      <c r="H645" s="273" t="e">
        <f ca="1">_xludf.IFNA(VLOOKUP(Aragon!E645,'Kilter Holds'!$P$37:$AB$662,9,0),0)</f>
        <v>#NAME?</v>
      </c>
      <c r="I645" s="274"/>
      <c r="J645" s="274" t="e">
        <f t="shared" ca="1" si="6"/>
        <v>#NAME?</v>
      </c>
      <c r="K645" s="274">
        <f t="shared" si="7"/>
        <v>0</v>
      </c>
      <c r="N645" s="274"/>
    </row>
    <row r="646" spans="5:14" ht="13.5" customHeight="1">
      <c r="E646" s="209" t="s">
        <v>233</v>
      </c>
      <c r="F646" s="209" t="s">
        <v>2451</v>
      </c>
      <c r="G646" s="413" t="str">
        <f t="shared" si="8"/>
        <v>07-13</v>
      </c>
      <c r="H646" s="273" t="e">
        <f ca="1">_xludf.IFNA(VLOOKUP(Aragon!E646,'Kilter Holds'!$P$37:$AB$662,10,0),0)</f>
        <v>#NAME?</v>
      </c>
      <c r="I646" s="274"/>
      <c r="J646" s="274" t="e">
        <f t="shared" ca="1" si="6"/>
        <v>#NAME?</v>
      </c>
      <c r="K646" s="274">
        <f t="shared" si="7"/>
        <v>0</v>
      </c>
      <c r="N646" s="274"/>
    </row>
    <row r="647" spans="5:14" ht="13.5" customHeight="1">
      <c r="E647" s="209" t="s">
        <v>233</v>
      </c>
      <c r="F647" s="209" t="s">
        <v>2451</v>
      </c>
      <c r="G647" s="414" t="str">
        <f t="shared" si="8"/>
        <v>11-26</v>
      </c>
      <c r="H647" s="273" t="e">
        <f ca="1">_xludf.IFNA(VLOOKUP(Aragon!E647,'Kilter Holds'!$P$37:$AB$662,11,0),0)</f>
        <v>#NAME?</v>
      </c>
      <c r="I647" s="274"/>
      <c r="J647" s="274" t="e">
        <f t="shared" ca="1" si="6"/>
        <v>#NAME?</v>
      </c>
      <c r="K647" s="274">
        <f t="shared" si="7"/>
        <v>0</v>
      </c>
      <c r="N647" s="274"/>
    </row>
    <row r="648" spans="5:14" ht="13.5" customHeight="1">
      <c r="E648" s="209" t="s">
        <v>233</v>
      </c>
      <c r="F648" s="209" t="s">
        <v>2451</v>
      </c>
      <c r="G648" s="415" t="str">
        <f t="shared" si="8"/>
        <v>18-01</v>
      </c>
      <c r="H648" s="273" t="e">
        <f ca="1">_xludf.IFNA(VLOOKUP(Aragon!E648,'Kilter Holds'!$P$37:$AB$662,12,0),0)</f>
        <v>#NAME?</v>
      </c>
      <c r="I648" s="274"/>
      <c r="J648" s="274" t="e">
        <f t="shared" ca="1" si="6"/>
        <v>#NAME?</v>
      </c>
      <c r="K648" s="274">
        <f t="shared" si="7"/>
        <v>0</v>
      </c>
      <c r="N648" s="274"/>
    </row>
    <row r="649" spans="5:14" ht="13.5" customHeight="1">
      <c r="E649" s="209" t="s">
        <v>233</v>
      </c>
      <c r="F649" s="209" t="s">
        <v>2451</v>
      </c>
      <c r="G649" s="416" t="str">
        <f t="shared" si="8"/>
        <v>Color Code</v>
      </c>
      <c r="H649" s="273" t="e">
        <f ca="1">_xludf.IFNA(VLOOKUP(Aragon!E649,'Kilter Holds'!$P$37:$AB$662,13,0),0)</f>
        <v>#NAME?</v>
      </c>
      <c r="I649" s="274"/>
      <c r="J649" s="274" t="e">
        <f t="shared" ca="1" si="6"/>
        <v>#NAME?</v>
      </c>
      <c r="K649" s="274">
        <f t="shared" si="7"/>
        <v>0</v>
      </c>
      <c r="N649" s="274"/>
    </row>
    <row r="650" spans="5:14" ht="13.5" customHeight="1">
      <c r="E650" s="209" t="s">
        <v>906</v>
      </c>
      <c r="F650" s="209" t="s">
        <v>2452</v>
      </c>
      <c r="G650" s="406" t="str">
        <f t="shared" si="8"/>
        <v>11-12</v>
      </c>
      <c r="H650" s="273" t="e">
        <f ca="1">_xludf.IFNA(VLOOKUP(Aragon!E650,'Kilter Holds'!$P$37:$AB$662,5,0),0)</f>
        <v>#NAME?</v>
      </c>
      <c r="I650" s="274"/>
      <c r="J650" s="274" t="e">
        <f t="shared" ca="1" si="6"/>
        <v>#NAME?</v>
      </c>
      <c r="K650" s="274">
        <f t="shared" si="7"/>
        <v>0</v>
      </c>
      <c r="N650" s="274"/>
    </row>
    <row r="651" spans="5:14" ht="13.5" customHeight="1">
      <c r="E651" s="209" t="s">
        <v>906</v>
      </c>
      <c r="F651" s="209" t="s">
        <v>2452</v>
      </c>
      <c r="G651" s="408" t="str">
        <f t="shared" si="8"/>
        <v>14-01</v>
      </c>
      <c r="H651" s="273" t="e">
        <f ca="1">_xludf.IFNA(VLOOKUP(Aragon!E651,'Kilter Holds'!$P$37:$AB$662,6,0),0)</f>
        <v>#NAME?</v>
      </c>
      <c r="I651" s="274"/>
      <c r="J651" s="274" t="e">
        <f t="shared" ca="1" si="6"/>
        <v>#NAME?</v>
      </c>
      <c r="K651" s="274">
        <f t="shared" si="7"/>
        <v>0</v>
      </c>
      <c r="N651" s="274"/>
    </row>
    <row r="652" spans="5:14" ht="13.5" customHeight="1">
      <c r="E652" s="209" t="s">
        <v>906</v>
      </c>
      <c r="F652" s="209" t="s">
        <v>2452</v>
      </c>
      <c r="G652" s="409" t="str">
        <f t="shared" si="8"/>
        <v>15-12</v>
      </c>
      <c r="H652" s="273" t="e">
        <f ca="1">_xludf.IFNA(VLOOKUP(Aragon!E652,'Kilter Holds'!$P$37:$AB$662,7,0),0)</f>
        <v>#NAME?</v>
      </c>
      <c r="I652" s="274"/>
      <c r="J652" s="274" t="e">
        <f t="shared" ca="1" si="6"/>
        <v>#NAME?</v>
      </c>
      <c r="K652" s="274">
        <f t="shared" si="7"/>
        <v>0</v>
      </c>
      <c r="N652" s="274"/>
    </row>
    <row r="653" spans="5:14" ht="13.5" customHeight="1">
      <c r="E653" s="209" t="s">
        <v>906</v>
      </c>
      <c r="F653" s="209" t="s">
        <v>2452</v>
      </c>
      <c r="G653" s="410" t="str">
        <f t="shared" si="8"/>
        <v>16-16</v>
      </c>
      <c r="H653" s="273" t="e">
        <f ca="1">_xludf.IFNA(VLOOKUP(Aragon!E653,'Kilter Holds'!$P$37:$AB$662,8,0),0)</f>
        <v>#NAME?</v>
      </c>
      <c r="I653" s="274"/>
      <c r="J653" s="274" t="e">
        <f t="shared" ca="1" si="6"/>
        <v>#NAME?</v>
      </c>
      <c r="K653" s="274">
        <f t="shared" si="7"/>
        <v>0</v>
      </c>
      <c r="N653" s="274"/>
    </row>
    <row r="654" spans="5:14" ht="13.5" customHeight="1">
      <c r="E654" s="209" t="s">
        <v>906</v>
      </c>
      <c r="F654" s="209" t="s">
        <v>2452</v>
      </c>
      <c r="G654" s="411" t="str">
        <f t="shared" si="8"/>
        <v>13-01</v>
      </c>
      <c r="H654" s="273" t="e">
        <f ca="1">_xludf.IFNA(VLOOKUP(Aragon!E654,'Kilter Holds'!$P$37:$AB$662,9,0),0)</f>
        <v>#NAME?</v>
      </c>
      <c r="I654" s="274"/>
      <c r="J654" s="274" t="e">
        <f t="shared" ca="1" si="6"/>
        <v>#NAME?</v>
      </c>
      <c r="K654" s="274">
        <f t="shared" si="7"/>
        <v>0</v>
      </c>
      <c r="N654" s="274"/>
    </row>
    <row r="655" spans="5:14" ht="13.5" customHeight="1">
      <c r="E655" s="209" t="s">
        <v>906</v>
      </c>
      <c r="F655" s="209" t="s">
        <v>2452</v>
      </c>
      <c r="G655" s="413" t="str">
        <f t="shared" si="8"/>
        <v>07-13</v>
      </c>
      <c r="H655" s="273" t="e">
        <f ca="1">_xludf.IFNA(VLOOKUP(Aragon!E655,'Kilter Holds'!$P$37:$AB$662,10,0),0)</f>
        <v>#NAME?</v>
      </c>
      <c r="I655" s="274"/>
      <c r="J655" s="274" t="e">
        <f t="shared" ca="1" si="6"/>
        <v>#NAME?</v>
      </c>
      <c r="K655" s="274">
        <f t="shared" si="7"/>
        <v>0</v>
      </c>
      <c r="N655" s="274"/>
    </row>
    <row r="656" spans="5:14" ht="13.5" customHeight="1">
      <c r="E656" s="209" t="s">
        <v>906</v>
      </c>
      <c r="F656" s="209" t="s">
        <v>2452</v>
      </c>
      <c r="G656" s="414" t="str">
        <f t="shared" si="8"/>
        <v>11-26</v>
      </c>
      <c r="H656" s="273" t="e">
        <f ca="1">_xludf.IFNA(VLOOKUP(Aragon!E656,'Kilter Holds'!$P$37:$AB$662,11,0),0)</f>
        <v>#NAME?</v>
      </c>
      <c r="I656" s="274"/>
      <c r="J656" s="274" t="e">
        <f t="shared" ca="1" si="6"/>
        <v>#NAME?</v>
      </c>
      <c r="K656" s="274">
        <f t="shared" si="7"/>
        <v>0</v>
      </c>
      <c r="N656" s="274"/>
    </row>
    <row r="657" spans="5:14" ht="13.5" customHeight="1">
      <c r="E657" s="209" t="s">
        <v>906</v>
      </c>
      <c r="F657" s="209" t="s">
        <v>2452</v>
      </c>
      <c r="G657" s="415" t="str">
        <f t="shared" si="8"/>
        <v>18-01</v>
      </c>
      <c r="H657" s="273" t="e">
        <f ca="1">_xludf.IFNA(VLOOKUP(Aragon!E657,'Kilter Holds'!$P$37:$AB$662,12,0),0)</f>
        <v>#NAME?</v>
      </c>
      <c r="I657" s="274"/>
      <c r="J657" s="274" t="e">
        <f t="shared" ca="1" si="6"/>
        <v>#NAME?</v>
      </c>
      <c r="K657" s="274">
        <f t="shared" si="7"/>
        <v>0</v>
      </c>
      <c r="N657" s="274"/>
    </row>
    <row r="658" spans="5:14" ht="13.5" customHeight="1">
      <c r="E658" s="209" t="s">
        <v>906</v>
      </c>
      <c r="F658" s="209" t="s">
        <v>2452</v>
      </c>
      <c r="G658" s="416" t="str">
        <f t="shared" si="8"/>
        <v>Color Code</v>
      </c>
      <c r="H658" s="273" t="e">
        <f ca="1">_xludf.IFNA(VLOOKUP(Aragon!E658,'Kilter Holds'!$P$37:$AB$662,13,0),0)</f>
        <v>#NAME?</v>
      </c>
      <c r="I658" s="274"/>
      <c r="J658" s="274" t="e">
        <f t="shared" ca="1" si="6"/>
        <v>#NAME?</v>
      </c>
      <c r="K658" s="274">
        <f t="shared" si="7"/>
        <v>0</v>
      </c>
      <c r="N658" s="274"/>
    </row>
    <row r="659" spans="5:14" ht="13.5" customHeight="1">
      <c r="E659" s="209" t="s">
        <v>908</v>
      </c>
      <c r="F659" s="209" t="s">
        <v>2453</v>
      </c>
      <c r="G659" s="406" t="str">
        <f t="shared" si="8"/>
        <v>11-12</v>
      </c>
      <c r="H659" s="273" t="e">
        <f ca="1">_xludf.IFNA(VLOOKUP(Aragon!E659,'Kilter Holds'!$P$37:$AB$662,5,0),0)</f>
        <v>#NAME?</v>
      </c>
      <c r="I659" s="274"/>
      <c r="J659" s="274" t="e">
        <f t="shared" ca="1" si="6"/>
        <v>#NAME?</v>
      </c>
      <c r="K659" s="274">
        <f t="shared" si="7"/>
        <v>0</v>
      </c>
      <c r="N659" s="274"/>
    </row>
    <row r="660" spans="5:14" ht="13.5" customHeight="1">
      <c r="E660" s="209" t="s">
        <v>908</v>
      </c>
      <c r="F660" s="209" t="s">
        <v>2453</v>
      </c>
      <c r="G660" s="408" t="str">
        <f t="shared" si="8"/>
        <v>14-01</v>
      </c>
      <c r="H660" s="273" t="e">
        <f ca="1">_xludf.IFNA(VLOOKUP(Aragon!E660,'Kilter Holds'!$P$37:$AB$662,6,0),0)</f>
        <v>#NAME?</v>
      </c>
      <c r="I660" s="274"/>
      <c r="J660" s="274" t="e">
        <f t="shared" ca="1" si="6"/>
        <v>#NAME?</v>
      </c>
      <c r="K660" s="274">
        <f t="shared" si="7"/>
        <v>0</v>
      </c>
      <c r="N660" s="274"/>
    </row>
    <row r="661" spans="5:14" ht="13.5" customHeight="1">
      <c r="E661" s="209" t="s">
        <v>908</v>
      </c>
      <c r="F661" s="209" t="s">
        <v>2453</v>
      </c>
      <c r="G661" s="409" t="str">
        <f t="shared" si="8"/>
        <v>15-12</v>
      </c>
      <c r="H661" s="273" t="e">
        <f ca="1">_xludf.IFNA(VLOOKUP(Aragon!E661,'Kilter Holds'!$P$37:$AB$662,7,0),0)</f>
        <v>#NAME?</v>
      </c>
      <c r="I661" s="274"/>
      <c r="J661" s="274" t="e">
        <f t="shared" ca="1" si="6"/>
        <v>#NAME?</v>
      </c>
      <c r="K661" s="274">
        <f t="shared" si="7"/>
        <v>0</v>
      </c>
      <c r="N661" s="274"/>
    </row>
    <row r="662" spans="5:14" ht="13.5" customHeight="1">
      <c r="E662" s="209" t="s">
        <v>908</v>
      </c>
      <c r="F662" s="209" t="s">
        <v>2453</v>
      </c>
      <c r="G662" s="410" t="str">
        <f t="shared" si="8"/>
        <v>16-16</v>
      </c>
      <c r="H662" s="273" t="e">
        <f ca="1">_xludf.IFNA(VLOOKUP(Aragon!E662,'Kilter Holds'!$P$37:$AB$662,8,0),0)</f>
        <v>#NAME?</v>
      </c>
      <c r="I662" s="274"/>
      <c r="J662" s="274" t="e">
        <f t="shared" ca="1" si="6"/>
        <v>#NAME?</v>
      </c>
      <c r="K662" s="274">
        <f t="shared" si="7"/>
        <v>0</v>
      </c>
      <c r="N662" s="274"/>
    </row>
    <row r="663" spans="5:14" ht="13.5" customHeight="1">
      <c r="E663" s="209" t="s">
        <v>908</v>
      </c>
      <c r="F663" s="209" t="s">
        <v>2453</v>
      </c>
      <c r="G663" s="411" t="str">
        <f t="shared" si="8"/>
        <v>13-01</v>
      </c>
      <c r="H663" s="273" t="e">
        <f ca="1">_xludf.IFNA(VLOOKUP(Aragon!E663,'Kilter Holds'!$P$37:$AB$662,9,0),0)</f>
        <v>#NAME?</v>
      </c>
      <c r="I663" s="274"/>
      <c r="J663" s="274" t="e">
        <f t="shared" ca="1" si="6"/>
        <v>#NAME?</v>
      </c>
      <c r="K663" s="274">
        <f t="shared" si="7"/>
        <v>0</v>
      </c>
      <c r="N663" s="274"/>
    </row>
    <row r="664" spans="5:14" ht="13.5" customHeight="1">
      <c r="E664" s="209" t="s">
        <v>908</v>
      </c>
      <c r="F664" s="209" t="s">
        <v>2453</v>
      </c>
      <c r="G664" s="413" t="str">
        <f t="shared" si="8"/>
        <v>07-13</v>
      </c>
      <c r="H664" s="273" t="e">
        <f ca="1">_xludf.IFNA(VLOOKUP(Aragon!E664,'Kilter Holds'!$P$37:$AB$662,10,0),0)</f>
        <v>#NAME?</v>
      </c>
      <c r="I664" s="274"/>
      <c r="J664" s="274" t="e">
        <f t="shared" ca="1" si="6"/>
        <v>#NAME?</v>
      </c>
      <c r="K664" s="274">
        <f t="shared" si="7"/>
        <v>0</v>
      </c>
      <c r="N664" s="274"/>
    </row>
    <row r="665" spans="5:14" ht="13.5" customHeight="1">
      <c r="E665" s="209" t="s">
        <v>908</v>
      </c>
      <c r="F665" s="209" t="s">
        <v>2453</v>
      </c>
      <c r="G665" s="414" t="str">
        <f t="shared" si="8"/>
        <v>11-26</v>
      </c>
      <c r="H665" s="273" t="e">
        <f ca="1">_xludf.IFNA(VLOOKUP(Aragon!E665,'Kilter Holds'!$P$37:$AB$662,11,0),0)</f>
        <v>#NAME?</v>
      </c>
      <c r="I665" s="274"/>
      <c r="J665" s="274" t="e">
        <f t="shared" ca="1" si="6"/>
        <v>#NAME?</v>
      </c>
      <c r="K665" s="274">
        <f t="shared" si="7"/>
        <v>0</v>
      </c>
      <c r="N665" s="274"/>
    </row>
    <row r="666" spans="5:14" ht="13.5" customHeight="1">
      <c r="E666" s="209" t="s">
        <v>908</v>
      </c>
      <c r="F666" s="209" t="s">
        <v>2453</v>
      </c>
      <c r="G666" s="415" t="str">
        <f t="shared" si="8"/>
        <v>18-01</v>
      </c>
      <c r="H666" s="273" t="e">
        <f ca="1">_xludf.IFNA(VLOOKUP(Aragon!E666,'Kilter Holds'!$P$37:$AB$662,12,0),0)</f>
        <v>#NAME?</v>
      </c>
      <c r="I666" s="274"/>
      <c r="J666" s="274" t="e">
        <f t="shared" ca="1" si="6"/>
        <v>#NAME?</v>
      </c>
      <c r="K666" s="274">
        <f t="shared" si="7"/>
        <v>0</v>
      </c>
      <c r="N666" s="274"/>
    </row>
    <row r="667" spans="5:14" ht="13.5" customHeight="1">
      <c r="E667" s="209" t="s">
        <v>908</v>
      </c>
      <c r="F667" s="209" t="s">
        <v>2453</v>
      </c>
      <c r="G667" s="416" t="str">
        <f t="shared" si="8"/>
        <v>Color Code</v>
      </c>
      <c r="H667" s="273" t="e">
        <f ca="1">_xludf.IFNA(VLOOKUP(Aragon!E667,'Kilter Holds'!$P$37:$AB$662,13,0),0)</f>
        <v>#NAME?</v>
      </c>
      <c r="I667" s="274"/>
      <c r="J667" s="274" t="e">
        <f t="shared" ca="1" si="6"/>
        <v>#NAME?</v>
      </c>
      <c r="K667" s="274">
        <f t="shared" si="7"/>
        <v>0</v>
      </c>
      <c r="N667" s="274"/>
    </row>
    <row r="668" spans="5:14" ht="13.5" customHeight="1">
      <c r="E668" s="209" t="s">
        <v>910</v>
      </c>
      <c r="F668" s="209" t="s">
        <v>2454</v>
      </c>
      <c r="G668" s="406" t="str">
        <f t="shared" si="8"/>
        <v>11-12</v>
      </c>
      <c r="H668" s="273" t="e">
        <f ca="1">_xludf.IFNA(VLOOKUP(Aragon!E668,'Kilter Holds'!$P$37:$AB$662,5,0),0)</f>
        <v>#NAME?</v>
      </c>
      <c r="I668" s="274"/>
      <c r="J668" s="274" t="e">
        <f t="shared" ca="1" si="6"/>
        <v>#NAME?</v>
      </c>
      <c r="K668" s="274">
        <f t="shared" si="7"/>
        <v>0</v>
      </c>
      <c r="N668" s="274"/>
    </row>
    <row r="669" spans="5:14" ht="13.5" customHeight="1">
      <c r="E669" s="209" t="s">
        <v>910</v>
      </c>
      <c r="F669" s="209" t="s">
        <v>2454</v>
      </c>
      <c r="G669" s="408" t="str">
        <f t="shared" si="8"/>
        <v>14-01</v>
      </c>
      <c r="H669" s="273" t="e">
        <f ca="1">_xludf.IFNA(VLOOKUP(Aragon!E669,'Kilter Holds'!$P$37:$AB$662,6,0),0)</f>
        <v>#NAME?</v>
      </c>
      <c r="I669" s="274"/>
      <c r="J669" s="274" t="e">
        <f t="shared" ca="1" si="6"/>
        <v>#NAME?</v>
      </c>
      <c r="K669" s="274">
        <f t="shared" si="7"/>
        <v>0</v>
      </c>
      <c r="N669" s="274"/>
    </row>
    <row r="670" spans="5:14" ht="13.5" customHeight="1">
      <c r="E670" s="209" t="s">
        <v>910</v>
      </c>
      <c r="F670" s="209" t="s">
        <v>2454</v>
      </c>
      <c r="G670" s="409" t="str">
        <f t="shared" si="8"/>
        <v>15-12</v>
      </c>
      <c r="H670" s="273" t="e">
        <f ca="1">_xludf.IFNA(VLOOKUP(Aragon!E670,'Kilter Holds'!$P$37:$AB$662,7,0),0)</f>
        <v>#NAME?</v>
      </c>
      <c r="I670" s="274"/>
      <c r="J670" s="274" t="e">
        <f t="shared" ca="1" si="6"/>
        <v>#NAME?</v>
      </c>
      <c r="K670" s="274">
        <f t="shared" si="7"/>
        <v>0</v>
      </c>
      <c r="N670" s="274"/>
    </row>
    <row r="671" spans="5:14" ht="13.5" customHeight="1">
      <c r="E671" s="209" t="s">
        <v>910</v>
      </c>
      <c r="F671" s="209" t="s">
        <v>2454</v>
      </c>
      <c r="G671" s="410" t="str">
        <f t="shared" si="8"/>
        <v>16-16</v>
      </c>
      <c r="H671" s="273" t="e">
        <f ca="1">_xludf.IFNA(VLOOKUP(Aragon!E671,'Kilter Holds'!$P$37:$AB$662,8,0),0)</f>
        <v>#NAME?</v>
      </c>
      <c r="I671" s="274"/>
      <c r="J671" s="274" t="e">
        <f t="shared" ca="1" si="6"/>
        <v>#NAME?</v>
      </c>
      <c r="K671" s="274">
        <f t="shared" si="7"/>
        <v>0</v>
      </c>
      <c r="N671" s="274"/>
    </row>
    <row r="672" spans="5:14" ht="13.5" customHeight="1">
      <c r="E672" s="209" t="s">
        <v>910</v>
      </c>
      <c r="F672" s="209" t="s">
        <v>2454</v>
      </c>
      <c r="G672" s="411" t="str">
        <f t="shared" si="8"/>
        <v>13-01</v>
      </c>
      <c r="H672" s="273" t="e">
        <f ca="1">_xludf.IFNA(VLOOKUP(Aragon!E672,'Kilter Holds'!$P$37:$AB$662,9,0),0)</f>
        <v>#NAME?</v>
      </c>
      <c r="I672" s="274"/>
      <c r="J672" s="274" t="e">
        <f t="shared" ca="1" si="6"/>
        <v>#NAME?</v>
      </c>
      <c r="K672" s="274">
        <f t="shared" si="7"/>
        <v>0</v>
      </c>
      <c r="N672" s="274"/>
    </row>
    <row r="673" spans="5:14" ht="13.5" customHeight="1">
      <c r="E673" s="209" t="s">
        <v>910</v>
      </c>
      <c r="F673" s="209" t="s">
        <v>2454</v>
      </c>
      <c r="G673" s="413" t="str">
        <f t="shared" si="8"/>
        <v>07-13</v>
      </c>
      <c r="H673" s="273" t="e">
        <f ca="1">_xludf.IFNA(VLOOKUP(Aragon!E673,'Kilter Holds'!$P$37:$AB$662,10,0),0)</f>
        <v>#NAME?</v>
      </c>
      <c r="I673" s="274"/>
      <c r="J673" s="274" t="e">
        <f t="shared" ca="1" si="6"/>
        <v>#NAME?</v>
      </c>
      <c r="K673" s="274">
        <f t="shared" si="7"/>
        <v>0</v>
      </c>
      <c r="N673" s="274"/>
    </row>
    <row r="674" spans="5:14" ht="13.5" customHeight="1">
      <c r="E674" s="209" t="s">
        <v>910</v>
      </c>
      <c r="F674" s="209" t="s">
        <v>2454</v>
      </c>
      <c r="G674" s="414" t="str">
        <f t="shared" si="8"/>
        <v>11-26</v>
      </c>
      <c r="H674" s="273" t="e">
        <f ca="1">_xludf.IFNA(VLOOKUP(Aragon!E674,'Kilter Holds'!$P$37:$AB$662,11,0),0)</f>
        <v>#NAME?</v>
      </c>
      <c r="I674" s="274"/>
      <c r="J674" s="274" t="e">
        <f t="shared" ca="1" si="6"/>
        <v>#NAME?</v>
      </c>
      <c r="K674" s="274">
        <f t="shared" si="7"/>
        <v>0</v>
      </c>
      <c r="N674" s="274"/>
    </row>
    <row r="675" spans="5:14" ht="13.5" customHeight="1">
      <c r="E675" s="209" t="s">
        <v>910</v>
      </c>
      <c r="F675" s="209" t="s">
        <v>2454</v>
      </c>
      <c r="G675" s="415" t="str">
        <f t="shared" si="8"/>
        <v>18-01</v>
      </c>
      <c r="H675" s="273" t="e">
        <f ca="1">_xludf.IFNA(VLOOKUP(Aragon!E675,'Kilter Holds'!$P$37:$AB$662,12,0),0)</f>
        <v>#NAME?</v>
      </c>
      <c r="I675" s="274"/>
      <c r="J675" s="274" t="e">
        <f t="shared" ca="1" si="6"/>
        <v>#NAME?</v>
      </c>
      <c r="K675" s="274">
        <f t="shared" si="7"/>
        <v>0</v>
      </c>
      <c r="N675" s="274"/>
    </row>
    <row r="676" spans="5:14" ht="13.5" customHeight="1">
      <c r="E676" s="209" t="s">
        <v>910</v>
      </c>
      <c r="F676" s="209" t="s">
        <v>2454</v>
      </c>
      <c r="G676" s="416" t="str">
        <f t="shared" si="8"/>
        <v>Color Code</v>
      </c>
      <c r="H676" s="273" t="e">
        <f ca="1">_xludf.IFNA(VLOOKUP(Aragon!E676,'Kilter Holds'!$P$37:$AB$662,13,0),0)</f>
        <v>#NAME?</v>
      </c>
      <c r="I676" s="274"/>
      <c r="J676" s="274" t="e">
        <f t="shared" ca="1" si="6"/>
        <v>#NAME?</v>
      </c>
      <c r="K676" s="274">
        <f t="shared" si="7"/>
        <v>0</v>
      </c>
      <c r="N676" s="274"/>
    </row>
    <row r="677" spans="5:14" ht="13.5" customHeight="1">
      <c r="E677" s="209" t="s">
        <v>912</v>
      </c>
      <c r="F677" s="209" t="s">
        <v>2455</v>
      </c>
      <c r="G677" s="406" t="str">
        <f t="shared" si="8"/>
        <v>11-12</v>
      </c>
      <c r="H677" s="273" t="e">
        <f ca="1">_xludf.IFNA(VLOOKUP(Aragon!E677,'Kilter Holds'!$P$37:$AB$662,5,0),0)</f>
        <v>#NAME?</v>
      </c>
      <c r="I677" s="274"/>
      <c r="J677" s="274" t="e">
        <f t="shared" ca="1" si="6"/>
        <v>#NAME?</v>
      </c>
      <c r="K677" s="274">
        <f t="shared" si="7"/>
        <v>0</v>
      </c>
      <c r="N677" s="274"/>
    </row>
    <row r="678" spans="5:14" ht="13.5" customHeight="1">
      <c r="E678" s="209" t="s">
        <v>912</v>
      </c>
      <c r="F678" s="209" t="s">
        <v>2455</v>
      </c>
      <c r="G678" s="408" t="str">
        <f t="shared" si="8"/>
        <v>14-01</v>
      </c>
      <c r="H678" s="273" t="e">
        <f ca="1">_xludf.IFNA(VLOOKUP(Aragon!E678,'Kilter Holds'!$P$37:$AB$662,6,0),0)</f>
        <v>#NAME?</v>
      </c>
      <c r="I678" s="274"/>
      <c r="J678" s="274" t="e">
        <f t="shared" ca="1" si="6"/>
        <v>#NAME?</v>
      </c>
      <c r="K678" s="274">
        <f t="shared" si="7"/>
        <v>0</v>
      </c>
      <c r="N678" s="274"/>
    </row>
    <row r="679" spans="5:14" ht="13.5" customHeight="1">
      <c r="E679" s="209" t="s">
        <v>912</v>
      </c>
      <c r="F679" s="209" t="s">
        <v>2455</v>
      </c>
      <c r="G679" s="409" t="str">
        <f t="shared" si="8"/>
        <v>15-12</v>
      </c>
      <c r="H679" s="273" t="e">
        <f ca="1">_xludf.IFNA(VLOOKUP(Aragon!E679,'Kilter Holds'!$P$37:$AB$662,7,0),0)</f>
        <v>#NAME?</v>
      </c>
      <c r="I679" s="274"/>
      <c r="J679" s="274" t="e">
        <f t="shared" ca="1" si="6"/>
        <v>#NAME?</v>
      </c>
      <c r="K679" s="274">
        <f t="shared" si="7"/>
        <v>0</v>
      </c>
      <c r="N679" s="274"/>
    </row>
    <row r="680" spans="5:14" ht="13.5" customHeight="1">
      <c r="E680" s="209" t="s">
        <v>912</v>
      </c>
      <c r="F680" s="209" t="s">
        <v>2455</v>
      </c>
      <c r="G680" s="410" t="str">
        <f t="shared" si="8"/>
        <v>16-16</v>
      </c>
      <c r="H680" s="273" t="e">
        <f ca="1">_xludf.IFNA(VLOOKUP(Aragon!E680,'Kilter Holds'!$P$37:$AB$662,8,0),0)</f>
        <v>#NAME?</v>
      </c>
      <c r="I680" s="274"/>
      <c r="J680" s="274" t="e">
        <f t="shared" ca="1" si="6"/>
        <v>#NAME?</v>
      </c>
      <c r="K680" s="274">
        <f t="shared" si="7"/>
        <v>0</v>
      </c>
      <c r="N680" s="274"/>
    </row>
    <row r="681" spans="5:14" ht="13.5" customHeight="1">
      <c r="E681" s="209" t="s">
        <v>912</v>
      </c>
      <c r="F681" s="209" t="s">
        <v>2455</v>
      </c>
      <c r="G681" s="411" t="str">
        <f t="shared" si="8"/>
        <v>13-01</v>
      </c>
      <c r="H681" s="273" t="e">
        <f ca="1">_xludf.IFNA(VLOOKUP(Aragon!E681,'Kilter Holds'!$P$37:$AB$662,9,0),0)</f>
        <v>#NAME?</v>
      </c>
      <c r="I681" s="274"/>
      <c r="J681" s="274" t="e">
        <f t="shared" ca="1" si="6"/>
        <v>#NAME?</v>
      </c>
      <c r="K681" s="274">
        <f t="shared" si="7"/>
        <v>0</v>
      </c>
      <c r="N681" s="274"/>
    </row>
    <row r="682" spans="5:14" ht="13.5" customHeight="1">
      <c r="E682" s="209" t="s">
        <v>912</v>
      </c>
      <c r="F682" s="209" t="s">
        <v>2455</v>
      </c>
      <c r="G682" s="413" t="str">
        <f t="shared" si="8"/>
        <v>07-13</v>
      </c>
      <c r="H682" s="273" t="e">
        <f ca="1">_xludf.IFNA(VLOOKUP(Aragon!E682,'Kilter Holds'!$P$37:$AB$662,10,0),0)</f>
        <v>#NAME?</v>
      </c>
      <c r="I682" s="274"/>
      <c r="J682" s="274" t="e">
        <f t="shared" ca="1" si="6"/>
        <v>#NAME?</v>
      </c>
      <c r="K682" s="274">
        <f t="shared" si="7"/>
        <v>0</v>
      </c>
      <c r="N682" s="274"/>
    </row>
    <row r="683" spans="5:14" ht="13.5" customHeight="1">
      <c r="E683" s="209" t="s">
        <v>912</v>
      </c>
      <c r="F683" s="209" t="s">
        <v>2455</v>
      </c>
      <c r="G683" s="414" t="str">
        <f t="shared" si="8"/>
        <v>11-26</v>
      </c>
      <c r="H683" s="273" t="e">
        <f ca="1">_xludf.IFNA(VLOOKUP(Aragon!E683,'Kilter Holds'!$P$37:$AB$662,11,0),0)</f>
        <v>#NAME?</v>
      </c>
      <c r="I683" s="274"/>
      <c r="J683" s="274" t="e">
        <f t="shared" ca="1" si="6"/>
        <v>#NAME?</v>
      </c>
      <c r="K683" s="274">
        <f t="shared" si="7"/>
        <v>0</v>
      </c>
      <c r="N683" s="274"/>
    </row>
    <row r="684" spans="5:14" ht="13.5" customHeight="1">
      <c r="E684" s="209" t="s">
        <v>912</v>
      </c>
      <c r="F684" s="209" t="s">
        <v>2455</v>
      </c>
      <c r="G684" s="415" t="str">
        <f t="shared" si="8"/>
        <v>18-01</v>
      </c>
      <c r="H684" s="273" t="e">
        <f ca="1">_xludf.IFNA(VLOOKUP(Aragon!E684,'Kilter Holds'!$P$37:$AB$662,12,0),0)</f>
        <v>#NAME?</v>
      </c>
      <c r="I684" s="274"/>
      <c r="J684" s="274" t="e">
        <f t="shared" ca="1" si="6"/>
        <v>#NAME?</v>
      </c>
      <c r="K684" s="274">
        <f t="shared" si="7"/>
        <v>0</v>
      </c>
      <c r="N684" s="274"/>
    </row>
    <row r="685" spans="5:14" ht="13.5" customHeight="1">
      <c r="E685" s="209" t="s">
        <v>912</v>
      </c>
      <c r="F685" s="209" t="s">
        <v>2455</v>
      </c>
      <c r="G685" s="416" t="str">
        <f t="shared" si="8"/>
        <v>Color Code</v>
      </c>
      <c r="H685" s="273" t="e">
        <f ca="1">_xludf.IFNA(VLOOKUP(Aragon!E685,'Kilter Holds'!$P$37:$AB$662,13,0),0)</f>
        <v>#NAME?</v>
      </c>
      <c r="I685" s="274"/>
      <c r="J685" s="274" t="e">
        <f t="shared" ca="1" si="6"/>
        <v>#NAME?</v>
      </c>
      <c r="K685" s="274">
        <f t="shared" si="7"/>
        <v>0</v>
      </c>
      <c r="N685" s="274"/>
    </row>
    <row r="686" spans="5:14" ht="13.5" customHeight="1">
      <c r="E686" s="209" t="s">
        <v>914</v>
      </c>
      <c r="F686" s="209" t="s">
        <v>2456</v>
      </c>
      <c r="G686" s="406" t="str">
        <f t="shared" si="8"/>
        <v>11-12</v>
      </c>
      <c r="H686" s="273" t="e">
        <f ca="1">_xludf.IFNA(VLOOKUP(Aragon!E686,'Kilter Holds'!$P$37:$AB$662,5,0),0)</f>
        <v>#NAME?</v>
      </c>
      <c r="I686" s="274"/>
      <c r="J686" s="274" t="e">
        <f t="shared" ca="1" si="6"/>
        <v>#NAME?</v>
      </c>
      <c r="K686" s="274">
        <f t="shared" si="7"/>
        <v>0</v>
      </c>
      <c r="N686" s="274"/>
    </row>
    <row r="687" spans="5:14" ht="13.5" customHeight="1">
      <c r="E687" s="209" t="s">
        <v>914</v>
      </c>
      <c r="F687" s="209" t="s">
        <v>2456</v>
      </c>
      <c r="G687" s="408" t="str">
        <f t="shared" si="8"/>
        <v>14-01</v>
      </c>
      <c r="H687" s="273" t="e">
        <f ca="1">_xludf.IFNA(VLOOKUP(Aragon!E687,'Kilter Holds'!$P$37:$AB$662,6,0),0)</f>
        <v>#NAME?</v>
      </c>
      <c r="I687" s="274"/>
      <c r="J687" s="274" t="e">
        <f t="shared" ca="1" si="6"/>
        <v>#NAME?</v>
      </c>
      <c r="K687" s="274">
        <f t="shared" si="7"/>
        <v>0</v>
      </c>
      <c r="N687" s="274"/>
    </row>
    <row r="688" spans="5:14" ht="13.5" customHeight="1">
      <c r="E688" s="209" t="s">
        <v>914</v>
      </c>
      <c r="F688" s="209" t="s">
        <v>2456</v>
      </c>
      <c r="G688" s="409" t="str">
        <f t="shared" si="8"/>
        <v>15-12</v>
      </c>
      <c r="H688" s="273" t="e">
        <f ca="1">_xludf.IFNA(VLOOKUP(Aragon!E688,'Kilter Holds'!$P$37:$AB$662,7,0),0)</f>
        <v>#NAME?</v>
      </c>
      <c r="I688" s="274"/>
      <c r="J688" s="274" t="e">
        <f t="shared" ca="1" si="6"/>
        <v>#NAME?</v>
      </c>
      <c r="K688" s="274">
        <f t="shared" si="7"/>
        <v>0</v>
      </c>
      <c r="N688" s="274"/>
    </row>
    <row r="689" spans="5:14" ht="13.5" customHeight="1">
      <c r="E689" s="209" t="s">
        <v>914</v>
      </c>
      <c r="F689" s="209" t="s">
        <v>2456</v>
      </c>
      <c r="G689" s="410" t="str">
        <f t="shared" si="8"/>
        <v>16-16</v>
      </c>
      <c r="H689" s="273" t="e">
        <f ca="1">_xludf.IFNA(VLOOKUP(Aragon!E689,'Kilter Holds'!$P$37:$AB$662,8,0),0)</f>
        <v>#NAME?</v>
      </c>
      <c r="I689" s="274"/>
      <c r="J689" s="274" t="e">
        <f t="shared" ca="1" si="6"/>
        <v>#NAME?</v>
      </c>
      <c r="K689" s="274">
        <f t="shared" si="7"/>
        <v>0</v>
      </c>
      <c r="N689" s="274"/>
    </row>
    <row r="690" spans="5:14" ht="13.5" customHeight="1">
      <c r="E690" s="209" t="s">
        <v>914</v>
      </c>
      <c r="F690" s="209" t="s">
        <v>2456</v>
      </c>
      <c r="G690" s="411" t="str">
        <f t="shared" si="8"/>
        <v>13-01</v>
      </c>
      <c r="H690" s="273" t="e">
        <f ca="1">_xludf.IFNA(VLOOKUP(Aragon!E690,'Kilter Holds'!$P$37:$AB$662,9,0),0)</f>
        <v>#NAME?</v>
      </c>
      <c r="I690" s="274"/>
      <c r="J690" s="274" t="e">
        <f t="shared" ca="1" si="6"/>
        <v>#NAME?</v>
      </c>
      <c r="K690" s="274">
        <f t="shared" si="7"/>
        <v>0</v>
      </c>
      <c r="N690" s="274"/>
    </row>
    <row r="691" spans="5:14" ht="13.5" customHeight="1">
      <c r="E691" s="209" t="s">
        <v>914</v>
      </c>
      <c r="F691" s="209" t="s">
        <v>2456</v>
      </c>
      <c r="G691" s="413" t="str">
        <f t="shared" si="8"/>
        <v>07-13</v>
      </c>
      <c r="H691" s="273" t="e">
        <f ca="1">_xludf.IFNA(VLOOKUP(Aragon!E691,'Kilter Holds'!$P$37:$AB$662,10,0),0)</f>
        <v>#NAME?</v>
      </c>
      <c r="I691" s="274"/>
      <c r="J691" s="274" t="e">
        <f t="shared" ca="1" si="6"/>
        <v>#NAME?</v>
      </c>
      <c r="K691" s="274">
        <f t="shared" si="7"/>
        <v>0</v>
      </c>
      <c r="N691" s="274"/>
    </row>
    <row r="692" spans="5:14" ht="13.5" customHeight="1">
      <c r="E692" s="209" t="s">
        <v>914</v>
      </c>
      <c r="F692" s="209" t="s">
        <v>2456</v>
      </c>
      <c r="G692" s="414" t="str">
        <f t="shared" si="8"/>
        <v>11-26</v>
      </c>
      <c r="H692" s="273" t="e">
        <f ca="1">_xludf.IFNA(VLOOKUP(Aragon!E692,'Kilter Holds'!$P$37:$AB$662,11,0),0)</f>
        <v>#NAME?</v>
      </c>
      <c r="I692" s="274"/>
      <c r="J692" s="274" t="e">
        <f t="shared" ca="1" si="6"/>
        <v>#NAME?</v>
      </c>
      <c r="K692" s="274">
        <f t="shared" si="7"/>
        <v>0</v>
      </c>
      <c r="N692" s="274"/>
    </row>
    <row r="693" spans="5:14" ht="13.5" customHeight="1">
      <c r="E693" s="209" t="s">
        <v>914</v>
      </c>
      <c r="F693" s="209" t="s">
        <v>2456</v>
      </c>
      <c r="G693" s="415" t="str">
        <f t="shared" si="8"/>
        <v>18-01</v>
      </c>
      <c r="H693" s="273" t="e">
        <f ca="1">_xludf.IFNA(VLOOKUP(Aragon!E693,'Kilter Holds'!$P$37:$AB$662,12,0),0)</f>
        <v>#NAME?</v>
      </c>
      <c r="I693" s="274"/>
      <c r="J693" s="274" t="e">
        <f t="shared" ca="1" si="6"/>
        <v>#NAME?</v>
      </c>
      <c r="K693" s="274">
        <f t="shared" si="7"/>
        <v>0</v>
      </c>
      <c r="N693" s="274"/>
    </row>
    <row r="694" spans="5:14" ht="13.5" customHeight="1">
      <c r="E694" s="209" t="s">
        <v>914</v>
      </c>
      <c r="F694" s="209" t="s">
        <v>2456</v>
      </c>
      <c r="G694" s="416" t="str">
        <f t="shared" si="8"/>
        <v>Color Code</v>
      </c>
      <c r="H694" s="273" t="e">
        <f ca="1">_xludf.IFNA(VLOOKUP(Aragon!E694,'Kilter Holds'!$P$37:$AB$662,13,0),0)</f>
        <v>#NAME?</v>
      </c>
      <c r="I694" s="274"/>
      <c r="J694" s="274" t="e">
        <f t="shared" ca="1" si="6"/>
        <v>#NAME?</v>
      </c>
      <c r="K694" s="274">
        <f t="shared" si="7"/>
        <v>0</v>
      </c>
      <c r="N694" s="274"/>
    </row>
    <row r="695" spans="5:14" ht="13.5" customHeight="1">
      <c r="E695" s="209" t="s">
        <v>916</v>
      </c>
      <c r="F695" s="209" t="s">
        <v>2457</v>
      </c>
      <c r="G695" s="406" t="str">
        <f t="shared" si="8"/>
        <v>11-12</v>
      </c>
      <c r="H695" s="273" t="e">
        <f ca="1">_xludf.IFNA(VLOOKUP(Aragon!E695,'Kilter Holds'!$P$37:$AB$662,5,0),0)</f>
        <v>#NAME?</v>
      </c>
      <c r="I695" s="274"/>
      <c r="J695" s="274" t="e">
        <f t="shared" ca="1" si="6"/>
        <v>#NAME?</v>
      </c>
      <c r="K695" s="274">
        <f t="shared" si="7"/>
        <v>0</v>
      </c>
      <c r="N695" s="274"/>
    </row>
    <row r="696" spans="5:14" ht="13.5" customHeight="1">
      <c r="E696" s="209" t="s">
        <v>916</v>
      </c>
      <c r="F696" s="209" t="s">
        <v>2457</v>
      </c>
      <c r="G696" s="408" t="str">
        <f t="shared" si="8"/>
        <v>14-01</v>
      </c>
      <c r="H696" s="273" t="e">
        <f ca="1">_xludf.IFNA(VLOOKUP(Aragon!E696,'Kilter Holds'!$P$37:$AB$662,6,0),0)</f>
        <v>#NAME?</v>
      </c>
      <c r="I696" s="274"/>
      <c r="J696" s="274" t="e">
        <f t="shared" ca="1" si="6"/>
        <v>#NAME?</v>
      </c>
      <c r="K696" s="274">
        <f t="shared" si="7"/>
        <v>0</v>
      </c>
      <c r="N696" s="274"/>
    </row>
    <row r="697" spans="5:14" ht="13.5" customHeight="1">
      <c r="E697" s="209" t="s">
        <v>916</v>
      </c>
      <c r="F697" s="209" t="s">
        <v>2457</v>
      </c>
      <c r="G697" s="409" t="str">
        <f t="shared" si="8"/>
        <v>15-12</v>
      </c>
      <c r="H697" s="273" t="e">
        <f ca="1">_xludf.IFNA(VLOOKUP(Aragon!E697,'Kilter Holds'!$P$37:$AB$662,7,0),0)</f>
        <v>#NAME?</v>
      </c>
      <c r="I697" s="274"/>
      <c r="J697" s="274" t="e">
        <f t="shared" ca="1" si="6"/>
        <v>#NAME?</v>
      </c>
      <c r="K697" s="274">
        <f t="shared" si="7"/>
        <v>0</v>
      </c>
      <c r="N697" s="274"/>
    </row>
    <row r="698" spans="5:14" ht="13.5" customHeight="1">
      <c r="E698" s="209" t="s">
        <v>916</v>
      </c>
      <c r="F698" s="209" t="s">
        <v>2457</v>
      </c>
      <c r="G698" s="410" t="str">
        <f t="shared" si="8"/>
        <v>16-16</v>
      </c>
      <c r="H698" s="273" t="e">
        <f ca="1">_xludf.IFNA(VLOOKUP(Aragon!E698,'Kilter Holds'!$P$37:$AB$662,8,0),0)</f>
        <v>#NAME?</v>
      </c>
      <c r="I698" s="274"/>
      <c r="J698" s="274" t="e">
        <f t="shared" ca="1" si="6"/>
        <v>#NAME?</v>
      </c>
      <c r="K698" s="274">
        <f t="shared" si="7"/>
        <v>0</v>
      </c>
      <c r="N698" s="274"/>
    </row>
    <row r="699" spans="5:14" ht="13.5" customHeight="1">
      <c r="E699" s="209" t="s">
        <v>916</v>
      </c>
      <c r="F699" s="209" t="s">
        <v>2457</v>
      </c>
      <c r="G699" s="411" t="str">
        <f t="shared" si="8"/>
        <v>13-01</v>
      </c>
      <c r="H699" s="273" t="e">
        <f ca="1">_xludf.IFNA(VLOOKUP(Aragon!E699,'Kilter Holds'!$P$37:$AB$662,9,0),0)</f>
        <v>#NAME?</v>
      </c>
      <c r="I699" s="274"/>
      <c r="J699" s="274" t="e">
        <f t="shared" ca="1" si="6"/>
        <v>#NAME?</v>
      </c>
      <c r="K699" s="274">
        <f t="shared" si="7"/>
        <v>0</v>
      </c>
      <c r="N699" s="274"/>
    </row>
    <row r="700" spans="5:14" ht="13.5" customHeight="1">
      <c r="E700" s="209" t="s">
        <v>916</v>
      </c>
      <c r="F700" s="209" t="s">
        <v>2457</v>
      </c>
      <c r="G700" s="413" t="str">
        <f t="shared" si="8"/>
        <v>07-13</v>
      </c>
      <c r="H700" s="273" t="e">
        <f ca="1">_xludf.IFNA(VLOOKUP(Aragon!E700,'Kilter Holds'!$P$37:$AB$662,10,0),0)</f>
        <v>#NAME?</v>
      </c>
      <c r="I700" s="274"/>
      <c r="J700" s="274" t="e">
        <f t="shared" ca="1" si="6"/>
        <v>#NAME?</v>
      </c>
      <c r="K700" s="274">
        <f t="shared" si="7"/>
        <v>0</v>
      </c>
      <c r="N700" s="274"/>
    </row>
    <row r="701" spans="5:14" ht="13.5" customHeight="1">
      <c r="E701" s="209" t="s">
        <v>916</v>
      </c>
      <c r="F701" s="209" t="s">
        <v>2457</v>
      </c>
      <c r="G701" s="414" t="str">
        <f t="shared" si="8"/>
        <v>11-26</v>
      </c>
      <c r="H701" s="273" t="e">
        <f ca="1">_xludf.IFNA(VLOOKUP(Aragon!E701,'Kilter Holds'!$P$37:$AB$662,11,0),0)</f>
        <v>#NAME?</v>
      </c>
      <c r="I701" s="274"/>
      <c r="J701" s="274" t="e">
        <f t="shared" ca="1" si="6"/>
        <v>#NAME?</v>
      </c>
      <c r="K701" s="274">
        <f t="shared" si="7"/>
        <v>0</v>
      </c>
      <c r="N701" s="274"/>
    </row>
    <row r="702" spans="5:14" ht="13.5" customHeight="1">
      <c r="E702" s="209" t="s">
        <v>916</v>
      </c>
      <c r="F702" s="209" t="s">
        <v>2457</v>
      </c>
      <c r="G702" s="415" t="str">
        <f t="shared" si="8"/>
        <v>18-01</v>
      </c>
      <c r="H702" s="273" t="e">
        <f ca="1">_xludf.IFNA(VLOOKUP(Aragon!E702,'Kilter Holds'!$P$37:$AB$662,12,0),0)</f>
        <v>#NAME?</v>
      </c>
      <c r="I702" s="274"/>
      <c r="J702" s="274" t="e">
        <f t="shared" ca="1" si="6"/>
        <v>#NAME?</v>
      </c>
      <c r="K702" s="274">
        <f t="shared" si="7"/>
        <v>0</v>
      </c>
      <c r="N702" s="274"/>
    </row>
    <row r="703" spans="5:14" ht="13.5" customHeight="1">
      <c r="E703" s="209" t="s">
        <v>916</v>
      </c>
      <c r="F703" s="209" t="s">
        <v>2457</v>
      </c>
      <c r="G703" s="416" t="str">
        <f t="shared" si="8"/>
        <v>Color Code</v>
      </c>
      <c r="H703" s="273" t="e">
        <f ca="1">_xludf.IFNA(VLOOKUP(Aragon!E703,'Kilter Holds'!$P$37:$AB$662,13,0),0)</f>
        <v>#NAME?</v>
      </c>
      <c r="I703" s="274"/>
      <c r="J703" s="274" t="e">
        <f t="shared" ca="1" si="6"/>
        <v>#NAME?</v>
      </c>
      <c r="K703" s="274">
        <f t="shared" si="7"/>
        <v>0</v>
      </c>
      <c r="N703" s="274"/>
    </row>
    <row r="704" spans="5:14" ht="13.5" customHeight="1">
      <c r="E704" s="209" t="s">
        <v>918</v>
      </c>
      <c r="F704" s="209" t="s">
        <v>2458</v>
      </c>
      <c r="G704" s="406" t="str">
        <f t="shared" si="8"/>
        <v>11-12</v>
      </c>
      <c r="H704" s="273" t="e">
        <f ca="1">_xludf.IFNA(VLOOKUP(Aragon!E704,'Kilter Holds'!$P$37:$AB$662,5,0),0)</f>
        <v>#NAME?</v>
      </c>
      <c r="I704" s="274"/>
      <c r="J704" s="274" t="e">
        <f t="shared" ca="1" si="6"/>
        <v>#NAME?</v>
      </c>
      <c r="K704" s="274">
        <f t="shared" si="7"/>
        <v>0</v>
      </c>
      <c r="N704" s="274"/>
    </row>
    <row r="705" spans="5:14" ht="13.5" customHeight="1">
      <c r="E705" s="209" t="s">
        <v>918</v>
      </c>
      <c r="F705" s="209" t="s">
        <v>2458</v>
      </c>
      <c r="G705" s="408" t="str">
        <f t="shared" si="8"/>
        <v>14-01</v>
      </c>
      <c r="H705" s="273" t="e">
        <f ca="1">_xludf.IFNA(VLOOKUP(Aragon!E705,'Kilter Holds'!$P$37:$AB$662,6,0),0)</f>
        <v>#NAME?</v>
      </c>
      <c r="I705" s="274"/>
      <c r="J705" s="274" t="e">
        <f t="shared" ca="1" si="6"/>
        <v>#NAME?</v>
      </c>
      <c r="K705" s="274">
        <f t="shared" si="7"/>
        <v>0</v>
      </c>
      <c r="N705" s="274"/>
    </row>
    <row r="706" spans="5:14" ht="13.5" customHeight="1">
      <c r="E706" s="209" t="s">
        <v>918</v>
      </c>
      <c r="F706" s="209" t="s">
        <v>2458</v>
      </c>
      <c r="G706" s="409" t="str">
        <f t="shared" si="8"/>
        <v>15-12</v>
      </c>
      <c r="H706" s="273" t="e">
        <f ca="1">_xludf.IFNA(VLOOKUP(Aragon!E706,'Kilter Holds'!$P$37:$AB$662,7,0),0)</f>
        <v>#NAME?</v>
      </c>
      <c r="I706" s="274"/>
      <c r="J706" s="274" t="e">
        <f t="shared" ca="1" si="6"/>
        <v>#NAME?</v>
      </c>
      <c r="K706" s="274">
        <f t="shared" si="7"/>
        <v>0</v>
      </c>
      <c r="N706" s="274"/>
    </row>
    <row r="707" spans="5:14" ht="13.5" customHeight="1">
      <c r="E707" s="209" t="s">
        <v>918</v>
      </c>
      <c r="F707" s="209" t="s">
        <v>2458</v>
      </c>
      <c r="G707" s="410" t="str">
        <f t="shared" si="8"/>
        <v>16-16</v>
      </c>
      <c r="H707" s="273" t="e">
        <f ca="1">_xludf.IFNA(VLOOKUP(Aragon!E707,'Kilter Holds'!$P$37:$AB$662,8,0),0)</f>
        <v>#NAME?</v>
      </c>
      <c r="I707" s="274"/>
      <c r="J707" s="274" t="e">
        <f t="shared" ca="1" si="6"/>
        <v>#NAME?</v>
      </c>
      <c r="K707" s="274">
        <f t="shared" si="7"/>
        <v>0</v>
      </c>
      <c r="N707" s="274"/>
    </row>
    <row r="708" spans="5:14" ht="13.5" customHeight="1">
      <c r="E708" s="209" t="s">
        <v>918</v>
      </c>
      <c r="F708" s="209" t="s">
        <v>2458</v>
      </c>
      <c r="G708" s="411" t="str">
        <f t="shared" si="8"/>
        <v>13-01</v>
      </c>
      <c r="H708" s="273" t="e">
        <f ca="1">_xludf.IFNA(VLOOKUP(Aragon!E708,'Kilter Holds'!$P$37:$AB$662,9,0),0)</f>
        <v>#NAME?</v>
      </c>
      <c r="I708" s="274"/>
      <c r="J708" s="274" t="e">
        <f t="shared" ca="1" si="6"/>
        <v>#NAME?</v>
      </c>
      <c r="K708" s="274">
        <f t="shared" si="7"/>
        <v>0</v>
      </c>
      <c r="N708" s="274"/>
    </row>
    <row r="709" spans="5:14" ht="13.5" customHeight="1">
      <c r="E709" s="209" t="s">
        <v>918</v>
      </c>
      <c r="F709" s="209" t="s">
        <v>2458</v>
      </c>
      <c r="G709" s="413" t="str">
        <f t="shared" si="8"/>
        <v>07-13</v>
      </c>
      <c r="H709" s="273" t="e">
        <f ca="1">_xludf.IFNA(VLOOKUP(Aragon!E709,'Kilter Holds'!$P$37:$AB$662,10,0),0)</f>
        <v>#NAME?</v>
      </c>
      <c r="I709" s="274"/>
      <c r="J709" s="274" t="e">
        <f t="shared" ca="1" si="6"/>
        <v>#NAME?</v>
      </c>
      <c r="K709" s="274">
        <f t="shared" si="7"/>
        <v>0</v>
      </c>
      <c r="N709" s="274"/>
    </row>
    <row r="710" spans="5:14" ht="13.5" customHeight="1">
      <c r="E710" s="209" t="s">
        <v>918</v>
      </c>
      <c r="F710" s="209" t="s">
        <v>2458</v>
      </c>
      <c r="G710" s="414" t="str">
        <f t="shared" si="8"/>
        <v>11-26</v>
      </c>
      <c r="H710" s="273" t="e">
        <f ca="1">_xludf.IFNA(VLOOKUP(Aragon!E710,'Kilter Holds'!$P$37:$AB$662,11,0),0)</f>
        <v>#NAME?</v>
      </c>
      <c r="I710" s="274"/>
      <c r="J710" s="274" t="e">
        <f t="shared" ca="1" si="6"/>
        <v>#NAME?</v>
      </c>
      <c r="K710" s="274">
        <f t="shared" si="7"/>
        <v>0</v>
      </c>
      <c r="N710" s="274"/>
    </row>
    <row r="711" spans="5:14" ht="13.5" customHeight="1">
      <c r="E711" s="209" t="s">
        <v>918</v>
      </c>
      <c r="F711" s="209" t="s">
        <v>2458</v>
      </c>
      <c r="G711" s="415" t="str">
        <f t="shared" si="8"/>
        <v>18-01</v>
      </c>
      <c r="H711" s="273" t="e">
        <f ca="1">_xludf.IFNA(VLOOKUP(Aragon!E711,'Kilter Holds'!$P$37:$AB$662,12,0),0)</f>
        <v>#NAME?</v>
      </c>
      <c r="I711" s="274"/>
      <c r="J711" s="274" t="e">
        <f t="shared" ca="1" si="6"/>
        <v>#NAME?</v>
      </c>
      <c r="K711" s="274">
        <f t="shared" si="7"/>
        <v>0</v>
      </c>
      <c r="N711" s="274"/>
    </row>
    <row r="712" spans="5:14" ht="13.5" customHeight="1">
      <c r="E712" s="209" t="s">
        <v>918</v>
      </c>
      <c r="F712" s="209" t="s">
        <v>2458</v>
      </c>
      <c r="G712" s="416" t="str">
        <f t="shared" si="8"/>
        <v>Color Code</v>
      </c>
      <c r="H712" s="273" t="e">
        <f ca="1">_xludf.IFNA(VLOOKUP(Aragon!E712,'Kilter Holds'!$P$37:$AB$662,13,0),0)</f>
        <v>#NAME?</v>
      </c>
      <c r="I712" s="274"/>
      <c r="J712" s="274" t="e">
        <f t="shared" ca="1" si="6"/>
        <v>#NAME?</v>
      </c>
      <c r="K712" s="274">
        <f t="shared" si="7"/>
        <v>0</v>
      </c>
      <c r="N712" s="274"/>
    </row>
    <row r="713" spans="5:14" ht="13.5" customHeight="1">
      <c r="E713" s="209" t="s">
        <v>920</v>
      </c>
      <c r="F713" s="209" t="s">
        <v>2459</v>
      </c>
      <c r="G713" s="406" t="str">
        <f t="shared" si="8"/>
        <v>11-12</v>
      </c>
      <c r="H713" s="273" t="e">
        <f ca="1">_xludf.IFNA(VLOOKUP(Aragon!E713,'Kilter Holds'!$P$37:$AB$662,5,0),0)</f>
        <v>#NAME?</v>
      </c>
      <c r="I713" s="274"/>
      <c r="J713" s="274" t="e">
        <f t="shared" ca="1" si="6"/>
        <v>#NAME?</v>
      </c>
      <c r="K713" s="274">
        <f t="shared" si="7"/>
        <v>0</v>
      </c>
      <c r="N713" s="274"/>
    </row>
    <row r="714" spans="5:14" ht="13.5" customHeight="1">
      <c r="E714" s="209" t="s">
        <v>920</v>
      </c>
      <c r="F714" s="209" t="s">
        <v>2459</v>
      </c>
      <c r="G714" s="408" t="str">
        <f t="shared" si="8"/>
        <v>14-01</v>
      </c>
      <c r="H714" s="273" t="e">
        <f ca="1">_xludf.IFNA(VLOOKUP(Aragon!E714,'Kilter Holds'!$P$37:$AB$662,6,0),0)</f>
        <v>#NAME?</v>
      </c>
      <c r="I714" s="274"/>
      <c r="J714" s="274" t="e">
        <f t="shared" ca="1" si="6"/>
        <v>#NAME?</v>
      </c>
      <c r="K714" s="274">
        <f t="shared" si="7"/>
        <v>0</v>
      </c>
      <c r="N714" s="274"/>
    </row>
    <row r="715" spans="5:14" ht="13.5" customHeight="1">
      <c r="E715" s="209" t="s">
        <v>920</v>
      </c>
      <c r="F715" s="209" t="s">
        <v>2459</v>
      </c>
      <c r="G715" s="409" t="str">
        <f t="shared" si="8"/>
        <v>15-12</v>
      </c>
      <c r="H715" s="273" t="e">
        <f ca="1">_xludf.IFNA(VLOOKUP(Aragon!E715,'Kilter Holds'!$P$37:$AB$662,7,0),0)</f>
        <v>#NAME?</v>
      </c>
      <c r="I715" s="274"/>
      <c r="J715" s="274" t="e">
        <f t="shared" ca="1" si="6"/>
        <v>#NAME?</v>
      </c>
      <c r="K715" s="274">
        <f t="shared" si="7"/>
        <v>0</v>
      </c>
      <c r="N715" s="274"/>
    </row>
    <row r="716" spans="5:14" ht="13.5" customHeight="1">
      <c r="E716" s="209" t="s">
        <v>920</v>
      </c>
      <c r="F716" s="209" t="s">
        <v>2459</v>
      </c>
      <c r="G716" s="410" t="str">
        <f t="shared" si="8"/>
        <v>16-16</v>
      </c>
      <c r="H716" s="273" t="e">
        <f ca="1">_xludf.IFNA(VLOOKUP(Aragon!E716,'Kilter Holds'!$P$37:$AB$662,8,0),0)</f>
        <v>#NAME?</v>
      </c>
      <c r="I716" s="274"/>
      <c r="J716" s="274" t="e">
        <f t="shared" ca="1" si="6"/>
        <v>#NAME?</v>
      </c>
      <c r="K716" s="274">
        <f t="shared" si="7"/>
        <v>0</v>
      </c>
      <c r="N716" s="274"/>
    </row>
    <row r="717" spans="5:14" ht="13.5" customHeight="1">
      <c r="E717" s="209" t="s">
        <v>920</v>
      </c>
      <c r="F717" s="209" t="s">
        <v>2459</v>
      </c>
      <c r="G717" s="411" t="str">
        <f t="shared" si="8"/>
        <v>13-01</v>
      </c>
      <c r="H717" s="273" t="e">
        <f ca="1">_xludf.IFNA(VLOOKUP(Aragon!E717,'Kilter Holds'!$P$37:$AB$662,9,0),0)</f>
        <v>#NAME?</v>
      </c>
      <c r="I717" s="274"/>
      <c r="J717" s="274" t="e">
        <f t="shared" ca="1" si="6"/>
        <v>#NAME?</v>
      </c>
      <c r="K717" s="274">
        <f t="shared" si="7"/>
        <v>0</v>
      </c>
      <c r="N717" s="274"/>
    </row>
    <row r="718" spans="5:14" ht="13.5" customHeight="1">
      <c r="E718" s="209" t="s">
        <v>920</v>
      </c>
      <c r="F718" s="209" t="s">
        <v>2459</v>
      </c>
      <c r="G718" s="413" t="str">
        <f t="shared" si="8"/>
        <v>07-13</v>
      </c>
      <c r="H718" s="273" t="e">
        <f ca="1">_xludf.IFNA(VLOOKUP(Aragon!E718,'Kilter Holds'!$P$37:$AB$662,10,0),0)</f>
        <v>#NAME?</v>
      </c>
      <c r="I718" s="274"/>
      <c r="J718" s="274" t="e">
        <f t="shared" ca="1" si="6"/>
        <v>#NAME?</v>
      </c>
      <c r="K718" s="274">
        <f t="shared" si="7"/>
        <v>0</v>
      </c>
      <c r="N718" s="274"/>
    </row>
    <row r="719" spans="5:14" ht="13.5" customHeight="1">
      <c r="E719" s="209" t="s">
        <v>920</v>
      </c>
      <c r="F719" s="209" t="s">
        <v>2459</v>
      </c>
      <c r="G719" s="414" t="str">
        <f t="shared" si="8"/>
        <v>11-26</v>
      </c>
      <c r="H719" s="273" t="e">
        <f ca="1">_xludf.IFNA(VLOOKUP(Aragon!E719,'Kilter Holds'!$P$37:$AB$662,11,0),0)</f>
        <v>#NAME?</v>
      </c>
      <c r="I719" s="274"/>
      <c r="J719" s="274" t="e">
        <f t="shared" ca="1" si="6"/>
        <v>#NAME?</v>
      </c>
      <c r="K719" s="274">
        <f t="shared" si="7"/>
        <v>0</v>
      </c>
      <c r="N719" s="274"/>
    </row>
    <row r="720" spans="5:14" ht="13.5" customHeight="1">
      <c r="E720" s="209" t="s">
        <v>920</v>
      </c>
      <c r="F720" s="209" t="s">
        <v>2459</v>
      </c>
      <c r="G720" s="415" t="str">
        <f t="shared" si="8"/>
        <v>18-01</v>
      </c>
      <c r="H720" s="273" t="e">
        <f ca="1">_xludf.IFNA(VLOOKUP(Aragon!E720,'Kilter Holds'!$P$37:$AB$662,12,0),0)</f>
        <v>#NAME?</v>
      </c>
      <c r="I720" s="274"/>
      <c r="J720" s="274" t="e">
        <f t="shared" ca="1" si="6"/>
        <v>#NAME?</v>
      </c>
      <c r="K720" s="274">
        <f t="shared" si="7"/>
        <v>0</v>
      </c>
      <c r="N720" s="274"/>
    </row>
    <row r="721" spans="5:14" ht="13.5" customHeight="1">
      <c r="E721" s="209" t="s">
        <v>920</v>
      </c>
      <c r="F721" s="209" t="s">
        <v>2459</v>
      </c>
      <c r="G721" s="416" t="str">
        <f t="shared" si="8"/>
        <v>Color Code</v>
      </c>
      <c r="H721" s="273" t="e">
        <f ca="1">_xludf.IFNA(VLOOKUP(Aragon!E721,'Kilter Holds'!$P$37:$AB$662,13,0),0)</f>
        <v>#NAME?</v>
      </c>
      <c r="I721" s="274"/>
      <c r="J721" s="274" t="e">
        <f t="shared" ca="1" si="6"/>
        <v>#NAME?</v>
      </c>
      <c r="K721" s="274">
        <f t="shared" si="7"/>
        <v>0</v>
      </c>
      <c r="N721" s="274"/>
    </row>
    <row r="722" spans="5:14" ht="13.5" customHeight="1">
      <c r="E722" s="209" t="s">
        <v>922</v>
      </c>
      <c r="F722" s="209" t="s">
        <v>2460</v>
      </c>
      <c r="G722" s="406" t="str">
        <f t="shared" si="8"/>
        <v>11-12</v>
      </c>
      <c r="H722" s="273" t="e">
        <f ca="1">_xludf.IFNA(VLOOKUP(Aragon!E722,'Kilter Holds'!$P$37:$AB$662,5,0),0)</f>
        <v>#NAME?</v>
      </c>
      <c r="I722" s="274"/>
      <c r="J722" s="274" t="e">
        <f t="shared" ca="1" si="6"/>
        <v>#NAME?</v>
      </c>
      <c r="K722" s="274">
        <f t="shared" si="7"/>
        <v>0</v>
      </c>
      <c r="N722" s="274"/>
    </row>
    <row r="723" spans="5:14" ht="13.5" customHeight="1">
      <c r="E723" s="209" t="s">
        <v>922</v>
      </c>
      <c r="F723" s="209" t="s">
        <v>2460</v>
      </c>
      <c r="G723" s="408" t="str">
        <f t="shared" si="8"/>
        <v>14-01</v>
      </c>
      <c r="H723" s="273" t="e">
        <f ca="1">_xludf.IFNA(VLOOKUP(Aragon!E723,'Kilter Holds'!$P$37:$AB$662,6,0),0)</f>
        <v>#NAME?</v>
      </c>
      <c r="I723" s="274"/>
      <c r="J723" s="274" t="e">
        <f t="shared" ca="1" si="6"/>
        <v>#NAME?</v>
      </c>
      <c r="K723" s="274">
        <f t="shared" si="7"/>
        <v>0</v>
      </c>
      <c r="N723" s="274"/>
    </row>
    <row r="724" spans="5:14" ht="13.5" customHeight="1">
      <c r="E724" s="209" t="s">
        <v>922</v>
      </c>
      <c r="F724" s="209" t="s">
        <v>2460</v>
      </c>
      <c r="G724" s="409" t="str">
        <f t="shared" si="8"/>
        <v>15-12</v>
      </c>
      <c r="H724" s="273" t="e">
        <f ca="1">_xludf.IFNA(VLOOKUP(Aragon!E724,'Kilter Holds'!$P$37:$AB$662,7,0),0)</f>
        <v>#NAME?</v>
      </c>
      <c r="I724" s="274"/>
      <c r="J724" s="274" t="e">
        <f t="shared" ca="1" si="6"/>
        <v>#NAME?</v>
      </c>
      <c r="K724" s="274">
        <f t="shared" si="7"/>
        <v>0</v>
      </c>
      <c r="N724" s="274"/>
    </row>
    <row r="725" spans="5:14" ht="13.5" customHeight="1">
      <c r="E725" s="209" t="s">
        <v>922</v>
      </c>
      <c r="F725" s="209" t="s">
        <v>2460</v>
      </c>
      <c r="G725" s="410" t="str">
        <f t="shared" si="8"/>
        <v>16-16</v>
      </c>
      <c r="H725" s="273" t="e">
        <f ca="1">_xludf.IFNA(VLOOKUP(Aragon!E725,'Kilter Holds'!$P$37:$AB$662,8,0),0)</f>
        <v>#NAME?</v>
      </c>
      <c r="I725" s="274"/>
      <c r="J725" s="274" t="e">
        <f t="shared" ca="1" si="6"/>
        <v>#NAME?</v>
      </c>
      <c r="K725" s="274">
        <f t="shared" si="7"/>
        <v>0</v>
      </c>
      <c r="N725" s="274"/>
    </row>
    <row r="726" spans="5:14" ht="13.5" customHeight="1">
      <c r="E726" s="209" t="s">
        <v>922</v>
      </c>
      <c r="F726" s="209" t="s">
        <v>2460</v>
      </c>
      <c r="G726" s="411" t="str">
        <f t="shared" si="8"/>
        <v>13-01</v>
      </c>
      <c r="H726" s="273" t="e">
        <f ca="1">_xludf.IFNA(VLOOKUP(Aragon!E726,'Kilter Holds'!$P$37:$AB$662,9,0),0)</f>
        <v>#NAME?</v>
      </c>
      <c r="I726" s="274"/>
      <c r="J726" s="274" t="e">
        <f t="shared" ca="1" si="6"/>
        <v>#NAME?</v>
      </c>
      <c r="K726" s="274">
        <f t="shared" si="7"/>
        <v>0</v>
      </c>
      <c r="N726" s="274"/>
    </row>
    <row r="727" spans="5:14" ht="13.5" customHeight="1">
      <c r="E727" s="209" t="s">
        <v>922</v>
      </c>
      <c r="F727" s="209" t="s">
        <v>2460</v>
      </c>
      <c r="G727" s="413" t="str">
        <f t="shared" si="8"/>
        <v>07-13</v>
      </c>
      <c r="H727" s="273" t="e">
        <f ca="1">_xludf.IFNA(VLOOKUP(Aragon!E727,'Kilter Holds'!$P$37:$AB$662,10,0),0)</f>
        <v>#NAME?</v>
      </c>
      <c r="I727" s="274"/>
      <c r="J727" s="274" t="e">
        <f t="shared" ca="1" si="6"/>
        <v>#NAME?</v>
      </c>
      <c r="K727" s="274">
        <f t="shared" si="7"/>
        <v>0</v>
      </c>
      <c r="N727" s="274"/>
    </row>
    <row r="728" spans="5:14" ht="13.5" customHeight="1">
      <c r="E728" s="209" t="s">
        <v>922</v>
      </c>
      <c r="F728" s="209" t="s">
        <v>2460</v>
      </c>
      <c r="G728" s="414" t="str">
        <f t="shared" si="8"/>
        <v>11-26</v>
      </c>
      <c r="H728" s="273" t="e">
        <f ca="1">_xludf.IFNA(VLOOKUP(Aragon!E728,'Kilter Holds'!$P$37:$AB$662,11,0),0)</f>
        <v>#NAME?</v>
      </c>
      <c r="I728" s="274"/>
      <c r="J728" s="274" t="e">
        <f t="shared" ca="1" si="6"/>
        <v>#NAME?</v>
      </c>
      <c r="K728" s="274">
        <f t="shared" si="7"/>
        <v>0</v>
      </c>
      <c r="N728" s="274"/>
    </row>
    <row r="729" spans="5:14" ht="13.5" customHeight="1">
      <c r="E729" s="209" t="s">
        <v>922</v>
      </c>
      <c r="F729" s="209" t="s">
        <v>2460</v>
      </c>
      <c r="G729" s="415" t="str">
        <f t="shared" si="8"/>
        <v>18-01</v>
      </c>
      <c r="H729" s="273" t="e">
        <f ca="1">_xludf.IFNA(VLOOKUP(Aragon!E729,'Kilter Holds'!$P$37:$AB$662,12,0),0)</f>
        <v>#NAME?</v>
      </c>
      <c r="I729" s="274"/>
      <c r="J729" s="274" t="e">
        <f t="shared" ca="1" si="6"/>
        <v>#NAME?</v>
      </c>
      <c r="K729" s="274">
        <f t="shared" si="7"/>
        <v>0</v>
      </c>
      <c r="N729" s="274"/>
    </row>
    <row r="730" spans="5:14" ht="13.5" customHeight="1">
      <c r="E730" s="209" t="s">
        <v>922</v>
      </c>
      <c r="F730" s="209" t="s">
        <v>2460</v>
      </c>
      <c r="G730" s="416" t="str">
        <f t="shared" si="8"/>
        <v>Color Code</v>
      </c>
      <c r="H730" s="273" t="e">
        <f ca="1">_xludf.IFNA(VLOOKUP(Aragon!E730,'Kilter Holds'!$P$37:$AB$662,13,0),0)</f>
        <v>#NAME?</v>
      </c>
      <c r="I730" s="274"/>
      <c r="J730" s="274" t="e">
        <f t="shared" ca="1" si="6"/>
        <v>#NAME?</v>
      </c>
      <c r="K730" s="274">
        <f t="shared" si="7"/>
        <v>0</v>
      </c>
      <c r="N730" s="274"/>
    </row>
    <row r="731" spans="5:14" ht="13.5" customHeight="1">
      <c r="E731" s="209" t="s">
        <v>924</v>
      </c>
      <c r="F731" s="209" t="s">
        <v>2461</v>
      </c>
      <c r="G731" s="406" t="str">
        <f t="shared" si="8"/>
        <v>11-12</v>
      </c>
      <c r="H731" s="273" t="e">
        <f ca="1">_xludf.IFNA(VLOOKUP(Aragon!E731,'Kilter Holds'!$P$37:$AB$662,5,0),0)</f>
        <v>#NAME?</v>
      </c>
      <c r="I731" s="274"/>
      <c r="J731" s="274" t="e">
        <f t="shared" ca="1" si="6"/>
        <v>#NAME?</v>
      </c>
      <c r="K731" s="274">
        <f t="shared" si="7"/>
        <v>0</v>
      </c>
      <c r="N731" s="274"/>
    </row>
    <row r="732" spans="5:14" ht="13.5" customHeight="1">
      <c r="E732" s="209" t="s">
        <v>924</v>
      </c>
      <c r="F732" s="209" t="s">
        <v>2461</v>
      </c>
      <c r="G732" s="408" t="str">
        <f t="shared" si="8"/>
        <v>14-01</v>
      </c>
      <c r="H732" s="273" t="e">
        <f ca="1">_xludf.IFNA(VLOOKUP(Aragon!E732,'Kilter Holds'!$P$37:$AB$662,6,0),0)</f>
        <v>#NAME?</v>
      </c>
      <c r="I732" s="274"/>
      <c r="J732" s="274" t="e">
        <f t="shared" ca="1" si="6"/>
        <v>#NAME?</v>
      </c>
      <c r="K732" s="274">
        <f t="shared" si="7"/>
        <v>0</v>
      </c>
      <c r="N732" s="274"/>
    </row>
    <row r="733" spans="5:14" ht="13.5" customHeight="1">
      <c r="E733" s="209" t="s">
        <v>924</v>
      </c>
      <c r="F733" s="209" t="s">
        <v>2461</v>
      </c>
      <c r="G733" s="409" t="str">
        <f t="shared" si="8"/>
        <v>15-12</v>
      </c>
      <c r="H733" s="273" t="e">
        <f ca="1">_xludf.IFNA(VLOOKUP(Aragon!E733,'Kilter Holds'!$P$37:$AB$662,7,0),0)</f>
        <v>#NAME?</v>
      </c>
      <c r="I733" s="274"/>
      <c r="J733" s="274" t="e">
        <f t="shared" ca="1" si="6"/>
        <v>#NAME?</v>
      </c>
      <c r="K733" s="274">
        <f t="shared" si="7"/>
        <v>0</v>
      </c>
      <c r="N733" s="274"/>
    </row>
    <row r="734" spans="5:14" ht="13.5" customHeight="1">
      <c r="E734" s="209" t="s">
        <v>924</v>
      </c>
      <c r="F734" s="209" t="s">
        <v>2461</v>
      </c>
      <c r="G734" s="410" t="str">
        <f t="shared" si="8"/>
        <v>16-16</v>
      </c>
      <c r="H734" s="273" t="e">
        <f ca="1">_xludf.IFNA(VLOOKUP(Aragon!E734,'Kilter Holds'!$P$37:$AB$662,8,0),0)</f>
        <v>#NAME?</v>
      </c>
      <c r="I734" s="274"/>
      <c r="J734" s="274" t="e">
        <f t="shared" ca="1" si="6"/>
        <v>#NAME?</v>
      </c>
      <c r="K734" s="274">
        <f t="shared" si="7"/>
        <v>0</v>
      </c>
      <c r="N734" s="274"/>
    </row>
    <row r="735" spans="5:14" ht="13.5" customHeight="1">
      <c r="E735" s="209" t="s">
        <v>924</v>
      </c>
      <c r="F735" s="209" t="s">
        <v>2461</v>
      </c>
      <c r="G735" s="411" t="str">
        <f t="shared" si="8"/>
        <v>13-01</v>
      </c>
      <c r="H735" s="273" t="e">
        <f ca="1">_xludf.IFNA(VLOOKUP(Aragon!E735,'Kilter Holds'!$P$37:$AB$662,9,0),0)</f>
        <v>#NAME?</v>
      </c>
      <c r="I735" s="274"/>
      <c r="J735" s="274" t="e">
        <f t="shared" ca="1" si="6"/>
        <v>#NAME?</v>
      </c>
      <c r="K735" s="274">
        <f t="shared" si="7"/>
        <v>0</v>
      </c>
      <c r="N735" s="274"/>
    </row>
    <row r="736" spans="5:14" ht="13.5" customHeight="1">
      <c r="E736" s="209" t="s">
        <v>924</v>
      </c>
      <c r="F736" s="209" t="s">
        <v>2461</v>
      </c>
      <c r="G736" s="413" t="str">
        <f t="shared" si="8"/>
        <v>07-13</v>
      </c>
      <c r="H736" s="273" t="e">
        <f ca="1">_xludf.IFNA(VLOOKUP(Aragon!E736,'Kilter Holds'!$P$37:$AB$662,10,0),0)</f>
        <v>#NAME?</v>
      </c>
      <c r="I736" s="274"/>
      <c r="J736" s="274" t="e">
        <f t="shared" ca="1" si="6"/>
        <v>#NAME?</v>
      </c>
      <c r="K736" s="274">
        <f t="shared" si="7"/>
        <v>0</v>
      </c>
      <c r="N736" s="274"/>
    </row>
    <row r="737" spans="5:14" ht="13.5" customHeight="1">
      <c r="E737" s="209" t="s">
        <v>924</v>
      </c>
      <c r="F737" s="209" t="s">
        <v>2461</v>
      </c>
      <c r="G737" s="414" t="str">
        <f t="shared" si="8"/>
        <v>11-26</v>
      </c>
      <c r="H737" s="273" t="e">
        <f ca="1">_xludf.IFNA(VLOOKUP(Aragon!E737,'Kilter Holds'!$P$37:$AB$662,11,0),0)</f>
        <v>#NAME?</v>
      </c>
      <c r="I737" s="274"/>
      <c r="J737" s="274" t="e">
        <f t="shared" ca="1" si="6"/>
        <v>#NAME?</v>
      </c>
      <c r="K737" s="274">
        <f t="shared" si="7"/>
        <v>0</v>
      </c>
      <c r="N737" s="274"/>
    </row>
    <row r="738" spans="5:14" ht="13.5" customHeight="1">
      <c r="E738" s="209" t="s">
        <v>924</v>
      </c>
      <c r="F738" s="209" t="s">
        <v>2461</v>
      </c>
      <c r="G738" s="415" t="str">
        <f t="shared" si="8"/>
        <v>18-01</v>
      </c>
      <c r="H738" s="273" t="e">
        <f ca="1">_xludf.IFNA(VLOOKUP(Aragon!E738,'Kilter Holds'!$P$37:$AB$662,12,0),0)</f>
        <v>#NAME?</v>
      </c>
      <c r="I738" s="274"/>
      <c r="J738" s="274" t="e">
        <f t="shared" ca="1" si="6"/>
        <v>#NAME?</v>
      </c>
      <c r="K738" s="274">
        <f t="shared" si="7"/>
        <v>0</v>
      </c>
      <c r="N738" s="274"/>
    </row>
    <row r="739" spans="5:14" ht="13.5" customHeight="1">
      <c r="E739" s="209" t="s">
        <v>924</v>
      </c>
      <c r="F739" s="209" t="s">
        <v>2461</v>
      </c>
      <c r="G739" s="416" t="str">
        <f t="shared" si="8"/>
        <v>Color Code</v>
      </c>
      <c r="H739" s="273" t="e">
        <f ca="1">_xludf.IFNA(VLOOKUP(Aragon!E739,'Kilter Holds'!$P$37:$AB$662,13,0),0)</f>
        <v>#NAME?</v>
      </c>
      <c r="I739" s="274"/>
      <c r="J739" s="274" t="e">
        <f t="shared" ca="1" si="6"/>
        <v>#NAME?</v>
      </c>
      <c r="K739" s="274">
        <f t="shared" si="7"/>
        <v>0</v>
      </c>
      <c r="N739" s="274"/>
    </row>
    <row r="740" spans="5:14" ht="13.5" customHeight="1">
      <c r="E740" s="209" t="s">
        <v>926</v>
      </c>
      <c r="F740" s="209" t="s">
        <v>2462</v>
      </c>
      <c r="G740" s="406" t="str">
        <f t="shared" si="8"/>
        <v>11-12</v>
      </c>
      <c r="H740" s="273" t="e">
        <f ca="1">_xludf.IFNA(VLOOKUP(Aragon!E740,'Kilter Holds'!$P$37:$AB$662,5,0),0)</f>
        <v>#NAME?</v>
      </c>
      <c r="I740" s="274"/>
      <c r="J740" s="274" t="e">
        <f t="shared" ca="1" si="6"/>
        <v>#NAME?</v>
      </c>
      <c r="K740" s="274">
        <f t="shared" si="7"/>
        <v>0</v>
      </c>
      <c r="N740" s="274"/>
    </row>
    <row r="741" spans="5:14" ht="13.5" customHeight="1">
      <c r="E741" s="209" t="s">
        <v>926</v>
      </c>
      <c r="F741" s="209" t="s">
        <v>2462</v>
      </c>
      <c r="G741" s="408" t="str">
        <f t="shared" si="8"/>
        <v>14-01</v>
      </c>
      <c r="H741" s="273" t="e">
        <f ca="1">_xludf.IFNA(VLOOKUP(Aragon!E741,'Kilter Holds'!$P$37:$AB$662,6,0),0)</f>
        <v>#NAME?</v>
      </c>
      <c r="I741" s="274"/>
      <c r="J741" s="274" t="e">
        <f t="shared" ca="1" si="6"/>
        <v>#NAME?</v>
      </c>
      <c r="K741" s="274">
        <f t="shared" si="7"/>
        <v>0</v>
      </c>
      <c r="N741" s="274"/>
    </row>
    <row r="742" spans="5:14" ht="13.5" customHeight="1">
      <c r="E742" s="209" t="s">
        <v>926</v>
      </c>
      <c r="F742" s="209" t="s">
        <v>2462</v>
      </c>
      <c r="G742" s="409" t="str">
        <f t="shared" si="8"/>
        <v>15-12</v>
      </c>
      <c r="H742" s="273" t="e">
        <f ca="1">_xludf.IFNA(VLOOKUP(Aragon!E742,'Kilter Holds'!$P$37:$AB$662,7,0),0)</f>
        <v>#NAME?</v>
      </c>
      <c r="I742" s="274"/>
      <c r="J742" s="274" t="e">
        <f t="shared" ca="1" si="6"/>
        <v>#NAME?</v>
      </c>
      <c r="K742" s="274">
        <f t="shared" si="7"/>
        <v>0</v>
      </c>
      <c r="N742" s="274"/>
    </row>
    <row r="743" spans="5:14" ht="13.5" customHeight="1">
      <c r="E743" s="209" t="s">
        <v>926</v>
      </c>
      <c r="F743" s="209" t="s">
        <v>2462</v>
      </c>
      <c r="G743" s="410" t="str">
        <f t="shared" si="8"/>
        <v>16-16</v>
      </c>
      <c r="H743" s="273" t="e">
        <f ca="1">_xludf.IFNA(VLOOKUP(Aragon!E743,'Kilter Holds'!$P$37:$AB$662,8,0),0)</f>
        <v>#NAME?</v>
      </c>
      <c r="I743" s="274"/>
      <c r="J743" s="274" t="e">
        <f t="shared" ca="1" si="6"/>
        <v>#NAME?</v>
      </c>
      <c r="K743" s="274">
        <f t="shared" si="7"/>
        <v>0</v>
      </c>
      <c r="N743" s="274"/>
    </row>
    <row r="744" spans="5:14" ht="13.5" customHeight="1">
      <c r="E744" s="209" t="s">
        <v>926</v>
      </c>
      <c r="F744" s="209" t="s">
        <v>2462</v>
      </c>
      <c r="G744" s="411" t="str">
        <f t="shared" si="8"/>
        <v>13-01</v>
      </c>
      <c r="H744" s="273" t="e">
        <f ca="1">_xludf.IFNA(VLOOKUP(Aragon!E744,'Kilter Holds'!$P$37:$AB$662,9,0),0)</f>
        <v>#NAME?</v>
      </c>
      <c r="I744" s="274"/>
      <c r="J744" s="274" t="e">
        <f t="shared" ca="1" si="6"/>
        <v>#NAME?</v>
      </c>
      <c r="K744" s="274">
        <f t="shared" si="7"/>
        <v>0</v>
      </c>
      <c r="N744" s="274"/>
    </row>
    <row r="745" spans="5:14" ht="13.5" customHeight="1">
      <c r="E745" s="209" t="s">
        <v>926</v>
      </c>
      <c r="F745" s="209" t="s">
        <v>2462</v>
      </c>
      <c r="G745" s="413" t="str">
        <f t="shared" si="8"/>
        <v>07-13</v>
      </c>
      <c r="H745" s="273" t="e">
        <f ca="1">_xludf.IFNA(VLOOKUP(Aragon!E745,'Kilter Holds'!$P$37:$AB$662,10,0),0)</f>
        <v>#NAME?</v>
      </c>
      <c r="I745" s="274"/>
      <c r="J745" s="274" t="e">
        <f t="shared" ca="1" si="6"/>
        <v>#NAME?</v>
      </c>
      <c r="K745" s="274">
        <f t="shared" si="7"/>
        <v>0</v>
      </c>
      <c r="N745" s="274"/>
    </row>
    <row r="746" spans="5:14" ht="13.5" customHeight="1">
      <c r="E746" s="209" t="s">
        <v>926</v>
      </c>
      <c r="F746" s="209" t="s">
        <v>2462</v>
      </c>
      <c r="G746" s="414" t="str">
        <f t="shared" si="8"/>
        <v>11-26</v>
      </c>
      <c r="H746" s="273" t="e">
        <f ca="1">_xludf.IFNA(VLOOKUP(Aragon!E746,'Kilter Holds'!$P$37:$AB$662,11,0),0)</f>
        <v>#NAME?</v>
      </c>
      <c r="I746" s="274"/>
      <c r="J746" s="274" t="e">
        <f t="shared" ca="1" si="6"/>
        <v>#NAME?</v>
      </c>
      <c r="K746" s="274">
        <f t="shared" si="7"/>
        <v>0</v>
      </c>
      <c r="N746" s="274"/>
    </row>
    <row r="747" spans="5:14" ht="13.5" customHeight="1">
      <c r="E747" s="209" t="s">
        <v>926</v>
      </c>
      <c r="F747" s="209" t="s">
        <v>2462</v>
      </c>
      <c r="G747" s="415" t="str">
        <f t="shared" si="8"/>
        <v>18-01</v>
      </c>
      <c r="H747" s="273" t="e">
        <f ca="1">_xludf.IFNA(VLOOKUP(Aragon!E747,'Kilter Holds'!$P$37:$AB$662,12,0),0)</f>
        <v>#NAME?</v>
      </c>
      <c r="I747" s="274"/>
      <c r="J747" s="274" t="e">
        <f t="shared" ca="1" si="6"/>
        <v>#NAME?</v>
      </c>
      <c r="K747" s="274">
        <f t="shared" si="7"/>
        <v>0</v>
      </c>
      <c r="N747" s="274"/>
    </row>
    <row r="748" spans="5:14" ht="13.5" customHeight="1">
      <c r="E748" s="209" t="s">
        <v>926</v>
      </c>
      <c r="F748" s="209" t="s">
        <v>2462</v>
      </c>
      <c r="G748" s="416" t="str">
        <f t="shared" si="8"/>
        <v>Color Code</v>
      </c>
      <c r="H748" s="273" t="e">
        <f ca="1">_xludf.IFNA(VLOOKUP(Aragon!E748,'Kilter Holds'!$P$37:$AB$662,13,0),0)</f>
        <v>#NAME?</v>
      </c>
      <c r="I748" s="274"/>
      <c r="J748" s="274" t="e">
        <f t="shared" ca="1" si="6"/>
        <v>#NAME?</v>
      </c>
      <c r="K748" s="274">
        <f t="shared" si="7"/>
        <v>0</v>
      </c>
      <c r="N748" s="274"/>
    </row>
    <row r="749" spans="5:14" ht="13.5" customHeight="1">
      <c r="E749" s="209" t="s">
        <v>928</v>
      </c>
      <c r="F749" s="209" t="s">
        <v>2463</v>
      </c>
      <c r="G749" s="406" t="str">
        <f t="shared" si="8"/>
        <v>11-12</v>
      </c>
      <c r="H749" s="273" t="e">
        <f ca="1">_xludf.IFNA(VLOOKUP(Aragon!E749,'Kilter Holds'!$P$37:$AB$662,5,0),0)</f>
        <v>#NAME?</v>
      </c>
      <c r="I749" s="274"/>
      <c r="J749" s="274" t="e">
        <f t="shared" ca="1" si="6"/>
        <v>#NAME?</v>
      </c>
      <c r="K749" s="274">
        <f t="shared" si="7"/>
        <v>0</v>
      </c>
      <c r="N749" s="274"/>
    </row>
    <row r="750" spans="5:14" ht="13.5" customHeight="1">
      <c r="E750" s="209" t="s">
        <v>928</v>
      </c>
      <c r="F750" s="209" t="s">
        <v>2463</v>
      </c>
      <c r="G750" s="408" t="str">
        <f t="shared" si="8"/>
        <v>14-01</v>
      </c>
      <c r="H750" s="273" t="e">
        <f ca="1">_xludf.IFNA(VLOOKUP(Aragon!E750,'Kilter Holds'!$P$37:$AB$662,6,0),0)</f>
        <v>#NAME?</v>
      </c>
      <c r="I750" s="274"/>
      <c r="J750" s="274" t="e">
        <f t="shared" ca="1" si="6"/>
        <v>#NAME?</v>
      </c>
      <c r="K750" s="274">
        <f t="shared" si="7"/>
        <v>0</v>
      </c>
      <c r="N750" s="274"/>
    </row>
    <row r="751" spans="5:14" ht="13.5" customHeight="1">
      <c r="E751" s="209" t="s">
        <v>928</v>
      </c>
      <c r="F751" s="209" t="s">
        <v>2463</v>
      </c>
      <c r="G751" s="409" t="str">
        <f t="shared" si="8"/>
        <v>15-12</v>
      </c>
      <c r="H751" s="273" t="e">
        <f ca="1">_xludf.IFNA(VLOOKUP(Aragon!E751,'Kilter Holds'!$P$37:$AB$662,7,0),0)</f>
        <v>#NAME?</v>
      </c>
      <c r="I751" s="274"/>
      <c r="J751" s="274" t="e">
        <f t="shared" ca="1" si="6"/>
        <v>#NAME?</v>
      </c>
      <c r="K751" s="274">
        <f t="shared" si="7"/>
        <v>0</v>
      </c>
      <c r="N751" s="274"/>
    </row>
    <row r="752" spans="5:14" ht="13.5" customHeight="1">
      <c r="E752" s="209" t="s">
        <v>928</v>
      </c>
      <c r="F752" s="209" t="s">
        <v>2463</v>
      </c>
      <c r="G752" s="410" t="str">
        <f t="shared" si="8"/>
        <v>16-16</v>
      </c>
      <c r="H752" s="273" t="e">
        <f ca="1">_xludf.IFNA(VLOOKUP(Aragon!E752,'Kilter Holds'!$P$37:$AB$662,8,0),0)</f>
        <v>#NAME?</v>
      </c>
      <c r="I752" s="274"/>
      <c r="J752" s="274" t="e">
        <f t="shared" ca="1" si="6"/>
        <v>#NAME?</v>
      </c>
      <c r="K752" s="274">
        <f t="shared" si="7"/>
        <v>0</v>
      </c>
      <c r="N752" s="274"/>
    </row>
    <row r="753" spans="5:14" ht="13.5" customHeight="1">
      <c r="E753" s="209" t="s">
        <v>928</v>
      </c>
      <c r="F753" s="209" t="s">
        <v>2463</v>
      </c>
      <c r="G753" s="411" t="str">
        <f t="shared" si="8"/>
        <v>13-01</v>
      </c>
      <c r="H753" s="273" t="e">
        <f ca="1">_xludf.IFNA(VLOOKUP(Aragon!E753,'Kilter Holds'!$P$37:$AB$662,9,0),0)</f>
        <v>#NAME?</v>
      </c>
      <c r="I753" s="274"/>
      <c r="J753" s="274" t="e">
        <f t="shared" ca="1" si="6"/>
        <v>#NAME?</v>
      </c>
      <c r="K753" s="274">
        <f t="shared" si="7"/>
        <v>0</v>
      </c>
      <c r="N753" s="274"/>
    </row>
    <row r="754" spans="5:14" ht="13.5" customHeight="1">
      <c r="E754" s="209" t="s">
        <v>928</v>
      </c>
      <c r="F754" s="209" t="s">
        <v>2463</v>
      </c>
      <c r="G754" s="413" t="str">
        <f t="shared" si="8"/>
        <v>07-13</v>
      </c>
      <c r="H754" s="273" t="e">
        <f ca="1">_xludf.IFNA(VLOOKUP(Aragon!E754,'Kilter Holds'!$P$37:$AB$662,10,0),0)</f>
        <v>#NAME?</v>
      </c>
      <c r="I754" s="274"/>
      <c r="J754" s="274" t="e">
        <f t="shared" ca="1" si="6"/>
        <v>#NAME?</v>
      </c>
      <c r="K754" s="274">
        <f t="shared" si="7"/>
        <v>0</v>
      </c>
      <c r="N754" s="274"/>
    </row>
    <row r="755" spans="5:14" ht="13.5" customHeight="1">
      <c r="E755" s="209" t="s">
        <v>928</v>
      </c>
      <c r="F755" s="209" t="s">
        <v>2463</v>
      </c>
      <c r="G755" s="414" t="str">
        <f t="shared" si="8"/>
        <v>11-26</v>
      </c>
      <c r="H755" s="273" t="e">
        <f ca="1">_xludf.IFNA(VLOOKUP(Aragon!E755,'Kilter Holds'!$P$37:$AB$662,11,0),0)</f>
        <v>#NAME?</v>
      </c>
      <c r="I755" s="274"/>
      <c r="J755" s="274" t="e">
        <f t="shared" ca="1" si="6"/>
        <v>#NAME?</v>
      </c>
      <c r="K755" s="274">
        <f t="shared" si="7"/>
        <v>0</v>
      </c>
      <c r="N755" s="274"/>
    </row>
    <row r="756" spans="5:14" ht="13.5" customHeight="1">
      <c r="E756" s="209" t="s">
        <v>928</v>
      </c>
      <c r="F756" s="209" t="s">
        <v>2463</v>
      </c>
      <c r="G756" s="415" t="str">
        <f t="shared" si="8"/>
        <v>18-01</v>
      </c>
      <c r="H756" s="273" t="e">
        <f ca="1">_xludf.IFNA(VLOOKUP(Aragon!E756,'Kilter Holds'!$P$37:$AB$662,12,0),0)</f>
        <v>#NAME?</v>
      </c>
      <c r="I756" s="274"/>
      <c r="J756" s="274" t="e">
        <f t="shared" ca="1" si="6"/>
        <v>#NAME?</v>
      </c>
      <c r="K756" s="274">
        <f t="shared" si="7"/>
        <v>0</v>
      </c>
      <c r="N756" s="274"/>
    </row>
    <row r="757" spans="5:14" ht="13.5" customHeight="1">
      <c r="E757" s="209" t="s">
        <v>928</v>
      </c>
      <c r="F757" s="209" t="s">
        <v>2463</v>
      </c>
      <c r="G757" s="416" t="str">
        <f t="shared" si="8"/>
        <v>Color Code</v>
      </c>
      <c r="H757" s="273" t="e">
        <f ca="1">_xludf.IFNA(VLOOKUP(Aragon!E757,'Kilter Holds'!$P$37:$AB$662,13,0),0)</f>
        <v>#NAME?</v>
      </c>
      <c r="I757" s="274"/>
      <c r="J757" s="274" t="e">
        <f t="shared" ca="1" si="6"/>
        <v>#NAME?</v>
      </c>
      <c r="K757" s="274">
        <f t="shared" si="7"/>
        <v>0</v>
      </c>
      <c r="N757" s="274"/>
    </row>
    <row r="758" spans="5:14" ht="13.5" customHeight="1">
      <c r="E758" s="209" t="s">
        <v>1075</v>
      </c>
      <c r="F758" s="209" t="s">
        <v>2464</v>
      </c>
      <c r="G758" s="406" t="str">
        <f t="shared" si="8"/>
        <v>11-12</v>
      </c>
      <c r="H758" s="273" t="e">
        <f ca="1">_xludf.IFNA(VLOOKUP(Aragon!E758,'Kilter Holds'!$P$37:$AB$662,5,0),0)</f>
        <v>#NAME?</v>
      </c>
      <c r="I758" s="274"/>
      <c r="J758" s="274" t="e">
        <f t="shared" ca="1" si="6"/>
        <v>#NAME?</v>
      </c>
      <c r="K758" s="274">
        <f t="shared" si="7"/>
        <v>0</v>
      </c>
      <c r="N758" s="274"/>
    </row>
    <row r="759" spans="5:14" ht="13.5" customHeight="1">
      <c r="E759" s="209" t="s">
        <v>1075</v>
      </c>
      <c r="F759" s="209" t="s">
        <v>2464</v>
      </c>
      <c r="G759" s="408" t="str">
        <f t="shared" si="8"/>
        <v>14-01</v>
      </c>
      <c r="H759" s="273" t="e">
        <f ca="1">_xludf.IFNA(VLOOKUP(Aragon!E759,'Kilter Holds'!$P$37:$AB$662,6,0),0)</f>
        <v>#NAME?</v>
      </c>
      <c r="I759" s="274"/>
      <c r="J759" s="274" t="e">
        <f t="shared" ca="1" si="6"/>
        <v>#NAME?</v>
      </c>
      <c r="K759" s="274">
        <f t="shared" si="7"/>
        <v>0</v>
      </c>
      <c r="N759" s="274"/>
    </row>
    <row r="760" spans="5:14" ht="13.5" customHeight="1">
      <c r="E760" s="209" t="s">
        <v>1075</v>
      </c>
      <c r="F760" s="209" t="s">
        <v>2464</v>
      </c>
      <c r="G760" s="409" t="str">
        <f t="shared" si="8"/>
        <v>15-12</v>
      </c>
      <c r="H760" s="273" t="e">
        <f ca="1">_xludf.IFNA(VLOOKUP(Aragon!E760,'Kilter Holds'!$P$37:$AB$662,7,0),0)</f>
        <v>#NAME?</v>
      </c>
      <c r="I760" s="274"/>
      <c r="J760" s="274" t="e">
        <f t="shared" ca="1" si="6"/>
        <v>#NAME?</v>
      </c>
      <c r="K760" s="274">
        <f t="shared" si="7"/>
        <v>0</v>
      </c>
      <c r="N760" s="274"/>
    </row>
    <row r="761" spans="5:14" ht="13.5" customHeight="1">
      <c r="E761" s="209" t="s">
        <v>1075</v>
      </c>
      <c r="F761" s="209" t="s">
        <v>2464</v>
      </c>
      <c r="G761" s="410" t="str">
        <f t="shared" si="8"/>
        <v>16-16</v>
      </c>
      <c r="H761" s="273" t="e">
        <f ca="1">_xludf.IFNA(VLOOKUP(Aragon!E761,'Kilter Holds'!$P$37:$AB$662,8,0),0)</f>
        <v>#NAME?</v>
      </c>
      <c r="I761" s="274"/>
      <c r="J761" s="274" t="e">
        <f t="shared" ca="1" si="6"/>
        <v>#NAME?</v>
      </c>
      <c r="K761" s="274">
        <f t="shared" si="7"/>
        <v>0</v>
      </c>
      <c r="N761" s="274"/>
    </row>
    <row r="762" spans="5:14" ht="13.5" customHeight="1">
      <c r="E762" s="209" t="s">
        <v>1075</v>
      </c>
      <c r="F762" s="209" t="s">
        <v>2464</v>
      </c>
      <c r="G762" s="411" t="str">
        <f t="shared" si="8"/>
        <v>13-01</v>
      </c>
      <c r="H762" s="273" t="e">
        <f ca="1">_xludf.IFNA(VLOOKUP(Aragon!E762,'Kilter Holds'!$P$37:$AB$662,9,0),0)</f>
        <v>#NAME?</v>
      </c>
      <c r="I762" s="274"/>
      <c r="J762" s="274" t="e">
        <f t="shared" ca="1" si="6"/>
        <v>#NAME?</v>
      </c>
      <c r="K762" s="274">
        <f t="shared" si="7"/>
        <v>0</v>
      </c>
      <c r="N762" s="274"/>
    </row>
    <row r="763" spans="5:14" ht="13.5" customHeight="1">
      <c r="E763" s="209" t="s">
        <v>1075</v>
      </c>
      <c r="F763" s="209" t="s">
        <v>2464</v>
      </c>
      <c r="G763" s="413" t="str">
        <f t="shared" si="8"/>
        <v>07-13</v>
      </c>
      <c r="H763" s="273" t="e">
        <f ca="1">_xludf.IFNA(VLOOKUP(Aragon!E763,'Kilter Holds'!$P$37:$AB$662,10,0),0)</f>
        <v>#NAME?</v>
      </c>
      <c r="I763" s="274"/>
      <c r="J763" s="274" t="e">
        <f t="shared" ca="1" si="6"/>
        <v>#NAME?</v>
      </c>
      <c r="K763" s="274">
        <f t="shared" si="7"/>
        <v>0</v>
      </c>
      <c r="N763" s="274"/>
    </row>
    <row r="764" spans="5:14" ht="13.5" customHeight="1">
      <c r="E764" s="209" t="s">
        <v>1075</v>
      </c>
      <c r="F764" s="209" t="s">
        <v>2464</v>
      </c>
      <c r="G764" s="414" t="str">
        <f t="shared" si="8"/>
        <v>11-26</v>
      </c>
      <c r="H764" s="273" t="e">
        <f ca="1">_xludf.IFNA(VLOOKUP(Aragon!E764,'Kilter Holds'!$P$37:$AB$662,11,0),0)</f>
        <v>#NAME?</v>
      </c>
      <c r="I764" s="274"/>
      <c r="J764" s="274" t="e">
        <f t="shared" ca="1" si="6"/>
        <v>#NAME?</v>
      </c>
      <c r="K764" s="274">
        <f t="shared" si="7"/>
        <v>0</v>
      </c>
      <c r="N764" s="274"/>
    </row>
    <row r="765" spans="5:14" ht="13.5" customHeight="1">
      <c r="E765" s="209" t="s">
        <v>1075</v>
      </c>
      <c r="F765" s="209" t="s">
        <v>2464</v>
      </c>
      <c r="G765" s="415" t="str">
        <f t="shared" si="8"/>
        <v>18-01</v>
      </c>
      <c r="H765" s="273" t="e">
        <f ca="1">_xludf.IFNA(VLOOKUP(Aragon!E765,'Kilter Holds'!$P$37:$AB$662,12,0),0)</f>
        <v>#NAME?</v>
      </c>
      <c r="I765" s="274"/>
      <c r="J765" s="274" t="e">
        <f t="shared" ca="1" si="6"/>
        <v>#NAME?</v>
      </c>
      <c r="K765" s="274">
        <f t="shared" si="7"/>
        <v>0</v>
      </c>
      <c r="N765" s="274"/>
    </row>
    <row r="766" spans="5:14" ht="13.5" customHeight="1">
      <c r="E766" s="209" t="s">
        <v>1075</v>
      </c>
      <c r="F766" s="209" t="s">
        <v>2464</v>
      </c>
      <c r="G766" s="416" t="str">
        <f t="shared" si="8"/>
        <v>Color Code</v>
      </c>
      <c r="H766" s="273" t="e">
        <f ca="1">_xludf.IFNA(VLOOKUP(Aragon!E766,'Kilter Holds'!$P$37:$AB$662,13,0),0)</f>
        <v>#NAME?</v>
      </c>
      <c r="I766" s="274"/>
      <c r="J766" s="274" t="e">
        <f t="shared" ca="1" si="6"/>
        <v>#NAME?</v>
      </c>
      <c r="K766" s="274">
        <f t="shared" si="7"/>
        <v>0</v>
      </c>
      <c r="N766" s="274"/>
    </row>
    <row r="767" spans="5:14" ht="13.5" customHeight="1">
      <c r="E767" s="209" t="s">
        <v>1077</v>
      </c>
      <c r="F767" s="209" t="s">
        <v>2465</v>
      </c>
      <c r="G767" s="406" t="str">
        <f t="shared" si="8"/>
        <v>11-12</v>
      </c>
      <c r="H767" s="273" t="e">
        <f ca="1">_xludf.IFNA(VLOOKUP(Aragon!E767,'Kilter Holds'!$P$37:$AB$662,5,0),0)</f>
        <v>#NAME?</v>
      </c>
      <c r="I767" s="274"/>
      <c r="J767" s="274" t="e">
        <f t="shared" ref="J767:J1021" ca="1" si="9">H767*I767</f>
        <v>#NAME?</v>
      </c>
      <c r="K767" s="274">
        <f t="shared" ref="K767:K1021" si="10">IF($V$11="Y",J767*0.05,0)</f>
        <v>0</v>
      </c>
      <c r="N767" s="274"/>
    </row>
    <row r="768" spans="5:14" ht="13.5" customHeight="1">
      <c r="E768" s="209" t="s">
        <v>1077</v>
      </c>
      <c r="F768" s="209" t="s">
        <v>2465</v>
      </c>
      <c r="G768" s="408" t="str">
        <f t="shared" si="8"/>
        <v>14-01</v>
      </c>
      <c r="H768" s="273" t="e">
        <f ca="1">_xludf.IFNA(VLOOKUP(Aragon!E768,'Kilter Holds'!$P$37:$AB$662,6,0),0)</f>
        <v>#NAME?</v>
      </c>
      <c r="I768" s="274"/>
      <c r="J768" s="274" t="e">
        <f t="shared" ca="1" si="9"/>
        <v>#NAME?</v>
      </c>
      <c r="K768" s="274">
        <f t="shared" si="10"/>
        <v>0</v>
      </c>
      <c r="N768" s="274"/>
    </row>
    <row r="769" spans="5:14" ht="13.5" customHeight="1">
      <c r="E769" s="209" t="s">
        <v>1077</v>
      </c>
      <c r="F769" s="209" t="s">
        <v>2465</v>
      </c>
      <c r="G769" s="409" t="str">
        <f t="shared" si="8"/>
        <v>15-12</v>
      </c>
      <c r="H769" s="273" t="e">
        <f ca="1">_xludf.IFNA(VLOOKUP(Aragon!E769,'Kilter Holds'!$P$37:$AB$662,7,0),0)</f>
        <v>#NAME?</v>
      </c>
      <c r="I769" s="274"/>
      <c r="J769" s="274" t="e">
        <f t="shared" ca="1" si="9"/>
        <v>#NAME?</v>
      </c>
      <c r="K769" s="274">
        <f t="shared" si="10"/>
        <v>0</v>
      </c>
      <c r="N769" s="274"/>
    </row>
    <row r="770" spans="5:14" ht="13.5" customHeight="1">
      <c r="E770" s="209" t="s">
        <v>1077</v>
      </c>
      <c r="F770" s="209" t="s">
        <v>2465</v>
      </c>
      <c r="G770" s="410" t="str">
        <f t="shared" si="8"/>
        <v>16-16</v>
      </c>
      <c r="H770" s="273" t="e">
        <f ca="1">_xludf.IFNA(VLOOKUP(Aragon!E770,'Kilter Holds'!$P$37:$AB$662,8,0),0)</f>
        <v>#NAME?</v>
      </c>
      <c r="I770" s="274"/>
      <c r="J770" s="274" t="e">
        <f t="shared" ca="1" si="9"/>
        <v>#NAME?</v>
      </c>
      <c r="K770" s="274">
        <f t="shared" si="10"/>
        <v>0</v>
      </c>
      <c r="N770" s="274"/>
    </row>
    <row r="771" spans="5:14" ht="13.5" customHeight="1">
      <c r="E771" s="209" t="s">
        <v>1077</v>
      </c>
      <c r="F771" s="209" t="s">
        <v>2465</v>
      </c>
      <c r="G771" s="411" t="str">
        <f t="shared" si="8"/>
        <v>13-01</v>
      </c>
      <c r="H771" s="273" t="e">
        <f ca="1">_xludf.IFNA(VLOOKUP(Aragon!E771,'Kilter Holds'!$P$37:$AB$662,9,0),0)</f>
        <v>#NAME?</v>
      </c>
      <c r="I771" s="274"/>
      <c r="J771" s="274" t="e">
        <f t="shared" ca="1" si="9"/>
        <v>#NAME?</v>
      </c>
      <c r="K771" s="274">
        <f t="shared" si="10"/>
        <v>0</v>
      </c>
      <c r="N771" s="274"/>
    </row>
    <row r="772" spans="5:14" ht="13.5" customHeight="1">
      <c r="E772" s="209" t="s">
        <v>1077</v>
      </c>
      <c r="F772" s="209" t="s">
        <v>2465</v>
      </c>
      <c r="G772" s="413" t="str">
        <f t="shared" si="8"/>
        <v>07-13</v>
      </c>
      <c r="H772" s="273" t="e">
        <f ca="1">_xludf.IFNA(VLOOKUP(Aragon!E772,'Kilter Holds'!$P$37:$AB$662,10,0),0)</f>
        <v>#NAME?</v>
      </c>
      <c r="I772" s="274"/>
      <c r="J772" s="274" t="e">
        <f t="shared" ca="1" si="9"/>
        <v>#NAME?</v>
      </c>
      <c r="K772" s="274">
        <f t="shared" si="10"/>
        <v>0</v>
      </c>
      <c r="N772" s="274"/>
    </row>
    <row r="773" spans="5:14" ht="13.5" customHeight="1">
      <c r="E773" s="209" t="s">
        <v>1077</v>
      </c>
      <c r="F773" s="209" t="s">
        <v>2465</v>
      </c>
      <c r="G773" s="414" t="str">
        <f t="shared" si="8"/>
        <v>11-26</v>
      </c>
      <c r="H773" s="273" t="e">
        <f ca="1">_xludf.IFNA(VLOOKUP(Aragon!E773,'Kilter Holds'!$P$37:$AB$662,11,0),0)</f>
        <v>#NAME?</v>
      </c>
      <c r="I773" s="274"/>
      <c r="J773" s="274" t="e">
        <f t="shared" ca="1" si="9"/>
        <v>#NAME?</v>
      </c>
      <c r="K773" s="274">
        <f t="shared" si="10"/>
        <v>0</v>
      </c>
      <c r="N773" s="274"/>
    </row>
    <row r="774" spans="5:14" ht="13.5" customHeight="1">
      <c r="E774" s="209" t="s">
        <v>1077</v>
      </c>
      <c r="F774" s="209" t="s">
        <v>2465</v>
      </c>
      <c r="G774" s="415" t="str">
        <f t="shared" si="8"/>
        <v>18-01</v>
      </c>
      <c r="H774" s="273" t="e">
        <f ca="1">_xludf.IFNA(VLOOKUP(Aragon!E774,'Kilter Holds'!$P$37:$AB$662,12,0),0)</f>
        <v>#NAME?</v>
      </c>
      <c r="I774" s="274"/>
      <c r="J774" s="274" t="e">
        <f t="shared" ca="1" si="9"/>
        <v>#NAME?</v>
      </c>
      <c r="K774" s="274">
        <f t="shared" si="10"/>
        <v>0</v>
      </c>
      <c r="N774" s="274"/>
    </row>
    <row r="775" spans="5:14" ht="13.5" customHeight="1">
      <c r="E775" s="209" t="s">
        <v>1077</v>
      </c>
      <c r="F775" s="209" t="s">
        <v>2465</v>
      </c>
      <c r="G775" s="416" t="str">
        <f t="shared" si="8"/>
        <v>Color Code</v>
      </c>
      <c r="H775" s="273" t="e">
        <f ca="1">_xludf.IFNA(VLOOKUP(Aragon!E775,'Kilter Holds'!$P$37:$AB$662,13,0),0)</f>
        <v>#NAME?</v>
      </c>
      <c r="I775" s="274"/>
      <c r="J775" s="274" t="e">
        <f t="shared" ca="1" si="9"/>
        <v>#NAME?</v>
      </c>
      <c r="K775" s="274">
        <f t="shared" si="10"/>
        <v>0</v>
      </c>
      <c r="N775" s="274"/>
    </row>
    <row r="776" spans="5:14" ht="13.5" customHeight="1">
      <c r="E776" s="209" t="s">
        <v>1079</v>
      </c>
      <c r="F776" s="209" t="s">
        <v>2466</v>
      </c>
      <c r="G776" s="406" t="str">
        <f t="shared" ref="G776:G1030" si="11">G767</f>
        <v>11-12</v>
      </c>
      <c r="H776" s="273" t="e">
        <f ca="1">_xludf.IFNA(VLOOKUP(Aragon!E776,'Kilter Holds'!$P$37:$AB$662,5,0),0)</f>
        <v>#NAME?</v>
      </c>
      <c r="I776" s="274"/>
      <c r="J776" s="274" t="e">
        <f t="shared" ca="1" si="9"/>
        <v>#NAME?</v>
      </c>
      <c r="K776" s="274">
        <f t="shared" si="10"/>
        <v>0</v>
      </c>
      <c r="N776" s="274"/>
    </row>
    <row r="777" spans="5:14" ht="13.5" customHeight="1">
      <c r="E777" s="209" t="s">
        <v>1079</v>
      </c>
      <c r="F777" s="209" t="s">
        <v>2466</v>
      </c>
      <c r="G777" s="408" t="str">
        <f t="shared" si="11"/>
        <v>14-01</v>
      </c>
      <c r="H777" s="273" t="e">
        <f ca="1">_xludf.IFNA(VLOOKUP(Aragon!E777,'Kilter Holds'!$P$37:$AB$662,6,0),0)</f>
        <v>#NAME?</v>
      </c>
      <c r="I777" s="274"/>
      <c r="J777" s="274" t="e">
        <f t="shared" ca="1" si="9"/>
        <v>#NAME?</v>
      </c>
      <c r="K777" s="274">
        <f t="shared" si="10"/>
        <v>0</v>
      </c>
      <c r="N777" s="274"/>
    </row>
    <row r="778" spans="5:14" ht="13.5" customHeight="1">
      <c r="E778" s="209" t="s">
        <v>1079</v>
      </c>
      <c r="F778" s="209" t="s">
        <v>2466</v>
      </c>
      <c r="G778" s="409" t="str">
        <f t="shared" si="11"/>
        <v>15-12</v>
      </c>
      <c r="H778" s="273" t="e">
        <f ca="1">_xludf.IFNA(VLOOKUP(Aragon!E778,'Kilter Holds'!$P$37:$AB$662,7,0),0)</f>
        <v>#NAME?</v>
      </c>
      <c r="I778" s="274"/>
      <c r="J778" s="274" t="e">
        <f t="shared" ca="1" si="9"/>
        <v>#NAME?</v>
      </c>
      <c r="K778" s="274">
        <f t="shared" si="10"/>
        <v>0</v>
      </c>
      <c r="N778" s="274"/>
    </row>
    <row r="779" spans="5:14" ht="13.5" customHeight="1">
      <c r="E779" s="209" t="s">
        <v>1079</v>
      </c>
      <c r="F779" s="209" t="s">
        <v>2466</v>
      </c>
      <c r="G779" s="410" t="str">
        <f t="shared" si="11"/>
        <v>16-16</v>
      </c>
      <c r="H779" s="273" t="e">
        <f ca="1">_xludf.IFNA(VLOOKUP(Aragon!E779,'Kilter Holds'!$P$37:$AB$662,8,0),0)</f>
        <v>#NAME?</v>
      </c>
      <c r="I779" s="274"/>
      <c r="J779" s="274" t="e">
        <f t="shared" ca="1" si="9"/>
        <v>#NAME?</v>
      </c>
      <c r="K779" s="274">
        <f t="shared" si="10"/>
        <v>0</v>
      </c>
      <c r="N779" s="274"/>
    </row>
    <row r="780" spans="5:14" ht="13.5" customHeight="1">
      <c r="E780" s="209" t="s">
        <v>1079</v>
      </c>
      <c r="F780" s="209" t="s">
        <v>2466</v>
      </c>
      <c r="G780" s="411" t="str">
        <f t="shared" si="11"/>
        <v>13-01</v>
      </c>
      <c r="H780" s="273" t="e">
        <f ca="1">_xludf.IFNA(VLOOKUP(Aragon!E780,'Kilter Holds'!$P$37:$AB$662,9,0),0)</f>
        <v>#NAME?</v>
      </c>
      <c r="I780" s="274"/>
      <c r="J780" s="274" t="e">
        <f t="shared" ca="1" si="9"/>
        <v>#NAME?</v>
      </c>
      <c r="K780" s="274">
        <f t="shared" si="10"/>
        <v>0</v>
      </c>
      <c r="N780" s="274"/>
    </row>
    <row r="781" spans="5:14" ht="13.5" customHeight="1">
      <c r="E781" s="209" t="s">
        <v>1079</v>
      </c>
      <c r="F781" s="209" t="s">
        <v>2466</v>
      </c>
      <c r="G781" s="413" t="str">
        <f t="shared" si="11"/>
        <v>07-13</v>
      </c>
      <c r="H781" s="273" t="e">
        <f ca="1">_xludf.IFNA(VLOOKUP(Aragon!E781,'Kilter Holds'!$P$37:$AB$662,10,0),0)</f>
        <v>#NAME?</v>
      </c>
      <c r="I781" s="274"/>
      <c r="J781" s="274" t="e">
        <f t="shared" ca="1" si="9"/>
        <v>#NAME?</v>
      </c>
      <c r="K781" s="274">
        <f t="shared" si="10"/>
        <v>0</v>
      </c>
      <c r="N781" s="274"/>
    </row>
    <row r="782" spans="5:14" ht="13.5" customHeight="1">
      <c r="E782" s="209" t="s">
        <v>1079</v>
      </c>
      <c r="F782" s="209" t="s">
        <v>2466</v>
      </c>
      <c r="G782" s="414" t="str">
        <f t="shared" si="11"/>
        <v>11-26</v>
      </c>
      <c r="H782" s="273" t="e">
        <f ca="1">_xludf.IFNA(VLOOKUP(Aragon!E782,'Kilter Holds'!$P$37:$AB$662,11,0),0)</f>
        <v>#NAME?</v>
      </c>
      <c r="I782" s="274"/>
      <c r="J782" s="274" t="e">
        <f t="shared" ca="1" si="9"/>
        <v>#NAME?</v>
      </c>
      <c r="K782" s="274">
        <f t="shared" si="10"/>
        <v>0</v>
      </c>
      <c r="N782" s="274"/>
    </row>
    <row r="783" spans="5:14" ht="13.5" customHeight="1">
      <c r="E783" s="209" t="s">
        <v>1079</v>
      </c>
      <c r="F783" s="209" t="s">
        <v>2466</v>
      </c>
      <c r="G783" s="415" t="str">
        <f t="shared" si="11"/>
        <v>18-01</v>
      </c>
      <c r="H783" s="273" t="e">
        <f ca="1">_xludf.IFNA(VLOOKUP(Aragon!E783,'Kilter Holds'!$P$37:$AB$662,12,0),0)</f>
        <v>#NAME?</v>
      </c>
      <c r="I783" s="274"/>
      <c r="J783" s="274" t="e">
        <f t="shared" ca="1" si="9"/>
        <v>#NAME?</v>
      </c>
      <c r="K783" s="274">
        <f t="shared" si="10"/>
        <v>0</v>
      </c>
      <c r="N783" s="274"/>
    </row>
    <row r="784" spans="5:14" ht="13.5" customHeight="1">
      <c r="E784" s="209" t="s">
        <v>1079</v>
      </c>
      <c r="F784" s="209" t="s">
        <v>2466</v>
      </c>
      <c r="G784" s="416" t="str">
        <f t="shared" si="11"/>
        <v>Color Code</v>
      </c>
      <c r="H784" s="273" t="e">
        <f ca="1">_xludf.IFNA(VLOOKUP(Aragon!E784,'Kilter Holds'!$P$37:$AB$662,13,0),0)</f>
        <v>#NAME?</v>
      </c>
      <c r="I784" s="274"/>
      <c r="J784" s="274" t="e">
        <f t="shared" ca="1" si="9"/>
        <v>#NAME?</v>
      </c>
      <c r="K784" s="274">
        <f t="shared" si="10"/>
        <v>0</v>
      </c>
      <c r="N784" s="274"/>
    </row>
    <row r="785" spans="5:14" ht="13.5" customHeight="1">
      <c r="E785" s="209" t="s">
        <v>1081</v>
      </c>
      <c r="F785" s="209" t="s">
        <v>2467</v>
      </c>
      <c r="G785" s="406" t="str">
        <f t="shared" si="11"/>
        <v>11-12</v>
      </c>
      <c r="H785" s="273" t="e">
        <f ca="1">_xludf.IFNA(VLOOKUP(Aragon!E785,'Kilter Holds'!$P$37:$AB$662,5,0),0)</f>
        <v>#NAME?</v>
      </c>
      <c r="I785" s="274"/>
      <c r="J785" s="274" t="e">
        <f t="shared" ca="1" si="9"/>
        <v>#NAME?</v>
      </c>
      <c r="K785" s="274">
        <f t="shared" si="10"/>
        <v>0</v>
      </c>
      <c r="N785" s="274"/>
    </row>
    <row r="786" spans="5:14" ht="13.5" customHeight="1">
      <c r="E786" s="209" t="s">
        <v>1081</v>
      </c>
      <c r="F786" s="209" t="s">
        <v>2467</v>
      </c>
      <c r="G786" s="408" t="str">
        <f t="shared" si="11"/>
        <v>14-01</v>
      </c>
      <c r="H786" s="273" t="e">
        <f ca="1">_xludf.IFNA(VLOOKUP(Aragon!E786,'Kilter Holds'!$P$37:$AB$662,6,0),0)</f>
        <v>#NAME?</v>
      </c>
      <c r="I786" s="274"/>
      <c r="J786" s="274" t="e">
        <f t="shared" ca="1" si="9"/>
        <v>#NAME?</v>
      </c>
      <c r="K786" s="274">
        <f t="shared" si="10"/>
        <v>0</v>
      </c>
      <c r="N786" s="274"/>
    </row>
    <row r="787" spans="5:14" ht="13.5" customHeight="1">
      <c r="E787" s="209" t="s">
        <v>1081</v>
      </c>
      <c r="F787" s="209" t="s">
        <v>2467</v>
      </c>
      <c r="G787" s="409" t="str">
        <f t="shared" si="11"/>
        <v>15-12</v>
      </c>
      <c r="H787" s="273" t="e">
        <f ca="1">_xludf.IFNA(VLOOKUP(Aragon!E787,'Kilter Holds'!$P$37:$AB$662,7,0),0)</f>
        <v>#NAME?</v>
      </c>
      <c r="I787" s="274"/>
      <c r="J787" s="274" t="e">
        <f t="shared" ca="1" si="9"/>
        <v>#NAME?</v>
      </c>
      <c r="K787" s="274">
        <f t="shared" si="10"/>
        <v>0</v>
      </c>
      <c r="N787" s="274"/>
    </row>
    <row r="788" spans="5:14" ht="13.5" customHeight="1">
      <c r="E788" s="209" t="s">
        <v>1081</v>
      </c>
      <c r="F788" s="209" t="s">
        <v>2467</v>
      </c>
      <c r="G788" s="410" t="str">
        <f t="shared" si="11"/>
        <v>16-16</v>
      </c>
      <c r="H788" s="273" t="e">
        <f ca="1">_xludf.IFNA(VLOOKUP(Aragon!E788,'Kilter Holds'!$P$37:$AB$662,8,0),0)</f>
        <v>#NAME?</v>
      </c>
      <c r="I788" s="274"/>
      <c r="J788" s="274" t="e">
        <f t="shared" ca="1" si="9"/>
        <v>#NAME?</v>
      </c>
      <c r="K788" s="274">
        <f t="shared" si="10"/>
        <v>0</v>
      </c>
      <c r="N788" s="274"/>
    </row>
    <row r="789" spans="5:14" ht="13.5" customHeight="1">
      <c r="E789" s="209" t="s">
        <v>1081</v>
      </c>
      <c r="F789" s="209" t="s">
        <v>2467</v>
      </c>
      <c r="G789" s="411" t="str">
        <f t="shared" si="11"/>
        <v>13-01</v>
      </c>
      <c r="H789" s="273" t="e">
        <f ca="1">_xludf.IFNA(VLOOKUP(Aragon!E789,'Kilter Holds'!$P$37:$AB$662,9,0),0)</f>
        <v>#NAME?</v>
      </c>
      <c r="I789" s="274"/>
      <c r="J789" s="274" t="e">
        <f t="shared" ca="1" si="9"/>
        <v>#NAME?</v>
      </c>
      <c r="K789" s="274">
        <f t="shared" si="10"/>
        <v>0</v>
      </c>
      <c r="N789" s="274"/>
    </row>
    <row r="790" spans="5:14" ht="13.5" customHeight="1">
      <c r="E790" s="209" t="s">
        <v>1081</v>
      </c>
      <c r="F790" s="209" t="s">
        <v>2467</v>
      </c>
      <c r="G790" s="413" t="str">
        <f t="shared" si="11"/>
        <v>07-13</v>
      </c>
      <c r="H790" s="273" t="e">
        <f ca="1">_xludf.IFNA(VLOOKUP(Aragon!E790,'Kilter Holds'!$P$37:$AB$662,10,0),0)</f>
        <v>#NAME?</v>
      </c>
      <c r="I790" s="274"/>
      <c r="J790" s="274" t="e">
        <f t="shared" ca="1" si="9"/>
        <v>#NAME?</v>
      </c>
      <c r="K790" s="274">
        <f t="shared" si="10"/>
        <v>0</v>
      </c>
      <c r="N790" s="274"/>
    </row>
    <row r="791" spans="5:14" ht="13.5" customHeight="1">
      <c r="E791" s="209" t="s">
        <v>1081</v>
      </c>
      <c r="F791" s="209" t="s">
        <v>2467</v>
      </c>
      <c r="G791" s="414" t="str">
        <f t="shared" si="11"/>
        <v>11-26</v>
      </c>
      <c r="H791" s="273" t="e">
        <f ca="1">_xludf.IFNA(VLOOKUP(Aragon!E791,'Kilter Holds'!$P$37:$AB$662,11,0),0)</f>
        <v>#NAME?</v>
      </c>
      <c r="I791" s="274"/>
      <c r="J791" s="274" t="e">
        <f t="shared" ca="1" si="9"/>
        <v>#NAME?</v>
      </c>
      <c r="K791" s="274">
        <f t="shared" si="10"/>
        <v>0</v>
      </c>
      <c r="N791" s="274"/>
    </row>
    <row r="792" spans="5:14" ht="13.5" customHeight="1">
      <c r="E792" s="209" t="s">
        <v>1081</v>
      </c>
      <c r="F792" s="209" t="s">
        <v>2467</v>
      </c>
      <c r="G792" s="415" t="str">
        <f t="shared" si="11"/>
        <v>18-01</v>
      </c>
      <c r="H792" s="273" t="e">
        <f ca="1">_xludf.IFNA(VLOOKUP(Aragon!E792,'Kilter Holds'!$P$37:$AB$662,12,0),0)</f>
        <v>#NAME?</v>
      </c>
      <c r="I792" s="274"/>
      <c r="J792" s="274" t="e">
        <f t="shared" ca="1" si="9"/>
        <v>#NAME?</v>
      </c>
      <c r="K792" s="274">
        <f t="shared" si="10"/>
        <v>0</v>
      </c>
      <c r="N792" s="274"/>
    </row>
    <row r="793" spans="5:14" ht="13.5" customHeight="1">
      <c r="E793" s="209" t="s">
        <v>1081</v>
      </c>
      <c r="F793" s="209" t="s">
        <v>2467</v>
      </c>
      <c r="G793" s="416" t="str">
        <f t="shared" si="11"/>
        <v>Color Code</v>
      </c>
      <c r="H793" s="273" t="e">
        <f ca="1">_xludf.IFNA(VLOOKUP(Aragon!E793,'Kilter Holds'!$P$37:$AB$662,13,0),0)</f>
        <v>#NAME?</v>
      </c>
      <c r="I793" s="274"/>
      <c r="J793" s="274" t="e">
        <f t="shared" ca="1" si="9"/>
        <v>#NAME?</v>
      </c>
      <c r="K793" s="274">
        <f t="shared" si="10"/>
        <v>0</v>
      </c>
      <c r="N793" s="274"/>
    </row>
    <row r="794" spans="5:14" ht="13.5" customHeight="1">
      <c r="E794" s="209" t="s">
        <v>1083</v>
      </c>
      <c r="F794" s="209" t="s">
        <v>2468</v>
      </c>
      <c r="G794" s="406" t="str">
        <f t="shared" si="11"/>
        <v>11-12</v>
      </c>
      <c r="H794" s="273" t="e">
        <f ca="1">_xludf.IFNA(VLOOKUP(Aragon!E794,'Kilter Holds'!$P$37:$AB$662,5,0),0)</f>
        <v>#NAME?</v>
      </c>
      <c r="I794" s="274"/>
      <c r="J794" s="274" t="e">
        <f t="shared" ca="1" si="9"/>
        <v>#NAME?</v>
      </c>
      <c r="K794" s="274">
        <f t="shared" si="10"/>
        <v>0</v>
      </c>
      <c r="N794" s="274"/>
    </row>
    <row r="795" spans="5:14" ht="13.5" customHeight="1">
      <c r="E795" s="209" t="s">
        <v>1083</v>
      </c>
      <c r="F795" s="209" t="s">
        <v>2468</v>
      </c>
      <c r="G795" s="408" t="str">
        <f t="shared" si="11"/>
        <v>14-01</v>
      </c>
      <c r="H795" s="273" t="e">
        <f ca="1">_xludf.IFNA(VLOOKUP(Aragon!E795,'Kilter Holds'!$P$37:$AB$662,6,0),0)</f>
        <v>#NAME?</v>
      </c>
      <c r="I795" s="274"/>
      <c r="J795" s="274" t="e">
        <f t="shared" ca="1" si="9"/>
        <v>#NAME?</v>
      </c>
      <c r="K795" s="274">
        <f t="shared" si="10"/>
        <v>0</v>
      </c>
      <c r="N795" s="274"/>
    </row>
    <row r="796" spans="5:14" ht="13.5" customHeight="1">
      <c r="E796" s="209" t="s">
        <v>1083</v>
      </c>
      <c r="F796" s="209" t="s">
        <v>2468</v>
      </c>
      <c r="G796" s="409" t="str">
        <f t="shared" si="11"/>
        <v>15-12</v>
      </c>
      <c r="H796" s="273" t="e">
        <f ca="1">_xludf.IFNA(VLOOKUP(Aragon!E796,'Kilter Holds'!$P$37:$AB$662,7,0),0)</f>
        <v>#NAME?</v>
      </c>
      <c r="I796" s="274"/>
      <c r="J796" s="274" t="e">
        <f t="shared" ca="1" si="9"/>
        <v>#NAME?</v>
      </c>
      <c r="K796" s="274">
        <f t="shared" si="10"/>
        <v>0</v>
      </c>
      <c r="N796" s="274"/>
    </row>
    <row r="797" spans="5:14" ht="13.5" customHeight="1">
      <c r="E797" s="209" t="s">
        <v>1083</v>
      </c>
      <c r="F797" s="209" t="s">
        <v>2468</v>
      </c>
      <c r="G797" s="410" t="str">
        <f t="shared" si="11"/>
        <v>16-16</v>
      </c>
      <c r="H797" s="273" t="e">
        <f ca="1">_xludf.IFNA(VLOOKUP(Aragon!E797,'Kilter Holds'!$P$37:$AB$662,8,0),0)</f>
        <v>#NAME?</v>
      </c>
      <c r="I797" s="274"/>
      <c r="J797" s="274" t="e">
        <f t="shared" ca="1" si="9"/>
        <v>#NAME?</v>
      </c>
      <c r="K797" s="274">
        <f t="shared" si="10"/>
        <v>0</v>
      </c>
      <c r="N797" s="274"/>
    </row>
    <row r="798" spans="5:14" ht="13.5" customHeight="1">
      <c r="E798" s="209" t="s">
        <v>1083</v>
      </c>
      <c r="F798" s="209" t="s">
        <v>2468</v>
      </c>
      <c r="G798" s="411" t="str">
        <f t="shared" si="11"/>
        <v>13-01</v>
      </c>
      <c r="H798" s="273" t="e">
        <f ca="1">_xludf.IFNA(VLOOKUP(Aragon!E798,'Kilter Holds'!$P$37:$AB$662,9,0),0)</f>
        <v>#NAME?</v>
      </c>
      <c r="I798" s="274"/>
      <c r="J798" s="274" t="e">
        <f t="shared" ca="1" si="9"/>
        <v>#NAME?</v>
      </c>
      <c r="K798" s="274">
        <f t="shared" si="10"/>
        <v>0</v>
      </c>
      <c r="N798" s="274"/>
    </row>
    <row r="799" spans="5:14" ht="13.5" customHeight="1">
      <c r="E799" s="209" t="s">
        <v>1083</v>
      </c>
      <c r="F799" s="209" t="s">
        <v>2468</v>
      </c>
      <c r="G799" s="413" t="str">
        <f t="shared" si="11"/>
        <v>07-13</v>
      </c>
      <c r="H799" s="273" t="e">
        <f ca="1">_xludf.IFNA(VLOOKUP(Aragon!E799,'Kilter Holds'!$P$37:$AB$662,10,0),0)</f>
        <v>#NAME?</v>
      </c>
      <c r="I799" s="274"/>
      <c r="J799" s="274" t="e">
        <f t="shared" ca="1" si="9"/>
        <v>#NAME?</v>
      </c>
      <c r="K799" s="274">
        <f t="shared" si="10"/>
        <v>0</v>
      </c>
      <c r="N799" s="274"/>
    </row>
    <row r="800" spans="5:14" ht="13.5" customHeight="1">
      <c r="E800" s="209" t="s">
        <v>1083</v>
      </c>
      <c r="F800" s="209" t="s">
        <v>2468</v>
      </c>
      <c r="G800" s="414" t="str">
        <f t="shared" si="11"/>
        <v>11-26</v>
      </c>
      <c r="H800" s="273" t="e">
        <f ca="1">_xludf.IFNA(VLOOKUP(Aragon!E800,'Kilter Holds'!$P$37:$AB$662,11,0),0)</f>
        <v>#NAME?</v>
      </c>
      <c r="I800" s="274"/>
      <c r="J800" s="274" t="e">
        <f t="shared" ca="1" si="9"/>
        <v>#NAME?</v>
      </c>
      <c r="K800" s="274">
        <f t="shared" si="10"/>
        <v>0</v>
      </c>
      <c r="N800" s="274"/>
    </row>
    <row r="801" spans="5:14" ht="13.5" customHeight="1">
      <c r="E801" s="209" t="s">
        <v>1083</v>
      </c>
      <c r="F801" s="209" t="s">
        <v>2468</v>
      </c>
      <c r="G801" s="415" t="str">
        <f t="shared" si="11"/>
        <v>18-01</v>
      </c>
      <c r="H801" s="273" t="e">
        <f ca="1">_xludf.IFNA(VLOOKUP(Aragon!E801,'Kilter Holds'!$P$37:$AB$662,12,0),0)</f>
        <v>#NAME?</v>
      </c>
      <c r="I801" s="274"/>
      <c r="J801" s="274" t="e">
        <f t="shared" ca="1" si="9"/>
        <v>#NAME?</v>
      </c>
      <c r="K801" s="274">
        <f t="shared" si="10"/>
        <v>0</v>
      </c>
      <c r="N801" s="274"/>
    </row>
    <row r="802" spans="5:14" ht="13.5" customHeight="1">
      <c r="E802" s="209" t="s">
        <v>1083</v>
      </c>
      <c r="F802" s="209" t="s">
        <v>2468</v>
      </c>
      <c r="G802" s="416" t="str">
        <f t="shared" si="11"/>
        <v>Color Code</v>
      </c>
      <c r="H802" s="273" t="e">
        <f ca="1">_xludf.IFNA(VLOOKUP(Aragon!E802,'Kilter Holds'!$P$37:$AB$662,13,0),0)</f>
        <v>#NAME?</v>
      </c>
      <c r="I802" s="274"/>
      <c r="J802" s="274" t="e">
        <f t="shared" ca="1" si="9"/>
        <v>#NAME?</v>
      </c>
      <c r="K802" s="274">
        <f t="shared" si="10"/>
        <v>0</v>
      </c>
      <c r="N802" s="274"/>
    </row>
    <row r="803" spans="5:14" ht="13.5" customHeight="1">
      <c r="E803" s="209" t="s">
        <v>1085</v>
      </c>
      <c r="F803" s="209" t="s">
        <v>2469</v>
      </c>
      <c r="G803" s="406" t="str">
        <f t="shared" si="11"/>
        <v>11-12</v>
      </c>
      <c r="H803" s="273" t="e">
        <f ca="1">_xludf.IFNA(VLOOKUP(Aragon!E803,'Kilter Holds'!$P$37:$AB$662,5,0),0)</f>
        <v>#NAME?</v>
      </c>
      <c r="I803" s="274"/>
      <c r="J803" s="274" t="e">
        <f t="shared" ca="1" si="9"/>
        <v>#NAME?</v>
      </c>
      <c r="K803" s="274">
        <f t="shared" si="10"/>
        <v>0</v>
      </c>
      <c r="N803" s="274"/>
    </row>
    <row r="804" spans="5:14" ht="13.5" customHeight="1">
      <c r="E804" s="209" t="s">
        <v>1085</v>
      </c>
      <c r="F804" s="209" t="s">
        <v>2469</v>
      </c>
      <c r="G804" s="408" t="str">
        <f t="shared" si="11"/>
        <v>14-01</v>
      </c>
      <c r="H804" s="273" t="e">
        <f ca="1">_xludf.IFNA(VLOOKUP(Aragon!E804,'Kilter Holds'!$P$37:$AB$662,6,0),0)</f>
        <v>#NAME?</v>
      </c>
      <c r="I804" s="274"/>
      <c r="J804" s="274" t="e">
        <f t="shared" ca="1" si="9"/>
        <v>#NAME?</v>
      </c>
      <c r="K804" s="274">
        <f t="shared" si="10"/>
        <v>0</v>
      </c>
      <c r="N804" s="274"/>
    </row>
    <row r="805" spans="5:14" ht="13.5" customHeight="1">
      <c r="E805" s="209" t="s">
        <v>1085</v>
      </c>
      <c r="F805" s="209" t="s">
        <v>2469</v>
      </c>
      <c r="G805" s="409" t="str">
        <f t="shared" si="11"/>
        <v>15-12</v>
      </c>
      <c r="H805" s="273" t="e">
        <f ca="1">_xludf.IFNA(VLOOKUP(Aragon!E805,'Kilter Holds'!$P$37:$AB$662,7,0),0)</f>
        <v>#NAME?</v>
      </c>
      <c r="I805" s="274"/>
      <c r="J805" s="274" t="e">
        <f t="shared" ca="1" si="9"/>
        <v>#NAME?</v>
      </c>
      <c r="K805" s="274">
        <f t="shared" si="10"/>
        <v>0</v>
      </c>
      <c r="N805" s="274"/>
    </row>
    <row r="806" spans="5:14" ht="13.5" customHeight="1">
      <c r="E806" s="209" t="s">
        <v>1085</v>
      </c>
      <c r="F806" s="209" t="s">
        <v>2469</v>
      </c>
      <c r="G806" s="410" t="str">
        <f t="shared" si="11"/>
        <v>16-16</v>
      </c>
      <c r="H806" s="273" t="e">
        <f ca="1">_xludf.IFNA(VLOOKUP(Aragon!E806,'Kilter Holds'!$P$37:$AB$662,8,0),0)</f>
        <v>#NAME?</v>
      </c>
      <c r="I806" s="274"/>
      <c r="J806" s="274" t="e">
        <f t="shared" ca="1" si="9"/>
        <v>#NAME?</v>
      </c>
      <c r="K806" s="274">
        <f t="shared" si="10"/>
        <v>0</v>
      </c>
      <c r="N806" s="274"/>
    </row>
    <row r="807" spans="5:14" ht="13.5" customHeight="1">
      <c r="E807" s="209" t="s">
        <v>1085</v>
      </c>
      <c r="F807" s="209" t="s">
        <v>2469</v>
      </c>
      <c r="G807" s="411" t="str">
        <f t="shared" si="11"/>
        <v>13-01</v>
      </c>
      <c r="H807" s="273" t="e">
        <f ca="1">_xludf.IFNA(VLOOKUP(Aragon!E807,'Kilter Holds'!$P$37:$AB$662,9,0),0)</f>
        <v>#NAME?</v>
      </c>
      <c r="I807" s="274"/>
      <c r="J807" s="274" t="e">
        <f t="shared" ca="1" si="9"/>
        <v>#NAME?</v>
      </c>
      <c r="K807" s="274">
        <f t="shared" si="10"/>
        <v>0</v>
      </c>
      <c r="N807" s="274"/>
    </row>
    <row r="808" spans="5:14" ht="13.5" customHeight="1">
      <c r="E808" s="209" t="s">
        <v>1085</v>
      </c>
      <c r="F808" s="209" t="s">
        <v>2469</v>
      </c>
      <c r="G808" s="413" t="str">
        <f t="shared" si="11"/>
        <v>07-13</v>
      </c>
      <c r="H808" s="273" t="e">
        <f ca="1">_xludf.IFNA(VLOOKUP(Aragon!E808,'Kilter Holds'!$P$37:$AB$662,10,0),0)</f>
        <v>#NAME?</v>
      </c>
      <c r="I808" s="274"/>
      <c r="J808" s="274" t="e">
        <f t="shared" ca="1" si="9"/>
        <v>#NAME?</v>
      </c>
      <c r="K808" s="274">
        <f t="shared" si="10"/>
        <v>0</v>
      </c>
      <c r="N808" s="274"/>
    </row>
    <row r="809" spans="5:14" ht="13.5" customHeight="1">
      <c r="E809" s="209" t="s">
        <v>1085</v>
      </c>
      <c r="F809" s="209" t="s">
        <v>2469</v>
      </c>
      <c r="G809" s="414" t="str">
        <f t="shared" si="11"/>
        <v>11-26</v>
      </c>
      <c r="H809" s="273" t="e">
        <f ca="1">_xludf.IFNA(VLOOKUP(Aragon!E809,'Kilter Holds'!$P$37:$AB$662,11,0),0)</f>
        <v>#NAME?</v>
      </c>
      <c r="I809" s="274"/>
      <c r="J809" s="274" t="e">
        <f t="shared" ca="1" si="9"/>
        <v>#NAME?</v>
      </c>
      <c r="K809" s="274">
        <f t="shared" si="10"/>
        <v>0</v>
      </c>
      <c r="N809" s="274"/>
    </row>
    <row r="810" spans="5:14" ht="13.5" customHeight="1">
      <c r="E810" s="209" t="s">
        <v>1085</v>
      </c>
      <c r="F810" s="209" t="s">
        <v>2469</v>
      </c>
      <c r="G810" s="415" t="str">
        <f t="shared" si="11"/>
        <v>18-01</v>
      </c>
      <c r="H810" s="273" t="e">
        <f ca="1">_xludf.IFNA(VLOOKUP(Aragon!E810,'Kilter Holds'!$P$37:$AB$662,12,0),0)</f>
        <v>#NAME?</v>
      </c>
      <c r="I810" s="274"/>
      <c r="J810" s="274" t="e">
        <f t="shared" ca="1" si="9"/>
        <v>#NAME?</v>
      </c>
      <c r="K810" s="274">
        <f t="shared" si="10"/>
        <v>0</v>
      </c>
      <c r="N810" s="274"/>
    </row>
    <row r="811" spans="5:14" ht="13.5" customHeight="1">
      <c r="E811" s="209" t="s">
        <v>1085</v>
      </c>
      <c r="F811" s="209" t="s">
        <v>2469</v>
      </c>
      <c r="G811" s="416" t="str">
        <f t="shared" si="11"/>
        <v>Color Code</v>
      </c>
      <c r="H811" s="273" t="e">
        <f ca="1">_xludf.IFNA(VLOOKUP(Aragon!E811,'Kilter Holds'!$P$37:$AB$662,13,0),0)</f>
        <v>#NAME?</v>
      </c>
      <c r="I811" s="274"/>
      <c r="J811" s="274" t="e">
        <f t="shared" ca="1" si="9"/>
        <v>#NAME?</v>
      </c>
      <c r="K811" s="274">
        <f t="shared" si="10"/>
        <v>0</v>
      </c>
      <c r="N811" s="274"/>
    </row>
    <row r="812" spans="5:14" ht="13.5" customHeight="1">
      <c r="E812" s="209" t="s">
        <v>1087</v>
      </c>
      <c r="F812" s="209" t="s">
        <v>2470</v>
      </c>
      <c r="G812" s="406" t="str">
        <f t="shared" si="11"/>
        <v>11-12</v>
      </c>
      <c r="H812" s="273" t="e">
        <f ca="1">_xludf.IFNA(VLOOKUP(Aragon!E812,'Kilter Holds'!$P$37:$AB$662,5,0),0)</f>
        <v>#NAME?</v>
      </c>
      <c r="I812" s="274"/>
      <c r="J812" s="274" t="e">
        <f t="shared" ca="1" si="9"/>
        <v>#NAME?</v>
      </c>
      <c r="K812" s="274">
        <f t="shared" si="10"/>
        <v>0</v>
      </c>
      <c r="N812" s="274"/>
    </row>
    <row r="813" spans="5:14" ht="13.5" customHeight="1">
      <c r="E813" s="209" t="s">
        <v>1087</v>
      </c>
      <c r="F813" s="209" t="s">
        <v>2470</v>
      </c>
      <c r="G813" s="408" t="str">
        <f t="shared" si="11"/>
        <v>14-01</v>
      </c>
      <c r="H813" s="273" t="e">
        <f ca="1">_xludf.IFNA(VLOOKUP(Aragon!E813,'Kilter Holds'!$P$37:$AB$662,6,0),0)</f>
        <v>#NAME?</v>
      </c>
      <c r="I813" s="274"/>
      <c r="J813" s="274" t="e">
        <f t="shared" ca="1" si="9"/>
        <v>#NAME?</v>
      </c>
      <c r="K813" s="274">
        <f t="shared" si="10"/>
        <v>0</v>
      </c>
      <c r="N813" s="274"/>
    </row>
    <row r="814" spans="5:14" ht="13.5" customHeight="1">
      <c r="E814" s="209" t="s">
        <v>1087</v>
      </c>
      <c r="F814" s="209" t="s">
        <v>2470</v>
      </c>
      <c r="G814" s="409" t="str">
        <f t="shared" si="11"/>
        <v>15-12</v>
      </c>
      <c r="H814" s="273" t="e">
        <f ca="1">_xludf.IFNA(VLOOKUP(Aragon!E814,'Kilter Holds'!$P$37:$AB$662,7,0),0)</f>
        <v>#NAME?</v>
      </c>
      <c r="I814" s="274"/>
      <c r="J814" s="274" t="e">
        <f t="shared" ca="1" si="9"/>
        <v>#NAME?</v>
      </c>
      <c r="K814" s="274">
        <f t="shared" si="10"/>
        <v>0</v>
      </c>
      <c r="N814" s="274"/>
    </row>
    <row r="815" spans="5:14" ht="13.5" customHeight="1">
      <c r="E815" s="209" t="s">
        <v>1087</v>
      </c>
      <c r="F815" s="209" t="s">
        <v>2470</v>
      </c>
      <c r="G815" s="410" t="str">
        <f t="shared" si="11"/>
        <v>16-16</v>
      </c>
      <c r="H815" s="273" t="e">
        <f ca="1">_xludf.IFNA(VLOOKUP(Aragon!E815,'Kilter Holds'!$P$37:$AB$662,8,0),0)</f>
        <v>#NAME?</v>
      </c>
      <c r="I815" s="274"/>
      <c r="J815" s="274" t="e">
        <f t="shared" ca="1" si="9"/>
        <v>#NAME?</v>
      </c>
      <c r="K815" s="274">
        <f t="shared" si="10"/>
        <v>0</v>
      </c>
      <c r="N815" s="274"/>
    </row>
    <row r="816" spans="5:14" ht="13.5" customHeight="1">
      <c r="E816" s="209" t="s">
        <v>1087</v>
      </c>
      <c r="F816" s="209" t="s">
        <v>2470</v>
      </c>
      <c r="G816" s="411" t="str">
        <f t="shared" si="11"/>
        <v>13-01</v>
      </c>
      <c r="H816" s="273" t="e">
        <f ca="1">_xludf.IFNA(VLOOKUP(Aragon!E816,'Kilter Holds'!$P$37:$AB$662,9,0),0)</f>
        <v>#NAME?</v>
      </c>
      <c r="I816" s="274"/>
      <c r="J816" s="274" t="e">
        <f t="shared" ca="1" si="9"/>
        <v>#NAME?</v>
      </c>
      <c r="K816" s="274">
        <f t="shared" si="10"/>
        <v>0</v>
      </c>
      <c r="N816" s="274"/>
    </row>
    <row r="817" spans="5:14" ht="13.5" customHeight="1">
      <c r="E817" s="209" t="s">
        <v>1087</v>
      </c>
      <c r="F817" s="209" t="s">
        <v>2470</v>
      </c>
      <c r="G817" s="413" t="str">
        <f t="shared" si="11"/>
        <v>07-13</v>
      </c>
      <c r="H817" s="273" t="e">
        <f ca="1">_xludf.IFNA(VLOOKUP(Aragon!E817,'Kilter Holds'!$P$37:$AB$662,10,0),0)</f>
        <v>#NAME?</v>
      </c>
      <c r="I817" s="274"/>
      <c r="J817" s="274" t="e">
        <f t="shared" ca="1" si="9"/>
        <v>#NAME?</v>
      </c>
      <c r="K817" s="274">
        <f t="shared" si="10"/>
        <v>0</v>
      </c>
      <c r="N817" s="274"/>
    </row>
    <row r="818" spans="5:14" ht="13.5" customHeight="1">
      <c r="E818" s="209" t="s">
        <v>1087</v>
      </c>
      <c r="F818" s="209" t="s">
        <v>2470</v>
      </c>
      <c r="G818" s="414" t="str">
        <f t="shared" si="11"/>
        <v>11-26</v>
      </c>
      <c r="H818" s="273" t="e">
        <f ca="1">_xludf.IFNA(VLOOKUP(Aragon!E818,'Kilter Holds'!$P$37:$AB$662,11,0),0)</f>
        <v>#NAME?</v>
      </c>
      <c r="I818" s="274"/>
      <c r="J818" s="274" t="e">
        <f t="shared" ca="1" si="9"/>
        <v>#NAME?</v>
      </c>
      <c r="K818" s="274">
        <f t="shared" si="10"/>
        <v>0</v>
      </c>
      <c r="N818" s="274"/>
    </row>
    <row r="819" spans="5:14" ht="13.5" customHeight="1">
      <c r="E819" s="209" t="s">
        <v>1087</v>
      </c>
      <c r="F819" s="209" t="s">
        <v>2470</v>
      </c>
      <c r="G819" s="415" t="str">
        <f t="shared" si="11"/>
        <v>18-01</v>
      </c>
      <c r="H819" s="273" t="e">
        <f ca="1">_xludf.IFNA(VLOOKUP(Aragon!E819,'Kilter Holds'!$P$37:$AB$662,12,0),0)</f>
        <v>#NAME?</v>
      </c>
      <c r="I819" s="274"/>
      <c r="J819" s="274" t="e">
        <f t="shared" ca="1" si="9"/>
        <v>#NAME?</v>
      </c>
      <c r="K819" s="274">
        <f t="shared" si="10"/>
        <v>0</v>
      </c>
      <c r="N819" s="274"/>
    </row>
    <row r="820" spans="5:14" ht="13.5" customHeight="1">
      <c r="E820" s="209" t="s">
        <v>1087</v>
      </c>
      <c r="F820" s="209" t="s">
        <v>2470</v>
      </c>
      <c r="G820" s="416" t="str">
        <f t="shared" si="11"/>
        <v>Color Code</v>
      </c>
      <c r="H820" s="273" t="e">
        <f ca="1">_xludf.IFNA(VLOOKUP(Aragon!E820,'Kilter Holds'!$P$37:$AB$662,13,0),0)</f>
        <v>#NAME?</v>
      </c>
      <c r="I820" s="274"/>
      <c r="J820" s="274" t="e">
        <f t="shared" ca="1" si="9"/>
        <v>#NAME?</v>
      </c>
      <c r="K820" s="274">
        <f t="shared" si="10"/>
        <v>0</v>
      </c>
      <c r="N820" s="274"/>
    </row>
    <row r="821" spans="5:14" ht="13.5" customHeight="1">
      <c r="E821" s="209" t="s">
        <v>1089</v>
      </c>
      <c r="F821" s="209" t="s">
        <v>2471</v>
      </c>
      <c r="G821" s="406" t="str">
        <f t="shared" si="11"/>
        <v>11-12</v>
      </c>
      <c r="H821" s="273" t="e">
        <f ca="1">_xludf.IFNA(VLOOKUP(Aragon!E821,'Kilter Holds'!$P$37:$AB$662,5,0),0)</f>
        <v>#NAME?</v>
      </c>
      <c r="I821" s="274"/>
      <c r="J821" s="274" t="e">
        <f t="shared" ca="1" si="9"/>
        <v>#NAME?</v>
      </c>
      <c r="K821" s="274">
        <f t="shared" si="10"/>
        <v>0</v>
      </c>
      <c r="N821" s="274"/>
    </row>
    <row r="822" spans="5:14" ht="13.5" customHeight="1">
      <c r="E822" s="209" t="s">
        <v>1089</v>
      </c>
      <c r="F822" s="209" t="s">
        <v>2471</v>
      </c>
      <c r="G822" s="408" t="str">
        <f t="shared" si="11"/>
        <v>14-01</v>
      </c>
      <c r="H822" s="273" t="e">
        <f ca="1">_xludf.IFNA(VLOOKUP(Aragon!E822,'Kilter Holds'!$P$37:$AB$662,6,0),0)</f>
        <v>#NAME?</v>
      </c>
      <c r="I822" s="274"/>
      <c r="J822" s="274" t="e">
        <f t="shared" ca="1" si="9"/>
        <v>#NAME?</v>
      </c>
      <c r="K822" s="274">
        <f t="shared" si="10"/>
        <v>0</v>
      </c>
      <c r="N822" s="274"/>
    </row>
    <row r="823" spans="5:14" ht="13.5" customHeight="1">
      <c r="E823" s="209" t="s">
        <v>1089</v>
      </c>
      <c r="F823" s="209" t="s">
        <v>2471</v>
      </c>
      <c r="G823" s="409" t="str">
        <f t="shared" si="11"/>
        <v>15-12</v>
      </c>
      <c r="H823" s="273" t="e">
        <f ca="1">_xludf.IFNA(VLOOKUP(Aragon!E823,'Kilter Holds'!$P$37:$AB$662,7,0),0)</f>
        <v>#NAME?</v>
      </c>
      <c r="I823" s="274"/>
      <c r="J823" s="274" t="e">
        <f t="shared" ca="1" si="9"/>
        <v>#NAME?</v>
      </c>
      <c r="K823" s="274">
        <f t="shared" si="10"/>
        <v>0</v>
      </c>
      <c r="N823" s="274"/>
    </row>
    <row r="824" spans="5:14" ht="13.5" customHeight="1">
      <c r="E824" s="209" t="s">
        <v>1089</v>
      </c>
      <c r="F824" s="209" t="s">
        <v>2471</v>
      </c>
      <c r="G824" s="410" t="str">
        <f t="shared" si="11"/>
        <v>16-16</v>
      </c>
      <c r="H824" s="273" t="e">
        <f ca="1">_xludf.IFNA(VLOOKUP(Aragon!E824,'Kilter Holds'!$P$37:$AB$662,8,0),0)</f>
        <v>#NAME?</v>
      </c>
      <c r="I824" s="274"/>
      <c r="J824" s="274" t="e">
        <f t="shared" ca="1" si="9"/>
        <v>#NAME?</v>
      </c>
      <c r="K824" s="274">
        <f t="shared" si="10"/>
        <v>0</v>
      </c>
      <c r="N824" s="274"/>
    </row>
    <row r="825" spans="5:14" ht="13.5" customHeight="1">
      <c r="E825" s="209" t="s">
        <v>1089</v>
      </c>
      <c r="F825" s="209" t="s">
        <v>2471</v>
      </c>
      <c r="G825" s="411" t="str">
        <f t="shared" si="11"/>
        <v>13-01</v>
      </c>
      <c r="H825" s="273" t="e">
        <f ca="1">_xludf.IFNA(VLOOKUP(Aragon!E825,'Kilter Holds'!$P$37:$AB$662,9,0),0)</f>
        <v>#NAME?</v>
      </c>
      <c r="I825" s="274"/>
      <c r="J825" s="274" t="e">
        <f t="shared" ca="1" si="9"/>
        <v>#NAME?</v>
      </c>
      <c r="K825" s="274">
        <f t="shared" si="10"/>
        <v>0</v>
      </c>
      <c r="N825" s="274"/>
    </row>
    <row r="826" spans="5:14" ht="13.5" customHeight="1">
      <c r="E826" s="209" t="s">
        <v>1089</v>
      </c>
      <c r="F826" s="209" t="s">
        <v>2471</v>
      </c>
      <c r="G826" s="413" t="str">
        <f t="shared" si="11"/>
        <v>07-13</v>
      </c>
      <c r="H826" s="273" t="e">
        <f ca="1">_xludf.IFNA(VLOOKUP(Aragon!E826,'Kilter Holds'!$P$37:$AB$662,10,0),0)</f>
        <v>#NAME?</v>
      </c>
      <c r="I826" s="274"/>
      <c r="J826" s="274" t="e">
        <f t="shared" ca="1" si="9"/>
        <v>#NAME?</v>
      </c>
      <c r="K826" s="274">
        <f t="shared" si="10"/>
        <v>0</v>
      </c>
      <c r="N826" s="274"/>
    </row>
    <row r="827" spans="5:14" ht="13.5" customHeight="1">
      <c r="E827" s="209" t="s">
        <v>1089</v>
      </c>
      <c r="F827" s="209" t="s">
        <v>2471</v>
      </c>
      <c r="G827" s="414" t="str">
        <f t="shared" si="11"/>
        <v>11-26</v>
      </c>
      <c r="H827" s="273" t="e">
        <f ca="1">_xludf.IFNA(VLOOKUP(Aragon!E827,'Kilter Holds'!$P$37:$AB$662,11,0),0)</f>
        <v>#NAME?</v>
      </c>
      <c r="I827" s="274"/>
      <c r="J827" s="274" t="e">
        <f t="shared" ca="1" si="9"/>
        <v>#NAME?</v>
      </c>
      <c r="K827" s="274">
        <f t="shared" si="10"/>
        <v>0</v>
      </c>
      <c r="N827" s="274"/>
    </row>
    <row r="828" spans="5:14" ht="13.5" customHeight="1">
      <c r="E828" s="209" t="s">
        <v>1089</v>
      </c>
      <c r="F828" s="209" t="s">
        <v>2471</v>
      </c>
      <c r="G828" s="415" t="str">
        <f t="shared" si="11"/>
        <v>18-01</v>
      </c>
      <c r="H828" s="273" t="e">
        <f ca="1">_xludf.IFNA(VLOOKUP(Aragon!E828,'Kilter Holds'!$P$37:$AB$662,12,0),0)</f>
        <v>#NAME?</v>
      </c>
      <c r="I828" s="274"/>
      <c r="J828" s="274" t="e">
        <f t="shared" ca="1" si="9"/>
        <v>#NAME?</v>
      </c>
      <c r="K828" s="274">
        <f t="shared" si="10"/>
        <v>0</v>
      </c>
      <c r="N828" s="274"/>
    </row>
    <row r="829" spans="5:14" ht="13.5" customHeight="1">
      <c r="E829" s="209" t="s">
        <v>1089</v>
      </c>
      <c r="F829" s="209" t="s">
        <v>2471</v>
      </c>
      <c r="G829" s="416" t="str">
        <f t="shared" si="11"/>
        <v>Color Code</v>
      </c>
      <c r="H829" s="273" t="e">
        <f ca="1">_xludf.IFNA(VLOOKUP(Aragon!E829,'Kilter Holds'!$P$37:$AB$662,13,0),0)</f>
        <v>#NAME?</v>
      </c>
      <c r="I829" s="274"/>
      <c r="J829" s="274" t="e">
        <f t="shared" ca="1" si="9"/>
        <v>#NAME?</v>
      </c>
      <c r="K829" s="274">
        <f t="shared" si="10"/>
        <v>0</v>
      </c>
      <c r="N829" s="274"/>
    </row>
    <row r="830" spans="5:14" ht="13.5" customHeight="1">
      <c r="E830" s="209" t="s">
        <v>930</v>
      </c>
      <c r="F830" s="209" t="s">
        <v>2472</v>
      </c>
      <c r="G830" s="406" t="str">
        <f t="shared" si="11"/>
        <v>11-12</v>
      </c>
      <c r="H830" s="273" t="e">
        <f ca="1">_xludf.IFNA(VLOOKUP(Aragon!E830,'Kilter Holds'!$P$37:$AB$662,5,0),0)</f>
        <v>#NAME?</v>
      </c>
      <c r="I830" s="274"/>
      <c r="J830" s="274" t="e">
        <f t="shared" ca="1" si="9"/>
        <v>#NAME?</v>
      </c>
      <c r="K830" s="274">
        <f t="shared" si="10"/>
        <v>0</v>
      </c>
      <c r="N830" s="274"/>
    </row>
    <row r="831" spans="5:14" ht="13.5" customHeight="1">
      <c r="E831" s="209" t="s">
        <v>930</v>
      </c>
      <c r="F831" s="209" t="s">
        <v>2472</v>
      </c>
      <c r="G831" s="408" t="str">
        <f t="shared" si="11"/>
        <v>14-01</v>
      </c>
      <c r="H831" s="273" t="e">
        <f ca="1">_xludf.IFNA(VLOOKUP(Aragon!E831,'Kilter Holds'!$P$37:$AB$662,6,0),0)</f>
        <v>#NAME?</v>
      </c>
      <c r="I831" s="274"/>
      <c r="J831" s="274" t="e">
        <f t="shared" ca="1" si="9"/>
        <v>#NAME?</v>
      </c>
      <c r="K831" s="274">
        <f t="shared" si="10"/>
        <v>0</v>
      </c>
      <c r="N831" s="274"/>
    </row>
    <row r="832" spans="5:14" ht="13.5" customHeight="1">
      <c r="E832" s="209" t="s">
        <v>930</v>
      </c>
      <c r="F832" s="209" t="s">
        <v>2472</v>
      </c>
      <c r="G832" s="409" t="str">
        <f t="shared" si="11"/>
        <v>15-12</v>
      </c>
      <c r="H832" s="273" t="e">
        <f ca="1">_xludf.IFNA(VLOOKUP(Aragon!E832,'Kilter Holds'!$P$37:$AB$662,7,0),0)</f>
        <v>#NAME?</v>
      </c>
      <c r="I832" s="274"/>
      <c r="J832" s="274" t="e">
        <f t="shared" ca="1" si="9"/>
        <v>#NAME?</v>
      </c>
      <c r="K832" s="274">
        <f t="shared" si="10"/>
        <v>0</v>
      </c>
      <c r="N832" s="274"/>
    </row>
    <row r="833" spans="5:14" ht="13.5" customHeight="1">
      <c r="E833" s="209" t="s">
        <v>930</v>
      </c>
      <c r="F833" s="209" t="s">
        <v>2472</v>
      </c>
      <c r="G833" s="410" t="str">
        <f t="shared" si="11"/>
        <v>16-16</v>
      </c>
      <c r="H833" s="273" t="e">
        <f ca="1">_xludf.IFNA(VLOOKUP(Aragon!E833,'Kilter Holds'!$P$37:$AB$662,8,0),0)</f>
        <v>#NAME?</v>
      </c>
      <c r="I833" s="274"/>
      <c r="J833" s="274" t="e">
        <f t="shared" ca="1" si="9"/>
        <v>#NAME?</v>
      </c>
      <c r="K833" s="274">
        <f t="shared" si="10"/>
        <v>0</v>
      </c>
      <c r="N833" s="274"/>
    </row>
    <row r="834" spans="5:14" ht="13.5" customHeight="1">
      <c r="E834" s="209" t="s">
        <v>930</v>
      </c>
      <c r="F834" s="209" t="s">
        <v>2472</v>
      </c>
      <c r="G834" s="411" t="str">
        <f t="shared" si="11"/>
        <v>13-01</v>
      </c>
      <c r="H834" s="273" t="e">
        <f ca="1">_xludf.IFNA(VLOOKUP(Aragon!E834,'Kilter Holds'!$P$37:$AB$662,9,0),0)</f>
        <v>#NAME?</v>
      </c>
      <c r="I834" s="274"/>
      <c r="J834" s="274" t="e">
        <f t="shared" ca="1" si="9"/>
        <v>#NAME?</v>
      </c>
      <c r="K834" s="274">
        <f t="shared" si="10"/>
        <v>0</v>
      </c>
      <c r="N834" s="274"/>
    </row>
    <row r="835" spans="5:14" ht="13.5" customHeight="1">
      <c r="E835" s="209" t="s">
        <v>930</v>
      </c>
      <c r="F835" s="209" t="s">
        <v>2472</v>
      </c>
      <c r="G835" s="413" t="str">
        <f t="shared" si="11"/>
        <v>07-13</v>
      </c>
      <c r="H835" s="273" t="e">
        <f ca="1">_xludf.IFNA(VLOOKUP(Aragon!E835,'Kilter Holds'!$P$37:$AB$662,10,0),0)</f>
        <v>#NAME?</v>
      </c>
      <c r="I835" s="274"/>
      <c r="J835" s="274" t="e">
        <f t="shared" ca="1" si="9"/>
        <v>#NAME?</v>
      </c>
      <c r="K835" s="274">
        <f t="shared" si="10"/>
        <v>0</v>
      </c>
      <c r="N835" s="274"/>
    </row>
    <row r="836" spans="5:14" ht="13.5" customHeight="1">
      <c r="E836" s="209" t="s">
        <v>930</v>
      </c>
      <c r="F836" s="209" t="s">
        <v>2472</v>
      </c>
      <c r="G836" s="414" t="str">
        <f t="shared" si="11"/>
        <v>11-26</v>
      </c>
      <c r="H836" s="273" t="e">
        <f ca="1">_xludf.IFNA(VLOOKUP(Aragon!E836,'Kilter Holds'!$P$37:$AB$662,11,0),0)</f>
        <v>#NAME?</v>
      </c>
      <c r="I836" s="274"/>
      <c r="J836" s="274" t="e">
        <f t="shared" ca="1" si="9"/>
        <v>#NAME?</v>
      </c>
      <c r="K836" s="274">
        <f t="shared" si="10"/>
        <v>0</v>
      </c>
      <c r="N836" s="274"/>
    </row>
    <row r="837" spans="5:14" ht="13.5" customHeight="1">
      <c r="E837" s="209" t="s">
        <v>930</v>
      </c>
      <c r="F837" s="209" t="s">
        <v>2472</v>
      </c>
      <c r="G837" s="415" t="str">
        <f t="shared" si="11"/>
        <v>18-01</v>
      </c>
      <c r="H837" s="273" t="e">
        <f ca="1">_xludf.IFNA(VLOOKUP(Aragon!E837,'Kilter Holds'!$P$37:$AB$662,12,0),0)</f>
        <v>#NAME?</v>
      </c>
      <c r="I837" s="274"/>
      <c r="J837" s="274" t="e">
        <f t="shared" ca="1" si="9"/>
        <v>#NAME?</v>
      </c>
      <c r="K837" s="274">
        <f t="shared" si="10"/>
        <v>0</v>
      </c>
      <c r="N837" s="274"/>
    </row>
    <row r="838" spans="5:14" ht="13.5" customHeight="1">
      <c r="E838" s="209" t="s">
        <v>930</v>
      </c>
      <c r="F838" s="209" t="s">
        <v>2472</v>
      </c>
      <c r="G838" s="416" t="str">
        <f t="shared" si="11"/>
        <v>Color Code</v>
      </c>
      <c r="H838" s="273" t="e">
        <f ca="1">_xludf.IFNA(VLOOKUP(Aragon!E838,'Kilter Holds'!$P$37:$AB$662,13,0),0)</f>
        <v>#NAME?</v>
      </c>
      <c r="I838" s="274"/>
      <c r="J838" s="274" t="e">
        <f t="shared" ca="1" si="9"/>
        <v>#NAME?</v>
      </c>
      <c r="K838" s="274">
        <f t="shared" si="10"/>
        <v>0</v>
      </c>
      <c r="N838" s="274"/>
    </row>
    <row r="839" spans="5:14" ht="13.5" customHeight="1">
      <c r="E839" s="209" t="s">
        <v>932</v>
      </c>
      <c r="F839" s="209" t="s">
        <v>2473</v>
      </c>
      <c r="G839" s="406" t="str">
        <f t="shared" si="11"/>
        <v>11-12</v>
      </c>
      <c r="H839" s="273" t="e">
        <f ca="1">_xludf.IFNA(VLOOKUP(Aragon!E839,'Kilter Holds'!$P$37:$AB$662,5,0),0)</f>
        <v>#NAME?</v>
      </c>
      <c r="I839" s="274"/>
      <c r="J839" s="274" t="e">
        <f t="shared" ca="1" si="9"/>
        <v>#NAME?</v>
      </c>
      <c r="K839" s="274">
        <f t="shared" si="10"/>
        <v>0</v>
      </c>
      <c r="N839" s="274"/>
    </row>
    <row r="840" spans="5:14" ht="13.5" customHeight="1">
      <c r="E840" s="209" t="s">
        <v>932</v>
      </c>
      <c r="F840" s="209" t="s">
        <v>2473</v>
      </c>
      <c r="G840" s="408" t="str">
        <f t="shared" si="11"/>
        <v>14-01</v>
      </c>
      <c r="H840" s="273" t="e">
        <f ca="1">_xludf.IFNA(VLOOKUP(Aragon!E840,'Kilter Holds'!$P$37:$AB$662,6,0),0)</f>
        <v>#NAME?</v>
      </c>
      <c r="I840" s="274"/>
      <c r="J840" s="274" t="e">
        <f t="shared" ca="1" si="9"/>
        <v>#NAME?</v>
      </c>
      <c r="K840" s="274">
        <f t="shared" si="10"/>
        <v>0</v>
      </c>
      <c r="N840" s="274"/>
    </row>
    <row r="841" spans="5:14" ht="13.5" customHeight="1">
      <c r="E841" s="209" t="s">
        <v>932</v>
      </c>
      <c r="F841" s="209" t="s">
        <v>2473</v>
      </c>
      <c r="G841" s="409" t="str">
        <f t="shared" si="11"/>
        <v>15-12</v>
      </c>
      <c r="H841" s="273" t="e">
        <f ca="1">_xludf.IFNA(VLOOKUP(Aragon!E841,'Kilter Holds'!$P$37:$AB$662,7,0),0)</f>
        <v>#NAME?</v>
      </c>
      <c r="I841" s="274"/>
      <c r="J841" s="274" t="e">
        <f t="shared" ca="1" si="9"/>
        <v>#NAME?</v>
      </c>
      <c r="K841" s="274">
        <f t="shared" si="10"/>
        <v>0</v>
      </c>
      <c r="N841" s="274"/>
    </row>
    <row r="842" spans="5:14" ht="13.5" customHeight="1">
      <c r="E842" s="209" t="s">
        <v>932</v>
      </c>
      <c r="F842" s="209" t="s">
        <v>2473</v>
      </c>
      <c r="G842" s="410" t="str">
        <f t="shared" si="11"/>
        <v>16-16</v>
      </c>
      <c r="H842" s="273" t="e">
        <f ca="1">_xludf.IFNA(VLOOKUP(Aragon!E842,'Kilter Holds'!$P$37:$AB$662,8,0),0)</f>
        <v>#NAME?</v>
      </c>
      <c r="I842" s="274"/>
      <c r="J842" s="274" t="e">
        <f t="shared" ca="1" si="9"/>
        <v>#NAME?</v>
      </c>
      <c r="K842" s="274">
        <f t="shared" si="10"/>
        <v>0</v>
      </c>
      <c r="N842" s="274"/>
    </row>
    <row r="843" spans="5:14" ht="13.5" customHeight="1">
      <c r="E843" s="209" t="s">
        <v>932</v>
      </c>
      <c r="F843" s="209" t="s">
        <v>2473</v>
      </c>
      <c r="G843" s="411" t="str">
        <f t="shared" si="11"/>
        <v>13-01</v>
      </c>
      <c r="H843" s="273" t="e">
        <f ca="1">_xludf.IFNA(VLOOKUP(Aragon!E843,'Kilter Holds'!$P$37:$AB$662,9,0),0)</f>
        <v>#NAME?</v>
      </c>
      <c r="I843" s="274"/>
      <c r="J843" s="274" t="e">
        <f t="shared" ca="1" si="9"/>
        <v>#NAME?</v>
      </c>
      <c r="K843" s="274">
        <f t="shared" si="10"/>
        <v>0</v>
      </c>
      <c r="N843" s="274"/>
    </row>
    <row r="844" spans="5:14" ht="13.5" customHeight="1">
      <c r="E844" s="209" t="s">
        <v>932</v>
      </c>
      <c r="F844" s="209" t="s">
        <v>2473</v>
      </c>
      <c r="G844" s="413" t="str">
        <f t="shared" si="11"/>
        <v>07-13</v>
      </c>
      <c r="H844" s="273" t="e">
        <f ca="1">_xludf.IFNA(VLOOKUP(Aragon!E844,'Kilter Holds'!$P$37:$AB$662,10,0),0)</f>
        <v>#NAME?</v>
      </c>
      <c r="I844" s="274"/>
      <c r="J844" s="274" t="e">
        <f t="shared" ca="1" si="9"/>
        <v>#NAME?</v>
      </c>
      <c r="K844" s="274">
        <f t="shared" si="10"/>
        <v>0</v>
      </c>
      <c r="N844" s="274"/>
    </row>
    <row r="845" spans="5:14" ht="13.5" customHeight="1">
      <c r="E845" s="209" t="s">
        <v>932</v>
      </c>
      <c r="F845" s="209" t="s">
        <v>2473</v>
      </c>
      <c r="G845" s="414" t="str">
        <f t="shared" si="11"/>
        <v>11-26</v>
      </c>
      <c r="H845" s="273" t="e">
        <f ca="1">_xludf.IFNA(VLOOKUP(Aragon!E845,'Kilter Holds'!$P$37:$AB$662,11,0),0)</f>
        <v>#NAME?</v>
      </c>
      <c r="I845" s="274"/>
      <c r="J845" s="274" t="e">
        <f t="shared" ca="1" si="9"/>
        <v>#NAME?</v>
      </c>
      <c r="K845" s="274">
        <f t="shared" si="10"/>
        <v>0</v>
      </c>
      <c r="N845" s="274"/>
    </row>
    <row r="846" spans="5:14" ht="13.5" customHeight="1">
      <c r="E846" s="209" t="s">
        <v>932</v>
      </c>
      <c r="F846" s="209" t="s">
        <v>2473</v>
      </c>
      <c r="G846" s="415" t="str">
        <f t="shared" si="11"/>
        <v>18-01</v>
      </c>
      <c r="H846" s="273" t="e">
        <f ca="1">_xludf.IFNA(VLOOKUP(Aragon!E846,'Kilter Holds'!$P$37:$AB$662,12,0),0)</f>
        <v>#NAME?</v>
      </c>
      <c r="I846" s="274"/>
      <c r="J846" s="274" t="e">
        <f t="shared" ca="1" si="9"/>
        <v>#NAME?</v>
      </c>
      <c r="K846" s="274">
        <f t="shared" si="10"/>
        <v>0</v>
      </c>
      <c r="N846" s="274"/>
    </row>
    <row r="847" spans="5:14" ht="13.5" customHeight="1">
      <c r="E847" s="209" t="s">
        <v>932</v>
      </c>
      <c r="F847" s="209" t="s">
        <v>2473</v>
      </c>
      <c r="G847" s="416" t="str">
        <f t="shared" si="11"/>
        <v>Color Code</v>
      </c>
      <c r="H847" s="273" t="e">
        <f ca="1">_xludf.IFNA(VLOOKUP(Aragon!E847,'Kilter Holds'!$P$37:$AB$662,13,0),0)</f>
        <v>#NAME?</v>
      </c>
      <c r="I847" s="274"/>
      <c r="J847" s="274" t="e">
        <f t="shared" ca="1" si="9"/>
        <v>#NAME?</v>
      </c>
      <c r="K847" s="274">
        <f t="shared" si="10"/>
        <v>0</v>
      </c>
      <c r="N847" s="274"/>
    </row>
    <row r="848" spans="5:14" ht="13.5" customHeight="1">
      <c r="E848" s="209" t="s">
        <v>934</v>
      </c>
      <c r="F848" s="209" t="s">
        <v>2474</v>
      </c>
      <c r="G848" s="406" t="str">
        <f t="shared" si="11"/>
        <v>11-12</v>
      </c>
      <c r="H848" s="273" t="e">
        <f ca="1">_xludf.IFNA(VLOOKUP(Aragon!E848,'Kilter Holds'!$P$37:$AB$662,5,0),0)</f>
        <v>#NAME?</v>
      </c>
      <c r="I848" s="274"/>
      <c r="J848" s="274" t="e">
        <f t="shared" ca="1" si="9"/>
        <v>#NAME?</v>
      </c>
      <c r="K848" s="274">
        <f t="shared" si="10"/>
        <v>0</v>
      </c>
      <c r="N848" s="274"/>
    </row>
    <row r="849" spans="5:14" ht="13.5" customHeight="1">
      <c r="E849" s="209" t="s">
        <v>934</v>
      </c>
      <c r="F849" s="209" t="s">
        <v>2474</v>
      </c>
      <c r="G849" s="408" t="str">
        <f t="shared" si="11"/>
        <v>14-01</v>
      </c>
      <c r="H849" s="273" t="e">
        <f ca="1">_xludf.IFNA(VLOOKUP(Aragon!E849,'Kilter Holds'!$P$37:$AB$662,6,0),0)</f>
        <v>#NAME?</v>
      </c>
      <c r="I849" s="274"/>
      <c r="J849" s="274" t="e">
        <f t="shared" ca="1" si="9"/>
        <v>#NAME?</v>
      </c>
      <c r="K849" s="274">
        <f t="shared" si="10"/>
        <v>0</v>
      </c>
      <c r="N849" s="274"/>
    </row>
    <row r="850" spans="5:14" ht="13.5" customHeight="1">
      <c r="E850" s="209" t="s">
        <v>934</v>
      </c>
      <c r="F850" s="209" t="s">
        <v>2474</v>
      </c>
      <c r="G850" s="409" t="str">
        <f t="shared" si="11"/>
        <v>15-12</v>
      </c>
      <c r="H850" s="273" t="e">
        <f ca="1">_xludf.IFNA(VLOOKUP(Aragon!E850,'Kilter Holds'!$P$37:$AB$662,7,0),0)</f>
        <v>#NAME?</v>
      </c>
      <c r="I850" s="274"/>
      <c r="J850" s="274" t="e">
        <f t="shared" ca="1" si="9"/>
        <v>#NAME?</v>
      </c>
      <c r="K850" s="274">
        <f t="shared" si="10"/>
        <v>0</v>
      </c>
      <c r="N850" s="274"/>
    </row>
    <row r="851" spans="5:14" ht="13.5" customHeight="1">
      <c r="E851" s="209" t="s">
        <v>934</v>
      </c>
      <c r="F851" s="209" t="s">
        <v>2474</v>
      </c>
      <c r="G851" s="410" t="str">
        <f t="shared" si="11"/>
        <v>16-16</v>
      </c>
      <c r="H851" s="273" t="e">
        <f ca="1">_xludf.IFNA(VLOOKUP(Aragon!E851,'Kilter Holds'!$P$37:$AB$662,8,0),0)</f>
        <v>#NAME?</v>
      </c>
      <c r="I851" s="274"/>
      <c r="J851" s="274" t="e">
        <f t="shared" ca="1" si="9"/>
        <v>#NAME?</v>
      </c>
      <c r="K851" s="274">
        <f t="shared" si="10"/>
        <v>0</v>
      </c>
      <c r="N851" s="274"/>
    </row>
    <row r="852" spans="5:14" ht="13.5" customHeight="1">
      <c r="E852" s="209" t="s">
        <v>934</v>
      </c>
      <c r="F852" s="209" t="s">
        <v>2474</v>
      </c>
      <c r="G852" s="411" t="str">
        <f t="shared" si="11"/>
        <v>13-01</v>
      </c>
      <c r="H852" s="273" t="e">
        <f ca="1">_xludf.IFNA(VLOOKUP(Aragon!E852,'Kilter Holds'!$P$37:$AB$662,9,0),0)</f>
        <v>#NAME?</v>
      </c>
      <c r="I852" s="274"/>
      <c r="J852" s="274" t="e">
        <f t="shared" ca="1" si="9"/>
        <v>#NAME?</v>
      </c>
      <c r="K852" s="274">
        <f t="shared" si="10"/>
        <v>0</v>
      </c>
      <c r="N852" s="274"/>
    </row>
    <row r="853" spans="5:14" ht="13.5" customHeight="1">
      <c r="E853" s="209" t="s">
        <v>934</v>
      </c>
      <c r="F853" s="209" t="s">
        <v>2474</v>
      </c>
      <c r="G853" s="413" t="str">
        <f t="shared" si="11"/>
        <v>07-13</v>
      </c>
      <c r="H853" s="273" t="e">
        <f ca="1">_xludf.IFNA(VLOOKUP(Aragon!E853,'Kilter Holds'!$P$37:$AB$662,10,0),0)</f>
        <v>#NAME?</v>
      </c>
      <c r="I853" s="274"/>
      <c r="J853" s="274" t="e">
        <f t="shared" ca="1" si="9"/>
        <v>#NAME?</v>
      </c>
      <c r="K853" s="274">
        <f t="shared" si="10"/>
        <v>0</v>
      </c>
      <c r="N853" s="274"/>
    </row>
    <row r="854" spans="5:14" ht="13.5" customHeight="1">
      <c r="E854" s="209" t="s">
        <v>934</v>
      </c>
      <c r="F854" s="209" t="s">
        <v>2474</v>
      </c>
      <c r="G854" s="414" t="str">
        <f t="shared" si="11"/>
        <v>11-26</v>
      </c>
      <c r="H854" s="273" t="e">
        <f ca="1">_xludf.IFNA(VLOOKUP(Aragon!E854,'Kilter Holds'!$P$37:$AB$662,11,0),0)</f>
        <v>#NAME?</v>
      </c>
      <c r="I854" s="274"/>
      <c r="J854" s="274" t="e">
        <f t="shared" ca="1" si="9"/>
        <v>#NAME?</v>
      </c>
      <c r="K854" s="274">
        <f t="shared" si="10"/>
        <v>0</v>
      </c>
      <c r="N854" s="274"/>
    </row>
    <row r="855" spans="5:14" ht="13.5" customHeight="1">
      <c r="E855" s="209" t="s">
        <v>934</v>
      </c>
      <c r="F855" s="209" t="s">
        <v>2474</v>
      </c>
      <c r="G855" s="415" t="str">
        <f t="shared" si="11"/>
        <v>18-01</v>
      </c>
      <c r="H855" s="273" t="e">
        <f ca="1">_xludf.IFNA(VLOOKUP(Aragon!E855,'Kilter Holds'!$P$37:$AB$662,12,0),0)</f>
        <v>#NAME?</v>
      </c>
      <c r="I855" s="274"/>
      <c r="J855" s="274" t="e">
        <f t="shared" ca="1" si="9"/>
        <v>#NAME?</v>
      </c>
      <c r="K855" s="274">
        <f t="shared" si="10"/>
        <v>0</v>
      </c>
      <c r="N855" s="274"/>
    </row>
    <row r="856" spans="5:14" ht="13.5" customHeight="1">
      <c r="E856" s="209" t="s">
        <v>934</v>
      </c>
      <c r="F856" s="209" t="s">
        <v>2474</v>
      </c>
      <c r="G856" s="416" t="str">
        <f t="shared" si="11"/>
        <v>Color Code</v>
      </c>
      <c r="H856" s="273" t="e">
        <f ca="1">_xludf.IFNA(VLOOKUP(Aragon!E856,'Kilter Holds'!$P$37:$AB$662,13,0),0)</f>
        <v>#NAME?</v>
      </c>
      <c r="I856" s="274"/>
      <c r="J856" s="274" t="e">
        <f t="shared" ca="1" si="9"/>
        <v>#NAME?</v>
      </c>
      <c r="K856" s="274">
        <f t="shared" si="10"/>
        <v>0</v>
      </c>
      <c r="N856" s="274"/>
    </row>
    <row r="857" spans="5:14" ht="13.5" customHeight="1">
      <c r="E857" s="209" t="s">
        <v>936</v>
      </c>
      <c r="F857" s="209" t="s">
        <v>2475</v>
      </c>
      <c r="G857" s="406" t="str">
        <f t="shared" si="11"/>
        <v>11-12</v>
      </c>
      <c r="H857" s="273" t="e">
        <f ca="1">_xludf.IFNA(VLOOKUP(Aragon!E857,'Kilter Holds'!$P$37:$AB$662,5,0),0)</f>
        <v>#NAME?</v>
      </c>
      <c r="I857" s="274"/>
      <c r="J857" s="274" t="e">
        <f t="shared" ca="1" si="9"/>
        <v>#NAME?</v>
      </c>
      <c r="K857" s="274">
        <f t="shared" si="10"/>
        <v>0</v>
      </c>
      <c r="N857" s="274"/>
    </row>
    <row r="858" spans="5:14" ht="13.5" customHeight="1">
      <c r="E858" s="209" t="s">
        <v>936</v>
      </c>
      <c r="F858" s="209" t="s">
        <v>2475</v>
      </c>
      <c r="G858" s="408" t="str">
        <f t="shared" si="11"/>
        <v>14-01</v>
      </c>
      <c r="H858" s="273" t="e">
        <f ca="1">_xludf.IFNA(VLOOKUP(Aragon!E858,'Kilter Holds'!$P$37:$AB$662,6,0),0)</f>
        <v>#NAME?</v>
      </c>
      <c r="I858" s="274"/>
      <c r="J858" s="274" t="e">
        <f t="shared" ca="1" si="9"/>
        <v>#NAME?</v>
      </c>
      <c r="K858" s="274">
        <f t="shared" si="10"/>
        <v>0</v>
      </c>
      <c r="N858" s="274"/>
    </row>
    <row r="859" spans="5:14" ht="13.5" customHeight="1">
      <c r="E859" s="209" t="s">
        <v>936</v>
      </c>
      <c r="F859" s="209" t="s">
        <v>2475</v>
      </c>
      <c r="G859" s="409" t="str">
        <f t="shared" si="11"/>
        <v>15-12</v>
      </c>
      <c r="H859" s="273" t="e">
        <f ca="1">_xludf.IFNA(VLOOKUP(Aragon!E859,'Kilter Holds'!$P$37:$AB$662,7,0),0)</f>
        <v>#NAME?</v>
      </c>
      <c r="I859" s="274"/>
      <c r="J859" s="274" t="e">
        <f t="shared" ca="1" si="9"/>
        <v>#NAME?</v>
      </c>
      <c r="K859" s="274">
        <f t="shared" si="10"/>
        <v>0</v>
      </c>
      <c r="N859" s="274"/>
    </row>
    <row r="860" spans="5:14" ht="13.5" customHeight="1">
      <c r="E860" s="209" t="s">
        <v>936</v>
      </c>
      <c r="F860" s="209" t="s">
        <v>2475</v>
      </c>
      <c r="G860" s="410" t="str">
        <f t="shared" si="11"/>
        <v>16-16</v>
      </c>
      <c r="H860" s="273" t="e">
        <f ca="1">_xludf.IFNA(VLOOKUP(Aragon!E860,'Kilter Holds'!$P$37:$AB$662,8,0),0)</f>
        <v>#NAME?</v>
      </c>
      <c r="I860" s="274"/>
      <c r="J860" s="274" t="e">
        <f t="shared" ca="1" si="9"/>
        <v>#NAME?</v>
      </c>
      <c r="K860" s="274">
        <f t="shared" si="10"/>
        <v>0</v>
      </c>
      <c r="N860" s="274"/>
    </row>
    <row r="861" spans="5:14" ht="13.5" customHeight="1">
      <c r="E861" s="209" t="s">
        <v>936</v>
      </c>
      <c r="F861" s="209" t="s">
        <v>2475</v>
      </c>
      <c r="G861" s="411" t="str">
        <f t="shared" si="11"/>
        <v>13-01</v>
      </c>
      <c r="H861" s="273" t="e">
        <f ca="1">_xludf.IFNA(VLOOKUP(Aragon!E861,'Kilter Holds'!$P$37:$AB$662,9,0),0)</f>
        <v>#NAME?</v>
      </c>
      <c r="I861" s="274"/>
      <c r="J861" s="274" t="e">
        <f t="shared" ca="1" si="9"/>
        <v>#NAME?</v>
      </c>
      <c r="K861" s="274">
        <f t="shared" si="10"/>
        <v>0</v>
      </c>
      <c r="N861" s="274"/>
    </row>
    <row r="862" spans="5:14" ht="13.5" customHeight="1">
      <c r="E862" s="209" t="s">
        <v>936</v>
      </c>
      <c r="F862" s="209" t="s">
        <v>2475</v>
      </c>
      <c r="G862" s="413" t="str">
        <f t="shared" si="11"/>
        <v>07-13</v>
      </c>
      <c r="H862" s="273" t="e">
        <f ca="1">_xludf.IFNA(VLOOKUP(Aragon!E862,'Kilter Holds'!$P$37:$AB$662,10,0),0)</f>
        <v>#NAME?</v>
      </c>
      <c r="I862" s="274"/>
      <c r="J862" s="274" t="e">
        <f t="shared" ca="1" si="9"/>
        <v>#NAME?</v>
      </c>
      <c r="K862" s="274">
        <f t="shared" si="10"/>
        <v>0</v>
      </c>
      <c r="N862" s="274"/>
    </row>
    <row r="863" spans="5:14" ht="13.5" customHeight="1">
      <c r="E863" s="209" t="s">
        <v>936</v>
      </c>
      <c r="F863" s="209" t="s">
        <v>2475</v>
      </c>
      <c r="G863" s="414" t="str">
        <f t="shared" si="11"/>
        <v>11-26</v>
      </c>
      <c r="H863" s="273" t="e">
        <f ca="1">_xludf.IFNA(VLOOKUP(Aragon!E863,'Kilter Holds'!$P$37:$AB$662,11,0),0)</f>
        <v>#NAME?</v>
      </c>
      <c r="I863" s="274"/>
      <c r="J863" s="274" t="e">
        <f t="shared" ca="1" si="9"/>
        <v>#NAME?</v>
      </c>
      <c r="K863" s="274">
        <f t="shared" si="10"/>
        <v>0</v>
      </c>
      <c r="N863" s="274"/>
    </row>
    <row r="864" spans="5:14" ht="13.5" customHeight="1">
      <c r="E864" s="209" t="s">
        <v>936</v>
      </c>
      <c r="F864" s="209" t="s">
        <v>2475</v>
      </c>
      <c r="G864" s="415" t="str">
        <f t="shared" si="11"/>
        <v>18-01</v>
      </c>
      <c r="H864" s="273" t="e">
        <f ca="1">_xludf.IFNA(VLOOKUP(Aragon!E864,'Kilter Holds'!$P$37:$AB$662,12,0),0)</f>
        <v>#NAME?</v>
      </c>
      <c r="I864" s="274"/>
      <c r="J864" s="274" t="e">
        <f t="shared" ca="1" si="9"/>
        <v>#NAME?</v>
      </c>
      <c r="K864" s="274">
        <f t="shared" si="10"/>
        <v>0</v>
      </c>
      <c r="N864" s="274"/>
    </row>
    <row r="865" spans="5:14" ht="13.5" customHeight="1">
      <c r="E865" s="209" t="s">
        <v>936</v>
      </c>
      <c r="F865" s="209" t="s">
        <v>2475</v>
      </c>
      <c r="G865" s="416" t="str">
        <f t="shared" si="11"/>
        <v>Color Code</v>
      </c>
      <c r="H865" s="273" t="e">
        <f ca="1">_xludf.IFNA(VLOOKUP(Aragon!E865,'Kilter Holds'!$P$37:$AB$662,13,0),0)</f>
        <v>#NAME?</v>
      </c>
      <c r="I865" s="274"/>
      <c r="J865" s="274" t="e">
        <f t="shared" ca="1" si="9"/>
        <v>#NAME?</v>
      </c>
      <c r="K865" s="274">
        <f t="shared" si="10"/>
        <v>0</v>
      </c>
      <c r="N865" s="274"/>
    </row>
    <row r="866" spans="5:14" ht="13.5" customHeight="1">
      <c r="E866" s="209" t="s">
        <v>938</v>
      </c>
      <c r="F866" s="209" t="s">
        <v>2476</v>
      </c>
      <c r="G866" s="406" t="str">
        <f t="shared" si="11"/>
        <v>11-12</v>
      </c>
      <c r="H866" s="273" t="e">
        <f ca="1">_xludf.IFNA(VLOOKUP(Aragon!E866,'Kilter Holds'!$P$37:$AB$662,5,0),0)</f>
        <v>#NAME?</v>
      </c>
      <c r="I866" s="274"/>
      <c r="J866" s="274" t="e">
        <f t="shared" ca="1" si="9"/>
        <v>#NAME?</v>
      </c>
      <c r="K866" s="274">
        <f t="shared" si="10"/>
        <v>0</v>
      </c>
      <c r="N866" s="274"/>
    </row>
    <row r="867" spans="5:14" ht="13.5" customHeight="1">
      <c r="E867" s="209" t="s">
        <v>938</v>
      </c>
      <c r="F867" s="209" t="s">
        <v>2476</v>
      </c>
      <c r="G867" s="408" t="str">
        <f t="shared" si="11"/>
        <v>14-01</v>
      </c>
      <c r="H867" s="273" t="e">
        <f ca="1">_xludf.IFNA(VLOOKUP(Aragon!E867,'Kilter Holds'!$P$37:$AB$662,6,0),0)</f>
        <v>#NAME?</v>
      </c>
      <c r="I867" s="274"/>
      <c r="J867" s="274" t="e">
        <f t="shared" ca="1" si="9"/>
        <v>#NAME?</v>
      </c>
      <c r="K867" s="274">
        <f t="shared" si="10"/>
        <v>0</v>
      </c>
      <c r="N867" s="274"/>
    </row>
    <row r="868" spans="5:14" ht="13.5" customHeight="1">
      <c r="E868" s="209" t="s">
        <v>938</v>
      </c>
      <c r="F868" s="209" t="s">
        <v>2476</v>
      </c>
      <c r="G868" s="409" t="str">
        <f t="shared" si="11"/>
        <v>15-12</v>
      </c>
      <c r="H868" s="273" t="e">
        <f ca="1">_xludf.IFNA(VLOOKUP(Aragon!E868,'Kilter Holds'!$P$37:$AB$662,7,0),0)</f>
        <v>#NAME?</v>
      </c>
      <c r="I868" s="274"/>
      <c r="J868" s="274" t="e">
        <f t="shared" ca="1" si="9"/>
        <v>#NAME?</v>
      </c>
      <c r="K868" s="274">
        <f t="shared" si="10"/>
        <v>0</v>
      </c>
      <c r="N868" s="274"/>
    </row>
    <row r="869" spans="5:14" ht="13.5" customHeight="1">
      <c r="E869" s="209" t="s">
        <v>938</v>
      </c>
      <c r="F869" s="209" t="s">
        <v>2476</v>
      </c>
      <c r="G869" s="410" t="str">
        <f t="shared" si="11"/>
        <v>16-16</v>
      </c>
      <c r="H869" s="273" t="e">
        <f ca="1">_xludf.IFNA(VLOOKUP(Aragon!E869,'Kilter Holds'!$P$37:$AB$662,8,0),0)</f>
        <v>#NAME?</v>
      </c>
      <c r="I869" s="274"/>
      <c r="J869" s="274" t="e">
        <f t="shared" ca="1" si="9"/>
        <v>#NAME?</v>
      </c>
      <c r="K869" s="274">
        <f t="shared" si="10"/>
        <v>0</v>
      </c>
      <c r="N869" s="274"/>
    </row>
    <row r="870" spans="5:14" ht="13.5" customHeight="1">
      <c r="E870" s="209" t="s">
        <v>938</v>
      </c>
      <c r="F870" s="209" t="s">
        <v>2476</v>
      </c>
      <c r="G870" s="411" t="str">
        <f t="shared" si="11"/>
        <v>13-01</v>
      </c>
      <c r="H870" s="273" t="e">
        <f ca="1">_xludf.IFNA(VLOOKUP(Aragon!E870,'Kilter Holds'!$P$37:$AB$662,9,0),0)</f>
        <v>#NAME?</v>
      </c>
      <c r="I870" s="274"/>
      <c r="J870" s="274" t="e">
        <f t="shared" ca="1" si="9"/>
        <v>#NAME?</v>
      </c>
      <c r="K870" s="274">
        <f t="shared" si="10"/>
        <v>0</v>
      </c>
      <c r="N870" s="274"/>
    </row>
    <row r="871" spans="5:14" ht="13.5" customHeight="1">
      <c r="E871" s="209" t="s">
        <v>938</v>
      </c>
      <c r="F871" s="209" t="s">
        <v>2476</v>
      </c>
      <c r="G871" s="413" t="str">
        <f t="shared" si="11"/>
        <v>07-13</v>
      </c>
      <c r="H871" s="273" t="e">
        <f ca="1">_xludf.IFNA(VLOOKUP(Aragon!E871,'Kilter Holds'!$P$37:$AB$662,10,0),0)</f>
        <v>#NAME?</v>
      </c>
      <c r="I871" s="274"/>
      <c r="J871" s="274" t="e">
        <f t="shared" ca="1" si="9"/>
        <v>#NAME?</v>
      </c>
      <c r="K871" s="274">
        <f t="shared" si="10"/>
        <v>0</v>
      </c>
      <c r="N871" s="274"/>
    </row>
    <row r="872" spans="5:14" ht="13.5" customHeight="1">
      <c r="E872" s="209" t="s">
        <v>938</v>
      </c>
      <c r="F872" s="209" t="s">
        <v>2476</v>
      </c>
      <c r="G872" s="414" t="str">
        <f t="shared" si="11"/>
        <v>11-26</v>
      </c>
      <c r="H872" s="273" t="e">
        <f ca="1">_xludf.IFNA(VLOOKUP(Aragon!E872,'Kilter Holds'!$P$37:$AB$662,11,0),0)</f>
        <v>#NAME?</v>
      </c>
      <c r="I872" s="274"/>
      <c r="J872" s="274" t="e">
        <f t="shared" ca="1" si="9"/>
        <v>#NAME?</v>
      </c>
      <c r="K872" s="274">
        <f t="shared" si="10"/>
        <v>0</v>
      </c>
      <c r="N872" s="274"/>
    </row>
    <row r="873" spans="5:14" ht="13.5" customHeight="1">
      <c r="E873" s="209" t="s">
        <v>938</v>
      </c>
      <c r="F873" s="209" t="s">
        <v>2476</v>
      </c>
      <c r="G873" s="415" t="str">
        <f t="shared" si="11"/>
        <v>18-01</v>
      </c>
      <c r="H873" s="273" t="e">
        <f ca="1">_xludf.IFNA(VLOOKUP(Aragon!E873,'Kilter Holds'!$P$37:$AB$662,12,0),0)</f>
        <v>#NAME?</v>
      </c>
      <c r="I873" s="274"/>
      <c r="J873" s="274" t="e">
        <f t="shared" ca="1" si="9"/>
        <v>#NAME?</v>
      </c>
      <c r="K873" s="274">
        <f t="shared" si="10"/>
        <v>0</v>
      </c>
      <c r="N873" s="274"/>
    </row>
    <row r="874" spans="5:14" ht="13.5" customHeight="1">
      <c r="E874" s="209" t="s">
        <v>938</v>
      </c>
      <c r="F874" s="209" t="s">
        <v>2476</v>
      </c>
      <c r="G874" s="416" t="str">
        <f t="shared" si="11"/>
        <v>Color Code</v>
      </c>
      <c r="H874" s="273" t="e">
        <f ca="1">_xludf.IFNA(VLOOKUP(Aragon!E874,'Kilter Holds'!$P$37:$AB$662,13,0),0)</f>
        <v>#NAME?</v>
      </c>
      <c r="I874" s="274"/>
      <c r="J874" s="274" t="e">
        <f t="shared" ca="1" si="9"/>
        <v>#NAME?</v>
      </c>
      <c r="K874" s="274">
        <f t="shared" si="10"/>
        <v>0</v>
      </c>
      <c r="N874" s="274"/>
    </row>
    <row r="875" spans="5:14" ht="13.5" customHeight="1">
      <c r="E875" s="209" t="s">
        <v>940</v>
      </c>
      <c r="F875" s="209" t="s">
        <v>2477</v>
      </c>
      <c r="G875" s="406" t="str">
        <f t="shared" si="11"/>
        <v>11-12</v>
      </c>
      <c r="H875" s="273" t="e">
        <f ca="1">_xludf.IFNA(VLOOKUP(Aragon!E875,'Kilter Holds'!$P$37:$AB$662,5,0),0)</f>
        <v>#NAME?</v>
      </c>
      <c r="I875" s="274"/>
      <c r="J875" s="274" t="e">
        <f t="shared" ca="1" si="9"/>
        <v>#NAME?</v>
      </c>
      <c r="K875" s="274">
        <f t="shared" si="10"/>
        <v>0</v>
      </c>
      <c r="N875" s="274"/>
    </row>
    <row r="876" spans="5:14" ht="13.5" customHeight="1">
      <c r="E876" s="209" t="s">
        <v>940</v>
      </c>
      <c r="F876" s="209" t="s">
        <v>2477</v>
      </c>
      <c r="G876" s="408" t="str">
        <f t="shared" si="11"/>
        <v>14-01</v>
      </c>
      <c r="H876" s="273" t="e">
        <f ca="1">_xludf.IFNA(VLOOKUP(Aragon!E876,'Kilter Holds'!$P$37:$AB$662,6,0),0)</f>
        <v>#NAME?</v>
      </c>
      <c r="I876" s="274"/>
      <c r="J876" s="274" t="e">
        <f t="shared" ca="1" si="9"/>
        <v>#NAME?</v>
      </c>
      <c r="K876" s="274">
        <f t="shared" si="10"/>
        <v>0</v>
      </c>
      <c r="N876" s="274"/>
    </row>
    <row r="877" spans="5:14" ht="13.5" customHeight="1">
      <c r="E877" s="209" t="s">
        <v>940</v>
      </c>
      <c r="F877" s="209" t="s">
        <v>2477</v>
      </c>
      <c r="G877" s="409" t="str">
        <f t="shared" si="11"/>
        <v>15-12</v>
      </c>
      <c r="H877" s="273" t="e">
        <f ca="1">_xludf.IFNA(VLOOKUP(Aragon!E877,'Kilter Holds'!$P$37:$AB$662,7,0),0)</f>
        <v>#NAME?</v>
      </c>
      <c r="I877" s="274"/>
      <c r="J877" s="274" t="e">
        <f t="shared" ca="1" si="9"/>
        <v>#NAME?</v>
      </c>
      <c r="K877" s="274">
        <f t="shared" si="10"/>
        <v>0</v>
      </c>
      <c r="N877" s="274"/>
    </row>
    <row r="878" spans="5:14" ht="13.5" customHeight="1">
      <c r="E878" s="209" t="s">
        <v>940</v>
      </c>
      <c r="F878" s="209" t="s">
        <v>2477</v>
      </c>
      <c r="G878" s="410" t="str">
        <f t="shared" si="11"/>
        <v>16-16</v>
      </c>
      <c r="H878" s="273" t="e">
        <f ca="1">_xludf.IFNA(VLOOKUP(Aragon!E878,'Kilter Holds'!$P$37:$AB$662,8,0),0)</f>
        <v>#NAME?</v>
      </c>
      <c r="I878" s="274"/>
      <c r="J878" s="274" t="e">
        <f t="shared" ca="1" si="9"/>
        <v>#NAME?</v>
      </c>
      <c r="K878" s="274">
        <f t="shared" si="10"/>
        <v>0</v>
      </c>
      <c r="N878" s="274"/>
    </row>
    <row r="879" spans="5:14" ht="13.5" customHeight="1">
      <c r="E879" s="209" t="s">
        <v>940</v>
      </c>
      <c r="F879" s="209" t="s">
        <v>2477</v>
      </c>
      <c r="G879" s="411" t="str">
        <f t="shared" si="11"/>
        <v>13-01</v>
      </c>
      <c r="H879" s="273" t="e">
        <f ca="1">_xludf.IFNA(VLOOKUP(Aragon!E879,'Kilter Holds'!$P$37:$AB$662,9,0),0)</f>
        <v>#NAME?</v>
      </c>
      <c r="I879" s="274"/>
      <c r="J879" s="274" t="e">
        <f t="shared" ca="1" si="9"/>
        <v>#NAME?</v>
      </c>
      <c r="K879" s="274">
        <f t="shared" si="10"/>
        <v>0</v>
      </c>
      <c r="N879" s="274"/>
    </row>
    <row r="880" spans="5:14" ht="13.5" customHeight="1">
      <c r="E880" s="209" t="s">
        <v>940</v>
      </c>
      <c r="F880" s="209" t="s">
        <v>2477</v>
      </c>
      <c r="G880" s="413" t="str">
        <f t="shared" si="11"/>
        <v>07-13</v>
      </c>
      <c r="H880" s="273" t="e">
        <f ca="1">_xludf.IFNA(VLOOKUP(Aragon!E880,'Kilter Holds'!$P$37:$AB$662,10,0),0)</f>
        <v>#NAME?</v>
      </c>
      <c r="I880" s="274"/>
      <c r="J880" s="274" t="e">
        <f t="shared" ca="1" si="9"/>
        <v>#NAME?</v>
      </c>
      <c r="K880" s="274">
        <f t="shared" si="10"/>
        <v>0</v>
      </c>
      <c r="N880" s="274"/>
    </row>
    <row r="881" spans="5:14" ht="13.5" customHeight="1">
      <c r="E881" s="209" t="s">
        <v>940</v>
      </c>
      <c r="F881" s="209" t="s">
        <v>2477</v>
      </c>
      <c r="G881" s="414" t="str">
        <f t="shared" si="11"/>
        <v>11-26</v>
      </c>
      <c r="H881" s="273" t="e">
        <f ca="1">_xludf.IFNA(VLOOKUP(Aragon!E881,'Kilter Holds'!$P$37:$AB$662,11,0),0)</f>
        <v>#NAME?</v>
      </c>
      <c r="I881" s="274"/>
      <c r="J881" s="274" t="e">
        <f t="shared" ca="1" si="9"/>
        <v>#NAME?</v>
      </c>
      <c r="K881" s="274">
        <f t="shared" si="10"/>
        <v>0</v>
      </c>
      <c r="N881" s="274"/>
    </row>
    <row r="882" spans="5:14" ht="13.5" customHeight="1">
      <c r="E882" s="209" t="s">
        <v>940</v>
      </c>
      <c r="F882" s="209" t="s">
        <v>2477</v>
      </c>
      <c r="G882" s="415" t="str">
        <f t="shared" si="11"/>
        <v>18-01</v>
      </c>
      <c r="H882" s="273" t="e">
        <f ca="1">_xludf.IFNA(VLOOKUP(Aragon!E882,'Kilter Holds'!$P$37:$AB$662,12,0),0)</f>
        <v>#NAME?</v>
      </c>
      <c r="I882" s="274"/>
      <c r="J882" s="274" t="e">
        <f t="shared" ca="1" si="9"/>
        <v>#NAME?</v>
      </c>
      <c r="K882" s="274">
        <f t="shared" si="10"/>
        <v>0</v>
      </c>
      <c r="N882" s="274"/>
    </row>
    <row r="883" spans="5:14" ht="13.5" customHeight="1">
      <c r="E883" s="209" t="s">
        <v>940</v>
      </c>
      <c r="F883" s="209" t="s">
        <v>2477</v>
      </c>
      <c r="G883" s="416" t="str">
        <f t="shared" si="11"/>
        <v>Color Code</v>
      </c>
      <c r="H883" s="273" t="e">
        <f ca="1">_xludf.IFNA(VLOOKUP(Aragon!E883,'Kilter Holds'!$P$37:$AB$662,13,0),0)</f>
        <v>#NAME?</v>
      </c>
      <c r="I883" s="274"/>
      <c r="J883" s="274" t="e">
        <f t="shared" ca="1" si="9"/>
        <v>#NAME?</v>
      </c>
      <c r="K883" s="274">
        <f t="shared" si="10"/>
        <v>0</v>
      </c>
      <c r="N883" s="274"/>
    </row>
    <row r="884" spans="5:14" ht="13.5" customHeight="1">
      <c r="E884" s="209" t="s">
        <v>735</v>
      </c>
      <c r="F884" s="209" t="s">
        <v>2478</v>
      </c>
      <c r="G884" s="406" t="str">
        <f t="shared" si="11"/>
        <v>11-12</v>
      </c>
      <c r="H884" s="273" t="e">
        <f ca="1">_xludf.IFNA(VLOOKUP(Aragon!E884,'Kilter Holds'!$P$37:$AB$662,5,0),0)</f>
        <v>#NAME?</v>
      </c>
      <c r="I884" s="274"/>
      <c r="J884" s="274" t="e">
        <f t="shared" ca="1" si="9"/>
        <v>#NAME?</v>
      </c>
      <c r="K884" s="274">
        <f t="shared" si="10"/>
        <v>0</v>
      </c>
      <c r="N884" s="274"/>
    </row>
    <row r="885" spans="5:14" ht="13.5" customHeight="1">
      <c r="E885" s="209" t="s">
        <v>735</v>
      </c>
      <c r="F885" s="209" t="s">
        <v>2478</v>
      </c>
      <c r="G885" s="408" t="str">
        <f t="shared" si="11"/>
        <v>14-01</v>
      </c>
      <c r="H885" s="273" t="e">
        <f ca="1">_xludf.IFNA(VLOOKUP(Aragon!E885,'Kilter Holds'!$P$37:$AB$662,6,0),0)</f>
        <v>#NAME?</v>
      </c>
      <c r="I885" s="274"/>
      <c r="J885" s="274" t="e">
        <f t="shared" ca="1" si="9"/>
        <v>#NAME?</v>
      </c>
      <c r="K885" s="274">
        <f t="shared" si="10"/>
        <v>0</v>
      </c>
      <c r="N885" s="274"/>
    </row>
    <row r="886" spans="5:14" ht="13.5" customHeight="1">
      <c r="E886" s="209" t="s">
        <v>735</v>
      </c>
      <c r="F886" s="209" t="s">
        <v>2478</v>
      </c>
      <c r="G886" s="409" t="str">
        <f t="shared" si="11"/>
        <v>15-12</v>
      </c>
      <c r="H886" s="273" t="e">
        <f ca="1">_xludf.IFNA(VLOOKUP(Aragon!E886,'Kilter Holds'!$P$37:$AB$662,7,0),0)</f>
        <v>#NAME?</v>
      </c>
      <c r="I886" s="274"/>
      <c r="J886" s="274" t="e">
        <f t="shared" ca="1" si="9"/>
        <v>#NAME?</v>
      </c>
      <c r="K886" s="274">
        <f t="shared" si="10"/>
        <v>0</v>
      </c>
      <c r="N886" s="274"/>
    </row>
    <row r="887" spans="5:14" ht="13.5" customHeight="1">
      <c r="E887" s="209" t="s">
        <v>735</v>
      </c>
      <c r="F887" s="209" t="s">
        <v>2478</v>
      </c>
      <c r="G887" s="410" t="str">
        <f t="shared" si="11"/>
        <v>16-16</v>
      </c>
      <c r="H887" s="273" t="e">
        <f ca="1">_xludf.IFNA(VLOOKUP(Aragon!E887,'Kilter Holds'!$P$37:$AB$662,8,0),0)</f>
        <v>#NAME?</v>
      </c>
      <c r="I887" s="274"/>
      <c r="J887" s="274" t="e">
        <f t="shared" ca="1" si="9"/>
        <v>#NAME?</v>
      </c>
      <c r="K887" s="274">
        <f t="shared" si="10"/>
        <v>0</v>
      </c>
      <c r="N887" s="274"/>
    </row>
    <row r="888" spans="5:14" ht="13.5" customHeight="1">
      <c r="E888" s="209" t="s">
        <v>735</v>
      </c>
      <c r="F888" s="209" t="s">
        <v>2478</v>
      </c>
      <c r="G888" s="411" t="str">
        <f t="shared" si="11"/>
        <v>13-01</v>
      </c>
      <c r="H888" s="273" t="e">
        <f ca="1">_xludf.IFNA(VLOOKUP(Aragon!E888,'Kilter Holds'!$P$37:$AB$662,9,0),0)</f>
        <v>#NAME?</v>
      </c>
      <c r="I888" s="274"/>
      <c r="J888" s="274" t="e">
        <f t="shared" ca="1" si="9"/>
        <v>#NAME?</v>
      </c>
      <c r="K888" s="274">
        <f t="shared" si="10"/>
        <v>0</v>
      </c>
      <c r="N888" s="274"/>
    </row>
    <row r="889" spans="5:14" ht="13.5" customHeight="1">
      <c r="E889" s="209" t="s">
        <v>735</v>
      </c>
      <c r="F889" s="209" t="s">
        <v>2478</v>
      </c>
      <c r="G889" s="413" t="str">
        <f t="shared" si="11"/>
        <v>07-13</v>
      </c>
      <c r="H889" s="273" t="e">
        <f ca="1">_xludf.IFNA(VLOOKUP(Aragon!E889,'Kilter Holds'!$P$37:$AB$662,10,0),0)</f>
        <v>#NAME?</v>
      </c>
      <c r="I889" s="274"/>
      <c r="J889" s="274" t="e">
        <f t="shared" ca="1" si="9"/>
        <v>#NAME?</v>
      </c>
      <c r="K889" s="274">
        <f t="shared" si="10"/>
        <v>0</v>
      </c>
      <c r="N889" s="274"/>
    </row>
    <row r="890" spans="5:14" ht="13.5" customHeight="1">
      <c r="E890" s="209" t="s">
        <v>735</v>
      </c>
      <c r="F890" s="209" t="s">
        <v>2478</v>
      </c>
      <c r="G890" s="414" t="str">
        <f t="shared" si="11"/>
        <v>11-26</v>
      </c>
      <c r="H890" s="273" t="e">
        <f ca="1">_xludf.IFNA(VLOOKUP(Aragon!E890,'Kilter Holds'!$P$37:$AB$662,11,0),0)</f>
        <v>#NAME?</v>
      </c>
      <c r="I890" s="274"/>
      <c r="J890" s="274" t="e">
        <f t="shared" ca="1" si="9"/>
        <v>#NAME?</v>
      </c>
      <c r="K890" s="274">
        <f t="shared" si="10"/>
        <v>0</v>
      </c>
      <c r="N890" s="274"/>
    </row>
    <row r="891" spans="5:14" ht="13.5" customHeight="1">
      <c r="E891" s="209" t="s">
        <v>735</v>
      </c>
      <c r="F891" s="209" t="s">
        <v>2478</v>
      </c>
      <c r="G891" s="415" t="str">
        <f t="shared" si="11"/>
        <v>18-01</v>
      </c>
      <c r="H891" s="273" t="e">
        <f ca="1">_xludf.IFNA(VLOOKUP(Aragon!E891,'Kilter Holds'!$P$37:$AB$662,12,0),0)</f>
        <v>#NAME?</v>
      </c>
      <c r="I891" s="274"/>
      <c r="J891" s="274" t="e">
        <f t="shared" ca="1" si="9"/>
        <v>#NAME?</v>
      </c>
      <c r="K891" s="274">
        <f t="shared" si="10"/>
        <v>0</v>
      </c>
      <c r="N891" s="274"/>
    </row>
    <row r="892" spans="5:14" ht="13.5" customHeight="1">
      <c r="E892" s="209" t="s">
        <v>735</v>
      </c>
      <c r="F892" s="209" t="s">
        <v>2478</v>
      </c>
      <c r="G892" s="416" t="str">
        <f t="shared" si="11"/>
        <v>Color Code</v>
      </c>
      <c r="H892" s="273" t="e">
        <f ca="1">_xludf.IFNA(VLOOKUP(Aragon!E892,'Kilter Holds'!$P$37:$AB$662,13,0),0)</f>
        <v>#NAME?</v>
      </c>
      <c r="I892" s="274"/>
      <c r="J892" s="274" t="e">
        <f t="shared" ca="1" si="9"/>
        <v>#NAME?</v>
      </c>
      <c r="K892" s="274">
        <f t="shared" si="10"/>
        <v>0</v>
      </c>
      <c r="N892" s="274"/>
    </row>
    <row r="893" spans="5:14" ht="13.5" customHeight="1">
      <c r="E893" s="209" t="s">
        <v>1093</v>
      </c>
      <c r="F893" s="209" t="s">
        <v>2479</v>
      </c>
      <c r="G893" s="406" t="str">
        <f t="shared" si="11"/>
        <v>11-12</v>
      </c>
      <c r="H893" s="273" t="e">
        <f ca="1">_xludf.IFNA(VLOOKUP(Aragon!E893,'Kilter Holds'!$P$37:$AB$662,5,0),0)</f>
        <v>#NAME?</v>
      </c>
      <c r="I893" s="274"/>
      <c r="J893" s="274" t="e">
        <f t="shared" ca="1" si="9"/>
        <v>#NAME?</v>
      </c>
      <c r="K893" s="274">
        <f t="shared" si="10"/>
        <v>0</v>
      </c>
      <c r="N893" s="274"/>
    </row>
    <row r="894" spans="5:14" ht="13.5" customHeight="1">
      <c r="E894" s="209" t="s">
        <v>1093</v>
      </c>
      <c r="F894" s="209" t="s">
        <v>2479</v>
      </c>
      <c r="G894" s="408" t="str">
        <f t="shared" si="11"/>
        <v>14-01</v>
      </c>
      <c r="H894" s="273" t="e">
        <f ca="1">_xludf.IFNA(VLOOKUP(Aragon!E894,'Kilter Holds'!$P$37:$AB$662,6,0),0)</f>
        <v>#NAME?</v>
      </c>
      <c r="I894" s="274"/>
      <c r="J894" s="274" t="e">
        <f t="shared" ca="1" si="9"/>
        <v>#NAME?</v>
      </c>
      <c r="K894" s="274">
        <f t="shared" si="10"/>
        <v>0</v>
      </c>
      <c r="N894" s="274"/>
    </row>
    <row r="895" spans="5:14" ht="13.5" customHeight="1">
      <c r="E895" s="209" t="s">
        <v>1093</v>
      </c>
      <c r="F895" s="209" t="s">
        <v>2479</v>
      </c>
      <c r="G895" s="409" t="str">
        <f t="shared" si="11"/>
        <v>15-12</v>
      </c>
      <c r="H895" s="273" t="e">
        <f ca="1">_xludf.IFNA(VLOOKUP(Aragon!E895,'Kilter Holds'!$P$37:$AB$662,7,0),0)</f>
        <v>#NAME?</v>
      </c>
      <c r="I895" s="274"/>
      <c r="J895" s="274" t="e">
        <f t="shared" ca="1" si="9"/>
        <v>#NAME?</v>
      </c>
      <c r="K895" s="274">
        <f t="shared" si="10"/>
        <v>0</v>
      </c>
      <c r="N895" s="274"/>
    </row>
    <row r="896" spans="5:14" ht="13.5" customHeight="1">
      <c r="E896" s="209" t="s">
        <v>1093</v>
      </c>
      <c r="F896" s="209" t="s">
        <v>2479</v>
      </c>
      <c r="G896" s="410" t="str">
        <f t="shared" si="11"/>
        <v>16-16</v>
      </c>
      <c r="H896" s="273" t="e">
        <f ca="1">_xludf.IFNA(VLOOKUP(Aragon!E896,'Kilter Holds'!$P$37:$AB$662,8,0),0)</f>
        <v>#NAME?</v>
      </c>
      <c r="I896" s="274"/>
      <c r="J896" s="274" t="e">
        <f t="shared" ca="1" si="9"/>
        <v>#NAME?</v>
      </c>
      <c r="K896" s="274">
        <f t="shared" si="10"/>
        <v>0</v>
      </c>
      <c r="N896" s="274"/>
    </row>
    <row r="897" spans="1:14" ht="13.5" customHeight="1">
      <c r="E897" s="209" t="s">
        <v>1093</v>
      </c>
      <c r="F897" s="209" t="s">
        <v>2479</v>
      </c>
      <c r="G897" s="411" t="str">
        <f t="shared" si="11"/>
        <v>13-01</v>
      </c>
      <c r="H897" s="273" t="e">
        <f ca="1">_xludf.IFNA(VLOOKUP(Aragon!E897,'Kilter Holds'!$P$37:$AB$662,9,0),0)</f>
        <v>#NAME?</v>
      </c>
      <c r="I897" s="274"/>
      <c r="J897" s="274" t="e">
        <f t="shared" ca="1" si="9"/>
        <v>#NAME?</v>
      </c>
      <c r="K897" s="274">
        <f t="shared" si="10"/>
        <v>0</v>
      </c>
      <c r="N897" s="274"/>
    </row>
    <row r="898" spans="1:14" ht="13.5" customHeight="1">
      <c r="E898" s="209" t="s">
        <v>1093</v>
      </c>
      <c r="F898" s="209" t="s">
        <v>2479</v>
      </c>
      <c r="G898" s="413" t="str">
        <f t="shared" si="11"/>
        <v>07-13</v>
      </c>
      <c r="H898" s="273" t="e">
        <f ca="1">_xludf.IFNA(VLOOKUP(Aragon!E898,'Kilter Holds'!$P$37:$AB$662,10,0),0)</f>
        <v>#NAME?</v>
      </c>
      <c r="I898" s="274"/>
      <c r="J898" s="274" t="e">
        <f t="shared" ca="1" si="9"/>
        <v>#NAME?</v>
      </c>
      <c r="K898" s="274">
        <f t="shared" si="10"/>
        <v>0</v>
      </c>
      <c r="N898" s="274"/>
    </row>
    <row r="899" spans="1:14" ht="13.5" customHeight="1">
      <c r="E899" s="209" t="s">
        <v>1093</v>
      </c>
      <c r="F899" s="209" t="s">
        <v>2479</v>
      </c>
      <c r="G899" s="414" t="str">
        <f t="shared" si="11"/>
        <v>11-26</v>
      </c>
      <c r="H899" s="273" t="e">
        <f ca="1">_xludf.IFNA(VLOOKUP(Aragon!E899,'Kilter Holds'!$P$37:$AB$662,11,0),0)</f>
        <v>#NAME?</v>
      </c>
      <c r="I899" s="274"/>
      <c r="J899" s="274" t="e">
        <f t="shared" ca="1" si="9"/>
        <v>#NAME?</v>
      </c>
      <c r="K899" s="274">
        <f t="shared" si="10"/>
        <v>0</v>
      </c>
      <c r="N899" s="274"/>
    </row>
    <row r="900" spans="1:14" ht="13.5" customHeight="1">
      <c r="E900" s="209" t="s">
        <v>1093</v>
      </c>
      <c r="F900" s="209" t="s">
        <v>2479</v>
      </c>
      <c r="G900" s="415" t="str">
        <f t="shared" si="11"/>
        <v>18-01</v>
      </c>
      <c r="H900" s="273" t="e">
        <f ca="1">_xludf.IFNA(VLOOKUP(Aragon!E900,'Kilter Holds'!$P$37:$AB$662,12,0),0)</f>
        <v>#NAME?</v>
      </c>
      <c r="I900" s="274"/>
      <c r="J900" s="274" t="e">
        <f t="shared" ca="1" si="9"/>
        <v>#NAME?</v>
      </c>
      <c r="K900" s="274">
        <f t="shared" si="10"/>
        <v>0</v>
      </c>
      <c r="N900" s="274"/>
    </row>
    <row r="901" spans="1:14" ht="13.5" customHeight="1">
      <c r="E901" s="209" t="s">
        <v>1093</v>
      </c>
      <c r="F901" s="209" t="s">
        <v>2479</v>
      </c>
      <c r="G901" s="416" t="str">
        <f t="shared" si="11"/>
        <v>Color Code</v>
      </c>
      <c r="H901" s="273" t="e">
        <f ca="1">_xludf.IFNA(VLOOKUP(Aragon!E901,'Kilter Holds'!$P$37:$AB$662,13,0),0)</f>
        <v>#NAME?</v>
      </c>
      <c r="I901" s="274"/>
      <c r="J901" s="274" t="e">
        <f t="shared" ca="1" si="9"/>
        <v>#NAME?</v>
      </c>
      <c r="K901" s="274">
        <f t="shared" si="10"/>
        <v>0</v>
      </c>
      <c r="N901" s="274"/>
    </row>
    <row r="902" spans="1:14" ht="13.5" customHeight="1">
      <c r="A902" s="1" t="s">
        <v>1235</v>
      </c>
      <c r="E902" s="209" t="s">
        <v>1133</v>
      </c>
      <c r="F902" s="209" t="s">
        <v>2480</v>
      </c>
      <c r="G902" s="406" t="str">
        <f t="shared" si="11"/>
        <v>11-12</v>
      </c>
      <c r="H902" s="273" t="e">
        <f ca="1">_xludf.IFNA(VLOOKUP(E902,'Kilter Holds'!$P$37:$AB$662,5,0),0)+_xludf.IFNA(VLOOKUP(A902,'Kilter Holds'!$P$37:$AB$662,5,0),0)</f>
        <v>#NAME?</v>
      </c>
      <c r="I902" s="274"/>
      <c r="J902" s="274" t="e">
        <f t="shared" ca="1" si="9"/>
        <v>#NAME?</v>
      </c>
      <c r="K902" s="274">
        <f t="shared" si="10"/>
        <v>0</v>
      </c>
      <c r="N902" s="274"/>
    </row>
    <row r="903" spans="1:14" ht="13.5" customHeight="1">
      <c r="A903" s="1" t="s">
        <v>1235</v>
      </c>
      <c r="E903" s="209" t="s">
        <v>1133</v>
      </c>
      <c r="F903" s="209" t="s">
        <v>2480</v>
      </c>
      <c r="G903" s="408" t="str">
        <f t="shared" si="11"/>
        <v>14-01</v>
      </c>
      <c r="H903" s="273" t="e">
        <f ca="1">_xludf.IFNA(VLOOKUP(E903,'Kilter Holds'!$P$37:$AB$662,6,0),0)+_xludf.IFNA(VLOOKUP(A903,'Kilter Holds'!$P$37:$AB$662,6,0),0)</f>
        <v>#NAME?</v>
      </c>
      <c r="I903" s="274"/>
      <c r="J903" s="274" t="e">
        <f t="shared" ca="1" si="9"/>
        <v>#NAME?</v>
      </c>
      <c r="K903" s="274">
        <f t="shared" si="10"/>
        <v>0</v>
      </c>
      <c r="N903" s="274"/>
    </row>
    <row r="904" spans="1:14" ht="13.5" customHeight="1">
      <c r="A904" s="1" t="s">
        <v>1235</v>
      </c>
      <c r="E904" s="209" t="s">
        <v>1133</v>
      </c>
      <c r="F904" s="209" t="s">
        <v>2480</v>
      </c>
      <c r="G904" s="409" t="str">
        <f t="shared" si="11"/>
        <v>15-12</v>
      </c>
      <c r="H904" s="273" t="e">
        <f ca="1">_xludf.IFNA(VLOOKUP(E904,'Kilter Holds'!$P$37:$AB$662,7,0),0)+_xludf.IFNA(VLOOKUP(A904,'Kilter Holds'!$P$37:$AB$662,7,0),0)</f>
        <v>#NAME?</v>
      </c>
      <c r="I904" s="274"/>
      <c r="J904" s="274" t="e">
        <f t="shared" ca="1" si="9"/>
        <v>#NAME?</v>
      </c>
      <c r="K904" s="274">
        <f t="shared" si="10"/>
        <v>0</v>
      </c>
      <c r="N904" s="274"/>
    </row>
    <row r="905" spans="1:14" ht="13.5" customHeight="1">
      <c r="A905" s="1" t="s">
        <v>1235</v>
      </c>
      <c r="E905" s="209" t="s">
        <v>1133</v>
      </c>
      <c r="F905" s="209" t="s">
        <v>2480</v>
      </c>
      <c r="G905" s="410" t="str">
        <f t="shared" si="11"/>
        <v>16-16</v>
      </c>
      <c r="H905" s="273" t="e">
        <f ca="1">_xludf.IFNA(VLOOKUP(E905,'Kilter Holds'!$P$37:$AB$662,8,0),0)+_xludf.IFNA(VLOOKUP(A905,'Kilter Holds'!$P$37:$AB$662,8,0),0)</f>
        <v>#NAME?</v>
      </c>
      <c r="I905" s="274"/>
      <c r="J905" s="274" t="e">
        <f t="shared" ca="1" si="9"/>
        <v>#NAME?</v>
      </c>
      <c r="K905" s="274">
        <f t="shared" si="10"/>
        <v>0</v>
      </c>
      <c r="N905" s="274"/>
    </row>
    <row r="906" spans="1:14" ht="13.5" customHeight="1">
      <c r="A906" s="1" t="s">
        <v>1235</v>
      </c>
      <c r="E906" s="209" t="s">
        <v>1133</v>
      </c>
      <c r="F906" s="209" t="s">
        <v>2480</v>
      </c>
      <c r="G906" s="411" t="str">
        <f t="shared" si="11"/>
        <v>13-01</v>
      </c>
      <c r="H906" s="273" t="e">
        <f ca="1">_xludf.IFNA(VLOOKUP(E906,'Kilter Holds'!$P$37:$AB$662,9,0),0)+_xludf.IFNA(VLOOKUP(A906,'Kilter Holds'!$P$37:$AB$662,9,0),0)</f>
        <v>#NAME?</v>
      </c>
      <c r="I906" s="274"/>
      <c r="J906" s="274" t="e">
        <f t="shared" ca="1" si="9"/>
        <v>#NAME?</v>
      </c>
      <c r="K906" s="274">
        <f t="shared" si="10"/>
        <v>0</v>
      </c>
      <c r="N906" s="274"/>
    </row>
    <row r="907" spans="1:14" ht="13.5" customHeight="1">
      <c r="A907" s="1" t="s">
        <v>1235</v>
      </c>
      <c r="E907" s="209" t="s">
        <v>1133</v>
      </c>
      <c r="F907" s="209" t="s">
        <v>2480</v>
      </c>
      <c r="G907" s="413" t="str">
        <f t="shared" si="11"/>
        <v>07-13</v>
      </c>
      <c r="H907" s="273" t="e">
        <f ca="1">_xludf.IFNA(VLOOKUP(E907,'Kilter Holds'!$P$37:$AB$662,10,0),0)+_xludf.IFNA(VLOOKUP(A907,'Kilter Holds'!$P$37:$AB$662,10,0),0)</f>
        <v>#NAME?</v>
      </c>
      <c r="I907" s="274"/>
      <c r="J907" s="274" t="e">
        <f t="shared" ca="1" si="9"/>
        <v>#NAME?</v>
      </c>
      <c r="K907" s="274">
        <f t="shared" si="10"/>
        <v>0</v>
      </c>
      <c r="N907" s="274"/>
    </row>
    <row r="908" spans="1:14" ht="13.5" customHeight="1">
      <c r="A908" s="1" t="s">
        <v>1235</v>
      </c>
      <c r="E908" s="209" t="s">
        <v>1133</v>
      </c>
      <c r="F908" s="209" t="s">
        <v>2480</v>
      </c>
      <c r="G908" s="414" t="str">
        <f t="shared" si="11"/>
        <v>11-26</v>
      </c>
      <c r="H908" s="273" t="e">
        <f ca="1">_xludf.IFNA(VLOOKUP(E908,'Kilter Holds'!$P$37:$AB$662,11,0),0)+_xludf.IFNA(VLOOKUP(A908,'Kilter Holds'!$P$37:$AB$662,11,0),0)</f>
        <v>#NAME?</v>
      </c>
      <c r="I908" s="274"/>
      <c r="J908" s="274" t="e">
        <f t="shared" ca="1" si="9"/>
        <v>#NAME?</v>
      </c>
      <c r="K908" s="274">
        <f t="shared" si="10"/>
        <v>0</v>
      </c>
      <c r="N908" s="274"/>
    </row>
    <row r="909" spans="1:14" ht="13.5" customHeight="1">
      <c r="A909" s="1" t="s">
        <v>1235</v>
      </c>
      <c r="E909" s="209" t="s">
        <v>1133</v>
      </c>
      <c r="F909" s="209" t="s">
        <v>2480</v>
      </c>
      <c r="G909" s="415" t="str">
        <f t="shared" si="11"/>
        <v>18-01</v>
      </c>
      <c r="H909" s="273" t="e">
        <f ca="1">_xludf.IFNA(VLOOKUP(E909,'Kilter Holds'!$P$37:$AB$662,12,0),0)+_xludf.IFNA(VLOOKUP(A909,'Kilter Holds'!$P$37:$AB$662,12,0),0)</f>
        <v>#NAME?</v>
      </c>
      <c r="I909" s="274"/>
      <c r="J909" s="274" t="e">
        <f t="shared" ca="1" si="9"/>
        <v>#NAME?</v>
      </c>
      <c r="K909" s="274">
        <f t="shared" si="10"/>
        <v>0</v>
      </c>
      <c r="N909" s="274"/>
    </row>
    <row r="910" spans="1:14" ht="13.5" customHeight="1">
      <c r="A910" s="1" t="s">
        <v>1235</v>
      </c>
      <c r="E910" s="209" t="s">
        <v>1133</v>
      </c>
      <c r="F910" s="209" t="s">
        <v>2480</v>
      </c>
      <c r="G910" s="416" t="str">
        <f t="shared" si="11"/>
        <v>Color Code</v>
      </c>
      <c r="H910" s="273" t="e">
        <f ca="1">_xludf.IFNA(VLOOKUP(E910,'Kilter Holds'!$P$37:$AB$662,13,0),0)+_xludf.IFNA(VLOOKUP(A910,'Kilter Holds'!$P$37:$AB$662,13,0),0)</f>
        <v>#NAME?</v>
      </c>
      <c r="I910" s="274"/>
      <c r="J910" s="274" t="e">
        <f t="shared" ca="1" si="9"/>
        <v>#NAME?</v>
      </c>
      <c r="K910" s="274">
        <f t="shared" si="10"/>
        <v>0</v>
      </c>
      <c r="N910" s="274"/>
    </row>
    <row r="911" spans="1:14" ht="13.5" customHeight="1">
      <c r="E911" s="209" t="s">
        <v>984</v>
      </c>
      <c r="F911" s="209" t="s">
        <v>2481</v>
      </c>
      <c r="G911" s="406" t="str">
        <f t="shared" si="11"/>
        <v>11-12</v>
      </c>
      <c r="H911" s="273" t="e">
        <f ca="1">_xludf.IFNA(VLOOKUP(Aragon!E911,'Kilter Holds'!$P$37:$AB$662,5,0),0)</f>
        <v>#NAME?</v>
      </c>
      <c r="I911" s="274"/>
      <c r="J911" s="274" t="e">
        <f t="shared" ca="1" si="9"/>
        <v>#NAME?</v>
      </c>
      <c r="K911" s="274">
        <f t="shared" si="10"/>
        <v>0</v>
      </c>
      <c r="N911" s="274"/>
    </row>
    <row r="912" spans="1:14" ht="13.5" customHeight="1">
      <c r="E912" s="209" t="s">
        <v>984</v>
      </c>
      <c r="F912" s="209" t="s">
        <v>2481</v>
      </c>
      <c r="G912" s="408" t="str">
        <f t="shared" si="11"/>
        <v>14-01</v>
      </c>
      <c r="H912" s="273" t="e">
        <f ca="1">_xludf.IFNA(VLOOKUP(Aragon!E912,'Kilter Holds'!$P$37:$AB$662,6,0),0)</f>
        <v>#NAME?</v>
      </c>
      <c r="I912" s="274"/>
      <c r="J912" s="274" t="e">
        <f t="shared" ca="1" si="9"/>
        <v>#NAME?</v>
      </c>
      <c r="K912" s="274">
        <f t="shared" si="10"/>
        <v>0</v>
      </c>
      <c r="N912" s="274"/>
    </row>
    <row r="913" spans="1:14" ht="13.5" customHeight="1">
      <c r="E913" s="209" t="s">
        <v>984</v>
      </c>
      <c r="F913" s="209" t="s">
        <v>2481</v>
      </c>
      <c r="G913" s="409" t="str">
        <f t="shared" si="11"/>
        <v>15-12</v>
      </c>
      <c r="H913" s="273" t="e">
        <f ca="1">_xludf.IFNA(VLOOKUP(Aragon!E913,'Kilter Holds'!$P$37:$AB$662,7,0),0)</f>
        <v>#NAME?</v>
      </c>
      <c r="I913" s="274"/>
      <c r="J913" s="274" t="e">
        <f t="shared" ca="1" si="9"/>
        <v>#NAME?</v>
      </c>
      <c r="K913" s="274">
        <f t="shared" si="10"/>
        <v>0</v>
      </c>
      <c r="N913" s="274"/>
    </row>
    <row r="914" spans="1:14" ht="13.5" customHeight="1">
      <c r="E914" s="209" t="s">
        <v>984</v>
      </c>
      <c r="F914" s="209" t="s">
        <v>2481</v>
      </c>
      <c r="G914" s="410" t="str">
        <f t="shared" si="11"/>
        <v>16-16</v>
      </c>
      <c r="H914" s="273" t="e">
        <f ca="1">_xludf.IFNA(VLOOKUP(Aragon!E914,'Kilter Holds'!$P$37:$AB$662,8,0),0)</f>
        <v>#NAME?</v>
      </c>
      <c r="I914" s="274"/>
      <c r="J914" s="274" t="e">
        <f t="shared" ca="1" si="9"/>
        <v>#NAME?</v>
      </c>
      <c r="K914" s="274">
        <f t="shared" si="10"/>
        <v>0</v>
      </c>
      <c r="N914" s="274"/>
    </row>
    <row r="915" spans="1:14" ht="13.5" customHeight="1">
      <c r="E915" s="209" t="s">
        <v>984</v>
      </c>
      <c r="F915" s="209" t="s">
        <v>2481</v>
      </c>
      <c r="G915" s="411" t="str">
        <f t="shared" si="11"/>
        <v>13-01</v>
      </c>
      <c r="H915" s="273" t="e">
        <f ca="1">_xludf.IFNA(VLOOKUP(Aragon!E915,'Kilter Holds'!$P$37:$AB$662,9,0),0)</f>
        <v>#NAME?</v>
      </c>
      <c r="I915" s="274"/>
      <c r="J915" s="274" t="e">
        <f t="shared" ca="1" si="9"/>
        <v>#NAME?</v>
      </c>
      <c r="K915" s="274">
        <f t="shared" si="10"/>
        <v>0</v>
      </c>
      <c r="N915" s="274"/>
    </row>
    <row r="916" spans="1:14" ht="13.5" customHeight="1">
      <c r="E916" s="209" t="s">
        <v>984</v>
      </c>
      <c r="F916" s="209" t="s">
        <v>2481</v>
      </c>
      <c r="G916" s="413" t="str">
        <f t="shared" si="11"/>
        <v>07-13</v>
      </c>
      <c r="H916" s="273" t="e">
        <f ca="1">_xludf.IFNA(VLOOKUP(Aragon!E916,'Kilter Holds'!$P$37:$AB$662,10,0),0)</f>
        <v>#NAME?</v>
      </c>
      <c r="I916" s="274"/>
      <c r="J916" s="274" t="e">
        <f t="shared" ca="1" si="9"/>
        <v>#NAME?</v>
      </c>
      <c r="K916" s="274">
        <f t="shared" si="10"/>
        <v>0</v>
      </c>
      <c r="N916" s="274"/>
    </row>
    <row r="917" spans="1:14" ht="13.5" customHeight="1">
      <c r="E917" s="209" t="s">
        <v>984</v>
      </c>
      <c r="F917" s="209" t="s">
        <v>2481</v>
      </c>
      <c r="G917" s="414" t="str">
        <f t="shared" si="11"/>
        <v>11-26</v>
      </c>
      <c r="H917" s="273" t="e">
        <f ca="1">_xludf.IFNA(VLOOKUP(Aragon!E917,'Kilter Holds'!$P$37:$AB$662,11,0),0)</f>
        <v>#NAME?</v>
      </c>
      <c r="I917" s="274"/>
      <c r="J917" s="274" t="e">
        <f t="shared" ca="1" si="9"/>
        <v>#NAME?</v>
      </c>
      <c r="K917" s="274">
        <f t="shared" si="10"/>
        <v>0</v>
      </c>
      <c r="N917" s="274"/>
    </row>
    <row r="918" spans="1:14" ht="13.5" customHeight="1">
      <c r="E918" s="209" t="s">
        <v>984</v>
      </c>
      <c r="F918" s="209" t="s">
        <v>2481</v>
      </c>
      <c r="G918" s="415" t="str">
        <f t="shared" si="11"/>
        <v>18-01</v>
      </c>
      <c r="H918" s="273" t="e">
        <f ca="1">_xludf.IFNA(VLOOKUP(Aragon!E918,'Kilter Holds'!$P$37:$AB$662,12,0),0)</f>
        <v>#NAME?</v>
      </c>
      <c r="I918" s="274"/>
      <c r="J918" s="274" t="e">
        <f t="shared" ca="1" si="9"/>
        <v>#NAME?</v>
      </c>
      <c r="K918" s="274">
        <f t="shared" si="10"/>
        <v>0</v>
      </c>
      <c r="N918" s="274"/>
    </row>
    <row r="919" spans="1:14" ht="13.5" customHeight="1">
      <c r="E919" s="209" t="s">
        <v>984</v>
      </c>
      <c r="F919" s="209" t="s">
        <v>2481</v>
      </c>
      <c r="G919" s="416" t="str">
        <f t="shared" si="11"/>
        <v>Color Code</v>
      </c>
      <c r="H919" s="273" t="e">
        <f ca="1">_xludf.IFNA(VLOOKUP(Aragon!E919,'Kilter Holds'!$P$37:$AB$662,13,0),0)</f>
        <v>#NAME?</v>
      </c>
      <c r="I919" s="274"/>
      <c r="J919" s="274" t="e">
        <f t="shared" ca="1" si="9"/>
        <v>#NAME?</v>
      </c>
      <c r="K919" s="274">
        <f t="shared" si="10"/>
        <v>0</v>
      </c>
      <c r="N919" s="274"/>
    </row>
    <row r="920" spans="1:14" ht="13.5" customHeight="1">
      <c r="A920" s="1" t="s">
        <v>1241</v>
      </c>
      <c r="E920" s="209" t="s">
        <v>1167</v>
      </c>
      <c r="F920" s="209" t="s">
        <v>2482</v>
      </c>
      <c r="G920" s="406" t="str">
        <f t="shared" si="11"/>
        <v>11-12</v>
      </c>
      <c r="H920" s="273" t="e">
        <f ca="1">_xludf.IFNA(VLOOKUP(E920,'Kilter Holds'!$P$37:$AB$662,5,0),0)+_xludf.IFNA(VLOOKUP(A920,'Kilter Holds'!$P$37:$AB$662,5,0),0)</f>
        <v>#NAME?</v>
      </c>
      <c r="I920" s="274"/>
      <c r="J920" s="274" t="e">
        <f t="shared" ca="1" si="9"/>
        <v>#NAME?</v>
      </c>
      <c r="K920" s="274">
        <f t="shared" si="10"/>
        <v>0</v>
      </c>
      <c r="N920" s="274"/>
    </row>
    <row r="921" spans="1:14" ht="13.5" customHeight="1">
      <c r="A921" s="1" t="s">
        <v>1241</v>
      </c>
      <c r="E921" s="209" t="s">
        <v>1167</v>
      </c>
      <c r="F921" s="209" t="s">
        <v>2482</v>
      </c>
      <c r="G921" s="408" t="str">
        <f t="shared" si="11"/>
        <v>14-01</v>
      </c>
      <c r="H921" s="273" t="e">
        <f ca="1">_xludf.IFNA(VLOOKUP(E921,'Kilter Holds'!$P$37:$AB$662,6,0),0)+_xludf.IFNA(VLOOKUP(A921,'Kilter Holds'!$P$37:$AB$662,6,0),0)</f>
        <v>#NAME?</v>
      </c>
      <c r="I921" s="274"/>
      <c r="J921" s="274" t="e">
        <f t="shared" ca="1" si="9"/>
        <v>#NAME?</v>
      </c>
      <c r="K921" s="274">
        <f t="shared" si="10"/>
        <v>0</v>
      </c>
      <c r="N921" s="274"/>
    </row>
    <row r="922" spans="1:14" ht="13.5" customHeight="1">
      <c r="A922" s="1" t="s">
        <v>1241</v>
      </c>
      <c r="E922" s="209" t="s">
        <v>1167</v>
      </c>
      <c r="F922" s="209" t="s">
        <v>2482</v>
      </c>
      <c r="G922" s="409" t="str">
        <f t="shared" si="11"/>
        <v>15-12</v>
      </c>
      <c r="H922" s="273" t="e">
        <f ca="1">_xludf.IFNA(VLOOKUP(E922,'Kilter Holds'!$P$37:$AB$662,7,0),0)+_xludf.IFNA(VLOOKUP(A922,'Kilter Holds'!$P$37:$AB$662,7,0),0)</f>
        <v>#NAME?</v>
      </c>
      <c r="I922" s="274"/>
      <c r="J922" s="274" t="e">
        <f t="shared" ca="1" si="9"/>
        <v>#NAME?</v>
      </c>
      <c r="K922" s="274">
        <f t="shared" si="10"/>
        <v>0</v>
      </c>
      <c r="N922" s="274"/>
    </row>
    <row r="923" spans="1:14" ht="13.5" customHeight="1">
      <c r="A923" s="1" t="s">
        <v>1241</v>
      </c>
      <c r="E923" s="209" t="s">
        <v>1167</v>
      </c>
      <c r="F923" s="209" t="s">
        <v>2482</v>
      </c>
      <c r="G923" s="410" t="str">
        <f t="shared" si="11"/>
        <v>16-16</v>
      </c>
      <c r="H923" s="273" t="e">
        <f ca="1">_xludf.IFNA(VLOOKUP(E923,'Kilter Holds'!$P$37:$AB$662,8,0),0)+_xludf.IFNA(VLOOKUP(A923,'Kilter Holds'!$P$37:$AB$662,8,0),0)</f>
        <v>#NAME?</v>
      </c>
      <c r="I923" s="274"/>
      <c r="J923" s="274" t="e">
        <f t="shared" ca="1" si="9"/>
        <v>#NAME?</v>
      </c>
      <c r="K923" s="274">
        <f t="shared" si="10"/>
        <v>0</v>
      </c>
      <c r="N923" s="274"/>
    </row>
    <row r="924" spans="1:14" ht="13.5" customHeight="1">
      <c r="A924" s="1" t="s">
        <v>1241</v>
      </c>
      <c r="E924" s="209" t="s">
        <v>1167</v>
      </c>
      <c r="F924" s="209" t="s">
        <v>2482</v>
      </c>
      <c r="G924" s="411" t="str">
        <f t="shared" si="11"/>
        <v>13-01</v>
      </c>
      <c r="H924" s="273" t="e">
        <f ca="1">_xludf.IFNA(VLOOKUP(E924,'Kilter Holds'!$P$37:$AB$662,9,0),0)+_xludf.IFNA(VLOOKUP(A924,'Kilter Holds'!$P$37:$AB$662,9,0),0)</f>
        <v>#NAME?</v>
      </c>
      <c r="I924" s="274"/>
      <c r="J924" s="274" t="e">
        <f t="shared" ca="1" si="9"/>
        <v>#NAME?</v>
      </c>
      <c r="K924" s="274">
        <f t="shared" si="10"/>
        <v>0</v>
      </c>
      <c r="N924" s="274"/>
    </row>
    <row r="925" spans="1:14" ht="13.5" customHeight="1">
      <c r="A925" s="1" t="s">
        <v>1241</v>
      </c>
      <c r="E925" s="209" t="s">
        <v>1167</v>
      </c>
      <c r="F925" s="209" t="s">
        <v>2482</v>
      </c>
      <c r="G925" s="413" t="str">
        <f t="shared" si="11"/>
        <v>07-13</v>
      </c>
      <c r="H925" s="273" t="e">
        <f ca="1">_xludf.IFNA(VLOOKUP(E925,'Kilter Holds'!$P$37:$AB$662,10,0),0)+_xludf.IFNA(VLOOKUP(A925,'Kilter Holds'!$P$37:$AB$662,10,0),0)</f>
        <v>#NAME?</v>
      </c>
      <c r="I925" s="274"/>
      <c r="J925" s="274" t="e">
        <f t="shared" ca="1" si="9"/>
        <v>#NAME?</v>
      </c>
      <c r="K925" s="274">
        <f t="shared" si="10"/>
        <v>0</v>
      </c>
      <c r="N925" s="274"/>
    </row>
    <row r="926" spans="1:14" ht="13.5" customHeight="1">
      <c r="A926" s="1" t="s">
        <v>1241</v>
      </c>
      <c r="E926" s="209" t="s">
        <v>1167</v>
      </c>
      <c r="F926" s="209" t="s">
        <v>2482</v>
      </c>
      <c r="G926" s="414" t="str">
        <f t="shared" si="11"/>
        <v>11-26</v>
      </c>
      <c r="H926" s="273" t="e">
        <f ca="1">_xludf.IFNA(VLOOKUP(E926,'Kilter Holds'!$P$37:$AB$662,11,0),0)+_xludf.IFNA(VLOOKUP(A926,'Kilter Holds'!$P$37:$AB$662,11,0),0)</f>
        <v>#NAME?</v>
      </c>
      <c r="I926" s="274"/>
      <c r="J926" s="274" t="e">
        <f t="shared" ca="1" si="9"/>
        <v>#NAME?</v>
      </c>
      <c r="K926" s="274">
        <f t="shared" si="10"/>
        <v>0</v>
      </c>
      <c r="N926" s="274"/>
    </row>
    <row r="927" spans="1:14" ht="13.5" customHeight="1">
      <c r="A927" s="1" t="s">
        <v>1241</v>
      </c>
      <c r="E927" s="209" t="s">
        <v>1167</v>
      </c>
      <c r="F927" s="209" t="s">
        <v>2482</v>
      </c>
      <c r="G927" s="415" t="str">
        <f t="shared" si="11"/>
        <v>18-01</v>
      </c>
      <c r="H927" s="273" t="e">
        <f ca="1">_xludf.IFNA(VLOOKUP(E927,'Kilter Holds'!$P$37:$AB$662,12,0),0)+_xludf.IFNA(VLOOKUP(A927,'Kilter Holds'!$P$37:$AB$662,12,0),0)</f>
        <v>#NAME?</v>
      </c>
      <c r="I927" s="274"/>
      <c r="J927" s="274" t="e">
        <f t="shared" ca="1" si="9"/>
        <v>#NAME?</v>
      </c>
      <c r="K927" s="274">
        <f t="shared" si="10"/>
        <v>0</v>
      </c>
      <c r="N927" s="274"/>
    </row>
    <row r="928" spans="1:14" ht="13.5" customHeight="1">
      <c r="A928" s="1" t="s">
        <v>1241</v>
      </c>
      <c r="E928" s="209" t="s">
        <v>1167</v>
      </c>
      <c r="F928" s="209" t="s">
        <v>2482</v>
      </c>
      <c r="G928" s="416" t="str">
        <f t="shared" si="11"/>
        <v>Color Code</v>
      </c>
      <c r="H928" s="273" t="e">
        <f ca="1">_xludf.IFNA(VLOOKUP(E928,'Kilter Holds'!$P$37:$AB$662,13,0),0)+_xludf.IFNA(VLOOKUP(A928,'Kilter Holds'!$P$37:$AB$662,13,0),0)</f>
        <v>#NAME?</v>
      </c>
      <c r="I928" s="274"/>
      <c r="J928" s="274" t="e">
        <f t="shared" ca="1" si="9"/>
        <v>#NAME?</v>
      </c>
      <c r="K928" s="274">
        <f t="shared" si="10"/>
        <v>0</v>
      </c>
      <c r="N928" s="274"/>
    </row>
    <row r="929" spans="5:14" ht="13.5" customHeight="1">
      <c r="E929" s="209" t="s">
        <v>986</v>
      </c>
      <c r="F929" s="209" t="s">
        <v>2483</v>
      </c>
      <c r="G929" s="406" t="str">
        <f t="shared" si="11"/>
        <v>11-12</v>
      </c>
      <c r="H929" s="273" t="e">
        <f ca="1">_xludf.IFNA(VLOOKUP(Aragon!E929,'Kilter Holds'!$P$37:$AB$662,5,0),0)</f>
        <v>#NAME?</v>
      </c>
      <c r="I929" s="274"/>
      <c r="J929" s="274" t="e">
        <f t="shared" ca="1" si="9"/>
        <v>#NAME?</v>
      </c>
      <c r="K929" s="274">
        <f t="shared" si="10"/>
        <v>0</v>
      </c>
      <c r="N929" s="274"/>
    </row>
    <row r="930" spans="5:14" ht="13.5" customHeight="1">
      <c r="E930" s="209" t="s">
        <v>986</v>
      </c>
      <c r="F930" s="209" t="s">
        <v>2483</v>
      </c>
      <c r="G930" s="408" t="str">
        <f t="shared" si="11"/>
        <v>14-01</v>
      </c>
      <c r="H930" s="273" t="e">
        <f ca="1">_xludf.IFNA(VLOOKUP(Aragon!E930,'Kilter Holds'!$P$37:$AB$662,6,0),0)</f>
        <v>#NAME?</v>
      </c>
      <c r="I930" s="274"/>
      <c r="J930" s="274" t="e">
        <f t="shared" ca="1" si="9"/>
        <v>#NAME?</v>
      </c>
      <c r="K930" s="274">
        <f t="shared" si="10"/>
        <v>0</v>
      </c>
      <c r="N930" s="274"/>
    </row>
    <row r="931" spans="5:14" ht="13.5" customHeight="1">
      <c r="E931" s="209" t="s">
        <v>986</v>
      </c>
      <c r="F931" s="209" t="s">
        <v>2483</v>
      </c>
      <c r="G931" s="409" t="str">
        <f t="shared" si="11"/>
        <v>15-12</v>
      </c>
      <c r="H931" s="273" t="e">
        <f ca="1">_xludf.IFNA(VLOOKUP(Aragon!E931,'Kilter Holds'!$P$37:$AB$662,7,0),0)</f>
        <v>#NAME?</v>
      </c>
      <c r="I931" s="274"/>
      <c r="J931" s="274" t="e">
        <f t="shared" ca="1" si="9"/>
        <v>#NAME?</v>
      </c>
      <c r="K931" s="274">
        <f t="shared" si="10"/>
        <v>0</v>
      </c>
      <c r="N931" s="274"/>
    </row>
    <row r="932" spans="5:14" ht="13.5" customHeight="1">
      <c r="E932" s="209" t="s">
        <v>986</v>
      </c>
      <c r="F932" s="209" t="s">
        <v>2483</v>
      </c>
      <c r="G932" s="410" t="str">
        <f t="shared" si="11"/>
        <v>16-16</v>
      </c>
      <c r="H932" s="273" t="e">
        <f ca="1">_xludf.IFNA(VLOOKUP(Aragon!E932,'Kilter Holds'!$P$37:$AB$662,8,0),0)</f>
        <v>#NAME?</v>
      </c>
      <c r="I932" s="274"/>
      <c r="J932" s="274" t="e">
        <f t="shared" ca="1" si="9"/>
        <v>#NAME?</v>
      </c>
      <c r="K932" s="274">
        <f t="shared" si="10"/>
        <v>0</v>
      </c>
      <c r="N932" s="274"/>
    </row>
    <row r="933" spans="5:14" ht="13.5" customHeight="1">
      <c r="E933" s="209" t="s">
        <v>986</v>
      </c>
      <c r="F933" s="209" t="s">
        <v>2483</v>
      </c>
      <c r="G933" s="411" t="str">
        <f t="shared" si="11"/>
        <v>13-01</v>
      </c>
      <c r="H933" s="273" t="e">
        <f ca="1">_xludf.IFNA(VLOOKUP(Aragon!E933,'Kilter Holds'!$P$37:$AB$662,9,0),0)</f>
        <v>#NAME?</v>
      </c>
      <c r="I933" s="274"/>
      <c r="J933" s="274" t="e">
        <f t="shared" ca="1" si="9"/>
        <v>#NAME?</v>
      </c>
      <c r="K933" s="274">
        <f t="shared" si="10"/>
        <v>0</v>
      </c>
      <c r="N933" s="274"/>
    </row>
    <row r="934" spans="5:14" ht="13.5" customHeight="1">
      <c r="E934" s="209" t="s">
        <v>986</v>
      </c>
      <c r="F934" s="209" t="s">
        <v>2483</v>
      </c>
      <c r="G934" s="413" t="str">
        <f t="shared" si="11"/>
        <v>07-13</v>
      </c>
      <c r="H934" s="273" t="e">
        <f ca="1">_xludf.IFNA(VLOOKUP(Aragon!E934,'Kilter Holds'!$P$37:$AB$662,10,0),0)</f>
        <v>#NAME?</v>
      </c>
      <c r="I934" s="274"/>
      <c r="J934" s="274" t="e">
        <f t="shared" ca="1" si="9"/>
        <v>#NAME?</v>
      </c>
      <c r="K934" s="274">
        <f t="shared" si="10"/>
        <v>0</v>
      </c>
      <c r="N934" s="274"/>
    </row>
    <row r="935" spans="5:14" ht="13.5" customHeight="1">
      <c r="E935" s="209" t="s">
        <v>986</v>
      </c>
      <c r="F935" s="209" t="s">
        <v>2483</v>
      </c>
      <c r="G935" s="414" t="str">
        <f t="shared" si="11"/>
        <v>11-26</v>
      </c>
      <c r="H935" s="273" t="e">
        <f ca="1">_xludf.IFNA(VLOOKUP(Aragon!E935,'Kilter Holds'!$P$37:$AB$662,11,0),0)</f>
        <v>#NAME?</v>
      </c>
      <c r="I935" s="274"/>
      <c r="J935" s="274" t="e">
        <f t="shared" ca="1" si="9"/>
        <v>#NAME?</v>
      </c>
      <c r="K935" s="274">
        <f t="shared" si="10"/>
        <v>0</v>
      </c>
      <c r="N935" s="274"/>
    </row>
    <row r="936" spans="5:14" ht="13.5" customHeight="1">
      <c r="E936" s="209" t="s">
        <v>986</v>
      </c>
      <c r="F936" s="209" t="s">
        <v>2483</v>
      </c>
      <c r="G936" s="415" t="str">
        <f t="shared" si="11"/>
        <v>18-01</v>
      </c>
      <c r="H936" s="273" t="e">
        <f ca="1">_xludf.IFNA(VLOOKUP(Aragon!E936,'Kilter Holds'!$P$37:$AB$662,12,0),0)</f>
        <v>#NAME?</v>
      </c>
      <c r="I936" s="274"/>
      <c r="J936" s="274" t="e">
        <f t="shared" ca="1" si="9"/>
        <v>#NAME?</v>
      </c>
      <c r="K936" s="274">
        <f t="shared" si="10"/>
        <v>0</v>
      </c>
      <c r="N936" s="274"/>
    </row>
    <row r="937" spans="5:14" ht="13.5" customHeight="1">
      <c r="E937" s="209" t="s">
        <v>986</v>
      </c>
      <c r="F937" s="209" t="s">
        <v>2483</v>
      </c>
      <c r="G937" s="416" t="str">
        <f t="shared" si="11"/>
        <v>Color Code</v>
      </c>
      <c r="H937" s="273" t="e">
        <f ca="1">_xludf.IFNA(VLOOKUP(Aragon!E937,'Kilter Holds'!$P$37:$AB$662,13,0),0)</f>
        <v>#NAME?</v>
      </c>
      <c r="I937" s="274"/>
      <c r="J937" s="274" t="e">
        <f t="shared" ca="1" si="9"/>
        <v>#NAME?</v>
      </c>
      <c r="K937" s="274">
        <f t="shared" si="10"/>
        <v>0</v>
      </c>
      <c r="N937" s="274"/>
    </row>
    <row r="938" spans="5:14" ht="13.5" customHeight="1">
      <c r="E938" s="209" t="s">
        <v>988</v>
      </c>
      <c r="F938" s="209" t="s">
        <v>2484</v>
      </c>
      <c r="G938" s="406" t="str">
        <f t="shared" si="11"/>
        <v>11-12</v>
      </c>
      <c r="H938" s="273" t="e">
        <f ca="1">_xludf.IFNA(VLOOKUP(Aragon!E938,'Kilter Holds'!$P$37:$AB$662,5,0),0)</f>
        <v>#NAME?</v>
      </c>
      <c r="I938" s="274"/>
      <c r="J938" s="274" t="e">
        <f t="shared" ca="1" si="9"/>
        <v>#NAME?</v>
      </c>
      <c r="K938" s="274">
        <f t="shared" si="10"/>
        <v>0</v>
      </c>
      <c r="N938" s="274"/>
    </row>
    <row r="939" spans="5:14" ht="13.5" customHeight="1">
      <c r="E939" s="209" t="s">
        <v>988</v>
      </c>
      <c r="F939" s="209" t="s">
        <v>2484</v>
      </c>
      <c r="G939" s="408" t="str">
        <f t="shared" si="11"/>
        <v>14-01</v>
      </c>
      <c r="H939" s="273" t="e">
        <f ca="1">_xludf.IFNA(VLOOKUP(Aragon!E939,'Kilter Holds'!$P$37:$AB$662,6,0),0)</f>
        <v>#NAME?</v>
      </c>
      <c r="I939" s="274"/>
      <c r="J939" s="274" t="e">
        <f t="shared" ca="1" si="9"/>
        <v>#NAME?</v>
      </c>
      <c r="K939" s="274">
        <f t="shared" si="10"/>
        <v>0</v>
      </c>
      <c r="N939" s="274"/>
    </row>
    <row r="940" spans="5:14" ht="13.5" customHeight="1">
      <c r="E940" s="209" t="s">
        <v>988</v>
      </c>
      <c r="F940" s="209" t="s">
        <v>2484</v>
      </c>
      <c r="G940" s="409" t="str">
        <f t="shared" si="11"/>
        <v>15-12</v>
      </c>
      <c r="H940" s="273" t="e">
        <f ca="1">_xludf.IFNA(VLOOKUP(Aragon!E940,'Kilter Holds'!$P$37:$AB$662,7,0),0)</f>
        <v>#NAME?</v>
      </c>
      <c r="I940" s="274"/>
      <c r="J940" s="274" t="e">
        <f t="shared" ca="1" si="9"/>
        <v>#NAME?</v>
      </c>
      <c r="K940" s="274">
        <f t="shared" si="10"/>
        <v>0</v>
      </c>
      <c r="N940" s="274"/>
    </row>
    <row r="941" spans="5:14" ht="13.5" customHeight="1">
      <c r="E941" s="209" t="s">
        <v>988</v>
      </c>
      <c r="F941" s="209" t="s">
        <v>2484</v>
      </c>
      <c r="G941" s="410" t="str">
        <f t="shared" si="11"/>
        <v>16-16</v>
      </c>
      <c r="H941" s="273" t="e">
        <f ca="1">_xludf.IFNA(VLOOKUP(Aragon!E941,'Kilter Holds'!$P$37:$AB$662,8,0),0)</f>
        <v>#NAME?</v>
      </c>
      <c r="I941" s="274"/>
      <c r="J941" s="274" t="e">
        <f t="shared" ca="1" si="9"/>
        <v>#NAME?</v>
      </c>
      <c r="K941" s="274">
        <f t="shared" si="10"/>
        <v>0</v>
      </c>
      <c r="N941" s="274"/>
    </row>
    <row r="942" spans="5:14" ht="13.5" customHeight="1">
      <c r="E942" s="209" t="s">
        <v>988</v>
      </c>
      <c r="F942" s="209" t="s">
        <v>2484</v>
      </c>
      <c r="G942" s="411" t="str">
        <f t="shared" si="11"/>
        <v>13-01</v>
      </c>
      <c r="H942" s="273" t="e">
        <f ca="1">_xludf.IFNA(VLOOKUP(Aragon!E942,'Kilter Holds'!$P$37:$AB$662,9,0),0)</f>
        <v>#NAME?</v>
      </c>
      <c r="I942" s="274"/>
      <c r="J942" s="274" t="e">
        <f t="shared" ca="1" si="9"/>
        <v>#NAME?</v>
      </c>
      <c r="K942" s="274">
        <f t="shared" si="10"/>
        <v>0</v>
      </c>
      <c r="N942" s="274"/>
    </row>
    <row r="943" spans="5:14" ht="13.5" customHeight="1">
      <c r="E943" s="209" t="s">
        <v>988</v>
      </c>
      <c r="F943" s="209" t="s">
        <v>2484</v>
      </c>
      <c r="G943" s="413" t="str">
        <f t="shared" si="11"/>
        <v>07-13</v>
      </c>
      <c r="H943" s="273" t="e">
        <f ca="1">_xludf.IFNA(VLOOKUP(Aragon!E943,'Kilter Holds'!$P$37:$AB$662,10,0),0)</f>
        <v>#NAME?</v>
      </c>
      <c r="I943" s="274"/>
      <c r="J943" s="274" t="e">
        <f t="shared" ca="1" si="9"/>
        <v>#NAME?</v>
      </c>
      <c r="K943" s="274">
        <f t="shared" si="10"/>
        <v>0</v>
      </c>
      <c r="N943" s="274"/>
    </row>
    <row r="944" spans="5:14" ht="13.5" customHeight="1">
      <c r="E944" s="209" t="s">
        <v>988</v>
      </c>
      <c r="F944" s="209" t="s">
        <v>2484</v>
      </c>
      <c r="G944" s="414" t="str">
        <f t="shared" si="11"/>
        <v>11-26</v>
      </c>
      <c r="H944" s="273" t="e">
        <f ca="1">_xludf.IFNA(VLOOKUP(Aragon!E944,'Kilter Holds'!$P$37:$AB$662,11,0),0)</f>
        <v>#NAME?</v>
      </c>
      <c r="I944" s="274"/>
      <c r="J944" s="274" t="e">
        <f t="shared" ca="1" si="9"/>
        <v>#NAME?</v>
      </c>
      <c r="K944" s="274">
        <f t="shared" si="10"/>
        <v>0</v>
      </c>
      <c r="N944" s="274"/>
    </row>
    <row r="945" spans="1:14" ht="13.5" customHeight="1">
      <c r="E945" s="209" t="s">
        <v>988</v>
      </c>
      <c r="F945" s="209" t="s">
        <v>2484</v>
      </c>
      <c r="G945" s="415" t="str">
        <f t="shared" si="11"/>
        <v>18-01</v>
      </c>
      <c r="H945" s="273" t="e">
        <f ca="1">_xludf.IFNA(VLOOKUP(Aragon!E945,'Kilter Holds'!$P$37:$AB$662,12,0),0)</f>
        <v>#NAME?</v>
      </c>
      <c r="I945" s="274"/>
      <c r="J945" s="274" t="e">
        <f t="shared" ca="1" si="9"/>
        <v>#NAME?</v>
      </c>
      <c r="K945" s="274">
        <f t="shared" si="10"/>
        <v>0</v>
      </c>
      <c r="N945" s="274"/>
    </row>
    <row r="946" spans="1:14" ht="13.5" customHeight="1">
      <c r="E946" s="209" t="s">
        <v>988</v>
      </c>
      <c r="F946" s="209" t="s">
        <v>2484</v>
      </c>
      <c r="G946" s="416" t="str">
        <f t="shared" si="11"/>
        <v>Color Code</v>
      </c>
      <c r="H946" s="273" t="e">
        <f ca="1">_xludf.IFNA(VLOOKUP(Aragon!E946,'Kilter Holds'!$P$37:$AB$662,13,0),0)</f>
        <v>#NAME?</v>
      </c>
      <c r="I946" s="274"/>
      <c r="J946" s="274" t="e">
        <f t="shared" ca="1" si="9"/>
        <v>#NAME?</v>
      </c>
      <c r="K946" s="274">
        <f t="shared" si="10"/>
        <v>0</v>
      </c>
      <c r="N946" s="274"/>
    </row>
    <row r="947" spans="1:14" ht="13.5" customHeight="1">
      <c r="A947" s="1" t="s">
        <v>1235</v>
      </c>
      <c r="E947" s="209" t="s">
        <v>1135</v>
      </c>
      <c r="F947" s="209" t="s">
        <v>2485</v>
      </c>
      <c r="G947" s="406" t="str">
        <f t="shared" si="11"/>
        <v>11-12</v>
      </c>
      <c r="H947" s="273" t="e">
        <f ca="1">_xludf.IFNA(VLOOKUP(E947,'Kilter Holds'!$P$37:$AB$662,5,0),0)+_xludf.IFNA(VLOOKUP(A947,'Kilter Holds'!$P$37:$AB$662,5,0),0)</f>
        <v>#NAME?</v>
      </c>
      <c r="I947" s="274"/>
      <c r="J947" s="274" t="e">
        <f t="shared" ca="1" si="9"/>
        <v>#NAME?</v>
      </c>
      <c r="K947" s="274">
        <f t="shared" si="10"/>
        <v>0</v>
      </c>
      <c r="N947" s="274"/>
    </row>
    <row r="948" spans="1:14" ht="13.5" customHeight="1">
      <c r="A948" s="1" t="s">
        <v>1235</v>
      </c>
      <c r="E948" s="209" t="s">
        <v>1135</v>
      </c>
      <c r="F948" s="209" t="s">
        <v>2485</v>
      </c>
      <c r="G948" s="408" t="str">
        <f t="shared" si="11"/>
        <v>14-01</v>
      </c>
      <c r="H948" s="273" t="e">
        <f ca="1">_xludf.IFNA(VLOOKUP(E948,'Kilter Holds'!$P$37:$AB$662,6,0),0)+_xludf.IFNA(VLOOKUP(A948,'Kilter Holds'!$P$37:$AB$662,6,0),0)</f>
        <v>#NAME?</v>
      </c>
      <c r="I948" s="274"/>
      <c r="J948" s="274" t="e">
        <f t="shared" ca="1" si="9"/>
        <v>#NAME?</v>
      </c>
      <c r="K948" s="274">
        <f t="shared" si="10"/>
        <v>0</v>
      </c>
      <c r="N948" s="274"/>
    </row>
    <row r="949" spans="1:14" ht="13.5" customHeight="1">
      <c r="A949" s="1" t="s">
        <v>1235</v>
      </c>
      <c r="E949" s="209" t="s">
        <v>1135</v>
      </c>
      <c r="F949" s="209" t="s">
        <v>2485</v>
      </c>
      <c r="G949" s="409" t="str">
        <f t="shared" si="11"/>
        <v>15-12</v>
      </c>
      <c r="H949" s="273" t="e">
        <f ca="1">_xludf.IFNA(VLOOKUP(E949,'Kilter Holds'!$P$37:$AB$662,7,0),0)+_xludf.IFNA(VLOOKUP(A949,'Kilter Holds'!$P$37:$AB$662,7,0),0)</f>
        <v>#NAME?</v>
      </c>
      <c r="I949" s="274"/>
      <c r="J949" s="274" t="e">
        <f t="shared" ca="1" si="9"/>
        <v>#NAME?</v>
      </c>
      <c r="K949" s="274">
        <f t="shared" si="10"/>
        <v>0</v>
      </c>
      <c r="N949" s="274"/>
    </row>
    <row r="950" spans="1:14" ht="13.5" customHeight="1">
      <c r="A950" s="1" t="s">
        <v>1235</v>
      </c>
      <c r="E950" s="209" t="s">
        <v>1135</v>
      </c>
      <c r="F950" s="209" t="s">
        <v>2485</v>
      </c>
      <c r="G950" s="410" t="str">
        <f t="shared" si="11"/>
        <v>16-16</v>
      </c>
      <c r="H950" s="273" t="e">
        <f ca="1">_xludf.IFNA(VLOOKUP(E950,'Kilter Holds'!$P$37:$AB$662,8,0),0)+_xludf.IFNA(VLOOKUP(A950,'Kilter Holds'!$P$37:$AB$662,8,0),0)</f>
        <v>#NAME?</v>
      </c>
      <c r="I950" s="274"/>
      <c r="J950" s="274" t="e">
        <f t="shared" ca="1" si="9"/>
        <v>#NAME?</v>
      </c>
      <c r="K950" s="274">
        <f t="shared" si="10"/>
        <v>0</v>
      </c>
      <c r="N950" s="274"/>
    </row>
    <row r="951" spans="1:14" ht="13.5" customHeight="1">
      <c r="A951" s="1" t="s">
        <v>1235</v>
      </c>
      <c r="E951" s="209" t="s">
        <v>1135</v>
      </c>
      <c r="F951" s="209" t="s">
        <v>2485</v>
      </c>
      <c r="G951" s="411" t="str">
        <f t="shared" si="11"/>
        <v>13-01</v>
      </c>
      <c r="H951" s="273" t="e">
        <f ca="1">_xludf.IFNA(VLOOKUP(E951,'Kilter Holds'!$P$37:$AB$662,9,0),0)+_xludf.IFNA(VLOOKUP(A951,'Kilter Holds'!$P$37:$AB$662,9,0),0)</f>
        <v>#NAME?</v>
      </c>
      <c r="I951" s="274"/>
      <c r="J951" s="274" t="e">
        <f t="shared" ca="1" si="9"/>
        <v>#NAME?</v>
      </c>
      <c r="K951" s="274">
        <f t="shared" si="10"/>
        <v>0</v>
      </c>
      <c r="N951" s="274"/>
    </row>
    <row r="952" spans="1:14" ht="13.5" customHeight="1">
      <c r="A952" s="1" t="s">
        <v>1235</v>
      </c>
      <c r="E952" s="209" t="s">
        <v>1135</v>
      </c>
      <c r="F952" s="209" t="s">
        <v>2485</v>
      </c>
      <c r="G952" s="413" t="str">
        <f t="shared" si="11"/>
        <v>07-13</v>
      </c>
      <c r="H952" s="273" t="e">
        <f ca="1">_xludf.IFNA(VLOOKUP(E952,'Kilter Holds'!$P$37:$AB$662,10,0),0)+_xludf.IFNA(VLOOKUP(A952,'Kilter Holds'!$P$37:$AB$662,10,0),0)</f>
        <v>#NAME?</v>
      </c>
      <c r="I952" s="274"/>
      <c r="J952" s="274" t="e">
        <f t="shared" ca="1" si="9"/>
        <v>#NAME?</v>
      </c>
      <c r="K952" s="274">
        <f t="shared" si="10"/>
        <v>0</v>
      </c>
      <c r="N952" s="274"/>
    </row>
    <row r="953" spans="1:14" ht="13.5" customHeight="1">
      <c r="A953" s="1" t="s">
        <v>1235</v>
      </c>
      <c r="E953" s="209" t="s">
        <v>1135</v>
      </c>
      <c r="F953" s="209" t="s">
        <v>2485</v>
      </c>
      <c r="G953" s="414" t="str">
        <f t="shared" si="11"/>
        <v>11-26</v>
      </c>
      <c r="H953" s="273" t="e">
        <f ca="1">_xludf.IFNA(VLOOKUP(E953,'Kilter Holds'!$P$37:$AB$662,11,0),0)+_xludf.IFNA(VLOOKUP(A953,'Kilter Holds'!$P$37:$AB$662,11,0),0)</f>
        <v>#NAME?</v>
      </c>
      <c r="I953" s="274"/>
      <c r="J953" s="274" t="e">
        <f t="shared" ca="1" si="9"/>
        <v>#NAME?</v>
      </c>
      <c r="K953" s="274">
        <f t="shared" si="10"/>
        <v>0</v>
      </c>
      <c r="N953" s="274"/>
    </row>
    <row r="954" spans="1:14" ht="13.5" customHeight="1">
      <c r="A954" s="1" t="s">
        <v>1235</v>
      </c>
      <c r="E954" s="209" t="s">
        <v>1135</v>
      </c>
      <c r="F954" s="209" t="s">
        <v>2485</v>
      </c>
      <c r="G954" s="415" t="str">
        <f t="shared" si="11"/>
        <v>18-01</v>
      </c>
      <c r="H954" s="273" t="e">
        <f ca="1">_xludf.IFNA(VLOOKUP(E954,'Kilter Holds'!$P$37:$AB$662,12,0),0)+_xludf.IFNA(VLOOKUP(A954,'Kilter Holds'!$P$37:$AB$662,12,0),0)</f>
        <v>#NAME?</v>
      </c>
      <c r="I954" s="274"/>
      <c r="J954" s="274" t="e">
        <f t="shared" ca="1" si="9"/>
        <v>#NAME?</v>
      </c>
      <c r="K954" s="274">
        <f t="shared" si="10"/>
        <v>0</v>
      </c>
      <c r="N954" s="274"/>
    </row>
    <row r="955" spans="1:14" ht="13.5" customHeight="1">
      <c r="A955" s="1" t="s">
        <v>1235</v>
      </c>
      <c r="E955" s="209" t="s">
        <v>1135</v>
      </c>
      <c r="F955" s="209" t="s">
        <v>2485</v>
      </c>
      <c r="G955" s="416" t="str">
        <f t="shared" si="11"/>
        <v>Color Code</v>
      </c>
      <c r="H955" s="273" t="e">
        <f ca="1">_xludf.IFNA(VLOOKUP(E955,'Kilter Holds'!$P$37:$AB$662,13,0),0)+_xludf.IFNA(VLOOKUP(A955,'Kilter Holds'!$P$37:$AB$662,13,0),0)</f>
        <v>#NAME?</v>
      </c>
      <c r="I955" s="274"/>
      <c r="J955" s="274" t="e">
        <f t="shared" ca="1" si="9"/>
        <v>#NAME?</v>
      </c>
      <c r="K955" s="274">
        <f t="shared" si="10"/>
        <v>0</v>
      </c>
      <c r="N955" s="274"/>
    </row>
    <row r="956" spans="1:14" ht="13.5" customHeight="1">
      <c r="E956" s="209" t="s">
        <v>1137</v>
      </c>
      <c r="F956" s="209" t="s">
        <v>2486</v>
      </c>
      <c r="G956" s="406" t="str">
        <f t="shared" si="11"/>
        <v>11-12</v>
      </c>
      <c r="H956" s="273" t="e">
        <f ca="1">_xludf.IFNA(VLOOKUP(Aragon!E956,'Kilter Holds'!$P$37:$AB$662,5,0),0)</f>
        <v>#NAME?</v>
      </c>
      <c r="I956" s="274"/>
      <c r="J956" s="274" t="e">
        <f t="shared" ca="1" si="9"/>
        <v>#NAME?</v>
      </c>
      <c r="K956" s="274">
        <f t="shared" si="10"/>
        <v>0</v>
      </c>
      <c r="N956" s="274"/>
    </row>
    <row r="957" spans="1:14" ht="13.5" customHeight="1">
      <c r="E957" s="209" t="s">
        <v>1137</v>
      </c>
      <c r="F957" s="209" t="s">
        <v>2486</v>
      </c>
      <c r="G957" s="408" t="str">
        <f t="shared" si="11"/>
        <v>14-01</v>
      </c>
      <c r="H957" s="273" t="e">
        <f ca="1">_xludf.IFNA(VLOOKUP(Aragon!E957,'Kilter Holds'!$P$37:$AB$662,6,0),0)</f>
        <v>#NAME?</v>
      </c>
      <c r="I957" s="274"/>
      <c r="J957" s="274" t="e">
        <f t="shared" ca="1" si="9"/>
        <v>#NAME?</v>
      </c>
      <c r="K957" s="274">
        <f t="shared" si="10"/>
        <v>0</v>
      </c>
      <c r="N957" s="274"/>
    </row>
    <row r="958" spans="1:14" ht="13.5" customHeight="1">
      <c r="E958" s="209" t="s">
        <v>1137</v>
      </c>
      <c r="F958" s="209" t="s">
        <v>2486</v>
      </c>
      <c r="G958" s="409" t="str">
        <f t="shared" si="11"/>
        <v>15-12</v>
      </c>
      <c r="H958" s="273" t="e">
        <f ca="1">_xludf.IFNA(VLOOKUP(Aragon!E958,'Kilter Holds'!$P$37:$AB$662,7,0),0)</f>
        <v>#NAME?</v>
      </c>
      <c r="I958" s="274"/>
      <c r="J958" s="274" t="e">
        <f t="shared" ca="1" si="9"/>
        <v>#NAME?</v>
      </c>
      <c r="K958" s="274">
        <f t="shared" si="10"/>
        <v>0</v>
      </c>
      <c r="N958" s="274"/>
    </row>
    <row r="959" spans="1:14" ht="13.5" customHeight="1">
      <c r="E959" s="209" t="s">
        <v>1137</v>
      </c>
      <c r="F959" s="209" t="s">
        <v>2486</v>
      </c>
      <c r="G959" s="410" t="str">
        <f t="shared" si="11"/>
        <v>16-16</v>
      </c>
      <c r="H959" s="273" t="e">
        <f ca="1">_xludf.IFNA(VLOOKUP(Aragon!E959,'Kilter Holds'!$P$37:$AB$662,8,0),0)</f>
        <v>#NAME?</v>
      </c>
      <c r="I959" s="274"/>
      <c r="J959" s="274" t="e">
        <f t="shared" ca="1" si="9"/>
        <v>#NAME?</v>
      </c>
      <c r="K959" s="274">
        <f t="shared" si="10"/>
        <v>0</v>
      </c>
      <c r="N959" s="274"/>
    </row>
    <row r="960" spans="1:14" ht="13.5" customHeight="1">
      <c r="E960" s="209" t="s">
        <v>1137</v>
      </c>
      <c r="F960" s="209" t="s">
        <v>2486</v>
      </c>
      <c r="G960" s="411" t="str">
        <f t="shared" si="11"/>
        <v>13-01</v>
      </c>
      <c r="H960" s="273" t="e">
        <f ca="1">_xludf.IFNA(VLOOKUP(Aragon!E960,'Kilter Holds'!$P$37:$AB$662,9,0),0)</f>
        <v>#NAME?</v>
      </c>
      <c r="I960" s="274"/>
      <c r="J960" s="274" t="e">
        <f t="shared" ca="1" si="9"/>
        <v>#NAME?</v>
      </c>
      <c r="K960" s="274">
        <f t="shared" si="10"/>
        <v>0</v>
      </c>
      <c r="N960" s="274"/>
    </row>
    <row r="961" spans="5:14" ht="13.5" customHeight="1">
      <c r="E961" s="209" t="s">
        <v>1137</v>
      </c>
      <c r="F961" s="209" t="s">
        <v>2486</v>
      </c>
      <c r="G961" s="413" t="str">
        <f t="shared" si="11"/>
        <v>07-13</v>
      </c>
      <c r="H961" s="273" t="e">
        <f ca="1">_xludf.IFNA(VLOOKUP(Aragon!E961,'Kilter Holds'!$P$37:$AB$662,10,0),0)</f>
        <v>#NAME?</v>
      </c>
      <c r="I961" s="274"/>
      <c r="J961" s="274" t="e">
        <f t="shared" ca="1" si="9"/>
        <v>#NAME?</v>
      </c>
      <c r="K961" s="274">
        <f t="shared" si="10"/>
        <v>0</v>
      </c>
      <c r="N961" s="274"/>
    </row>
    <row r="962" spans="5:14" ht="13.5" customHeight="1">
      <c r="E962" s="209" t="s">
        <v>1137</v>
      </c>
      <c r="F962" s="209" t="s">
        <v>2486</v>
      </c>
      <c r="G962" s="414" t="str">
        <f t="shared" si="11"/>
        <v>11-26</v>
      </c>
      <c r="H962" s="273" t="e">
        <f ca="1">_xludf.IFNA(VLOOKUP(Aragon!E962,'Kilter Holds'!$P$37:$AB$662,11,0),0)</f>
        <v>#NAME?</v>
      </c>
      <c r="I962" s="274"/>
      <c r="J962" s="274" t="e">
        <f t="shared" ca="1" si="9"/>
        <v>#NAME?</v>
      </c>
      <c r="K962" s="274">
        <f t="shared" si="10"/>
        <v>0</v>
      </c>
      <c r="N962" s="274"/>
    </row>
    <row r="963" spans="5:14" ht="13.5" customHeight="1">
      <c r="E963" s="209" t="s">
        <v>1137</v>
      </c>
      <c r="F963" s="209" t="s">
        <v>2486</v>
      </c>
      <c r="G963" s="415" t="str">
        <f t="shared" si="11"/>
        <v>18-01</v>
      </c>
      <c r="H963" s="273" t="e">
        <f ca="1">_xludf.IFNA(VLOOKUP(Aragon!E963,'Kilter Holds'!$P$37:$AB$662,12,0),0)</f>
        <v>#NAME?</v>
      </c>
      <c r="I963" s="274"/>
      <c r="J963" s="274" t="e">
        <f t="shared" ca="1" si="9"/>
        <v>#NAME?</v>
      </c>
      <c r="K963" s="274">
        <f t="shared" si="10"/>
        <v>0</v>
      </c>
      <c r="N963" s="274"/>
    </row>
    <row r="964" spans="5:14" ht="13.5" customHeight="1">
      <c r="E964" s="209" t="s">
        <v>1137</v>
      </c>
      <c r="F964" s="209" t="s">
        <v>2486</v>
      </c>
      <c r="G964" s="416" t="str">
        <f t="shared" si="11"/>
        <v>Color Code</v>
      </c>
      <c r="H964" s="273" t="e">
        <f ca="1">_xludf.IFNA(VLOOKUP(Aragon!E964,'Kilter Holds'!$P$37:$AB$662,13,0),0)</f>
        <v>#NAME?</v>
      </c>
      <c r="I964" s="274"/>
      <c r="J964" s="274" t="e">
        <f t="shared" ca="1" si="9"/>
        <v>#NAME?</v>
      </c>
      <c r="K964" s="274">
        <f t="shared" si="10"/>
        <v>0</v>
      </c>
      <c r="N964" s="274"/>
    </row>
    <row r="965" spans="5:14" ht="13.5" customHeight="1">
      <c r="E965" s="209" t="s">
        <v>990</v>
      </c>
      <c r="F965" s="209" t="s">
        <v>2487</v>
      </c>
      <c r="G965" s="406" t="str">
        <f t="shared" si="11"/>
        <v>11-12</v>
      </c>
      <c r="H965" s="273" t="e">
        <f ca="1">_xludf.IFNA(VLOOKUP(Aragon!E965,'Kilter Holds'!$P$37:$AB$662,5,0),0)</f>
        <v>#NAME?</v>
      </c>
      <c r="I965" s="274"/>
      <c r="J965" s="274" t="e">
        <f t="shared" ca="1" si="9"/>
        <v>#NAME?</v>
      </c>
      <c r="K965" s="274">
        <f t="shared" si="10"/>
        <v>0</v>
      </c>
      <c r="N965" s="274"/>
    </row>
    <row r="966" spans="5:14" ht="13.5" customHeight="1">
      <c r="E966" s="209" t="s">
        <v>990</v>
      </c>
      <c r="F966" s="209" t="s">
        <v>2487</v>
      </c>
      <c r="G966" s="408" t="str">
        <f t="shared" si="11"/>
        <v>14-01</v>
      </c>
      <c r="H966" s="273" t="e">
        <f ca="1">_xludf.IFNA(VLOOKUP(Aragon!E966,'Kilter Holds'!$P$37:$AB$662,6,0),0)</f>
        <v>#NAME?</v>
      </c>
      <c r="I966" s="274"/>
      <c r="J966" s="274" t="e">
        <f t="shared" ca="1" si="9"/>
        <v>#NAME?</v>
      </c>
      <c r="K966" s="274">
        <f t="shared" si="10"/>
        <v>0</v>
      </c>
      <c r="N966" s="274"/>
    </row>
    <row r="967" spans="5:14" ht="13.5" customHeight="1">
      <c r="E967" s="209" t="s">
        <v>990</v>
      </c>
      <c r="F967" s="209" t="s">
        <v>2487</v>
      </c>
      <c r="G967" s="409" t="str">
        <f t="shared" si="11"/>
        <v>15-12</v>
      </c>
      <c r="H967" s="273" t="e">
        <f ca="1">_xludf.IFNA(VLOOKUP(Aragon!E967,'Kilter Holds'!$P$37:$AB$662,7,0),0)</f>
        <v>#NAME?</v>
      </c>
      <c r="I967" s="274"/>
      <c r="J967" s="274" t="e">
        <f t="shared" ca="1" si="9"/>
        <v>#NAME?</v>
      </c>
      <c r="K967" s="274">
        <f t="shared" si="10"/>
        <v>0</v>
      </c>
      <c r="N967" s="274"/>
    </row>
    <row r="968" spans="5:14" ht="13.5" customHeight="1">
      <c r="E968" s="209" t="s">
        <v>990</v>
      </c>
      <c r="F968" s="209" t="s">
        <v>2487</v>
      </c>
      <c r="G968" s="410" t="str">
        <f t="shared" si="11"/>
        <v>16-16</v>
      </c>
      <c r="H968" s="273" t="e">
        <f ca="1">_xludf.IFNA(VLOOKUP(Aragon!E968,'Kilter Holds'!$P$37:$AB$662,8,0),0)</f>
        <v>#NAME?</v>
      </c>
      <c r="I968" s="274"/>
      <c r="J968" s="274" t="e">
        <f t="shared" ca="1" si="9"/>
        <v>#NAME?</v>
      </c>
      <c r="K968" s="274">
        <f t="shared" si="10"/>
        <v>0</v>
      </c>
      <c r="N968" s="274"/>
    </row>
    <row r="969" spans="5:14" ht="13.5" customHeight="1">
      <c r="E969" s="209" t="s">
        <v>990</v>
      </c>
      <c r="F969" s="209" t="s">
        <v>2487</v>
      </c>
      <c r="G969" s="411" t="str">
        <f t="shared" si="11"/>
        <v>13-01</v>
      </c>
      <c r="H969" s="273" t="e">
        <f ca="1">_xludf.IFNA(VLOOKUP(Aragon!E969,'Kilter Holds'!$P$37:$AB$662,9,0),0)</f>
        <v>#NAME?</v>
      </c>
      <c r="I969" s="274"/>
      <c r="J969" s="274" t="e">
        <f t="shared" ca="1" si="9"/>
        <v>#NAME?</v>
      </c>
      <c r="K969" s="274">
        <f t="shared" si="10"/>
        <v>0</v>
      </c>
      <c r="N969" s="274"/>
    </row>
    <row r="970" spans="5:14" ht="13.5" customHeight="1">
      <c r="E970" s="209" t="s">
        <v>990</v>
      </c>
      <c r="F970" s="209" t="s">
        <v>2487</v>
      </c>
      <c r="G970" s="413" t="str">
        <f t="shared" si="11"/>
        <v>07-13</v>
      </c>
      <c r="H970" s="273" t="e">
        <f ca="1">_xludf.IFNA(VLOOKUP(Aragon!E970,'Kilter Holds'!$P$37:$AB$662,10,0),0)</f>
        <v>#NAME?</v>
      </c>
      <c r="I970" s="274"/>
      <c r="J970" s="274" t="e">
        <f t="shared" ca="1" si="9"/>
        <v>#NAME?</v>
      </c>
      <c r="K970" s="274">
        <f t="shared" si="10"/>
        <v>0</v>
      </c>
      <c r="N970" s="274"/>
    </row>
    <row r="971" spans="5:14" ht="13.5" customHeight="1">
      <c r="E971" s="209" t="s">
        <v>990</v>
      </c>
      <c r="F971" s="209" t="s">
        <v>2487</v>
      </c>
      <c r="G971" s="414" t="str">
        <f t="shared" si="11"/>
        <v>11-26</v>
      </c>
      <c r="H971" s="273" t="e">
        <f ca="1">_xludf.IFNA(VLOOKUP(Aragon!E971,'Kilter Holds'!$P$37:$AB$662,11,0),0)</f>
        <v>#NAME?</v>
      </c>
      <c r="I971" s="274"/>
      <c r="J971" s="274" t="e">
        <f t="shared" ca="1" si="9"/>
        <v>#NAME?</v>
      </c>
      <c r="K971" s="274">
        <f t="shared" si="10"/>
        <v>0</v>
      </c>
      <c r="N971" s="274"/>
    </row>
    <row r="972" spans="5:14" ht="13.5" customHeight="1">
      <c r="E972" s="209" t="s">
        <v>990</v>
      </c>
      <c r="F972" s="209" t="s">
        <v>2487</v>
      </c>
      <c r="G972" s="415" t="str">
        <f t="shared" si="11"/>
        <v>18-01</v>
      </c>
      <c r="H972" s="273" t="e">
        <f ca="1">_xludf.IFNA(VLOOKUP(Aragon!E972,'Kilter Holds'!$P$37:$AB$662,12,0),0)</f>
        <v>#NAME?</v>
      </c>
      <c r="I972" s="274"/>
      <c r="J972" s="274" t="e">
        <f t="shared" ca="1" si="9"/>
        <v>#NAME?</v>
      </c>
      <c r="K972" s="274">
        <f t="shared" si="10"/>
        <v>0</v>
      </c>
      <c r="N972" s="274"/>
    </row>
    <row r="973" spans="5:14" ht="13.5" customHeight="1">
      <c r="E973" s="209" t="s">
        <v>990</v>
      </c>
      <c r="F973" s="209" t="s">
        <v>2487</v>
      </c>
      <c r="G973" s="416" t="str">
        <f t="shared" si="11"/>
        <v>Color Code</v>
      </c>
      <c r="H973" s="273" t="e">
        <f ca="1">_xludf.IFNA(VLOOKUP(Aragon!E973,'Kilter Holds'!$P$37:$AB$662,13,0),0)</f>
        <v>#NAME?</v>
      </c>
      <c r="I973" s="274"/>
      <c r="J973" s="274" t="e">
        <f t="shared" ca="1" si="9"/>
        <v>#NAME?</v>
      </c>
      <c r="K973" s="274">
        <f t="shared" si="10"/>
        <v>0</v>
      </c>
      <c r="N973" s="274"/>
    </row>
    <row r="974" spans="5:14" ht="13.5" customHeight="1">
      <c r="E974" s="209" t="s">
        <v>992</v>
      </c>
      <c r="F974" s="209" t="s">
        <v>2488</v>
      </c>
      <c r="G974" s="406" t="str">
        <f t="shared" si="11"/>
        <v>11-12</v>
      </c>
      <c r="H974" s="273" t="e">
        <f ca="1">_xludf.IFNA(VLOOKUP(Aragon!E974,'Kilter Holds'!$P$37:$AB$662,5,0),0)</f>
        <v>#NAME?</v>
      </c>
      <c r="I974" s="274"/>
      <c r="J974" s="274" t="e">
        <f t="shared" ca="1" si="9"/>
        <v>#NAME?</v>
      </c>
      <c r="K974" s="274">
        <f t="shared" si="10"/>
        <v>0</v>
      </c>
      <c r="N974" s="274"/>
    </row>
    <row r="975" spans="5:14" ht="13.5" customHeight="1">
      <c r="E975" s="209" t="s">
        <v>992</v>
      </c>
      <c r="F975" s="209" t="s">
        <v>2488</v>
      </c>
      <c r="G975" s="408" t="str">
        <f t="shared" si="11"/>
        <v>14-01</v>
      </c>
      <c r="H975" s="273" t="e">
        <f ca="1">_xludf.IFNA(VLOOKUP(Aragon!E975,'Kilter Holds'!$P$37:$AB$662,6,0),0)</f>
        <v>#NAME?</v>
      </c>
      <c r="I975" s="274"/>
      <c r="J975" s="274" t="e">
        <f t="shared" ca="1" si="9"/>
        <v>#NAME?</v>
      </c>
      <c r="K975" s="274">
        <f t="shared" si="10"/>
        <v>0</v>
      </c>
      <c r="N975" s="274"/>
    </row>
    <row r="976" spans="5:14" ht="13.5" customHeight="1">
      <c r="E976" s="209" t="s">
        <v>992</v>
      </c>
      <c r="F976" s="209" t="s">
        <v>2488</v>
      </c>
      <c r="G976" s="409" t="str">
        <f t="shared" si="11"/>
        <v>15-12</v>
      </c>
      <c r="H976" s="273" t="e">
        <f ca="1">_xludf.IFNA(VLOOKUP(Aragon!E976,'Kilter Holds'!$P$37:$AB$662,7,0),0)</f>
        <v>#NAME?</v>
      </c>
      <c r="I976" s="274"/>
      <c r="J976" s="274" t="e">
        <f t="shared" ca="1" si="9"/>
        <v>#NAME?</v>
      </c>
      <c r="K976" s="274">
        <f t="shared" si="10"/>
        <v>0</v>
      </c>
      <c r="N976" s="274"/>
    </row>
    <row r="977" spans="5:14" ht="13.5" customHeight="1">
      <c r="E977" s="209" t="s">
        <v>992</v>
      </c>
      <c r="F977" s="209" t="s">
        <v>2488</v>
      </c>
      <c r="G977" s="410" t="str">
        <f t="shared" si="11"/>
        <v>16-16</v>
      </c>
      <c r="H977" s="273" t="e">
        <f ca="1">_xludf.IFNA(VLOOKUP(Aragon!E977,'Kilter Holds'!$P$37:$AB$662,8,0),0)</f>
        <v>#NAME?</v>
      </c>
      <c r="I977" s="274"/>
      <c r="J977" s="274" t="e">
        <f t="shared" ca="1" si="9"/>
        <v>#NAME?</v>
      </c>
      <c r="K977" s="274">
        <f t="shared" si="10"/>
        <v>0</v>
      </c>
      <c r="N977" s="274"/>
    </row>
    <row r="978" spans="5:14" ht="13.5" customHeight="1">
      <c r="E978" s="209" t="s">
        <v>992</v>
      </c>
      <c r="F978" s="209" t="s">
        <v>2488</v>
      </c>
      <c r="G978" s="411" t="str">
        <f t="shared" si="11"/>
        <v>13-01</v>
      </c>
      <c r="H978" s="273" t="e">
        <f ca="1">_xludf.IFNA(VLOOKUP(Aragon!E978,'Kilter Holds'!$P$37:$AB$662,9,0),0)</f>
        <v>#NAME?</v>
      </c>
      <c r="I978" s="274"/>
      <c r="J978" s="274" t="e">
        <f t="shared" ca="1" si="9"/>
        <v>#NAME?</v>
      </c>
      <c r="K978" s="274">
        <f t="shared" si="10"/>
        <v>0</v>
      </c>
      <c r="N978" s="274"/>
    </row>
    <row r="979" spans="5:14" ht="13.5" customHeight="1">
      <c r="E979" s="209" t="s">
        <v>992</v>
      </c>
      <c r="F979" s="209" t="s">
        <v>2488</v>
      </c>
      <c r="G979" s="413" t="str">
        <f t="shared" si="11"/>
        <v>07-13</v>
      </c>
      <c r="H979" s="273" t="e">
        <f ca="1">_xludf.IFNA(VLOOKUP(Aragon!E979,'Kilter Holds'!$P$37:$AB$662,10,0),0)</f>
        <v>#NAME?</v>
      </c>
      <c r="I979" s="274"/>
      <c r="J979" s="274" t="e">
        <f t="shared" ca="1" si="9"/>
        <v>#NAME?</v>
      </c>
      <c r="K979" s="274">
        <f t="shared" si="10"/>
        <v>0</v>
      </c>
      <c r="N979" s="274"/>
    </row>
    <row r="980" spans="5:14" ht="13.5" customHeight="1">
      <c r="E980" s="209" t="s">
        <v>992</v>
      </c>
      <c r="F980" s="209" t="s">
        <v>2488</v>
      </c>
      <c r="G980" s="414" t="str">
        <f t="shared" si="11"/>
        <v>11-26</v>
      </c>
      <c r="H980" s="273" t="e">
        <f ca="1">_xludf.IFNA(VLOOKUP(Aragon!E980,'Kilter Holds'!$P$37:$AB$662,11,0),0)</f>
        <v>#NAME?</v>
      </c>
      <c r="I980" s="274"/>
      <c r="J980" s="274" t="e">
        <f t="shared" ca="1" si="9"/>
        <v>#NAME?</v>
      </c>
      <c r="K980" s="274">
        <f t="shared" si="10"/>
        <v>0</v>
      </c>
      <c r="N980" s="274"/>
    </row>
    <row r="981" spans="5:14" ht="13.5" customHeight="1">
      <c r="E981" s="209" t="s">
        <v>992</v>
      </c>
      <c r="F981" s="209" t="s">
        <v>2488</v>
      </c>
      <c r="G981" s="415" t="str">
        <f t="shared" si="11"/>
        <v>18-01</v>
      </c>
      <c r="H981" s="273" t="e">
        <f ca="1">_xludf.IFNA(VLOOKUP(Aragon!E981,'Kilter Holds'!$P$37:$AB$662,12,0),0)</f>
        <v>#NAME?</v>
      </c>
      <c r="I981" s="274"/>
      <c r="J981" s="274" t="e">
        <f t="shared" ca="1" si="9"/>
        <v>#NAME?</v>
      </c>
      <c r="K981" s="274">
        <f t="shared" si="10"/>
        <v>0</v>
      </c>
      <c r="N981" s="274"/>
    </row>
    <row r="982" spans="5:14" ht="13.5" customHeight="1">
      <c r="E982" s="209" t="s">
        <v>992</v>
      </c>
      <c r="F982" s="209" t="s">
        <v>2488</v>
      </c>
      <c r="G982" s="416" t="str">
        <f t="shared" si="11"/>
        <v>Color Code</v>
      </c>
      <c r="H982" s="273" t="e">
        <f ca="1">_xludf.IFNA(VLOOKUP(Aragon!E982,'Kilter Holds'!$P$37:$AB$662,13,0),0)</f>
        <v>#NAME?</v>
      </c>
      <c r="I982" s="274"/>
      <c r="J982" s="274" t="e">
        <f t="shared" ca="1" si="9"/>
        <v>#NAME?</v>
      </c>
      <c r="K982" s="274">
        <f t="shared" si="10"/>
        <v>0</v>
      </c>
      <c r="N982" s="274"/>
    </row>
    <row r="983" spans="5:14" ht="13.5" customHeight="1">
      <c r="E983" s="209" t="s">
        <v>994</v>
      </c>
      <c r="F983" s="209" t="s">
        <v>2489</v>
      </c>
      <c r="G983" s="406" t="str">
        <f t="shared" si="11"/>
        <v>11-12</v>
      </c>
      <c r="H983" s="273" t="e">
        <f ca="1">_xludf.IFNA(VLOOKUP(Aragon!E983,'Kilter Holds'!$P$37:$AB$662,5,0),0)</f>
        <v>#NAME?</v>
      </c>
      <c r="I983" s="274"/>
      <c r="J983" s="274" t="e">
        <f t="shared" ca="1" si="9"/>
        <v>#NAME?</v>
      </c>
      <c r="K983" s="274">
        <f t="shared" si="10"/>
        <v>0</v>
      </c>
      <c r="N983" s="274"/>
    </row>
    <row r="984" spans="5:14" ht="13.5" customHeight="1">
      <c r="E984" s="209" t="s">
        <v>994</v>
      </c>
      <c r="F984" s="209" t="s">
        <v>2489</v>
      </c>
      <c r="G984" s="408" t="str">
        <f t="shared" si="11"/>
        <v>14-01</v>
      </c>
      <c r="H984" s="273" t="e">
        <f ca="1">_xludf.IFNA(VLOOKUP(Aragon!E984,'Kilter Holds'!$P$37:$AB$662,6,0),0)</f>
        <v>#NAME?</v>
      </c>
      <c r="I984" s="274"/>
      <c r="J984" s="274" t="e">
        <f t="shared" ca="1" si="9"/>
        <v>#NAME?</v>
      </c>
      <c r="K984" s="274">
        <f t="shared" si="10"/>
        <v>0</v>
      </c>
      <c r="N984" s="274"/>
    </row>
    <row r="985" spans="5:14" ht="13.5" customHeight="1">
      <c r="E985" s="209" t="s">
        <v>994</v>
      </c>
      <c r="F985" s="209" t="s">
        <v>2489</v>
      </c>
      <c r="G985" s="409" t="str">
        <f t="shared" si="11"/>
        <v>15-12</v>
      </c>
      <c r="H985" s="273" t="e">
        <f ca="1">_xludf.IFNA(VLOOKUP(Aragon!E985,'Kilter Holds'!$P$37:$AB$662,7,0),0)</f>
        <v>#NAME?</v>
      </c>
      <c r="I985" s="274"/>
      <c r="J985" s="274" t="e">
        <f t="shared" ca="1" si="9"/>
        <v>#NAME?</v>
      </c>
      <c r="K985" s="274">
        <f t="shared" si="10"/>
        <v>0</v>
      </c>
      <c r="N985" s="274"/>
    </row>
    <row r="986" spans="5:14" ht="13.5" customHeight="1">
      <c r="E986" s="209" t="s">
        <v>994</v>
      </c>
      <c r="F986" s="209" t="s">
        <v>2489</v>
      </c>
      <c r="G986" s="410" t="str">
        <f t="shared" si="11"/>
        <v>16-16</v>
      </c>
      <c r="H986" s="273" t="e">
        <f ca="1">_xludf.IFNA(VLOOKUP(Aragon!E986,'Kilter Holds'!$P$37:$AB$662,8,0),0)</f>
        <v>#NAME?</v>
      </c>
      <c r="I986" s="274"/>
      <c r="J986" s="274" t="e">
        <f t="shared" ca="1" si="9"/>
        <v>#NAME?</v>
      </c>
      <c r="K986" s="274">
        <f t="shared" si="10"/>
        <v>0</v>
      </c>
      <c r="N986" s="274"/>
    </row>
    <row r="987" spans="5:14" ht="13.5" customHeight="1">
      <c r="E987" s="209" t="s">
        <v>994</v>
      </c>
      <c r="F987" s="209" t="s">
        <v>2489</v>
      </c>
      <c r="G987" s="411" t="str">
        <f t="shared" si="11"/>
        <v>13-01</v>
      </c>
      <c r="H987" s="273" t="e">
        <f ca="1">_xludf.IFNA(VLOOKUP(Aragon!E987,'Kilter Holds'!$P$37:$AB$662,9,0),0)</f>
        <v>#NAME?</v>
      </c>
      <c r="I987" s="274"/>
      <c r="J987" s="274" t="e">
        <f t="shared" ca="1" si="9"/>
        <v>#NAME?</v>
      </c>
      <c r="K987" s="274">
        <f t="shared" si="10"/>
        <v>0</v>
      </c>
      <c r="N987" s="274"/>
    </row>
    <row r="988" spans="5:14" ht="13.5" customHeight="1">
      <c r="E988" s="209" t="s">
        <v>994</v>
      </c>
      <c r="F988" s="209" t="s">
        <v>2489</v>
      </c>
      <c r="G988" s="413" t="str">
        <f t="shared" si="11"/>
        <v>07-13</v>
      </c>
      <c r="H988" s="273" t="e">
        <f ca="1">_xludf.IFNA(VLOOKUP(Aragon!E988,'Kilter Holds'!$P$37:$AB$662,10,0),0)</f>
        <v>#NAME?</v>
      </c>
      <c r="I988" s="274"/>
      <c r="J988" s="274" t="e">
        <f t="shared" ca="1" si="9"/>
        <v>#NAME?</v>
      </c>
      <c r="K988" s="274">
        <f t="shared" si="10"/>
        <v>0</v>
      </c>
      <c r="N988" s="274"/>
    </row>
    <row r="989" spans="5:14" ht="13.5" customHeight="1">
      <c r="E989" s="209" t="s">
        <v>994</v>
      </c>
      <c r="F989" s="209" t="s">
        <v>2489</v>
      </c>
      <c r="G989" s="414" t="str">
        <f t="shared" si="11"/>
        <v>11-26</v>
      </c>
      <c r="H989" s="273" t="e">
        <f ca="1">_xludf.IFNA(VLOOKUP(Aragon!E989,'Kilter Holds'!$P$37:$AB$662,11,0),0)</f>
        <v>#NAME?</v>
      </c>
      <c r="I989" s="274"/>
      <c r="J989" s="274" t="e">
        <f t="shared" ca="1" si="9"/>
        <v>#NAME?</v>
      </c>
      <c r="K989" s="274">
        <f t="shared" si="10"/>
        <v>0</v>
      </c>
      <c r="N989" s="274"/>
    </row>
    <row r="990" spans="5:14" ht="13.5" customHeight="1">
      <c r="E990" s="209" t="s">
        <v>994</v>
      </c>
      <c r="F990" s="209" t="s">
        <v>2489</v>
      </c>
      <c r="G990" s="415" t="str">
        <f t="shared" si="11"/>
        <v>18-01</v>
      </c>
      <c r="H990" s="273" t="e">
        <f ca="1">_xludf.IFNA(VLOOKUP(Aragon!E990,'Kilter Holds'!$P$37:$AB$662,12,0),0)</f>
        <v>#NAME?</v>
      </c>
      <c r="I990" s="274"/>
      <c r="J990" s="274" t="e">
        <f t="shared" ca="1" si="9"/>
        <v>#NAME?</v>
      </c>
      <c r="K990" s="274">
        <f t="shared" si="10"/>
        <v>0</v>
      </c>
      <c r="N990" s="274"/>
    </row>
    <row r="991" spans="5:14" ht="13.5" customHeight="1">
      <c r="E991" s="209" t="s">
        <v>994</v>
      </c>
      <c r="F991" s="209" t="s">
        <v>2489</v>
      </c>
      <c r="G991" s="416" t="str">
        <f t="shared" si="11"/>
        <v>Color Code</v>
      </c>
      <c r="H991" s="273" t="e">
        <f ca="1">_xludf.IFNA(VLOOKUP(Aragon!E991,'Kilter Holds'!$P$37:$AB$662,13,0),0)</f>
        <v>#NAME?</v>
      </c>
      <c r="I991" s="274"/>
      <c r="J991" s="274" t="e">
        <f t="shared" ca="1" si="9"/>
        <v>#NAME?</v>
      </c>
      <c r="K991" s="274">
        <f t="shared" si="10"/>
        <v>0</v>
      </c>
      <c r="N991" s="274"/>
    </row>
    <row r="992" spans="5:14" ht="13.5" customHeight="1">
      <c r="E992" s="209" t="s">
        <v>996</v>
      </c>
      <c r="F992" s="209" t="s">
        <v>2490</v>
      </c>
      <c r="G992" s="406" t="str">
        <f t="shared" si="11"/>
        <v>11-12</v>
      </c>
      <c r="H992" s="273" t="e">
        <f ca="1">_xludf.IFNA(VLOOKUP(Aragon!E992,'Kilter Holds'!$P$37:$AB$662,5,0),0)</f>
        <v>#NAME?</v>
      </c>
      <c r="I992" s="274"/>
      <c r="J992" s="274" t="e">
        <f t="shared" ca="1" si="9"/>
        <v>#NAME?</v>
      </c>
      <c r="K992" s="274">
        <f t="shared" si="10"/>
        <v>0</v>
      </c>
      <c r="N992" s="274"/>
    </row>
    <row r="993" spans="5:14" ht="13.5" customHeight="1">
      <c r="E993" s="209" t="s">
        <v>996</v>
      </c>
      <c r="F993" s="209" t="s">
        <v>2490</v>
      </c>
      <c r="G993" s="408" t="str">
        <f t="shared" si="11"/>
        <v>14-01</v>
      </c>
      <c r="H993" s="273" t="e">
        <f ca="1">_xludf.IFNA(VLOOKUP(Aragon!E993,'Kilter Holds'!$P$37:$AB$662,6,0),0)</f>
        <v>#NAME?</v>
      </c>
      <c r="I993" s="274"/>
      <c r="J993" s="274" t="e">
        <f t="shared" ca="1" si="9"/>
        <v>#NAME?</v>
      </c>
      <c r="K993" s="274">
        <f t="shared" si="10"/>
        <v>0</v>
      </c>
      <c r="N993" s="274"/>
    </row>
    <row r="994" spans="5:14" ht="13.5" customHeight="1">
      <c r="E994" s="209" t="s">
        <v>996</v>
      </c>
      <c r="F994" s="209" t="s">
        <v>2490</v>
      </c>
      <c r="G994" s="409" t="str">
        <f t="shared" si="11"/>
        <v>15-12</v>
      </c>
      <c r="H994" s="273" t="e">
        <f ca="1">_xludf.IFNA(VLOOKUP(Aragon!E994,'Kilter Holds'!$P$37:$AB$662,7,0),0)</f>
        <v>#NAME?</v>
      </c>
      <c r="I994" s="274"/>
      <c r="J994" s="274" t="e">
        <f t="shared" ca="1" si="9"/>
        <v>#NAME?</v>
      </c>
      <c r="K994" s="274">
        <f t="shared" si="10"/>
        <v>0</v>
      </c>
      <c r="N994" s="274"/>
    </row>
    <row r="995" spans="5:14" ht="13.5" customHeight="1">
      <c r="E995" s="209" t="s">
        <v>996</v>
      </c>
      <c r="F995" s="209" t="s">
        <v>2490</v>
      </c>
      <c r="G995" s="410" t="str">
        <f t="shared" si="11"/>
        <v>16-16</v>
      </c>
      <c r="H995" s="273" t="e">
        <f ca="1">_xludf.IFNA(VLOOKUP(Aragon!E995,'Kilter Holds'!$P$37:$AB$662,8,0),0)</f>
        <v>#NAME?</v>
      </c>
      <c r="I995" s="274"/>
      <c r="J995" s="274" t="e">
        <f t="shared" ca="1" si="9"/>
        <v>#NAME?</v>
      </c>
      <c r="K995" s="274">
        <f t="shared" si="10"/>
        <v>0</v>
      </c>
      <c r="N995" s="274"/>
    </row>
    <row r="996" spans="5:14" ht="13.5" customHeight="1">
      <c r="E996" s="209" t="s">
        <v>996</v>
      </c>
      <c r="F996" s="209" t="s">
        <v>2490</v>
      </c>
      <c r="G996" s="411" t="str">
        <f t="shared" si="11"/>
        <v>13-01</v>
      </c>
      <c r="H996" s="273" t="e">
        <f ca="1">_xludf.IFNA(VLOOKUP(Aragon!E996,'Kilter Holds'!$P$37:$AB$662,9,0),0)</f>
        <v>#NAME?</v>
      </c>
      <c r="I996" s="274"/>
      <c r="J996" s="274" t="e">
        <f t="shared" ca="1" si="9"/>
        <v>#NAME?</v>
      </c>
      <c r="K996" s="274">
        <f t="shared" si="10"/>
        <v>0</v>
      </c>
      <c r="N996" s="274"/>
    </row>
    <row r="997" spans="5:14" ht="13.5" customHeight="1">
      <c r="E997" s="209" t="s">
        <v>996</v>
      </c>
      <c r="F997" s="209" t="s">
        <v>2490</v>
      </c>
      <c r="G997" s="413" t="str">
        <f t="shared" si="11"/>
        <v>07-13</v>
      </c>
      <c r="H997" s="273" t="e">
        <f ca="1">_xludf.IFNA(VLOOKUP(Aragon!E997,'Kilter Holds'!$P$37:$AB$662,10,0),0)</f>
        <v>#NAME?</v>
      </c>
      <c r="I997" s="274"/>
      <c r="J997" s="274" t="e">
        <f t="shared" ca="1" si="9"/>
        <v>#NAME?</v>
      </c>
      <c r="K997" s="274">
        <f t="shared" si="10"/>
        <v>0</v>
      </c>
      <c r="N997" s="274"/>
    </row>
    <row r="998" spans="5:14" ht="13.5" customHeight="1">
      <c r="E998" s="209" t="s">
        <v>996</v>
      </c>
      <c r="F998" s="209" t="s">
        <v>2490</v>
      </c>
      <c r="G998" s="414" t="str">
        <f t="shared" si="11"/>
        <v>11-26</v>
      </c>
      <c r="H998" s="273" t="e">
        <f ca="1">_xludf.IFNA(VLOOKUP(Aragon!E998,'Kilter Holds'!$P$37:$AB$662,11,0),0)</f>
        <v>#NAME?</v>
      </c>
      <c r="I998" s="274"/>
      <c r="J998" s="274" t="e">
        <f t="shared" ca="1" si="9"/>
        <v>#NAME?</v>
      </c>
      <c r="K998" s="274">
        <f t="shared" si="10"/>
        <v>0</v>
      </c>
      <c r="N998" s="274"/>
    </row>
    <row r="999" spans="5:14" ht="13.5" customHeight="1">
      <c r="E999" s="209" t="s">
        <v>996</v>
      </c>
      <c r="F999" s="209" t="s">
        <v>2490</v>
      </c>
      <c r="G999" s="415" t="str">
        <f t="shared" si="11"/>
        <v>18-01</v>
      </c>
      <c r="H999" s="273" t="e">
        <f ca="1">_xludf.IFNA(VLOOKUP(Aragon!E999,'Kilter Holds'!$P$37:$AB$662,12,0),0)</f>
        <v>#NAME?</v>
      </c>
      <c r="I999" s="274"/>
      <c r="J999" s="274" t="e">
        <f t="shared" ca="1" si="9"/>
        <v>#NAME?</v>
      </c>
      <c r="K999" s="274">
        <f t="shared" si="10"/>
        <v>0</v>
      </c>
      <c r="N999" s="274"/>
    </row>
    <row r="1000" spans="5:14" ht="13.5" customHeight="1">
      <c r="E1000" s="209" t="s">
        <v>996</v>
      </c>
      <c r="F1000" s="209" t="s">
        <v>2490</v>
      </c>
      <c r="G1000" s="416" t="str">
        <f t="shared" si="11"/>
        <v>Color Code</v>
      </c>
      <c r="H1000" s="273" t="e">
        <f ca="1">_xludf.IFNA(VLOOKUP(Aragon!E1000,'Kilter Holds'!$P$37:$AB$662,13,0),0)</f>
        <v>#NAME?</v>
      </c>
      <c r="I1000" s="274"/>
      <c r="J1000" s="274" t="e">
        <f t="shared" ca="1" si="9"/>
        <v>#NAME?</v>
      </c>
      <c r="K1000" s="274">
        <f t="shared" si="10"/>
        <v>0</v>
      </c>
      <c r="N1000" s="274"/>
    </row>
    <row r="1001" spans="5:14" ht="13.5" customHeight="1">
      <c r="E1001" s="209" t="s">
        <v>1107</v>
      </c>
      <c r="F1001" s="209" t="s">
        <v>2491</v>
      </c>
      <c r="G1001" s="406" t="str">
        <f t="shared" si="11"/>
        <v>11-12</v>
      </c>
      <c r="H1001" s="273" t="e">
        <f ca="1">_xludf.IFNA(VLOOKUP(Aragon!E1001,'Kilter Holds'!$P$37:$AB$662,5,0),0)</f>
        <v>#NAME?</v>
      </c>
      <c r="I1001" s="274"/>
      <c r="J1001" s="274" t="e">
        <f t="shared" ca="1" si="9"/>
        <v>#NAME?</v>
      </c>
      <c r="K1001" s="274">
        <f t="shared" si="10"/>
        <v>0</v>
      </c>
      <c r="N1001" s="274"/>
    </row>
    <row r="1002" spans="5:14" ht="13.5" customHeight="1">
      <c r="E1002" s="209" t="s">
        <v>1107</v>
      </c>
      <c r="F1002" s="209" t="s">
        <v>2491</v>
      </c>
      <c r="G1002" s="408" t="str">
        <f t="shared" si="11"/>
        <v>14-01</v>
      </c>
      <c r="H1002" s="273" t="e">
        <f ca="1">_xludf.IFNA(VLOOKUP(Aragon!E1002,'Kilter Holds'!$P$37:$AB$662,6,0),0)</f>
        <v>#NAME?</v>
      </c>
      <c r="I1002" s="274"/>
      <c r="J1002" s="274" t="e">
        <f t="shared" ca="1" si="9"/>
        <v>#NAME?</v>
      </c>
      <c r="K1002" s="274">
        <f t="shared" si="10"/>
        <v>0</v>
      </c>
      <c r="N1002" s="274"/>
    </row>
    <row r="1003" spans="5:14" ht="13.5" customHeight="1">
      <c r="E1003" s="209" t="s">
        <v>1107</v>
      </c>
      <c r="F1003" s="209" t="s">
        <v>2491</v>
      </c>
      <c r="G1003" s="409" t="str">
        <f t="shared" si="11"/>
        <v>15-12</v>
      </c>
      <c r="H1003" s="273" t="e">
        <f ca="1">_xludf.IFNA(VLOOKUP(Aragon!E1003,'Kilter Holds'!$P$37:$AB$662,7,0),0)</f>
        <v>#NAME?</v>
      </c>
      <c r="I1003" s="274"/>
      <c r="J1003" s="274" t="e">
        <f t="shared" ca="1" si="9"/>
        <v>#NAME?</v>
      </c>
      <c r="K1003" s="274">
        <f t="shared" si="10"/>
        <v>0</v>
      </c>
      <c r="N1003" s="274"/>
    </row>
    <row r="1004" spans="5:14" ht="13.5" customHeight="1">
      <c r="E1004" s="209" t="s">
        <v>1107</v>
      </c>
      <c r="F1004" s="209" t="s">
        <v>2491</v>
      </c>
      <c r="G1004" s="410" t="str">
        <f t="shared" si="11"/>
        <v>16-16</v>
      </c>
      <c r="H1004" s="273" t="e">
        <f ca="1">_xludf.IFNA(VLOOKUP(Aragon!E1004,'Kilter Holds'!$P$37:$AB$662,8,0),0)</f>
        <v>#NAME?</v>
      </c>
      <c r="I1004" s="274"/>
      <c r="J1004" s="274" t="e">
        <f t="shared" ca="1" si="9"/>
        <v>#NAME?</v>
      </c>
      <c r="K1004" s="274">
        <f t="shared" si="10"/>
        <v>0</v>
      </c>
      <c r="N1004" s="274"/>
    </row>
    <row r="1005" spans="5:14" ht="13.5" customHeight="1">
      <c r="E1005" s="209" t="s">
        <v>1107</v>
      </c>
      <c r="F1005" s="209" t="s">
        <v>2491</v>
      </c>
      <c r="G1005" s="411" t="str">
        <f t="shared" si="11"/>
        <v>13-01</v>
      </c>
      <c r="H1005" s="273" t="e">
        <f ca="1">_xludf.IFNA(VLOOKUP(Aragon!E1005,'Kilter Holds'!$P$37:$AB$662,9,0),0)</f>
        <v>#NAME?</v>
      </c>
      <c r="I1005" s="274"/>
      <c r="J1005" s="274" t="e">
        <f t="shared" ca="1" si="9"/>
        <v>#NAME?</v>
      </c>
      <c r="K1005" s="274">
        <f t="shared" si="10"/>
        <v>0</v>
      </c>
      <c r="N1005" s="274"/>
    </row>
    <row r="1006" spans="5:14" ht="13.5" customHeight="1">
      <c r="E1006" s="209" t="s">
        <v>1107</v>
      </c>
      <c r="F1006" s="209" t="s">
        <v>2491</v>
      </c>
      <c r="G1006" s="413" t="str">
        <f t="shared" si="11"/>
        <v>07-13</v>
      </c>
      <c r="H1006" s="273" t="e">
        <f ca="1">_xludf.IFNA(VLOOKUP(Aragon!E1006,'Kilter Holds'!$P$37:$AB$662,10,0),0)</f>
        <v>#NAME?</v>
      </c>
      <c r="I1006" s="274"/>
      <c r="J1006" s="274" t="e">
        <f t="shared" ca="1" si="9"/>
        <v>#NAME?</v>
      </c>
      <c r="K1006" s="274">
        <f t="shared" si="10"/>
        <v>0</v>
      </c>
      <c r="N1006" s="274"/>
    </row>
    <row r="1007" spans="5:14" ht="13.5" customHeight="1">
      <c r="E1007" s="209" t="s">
        <v>1107</v>
      </c>
      <c r="F1007" s="209" t="s">
        <v>2491</v>
      </c>
      <c r="G1007" s="414" t="str">
        <f t="shared" si="11"/>
        <v>11-26</v>
      </c>
      <c r="H1007" s="273" t="e">
        <f ca="1">_xludf.IFNA(VLOOKUP(Aragon!E1007,'Kilter Holds'!$P$37:$AB$662,11,0),0)</f>
        <v>#NAME?</v>
      </c>
      <c r="I1007" s="274"/>
      <c r="J1007" s="274" t="e">
        <f t="shared" ca="1" si="9"/>
        <v>#NAME?</v>
      </c>
      <c r="K1007" s="274">
        <f t="shared" si="10"/>
        <v>0</v>
      </c>
      <c r="N1007" s="274"/>
    </row>
    <row r="1008" spans="5:14" ht="13.5" customHeight="1">
      <c r="E1008" s="209" t="s">
        <v>1107</v>
      </c>
      <c r="F1008" s="209" t="s">
        <v>2491</v>
      </c>
      <c r="G1008" s="415" t="str">
        <f t="shared" si="11"/>
        <v>18-01</v>
      </c>
      <c r="H1008" s="273" t="e">
        <f ca="1">_xludf.IFNA(VLOOKUP(Aragon!E1008,'Kilter Holds'!$P$37:$AB$662,12,0),0)</f>
        <v>#NAME?</v>
      </c>
      <c r="I1008" s="274"/>
      <c r="J1008" s="274" t="e">
        <f t="shared" ca="1" si="9"/>
        <v>#NAME?</v>
      </c>
      <c r="K1008" s="274">
        <f t="shared" si="10"/>
        <v>0</v>
      </c>
      <c r="N1008" s="274"/>
    </row>
    <row r="1009" spans="5:14" ht="13.5" customHeight="1">
      <c r="E1009" s="209" t="s">
        <v>1107</v>
      </c>
      <c r="F1009" s="209" t="s">
        <v>2491</v>
      </c>
      <c r="G1009" s="416" t="str">
        <f t="shared" si="11"/>
        <v>Color Code</v>
      </c>
      <c r="H1009" s="273" t="e">
        <f ca="1">_xludf.IFNA(VLOOKUP(Aragon!E1009,'Kilter Holds'!$P$37:$AB$662,13,0),0)</f>
        <v>#NAME?</v>
      </c>
      <c r="I1009" s="274"/>
      <c r="J1009" s="274" t="e">
        <f t="shared" ca="1" si="9"/>
        <v>#NAME?</v>
      </c>
      <c r="K1009" s="274">
        <f t="shared" si="10"/>
        <v>0</v>
      </c>
      <c r="N1009" s="274"/>
    </row>
    <row r="1010" spans="5:14" ht="13.5" customHeight="1">
      <c r="E1010" s="209" t="s">
        <v>1024</v>
      </c>
      <c r="F1010" s="209" t="s">
        <v>2492</v>
      </c>
      <c r="G1010" s="406" t="str">
        <f t="shared" si="11"/>
        <v>11-12</v>
      </c>
      <c r="H1010" s="273" t="e">
        <f ca="1">_xludf.IFNA(VLOOKUP(Aragon!E1010,'Kilter Holds'!$P$37:$AB$662,5,0),0)</f>
        <v>#NAME?</v>
      </c>
      <c r="I1010" s="274"/>
      <c r="J1010" s="274" t="e">
        <f t="shared" ca="1" si="9"/>
        <v>#NAME?</v>
      </c>
      <c r="K1010" s="274">
        <f t="shared" si="10"/>
        <v>0</v>
      </c>
      <c r="N1010" s="274"/>
    </row>
    <row r="1011" spans="5:14" ht="13.5" customHeight="1">
      <c r="E1011" s="209" t="s">
        <v>1024</v>
      </c>
      <c r="F1011" s="209" t="s">
        <v>2492</v>
      </c>
      <c r="G1011" s="408" t="str">
        <f t="shared" si="11"/>
        <v>14-01</v>
      </c>
      <c r="H1011" s="273" t="e">
        <f ca="1">_xludf.IFNA(VLOOKUP(Aragon!E1011,'Kilter Holds'!$P$37:$AB$662,6,0),0)</f>
        <v>#NAME?</v>
      </c>
      <c r="I1011" s="274"/>
      <c r="J1011" s="274" t="e">
        <f t="shared" ca="1" si="9"/>
        <v>#NAME?</v>
      </c>
      <c r="K1011" s="274">
        <f t="shared" si="10"/>
        <v>0</v>
      </c>
      <c r="N1011" s="274"/>
    </row>
    <row r="1012" spans="5:14" ht="13.5" customHeight="1">
      <c r="E1012" s="209" t="s">
        <v>1024</v>
      </c>
      <c r="F1012" s="209" t="s">
        <v>2492</v>
      </c>
      <c r="G1012" s="409" t="str">
        <f t="shared" si="11"/>
        <v>15-12</v>
      </c>
      <c r="H1012" s="273" t="e">
        <f ca="1">_xludf.IFNA(VLOOKUP(Aragon!E1012,'Kilter Holds'!$P$37:$AB$662,7,0),0)</f>
        <v>#NAME?</v>
      </c>
      <c r="I1012" s="274"/>
      <c r="J1012" s="274" t="e">
        <f t="shared" ca="1" si="9"/>
        <v>#NAME?</v>
      </c>
      <c r="K1012" s="274">
        <f t="shared" si="10"/>
        <v>0</v>
      </c>
      <c r="N1012" s="274"/>
    </row>
    <row r="1013" spans="5:14" ht="13.5" customHeight="1">
      <c r="E1013" s="209" t="s">
        <v>1024</v>
      </c>
      <c r="F1013" s="209" t="s">
        <v>2492</v>
      </c>
      <c r="G1013" s="410" t="str">
        <f t="shared" si="11"/>
        <v>16-16</v>
      </c>
      <c r="H1013" s="273" t="e">
        <f ca="1">_xludf.IFNA(VLOOKUP(Aragon!E1013,'Kilter Holds'!$P$37:$AB$662,8,0),0)</f>
        <v>#NAME?</v>
      </c>
      <c r="I1013" s="274"/>
      <c r="J1013" s="274" t="e">
        <f t="shared" ca="1" si="9"/>
        <v>#NAME?</v>
      </c>
      <c r="K1013" s="274">
        <f t="shared" si="10"/>
        <v>0</v>
      </c>
      <c r="N1013" s="274"/>
    </row>
    <row r="1014" spans="5:14" ht="13.5" customHeight="1">
      <c r="E1014" s="209" t="s">
        <v>1024</v>
      </c>
      <c r="F1014" s="209" t="s">
        <v>2492</v>
      </c>
      <c r="G1014" s="411" t="str">
        <f t="shared" si="11"/>
        <v>13-01</v>
      </c>
      <c r="H1014" s="273" t="e">
        <f ca="1">_xludf.IFNA(VLOOKUP(Aragon!E1014,'Kilter Holds'!$P$37:$AB$662,9,0),0)</f>
        <v>#NAME?</v>
      </c>
      <c r="I1014" s="274"/>
      <c r="J1014" s="274" t="e">
        <f t="shared" ca="1" si="9"/>
        <v>#NAME?</v>
      </c>
      <c r="K1014" s="274">
        <f t="shared" si="10"/>
        <v>0</v>
      </c>
      <c r="N1014" s="274"/>
    </row>
    <row r="1015" spans="5:14" ht="13.5" customHeight="1">
      <c r="E1015" s="209" t="s">
        <v>1024</v>
      </c>
      <c r="F1015" s="209" t="s">
        <v>2492</v>
      </c>
      <c r="G1015" s="413" t="str">
        <f t="shared" si="11"/>
        <v>07-13</v>
      </c>
      <c r="H1015" s="273" t="e">
        <f ca="1">_xludf.IFNA(VLOOKUP(Aragon!E1015,'Kilter Holds'!$P$37:$AB$662,10,0),0)</f>
        <v>#NAME?</v>
      </c>
      <c r="I1015" s="274"/>
      <c r="J1015" s="274" t="e">
        <f t="shared" ca="1" si="9"/>
        <v>#NAME?</v>
      </c>
      <c r="K1015" s="274">
        <f t="shared" si="10"/>
        <v>0</v>
      </c>
      <c r="N1015" s="274"/>
    </row>
    <row r="1016" spans="5:14" ht="13.5" customHeight="1">
      <c r="E1016" s="209" t="s">
        <v>1024</v>
      </c>
      <c r="F1016" s="209" t="s">
        <v>2492</v>
      </c>
      <c r="G1016" s="414" t="str">
        <f t="shared" si="11"/>
        <v>11-26</v>
      </c>
      <c r="H1016" s="273" t="e">
        <f ca="1">_xludf.IFNA(VLOOKUP(Aragon!E1016,'Kilter Holds'!$P$37:$AB$662,11,0),0)</f>
        <v>#NAME?</v>
      </c>
      <c r="I1016" s="274"/>
      <c r="J1016" s="274" t="e">
        <f t="shared" ca="1" si="9"/>
        <v>#NAME?</v>
      </c>
      <c r="K1016" s="274">
        <f t="shared" si="10"/>
        <v>0</v>
      </c>
      <c r="N1016" s="274"/>
    </row>
    <row r="1017" spans="5:14" ht="13.5" customHeight="1">
      <c r="E1017" s="209" t="s">
        <v>1024</v>
      </c>
      <c r="F1017" s="209" t="s">
        <v>2492</v>
      </c>
      <c r="G1017" s="415" t="str">
        <f t="shared" si="11"/>
        <v>18-01</v>
      </c>
      <c r="H1017" s="273" t="e">
        <f ca="1">_xludf.IFNA(VLOOKUP(Aragon!E1017,'Kilter Holds'!$P$37:$AB$662,12,0),0)</f>
        <v>#NAME?</v>
      </c>
      <c r="I1017" s="274"/>
      <c r="J1017" s="274" t="e">
        <f t="shared" ca="1" si="9"/>
        <v>#NAME?</v>
      </c>
      <c r="K1017" s="274">
        <f t="shared" si="10"/>
        <v>0</v>
      </c>
      <c r="N1017" s="274"/>
    </row>
    <row r="1018" spans="5:14" ht="13.5" customHeight="1">
      <c r="E1018" s="209" t="s">
        <v>1024</v>
      </c>
      <c r="F1018" s="209" t="s">
        <v>2492</v>
      </c>
      <c r="G1018" s="416" t="str">
        <f t="shared" si="11"/>
        <v>Color Code</v>
      </c>
      <c r="H1018" s="273" t="e">
        <f ca="1">_xludf.IFNA(VLOOKUP(Aragon!E1018,'Kilter Holds'!$P$37:$AB$662,13,0),0)</f>
        <v>#NAME?</v>
      </c>
      <c r="I1018" s="274"/>
      <c r="J1018" s="274" t="e">
        <f t="shared" ca="1" si="9"/>
        <v>#NAME?</v>
      </c>
      <c r="K1018" s="274">
        <f t="shared" si="10"/>
        <v>0</v>
      </c>
      <c r="N1018" s="274"/>
    </row>
    <row r="1019" spans="5:14" ht="13.5" customHeight="1">
      <c r="E1019" s="209" t="s">
        <v>1169</v>
      </c>
      <c r="F1019" s="209" t="s">
        <v>2493</v>
      </c>
      <c r="G1019" s="406" t="str">
        <f t="shared" si="11"/>
        <v>11-12</v>
      </c>
      <c r="H1019" s="273" t="e">
        <f ca="1">_xludf.IFNA(VLOOKUP(Aragon!E1019,'Kilter Holds'!$P$37:$AB$662,5,0),0)</f>
        <v>#NAME?</v>
      </c>
      <c r="I1019" s="274"/>
      <c r="J1019" s="274" t="e">
        <f t="shared" ca="1" si="9"/>
        <v>#NAME?</v>
      </c>
      <c r="K1019" s="274">
        <f t="shared" si="10"/>
        <v>0</v>
      </c>
      <c r="N1019" s="274"/>
    </row>
    <row r="1020" spans="5:14" ht="13.5" customHeight="1">
      <c r="E1020" s="209" t="s">
        <v>1169</v>
      </c>
      <c r="F1020" s="209" t="s">
        <v>2493</v>
      </c>
      <c r="G1020" s="408" t="str">
        <f t="shared" si="11"/>
        <v>14-01</v>
      </c>
      <c r="H1020" s="273" t="e">
        <f ca="1">_xludf.IFNA(VLOOKUP(Aragon!E1020,'Kilter Holds'!$P$37:$AB$662,6,0),0)</f>
        <v>#NAME?</v>
      </c>
      <c r="I1020" s="274"/>
      <c r="J1020" s="274" t="e">
        <f t="shared" ca="1" si="9"/>
        <v>#NAME?</v>
      </c>
      <c r="K1020" s="274">
        <f t="shared" si="10"/>
        <v>0</v>
      </c>
      <c r="N1020" s="274"/>
    </row>
    <row r="1021" spans="5:14" ht="13.5" customHeight="1">
      <c r="E1021" s="209" t="s">
        <v>1169</v>
      </c>
      <c r="F1021" s="209" t="s">
        <v>2493</v>
      </c>
      <c r="G1021" s="409" t="str">
        <f t="shared" si="11"/>
        <v>15-12</v>
      </c>
      <c r="H1021" s="273" t="e">
        <f ca="1">_xludf.IFNA(VLOOKUP(Aragon!E1021,'Kilter Holds'!$P$37:$AB$662,7,0),0)</f>
        <v>#NAME?</v>
      </c>
      <c r="I1021" s="274"/>
      <c r="J1021" s="274" t="e">
        <f t="shared" ca="1" si="9"/>
        <v>#NAME?</v>
      </c>
      <c r="K1021" s="274">
        <f t="shared" si="10"/>
        <v>0</v>
      </c>
      <c r="N1021" s="274"/>
    </row>
    <row r="1022" spans="5:14" ht="13.5" customHeight="1">
      <c r="E1022" s="209" t="s">
        <v>1169</v>
      </c>
      <c r="F1022" s="209" t="s">
        <v>2493</v>
      </c>
      <c r="G1022" s="410" t="str">
        <f t="shared" si="11"/>
        <v>16-16</v>
      </c>
      <c r="H1022" s="273" t="e">
        <f ca="1">_xludf.IFNA(VLOOKUP(Aragon!E1022,'Kilter Holds'!$P$37:$AB$662,8,0),0)</f>
        <v>#NAME?</v>
      </c>
      <c r="I1022" s="274"/>
      <c r="J1022" s="274" t="e">
        <f t="shared" ref="J1022:J1276" ca="1" si="12">H1022*I1022</f>
        <v>#NAME?</v>
      </c>
      <c r="K1022" s="274">
        <f t="shared" ref="K1022:K1276" si="13">IF($V$11="Y",J1022*0.05,0)</f>
        <v>0</v>
      </c>
      <c r="N1022" s="274"/>
    </row>
    <row r="1023" spans="5:14" ht="13.5" customHeight="1">
      <c r="E1023" s="209" t="s">
        <v>1169</v>
      </c>
      <c r="F1023" s="209" t="s">
        <v>2493</v>
      </c>
      <c r="G1023" s="411" t="str">
        <f t="shared" si="11"/>
        <v>13-01</v>
      </c>
      <c r="H1023" s="273" t="e">
        <f ca="1">_xludf.IFNA(VLOOKUP(Aragon!E1023,'Kilter Holds'!$P$37:$AB$662,9,0),0)</f>
        <v>#NAME?</v>
      </c>
      <c r="I1023" s="274"/>
      <c r="J1023" s="274" t="e">
        <f t="shared" ca="1" si="12"/>
        <v>#NAME?</v>
      </c>
      <c r="K1023" s="274">
        <f t="shared" si="13"/>
        <v>0</v>
      </c>
      <c r="N1023" s="274"/>
    </row>
    <row r="1024" spans="5:14" ht="13.5" customHeight="1">
      <c r="E1024" s="209" t="s">
        <v>1169</v>
      </c>
      <c r="F1024" s="209" t="s">
        <v>2493</v>
      </c>
      <c r="G1024" s="413" t="str">
        <f t="shared" si="11"/>
        <v>07-13</v>
      </c>
      <c r="H1024" s="273" t="e">
        <f ca="1">_xludf.IFNA(VLOOKUP(Aragon!E1024,'Kilter Holds'!$P$37:$AB$662,10,0),0)</f>
        <v>#NAME?</v>
      </c>
      <c r="I1024" s="274"/>
      <c r="J1024" s="274" t="e">
        <f t="shared" ca="1" si="12"/>
        <v>#NAME?</v>
      </c>
      <c r="K1024" s="274">
        <f t="shared" si="13"/>
        <v>0</v>
      </c>
      <c r="N1024" s="274"/>
    </row>
    <row r="1025" spans="1:14" ht="13.5" customHeight="1">
      <c r="E1025" s="209" t="s">
        <v>1169</v>
      </c>
      <c r="F1025" s="209" t="s">
        <v>2493</v>
      </c>
      <c r="G1025" s="414" t="str">
        <f t="shared" si="11"/>
        <v>11-26</v>
      </c>
      <c r="H1025" s="273" t="e">
        <f ca="1">_xludf.IFNA(VLOOKUP(Aragon!E1025,'Kilter Holds'!$P$37:$AB$662,11,0),0)</f>
        <v>#NAME?</v>
      </c>
      <c r="I1025" s="274"/>
      <c r="J1025" s="274" t="e">
        <f t="shared" ca="1" si="12"/>
        <v>#NAME?</v>
      </c>
      <c r="K1025" s="274">
        <f t="shared" si="13"/>
        <v>0</v>
      </c>
      <c r="N1025" s="274"/>
    </row>
    <row r="1026" spans="1:14" ht="13.5" customHeight="1">
      <c r="E1026" s="209" t="s">
        <v>1169</v>
      </c>
      <c r="F1026" s="209" t="s">
        <v>2493</v>
      </c>
      <c r="G1026" s="415" t="str">
        <f t="shared" si="11"/>
        <v>18-01</v>
      </c>
      <c r="H1026" s="273" t="e">
        <f ca="1">_xludf.IFNA(VLOOKUP(Aragon!E1026,'Kilter Holds'!$P$37:$AB$662,12,0),0)</f>
        <v>#NAME?</v>
      </c>
      <c r="I1026" s="274"/>
      <c r="J1026" s="274" t="e">
        <f t="shared" ca="1" si="12"/>
        <v>#NAME?</v>
      </c>
      <c r="K1026" s="274">
        <f t="shared" si="13"/>
        <v>0</v>
      </c>
      <c r="N1026" s="274"/>
    </row>
    <row r="1027" spans="1:14" ht="13.5" customHeight="1">
      <c r="E1027" s="209" t="s">
        <v>1169</v>
      </c>
      <c r="F1027" s="209" t="s">
        <v>2493</v>
      </c>
      <c r="G1027" s="416" t="str">
        <f t="shared" si="11"/>
        <v>Color Code</v>
      </c>
      <c r="H1027" s="273" t="e">
        <f ca="1">_xludf.IFNA(VLOOKUP(Aragon!E1027,'Kilter Holds'!$P$37:$AB$662,13,0),0)</f>
        <v>#NAME?</v>
      </c>
      <c r="I1027" s="274"/>
      <c r="J1027" s="274" t="e">
        <f t="shared" ca="1" si="12"/>
        <v>#NAME?</v>
      </c>
      <c r="K1027" s="274">
        <f t="shared" si="13"/>
        <v>0</v>
      </c>
      <c r="N1027" s="274"/>
    </row>
    <row r="1028" spans="1:14" ht="13.5" customHeight="1">
      <c r="E1028" s="209" t="s">
        <v>1026</v>
      </c>
      <c r="F1028" s="209" t="s">
        <v>2494</v>
      </c>
      <c r="G1028" s="406" t="str">
        <f t="shared" si="11"/>
        <v>11-12</v>
      </c>
      <c r="H1028" s="273" t="e">
        <f ca="1">_xludf.IFNA(VLOOKUP(Aragon!E1028,'Kilter Holds'!$P$37:$AB$662,5,0),0)</f>
        <v>#NAME?</v>
      </c>
      <c r="I1028" s="274"/>
      <c r="J1028" s="274" t="e">
        <f t="shared" ca="1" si="12"/>
        <v>#NAME?</v>
      </c>
      <c r="K1028" s="274">
        <f t="shared" si="13"/>
        <v>0</v>
      </c>
      <c r="N1028" s="274"/>
    </row>
    <row r="1029" spans="1:14" ht="13.5" customHeight="1">
      <c r="E1029" s="209" t="s">
        <v>1026</v>
      </c>
      <c r="F1029" s="209" t="s">
        <v>2494</v>
      </c>
      <c r="G1029" s="408" t="str">
        <f t="shared" si="11"/>
        <v>14-01</v>
      </c>
      <c r="H1029" s="273" t="e">
        <f ca="1">_xludf.IFNA(VLOOKUP(Aragon!E1029,'Kilter Holds'!$P$37:$AB$662,6,0),0)</f>
        <v>#NAME?</v>
      </c>
      <c r="I1029" s="274"/>
      <c r="J1029" s="274" t="e">
        <f t="shared" ca="1" si="12"/>
        <v>#NAME?</v>
      </c>
      <c r="K1029" s="274">
        <f t="shared" si="13"/>
        <v>0</v>
      </c>
      <c r="N1029" s="274"/>
    </row>
    <row r="1030" spans="1:14" ht="13.5" customHeight="1">
      <c r="E1030" s="209" t="s">
        <v>1026</v>
      </c>
      <c r="F1030" s="209" t="s">
        <v>2494</v>
      </c>
      <c r="G1030" s="409" t="str">
        <f t="shared" si="11"/>
        <v>15-12</v>
      </c>
      <c r="H1030" s="273" t="e">
        <f ca="1">_xludf.IFNA(VLOOKUP(Aragon!E1030,'Kilter Holds'!$P$37:$AB$662,7,0),0)</f>
        <v>#NAME?</v>
      </c>
      <c r="I1030" s="274"/>
      <c r="J1030" s="274" t="e">
        <f t="shared" ca="1" si="12"/>
        <v>#NAME?</v>
      </c>
      <c r="K1030" s="274">
        <f t="shared" si="13"/>
        <v>0</v>
      </c>
      <c r="N1030" s="274"/>
    </row>
    <row r="1031" spans="1:14" ht="13.5" customHeight="1">
      <c r="E1031" s="209" t="s">
        <v>1026</v>
      </c>
      <c r="F1031" s="209" t="s">
        <v>2494</v>
      </c>
      <c r="G1031" s="410" t="str">
        <f t="shared" ref="G1031:G1285" si="14">G1022</f>
        <v>16-16</v>
      </c>
      <c r="H1031" s="273" t="e">
        <f ca="1">_xludf.IFNA(VLOOKUP(Aragon!E1031,'Kilter Holds'!$P$37:$AB$662,8,0),0)</f>
        <v>#NAME?</v>
      </c>
      <c r="I1031" s="274"/>
      <c r="J1031" s="274" t="e">
        <f t="shared" ca="1" si="12"/>
        <v>#NAME?</v>
      </c>
      <c r="K1031" s="274">
        <f t="shared" si="13"/>
        <v>0</v>
      </c>
      <c r="N1031" s="274"/>
    </row>
    <row r="1032" spans="1:14" ht="13.5" customHeight="1">
      <c r="E1032" s="209" t="s">
        <v>1026</v>
      </c>
      <c r="F1032" s="209" t="s">
        <v>2494</v>
      </c>
      <c r="G1032" s="411" t="str">
        <f t="shared" si="14"/>
        <v>13-01</v>
      </c>
      <c r="H1032" s="273" t="e">
        <f ca="1">_xludf.IFNA(VLOOKUP(Aragon!E1032,'Kilter Holds'!$P$37:$AB$662,9,0),0)</f>
        <v>#NAME?</v>
      </c>
      <c r="I1032" s="274"/>
      <c r="J1032" s="274" t="e">
        <f t="shared" ca="1" si="12"/>
        <v>#NAME?</v>
      </c>
      <c r="K1032" s="274">
        <f t="shared" si="13"/>
        <v>0</v>
      </c>
      <c r="N1032" s="274"/>
    </row>
    <row r="1033" spans="1:14" ht="13.5" customHeight="1">
      <c r="E1033" s="209" t="s">
        <v>1026</v>
      </c>
      <c r="F1033" s="209" t="s">
        <v>2494</v>
      </c>
      <c r="G1033" s="413" t="str">
        <f t="shared" si="14"/>
        <v>07-13</v>
      </c>
      <c r="H1033" s="273" t="e">
        <f ca="1">_xludf.IFNA(VLOOKUP(Aragon!E1033,'Kilter Holds'!$P$37:$AB$662,10,0),0)</f>
        <v>#NAME?</v>
      </c>
      <c r="I1033" s="274"/>
      <c r="J1033" s="274" t="e">
        <f t="shared" ca="1" si="12"/>
        <v>#NAME?</v>
      </c>
      <c r="K1033" s="274">
        <f t="shared" si="13"/>
        <v>0</v>
      </c>
      <c r="N1033" s="274"/>
    </row>
    <row r="1034" spans="1:14" ht="13.5" customHeight="1">
      <c r="E1034" s="209" t="s">
        <v>1026</v>
      </c>
      <c r="F1034" s="209" t="s">
        <v>2494</v>
      </c>
      <c r="G1034" s="414" t="str">
        <f t="shared" si="14"/>
        <v>11-26</v>
      </c>
      <c r="H1034" s="273" t="e">
        <f ca="1">_xludf.IFNA(VLOOKUP(Aragon!E1034,'Kilter Holds'!$P$37:$AB$662,11,0),0)</f>
        <v>#NAME?</v>
      </c>
      <c r="I1034" s="274"/>
      <c r="J1034" s="274" t="e">
        <f t="shared" ca="1" si="12"/>
        <v>#NAME?</v>
      </c>
      <c r="K1034" s="274">
        <f t="shared" si="13"/>
        <v>0</v>
      </c>
      <c r="N1034" s="274"/>
    </row>
    <row r="1035" spans="1:14" ht="13.5" customHeight="1">
      <c r="E1035" s="209" t="s">
        <v>1026</v>
      </c>
      <c r="F1035" s="209" t="s">
        <v>2494</v>
      </c>
      <c r="G1035" s="415" t="str">
        <f t="shared" si="14"/>
        <v>18-01</v>
      </c>
      <c r="H1035" s="273" t="e">
        <f ca="1">_xludf.IFNA(VLOOKUP(Aragon!E1035,'Kilter Holds'!$P$37:$AB$662,12,0),0)</f>
        <v>#NAME?</v>
      </c>
      <c r="I1035" s="274"/>
      <c r="J1035" s="274" t="e">
        <f t="shared" ca="1" si="12"/>
        <v>#NAME?</v>
      </c>
      <c r="K1035" s="274">
        <f t="shared" si="13"/>
        <v>0</v>
      </c>
      <c r="N1035" s="274"/>
    </row>
    <row r="1036" spans="1:14" ht="13.5" customHeight="1">
      <c r="E1036" s="209" t="s">
        <v>1026</v>
      </c>
      <c r="F1036" s="209" t="s">
        <v>2494</v>
      </c>
      <c r="G1036" s="416" t="str">
        <f t="shared" si="14"/>
        <v>Color Code</v>
      </c>
      <c r="H1036" s="273" t="e">
        <f ca="1">_xludf.IFNA(VLOOKUP(Aragon!E1036,'Kilter Holds'!$P$37:$AB$662,13,0),0)</f>
        <v>#NAME?</v>
      </c>
      <c r="I1036" s="274"/>
      <c r="J1036" s="274" t="e">
        <f t="shared" ca="1" si="12"/>
        <v>#NAME?</v>
      </c>
      <c r="K1036" s="274">
        <f t="shared" si="13"/>
        <v>0</v>
      </c>
      <c r="N1036" s="274"/>
    </row>
    <row r="1037" spans="1:14" ht="13.5" customHeight="1">
      <c r="A1037" s="1" t="s">
        <v>1241</v>
      </c>
      <c r="E1037" s="209" t="s">
        <v>1171</v>
      </c>
      <c r="F1037" s="209" t="s">
        <v>2495</v>
      </c>
      <c r="G1037" s="406" t="str">
        <f t="shared" si="14"/>
        <v>11-12</v>
      </c>
      <c r="H1037" s="273" t="e">
        <f ca="1">_xludf.IFNA(VLOOKUP(E1037,'Kilter Holds'!$P$37:$AB$662,5,0),0)+_xludf.IFNA(VLOOKUP(A1037,'Kilter Holds'!$P$37:$AB$662,5,0),0)</f>
        <v>#NAME?</v>
      </c>
      <c r="I1037" s="274"/>
      <c r="J1037" s="274" t="e">
        <f t="shared" ca="1" si="12"/>
        <v>#NAME?</v>
      </c>
      <c r="K1037" s="274">
        <f t="shared" si="13"/>
        <v>0</v>
      </c>
      <c r="N1037" s="274"/>
    </row>
    <row r="1038" spans="1:14" ht="13.5" customHeight="1">
      <c r="A1038" s="1" t="s">
        <v>1241</v>
      </c>
      <c r="E1038" s="209" t="s">
        <v>1171</v>
      </c>
      <c r="F1038" s="209" t="s">
        <v>2495</v>
      </c>
      <c r="G1038" s="408" t="str">
        <f t="shared" si="14"/>
        <v>14-01</v>
      </c>
      <c r="H1038" s="273" t="e">
        <f ca="1">_xludf.IFNA(VLOOKUP(E1038,'Kilter Holds'!$P$37:$AB$662,6,0),0)+_xludf.IFNA(VLOOKUP(A1038,'Kilter Holds'!$P$37:$AB$662,6,0),0)</f>
        <v>#NAME?</v>
      </c>
      <c r="I1038" s="274"/>
      <c r="J1038" s="274" t="e">
        <f t="shared" ca="1" si="12"/>
        <v>#NAME?</v>
      </c>
      <c r="K1038" s="274">
        <f t="shared" si="13"/>
        <v>0</v>
      </c>
      <c r="N1038" s="274"/>
    </row>
    <row r="1039" spans="1:14" ht="13.5" customHeight="1">
      <c r="A1039" s="1" t="s">
        <v>1241</v>
      </c>
      <c r="E1039" s="209" t="s">
        <v>1171</v>
      </c>
      <c r="F1039" s="209" t="s">
        <v>2495</v>
      </c>
      <c r="G1039" s="409" t="str">
        <f t="shared" si="14"/>
        <v>15-12</v>
      </c>
      <c r="H1039" s="273" t="e">
        <f ca="1">_xludf.IFNA(VLOOKUP(E1039,'Kilter Holds'!$P$37:$AB$662,7,0),0)+_xludf.IFNA(VLOOKUP(A1039,'Kilter Holds'!$P$37:$AB$662,7,0),0)</f>
        <v>#NAME?</v>
      </c>
      <c r="I1039" s="274"/>
      <c r="J1039" s="274" t="e">
        <f t="shared" ca="1" si="12"/>
        <v>#NAME?</v>
      </c>
      <c r="K1039" s="274">
        <f t="shared" si="13"/>
        <v>0</v>
      </c>
      <c r="N1039" s="274"/>
    </row>
    <row r="1040" spans="1:14" ht="13.5" customHeight="1">
      <c r="A1040" s="1" t="s">
        <v>1241</v>
      </c>
      <c r="E1040" s="209" t="s">
        <v>1171</v>
      </c>
      <c r="F1040" s="209" t="s">
        <v>2495</v>
      </c>
      <c r="G1040" s="410" t="str">
        <f t="shared" si="14"/>
        <v>16-16</v>
      </c>
      <c r="H1040" s="273" t="e">
        <f ca="1">_xludf.IFNA(VLOOKUP(E1040,'Kilter Holds'!$P$37:$AB$662,8,0),0)+_xludf.IFNA(VLOOKUP(A1040,'Kilter Holds'!$P$37:$AB$662,8,0),0)</f>
        <v>#NAME?</v>
      </c>
      <c r="I1040" s="274"/>
      <c r="J1040" s="274" t="e">
        <f t="shared" ca="1" si="12"/>
        <v>#NAME?</v>
      </c>
      <c r="K1040" s="274">
        <f t="shared" si="13"/>
        <v>0</v>
      </c>
      <c r="N1040" s="274"/>
    </row>
    <row r="1041" spans="1:14" ht="13.5" customHeight="1">
      <c r="A1041" s="1" t="s">
        <v>1241</v>
      </c>
      <c r="E1041" s="209" t="s">
        <v>1171</v>
      </c>
      <c r="F1041" s="209" t="s">
        <v>2495</v>
      </c>
      <c r="G1041" s="411" t="str">
        <f t="shared" si="14"/>
        <v>13-01</v>
      </c>
      <c r="H1041" s="273" t="e">
        <f ca="1">_xludf.IFNA(VLOOKUP(E1041,'Kilter Holds'!$P$37:$AB$662,9,0),0)+_xludf.IFNA(VLOOKUP(A1041,'Kilter Holds'!$P$37:$AB$662,9,0),0)</f>
        <v>#NAME?</v>
      </c>
      <c r="I1041" s="274"/>
      <c r="J1041" s="274" t="e">
        <f t="shared" ca="1" si="12"/>
        <v>#NAME?</v>
      </c>
      <c r="K1041" s="274">
        <f t="shared" si="13"/>
        <v>0</v>
      </c>
      <c r="N1041" s="274"/>
    </row>
    <row r="1042" spans="1:14" ht="13.5" customHeight="1">
      <c r="A1042" s="1" t="s">
        <v>1241</v>
      </c>
      <c r="E1042" s="209" t="s">
        <v>1171</v>
      </c>
      <c r="F1042" s="209" t="s">
        <v>2495</v>
      </c>
      <c r="G1042" s="413" t="str">
        <f t="shared" si="14"/>
        <v>07-13</v>
      </c>
      <c r="H1042" s="273" t="e">
        <f ca="1">_xludf.IFNA(VLOOKUP(E1042,'Kilter Holds'!$P$37:$AB$662,10,0),0)+_xludf.IFNA(VLOOKUP(A1042,'Kilter Holds'!$P$37:$AB$662,10,0),0)</f>
        <v>#NAME?</v>
      </c>
      <c r="I1042" s="274"/>
      <c r="J1042" s="274" t="e">
        <f t="shared" ca="1" si="12"/>
        <v>#NAME?</v>
      </c>
      <c r="K1042" s="274">
        <f t="shared" si="13"/>
        <v>0</v>
      </c>
      <c r="N1042" s="274"/>
    </row>
    <row r="1043" spans="1:14" ht="13.5" customHeight="1">
      <c r="A1043" s="1" t="s">
        <v>1241</v>
      </c>
      <c r="E1043" s="209" t="s">
        <v>1171</v>
      </c>
      <c r="F1043" s="209" t="s">
        <v>2495</v>
      </c>
      <c r="G1043" s="414" t="str">
        <f t="shared" si="14"/>
        <v>11-26</v>
      </c>
      <c r="H1043" s="273" t="e">
        <f ca="1">_xludf.IFNA(VLOOKUP(E1043,'Kilter Holds'!$P$37:$AB$662,11,0),0)+_xludf.IFNA(VLOOKUP(A1043,'Kilter Holds'!$P$37:$AB$662,11,0),0)</f>
        <v>#NAME?</v>
      </c>
      <c r="I1043" s="274"/>
      <c r="J1043" s="274" t="e">
        <f t="shared" ca="1" si="12"/>
        <v>#NAME?</v>
      </c>
      <c r="K1043" s="274">
        <f t="shared" si="13"/>
        <v>0</v>
      </c>
      <c r="N1043" s="274"/>
    </row>
    <row r="1044" spans="1:14" ht="13.5" customHeight="1">
      <c r="A1044" s="1" t="s">
        <v>1241</v>
      </c>
      <c r="E1044" s="209" t="s">
        <v>1171</v>
      </c>
      <c r="F1044" s="209" t="s">
        <v>2495</v>
      </c>
      <c r="G1044" s="415" t="str">
        <f t="shared" si="14"/>
        <v>18-01</v>
      </c>
      <c r="H1044" s="273" t="e">
        <f ca="1">_xludf.IFNA(VLOOKUP(E1044,'Kilter Holds'!$P$37:$AB$662,12,0),0)+_xludf.IFNA(VLOOKUP(A1044,'Kilter Holds'!$P$37:$AB$662,12,0),0)</f>
        <v>#NAME?</v>
      </c>
      <c r="I1044" s="274"/>
      <c r="J1044" s="274" t="e">
        <f t="shared" ca="1" si="12"/>
        <v>#NAME?</v>
      </c>
      <c r="K1044" s="274">
        <f t="shared" si="13"/>
        <v>0</v>
      </c>
      <c r="N1044" s="274"/>
    </row>
    <row r="1045" spans="1:14" ht="13.5" customHeight="1">
      <c r="A1045" s="1" t="s">
        <v>1241</v>
      </c>
      <c r="E1045" s="209" t="s">
        <v>1171</v>
      </c>
      <c r="F1045" s="209" t="s">
        <v>2495</v>
      </c>
      <c r="G1045" s="416" t="str">
        <f t="shared" si="14"/>
        <v>Color Code</v>
      </c>
      <c r="H1045" s="273" t="e">
        <f ca="1">_xludf.IFNA(VLOOKUP(E1045,'Kilter Holds'!$P$37:$AB$662,13,0),0)+_xludf.IFNA(VLOOKUP(A1045,'Kilter Holds'!$P$37:$AB$662,13,0),0)</f>
        <v>#NAME?</v>
      </c>
      <c r="I1045" s="274"/>
      <c r="J1045" s="274" t="e">
        <f t="shared" ca="1" si="12"/>
        <v>#NAME?</v>
      </c>
      <c r="K1045" s="274">
        <f t="shared" si="13"/>
        <v>0</v>
      </c>
      <c r="N1045" s="274"/>
    </row>
    <row r="1046" spans="1:14" ht="13.5" customHeight="1">
      <c r="E1046" s="209" t="s">
        <v>1139</v>
      </c>
      <c r="F1046" s="209" t="s">
        <v>2496</v>
      </c>
      <c r="G1046" s="406" t="str">
        <f t="shared" si="14"/>
        <v>11-12</v>
      </c>
      <c r="H1046" s="273" t="e">
        <f ca="1">_xludf.IFNA(VLOOKUP(Aragon!E1046,'Kilter Holds'!$P$37:$AB$662,5,0),0)</f>
        <v>#NAME?</v>
      </c>
      <c r="I1046" s="274"/>
      <c r="J1046" s="274" t="e">
        <f t="shared" ca="1" si="12"/>
        <v>#NAME?</v>
      </c>
      <c r="K1046" s="274">
        <f t="shared" si="13"/>
        <v>0</v>
      </c>
      <c r="N1046" s="274"/>
    </row>
    <row r="1047" spans="1:14" ht="13.5" customHeight="1">
      <c r="E1047" s="209" t="s">
        <v>1139</v>
      </c>
      <c r="F1047" s="209" t="s">
        <v>2496</v>
      </c>
      <c r="G1047" s="408" t="str">
        <f t="shared" si="14"/>
        <v>14-01</v>
      </c>
      <c r="H1047" s="273" t="e">
        <f ca="1">_xludf.IFNA(VLOOKUP(Aragon!E1047,'Kilter Holds'!$P$37:$AB$662,6,0),0)</f>
        <v>#NAME?</v>
      </c>
      <c r="I1047" s="274"/>
      <c r="J1047" s="274" t="e">
        <f t="shared" ca="1" si="12"/>
        <v>#NAME?</v>
      </c>
      <c r="K1047" s="274">
        <f t="shared" si="13"/>
        <v>0</v>
      </c>
      <c r="N1047" s="274"/>
    </row>
    <row r="1048" spans="1:14" ht="13.5" customHeight="1">
      <c r="E1048" s="209" t="s">
        <v>1139</v>
      </c>
      <c r="F1048" s="209" t="s">
        <v>2496</v>
      </c>
      <c r="G1048" s="409" t="str">
        <f t="shared" si="14"/>
        <v>15-12</v>
      </c>
      <c r="H1048" s="273" t="e">
        <f ca="1">_xludf.IFNA(VLOOKUP(Aragon!E1048,'Kilter Holds'!$P$37:$AB$662,7,0),0)</f>
        <v>#NAME?</v>
      </c>
      <c r="I1048" s="274"/>
      <c r="J1048" s="274" t="e">
        <f t="shared" ca="1" si="12"/>
        <v>#NAME?</v>
      </c>
      <c r="K1048" s="274">
        <f t="shared" si="13"/>
        <v>0</v>
      </c>
      <c r="N1048" s="274"/>
    </row>
    <row r="1049" spans="1:14" ht="13.5" customHeight="1">
      <c r="E1049" s="209" t="s">
        <v>1139</v>
      </c>
      <c r="F1049" s="209" t="s">
        <v>2496</v>
      </c>
      <c r="G1049" s="410" t="str">
        <f t="shared" si="14"/>
        <v>16-16</v>
      </c>
      <c r="H1049" s="273" t="e">
        <f ca="1">_xludf.IFNA(VLOOKUP(Aragon!E1049,'Kilter Holds'!$P$37:$AB$662,8,0),0)</f>
        <v>#NAME?</v>
      </c>
      <c r="I1049" s="274"/>
      <c r="J1049" s="274" t="e">
        <f t="shared" ca="1" si="12"/>
        <v>#NAME?</v>
      </c>
      <c r="K1049" s="274">
        <f t="shared" si="13"/>
        <v>0</v>
      </c>
      <c r="N1049" s="274"/>
    </row>
    <row r="1050" spans="1:14" ht="13.5" customHeight="1">
      <c r="E1050" s="209" t="s">
        <v>1139</v>
      </c>
      <c r="F1050" s="209" t="s">
        <v>2496</v>
      </c>
      <c r="G1050" s="411" t="str">
        <f t="shared" si="14"/>
        <v>13-01</v>
      </c>
      <c r="H1050" s="273" t="e">
        <f ca="1">_xludf.IFNA(VLOOKUP(Aragon!E1050,'Kilter Holds'!$P$37:$AB$662,9,0),0)</f>
        <v>#NAME?</v>
      </c>
      <c r="I1050" s="274"/>
      <c r="J1050" s="274" t="e">
        <f t="shared" ca="1" si="12"/>
        <v>#NAME?</v>
      </c>
      <c r="K1050" s="274">
        <f t="shared" si="13"/>
        <v>0</v>
      </c>
      <c r="N1050" s="274"/>
    </row>
    <row r="1051" spans="1:14" ht="13.5" customHeight="1">
      <c r="E1051" s="209" t="s">
        <v>1139</v>
      </c>
      <c r="F1051" s="209" t="s">
        <v>2496</v>
      </c>
      <c r="G1051" s="413" t="str">
        <f t="shared" si="14"/>
        <v>07-13</v>
      </c>
      <c r="H1051" s="273" t="e">
        <f ca="1">_xludf.IFNA(VLOOKUP(Aragon!E1051,'Kilter Holds'!$P$37:$AB$662,10,0),0)</f>
        <v>#NAME?</v>
      </c>
      <c r="I1051" s="274"/>
      <c r="J1051" s="274" t="e">
        <f t="shared" ca="1" si="12"/>
        <v>#NAME?</v>
      </c>
      <c r="K1051" s="274">
        <f t="shared" si="13"/>
        <v>0</v>
      </c>
      <c r="N1051" s="274"/>
    </row>
    <row r="1052" spans="1:14" ht="13.5" customHeight="1">
      <c r="E1052" s="209" t="s">
        <v>1139</v>
      </c>
      <c r="F1052" s="209" t="s">
        <v>2496</v>
      </c>
      <c r="G1052" s="414" t="str">
        <f t="shared" si="14"/>
        <v>11-26</v>
      </c>
      <c r="H1052" s="273" t="e">
        <f ca="1">_xludf.IFNA(VLOOKUP(Aragon!E1052,'Kilter Holds'!$P$37:$AB$662,11,0),0)</f>
        <v>#NAME?</v>
      </c>
      <c r="I1052" s="274"/>
      <c r="J1052" s="274" t="e">
        <f t="shared" ca="1" si="12"/>
        <v>#NAME?</v>
      </c>
      <c r="K1052" s="274">
        <f t="shared" si="13"/>
        <v>0</v>
      </c>
      <c r="N1052" s="274"/>
    </row>
    <row r="1053" spans="1:14" ht="13.5" customHeight="1">
      <c r="E1053" s="209" t="s">
        <v>1139</v>
      </c>
      <c r="F1053" s="209" t="s">
        <v>2496</v>
      </c>
      <c r="G1053" s="415" t="str">
        <f t="shared" si="14"/>
        <v>18-01</v>
      </c>
      <c r="H1053" s="273" t="e">
        <f ca="1">_xludf.IFNA(VLOOKUP(Aragon!E1053,'Kilter Holds'!$P$37:$AB$662,12,0),0)</f>
        <v>#NAME?</v>
      </c>
      <c r="I1053" s="274"/>
      <c r="J1053" s="274" t="e">
        <f t="shared" ca="1" si="12"/>
        <v>#NAME?</v>
      </c>
      <c r="K1053" s="274">
        <f t="shared" si="13"/>
        <v>0</v>
      </c>
      <c r="N1053" s="274"/>
    </row>
    <row r="1054" spans="1:14" ht="13.5" customHeight="1">
      <c r="E1054" s="209" t="s">
        <v>1139</v>
      </c>
      <c r="F1054" s="209" t="s">
        <v>2496</v>
      </c>
      <c r="G1054" s="416" t="str">
        <f t="shared" si="14"/>
        <v>Color Code</v>
      </c>
      <c r="H1054" s="273" t="e">
        <f ca="1">_xludf.IFNA(VLOOKUP(Aragon!E1054,'Kilter Holds'!$P$37:$AB$662,13,0),0)</f>
        <v>#NAME?</v>
      </c>
      <c r="I1054" s="274"/>
      <c r="J1054" s="274" t="e">
        <f t="shared" ca="1" si="12"/>
        <v>#NAME?</v>
      </c>
      <c r="K1054" s="274">
        <f t="shared" si="13"/>
        <v>0</v>
      </c>
      <c r="N1054" s="274"/>
    </row>
    <row r="1055" spans="1:14" ht="13.5" customHeight="1">
      <c r="E1055" s="209" t="s">
        <v>998</v>
      </c>
      <c r="F1055" s="209" t="s">
        <v>2497</v>
      </c>
      <c r="G1055" s="406" t="str">
        <f t="shared" si="14"/>
        <v>11-12</v>
      </c>
      <c r="H1055" s="273" t="e">
        <f ca="1">_xludf.IFNA(VLOOKUP(Aragon!E1055,'Kilter Holds'!$P$37:$AB$662,5,0),0)</f>
        <v>#NAME?</v>
      </c>
      <c r="I1055" s="274"/>
      <c r="J1055" s="274" t="e">
        <f t="shared" ca="1" si="12"/>
        <v>#NAME?</v>
      </c>
      <c r="K1055" s="274">
        <f t="shared" si="13"/>
        <v>0</v>
      </c>
      <c r="N1055" s="274"/>
    </row>
    <row r="1056" spans="1:14" ht="13.5" customHeight="1">
      <c r="E1056" s="209" t="s">
        <v>998</v>
      </c>
      <c r="F1056" s="209" t="s">
        <v>2497</v>
      </c>
      <c r="G1056" s="408" t="str">
        <f t="shared" si="14"/>
        <v>14-01</v>
      </c>
      <c r="H1056" s="273" t="e">
        <f ca="1">_xludf.IFNA(VLOOKUP(Aragon!E1056,'Kilter Holds'!$P$37:$AB$662,6,0),0)</f>
        <v>#NAME?</v>
      </c>
      <c r="I1056" s="274"/>
      <c r="J1056" s="274" t="e">
        <f t="shared" ca="1" si="12"/>
        <v>#NAME?</v>
      </c>
      <c r="K1056" s="274">
        <f t="shared" si="13"/>
        <v>0</v>
      </c>
      <c r="N1056" s="274"/>
    </row>
    <row r="1057" spans="5:14" ht="13.5" customHeight="1">
      <c r="E1057" s="209" t="s">
        <v>998</v>
      </c>
      <c r="F1057" s="209" t="s">
        <v>2497</v>
      </c>
      <c r="G1057" s="409" t="str">
        <f t="shared" si="14"/>
        <v>15-12</v>
      </c>
      <c r="H1057" s="273" t="e">
        <f ca="1">_xludf.IFNA(VLOOKUP(Aragon!E1057,'Kilter Holds'!$P$37:$AB$662,7,0),0)</f>
        <v>#NAME?</v>
      </c>
      <c r="I1057" s="274"/>
      <c r="J1057" s="274" t="e">
        <f t="shared" ca="1" si="12"/>
        <v>#NAME?</v>
      </c>
      <c r="K1057" s="274">
        <f t="shared" si="13"/>
        <v>0</v>
      </c>
      <c r="N1057" s="274"/>
    </row>
    <row r="1058" spans="5:14" ht="13.5" customHeight="1">
      <c r="E1058" s="209" t="s">
        <v>998</v>
      </c>
      <c r="F1058" s="209" t="s">
        <v>2497</v>
      </c>
      <c r="G1058" s="410" t="str">
        <f t="shared" si="14"/>
        <v>16-16</v>
      </c>
      <c r="H1058" s="273" t="e">
        <f ca="1">_xludf.IFNA(VLOOKUP(Aragon!E1058,'Kilter Holds'!$P$37:$AB$662,8,0),0)</f>
        <v>#NAME?</v>
      </c>
      <c r="I1058" s="274"/>
      <c r="J1058" s="274" t="e">
        <f t="shared" ca="1" si="12"/>
        <v>#NAME?</v>
      </c>
      <c r="K1058" s="274">
        <f t="shared" si="13"/>
        <v>0</v>
      </c>
      <c r="N1058" s="274"/>
    </row>
    <row r="1059" spans="5:14" ht="13.5" customHeight="1">
      <c r="E1059" s="209" t="s">
        <v>998</v>
      </c>
      <c r="F1059" s="209" t="s">
        <v>2497</v>
      </c>
      <c r="G1059" s="411" t="str">
        <f t="shared" si="14"/>
        <v>13-01</v>
      </c>
      <c r="H1059" s="273" t="e">
        <f ca="1">_xludf.IFNA(VLOOKUP(Aragon!E1059,'Kilter Holds'!$P$37:$AB$662,9,0),0)</f>
        <v>#NAME?</v>
      </c>
      <c r="I1059" s="274"/>
      <c r="J1059" s="274" t="e">
        <f t="shared" ca="1" si="12"/>
        <v>#NAME?</v>
      </c>
      <c r="K1059" s="274">
        <f t="shared" si="13"/>
        <v>0</v>
      </c>
      <c r="N1059" s="274"/>
    </row>
    <row r="1060" spans="5:14" ht="13.5" customHeight="1">
      <c r="E1060" s="209" t="s">
        <v>998</v>
      </c>
      <c r="F1060" s="209" t="s">
        <v>2497</v>
      </c>
      <c r="G1060" s="413" t="str">
        <f t="shared" si="14"/>
        <v>07-13</v>
      </c>
      <c r="H1060" s="273" t="e">
        <f ca="1">_xludf.IFNA(VLOOKUP(Aragon!E1060,'Kilter Holds'!$P$37:$AB$662,10,0),0)</f>
        <v>#NAME?</v>
      </c>
      <c r="I1060" s="274"/>
      <c r="J1060" s="274" t="e">
        <f t="shared" ca="1" si="12"/>
        <v>#NAME?</v>
      </c>
      <c r="K1060" s="274">
        <f t="shared" si="13"/>
        <v>0</v>
      </c>
      <c r="N1060" s="274"/>
    </row>
    <row r="1061" spans="5:14" ht="13.5" customHeight="1">
      <c r="E1061" s="209" t="s">
        <v>998</v>
      </c>
      <c r="F1061" s="209" t="s">
        <v>2497</v>
      </c>
      <c r="G1061" s="414" t="str">
        <f t="shared" si="14"/>
        <v>11-26</v>
      </c>
      <c r="H1061" s="273" t="e">
        <f ca="1">_xludf.IFNA(VLOOKUP(Aragon!E1061,'Kilter Holds'!$P$37:$AB$662,11,0),0)</f>
        <v>#NAME?</v>
      </c>
      <c r="I1061" s="274"/>
      <c r="J1061" s="274" t="e">
        <f t="shared" ca="1" si="12"/>
        <v>#NAME?</v>
      </c>
      <c r="K1061" s="274">
        <f t="shared" si="13"/>
        <v>0</v>
      </c>
      <c r="N1061" s="274"/>
    </row>
    <row r="1062" spans="5:14" ht="13.5" customHeight="1">
      <c r="E1062" s="209" t="s">
        <v>998</v>
      </c>
      <c r="F1062" s="209" t="s">
        <v>2497</v>
      </c>
      <c r="G1062" s="415" t="str">
        <f t="shared" si="14"/>
        <v>18-01</v>
      </c>
      <c r="H1062" s="273" t="e">
        <f ca="1">_xludf.IFNA(VLOOKUP(Aragon!E1062,'Kilter Holds'!$P$37:$AB$662,12,0),0)</f>
        <v>#NAME?</v>
      </c>
      <c r="I1062" s="274"/>
      <c r="J1062" s="274" t="e">
        <f t="shared" ca="1" si="12"/>
        <v>#NAME?</v>
      </c>
      <c r="K1062" s="274">
        <f t="shared" si="13"/>
        <v>0</v>
      </c>
      <c r="N1062" s="274"/>
    </row>
    <row r="1063" spans="5:14" ht="13.5" customHeight="1">
      <c r="E1063" s="209" t="s">
        <v>998</v>
      </c>
      <c r="F1063" s="209" t="s">
        <v>2497</v>
      </c>
      <c r="G1063" s="416" t="str">
        <f t="shared" si="14"/>
        <v>Color Code</v>
      </c>
      <c r="H1063" s="273" t="e">
        <f ca="1">_xludf.IFNA(VLOOKUP(Aragon!E1063,'Kilter Holds'!$P$37:$AB$662,13,0),0)</f>
        <v>#NAME?</v>
      </c>
      <c r="I1063" s="274"/>
      <c r="J1063" s="274" t="e">
        <f t="shared" ca="1" si="12"/>
        <v>#NAME?</v>
      </c>
      <c r="K1063" s="274">
        <f t="shared" si="13"/>
        <v>0</v>
      </c>
      <c r="N1063" s="274"/>
    </row>
    <row r="1064" spans="5:14" ht="13.5" customHeight="1">
      <c r="E1064" s="209" t="s">
        <v>1109</v>
      </c>
      <c r="F1064" s="209" t="s">
        <v>2498</v>
      </c>
      <c r="G1064" s="406" t="str">
        <f t="shared" si="14"/>
        <v>11-12</v>
      </c>
      <c r="H1064" s="273" t="e">
        <f ca="1">_xludf.IFNA(VLOOKUP(Aragon!E1064,'Kilter Holds'!$P$37:$AB$662,5,0),0)</f>
        <v>#NAME?</v>
      </c>
      <c r="I1064" s="274"/>
      <c r="J1064" s="274" t="e">
        <f t="shared" ca="1" si="12"/>
        <v>#NAME?</v>
      </c>
      <c r="K1064" s="274">
        <f t="shared" si="13"/>
        <v>0</v>
      </c>
      <c r="N1064" s="274"/>
    </row>
    <row r="1065" spans="5:14" ht="13.5" customHeight="1">
      <c r="E1065" s="209" t="s">
        <v>1109</v>
      </c>
      <c r="F1065" s="209" t="s">
        <v>2498</v>
      </c>
      <c r="G1065" s="408" t="str">
        <f t="shared" si="14"/>
        <v>14-01</v>
      </c>
      <c r="H1065" s="273" t="e">
        <f ca="1">_xludf.IFNA(VLOOKUP(Aragon!E1065,'Kilter Holds'!$P$37:$AB$662,6,0),0)</f>
        <v>#NAME?</v>
      </c>
      <c r="I1065" s="274"/>
      <c r="J1065" s="274" t="e">
        <f t="shared" ca="1" si="12"/>
        <v>#NAME?</v>
      </c>
      <c r="K1065" s="274">
        <f t="shared" si="13"/>
        <v>0</v>
      </c>
      <c r="N1065" s="274"/>
    </row>
    <row r="1066" spans="5:14" ht="13.5" customHeight="1">
      <c r="E1066" s="209" t="s">
        <v>1109</v>
      </c>
      <c r="F1066" s="209" t="s">
        <v>2498</v>
      </c>
      <c r="G1066" s="409" t="str">
        <f t="shared" si="14"/>
        <v>15-12</v>
      </c>
      <c r="H1066" s="273" t="e">
        <f ca="1">_xludf.IFNA(VLOOKUP(Aragon!E1066,'Kilter Holds'!$P$37:$AB$662,7,0),0)</f>
        <v>#NAME?</v>
      </c>
      <c r="I1066" s="274"/>
      <c r="J1066" s="274" t="e">
        <f t="shared" ca="1" si="12"/>
        <v>#NAME?</v>
      </c>
      <c r="K1066" s="274">
        <f t="shared" si="13"/>
        <v>0</v>
      </c>
      <c r="N1066" s="274"/>
    </row>
    <row r="1067" spans="5:14" ht="13.5" customHeight="1">
      <c r="E1067" s="209" t="s">
        <v>1109</v>
      </c>
      <c r="F1067" s="209" t="s">
        <v>2498</v>
      </c>
      <c r="G1067" s="410" t="str">
        <f t="shared" si="14"/>
        <v>16-16</v>
      </c>
      <c r="H1067" s="273" t="e">
        <f ca="1">_xludf.IFNA(VLOOKUP(Aragon!E1067,'Kilter Holds'!$P$37:$AB$662,8,0),0)</f>
        <v>#NAME?</v>
      </c>
      <c r="I1067" s="274"/>
      <c r="J1067" s="274" t="e">
        <f t="shared" ca="1" si="12"/>
        <v>#NAME?</v>
      </c>
      <c r="K1067" s="274">
        <f t="shared" si="13"/>
        <v>0</v>
      </c>
      <c r="N1067" s="274"/>
    </row>
    <row r="1068" spans="5:14" ht="13.5" customHeight="1">
      <c r="E1068" s="209" t="s">
        <v>1109</v>
      </c>
      <c r="F1068" s="209" t="s">
        <v>2498</v>
      </c>
      <c r="G1068" s="411" t="str">
        <f t="shared" si="14"/>
        <v>13-01</v>
      </c>
      <c r="H1068" s="273" t="e">
        <f ca="1">_xludf.IFNA(VLOOKUP(Aragon!E1068,'Kilter Holds'!$P$37:$AB$662,9,0),0)</f>
        <v>#NAME?</v>
      </c>
      <c r="I1068" s="274"/>
      <c r="J1068" s="274" t="e">
        <f t="shared" ca="1" si="12"/>
        <v>#NAME?</v>
      </c>
      <c r="K1068" s="274">
        <f t="shared" si="13"/>
        <v>0</v>
      </c>
      <c r="N1068" s="274"/>
    </row>
    <row r="1069" spans="5:14" ht="13.5" customHeight="1">
      <c r="E1069" s="209" t="s">
        <v>1109</v>
      </c>
      <c r="F1069" s="209" t="s">
        <v>2498</v>
      </c>
      <c r="G1069" s="413" t="str">
        <f t="shared" si="14"/>
        <v>07-13</v>
      </c>
      <c r="H1069" s="273" t="e">
        <f ca="1">_xludf.IFNA(VLOOKUP(Aragon!E1069,'Kilter Holds'!$P$37:$AB$662,10,0),0)</f>
        <v>#NAME?</v>
      </c>
      <c r="I1069" s="274"/>
      <c r="J1069" s="274" t="e">
        <f t="shared" ca="1" si="12"/>
        <v>#NAME?</v>
      </c>
      <c r="K1069" s="274">
        <f t="shared" si="13"/>
        <v>0</v>
      </c>
      <c r="N1069" s="274"/>
    </row>
    <row r="1070" spans="5:14" ht="13.5" customHeight="1">
      <c r="E1070" s="209" t="s">
        <v>1109</v>
      </c>
      <c r="F1070" s="209" t="s">
        <v>2498</v>
      </c>
      <c r="G1070" s="414" t="str">
        <f t="shared" si="14"/>
        <v>11-26</v>
      </c>
      <c r="H1070" s="273" t="e">
        <f ca="1">_xludf.IFNA(VLOOKUP(Aragon!E1070,'Kilter Holds'!$P$37:$AB$662,11,0),0)</f>
        <v>#NAME?</v>
      </c>
      <c r="I1070" s="274"/>
      <c r="J1070" s="274" t="e">
        <f t="shared" ca="1" si="12"/>
        <v>#NAME?</v>
      </c>
      <c r="K1070" s="274">
        <f t="shared" si="13"/>
        <v>0</v>
      </c>
      <c r="N1070" s="274"/>
    </row>
    <row r="1071" spans="5:14" ht="13.5" customHeight="1">
      <c r="E1071" s="209" t="s">
        <v>1109</v>
      </c>
      <c r="F1071" s="209" t="s">
        <v>2498</v>
      </c>
      <c r="G1071" s="415" t="str">
        <f t="shared" si="14"/>
        <v>18-01</v>
      </c>
      <c r="H1071" s="273" t="e">
        <f ca="1">_xludf.IFNA(VLOOKUP(Aragon!E1071,'Kilter Holds'!$P$37:$AB$662,12,0),0)</f>
        <v>#NAME?</v>
      </c>
      <c r="I1071" s="274"/>
      <c r="J1071" s="274" t="e">
        <f t="shared" ca="1" si="12"/>
        <v>#NAME?</v>
      </c>
      <c r="K1071" s="274">
        <f t="shared" si="13"/>
        <v>0</v>
      </c>
      <c r="N1071" s="274"/>
    </row>
    <row r="1072" spans="5:14" ht="13.5" customHeight="1">
      <c r="E1072" s="209" t="s">
        <v>1109</v>
      </c>
      <c r="F1072" s="209" t="s">
        <v>2498</v>
      </c>
      <c r="G1072" s="416" t="str">
        <f t="shared" si="14"/>
        <v>Color Code</v>
      </c>
      <c r="H1072" s="273" t="e">
        <f ca="1">_xludf.IFNA(VLOOKUP(Aragon!E1072,'Kilter Holds'!$P$37:$AB$662,13,0),0)</f>
        <v>#NAME?</v>
      </c>
      <c r="I1072" s="274"/>
      <c r="J1072" s="274" t="e">
        <f t="shared" ca="1" si="12"/>
        <v>#NAME?</v>
      </c>
      <c r="K1072" s="274">
        <f t="shared" si="13"/>
        <v>0</v>
      </c>
      <c r="N1072" s="274"/>
    </row>
    <row r="1073" spans="5:14" ht="13.5" customHeight="1">
      <c r="E1073" s="209" t="s">
        <v>1111</v>
      </c>
      <c r="F1073" s="209" t="s">
        <v>2499</v>
      </c>
      <c r="G1073" s="406" t="str">
        <f t="shared" si="14"/>
        <v>11-12</v>
      </c>
      <c r="H1073" s="273" t="e">
        <f ca="1">_xludf.IFNA(VLOOKUP(Aragon!E1073,'Kilter Holds'!$P$37:$AB$662,5,0),0)</f>
        <v>#NAME?</v>
      </c>
      <c r="I1073" s="274"/>
      <c r="J1073" s="274" t="e">
        <f t="shared" ca="1" si="12"/>
        <v>#NAME?</v>
      </c>
      <c r="K1073" s="274">
        <f t="shared" si="13"/>
        <v>0</v>
      </c>
      <c r="N1073" s="274"/>
    </row>
    <row r="1074" spans="5:14" ht="13.5" customHeight="1">
      <c r="E1074" s="209" t="s">
        <v>1111</v>
      </c>
      <c r="F1074" s="209" t="s">
        <v>2499</v>
      </c>
      <c r="G1074" s="408" t="str">
        <f t="shared" si="14"/>
        <v>14-01</v>
      </c>
      <c r="H1074" s="273" t="e">
        <f ca="1">_xludf.IFNA(VLOOKUP(Aragon!E1074,'Kilter Holds'!$P$37:$AB$662,6,0),0)</f>
        <v>#NAME?</v>
      </c>
      <c r="I1074" s="274"/>
      <c r="J1074" s="274" t="e">
        <f t="shared" ca="1" si="12"/>
        <v>#NAME?</v>
      </c>
      <c r="K1074" s="274">
        <f t="shared" si="13"/>
        <v>0</v>
      </c>
      <c r="N1074" s="274"/>
    </row>
    <row r="1075" spans="5:14" ht="13.5" customHeight="1">
      <c r="E1075" s="209" t="s">
        <v>1111</v>
      </c>
      <c r="F1075" s="209" t="s">
        <v>2499</v>
      </c>
      <c r="G1075" s="409" t="str">
        <f t="shared" si="14"/>
        <v>15-12</v>
      </c>
      <c r="H1075" s="273" t="e">
        <f ca="1">_xludf.IFNA(VLOOKUP(Aragon!E1075,'Kilter Holds'!$P$37:$AB$662,7,0),0)</f>
        <v>#NAME?</v>
      </c>
      <c r="I1075" s="274"/>
      <c r="J1075" s="274" t="e">
        <f t="shared" ca="1" si="12"/>
        <v>#NAME?</v>
      </c>
      <c r="K1075" s="274">
        <f t="shared" si="13"/>
        <v>0</v>
      </c>
      <c r="N1075" s="274"/>
    </row>
    <row r="1076" spans="5:14" ht="13.5" customHeight="1">
      <c r="E1076" s="209" t="s">
        <v>1111</v>
      </c>
      <c r="F1076" s="209" t="s">
        <v>2499</v>
      </c>
      <c r="G1076" s="410" t="str">
        <f t="shared" si="14"/>
        <v>16-16</v>
      </c>
      <c r="H1076" s="273" t="e">
        <f ca="1">_xludf.IFNA(VLOOKUP(Aragon!E1076,'Kilter Holds'!$P$37:$AB$662,8,0),0)</f>
        <v>#NAME?</v>
      </c>
      <c r="I1076" s="274"/>
      <c r="J1076" s="274" t="e">
        <f t="shared" ca="1" si="12"/>
        <v>#NAME?</v>
      </c>
      <c r="K1076" s="274">
        <f t="shared" si="13"/>
        <v>0</v>
      </c>
      <c r="N1076" s="274"/>
    </row>
    <row r="1077" spans="5:14" ht="13.5" customHeight="1">
      <c r="E1077" s="209" t="s">
        <v>1111</v>
      </c>
      <c r="F1077" s="209" t="s">
        <v>2499</v>
      </c>
      <c r="G1077" s="411" t="str">
        <f t="shared" si="14"/>
        <v>13-01</v>
      </c>
      <c r="H1077" s="273" t="e">
        <f ca="1">_xludf.IFNA(VLOOKUP(Aragon!E1077,'Kilter Holds'!$P$37:$AB$662,9,0),0)</f>
        <v>#NAME?</v>
      </c>
      <c r="I1077" s="274"/>
      <c r="J1077" s="274" t="e">
        <f t="shared" ca="1" si="12"/>
        <v>#NAME?</v>
      </c>
      <c r="K1077" s="274">
        <f t="shared" si="13"/>
        <v>0</v>
      </c>
      <c r="N1077" s="274"/>
    </row>
    <row r="1078" spans="5:14" ht="13.5" customHeight="1">
      <c r="E1078" s="209" t="s">
        <v>1111</v>
      </c>
      <c r="F1078" s="209" t="s">
        <v>2499</v>
      </c>
      <c r="G1078" s="413" t="str">
        <f t="shared" si="14"/>
        <v>07-13</v>
      </c>
      <c r="H1078" s="273" t="e">
        <f ca="1">_xludf.IFNA(VLOOKUP(Aragon!E1078,'Kilter Holds'!$P$37:$AB$662,10,0),0)</f>
        <v>#NAME?</v>
      </c>
      <c r="I1078" s="274"/>
      <c r="J1078" s="274" t="e">
        <f t="shared" ca="1" si="12"/>
        <v>#NAME?</v>
      </c>
      <c r="K1078" s="274">
        <f t="shared" si="13"/>
        <v>0</v>
      </c>
      <c r="N1078" s="274"/>
    </row>
    <row r="1079" spans="5:14" ht="13.5" customHeight="1">
      <c r="E1079" s="209" t="s">
        <v>1111</v>
      </c>
      <c r="F1079" s="209" t="s">
        <v>2499</v>
      </c>
      <c r="G1079" s="414" t="str">
        <f t="shared" si="14"/>
        <v>11-26</v>
      </c>
      <c r="H1079" s="273" t="e">
        <f ca="1">_xludf.IFNA(VLOOKUP(Aragon!E1079,'Kilter Holds'!$P$37:$AB$662,11,0),0)</f>
        <v>#NAME?</v>
      </c>
      <c r="I1079" s="274"/>
      <c r="J1079" s="274" t="e">
        <f t="shared" ca="1" si="12"/>
        <v>#NAME?</v>
      </c>
      <c r="K1079" s="274">
        <f t="shared" si="13"/>
        <v>0</v>
      </c>
      <c r="N1079" s="274"/>
    </row>
    <row r="1080" spans="5:14" ht="13.5" customHeight="1">
      <c r="E1080" s="209" t="s">
        <v>1111</v>
      </c>
      <c r="F1080" s="209" t="s">
        <v>2499</v>
      </c>
      <c r="G1080" s="415" t="str">
        <f t="shared" si="14"/>
        <v>18-01</v>
      </c>
      <c r="H1080" s="273" t="e">
        <f ca="1">_xludf.IFNA(VLOOKUP(Aragon!E1080,'Kilter Holds'!$P$37:$AB$662,12,0),0)</f>
        <v>#NAME?</v>
      </c>
      <c r="I1080" s="274"/>
      <c r="J1080" s="274" t="e">
        <f t="shared" ca="1" si="12"/>
        <v>#NAME?</v>
      </c>
      <c r="K1080" s="274">
        <f t="shared" si="13"/>
        <v>0</v>
      </c>
      <c r="N1080" s="274"/>
    </row>
    <row r="1081" spans="5:14" ht="13.5" customHeight="1">
      <c r="E1081" s="209" t="s">
        <v>1111</v>
      </c>
      <c r="F1081" s="209" t="s">
        <v>2499</v>
      </c>
      <c r="G1081" s="416" t="str">
        <f t="shared" si="14"/>
        <v>Color Code</v>
      </c>
      <c r="H1081" s="273" t="e">
        <f ca="1">_xludf.IFNA(VLOOKUP(Aragon!E1081,'Kilter Holds'!$P$37:$AB$662,13,0),0)</f>
        <v>#NAME?</v>
      </c>
      <c r="I1081" s="274"/>
      <c r="J1081" s="274" t="e">
        <f t="shared" ca="1" si="12"/>
        <v>#NAME?</v>
      </c>
      <c r="K1081" s="274">
        <f t="shared" si="13"/>
        <v>0</v>
      </c>
      <c r="N1081" s="274"/>
    </row>
    <row r="1082" spans="5:14" ht="13.5" customHeight="1">
      <c r="E1082" s="209" t="s">
        <v>1113</v>
      </c>
      <c r="F1082" s="209" t="s">
        <v>2500</v>
      </c>
      <c r="G1082" s="406" t="str">
        <f t="shared" si="14"/>
        <v>11-12</v>
      </c>
      <c r="H1082" s="273" t="e">
        <f ca="1">_xludf.IFNA(VLOOKUP(Aragon!E1082,'Kilter Holds'!$P$37:$AB$662,5,0),0)</f>
        <v>#NAME?</v>
      </c>
      <c r="I1082" s="274"/>
      <c r="J1082" s="274" t="e">
        <f t="shared" ca="1" si="12"/>
        <v>#NAME?</v>
      </c>
      <c r="K1082" s="274">
        <f t="shared" si="13"/>
        <v>0</v>
      </c>
      <c r="N1082" s="274"/>
    </row>
    <row r="1083" spans="5:14" ht="13.5" customHeight="1">
      <c r="E1083" s="209" t="s">
        <v>1113</v>
      </c>
      <c r="F1083" s="209" t="s">
        <v>2500</v>
      </c>
      <c r="G1083" s="408" t="str">
        <f t="shared" si="14"/>
        <v>14-01</v>
      </c>
      <c r="H1083" s="273" t="e">
        <f ca="1">_xludf.IFNA(VLOOKUP(Aragon!E1083,'Kilter Holds'!$P$37:$AB$662,6,0),0)</f>
        <v>#NAME?</v>
      </c>
      <c r="I1083" s="274"/>
      <c r="J1083" s="274" t="e">
        <f t="shared" ca="1" si="12"/>
        <v>#NAME?</v>
      </c>
      <c r="K1083" s="274">
        <f t="shared" si="13"/>
        <v>0</v>
      </c>
      <c r="N1083" s="274"/>
    </row>
    <row r="1084" spans="5:14" ht="13.5" customHeight="1">
      <c r="E1084" s="209" t="s">
        <v>1113</v>
      </c>
      <c r="F1084" s="209" t="s">
        <v>2500</v>
      </c>
      <c r="G1084" s="409" t="str">
        <f t="shared" si="14"/>
        <v>15-12</v>
      </c>
      <c r="H1084" s="273" t="e">
        <f ca="1">_xludf.IFNA(VLOOKUP(Aragon!E1084,'Kilter Holds'!$P$37:$AB$662,7,0),0)</f>
        <v>#NAME?</v>
      </c>
      <c r="I1084" s="274"/>
      <c r="J1084" s="274" t="e">
        <f t="shared" ca="1" si="12"/>
        <v>#NAME?</v>
      </c>
      <c r="K1084" s="274">
        <f t="shared" si="13"/>
        <v>0</v>
      </c>
      <c r="N1084" s="274"/>
    </row>
    <row r="1085" spans="5:14" ht="13.5" customHeight="1">
      <c r="E1085" s="209" t="s">
        <v>1113</v>
      </c>
      <c r="F1085" s="209" t="s">
        <v>2500</v>
      </c>
      <c r="G1085" s="410" t="str">
        <f t="shared" si="14"/>
        <v>16-16</v>
      </c>
      <c r="H1085" s="273" t="e">
        <f ca="1">_xludf.IFNA(VLOOKUP(Aragon!E1085,'Kilter Holds'!$P$37:$AB$662,8,0),0)</f>
        <v>#NAME?</v>
      </c>
      <c r="I1085" s="274"/>
      <c r="J1085" s="274" t="e">
        <f t="shared" ca="1" si="12"/>
        <v>#NAME?</v>
      </c>
      <c r="K1085" s="274">
        <f t="shared" si="13"/>
        <v>0</v>
      </c>
      <c r="N1085" s="274"/>
    </row>
    <row r="1086" spans="5:14" ht="13.5" customHeight="1">
      <c r="E1086" s="209" t="s">
        <v>1113</v>
      </c>
      <c r="F1086" s="209" t="s">
        <v>2500</v>
      </c>
      <c r="G1086" s="411" t="str">
        <f t="shared" si="14"/>
        <v>13-01</v>
      </c>
      <c r="H1086" s="273" t="e">
        <f ca="1">_xludf.IFNA(VLOOKUP(Aragon!E1086,'Kilter Holds'!$P$37:$AB$662,9,0),0)</f>
        <v>#NAME?</v>
      </c>
      <c r="I1086" s="274"/>
      <c r="J1086" s="274" t="e">
        <f t="shared" ca="1" si="12"/>
        <v>#NAME?</v>
      </c>
      <c r="K1086" s="274">
        <f t="shared" si="13"/>
        <v>0</v>
      </c>
      <c r="N1086" s="274"/>
    </row>
    <row r="1087" spans="5:14" ht="13.5" customHeight="1">
      <c r="E1087" s="209" t="s">
        <v>1113</v>
      </c>
      <c r="F1087" s="209" t="s">
        <v>2500</v>
      </c>
      <c r="G1087" s="413" t="str">
        <f t="shared" si="14"/>
        <v>07-13</v>
      </c>
      <c r="H1087" s="273" t="e">
        <f ca="1">_xludf.IFNA(VLOOKUP(Aragon!E1087,'Kilter Holds'!$P$37:$AB$662,10,0),0)</f>
        <v>#NAME?</v>
      </c>
      <c r="I1087" s="274"/>
      <c r="J1087" s="274" t="e">
        <f t="shared" ca="1" si="12"/>
        <v>#NAME?</v>
      </c>
      <c r="K1087" s="274">
        <f t="shared" si="13"/>
        <v>0</v>
      </c>
      <c r="N1087" s="274"/>
    </row>
    <row r="1088" spans="5:14" ht="13.5" customHeight="1">
      <c r="E1088" s="209" t="s">
        <v>1113</v>
      </c>
      <c r="F1088" s="209" t="s">
        <v>2500</v>
      </c>
      <c r="G1088" s="414" t="str">
        <f t="shared" si="14"/>
        <v>11-26</v>
      </c>
      <c r="H1088" s="273" t="e">
        <f ca="1">_xludf.IFNA(VLOOKUP(Aragon!E1088,'Kilter Holds'!$P$37:$AB$662,11,0),0)</f>
        <v>#NAME?</v>
      </c>
      <c r="I1088" s="274"/>
      <c r="J1088" s="274" t="e">
        <f t="shared" ca="1" si="12"/>
        <v>#NAME?</v>
      </c>
      <c r="K1088" s="274">
        <f t="shared" si="13"/>
        <v>0</v>
      </c>
      <c r="N1088" s="274"/>
    </row>
    <row r="1089" spans="5:14" ht="13.5" customHeight="1">
      <c r="E1089" s="209" t="s">
        <v>1113</v>
      </c>
      <c r="F1089" s="209" t="s">
        <v>2500</v>
      </c>
      <c r="G1089" s="415" t="str">
        <f t="shared" si="14"/>
        <v>18-01</v>
      </c>
      <c r="H1089" s="273" t="e">
        <f ca="1">_xludf.IFNA(VLOOKUP(Aragon!E1089,'Kilter Holds'!$P$37:$AB$662,12,0),0)</f>
        <v>#NAME?</v>
      </c>
      <c r="I1089" s="274"/>
      <c r="J1089" s="274" t="e">
        <f t="shared" ca="1" si="12"/>
        <v>#NAME?</v>
      </c>
      <c r="K1089" s="274">
        <f t="shared" si="13"/>
        <v>0</v>
      </c>
      <c r="N1089" s="274"/>
    </row>
    <row r="1090" spans="5:14" ht="13.5" customHeight="1">
      <c r="E1090" s="209" t="s">
        <v>1113</v>
      </c>
      <c r="F1090" s="209" t="s">
        <v>2500</v>
      </c>
      <c r="G1090" s="416" t="str">
        <f t="shared" si="14"/>
        <v>Color Code</v>
      </c>
      <c r="H1090" s="273" t="e">
        <f ca="1">_xludf.IFNA(VLOOKUP(Aragon!E1090,'Kilter Holds'!$P$37:$AB$662,13,0),0)</f>
        <v>#NAME?</v>
      </c>
      <c r="I1090" s="274"/>
      <c r="J1090" s="274" t="e">
        <f t="shared" ca="1" si="12"/>
        <v>#NAME?</v>
      </c>
      <c r="K1090" s="274">
        <f t="shared" si="13"/>
        <v>0</v>
      </c>
      <c r="N1090" s="274"/>
    </row>
    <row r="1091" spans="5:14" ht="13.5" customHeight="1">
      <c r="E1091" s="209" t="s">
        <v>1028</v>
      </c>
      <c r="F1091" s="209" t="s">
        <v>2501</v>
      </c>
      <c r="G1091" s="406" t="str">
        <f t="shared" si="14"/>
        <v>11-12</v>
      </c>
      <c r="H1091" s="273" t="e">
        <f ca="1">_xludf.IFNA(VLOOKUP(Aragon!E1091,'Kilter Holds'!$P$37:$AB$662,5,0),0)</f>
        <v>#NAME?</v>
      </c>
      <c r="I1091" s="274"/>
      <c r="J1091" s="274" t="e">
        <f t="shared" ca="1" si="12"/>
        <v>#NAME?</v>
      </c>
      <c r="K1091" s="274">
        <f t="shared" si="13"/>
        <v>0</v>
      </c>
      <c r="N1091" s="274"/>
    </row>
    <row r="1092" spans="5:14" ht="13.5" customHeight="1">
      <c r="E1092" s="209" t="s">
        <v>1028</v>
      </c>
      <c r="F1092" s="209" t="s">
        <v>2501</v>
      </c>
      <c r="G1092" s="408" t="str">
        <f t="shared" si="14"/>
        <v>14-01</v>
      </c>
      <c r="H1092" s="273" t="e">
        <f ca="1">_xludf.IFNA(VLOOKUP(Aragon!E1092,'Kilter Holds'!$P$37:$AB$662,6,0),0)</f>
        <v>#NAME?</v>
      </c>
      <c r="I1092" s="274"/>
      <c r="J1092" s="274" t="e">
        <f t="shared" ca="1" si="12"/>
        <v>#NAME?</v>
      </c>
      <c r="K1092" s="274">
        <f t="shared" si="13"/>
        <v>0</v>
      </c>
      <c r="N1092" s="274"/>
    </row>
    <row r="1093" spans="5:14" ht="13.5" customHeight="1">
      <c r="E1093" s="209" t="s">
        <v>1028</v>
      </c>
      <c r="F1093" s="209" t="s">
        <v>2501</v>
      </c>
      <c r="G1093" s="409" t="str">
        <f t="shared" si="14"/>
        <v>15-12</v>
      </c>
      <c r="H1093" s="273" t="e">
        <f ca="1">_xludf.IFNA(VLOOKUP(Aragon!E1093,'Kilter Holds'!$P$37:$AB$662,7,0),0)</f>
        <v>#NAME?</v>
      </c>
      <c r="I1093" s="274"/>
      <c r="J1093" s="274" t="e">
        <f t="shared" ca="1" si="12"/>
        <v>#NAME?</v>
      </c>
      <c r="K1093" s="274">
        <f t="shared" si="13"/>
        <v>0</v>
      </c>
      <c r="N1093" s="274"/>
    </row>
    <row r="1094" spans="5:14" ht="13.5" customHeight="1">
      <c r="E1094" s="209" t="s">
        <v>1028</v>
      </c>
      <c r="F1094" s="209" t="s">
        <v>2501</v>
      </c>
      <c r="G1094" s="410" t="str">
        <f t="shared" si="14"/>
        <v>16-16</v>
      </c>
      <c r="H1094" s="273" t="e">
        <f ca="1">_xludf.IFNA(VLOOKUP(Aragon!E1094,'Kilter Holds'!$P$37:$AB$662,8,0),0)</f>
        <v>#NAME?</v>
      </c>
      <c r="I1094" s="274"/>
      <c r="J1094" s="274" t="e">
        <f t="shared" ca="1" si="12"/>
        <v>#NAME?</v>
      </c>
      <c r="K1094" s="274">
        <f t="shared" si="13"/>
        <v>0</v>
      </c>
      <c r="N1094" s="274"/>
    </row>
    <row r="1095" spans="5:14" ht="13.5" customHeight="1">
      <c r="E1095" s="209" t="s">
        <v>1028</v>
      </c>
      <c r="F1095" s="209" t="s">
        <v>2501</v>
      </c>
      <c r="G1095" s="411" t="str">
        <f t="shared" si="14"/>
        <v>13-01</v>
      </c>
      <c r="H1095" s="273" t="e">
        <f ca="1">_xludf.IFNA(VLOOKUP(Aragon!E1095,'Kilter Holds'!$P$37:$AB$662,9,0),0)</f>
        <v>#NAME?</v>
      </c>
      <c r="I1095" s="274"/>
      <c r="J1095" s="274" t="e">
        <f t="shared" ca="1" si="12"/>
        <v>#NAME?</v>
      </c>
      <c r="K1095" s="274">
        <f t="shared" si="13"/>
        <v>0</v>
      </c>
      <c r="N1095" s="274"/>
    </row>
    <row r="1096" spans="5:14" ht="13.5" customHeight="1">
      <c r="E1096" s="209" t="s">
        <v>1028</v>
      </c>
      <c r="F1096" s="209" t="s">
        <v>2501</v>
      </c>
      <c r="G1096" s="413" t="str">
        <f t="shared" si="14"/>
        <v>07-13</v>
      </c>
      <c r="H1096" s="273" t="e">
        <f ca="1">_xludf.IFNA(VLOOKUP(Aragon!E1096,'Kilter Holds'!$P$37:$AB$662,10,0),0)</f>
        <v>#NAME?</v>
      </c>
      <c r="I1096" s="274"/>
      <c r="J1096" s="274" t="e">
        <f t="shared" ca="1" si="12"/>
        <v>#NAME?</v>
      </c>
      <c r="K1096" s="274">
        <f t="shared" si="13"/>
        <v>0</v>
      </c>
      <c r="N1096" s="274"/>
    </row>
    <row r="1097" spans="5:14" ht="13.5" customHeight="1">
      <c r="E1097" s="209" t="s">
        <v>1028</v>
      </c>
      <c r="F1097" s="209" t="s">
        <v>2501</v>
      </c>
      <c r="G1097" s="414" t="str">
        <f t="shared" si="14"/>
        <v>11-26</v>
      </c>
      <c r="H1097" s="273" t="e">
        <f ca="1">_xludf.IFNA(VLOOKUP(Aragon!E1097,'Kilter Holds'!$P$37:$AB$662,11,0),0)</f>
        <v>#NAME?</v>
      </c>
      <c r="I1097" s="274"/>
      <c r="J1097" s="274" t="e">
        <f t="shared" ca="1" si="12"/>
        <v>#NAME?</v>
      </c>
      <c r="K1097" s="274">
        <f t="shared" si="13"/>
        <v>0</v>
      </c>
      <c r="N1097" s="274"/>
    </row>
    <row r="1098" spans="5:14" ht="13.5" customHeight="1">
      <c r="E1098" s="209" t="s">
        <v>1028</v>
      </c>
      <c r="F1098" s="209" t="s">
        <v>2501</v>
      </c>
      <c r="G1098" s="415" t="str">
        <f t="shared" si="14"/>
        <v>18-01</v>
      </c>
      <c r="H1098" s="273" t="e">
        <f ca="1">_xludf.IFNA(VLOOKUP(Aragon!E1098,'Kilter Holds'!$P$37:$AB$662,12,0),0)</f>
        <v>#NAME?</v>
      </c>
      <c r="I1098" s="274"/>
      <c r="J1098" s="274" t="e">
        <f t="shared" ca="1" si="12"/>
        <v>#NAME?</v>
      </c>
      <c r="K1098" s="274">
        <f t="shared" si="13"/>
        <v>0</v>
      </c>
      <c r="N1098" s="274"/>
    </row>
    <row r="1099" spans="5:14" ht="13.5" customHeight="1">
      <c r="E1099" s="209" t="s">
        <v>1028</v>
      </c>
      <c r="F1099" s="209" t="s">
        <v>2501</v>
      </c>
      <c r="G1099" s="416" t="str">
        <f t="shared" si="14"/>
        <v>Color Code</v>
      </c>
      <c r="H1099" s="273" t="e">
        <f ca="1">_xludf.IFNA(VLOOKUP(Aragon!E1099,'Kilter Holds'!$P$37:$AB$662,13,0),0)</f>
        <v>#NAME?</v>
      </c>
      <c r="I1099" s="274"/>
      <c r="J1099" s="274" t="e">
        <f t="shared" ca="1" si="12"/>
        <v>#NAME?</v>
      </c>
      <c r="K1099" s="274">
        <f t="shared" si="13"/>
        <v>0</v>
      </c>
      <c r="N1099" s="274"/>
    </row>
    <row r="1100" spans="5:14" ht="13.5" customHeight="1">
      <c r="E1100" s="209" t="s">
        <v>1141</v>
      </c>
      <c r="F1100" s="209" t="s">
        <v>2502</v>
      </c>
      <c r="G1100" s="406" t="str">
        <f t="shared" si="14"/>
        <v>11-12</v>
      </c>
      <c r="H1100" s="273" t="e">
        <f ca="1">_xludf.IFNA(VLOOKUP(Aragon!E1100,'Kilter Holds'!$P$37:$AB$662,5,0),0)</f>
        <v>#NAME?</v>
      </c>
      <c r="I1100" s="274"/>
      <c r="J1100" s="274" t="e">
        <f t="shared" ca="1" si="12"/>
        <v>#NAME?</v>
      </c>
      <c r="K1100" s="274">
        <f t="shared" si="13"/>
        <v>0</v>
      </c>
      <c r="N1100" s="274"/>
    </row>
    <row r="1101" spans="5:14" ht="13.5" customHeight="1">
      <c r="E1101" s="209" t="s">
        <v>1141</v>
      </c>
      <c r="F1101" s="209" t="s">
        <v>2502</v>
      </c>
      <c r="G1101" s="408" t="str">
        <f t="shared" si="14"/>
        <v>14-01</v>
      </c>
      <c r="H1101" s="273" t="e">
        <f ca="1">_xludf.IFNA(VLOOKUP(Aragon!E1101,'Kilter Holds'!$P$37:$AB$662,6,0),0)</f>
        <v>#NAME?</v>
      </c>
      <c r="I1101" s="274"/>
      <c r="J1101" s="274" t="e">
        <f t="shared" ca="1" si="12"/>
        <v>#NAME?</v>
      </c>
      <c r="K1101" s="274">
        <f t="shared" si="13"/>
        <v>0</v>
      </c>
      <c r="N1101" s="274"/>
    </row>
    <row r="1102" spans="5:14" ht="13.5" customHeight="1">
      <c r="E1102" s="209" t="s">
        <v>1141</v>
      </c>
      <c r="F1102" s="209" t="s">
        <v>2502</v>
      </c>
      <c r="G1102" s="409" t="str">
        <f t="shared" si="14"/>
        <v>15-12</v>
      </c>
      <c r="H1102" s="273" t="e">
        <f ca="1">_xludf.IFNA(VLOOKUP(Aragon!E1102,'Kilter Holds'!$P$37:$AB$662,7,0),0)</f>
        <v>#NAME?</v>
      </c>
      <c r="I1102" s="274"/>
      <c r="J1102" s="274" t="e">
        <f t="shared" ca="1" si="12"/>
        <v>#NAME?</v>
      </c>
      <c r="K1102" s="274">
        <f t="shared" si="13"/>
        <v>0</v>
      </c>
      <c r="N1102" s="274"/>
    </row>
    <row r="1103" spans="5:14" ht="13.5" customHeight="1">
      <c r="E1103" s="209" t="s">
        <v>1141</v>
      </c>
      <c r="F1103" s="209" t="s">
        <v>2502</v>
      </c>
      <c r="G1103" s="410" t="str">
        <f t="shared" si="14"/>
        <v>16-16</v>
      </c>
      <c r="H1103" s="273" t="e">
        <f ca="1">_xludf.IFNA(VLOOKUP(Aragon!E1103,'Kilter Holds'!$P$37:$AB$662,8,0),0)</f>
        <v>#NAME?</v>
      </c>
      <c r="I1103" s="274"/>
      <c r="J1103" s="274" t="e">
        <f t="shared" ca="1" si="12"/>
        <v>#NAME?</v>
      </c>
      <c r="K1103" s="274">
        <f t="shared" si="13"/>
        <v>0</v>
      </c>
      <c r="N1103" s="274"/>
    </row>
    <row r="1104" spans="5:14" ht="13.5" customHeight="1">
      <c r="E1104" s="209" t="s">
        <v>1141</v>
      </c>
      <c r="F1104" s="209" t="s">
        <v>2502</v>
      </c>
      <c r="G1104" s="411" t="str">
        <f t="shared" si="14"/>
        <v>13-01</v>
      </c>
      <c r="H1104" s="273" t="e">
        <f ca="1">_xludf.IFNA(VLOOKUP(Aragon!E1104,'Kilter Holds'!$P$37:$AB$662,9,0),0)</f>
        <v>#NAME?</v>
      </c>
      <c r="I1104" s="274"/>
      <c r="J1104" s="274" t="e">
        <f t="shared" ca="1" si="12"/>
        <v>#NAME?</v>
      </c>
      <c r="K1104" s="274">
        <f t="shared" si="13"/>
        <v>0</v>
      </c>
      <c r="N1104" s="274"/>
    </row>
    <row r="1105" spans="5:14" ht="13.5" customHeight="1">
      <c r="E1105" s="209" t="s">
        <v>1141</v>
      </c>
      <c r="F1105" s="209" t="s">
        <v>2502</v>
      </c>
      <c r="G1105" s="413" t="str">
        <f t="shared" si="14"/>
        <v>07-13</v>
      </c>
      <c r="H1105" s="273" t="e">
        <f ca="1">_xludf.IFNA(VLOOKUP(Aragon!E1105,'Kilter Holds'!$P$37:$AB$662,10,0),0)</f>
        <v>#NAME?</v>
      </c>
      <c r="I1105" s="274"/>
      <c r="J1105" s="274" t="e">
        <f t="shared" ca="1" si="12"/>
        <v>#NAME?</v>
      </c>
      <c r="K1105" s="274">
        <f t="shared" si="13"/>
        <v>0</v>
      </c>
      <c r="N1105" s="274"/>
    </row>
    <row r="1106" spans="5:14" ht="13.5" customHeight="1">
      <c r="E1106" s="209" t="s">
        <v>1141</v>
      </c>
      <c r="F1106" s="209" t="s">
        <v>2502</v>
      </c>
      <c r="G1106" s="414" t="str">
        <f t="shared" si="14"/>
        <v>11-26</v>
      </c>
      <c r="H1106" s="273" t="e">
        <f ca="1">_xludf.IFNA(VLOOKUP(Aragon!E1106,'Kilter Holds'!$P$37:$AB$662,11,0),0)</f>
        <v>#NAME?</v>
      </c>
      <c r="I1106" s="274"/>
      <c r="J1106" s="274" t="e">
        <f t="shared" ca="1" si="12"/>
        <v>#NAME?</v>
      </c>
      <c r="K1106" s="274">
        <f t="shared" si="13"/>
        <v>0</v>
      </c>
      <c r="N1106" s="274"/>
    </row>
    <row r="1107" spans="5:14" ht="13.5" customHeight="1">
      <c r="E1107" s="209" t="s">
        <v>1141</v>
      </c>
      <c r="F1107" s="209" t="s">
        <v>2502</v>
      </c>
      <c r="G1107" s="415" t="str">
        <f t="shared" si="14"/>
        <v>18-01</v>
      </c>
      <c r="H1107" s="273" t="e">
        <f ca="1">_xludf.IFNA(VLOOKUP(Aragon!E1107,'Kilter Holds'!$P$37:$AB$662,12,0),0)</f>
        <v>#NAME?</v>
      </c>
      <c r="I1107" s="274"/>
      <c r="J1107" s="274" t="e">
        <f t="shared" ca="1" si="12"/>
        <v>#NAME?</v>
      </c>
      <c r="K1107" s="274">
        <f t="shared" si="13"/>
        <v>0</v>
      </c>
      <c r="N1107" s="274"/>
    </row>
    <row r="1108" spans="5:14" ht="13.5" customHeight="1">
      <c r="E1108" s="209" t="s">
        <v>1141</v>
      </c>
      <c r="F1108" s="209" t="s">
        <v>2502</v>
      </c>
      <c r="G1108" s="416" t="str">
        <f t="shared" si="14"/>
        <v>Color Code</v>
      </c>
      <c r="H1108" s="273" t="e">
        <f ca="1">_xludf.IFNA(VLOOKUP(Aragon!E1108,'Kilter Holds'!$P$37:$AB$662,13,0),0)</f>
        <v>#NAME?</v>
      </c>
      <c r="I1108" s="274"/>
      <c r="J1108" s="274" t="e">
        <f t="shared" ca="1" si="12"/>
        <v>#NAME?</v>
      </c>
      <c r="K1108" s="274">
        <f t="shared" si="13"/>
        <v>0</v>
      </c>
      <c r="N1108" s="274"/>
    </row>
    <row r="1109" spans="5:14" ht="13.5" customHeight="1">
      <c r="E1109" s="209" t="s">
        <v>1179</v>
      </c>
      <c r="F1109" s="209" t="s">
        <v>2503</v>
      </c>
      <c r="G1109" s="406" t="str">
        <f t="shared" si="14"/>
        <v>11-12</v>
      </c>
      <c r="H1109" s="273" t="e">
        <f ca="1">_xludf.IFNA(VLOOKUP(Aragon!E1109,'Kilter Holds'!$P$37:$AB$662,5,0),0)</f>
        <v>#NAME?</v>
      </c>
      <c r="I1109" s="274"/>
      <c r="J1109" s="274" t="e">
        <f t="shared" ca="1" si="12"/>
        <v>#NAME?</v>
      </c>
      <c r="K1109" s="274">
        <f t="shared" si="13"/>
        <v>0</v>
      </c>
      <c r="N1109" s="274"/>
    </row>
    <row r="1110" spans="5:14" ht="13.5" customHeight="1">
      <c r="E1110" s="209" t="s">
        <v>1179</v>
      </c>
      <c r="F1110" s="209" t="s">
        <v>2503</v>
      </c>
      <c r="G1110" s="408" t="str">
        <f t="shared" si="14"/>
        <v>14-01</v>
      </c>
      <c r="H1110" s="273" t="e">
        <f ca="1">_xludf.IFNA(VLOOKUP(Aragon!E1110,'Kilter Holds'!$P$37:$AB$662,6,0),0)</f>
        <v>#NAME?</v>
      </c>
      <c r="I1110" s="274"/>
      <c r="J1110" s="274" t="e">
        <f t="shared" ca="1" si="12"/>
        <v>#NAME?</v>
      </c>
      <c r="K1110" s="274">
        <f t="shared" si="13"/>
        <v>0</v>
      </c>
      <c r="N1110" s="274"/>
    </row>
    <row r="1111" spans="5:14" ht="13.5" customHeight="1">
      <c r="E1111" s="209" t="s">
        <v>1179</v>
      </c>
      <c r="F1111" s="209" t="s">
        <v>2503</v>
      </c>
      <c r="G1111" s="409" t="str">
        <f t="shared" si="14"/>
        <v>15-12</v>
      </c>
      <c r="H1111" s="273" t="e">
        <f ca="1">_xludf.IFNA(VLOOKUP(Aragon!E1111,'Kilter Holds'!$P$37:$AB$662,7,0),0)</f>
        <v>#NAME?</v>
      </c>
      <c r="I1111" s="274"/>
      <c r="J1111" s="274" t="e">
        <f t="shared" ca="1" si="12"/>
        <v>#NAME?</v>
      </c>
      <c r="K1111" s="274">
        <f t="shared" si="13"/>
        <v>0</v>
      </c>
      <c r="N1111" s="274"/>
    </row>
    <row r="1112" spans="5:14" ht="13.5" customHeight="1">
      <c r="E1112" s="209" t="s">
        <v>1179</v>
      </c>
      <c r="F1112" s="209" t="s">
        <v>2503</v>
      </c>
      <c r="G1112" s="410" t="str">
        <f t="shared" si="14"/>
        <v>16-16</v>
      </c>
      <c r="H1112" s="273" t="e">
        <f ca="1">_xludf.IFNA(VLOOKUP(Aragon!E1112,'Kilter Holds'!$P$37:$AB$662,8,0),0)</f>
        <v>#NAME?</v>
      </c>
      <c r="I1112" s="274"/>
      <c r="J1112" s="274" t="e">
        <f t="shared" ca="1" si="12"/>
        <v>#NAME?</v>
      </c>
      <c r="K1112" s="274">
        <f t="shared" si="13"/>
        <v>0</v>
      </c>
      <c r="N1112" s="274"/>
    </row>
    <row r="1113" spans="5:14" ht="13.5" customHeight="1">
      <c r="E1113" s="209" t="s">
        <v>1179</v>
      </c>
      <c r="F1113" s="209" t="s">
        <v>2503</v>
      </c>
      <c r="G1113" s="411" t="str">
        <f t="shared" si="14"/>
        <v>13-01</v>
      </c>
      <c r="H1113" s="273" t="e">
        <f ca="1">_xludf.IFNA(VLOOKUP(Aragon!E1113,'Kilter Holds'!$P$37:$AB$662,9,0),0)</f>
        <v>#NAME?</v>
      </c>
      <c r="I1113" s="274"/>
      <c r="J1113" s="274" t="e">
        <f t="shared" ca="1" si="12"/>
        <v>#NAME?</v>
      </c>
      <c r="K1113" s="274">
        <f t="shared" si="13"/>
        <v>0</v>
      </c>
      <c r="N1113" s="274"/>
    </row>
    <row r="1114" spans="5:14" ht="13.5" customHeight="1">
      <c r="E1114" s="209" t="s">
        <v>1179</v>
      </c>
      <c r="F1114" s="209" t="s">
        <v>2503</v>
      </c>
      <c r="G1114" s="413" t="str">
        <f t="shared" si="14"/>
        <v>07-13</v>
      </c>
      <c r="H1114" s="273" t="e">
        <f ca="1">_xludf.IFNA(VLOOKUP(Aragon!E1114,'Kilter Holds'!$P$37:$AB$662,10,0),0)</f>
        <v>#NAME?</v>
      </c>
      <c r="I1114" s="274"/>
      <c r="J1114" s="274" t="e">
        <f t="shared" ca="1" si="12"/>
        <v>#NAME?</v>
      </c>
      <c r="K1114" s="274">
        <f t="shared" si="13"/>
        <v>0</v>
      </c>
      <c r="N1114" s="274"/>
    </row>
    <row r="1115" spans="5:14" ht="13.5" customHeight="1">
      <c r="E1115" s="209" t="s">
        <v>1179</v>
      </c>
      <c r="F1115" s="209" t="s">
        <v>2503</v>
      </c>
      <c r="G1115" s="414" t="str">
        <f t="shared" si="14"/>
        <v>11-26</v>
      </c>
      <c r="H1115" s="273" t="e">
        <f ca="1">_xludf.IFNA(VLOOKUP(Aragon!E1115,'Kilter Holds'!$P$37:$AB$662,11,0),0)</f>
        <v>#NAME?</v>
      </c>
      <c r="I1115" s="274"/>
      <c r="J1115" s="274" t="e">
        <f t="shared" ca="1" si="12"/>
        <v>#NAME?</v>
      </c>
      <c r="K1115" s="274">
        <f t="shared" si="13"/>
        <v>0</v>
      </c>
      <c r="N1115" s="274"/>
    </row>
    <row r="1116" spans="5:14" ht="13.5" customHeight="1">
      <c r="E1116" s="209" t="s">
        <v>1179</v>
      </c>
      <c r="F1116" s="209" t="s">
        <v>2503</v>
      </c>
      <c r="G1116" s="415" t="str">
        <f t="shared" si="14"/>
        <v>18-01</v>
      </c>
      <c r="H1116" s="273" t="e">
        <f ca="1">_xludf.IFNA(VLOOKUP(Aragon!E1116,'Kilter Holds'!$P$37:$AB$662,12,0),0)</f>
        <v>#NAME?</v>
      </c>
      <c r="I1116" s="274"/>
      <c r="J1116" s="274" t="e">
        <f t="shared" ca="1" si="12"/>
        <v>#NAME?</v>
      </c>
      <c r="K1116" s="274">
        <f t="shared" si="13"/>
        <v>0</v>
      </c>
      <c r="N1116" s="274"/>
    </row>
    <row r="1117" spans="5:14" ht="13.5" customHeight="1">
      <c r="E1117" s="209" t="s">
        <v>1179</v>
      </c>
      <c r="F1117" s="209" t="s">
        <v>2503</v>
      </c>
      <c r="G1117" s="416" t="str">
        <f t="shared" si="14"/>
        <v>Color Code</v>
      </c>
      <c r="H1117" s="273" t="e">
        <f ca="1">_xludf.IFNA(VLOOKUP(Aragon!E1117,'Kilter Holds'!$P$37:$AB$662,13,0),0)</f>
        <v>#NAME?</v>
      </c>
      <c r="I1117" s="274"/>
      <c r="J1117" s="274" t="e">
        <f t="shared" ca="1" si="12"/>
        <v>#NAME?</v>
      </c>
      <c r="K1117" s="274">
        <f t="shared" si="13"/>
        <v>0</v>
      </c>
      <c r="N1117" s="274"/>
    </row>
    <row r="1118" spans="5:14" ht="13.5" customHeight="1">
      <c r="E1118" s="209" t="s">
        <v>1173</v>
      </c>
      <c r="F1118" s="209" t="s">
        <v>2504</v>
      </c>
      <c r="G1118" s="406" t="str">
        <f t="shared" si="14"/>
        <v>11-12</v>
      </c>
      <c r="H1118" s="273" t="e">
        <f ca="1">_xludf.IFNA(VLOOKUP(Aragon!E1118,'Kilter Holds'!$P$37:$AB$662,5,0),0)</f>
        <v>#NAME?</v>
      </c>
      <c r="I1118" s="274"/>
      <c r="J1118" s="274" t="e">
        <f t="shared" ca="1" si="12"/>
        <v>#NAME?</v>
      </c>
      <c r="K1118" s="274">
        <f t="shared" si="13"/>
        <v>0</v>
      </c>
      <c r="N1118" s="274"/>
    </row>
    <row r="1119" spans="5:14" ht="13.5" customHeight="1">
      <c r="E1119" s="209" t="s">
        <v>1173</v>
      </c>
      <c r="F1119" s="209" t="s">
        <v>2504</v>
      </c>
      <c r="G1119" s="408" t="str">
        <f t="shared" si="14"/>
        <v>14-01</v>
      </c>
      <c r="H1119" s="273" t="e">
        <f ca="1">_xludf.IFNA(VLOOKUP(Aragon!E1119,'Kilter Holds'!$P$37:$AB$662,6,0),0)</f>
        <v>#NAME?</v>
      </c>
      <c r="I1119" s="274"/>
      <c r="J1119" s="274" t="e">
        <f t="shared" ca="1" si="12"/>
        <v>#NAME?</v>
      </c>
      <c r="K1119" s="274">
        <f t="shared" si="13"/>
        <v>0</v>
      </c>
      <c r="N1119" s="274"/>
    </row>
    <row r="1120" spans="5:14" ht="13.5" customHeight="1">
      <c r="E1120" s="209" t="s">
        <v>1173</v>
      </c>
      <c r="F1120" s="209" t="s">
        <v>2504</v>
      </c>
      <c r="G1120" s="409" t="str">
        <f t="shared" si="14"/>
        <v>15-12</v>
      </c>
      <c r="H1120" s="273" t="e">
        <f ca="1">_xludf.IFNA(VLOOKUP(Aragon!E1120,'Kilter Holds'!$P$37:$AB$662,7,0),0)</f>
        <v>#NAME?</v>
      </c>
      <c r="I1120" s="274"/>
      <c r="J1120" s="274" t="e">
        <f t="shared" ca="1" si="12"/>
        <v>#NAME?</v>
      </c>
      <c r="K1120" s="274">
        <f t="shared" si="13"/>
        <v>0</v>
      </c>
      <c r="N1120" s="274"/>
    </row>
    <row r="1121" spans="5:14" ht="13.5" customHeight="1">
      <c r="E1121" s="209" t="s">
        <v>1173</v>
      </c>
      <c r="F1121" s="209" t="s">
        <v>2504</v>
      </c>
      <c r="G1121" s="410" t="str">
        <f t="shared" si="14"/>
        <v>16-16</v>
      </c>
      <c r="H1121" s="273" t="e">
        <f ca="1">_xludf.IFNA(VLOOKUP(Aragon!E1121,'Kilter Holds'!$P$37:$AB$662,8,0),0)</f>
        <v>#NAME?</v>
      </c>
      <c r="I1121" s="274"/>
      <c r="J1121" s="274" t="e">
        <f t="shared" ca="1" si="12"/>
        <v>#NAME?</v>
      </c>
      <c r="K1121" s="274">
        <f t="shared" si="13"/>
        <v>0</v>
      </c>
      <c r="N1121" s="274"/>
    </row>
    <row r="1122" spans="5:14" ht="13.5" customHeight="1">
      <c r="E1122" s="209" t="s">
        <v>1173</v>
      </c>
      <c r="F1122" s="209" t="s">
        <v>2504</v>
      </c>
      <c r="G1122" s="411" t="str">
        <f t="shared" si="14"/>
        <v>13-01</v>
      </c>
      <c r="H1122" s="273" t="e">
        <f ca="1">_xludf.IFNA(VLOOKUP(Aragon!E1122,'Kilter Holds'!$P$37:$AB$662,9,0),0)</f>
        <v>#NAME?</v>
      </c>
      <c r="I1122" s="274"/>
      <c r="J1122" s="274" t="e">
        <f t="shared" ca="1" si="12"/>
        <v>#NAME?</v>
      </c>
      <c r="K1122" s="274">
        <f t="shared" si="13"/>
        <v>0</v>
      </c>
      <c r="N1122" s="274"/>
    </row>
    <row r="1123" spans="5:14" ht="13.5" customHeight="1">
      <c r="E1123" s="209" t="s">
        <v>1173</v>
      </c>
      <c r="F1123" s="209" t="s">
        <v>2504</v>
      </c>
      <c r="G1123" s="413" t="str">
        <f t="shared" si="14"/>
        <v>07-13</v>
      </c>
      <c r="H1123" s="273" t="e">
        <f ca="1">_xludf.IFNA(VLOOKUP(Aragon!E1123,'Kilter Holds'!$P$37:$AB$662,10,0),0)</f>
        <v>#NAME?</v>
      </c>
      <c r="I1123" s="274"/>
      <c r="J1123" s="274" t="e">
        <f t="shared" ca="1" si="12"/>
        <v>#NAME?</v>
      </c>
      <c r="K1123" s="274">
        <f t="shared" si="13"/>
        <v>0</v>
      </c>
      <c r="N1123" s="274"/>
    </row>
    <row r="1124" spans="5:14" ht="13.5" customHeight="1">
      <c r="E1124" s="209" t="s">
        <v>1173</v>
      </c>
      <c r="F1124" s="209" t="s">
        <v>2504</v>
      </c>
      <c r="G1124" s="414" t="str">
        <f t="shared" si="14"/>
        <v>11-26</v>
      </c>
      <c r="H1124" s="273" t="e">
        <f ca="1">_xludf.IFNA(VLOOKUP(Aragon!E1124,'Kilter Holds'!$P$37:$AB$662,11,0),0)</f>
        <v>#NAME?</v>
      </c>
      <c r="I1124" s="274"/>
      <c r="J1124" s="274" t="e">
        <f t="shared" ca="1" si="12"/>
        <v>#NAME?</v>
      </c>
      <c r="K1124" s="274">
        <f t="shared" si="13"/>
        <v>0</v>
      </c>
      <c r="N1124" s="274"/>
    </row>
    <row r="1125" spans="5:14" ht="13.5" customHeight="1">
      <c r="E1125" s="209" t="s">
        <v>1173</v>
      </c>
      <c r="F1125" s="209" t="s">
        <v>2504</v>
      </c>
      <c r="G1125" s="415" t="str">
        <f t="shared" si="14"/>
        <v>18-01</v>
      </c>
      <c r="H1125" s="273" t="e">
        <f ca="1">_xludf.IFNA(VLOOKUP(Aragon!E1125,'Kilter Holds'!$P$37:$AB$662,12,0),0)</f>
        <v>#NAME?</v>
      </c>
      <c r="I1125" s="274"/>
      <c r="J1125" s="274" t="e">
        <f t="shared" ca="1" si="12"/>
        <v>#NAME?</v>
      </c>
      <c r="K1125" s="274">
        <f t="shared" si="13"/>
        <v>0</v>
      </c>
      <c r="N1125" s="274"/>
    </row>
    <row r="1126" spans="5:14" ht="13.5" customHeight="1">
      <c r="E1126" s="209" t="s">
        <v>1173</v>
      </c>
      <c r="F1126" s="209" t="s">
        <v>2504</v>
      </c>
      <c r="G1126" s="416" t="str">
        <f t="shared" si="14"/>
        <v>Color Code</v>
      </c>
      <c r="H1126" s="273" t="e">
        <f ca="1">_xludf.IFNA(VLOOKUP(Aragon!E1126,'Kilter Holds'!$P$37:$AB$662,13,0),0)</f>
        <v>#NAME?</v>
      </c>
      <c r="I1126" s="274"/>
      <c r="J1126" s="274" t="e">
        <f t="shared" ca="1" si="12"/>
        <v>#NAME?</v>
      </c>
      <c r="K1126" s="274">
        <f t="shared" si="13"/>
        <v>0</v>
      </c>
      <c r="N1126" s="274"/>
    </row>
    <row r="1127" spans="5:14" ht="13.5" customHeight="1">
      <c r="E1127" s="209" t="s">
        <v>1030</v>
      </c>
      <c r="F1127" s="209" t="s">
        <v>2505</v>
      </c>
      <c r="G1127" s="406" t="str">
        <f t="shared" si="14"/>
        <v>11-12</v>
      </c>
      <c r="H1127" s="273" t="e">
        <f ca="1">_xludf.IFNA(VLOOKUP(Aragon!E1127,'Kilter Holds'!$P$37:$AB$662,5,0),0)</f>
        <v>#NAME?</v>
      </c>
      <c r="I1127" s="274"/>
      <c r="J1127" s="274" t="e">
        <f t="shared" ca="1" si="12"/>
        <v>#NAME?</v>
      </c>
      <c r="K1127" s="274">
        <f t="shared" si="13"/>
        <v>0</v>
      </c>
      <c r="N1127" s="274"/>
    </row>
    <row r="1128" spans="5:14" ht="13.5" customHeight="1">
      <c r="E1128" s="209" t="s">
        <v>1030</v>
      </c>
      <c r="F1128" s="209" t="s">
        <v>2505</v>
      </c>
      <c r="G1128" s="408" t="str">
        <f t="shared" si="14"/>
        <v>14-01</v>
      </c>
      <c r="H1128" s="273" t="e">
        <f ca="1">_xludf.IFNA(VLOOKUP(Aragon!E1128,'Kilter Holds'!$P$37:$AB$662,6,0),0)</f>
        <v>#NAME?</v>
      </c>
      <c r="I1128" s="274"/>
      <c r="J1128" s="274" t="e">
        <f t="shared" ca="1" si="12"/>
        <v>#NAME?</v>
      </c>
      <c r="K1128" s="274">
        <f t="shared" si="13"/>
        <v>0</v>
      </c>
      <c r="N1128" s="274"/>
    </row>
    <row r="1129" spans="5:14" ht="13.5" customHeight="1">
      <c r="E1129" s="209" t="s">
        <v>1030</v>
      </c>
      <c r="F1129" s="209" t="s">
        <v>2505</v>
      </c>
      <c r="G1129" s="409" t="str">
        <f t="shared" si="14"/>
        <v>15-12</v>
      </c>
      <c r="H1129" s="273" t="e">
        <f ca="1">_xludf.IFNA(VLOOKUP(Aragon!E1129,'Kilter Holds'!$P$37:$AB$662,7,0),0)</f>
        <v>#NAME?</v>
      </c>
      <c r="I1129" s="274"/>
      <c r="J1129" s="274" t="e">
        <f t="shared" ca="1" si="12"/>
        <v>#NAME?</v>
      </c>
      <c r="K1129" s="274">
        <f t="shared" si="13"/>
        <v>0</v>
      </c>
      <c r="N1129" s="274"/>
    </row>
    <row r="1130" spans="5:14" ht="13.5" customHeight="1">
      <c r="E1130" s="209" t="s">
        <v>1030</v>
      </c>
      <c r="F1130" s="209" t="s">
        <v>2505</v>
      </c>
      <c r="G1130" s="410" t="str">
        <f t="shared" si="14"/>
        <v>16-16</v>
      </c>
      <c r="H1130" s="273" t="e">
        <f ca="1">_xludf.IFNA(VLOOKUP(Aragon!E1130,'Kilter Holds'!$P$37:$AB$662,8,0),0)</f>
        <v>#NAME?</v>
      </c>
      <c r="I1130" s="274"/>
      <c r="J1130" s="274" t="e">
        <f t="shared" ca="1" si="12"/>
        <v>#NAME?</v>
      </c>
      <c r="K1130" s="274">
        <f t="shared" si="13"/>
        <v>0</v>
      </c>
      <c r="N1130" s="274"/>
    </row>
    <row r="1131" spans="5:14" ht="13.5" customHeight="1">
      <c r="E1131" s="209" t="s">
        <v>1030</v>
      </c>
      <c r="F1131" s="209" t="s">
        <v>2505</v>
      </c>
      <c r="G1131" s="411" t="str">
        <f t="shared" si="14"/>
        <v>13-01</v>
      </c>
      <c r="H1131" s="273" t="e">
        <f ca="1">_xludf.IFNA(VLOOKUP(Aragon!E1131,'Kilter Holds'!$P$37:$AB$662,9,0),0)</f>
        <v>#NAME?</v>
      </c>
      <c r="I1131" s="274"/>
      <c r="J1131" s="274" t="e">
        <f t="shared" ca="1" si="12"/>
        <v>#NAME?</v>
      </c>
      <c r="K1131" s="274">
        <f t="shared" si="13"/>
        <v>0</v>
      </c>
      <c r="N1131" s="274"/>
    </row>
    <row r="1132" spans="5:14" ht="13.5" customHeight="1">
      <c r="E1132" s="209" t="s">
        <v>1030</v>
      </c>
      <c r="F1132" s="209" t="s">
        <v>2505</v>
      </c>
      <c r="G1132" s="413" t="str">
        <f t="shared" si="14"/>
        <v>07-13</v>
      </c>
      <c r="H1132" s="273" t="e">
        <f ca="1">_xludf.IFNA(VLOOKUP(Aragon!E1132,'Kilter Holds'!$P$37:$AB$662,10,0),0)</f>
        <v>#NAME?</v>
      </c>
      <c r="I1132" s="274"/>
      <c r="J1132" s="274" t="e">
        <f t="shared" ca="1" si="12"/>
        <v>#NAME?</v>
      </c>
      <c r="K1132" s="274">
        <f t="shared" si="13"/>
        <v>0</v>
      </c>
      <c r="N1132" s="274"/>
    </row>
    <row r="1133" spans="5:14" ht="13.5" customHeight="1">
      <c r="E1133" s="209" t="s">
        <v>1030</v>
      </c>
      <c r="F1133" s="209" t="s">
        <v>2505</v>
      </c>
      <c r="G1133" s="414" t="str">
        <f t="shared" si="14"/>
        <v>11-26</v>
      </c>
      <c r="H1133" s="273" t="e">
        <f ca="1">_xludf.IFNA(VLOOKUP(Aragon!E1133,'Kilter Holds'!$P$37:$AB$662,11,0),0)</f>
        <v>#NAME?</v>
      </c>
      <c r="I1133" s="274"/>
      <c r="J1133" s="274" t="e">
        <f t="shared" ca="1" si="12"/>
        <v>#NAME?</v>
      </c>
      <c r="K1133" s="274">
        <f t="shared" si="13"/>
        <v>0</v>
      </c>
      <c r="N1133" s="274"/>
    </row>
    <row r="1134" spans="5:14" ht="13.5" customHeight="1">
      <c r="E1134" s="209" t="s">
        <v>1030</v>
      </c>
      <c r="F1134" s="209" t="s">
        <v>2505</v>
      </c>
      <c r="G1134" s="415" t="str">
        <f t="shared" si="14"/>
        <v>18-01</v>
      </c>
      <c r="H1134" s="273" t="e">
        <f ca="1">_xludf.IFNA(VLOOKUP(Aragon!E1134,'Kilter Holds'!$P$37:$AB$662,12,0),0)</f>
        <v>#NAME?</v>
      </c>
      <c r="I1134" s="274"/>
      <c r="J1134" s="274" t="e">
        <f t="shared" ca="1" si="12"/>
        <v>#NAME?</v>
      </c>
      <c r="K1134" s="274">
        <f t="shared" si="13"/>
        <v>0</v>
      </c>
      <c r="N1134" s="274"/>
    </row>
    <row r="1135" spans="5:14" ht="13.5" customHeight="1">
      <c r="E1135" s="209" t="s">
        <v>1030</v>
      </c>
      <c r="F1135" s="209" t="s">
        <v>2505</v>
      </c>
      <c r="G1135" s="416" t="str">
        <f t="shared" si="14"/>
        <v>Color Code</v>
      </c>
      <c r="H1135" s="273" t="e">
        <f ca="1">_xludf.IFNA(VLOOKUP(Aragon!E1135,'Kilter Holds'!$P$37:$AB$662,13,0),0)</f>
        <v>#NAME?</v>
      </c>
      <c r="I1135" s="274"/>
      <c r="J1135" s="274" t="e">
        <f t="shared" ca="1" si="12"/>
        <v>#NAME?</v>
      </c>
      <c r="K1135" s="274">
        <f t="shared" si="13"/>
        <v>0</v>
      </c>
      <c r="N1135" s="274"/>
    </row>
    <row r="1136" spans="5:14" ht="13.5" customHeight="1">
      <c r="E1136" s="209" t="s">
        <v>291</v>
      </c>
      <c r="F1136" s="209" t="s">
        <v>2506</v>
      </c>
      <c r="G1136" s="406" t="str">
        <f t="shared" si="14"/>
        <v>11-12</v>
      </c>
      <c r="H1136" s="273" t="e">
        <f ca="1">_xludf.IFNA(VLOOKUP(Aragon!E1136,'Kilter Holds'!$P$37:$AB$662,5,0),0)</f>
        <v>#NAME?</v>
      </c>
      <c r="I1136" s="274"/>
      <c r="J1136" s="274" t="e">
        <f t="shared" ca="1" si="12"/>
        <v>#NAME?</v>
      </c>
      <c r="K1136" s="274">
        <f t="shared" si="13"/>
        <v>0</v>
      </c>
      <c r="N1136" s="274"/>
    </row>
    <row r="1137" spans="5:14" ht="13.5" customHeight="1">
      <c r="E1137" s="209" t="s">
        <v>291</v>
      </c>
      <c r="F1137" s="209" t="s">
        <v>2506</v>
      </c>
      <c r="G1137" s="408" t="str">
        <f t="shared" si="14"/>
        <v>14-01</v>
      </c>
      <c r="H1137" s="273" t="e">
        <f ca="1">_xludf.IFNA(VLOOKUP(Aragon!E1137,'Kilter Holds'!$P$37:$AB$662,6,0),0)</f>
        <v>#NAME?</v>
      </c>
      <c r="I1137" s="274"/>
      <c r="J1137" s="274" t="e">
        <f t="shared" ca="1" si="12"/>
        <v>#NAME?</v>
      </c>
      <c r="K1137" s="274">
        <f t="shared" si="13"/>
        <v>0</v>
      </c>
      <c r="N1137" s="274"/>
    </row>
    <row r="1138" spans="5:14" ht="13.5" customHeight="1">
      <c r="E1138" s="209" t="s">
        <v>291</v>
      </c>
      <c r="F1138" s="209" t="s">
        <v>2506</v>
      </c>
      <c r="G1138" s="409" t="str">
        <f t="shared" si="14"/>
        <v>15-12</v>
      </c>
      <c r="H1138" s="273" t="e">
        <f ca="1">_xludf.IFNA(VLOOKUP(Aragon!E1138,'Kilter Holds'!$P$37:$AB$662,7,0),0)</f>
        <v>#NAME?</v>
      </c>
      <c r="I1138" s="274"/>
      <c r="J1138" s="274" t="e">
        <f t="shared" ca="1" si="12"/>
        <v>#NAME?</v>
      </c>
      <c r="K1138" s="274">
        <f t="shared" si="13"/>
        <v>0</v>
      </c>
      <c r="N1138" s="274"/>
    </row>
    <row r="1139" spans="5:14" ht="13.5" customHeight="1">
      <c r="E1139" s="209" t="s">
        <v>291</v>
      </c>
      <c r="F1139" s="209" t="s">
        <v>2506</v>
      </c>
      <c r="G1139" s="410" t="str">
        <f t="shared" si="14"/>
        <v>16-16</v>
      </c>
      <c r="H1139" s="273" t="e">
        <f ca="1">_xludf.IFNA(VLOOKUP(Aragon!E1139,'Kilter Holds'!$P$37:$AB$662,8,0),0)</f>
        <v>#NAME?</v>
      </c>
      <c r="I1139" s="274"/>
      <c r="J1139" s="274" t="e">
        <f t="shared" ca="1" si="12"/>
        <v>#NAME?</v>
      </c>
      <c r="K1139" s="274">
        <f t="shared" si="13"/>
        <v>0</v>
      </c>
      <c r="N1139" s="274"/>
    </row>
    <row r="1140" spans="5:14" ht="13.5" customHeight="1">
      <c r="E1140" s="209" t="s">
        <v>291</v>
      </c>
      <c r="F1140" s="209" t="s">
        <v>2506</v>
      </c>
      <c r="G1140" s="411" t="str">
        <f t="shared" si="14"/>
        <v>13-01</v>
      </c>
      <c r="H1140" s="273" t="e">
        <f ca="1">_xludf.IFNA(VLOOKUP(Aragon!E1140,'Kilter Holds'!$P$37:$AB$662,9,0),0)</f>
        <v>#NAME?</v>
      </c>
      <c r="I1140" s="274"/>
      <c r="J1140" s="274" t="e">
        <f t="shared" ca="1" si="12"/>
        <v>#NAME?</v>
      </c>
      <c r="K1140" s="274">
        <f t="shared" si="13"/>
        <v>0</v>
      </c>
      <c r="N1140" s="274"/>
    </row>
    <row r="1141" spans="5:14" ht="13.5" customHeight="1">
      <c r="E1141" s="209" t="s">
        <v>291</v>
      </c>
      <c r="F1141" s="209" t="s">
        <v>2506</v>
      </c>
      <c r="G1141" s="413" t="str">
        <f t="shared" si="14"/>
        <v>07-13</v>
      </c>
      <c r="H1141" s="273" t="e">
        <f ca="1">_xludf.IFNA(VLOOKUP(Aragon!E1141,'Kilter Holds'!$P$37:$AB$662,10,0),0)</f>
        <v>#NAME?</v>
      </c>
      <c r="I1141" s="274"/>
      <c r="J1141" s="274" t="e">
        <f t="shared" ca="1" si="12"/>
        <v>#NAME?</v>
      </c>
      <c r="K1141" s="274">
        <f t="shared" si="13"/>
        <v>0</v>
      </c>
      <c r="N1141" s="274"/>
    </row>
    <row r="1142" spans="5:14" ht="13.5" customHeight="1">
      <c r="E1142" s="209" t="s">
        <v>291</v>
      </c>
      <c r="F1142" s="209" t="s">
        <v>2506</v>
      </c>
      <c r="G1142" s="414" t="str">
        <f t="shared" si="14"/>
        <v>11-26</v>
      </c>
      <c r="H1142" s="273" t="e">
        <f ca="1">_xludf.IFNA(VLOOKUP(Aragon!E1142,'Kilter Holds'!$P$37:$AB$662,11,0),0)</f>
        <v>#NAME?</v>
      </c>
      <c r="I1142" s="274"/>
      <c r="J1142" s="274" t="e">
        <f t="shared" ca="1" si="12"/>
        <v>#NAME?</v>
      </c>
      <c r="K1142" s="274">
        <f t="shared" si="13"/>
        <v>0</v>
      </c>
      <c r="N1142" s="274"/>
    </row>
    <row r="1143" spans="5:14" ht="13.5" customHeight="1">
      <c r="E1143" s="209" t="s">
        <v>291</v>
      </c>
      <c r="F1143" s="209" t="s">
        <v>2506</v>
      </c>
      <c r="G1143" s="415" t="str">
        <f t="shared" si="14"/>
        <v>18-01</v>
      </c>
      <c r="H1143" s="273" t="e">
        <f ca="1">_xludf.IFNA(VLOOKUP(Aragon!E1143,'Kilter Holds'!$P$37:$AB$662,12,0),0)</f>
        <v>#NAME?</v>
      </c>
      <c r="I1143" s="274"/>
      <c r="J1143" s="274" t="e">
        <f t="shared" ca="1" si="12"/>
        <v>#NAME?</v>
      </c>
      <c r="K1143" s="274">
        <f t="shared" si="13"/>
        <v>0</v>
      </c>
      <c r="N1143" s="274"/>
    </row>
    <row r="1144" spans="5:14" ht="13.5" customHeight="1">
      <c r="E1144" s="209" t="s">
        <v>291</v>
      </c>
      <c r="F1144" s="209" t="s">
        <v>2506</v>
      </c>
      <c r="G1144" s="416" t="str">
        <f t="shared" si="14"/>
        <v>Color Code</v>
      </c>
      <c r="H1144" s="273" t="e">
        <f ca="1">_xludf.IFNA(VLOOKUP(Aragon!E1144,'Kilter Holds'!$P$37:$AB$662,13,0),0)</f>
        <v>#NAME?</v>
      </c>
      <c r="I1144" s="274"/>
      <c r="J1144" s="274" t="e">
        <f t="shared" ca="1" si="12"/>
        <v>#NAME?</v>
      </c>
      <c r="K1144" s="274">
        <f t="shared" si="13"/>
        <v>0</v>
      </c>
      <c r="N1144" s="274"/>
    </row>
    <row r="1145" spans="5:14" ht="13.5" customHeight="1">
      <c r="E1145" s="209" t="s">
        <v>1143</v>
      </c>
      <c r="F1145" s="209" t="s">
        <v>2507</v>
      </c>
      <c r="G1145" s="406" t="str">
        <f t="shared" si="14"/>
        <v>11-12</v>
      </c>
      <c r="H1145" s="273" t="e">
        <f ca="1">_xludf.IFNA(VLOOKUP(Aragon!E1145,'Kilter Holds'!$P$37:$AB$662,5,0),0)</f>
        <v>#NAME?</v>
      </c>
      <c r="I1145" s="274"/>
      <c r="J1145" s="274" t="e">
        <f t="shared" ca="1" si="12"/>
        <v>#NAME?</v>
      </c>
      <c r="K1145" s="274">
        <f t="shared" si="13"/>
        <v>0</v>
      </c>
      <c r="N1145" s="274"/>
    </row>
    <row r="1146" spans="5:14" ht="13.5" customHeight="1">
      <c r="E1146" s="209" t="s">
        <v>1143</v>
      </c>
      <c r="F1146" s="209" t="s">
        <v>2507</v>
      </c>
      <c r="G1146" s="408" t="str">
        <f t="shared" si="14"/>
        <v>14-01</v>
      </c>
      <c r="H1146" s="273" t="e">
        <f ca="1">_xludf.IFNA(VLOOKUP(Aragon!E1146,'Kilter Holds'!$P$37:$AB$662,6,0),0)</f>
        <v>#NAME?</v>
      </c>
      <c r="I1146" s="274"/>
      <c r="J1146" s="274" t="e">
        <f t="shared" ca="1" si="12"/>
        <v>#NAME?</v>
      </c>
      <c r="K1146" s="274">
        <f t="shared" si="13"/>
        <v>0</v>
      </c>
      <c r="N1146" s="274"/>
    </row>
    <row r="1147" spans="5:14" ht="13.5" customHeight="1">
      <c r="E1147" s="209" t="s">
        <v>1143</v>
      </c>
      <c r="F1147" s="209" t="s">
        <v>2507</v>
      </c>
      <c r="G1147" s="409" t="str">
        <f t="shared" si="14"/>
        <v>15-12</v>
      </c>
      <c r="H1147" s="273" t="e">
        <f ca="1">_xludf.IFNA(VLOOKUP(Aragon!E1147,'Kilter Holds'!$P$37:$AB$662,7,0),0)</f>
        <v>#NAME?</v>
      </c>
      <c r="I1147" s="274"/>
      <c r="J1147" s="274" t="e">
        <f t="shared" ca="1" si="12"/>
        <v>#NAME?</v>
      </c>
      <c r="K1147" s="274">
        <f t="shared" si="13"/>
        <v>0</v>
      </c>
      <c r="N1147" s="274"/>
    </row>
    <row r="1148" spans="5:14" ht="13.5" customHeight="1">
      <c r="E1148" s="209" t="s">
        <v>1143</v>
      </c>
      <c r="F1148" s="209" t="s">
        <v>2507</v>
      </c>
      <c r="G1148" s="410" t="str">
        <f t="shared" si="14"/>
        <v>16-16</v>
      </c>
      <c r="H1148" s="273" t="e">
        <f ca="1">_xludf.IFNA(VLOOKUP(Aragon!E1148,'Kilter Holds'!$P$37:$AB$662,8,0),0)</f>
        <v>#NAME?</v>
      </c>
      <c r="I1148" s="274"/>
      <c r="J1148" s="274" t="e">
        <f t="shared" ca="1" si="12"/>
        <v>#NAME?</v>
      </c>
      <c r="K1148" s="274">
        <f t="shared" si="13"/>
        <v>0</v>
      </c>
      <c r="N1148" s="274"/>
    </row>
    <row r="1149" spans="5:14" ht="13.5" customHeight="1">
      <c r="E1149" s="209" t="s">
        <v>1143</v>
      </c>
      <c r="F1149" s="209" t="s">
        <v>2507</v>
      </c>
      <c r="G1149" s="411" t="str">
        <f t="shared" si="14"/>
        <v>13-01</v>
      </c>
      <c r="H1149" s="273" t="e">
        <f ca="1">_xludf.IFNA(VLOOKUP(Aragon!E1149,'Kilter Holds'!$P$37:$AB$662,9,0),0)</f>
        <v>#NAME?</v>
      </c>
      <c r="I1149" s="274"/>
      <c r="J1149" s="274" t="e">
        <f t="shared" ca="1" si="12"/>
        <v>#NAME?</v>
      </c>
      <c r="K1149" s="274">
        <f t="shared" si="13"/>
        <v>0</v>
      </c>
      <c r="N1149" s="274"/>
    </row>
    <row r="1150" spans="5:14" ht="13.5" customHeight="1">
      <c r="E1150" s="209" t="s">
        <v>1143</v>
      </c>
      <c r="F1150" s="209" t="s">
        <v>2507</v>
      </c>
      <c r="G1150" s="413" t="str">
        <f t="shared" si="14"/>
        <v>07-13</v>
      </c>
      <c r="H1150" s="273" t="e">
        <f ca="1">_xludf.IFNA(VLOOKUP(Aragon!E1150,'Kilter Holds'!$P$37:$AB$662,10,0),0)</f>
        <v>#NAME?</v>
      </c>
      <c r="I1150" s="274"/>
      <c r="J1150" s="274" t="e">
        <f t="shared" ca="1" si="12"/>
        <v>#NAME?</v>
      </c>
      <c r="K1150" s="274">
        <f t="shared" si="13"/>
        <v>0</v>
      </c>
      <c r="N1150" s="274"/>
    </row>
    <row r="1151" spans="5:14" ht="13.5" customHeight="1">
      <c r="E1151" s="209" t="s">
        <v>1143</v>
      </c>
      <c r="F1151" s="209" t="s">
        <v>2507</v>
      </c>
      <c r="G1151" s="414" t="str">
        <f t="shared" si="14"/>
        <v>11-26</v>
      </c>
      <c r="H1151" s="273" t="e">
        <f ca="1">_xludf.IFNA(VLOOKUP(Aragon!E1151,'Kilter Holds'!$P$37:$AB$662,11,0),0)</f>
        <v>#NAME?</v>
      </c>
      <c r="I1151" s="274"/>
      <c r="J1151" s="274" t="e">
        <f t="shared" ca="1" si="12"/>
        <v>#NAME?</v>
      </c>
      <c r="K1151" s="274">
        <f t="shared" si="13"/>
        <v>0</v>
      </c>
      <c r="N1151" s="274"/>
    </row>
    <row r="1152" spans="5:14" ht="13.5" customHeight="1">
      <c r="E1152" s="209" t="s">
        <v>1143</v>
      </c>
      <c r="F1152" s="209" t="s">
        <v>2507</v>
      </c>
      <c r="G1152" s="415" t="str">
        <f t="shared" si="14"/>
        <v>18-01</v>
      </c>
      <c r="H1152" s="273" t="e">
        <f ca="1">_xludf.IFNA(VLOOKUP(Aragon!E1152,'Kilter Holds'!$P$37:$AB$662,12,0),0)</f>
        <v>#NAME?</v>
      </c>
      <c r="I1152" s="274"/>
      <c r="J1152" s="274" t="e">
        <f t="shared" ca="1" si="12"/>
        <v>#NAME?</v>
      </c>
      <c r="K1152" s="274">
        <f t="shared" si="13"/>
        <v>0</v>
      </c>
      <c r="N1152" s="274"/>
    </row>
    <row r="1153" spans="5:14" ht="13.5" customHeight="1">
      <c r="E1153" s="209" t="s">
        <v>1143</v>
      </c>
      <c r="F1153" s="209" t="s">
        <v>2507</v>
      </c>
      <c r="G1153" s="416" t="str">
        <f t="shared" si="14"/>
        <v>Color Code</v>
      </c>
      <c r="H1153" s="273" t="e">
        <f ca="1">_xludf.IFNA(VLOOKUP(Aragon!E1153,'Kilter Holds'!$P$37:$AB$662,13,0),0)</f>
        <v>#NAME?</v>
      </c>
      <c r="I1153" s="274"/>
      <c r="J1153" s="274" t="e">
        <f t="shared" ca="1" si="12"/>
        <v>#NAME?</v>
      </c>
      <c r="K1153" s="274">
        <f t="shared" si="13"/>
        <v>0</v>
      </c>
      <c r="N1153" s="274"/>
    </row>
    <row r="1154" spans="5:14" ht="13.5" customHeight="1">
      <c r="E1154" s="209" t="s">
        <v>1032</v>
      </c>
      <c r="F1154" s="209" t="s">
        <v>2508</v>
      </c>
      <c r="G1154" s="406" t="str">
        <f t="shared" si="14"/>
        <v>11-12</v>
      </c>
      <c r="H1154" s="273" t="e">
        <f ca="1">_xludf.IFNA(VLOOKUP(Aragon!E1154,'Kilter Holds'!$P$37:$AB$662,5,0),0)</f>
        <v>#NAME?</v>
      </c>
      <c r="I1154" s="274"/>
      <c r="J1154" s="274" t="e">
        <f t="shared" ca="1" si="12"/>
        <v>#NAME?</v>
      </c>
      <c r="K1154" s="274">
        <f t="shared" si="13"/>
        <v>0</v>
      </c>
      <c r="N1154" s="274"/>
    </row>
    <row r="1155" spans="5:14" ht="13.5" customHeight="1">
      <c r="E1155" s="209" t="s">
        <v>1032</v>
      </c>
      <c r="F1155" s="209" t="s">
        <v>2508</v>
      </c>
      <c r="G1155" s="408" t="str">
        <f t="shared" si="14"/>
        <v>14-01</v>
      </c>
      <c r="H1155" s="273" t="e">
        <f ca="1">_xludf.IFNA(VLOOKUP(Aragon!E1155,'Kilter Holds'!$P$37:$AB$662,6,0),0)</f>
        <v>#NAME?</v>
      </c>
      <c r="I1155" s="274"/>
      <c r="J1155" s="274" t="e">
        <f t="shared" ca="1" si="12"/>
        <v>#NAME?</v>
      </c>
      <c r="K1155" s="274">
        <f t="shared" si="13"/>
        <v>0</v>
      </c>
      <c r="N1155" s="274"/>
    </row>
    <row r="1156" spans="5:14" ht="13.5" customHeight="1">
      <c r="E1156" s="209" t="s">
        <v>1032</v>
      </c>
      <c r="F1156" s="209" t="s">
        <v>2508</v>
      </c>
      <c r="G1156" s="409" t="str">
        <f t="shared" si="14"/>
        <v>15-12</v>
      </c>
      <c r="H1156" s="273" t="e">
        <f ca="1">_xludf.IFNA(VLOOKUP(Aragon!E1156,'Kilter Holds'!$P$37:$AB$662,7,0),0)</f>
        <v>#NAME?</v>
      </c>
      <c r="I1156" s="274"/>
      <c r="J1156" s="274" t="e">
        <f t="shared" ca="1" si="12"/>
        <v>#NAME?</v>
      </c>
      <c r="K1156" s="274">
        <f t="shared" si="13"/>
        <v>0</v>
      </c>
      <c r="N1156" s="274"/>
    </row>
    <row r="1157" spans="5:14" ht="13.5" customHeight="1">
      <c r="E1157" s="209" t="s">
        <v>1032</v>
      </c>
      <c r="F1157" s="209" t="s">
        <v>2508</v>
      </c>
      <c r="G1157" s="410" t="str">
        <f t="shared" si="14"/>
        <v>16-16</v>
      </c>
      <c r="H1157" s="273" t="e">
        <f ca="1">_xludf.IFNA(VLOOKUP(Aragon!E1157,'Kilter Holds'!$P$37:$AB$662,8,0),0)</f>
        <v>#NAME?</v>
      </c>
      <c r="I1157" s="274"/>
      <c r="J1157" s="274" t="e">
        <f t="shared" ca="1" si="12"/>
        <v>#NAME?</v>
      </c>
      <c r="K1157" s="274">
        <f t="shared" si="13"/>
        <v>0</v>
      </c>
      <c r="N1157" s="274"/>
    </row>
    <row r="1158" spans="5:14" ht="13.5" customHeight="1">
      <c r="E1158" s="209" t="s">
        <v>1032</v>
      </c>
      <c r="F1158" s="209" t="s">
        <v>2508</v>
      </c>
      <c r="G1158" s="411" t="str">
        <f t="shared" si="14"/>
        <v>13-01</v>
      </c>
      <c r="H1158" s="273" t="e">
        <f ca="1">_xludf.IFNA(VLOOKUP(Aragon!E1158,'Kilter Holds'!$P$37:$AB$662,9,0),0)</f>
        <v>#NAME?</v>
      </c>
      <c r="I1158" s="274"/>
      <c r="J1158" s="274" t="e">
        <f t="shared" ca="1" si="12"/>
        <v>#NAME?</v>
      </c>
      <c r="K1158" s="274">
        <f t="shared" si="13"/>
        <v>0</v>
      </c>
      <c r="N1158" s="274"/>
    </row>
    <row r="1159" spans="5:14" ht="13.5" customHeight="1">
      <c r="E1159" s="209" t="s">
        <v>1032</v>
      </c>
      <c r="F1159" s="209" t="s">
        <v>2508</v>
      </c>
      <c r="G1159" s="413" t="str">
        <f t="shared" si="14"/>
        <v>07-13</v>
      </c>
      <c r="H1159" s="273" t="e">
        <f ca="1">_xludf.IFNA(VLOOKUP(Aragon!E1159,'Kilter Holds'!$P$37:$AB$662,10,0),0)</f>
        <v>#NAME?</v>
      </c>
      <c r="I1159" s="274"/>
      <c r="J1159" s="274" t="e">
        <f t="shared" ca="1" si="12"/>
        <v>#NAME?</v>
      </c>
      <c r="K1159" s="274">
        <f t="shared" si="13"/>
        <v>0</v>
      </c>
      <c r="N1159" s="274"/>
    </row>
    <row r="1160" spans="5:14" ht="13.5" customHeight="1">
      <c r="E1160" s="209" t="s">
        <v>1032</v>
      </c>
      <c r="F1160" s="209" t="s">
        <v>2508</v>
      </c>
      <c r="G1160" s="414" t="str">
        <f t="shared" si="14"/>
        <v>11-26</v>
      </c>
      <c r="H1160" s="273" t="e">
        <f ca="1">_xludf.IFNA(VLOOKUP(Aragon!E1160,'Kilter Holds'!$P$37:$AB$662,11,0),0)</f>
        <v>#NAME?</v>
      </c>
      <c r="I1160" s="274"/>
      <c r="J1160" s="274" t="e">
        <f t="shared" ca="1" si="12"/>
        <v>#NAME?</v>
      </c>
      <c r="K1160" s="274">
        <f t="shared" si="13"/>
        <v>0</v>
      </c>
      <c r="N1160" s="274"/>
    </row>
    <row r="1161" spans="5:14" ht="13.5" customHeight="1">
      <c r="E1161" s="209" t="s">
        <v>1032</v>
      </c>
      <c r="F1161" s="209" t="s">
        <v>2508</v>
      </c>
      <c r="G1161" s="415" t="str">
        <f t="shared" si="14"/>
        <v>18-01</v>
      </c>
      <c r="H1161" s="273" t="e">
        <f ca="1">_xludf.IFNA(VLOOKUP(Aragon!E1161,'Kilter Holds'!$P$37:$AB$662,12,0),0)</f>
        <v>#NAME?</v>
      </c>
      <c r="I1161" s="274"/>
      <c r="J1161" s="274" t="e">
        <f t="shared" ca="1" si="12"/>
        <v>#NAME?</v>
      </c>
      <c r="K1161" s="274">
        <f t="shared" si="13"/>
        <v>0</v>
      </c>
      <c r="N1161" s="274"/>
    </row>
    <row r="1162" spans="5:14" ht="13.5" customHeight="1">
      <c r="E1162" s="209" t="s">
        <v>1032</v>
      </c>
      <c r="F1162" s="209" t="s">
        <v>2508</v>
      </c>
      <c r="G1162" s="416" t="str">
        <f t="shared" si="14"/>
        <v>Color Code</v>
      </c>
      <c r="H1162" s="273" t="e">
        <f ca="1">_xludf.IFNA(VLOOKUP(Aragon!E1162,'Kilter Holds'!$P$37:$AB$662,13,0),0)</f>
        <v>#NAME?</v>
      </c>
      <c r="I1162" s="274"/>
      <c r="J1162" s="274" t="e">
        <f t="shared" ca="1" si="12"/>
        <v>#NAME?</v>
      </c>
      <c r="K1162" s="274">
        <f t="shared" si="13"/>
        <v>0</v>
      </c>
      <c r="N1162" s="274"/>
    </row>
    <row r="1163" spans="5:14" ht="13.5" customHeight="1">
      <c r="E1163" s="209" t="s">
        <v>261</v>
      </c>
      <c r="F1163" s="209" t="s">
        <v>2509</v>
      </c>
      <c r="G1163" s="406" t="str">
        <f t="shared" si="14"/>
        <v>11-12</v>
      </c>
      <c r="H1163" s="273" t="e">
        <f ca="1">_xludf.IFNA(VLOOKUP(Aragon!E1163,'Kilter Holds'!$P$37:$AB$662,5,0),0)</f>
        <v>#NAME?</v>
      </c>
      <c r="I1163" s="274"/>
      <c r="J1163" s="274" t="e">
        <f t="shared" ca="1" si="12"/>
        <v>#NAME?</v>
      </c>
      <c r="K1163" s="274">
        <f t="shared" si="13"/>
        <v>0</v>
      </c>
      <c r="N1163" s="274"/>
    </row>
    <row r="1164" spans="5:14" ht="13.5" customHeight="1">
      <c r="E1164" s="209" t="s">
        <v>261</v>
      </c>
      <c r="F1164" s="209" t="s">
        <v>2509</v>
      </c>
      <c r="G1164" s="408" t="str">
        <f t="shared" si="14"/>
        <v>14-01</v>
      </c>
      <c r="H1164" s="273" t="e">
        <f ca="1">_xludf.IFNA(VLOOKUP(Aragon!E1164,'Kilter Holds'!$P$37:$AB$662,6,0),0)</f>
        <v>#NAME?</v>
      </c>
      <c r="I1164" s="274"/>
      <c r="J1164" s="274" t="e">
        <f t="shared" ca="1" si="12"/>
        <v>#NAME?</v>
      </c>
      <c r="K1164" s="274">
        <f t="shared" si="13"/>
        <v>0</v>
      </c>
      <c r="N1164" s="274"/>
    </row>
    <row r="1165" spans="5:14" ht="13.5" customHeight="1">
      <c r="E1165" s="209" t="s">
        <v>261</v>
      </c>
      <c r="F1165" s="209" t="s">
        <v>2509</v>
      </c>
      <c r="G1165" s="409" t="str">
        <f t="shared" si="14"/>
        <v>15-12</v>
      </c>
      <c r="H1165" s="273" t="e">
        <f ca="1">_xludf.IFNA(VLOOKUP(Aragon!E1165,'Kilter Holds'!$P$37:$AB$662,7,0),0)</f>
        <v>#NAME?</v>
      </c>
      <c r="I1165" s="274"/>
      <c r="J1165" s="274" t="e">
        <f t="shared" ca="1" si="12"/>
        <v>#NAME?</v>
      </c>
      <c r="K1165" s="274">
        <f t="shared" si="13"/>
        <v>0</v>
      </c>
      <c r="N1165" s="274"/>
    </row>
    <row r="1166" spans="5:14" ht="13.5" customHeight="1">
      <c r="E1166" s="209" t="s">
        <v>261</v>
      </c>
      <c r="F1166" s="209" t="s">
        <v>2509</v>
      </c>
      <c r="G1166" s="410" t="str">
        <f t="shared" si="14"/>
        <v>16-16</v>
      </c>
      <c r="H1166" s="273" t="e">
        <f ca="1">_xludf.IFNA(VLOOKUP(Aragon!E1166,'Kilter Holds'!$P$37:$AB$662,8,0),0)</f>
        <v>#NAME?</v>
      </c>
      <c r="I1166" s="274"/>
      <c r="J1166" s="274" t="e">
        <f t="shared" ca="1" si="12"/>
        <v>#NAME?</v>
      </c>
      <c r="K1166" s="274">
        <f t="shared" si="13"/>
        <v>0</v>
      </c>
      <c r="N1166" s="274"/>
    </row>
    <row r="1167" spans="5:14" ht="13.5" customHeight="1">
      <c r="E1167" s="209" t="s">
        <v>261</v>
      </c>
      <c r="F1167" s="209" t="s">
        <v>2509</v>
      </c>
      <c r="G1167" s="411" t="str">
        <f t="shared" si="14"/>
        <v>13-01</v>
      </c>
      <c r="H1167" s="273" t="e">
        <f ca="1">_xludf.IFNA(VLOOKUP(Aragon!E1167,'Kilter Holds'!$P$37:$AB$662,9,0),0)</f>
        <v>#NAME?</v>
      </c>
      <c r="I1167" s="274"/>
      <c r="J1167" s="274" t="e">
        <f t="shared" ca="1" si="12"/>
        <v>#NAME?</v>
      </c>
      <c r="K1167" s="274">
        <f t="shared" si="13"/>
        <v>0</v>
      </c>
      <c r="N1167" s="274"/>
    </row>
    <row r="1168" spans="5:14" ht="13.5" customHeight="1">
      <c r="E1168" s="209" t="s">
        <v>261</v>
      </c>
      <c r="F1168" s="209" t="s">
        <v>2509</v>
      </c>
      <c r="G1168" s="413" t="str">
        <f t="shared" si="14"/>
        <v>07-13</v>
      </c>
      <c r="H1168" s="273" t="e">
        <f ca="1">_xludf.IFNA(VLOOKUP(Aragon!E1168,'Kilter Holds'!$P$37:$AB$662,10,0),0)</f>
        <v>#NAME?</v>
      </c>
      <c r="I1168" s="274"/>
      <c r="J1168" s="274" t="e">
        <f t="shared" ca="1" si="12"/>
        <v>#NAME?</v>
      </c>
      <c r="K1168" s="274">
        <f t="shared" si="13"/>
        <v>0</v>
      </c>
      <c r="N1168" s="274"/>
    </row>
    <row r="1169" spans="5:14" ht="13.5" customHeight="1">
      <c r="E1169" s="209" t="s">
        <v>261</v>
      </c>
      <c r="F1169" s="209" t="s">
        <v>2509</v>
      </c>
      <c r="G1169" s="414" t="str">
        <f t="shared" si="14"/>
        <v>11-26</v>
      </c>
      <c r="H1169" s="273" t="e">
        <f ca="1">_xludf.IFNA(VLOOKUP(Aragon!E1169,'Kilter Holds'!$P$37:$AB$662,11,0),0)</f>
        <v>#NAME?</v>
      </c>
      <c r="I1169" s="274"/>
      <c r="J1169" s="274" t="e">
        <f t="shared" ca="1" si="12"/>
        <v>#NAME?</v>
      </c>
      <c r="K1169" s="274">
        <f t="shared" si="13"/>
        <v>0</v>
      </c>
      <c r="N1169" s="274"/>
    </row>
    <row r="1170" spans="5:14" ht="13.5" customHeight="1">
      <c r="E1170" s="209" t="s">
        <v>261</v>
      </c>
      <c r="F1170" s="209" t="s">
        <v>2509</v>
      </c>
      <c r="G1170" s="415" t="str">
        <f t="shared" si="14"/>
        <v>18-01</v>
      </c>
      <c r="H1170" s="273" t="e">
        <f ca="1">_xludf.IFNA(VLOOKUP(Aragon!E1170,'Kilter Holds'!$P$37:$AB$662,12,0),0)</f>
        <v>#NAME?</v>
      </c>
      <c r="I1170" s="274"/>
      <c r="J1170" s="274" t="e">
        <f t="shared" ca="1" si="12"/>
        <v>#NAME?</v>
      </c>
      <c r="K1170" s="274">
        <f t="shared" si="13"/>
        <v>0</v>
      </c>
      <c r="N1170" s="274"/>
    </row>
    <row r="1171" spans="5:14" ht="13.5" customHeight="1">
      <c r="E1171" s="209" t="s">
        <v>261</v>
      </c>
      <c r="F1171" s="209" t="s">
        <v>2509</v>
      </c>
      <c r="G1171" s="416" t="str">
        <f t="shared" si="14"/>
        <v>Color Code</v>
      </c>
      <c r="H1171" s="273" t="e">
        <f ca="1">_xludf.IFNA(VLOOKUP(Aragon!E1171,'Kilter Holds'!$P$37:$AB$662,13,0),0)</f>
        <v>#NAME?</v>
      </c>
      <c r="I1171" s="274"/>
      <c r="J1171" s="274" t="e">
        <f t="shared" ca="1" si="12"/>
        <v>#NAME?</v>
      </c>
      <c r="K1171" s="274">
        <f t="shared" si="13"/>
        <v>0</v>
      </c>
      <c r="N1171" s="274"/>
    </row>
    <row r="1172" spans="5:14" ht="13.5" customHeight="1">
      <c r="E1172" s="209" t="s">
        <v>264</v>
      </c>
      <c r="F1172" s="209" t="s">
        <v>2510</v>
      </c>
      <c r="G1172" s="406" t="str">
        <f t="shared" si="14"/>
        <v>11-12</v>
      </c>
      <c r="H1172" s="273" t="e">
        <f ca="1">_xludf.IFNA(VLOOKUP(Aragon!E1172,'Kilter Holds'!$P$37:$AB$662,5,0),0)</f>
        <v>#NAME?</v>
      </c>
      <c r="I1172" s="274"/>
      <c r="J1172" s="274" t="e">
        <f t="shared" ca="1" si="12"/>
        <v>#NAME?</v>
      </c>
      <c r="K1172" s="274">
        <f t="shared" si="13"/>
        <v>0</v>
      </c>
      <c r="N1172" s="274"/>
    </row>
    <row r="1173" spans="5:14" ht="13.5" customHeight="1">
      <c r="E1173" s="209" t="s">
        <v>264</v>
      </c>
      <c r="F1173" s="209" t="s">
        <v>2510</v>
      </c>
      <c r="G1173" s="408" t="str">
        <f t="shared" si="14"/>
        <v>14-01</v>
      </c>
      <c r="H1173" s="273" t="e">
        <f ca="1">_xludf.IFNA(VLOOKUP(Aragon!E1173,'Kilter Holds'!$P$37:$AB$662,6,0),0)</f>
        <v>#NAME?</v>
      </c>
      <c r="I1173" s="274"/>
      <c r="J1173" s="274" t="e">
        <f t="shared" ca="1" si="12"/>
        <v>#NAME?</v>
      </c>
      <c r="K1173" s="274">
        <f t="shared" si="13"/>
        <v>0</v>
      </c>
      <c r="N1173" s="274"/>
    </row>
    <row r="1174" spans="5:14" ht="13.5" customHeight="1">
      <c r="E1174" s="209" t="s">
        <v>264</v>
      </c>
      <c r="F1174" s="209" t="s">
        <v>2510</v>
      </c>
      <c r="G1174" s="409" t="str">
        <f t="shared" si="14"/>
        <v>15-12</v>
      </c>
      <c r="H1174" s="273" t="e">
        <f ca="1">_xludf.IFNA(VLOOKUP(Aragon!E1174,'Kilter Holds'!$P$37:$AB$662,7,0),0)</f>
        <v>#NAME?</v>
      </c>
      <c r="I1174" s="274"/>
      <c r="J1174" s="274" t="e">
        <f t="shared" ca="1" si="12"/>
        <v>#NAME?</v>
      </c>
      <c r="K1174" s="274">
        <f t="shared" si="13"/>
        <v>0</v>
      </c>
      <c r="N1174" s="274"/>
    </row>
    <row r="1175" spans="5:14" ht="13.5" customHeight="1">
      <c r="E1175" s="209" t="s">
        <v>264</v>
      </c>
      <c r="F1175" s="209" t="s">
        <v>2510</v>
      </c>
      <c r="G1175" s="410" t="str">
        <f t="shared" si="14"/>
        <v>16-16</v>
      </c>
      <c r="H1175" s="273" t="e">
        <f ca="1">_xludf.IFNA(VLOOKUP(Aragon!E1175,'Kilter Holds'!$P$37:$AB$662,8,0),0)</f>
        <v>#NAME?</v>
      </c>
      <c r="I1175" s="274"/>
      <c r="J1175" s="274" t="e">
        <f t="shared" ca="1" si="12"/>
        <v>#NAME?</v>
      </c>
      <c r="K1175" s="274">
        <f t="shared" si="13"/>
        <v>0</v>
      </c>
      <c r="N1175" s="274"/>
    </row>
    <row r="1176" spans="5:14" ht="13.5" customHeight="1">
      <c r="E1176" s="209" t="s">
        <v>264</v>
      </c>
      <c r="F1176" s="209" t="s">
        <v>2510</v>
      </c>
      <c r="G1176" s="411" t="str">
        <f t="shared" si="14"/>
        <v>13-01</v>
      </c>
      <c r="H1176" s="273" t="e">
        <f ca="1">_xludf.IFNA(VLOOKUP(Aragon!E1176,'Kilter Holds'!$P$37:$AB$662,9,0),0)</f>
        <v>#NAME?</v>
      </c>
      <c r="I1176" s="274"/>
      <c r="J1176" s="274" t="e">
        <f t="shared" ca="1" si="12"/>
        <v>#NAME?</v>
      </c>
      <c r="K1176" s="274">
        <f t="shared" si="13"/>
        <v>0</v>
      </c>
      <c r="N1176" s="274"/>
    </row>
    <row r="1177" spans="5:14" ht="13.5" customHeight="1">
      <c r="E1177" s="209" t="s">
        <v>264</v>
      </c>
      <c r="F1177" s="209" t="s">
        <v>2510</v>
      </c>
      <c r="G1177" s="413" t="str">
        <f t="shared" si="14"/>
        <v>07-13</v>
      </c>
      <c r="H1177" s="273" t="e">
        <f ca="1">_xludf.IFNA(VLOOKUP(Aragon!E1177,'Kilter Holds'!$P$37:$AB$662,10,0),0)</f>
        <v>#NAME?</v>
      </c>
      <c r="I1177" s="274"/>
      <c r="J1177" s="274" t="e">
        <f t="shared" ca="1" si="12"/>
        <v>#NAME?</v>
      </c>
      <c r="K1177" s="274">
        <f t="shared" si="13"/>
        <v>0</v>
      </c>
      <c r="N1177" s="274"/>
    </row>
    <row r="1178" spans="5:14" ht="13.5" customHeight="1">
      <c r="E1178" s="209" t="s">
        <v>264</v>
      </c>
      <c r="F1178" s="209" t="s">
        <v>2510</v>
      </c>
      <c r="G1178" s="414" t="str">
        <f t="shared" si="14"/>
        <v>11-26</v>
      </c>
      <c r="H1178" s="273" t="e">
        <f ca="1">_xludf.IFNA(VLOOKUP(Aragon!E1178,'Kilter Holds'!$P$37:$AB$662,11,0),0)</f>
        <v>#NAME?</v>
      </c>
      <c r="I1178" s="274"/>
      <c r="J1178" s="274" t="e">
        <f t="shared" ca="1" si="12"/>
        <v>#NAME?</v>
      </c>
      <c r="K1178" s="274">
        <f t="shared" si="13"/>
        <v>0</v>
      </c>
      <c r="N1178" s="274"/>
    </row>
    <row r="1179" spans="5:14" ht="13.5" customHeight="1">
      <c r="E1179" s="209" t="s">
        <v>264</v>
      </c>
      <c r="F1179" s="209" t="s">
        <v>2510</v>
      </c>
      <c r="G1179" s="415" t="str">
        <f t="shared" si="14"/>
        <v>18-01</v>
      </c>
      <c r="H1179" s="273" t="e">
        <f ca="1">_xludf.IFNA(VLOOKUP(Aragon!E1179,'Kilter Holds'!$P$37:$AB$662,12,0),0)</f>
        <v>#NAME?</v>
      </c>
      <c r="I1179" s="274"/>
      <c r="J1179" s="274" t="e">
        <f t="shared" ca="1" si="12"/>
        <v>#NAME?</v>
      </c>
      <c r="K1179" s="274">
        <f t="shared" si="13"/>
        <v>0</v>
      </c>
      <c r="N1179" s="274"/>
    </row>
    <row r="1180" spans="5:14" ht="13.5" customHeight="1">
      <c r="E1180" s="209" t="s">
        <v>264</v>
      </c>
      <c r="F1180" s="209" t="s">
        <v>2510</v>
      </c>
      <c r="G1180" s="416" t="str">
        <f t="shared" si="14"/>
        <v>Color Code</v>
      </c>
      <c r="H1180" s="273" t="e">
        <f ca="1">_xludf.IFNA(VLOOKUP(Aragon!E1180,'Kilter Holds'!$P$37:$AB$662,13,0),0)</f>
        <v>#NAME?</v>
      </c>
      <c r="I1180" s="274"/>
      <c r="J1180" s="274" t="e">
        <f t="shared" ca="1" si="12"/>
        <v>#NAME?</v>
      </c>
      <c r="K1180" s="274">
        <f t="shared" si="13"/>
        <v>0</v>
      </c>
      <c r="N1180" s="274"/>
    </row>
    <row r="1181" spans="5:14" ht="13.5" customHeight="1">
      <c r="E1181" s="209" t="s">
        <v>958</v>
      </c>
      <c r="F1181" s="209" t="s">
        <v>2511</v>
      </c>
      <c r="G1181" s="406" t="str">
        <f t="shared" si="14"/>
        <v>11-12</v>
      </c>
      <c r="H1181" s="273" t="e">
        <f ca="1">_xludf.IFNA(VLOOKUP(Aragon!E1181,'Kilter Holds'!$P$37:$AB$662,5,0),0)</f>
        <v>#NAME?</v>
      </c>
      <c r="I1181" s="274"/>
      <c r="J1181" s="274" t="e">
        <f t="shared" ca="1" si="12"/>
        <v>#NAME?</v>
      </c>
      <c r="K1181" s="274">
        <f t="shared" si="13"/>
        <v>0</v>
      </c>
      <c r="N1181" s="274"/>
    </row>
    <row r="1182" spans="5:14" ht="13.5" customHeight="1">
      <c r="E1182" s="209" t="s">
        <v>958</v>
      </c>
      <c r="F1182" s="209" t="s">
        <v>2511</v>
      </c>
      <c r="G1182" s="408" t="str">
        <f t="shared" si="14"/>
        <v>14-01</v>
      </c>
      <c r="H1182" s="273" t="e">
        <f ca="1">_xludf.IFNA(VLOOKUP(Aragon!E1182,'Kilter Holds'!$P$37:$AB$662,6,0),0)</f>
        <v>#NAME?</v>
      </c>
      <c r="I1182" s="274"/>
      <c r="J1182" s="274" t="e">
        <f t="shared" ca="1" si="12"/>
        <v>#NAME?</v>
      </c>
      <c r="K1182" s="274">
        <f t="shared" si="13"/>
        <v>0</v>
      </c>
      <c r="N1182" s="274"/>
    </row>
    <row r="1183" spans="5:14" ht="13.5" customHeight="1">
      <c r="E1183" s="209" t="s">
        <v>958</v>
      </c>
      <c r="F1183" s="209" t="s">
        <v>2511</v>
      </c>
      <c r="G1183" s="409" t="str">
        <f t="shared" si="14"/>
        <v>15-12</v>
      </c>
      <c r="H1183" s="273" t="e">
        <f ca="1">_xludf.IFNA(VLOOKUP(Aragon!E1183,'Kilter Holds'!$P$37:$AB$662,7,0),0)</f>
        <v>#NAME?</v>
      </c>
      <c r="I1183" s="274"/>
      <c r="J1183" s="274" t="e">
        <f t="shared" ca="1" si="12"/>
        <v>#NAME?</v>
      </c>
      <c r="K1183" s="274">
        <f t="shared" si="13"/>
        <v>0</v>
      </c>
      <c r="N1183" s="274"/>
    </row>
    <row r="1184" spans="5:14" ht="13.5" customHeight="1">
      <c r="E1184" s="209" t="s">
        <v>958</v>
      </c>
      <c r="F1184" s="209" t="s">
        <v>2511</v>
      </c>
      <c r="G1184" s="410" t="str">
        <f t="shared" si="14"/>
        <v>16-16</v>
      </c>
      <c r="H1184" s="273" t="e">
        <f ca="1">_xludf.IFNA(VLOOKUP(Aragon!E1184,'Kilter Holds'!$P$37:$AB$662,8,0),0)</f>
        <v>#NAME?</v>
      </c>
      <c r="I1184" s="274"/>
      <c r="J1184" s="274" t="e">
        <f t="shared" ca="1" si="12"/>
        <v>#NAME?</v>
      </c>
      <c r="K1184" s="274">
        <f t="shared" si="13"/>
        <v>0</v>
      </c>
      <c r="N1184" s="274"/>
    </row>
    <row r="1185" spans="5:14" ht="13.5" customHeight="1">
      <c r="E1185" s="209" t="s">
        <v>958</v>
      </c>
      <c r="F1185" s="209" t="s">
        <v>2511</v>
      </c>
      <c r="G1185" s="411" t="str">
        <f t="shared" si="14"/>
        <v>13-01</v>
      </c>
      <c r="H1185" s="273" t="e">
        <f ca="1">_xludf.IFNA(VLOOKUP(Aragon!E1185,'Kilter Holds'!$P$37:$AB$662,9,0),0)</f>
        <v>#NAME?</v>
      </c>
      <c r="I1185" s="274"/>
      <c r="J1185" s="274" t="e">
        <f t="shared" ca="1" si="12"/>
        <v>#NAME?</v>
      </c>
      <c r="K1185" s="274">
        <f t="shared" si="13"/>
        <v>0</v>
      </c>
      <c r="N1185" s="274"/>
    </row>
    <row r="1186" spans="5:14" ht="13.5" customHeight="1">
      <c r="E1186" s="209" t="s">
        <v>958</v>
      </c>
      <c r="F1186" s="209" t="s">
        <v>2511</v>
      </c>
      <c r="G1186" s="413" t="str">
        <f t="shared" si="14"/>
        <v>07-13</v>
      </c>
      <c r="H1186" s="273" t="e">
        <f ca="1">_xludf.IFNA(VLOOKUP(Aragon!E1186,'Kilter Holds'!$P$37:$AB$662,10,0),0)</f>
        <v>#NAME?</v>
      </c>
      <c r="I1186" s="274"/>
      <c r="J1186" s="274" t="e">
        <f t="shared" ca="1" si="12"/>
        <v>#NAME?</v>
      </c>
      <c r="K1186" s="274">
        <f t="shared" si="13"/>
        <v>0</v>
      </c>
      <c r="N1186" s="274"/>
    </row>
    <row r="1187" spans="5:14" ht="13.5" customHeight="1">
      <c r="E1187" s="209" t="s">
        <v>958</v>
      </c>
      <c r="F1187" s="209" t="s">
        <v>2511</v>
      </c>
      <c r="G1187" s="414" t="str">
        <f t="shared" si="14"/>
        <v>11-26</v>
      </c>
      <c r="H1187" s="273" t="e">
        <f ca="1">_xludf.IFNA(VLOOKUP(Aragon!E1187,'Kilter Holds'!$P$37:$AB$662,11,0),0)</f>
        <v>#NAME?</v>
      </c>
      <c r="I1187" s="274"/>
      <c r="J1187" s="274" t="e">
        <f t="shared" ca="1" si="12"/>
        <v>#NAME?</v>
      </c>
      <c r="K1187" s="274">
        <f t="shared" si="13"/>
        <v>0</v>
      </c>
      <c r="N1187" s="274"/>
    </row>
    <row r="1188" spans="5:14" ht="13.5" customHeight="1">
      <c r="E1188" s="209" t="s">
        <v>958</v>
      </c>
      <c r="F1188" s="209" t="s">
        <v>2511</v>
      </c>
      <c r="G1188" s="415" t="str">
        <f t="shared" si="14"/>
        <v>18-01</v>
      </c>
      <c r="H1188" s="273" t="e">
        <f ca="1">_xludf.IFNA(VLOOKUP(Aragon!E1188,'Kilter Holds'!$P$37:$AB$662,12,0),0)</f>
        <v>#NAME?</v>
      </c>
      <c r="I1188" s="274"/>
      <c r="J1188" s="274" t="e">
        <f t="shared" ca="1" si="12"/>
        <v>#NAME?</v>
      </c>
      <c r="K1188" s="274">
        <f t="shared" si="13"/>
        <v>0</v>
      </c>
      <c r="N1188" s="274"/>
    </row>
    <row r="1189" spans="5:14" ht="13.5" customHeight="1">
      <c r="E1189" s="209" t="s">
        <v>958</v>
      </c>
      <c r="F1189" s="209" t="s">
        <v>2511</v>
      </c>
      <c r="G1189" s="416" t="str">
        <f t="shared" si="14"/>
        <v>Color Code</v>
      </c>
      <c r="H1189" s="273" t="e">
        <f ca="1">_xludf.IFNA(VLOOKUP(Aragon!E1189,'Kilter Holds'!$P$37:$AB$662,13,0),0)</f>
        <v>#NAME?</v>
      </c>
      <c r="I1189" s="274"/>
      <c r="J1189" s="274" t="e">
        <f t="shared" ca="1" si="12"/>
        <v>#NAME?</v>
      </c>
      <c r="K1189" s="274">
        <f t="shared" si="13"/>
        <v>0</v>
      </c>
      <c r="N1189" s="274"/>
    </row>
    <row r="1190" spans="5:14" ht="13.5" customHeight="1">
      <c r="E1190" s="209" t="s">
        <v>1115</v>
      </c>
      <c r="F1190" s="209" t="s">
        <v>2512</v>
      </c>
      <c r="G1190" s="406" t="str">
        <f t="shared" si="14"/>
        <v>11-12</v>
      </c>
      <c r="H1190" s="273" t="e">
        <f ca="1">_xludf.IFNA(VLOOKUP(Aragon!E1190,'Kilter Holds'!$P$37:$AB$662,5,0),0)</f>
        <v>#NAME?</v>
      </c>
      <c r="I1190" s="274"/>
      <c r="J1190" s="274" t="e">
        <f t="shared" ca="1" si="12"/>
        <v>#NAME?</v>
      </c>
      <c r="K1190" s="274">
        <f t="shared" si="13"/>
        <v>0</v>
      </c>
      <c r="N1190" s="274"/>
    </row>
    <row r="1191" spans="5:14" ht="13.5" customHeight="1">
      <c r="E1191" s="209" t="s">
        <v>1115</v>
      </c>
      <c r="F1191" s="209" t="s">
        <v>2512</v>
      </c>
      <c r="G1191" s="408" t="str">
        <f t="shared" si="14"/>
        <v>14-01</v>
      </c>
      <c r="H1191" s="273" t="e">
        <f ca="1">_xludf.IFNA(VLOOKUP(Aragon!E1191,'Kilter Holds'!$P$37:$AB$662,6,0),0)</f>
        <v>#NAME?</v>
      </c>
      <c r="I1191" s="274"/>
      <c r="J1191" s="274" t="e">
        <f t="shared" ca="1" si="12"/>
        <v>#NAME?</v>
      </c>
      <c r="K1191" s="274">
        <f t="shared" si="13"/>
        <v>0</v>
      </c>
      <c r="N1191" s="274"/>
    </row>
    <row r="1192" spans="5:14" ht="13.5" customHeight="1">
      <c r="E1192" s="209" t="s">
        <v>1115</v>
      </c>
      <c r="F1192" s="209" t="s">
        <v>2512</v>
      </c>
      <c r="G1192" s="409" t="str">
        <f t="shared" si="14"/>
        <v>15-12</v>
      </c>
      <c r="H1192" s="273" t="e">
        <f ca="1">_xludf.IFNA(VLOOKUP(Aragon!E1192,'Kilter Holds'!$P$37:$AB$662,7,0),0)</f>
        <v>#NAME?</v>
      </c>
      <c r="I1192" s="274"/>
      <c r="J1192" s="274" t="e">
        <f t="shared" ca="1" si="12"/>
        <v>#NAME?</v>
      </c>
      <c r="K1192" s="274">
        <f t="shared" si="13"/>
        <v>0</v>
      </c>
      <c r="N1192" s="274"/>
    </row>
    <row r="1193" spans="5:14" ht="13.5" customHeight="1">
      <c r="E1193" s="209" t="s">
        <v>1115</v>
      </c>
      <c r="F1193" s="209" t="s">
        <v>2512</v>
      </c>
      <c r="G1193" s="410" t="str">
        <f t="shared" si="14"/>
        <v>16-16</v>
      </c>
      <c r="H1193" s="273" t="e">
        <f ca="1">_xludf.IFNA(VLOOKUP(Aragon!E1193,'Kilter Holds'!$P$37:$AB$662,8,0),0)</f>
        <v>#NAME?</v>
      </c>
      <c r="I1193" s="274"/>
      <c r="J1193" s="274" t="e">
        <f t="shared" ca="1" si="12"/>
        <v>#NAME?</v>
      </c>
      <c r="K1193" s="274">
        <f t="shared" si="13"/>
        <v>0</v>
      </c>
      <c r="N1193" s="274"/>
    </row>
    <row r="1194" spans="5:14" ht="13.5" customHeight="1">
      <c r="E1194" s="209" t="s">
        <v>1115</v>
      </c>
      <c r="F1194" s="209" t="s">
        <v>2512</v>
      </c>
      <c r="G1194" s="411" t="str">
        <f t="shared" si="14"/>
        <v>13-01</v>
      </c>
      <c r="H1194" s="273" t="e">
        <f ca="1">_xludf.IFNA(VLOOKUP(Aragon!E1194,'Kilter Holds'!$P$37:$AB$662,9,0),0)</f>
        <v>#NAME?</v>
      </c>
      <c r="I1194" s="274"/>
      <c r="J1194" s="274" t="e">
        <f t="shared" ca="1" si="12"/>
        <v>#NAME?</v>
      </c>
      <c r="K1194" s="274">
        <f t="shared" si="13"/>
        <v>0</v>
      </c>
      <c r="N1194" s="274"/>
    </row>
    <row r="1195" spans="5:14" ht="13.5" customHeight="1">
      <c r="E1195" s="209" t="s">
        <v>1115</v>
      </c>
      <c r="F1195" s="209" t="s">
        <v>2512</v>
      </c>
      <c r="G1195" s="413" t="str">
        <f t="shared" si="14"/>
        <v>07-13</v>
      </c>
      <c r="H1195" s="273" t="e">
        <f ca="1">_xludf.IFNA(VLOOKUP(Aragon!E1195,'Kilter Holds'!$P$37:$AB$662,10,0),0)</f>
        <v>#NAME?</v>
      </c>
      <c r="I1195" s="274"/>
      <c r="J1195" s="274" t="e">
        <f t="shared" ca="1" si="12"/>
        <v>#NAME?</v>
      </c>
      <c r="K1195" s="274">
        <f t="shared" si="13"/>
        <v>0</v>
      </c>
      <c r="N1195" s="274"/>
    </row>
    <row r="1196" spans="5:14" ht="13.5" customHeight="1">
      <c r="E1196" s="209" t="s">
        <v>1115</v>
      </c>
      <c r="F1196" s="209" t="s">
        <v>2512</v>
      </c>
      <c r="G1196" s="414" t="str">
        <f t="shared" si="14"/>
        <v>11-26</v>
      </c>
      <c r="H1196" s="273" t="e">
        <f ca="1">_xludf.IFNA(VLOOKUP(Aragon!E1196,'Kilter Holds'!$P$37:$AB$662,11,0),0)</f>
        <v>#NAME?</v>
      </c>
      <c r="I1196" s="274"/>
      <c r="J1196" s="274" t="e">
        <f t="shared" ca="1" si="12"/>
        <v>#NAME?</v>
      </c>
      <c r="K1196" s="274">
        <f t="shared" si="13"/>
        <v>0</v>
      </c>
      <c r="N1196" s="274"/>
    </row>
    <row r="1197" spans="5:14" ht="13.5" customHeight="1">
      <c r="E1197" s="209" t="s">
        <v>1115</v>
      </c>
      <c r="F1197" s="209" t="s">
        <v>2512</v>
      </c>
      <c r="G1197" s="415" t="str">
        <f t="shared" si="14"/>
        <v>18-01</v>
      </c>
      <c r="H1197" s="273" t="e">
        <f ca="1">_xludf.IFNA(VLOOKUP(Aragon!E1197,'Kilter Holds'!$P$37:$AB$662,12,0),0)</f>
        <v>#NAME?</v>
      </c>
      <c r="I1197" s="274"/>
      <c r="J1197" s="274" t="e">
        <f t="shared" ca="1" si="12"/>
        <v>#NAME?</v>
      </c>
      <c r="K1197" s="274">
        <f t="shared" si="13"/>
        <v>0</v>
      </c>
      <c r="N1197" s="274"/>
    </row>
    <row r="1198" spans="5:14" ht="13.5" customHeight="1">
      <c r="E1198" s="209" t="s">
        <v>1115</v>
      </c>
      <c r="F1198" s="209" t="s">
        <v>2512</v>
      </c>
      <c r="G1198" s="416" t="str">
        <f t="shared" si="14"/>
        <v>Color Code</v>
      </c>
      <c r="H1198" s="273" t="e">
        <f ca="1">_xludf.IFNA(VLOOKUP(Aragon!E1198,'Kilter Holds'!$P$37:$AB$662,13,0),0)</f>
        <v>#NAME?</v>
      </c>
      <c r="I1198" s="274"/>
      <c r="J1198" s="274" t="e">
        <f t="shared" ca="1" si="12"/>
        <v>#NAME?</v>
      </c>
      <c r="K1198" s="274">
        <f t="shared" si="13"/>
        <v>0</v>
      </c>
      <c r="N1198" s="274"/>
    </row>
    <row r="1199" spans="5:14" ht="13.5" customHeight="1">
      <c r="E1199" s="209" t="s">
        <v>960</v>
      </c>
      <c r="F1199" s="209" t="s">
        <v>2513</v>
      </c>
      <c r="G1199" s="406" t="str">
        <f t="shared" si="14"/>
        <v>11-12</v>
      </c>
      <c r="H1199" s="273" t="e">
        <f ca="1">_xludf.IFNA(VLOOKUP(Aragon!E1199,'Kilter Holds'!$P$37:$AB$662,5,0),0)</f>
        <v>#NAME?</v>
      </c>
      <c r="I1199" s="274"/>
      <c r="J1199" s="274" t="e">
        <f t="shared" ca="1" si="12"/>
        <v>#NAME?</v>
      </c>
      <c r="K1199" s="274">
        <f t="shared" si="13"/>
        <v>0</v>
      </c>
      <c r="N1199" s="274"/>
    </row>
    <row r="1200" spans="5:14" ht="13.5" customHeight="1">
      <c r="E1200" s="209" t="s">
        <v>960</v>
      </c>
      <c r="F1200" s="209" t="s">
        <v>2513</v>
      </c>
      <c r="G1200" s="408" t="str">
        <f t="shared" si="14"/>
        <v>14-01</v>
      </c>
      <c r="H1200" s="273" t="e">
        <f ca="1">_xludf.IFNA(VLOOKUP(Aragon!E1200,'Kilter Holds'!$P$37:$AB$662,6,0),0)</f>
        <v>#NAME?</v>
      </c>
      <c r="I1200" s="274"/>
      <c r="J1200" s="274" t="e">
        <f t="shared" ca="1" si="12"/>
        <v>#NAME?</v>
      </c>
      <c r="K1200" s="274">
        <f t="shared" si="13"/>
        <v>0</v>
      </c>
      <c r="N1200" s="274"/>
    </row>
    <row r="1201" spans="5:14" ht="13.5" customHeight="1">
      <c r="E1201" s="209" t="s">
        <v>960</v>
      </c>
      <c r="F1201" s="209" t="s">
        <v>2513</v>
      </c>
      <c r="G1201" s="409" t="str">
        <f t="shared" si="14"/>
        <v>15-12</v>
      </c>
      <c r="H1201" s="273" t="e">
        <f ca="1">_xludf.IFNA(VLOOKUP(Aragon!E1201,'Kilter Holds'!$P$37:$AB$662,7,0),0)</f>
        <v>#NAME?</v>
      </c>
      <c r="I1201" s="274"/>
      <c r="J1201" s="274" t="e">
        <f t="shared" ca="1" si="12"/>
        <v>#NAME?</v>
      </c>
      <c r="K1201" s="274">
        <f t="shared" si="13"/>
        <v>0</v>
      </c>
      <c r="N1201" s="274"/>
    </row>
    <row r="1202" spans="5:14" ht="13.5" customHeight="1">
      <c r="E1202" s="209" t="s">
        <v>960</v>
      </c>
      <c r="F1202" s="209" t="s">
        <v>2513</v>
      </c>
      <c r="G1202" s="410" t="str">
        <f t="shared" si="14"/>
        <v>16-16</v>
      </c>
      <c r="H1202" s="273" t="e">
        <f ca="1">_xludf.IFNA(VLOOKUP(Aragon!E1202,'Kilter Holds'!$P$37:$AB$662,8,0),0)</f>
        <v>#NAME?</v>
      </c>
      <c r="I1202" s="274"/>
      <c r="J1202" s="274" t="e">
        <f t="shared" ca="1" si="12"/>
        <v>#NAME?</v>
      </c>
      <c r="K1202" s="274">
        <f t="shared" si="13"/>
        <v>0</v>
      </c>
      <c r="N1202" s="274"/>
    </row>
    <row r="1203" spans="5:14" ht="13.5" customHeight="1">
      <c r="E1203" s="209" t="s">
        <v>960</v>
      </c>
      <c r="F1203" s="209" t="s">
        <v>2513</v>
      </c>
      <c r="G1203" s="411" t="str">
        <f t="shared" si="14"/>
        <v>13-01</v>
      </c>
      <c r="H1203" s="273" t="e">
        <f ca="1">_xludf.IFNA(VLOOKUP(Aragon!E1203,'Kilter Holds'!$P$37:$AB$662,9,0),0)</f>
        <v>#NAME?</v>
      </c>
      <c r="I1203" s="274"/>
      <c r="J1203" s="274" t="e">
        <f t="shared" ca="1" si="12"/>
        <v>#NAME?</v>
      </c>
      <c r="K1203" s="274">
        <f t="shared" si="13"/>
        <v>0</v>
      </c>
      <c r="N1203" s="274"/>
    </row>
    <row r="1204" spans="5:14" ht="13.5" customHeight="1">
      <c r="E1204" s="209" t="s">
        <v>960</v>
      </c>
      <c r="F1204" s="209" t="s">
        <v>2513</v>
      </c>
      <c r="G1204" s="413" t="str">
        <f t="shared" si="14"/>
        <v>07-13</v>
      </c>
      <c r="H1204" s="273" t="e">
        <f ca="1">_xludf.IFNA(VLOOKUP(Aragon!E1204,'Kilter Holds'!$P$37:$AB$662,10,0),0)</f>
        <v>#NAME?</v>
      </c>
      <c r="I1204" s="274"/>
      <c r="J1204" s="274" t="e">
        <f t="shared" ca="1" si="12"/>
        <v>#NAME?</v>
      </c>
      <c r="K1204" s="274">
        <f t="shared" si="13"/>
        <v>0</v>
      </c>
      <c r="N1204" s="274"/>
    </row>
    <row r="1205" spans="5:14" ht="13.5" customHeight="1">
      <c r="E1205" s="209" t="s">
        <v>960</v>
      </c>
      <c r="F1205" s="209" t="s">
        <v>2513</v>
      </c>
      <c r="G1205" s="414" t="str">
        <f t="shared" si="14"/>
        <v>11-26</v>
      </c>
      <c r="H1205" s="273" t="e">
        <f ca="1">_xludf.IFNA(VLOOKUP(Aragon!E1205,'Kilter Holds'!$P$37:$AB$662,11,0),0)</f>
        <v>#NAME?</v>
      </c>
      <c r="I1205" s="274"/>
      <c r="J1205" s="274" t="e">
        <f t="shared" ca="1" si="12"/>
        <v>#NAME?</v>
      </c>
      <c r="K1205" s="274">
        <f t="shared" si="13"/>
        <v>0</v>
      </c>
      <c r="N1205" s="274"/>
    </row>
    <row r="1206" spans="5:14" ht="13.5" customHeight="1">
      <c r="E1206" s="209" t="s">
        <v>960</v>
      </c>
      <c r="F1206" s="209" t="s">
        <v>2513</v>
      </c>
      <c r="G1206" s="415" t="str">
        <f t="shared" si="14"/>
        <v>18-01</v>
      </c>
      <c r="H1206" s="273" t="e">
        <f ca="1">_xludf.IFNA(VLOOKUP(Aragon!E1206,'Kilter Holds'!$P$37:$AB$662,12,0),0)</f>
        <v>#NAME?</v>
      </c>
      <c r="I1206" s="274"/>
      <c r="J1206" s="274" t="e">
        <f t="shared" ca="1" si="12"/>
        <v>#NAME?</v>
      </c>
      <c r="K1206" s="274">
        <f t="shared" si="13"/>
        <v>0</v>
      </c>
      <c r="N1206" s="274"/>
    </row>
    <row r="1207" spans="5:14" ht="13.5" customHeight="1">
      <c r="E1207" s="209" t="s">
        <v>960</v>
      </c>
      <c r="F1207" s="209" t="s">
        <v>2513</v>
      </c>
      <c r="G1207" s="416" t="str">
        <f t="shared" si="14"/>
        <v>Color Code</v>
      </c>
      <c r="H1207" s="273" t="e">
        <f ca="1">_xludf.IFNA(VLOOKUP(Aragon!E1207,'Kilter Holds'!$P$37:$AB$662,13,0),0)</f>
        <v>#NAME?</v>
      </c>
      <c r="I1207" s="274"/>
      <c r="J1207" s="274" t="e">
        <f t="shared" ca="1" si="12"/>
        <v>#NAME?</v>
      </c>
      <c r="K1207" s="274">
        <f t="shared" si="13"/>
        <v>0</v>
      </c>
      <c r="N1207" s="274"/>
    </row>
    <row r="1208" spans="5:14" ht="13.5" customHeight="1">
      <c r="E1208" s="209" t="s">
        <v>1145</v>
      </c>
      <c r="F1208" s="209" t="s">
        <v>2514</v>
      </c>
      <c r="G1208" s="406" t="str">
        <f t="shared" si="14"/>
        <v>11-12</v>
      </c>
      <c r="H1208" s="273" t="e">
        <f ca="1">_xludf.IFNA(VLOOKUP(Aragon!E1208,'Kilter Holds'!$P$37:$AB$662,5,0),0)</f>
        <v>#NAME?</v>
      </c>
      <c r="I1208" s="274"/>
      <c r="J1208" s="274" t="e">
        <f t="shared" ca="1" si="12"/>
        <v>#NAME?</v>
      </c>
      <c r="K1208" s="274">
        <f t="shared" si="13"/>
        <v>0</v>
      </c>
      <c r="N1208" s="274"/>
    </row>
    <row r="1209" spans="5:14" ht="13.5" customHeight="1">
      <c r="E1209" s="209" t="s">
        <v>1145</v>
      </c>
      <c r="F1209" s="209" t="s">
        <v>2514</v>
      </c>
      <c r="G1209" s="408" t="str">
        <f t="shared" si="14"/>
        <v>14-01</v>
      </c>
      <c r="H1209" s="273" t="e">
        <f ca="1">_xludf.IFNA(VLOOKUP(Aragon!E1209,'Kilter Holds'!$P$37:$AB$662,6,0),0)</f>
        <v>#NAME?</v>
      </c>
      <c r="I1209" s="274"/>
      <c r="J1209" s="274" t="e">
        <f t="shared" ca="1" si="12"/>
        <v>#NAME?</v>
      </c>
      <c r="K1209" s="274">
        <f t="shared" si="13"/>
        <v>0</v>
      </c>
      <c r="N1209" s="274"/>
    </row>
    <row r="1210" spans="5:14" ht="13.5" customHeight="1">
      <c r="E1210" s="209" t="s">
        <v>1145</v>
      </c>
      <c r="F1210" s="209" t="s">
        <v>2514</v>
      </c>
      <c r="G1210" s="409" t="str">
        <f t="shared" si="14"/>
        <v>15-12</v>
      </c>
      <c r="H1210" s="273" t="e">
        <f ca="1">_xludf.IFNA(VLOOKUP(Aragon!E1210,'Kilter Holds'!$P$37:$AB$662,7,0),0)</f>
        <v>#NAME?</v>
      </c>
      <c r="I1210" s="274"/>
      <c r="J1210" s="274" t="e">
        <f t="shared" ca="1" si="12"/>
        <v>#NAME?</v>
      </c>
      <c r="K1210" s="274">
        <f t="shared" si="13"/>
        <v>0</v>
      </c>
      <c r="N1210" s="274"/>
    </row>
    <row r="1211" spans="5:14" ht="13.5" customHeight="1">
      <c r="E1211" s="209" t="s">
        <v>1145</v>
      </c>
      <c r="F1211" s="209" t="s">
        <v>2514</v>
      </c>
      <c r="G1211" s="410" t="str">
        <f t="shared" si="14"/>
        <v>16-16</v>
      </c>
      <c r="H1211" s="273" t="e">
        <f ca="1">_xludf.IFNA(VLOOKUP(Aragon!E1211,'Kilter Holds'!$P$37:$AB$662,8,0),0)</f>
        <v>#NAME?</v>
      </c>
      <c r="I1211" s="274"/>
      <c r="J1211" s="274" t="e">
        <f t="shared" ca="1" si="12"/>
        <v>#NAME?</v>
      </c>
      <c r="K1211" s="274">
        <f t="shared" si="13"/>
        <v>0</v>
      </c>
      <c r="N1211" s="274"/>
    </row>
    <row r="1212" spans="5:14" ht="13.5" customHeight="1">
      <c r="E1212" s="209" t="s">
        <v>1145</v>
      </c>
      <c r="F1212" s="209" t="s">
        <v>2514</v>
      </c>
      <c r="G1212" s="411" t="str">
        <f t="shared" si="14"/>
        <v>13-01</v>
      </c>
      <c r="H1212" s="273" t="e">
        <f ca="1">_xludf.IFNA(VLOOKUP(Aragon!E1212,'Kilter Holds'!$P$37:$AB$662,9,0),0)</f>
        <v>#NAME?</v>
      </c>
      <c r="I1212" s="274"/>
      <c r="J1212" s="274" t="e">
        <f t="shared" ca="1" si="12"/>
        <v>#NAME?</v>
      </c>
      <c r="K1212" s="274">
        <f t="shared" si="13"/>
        <v>0</v>
      </c>
      <c r="N1212" s="274"/>
    </row>
    <row r="1213" spans="5:14" ht="13.5" customHeight="1">
      <c r="E1213" s="209" t="s">
        <v>1145</v>
      </c>
      <c r="F1213" s="209" t="s">
        <v>2514</v>
      </c>
      <c r="G1213" s="413" t="str">
        <f t="shared" si="14"/>
        <v>07-13</v>
      </c>
      <c r="H1213" s="273" t="e">
        <f ca="1">_xludf.IFNA(VLOOKUP(Aragon!E1213,'Kilter Holds'!$P$37:$AB$662,10,0),0)</f>
        <v>#NAME?</v>
      </c>
      <c r="I1213" s="274"/>
      <c r="J1213" s="274" t="e">
        <f t="shared" ca="1" si="12"/>
        <v>#NAME?</v>
      </c>
      <c r="K1213" s="274">
        <f t="shared" si="13"/>
        <v>0</v>
      </c>
      <c r="N1213" s="274"/>
    </row>
    <row r="1214" spans="5:14" ht="13.5" customHeight="1">
      <c r="E1214" s="209" t="s">
        <v>1145</v>
      </c>
      <c r="F1214" s="209" t="s">
        <v>2514</v>
      </c>
      <c r="G1214" s="414" t="str">
        <f t="shared" si="14"/>
        <v>11-26</v>
      </c>
      <c r="H1214" s="273" t="e">
        <f ca="1">_xludf.IFNA(VLOOKUP(Aragon!E1214,'Kilter Holds'!$P$37:$AB$662,11,0),0)</f>
        <v>#NAME?</v>
      </c>
      <c r="I1214" s="274"/>
      <c r="J1214" s="274" t="e">
        <f t="shared" ca="1" si="12"/>
        <v>#NAME?</v>
      </c>
      <c r="K1214" s="274">
        <f t="shared" si="13"/>
        <v>0</v>
      </c>
      <c r="N1214" s="274"/>
    </row>
    <row r="1215" spans="5:14" ht="13.5" customHeight="1">
      <c r="E1215" s="209" t="s">
        <v>1145</v>
      </c>
      <c r="F1215" s="209" t="s">
        <v>2514</v>
      </c>
      <c r="G1215" s="415" t="str">
        <f t="shared" si="14"/>
        <v>18-01</v>
      </c>
      <c r="H1215" s="273" t="e">
        <f ca="1">_xludf.IFNA(VLOOKUP(Aragon!E1215,'Kilter Holds'!$P$37:$AB$662,12,0),0)</f>
        <v>#NAME?</v>
      </c>
      <c r="I1215" s="274"/>
      <c r="J1215" s="274" t="e">
        <f t="shared" ca="1" si="12"/>
        <v>#NAME?</v>
      </c>
      <c r="K1215" s="274">
        <f t="shared" si="13"/>
        <v>0</v>
      </c>
      <c r="N1215" s="274"/>
    </row>
    <row r="1216" spans="5:14" ht="13.5" customHeight="1">
      <c r="E1216" s="209" t="s">
        <v>1145</v>
      </c>
      <c r="F1216" s="209" t="s">
        <v>2514</v>
      </c>
      <c r="G1216" s="416" t="str">
        <f t="shared" si="14"/>
        <v>Color Code</v>
      </c>
      <c r="H1216" s="273" t="e">
        <f ca="1">_xludf.IFNA(VLOOKUP(Aragon!E1216,'Kilter Holds'!$P$37:$AB$662,13,0),0)</f>
        <v>#NAME?</v>
      </c>
      <c r="I1216" s="274"/>
      <c r="J1216" s="274" t="e">
        <f t="shared" ca="1" si="12"/>
        <v>#NAME?</v>
      </c>
      <c r="K1216" s="274">
        <f t="shared" si="13"/>
        <v>0</v>
      </c>
      <c r="N1216" s="274"/>
    </row>
    <row r="1217" spans="5:14" ht="13.5" customHeight="1">
      <c r="E1217" s="209" t="s">
        <v>1000</v>
      </c>
      <c r="F1217" s="209" t="s">
        <v>2515</v>
      </c>
      <c r="G1217" s="406" t="str">
        <f t="shared" si="14"/>
        <v>11-12</v>
      </c>
      <c r="H1217" s="273" t="e">
        <f ca="1">_xludf.IFNA(VLOOKUP(Aragon!E1217,'Kilter Holds'!$P$37:$AB$662,5,0),0)</f>
        <v>#NAME?</v>
      </c>
      <c r="I1217" s="274"/>
      <c r="J1217" s="274" t="e">
        <f t="shared" ca="1" si="12"/>
        <v>#NAME?</v>
      </c>
      <c r="K1217" s="274">
        <f t="shared" si="13"/>
        <v>0</v>
      </c>
      <c r="N1217" s="274"/>
    </row>
    <row r="1218" spans="5:14" ht="13.5" customHeight="1">
      <c r="E1218" s="209" t="s">
        <v>1000</v>
      </c>
      <c r="F1218" s="209" t="s">
        <v>2515</v>
      </c>
      <c r="G1218" s="408" t="str">
        <f t="shared" si="14"/>
        <v>14-01</v>
      </c>
      <c r="H1218" s="273" t="e">
        <f ca="1">_xludf.IFNA(VLOOKUP(Aragon!E1218,'Kilter Holds'!$P$37:$AB$662,6,0),0)</f>
        <v>#NAME?</v>
      </c>
      <c r="I1218" s="274"/>
      <c r="J1218" s="274" t="e">
        <f t="shared" ca="1" si="12"/>
        <v>#NAME?</v>
      </c>
      <c r="K1218" s="274">
        <f t="shared" si="13"/>
        <v>0</v>
      </c>
      <c r="N1218" s="274"/>
    </row>
    <row r="1219" spans="5:14" ht="13.5" customHeight="1">
      <c r="E1219" s="209" t="s">
        <v>1000</v>
      </c>
      <c r="F1219" s="209" t="s">
        <v>2515</v>
      </c>
      <c r="G1219" s="409" t="str">
        <f t="shared" si="14"/>
        <v>15-12</v>
      </c>
      <c r="H1219" s="273" t="e">
        <f ca="1">_xludf.IFNA(VLOOKUP(Aragon!E1219,'Kilter Holds'!$P$37:$AB$662,7,0),0)</f>
        <v>#NAME?</v>
      </c>
      <c r="I1219" s="274"/>
      <c r="J1219" s="274" t="e">
        <f t="shared" ca="1" si="12"/>
        <v>#NAME?</v>
      </c>
      <c r="K1219" s="274">
        <f t="shared" si="13"/>
        <v>0</v>
      </c>
      <c r="N1219" s="274"/>
    </row>
    <row r="1220" spans="5:14" ht="13.5" customHeight="1">
      <c r="E1220" s="209" t="s">
        <v>1000</v>
      </c>
      <c r="F1220" s="209" t="s">
        <v>2515</v>
      </c>
      <c r="G1220" s="410" t="str">
        <f t="shared" si="14"/>
        <v>16-16</v>
      </c>
      <c r="H1220" s="273" t="e">
        <f ca="1">_xludf.IFNA(VLOOKUP(Aragon!E1220,'Kilter Holds'!$P$37:$AB$662,8,0),0)</f>
        <v>#NAME?</v>
      </c>
      <c r="I1220" s="274"/>
      <c r="J1220" s="274" t="e">
        <f t="shared" ca="1" si="12"/>
        <v>#NAME?</v>
      </c>
      <c r="K1220" s="274">
        <f t="shared" si="13"/>
        <v>0</v>
      </c>
      <c r="N1220" s="274"/>
    </row>
    <row r="1221" spans="5:14" ht="13.5" customHeight="1">
      <c r="E1221" s="209" t="s">
        <v>1000</v>
      </c>
      <c r="F1221" s="209" t="s">
        <v>2515</v>
      </c>
      <c r="G1221" s="411" t="str">
        <f t="shared" si="14"/>
        <v>13-01</v>
      </c>
      <c r="H1221" s="273" t="e">
        <f ca="1">_xludf.IFNA(VLOOKUP(Aragon!E1221,'Kilter Holds'!$P$37:$AB$662,9,0),0)</f>
        <v>#NAME?</v>
      </c>
      <c r="I1221" s="274"/>
      <c r="J1221" s="274" t="e">
        <f t="shared" ca="1" si="12"/>
        <v>#NAME?</v>
      </c>
      <c r="K1221" s="274">
        <f t="shared" si="13"/>
        <v>0</v>
      </c>
      <c r="N1221" s="274"/>
    </row>
    <row r="1222" spans="5:14" ht="13.5" customHeight="1">
      <c r="E1222" s="209" t="s">
        <v>1000</v>
      </c>
      <c r="F1222" s="209" t="s">
        <v>2515</v>
      </c>
      <c r="G1222" s="413" t="str">
        <f t="shared" si="14"/>
        <v>07-13</v>
      </c>
      <c r="H1222" s="273" t="e">
        <f ca="1">_xludf.IFNA(VLOOKUP(Aragon!E1222,'Kilter Holds'!$P$37:$AB$662,10,0),0)</f>
        <v>#NAME?</v>
      </c>
      <c r="I1222" s="274"/>
      <c r="J1222" s="274" t="e">
        <f t="shared" ca="1" si="12"/>
        <v>#NAME?</v>
      </c>
      <c r="K1222" s="274">
        <f t="shared" si="13"/>
        <v>0</v>
      </c>
      <c r="N1222" s="274"/>
    </row>
    <row r="1223" spans="5:14" ht="13.5" customHeight="1">
      <c r="E1223" s="209" t="s">
        <v>1000</v>
      </c>
      <c r="F1223" s="209" t="s">
        <v>2515</v>
      </c>
      <c r="G1223" s="414" t="str">
        <f t="shared" si="14"/>
        <v>11-26</v>
      </c>
      <c r="H1223" s="273" t="e">
        <f ca="1">_xludf.IFNA(VLOOKUP(Aragon!E1223,'Kilter Holds'!$P$37:$AB$662,11,0),0)</f>
        <v>#NAME?</v>
      </c>
      <c r="I1223" s="274"/>
      <c r="J1223" s="274" t="e">
        <f t="shared" ca="1" si="12"/>
        <v>#NAME?</v>
      </c>
      <c r="K1223" s="274">
        <f t="shared" si="13"/>
        <v>0</v>
      </c>
      <c r="N1223" s="274"/>
    </row>
    <row r="1224" spans="5:14" ht="13.5" customHeight="1">
      <c r="E1224" s="209" t="s">
        <v>1000</v>
      </c>
      <c r="F1224" s="209" t="s">
        <v>2515</v>
      </c>
      <c r="G1224" s="415" t="str">
        <f t="shared" si="14"/>
        <v>18-01</v>
      </c>
      <c r="H1224" s="273" t="e">
        <f ca="1">_xludf.IFNA(VLOOKUP(Aragon!E1224,'Kilter Holds'!$P$37:$AB$662,12,0),0)</f>
        <v>#NAME?</v>
      </c>
      <c r="I1224" s="274"/>
      <c r="J1224" s="274" t="e">
        <f t="shared" ca="1" si="12"/>
        <v>#NAME?</v>
      </c>
      <c r="K1224" s="274">
        <f t="shared" si="13"/>
        <v>0</v>
      </c>
      <c r="N1224" s="274"/>
    </row>
    <row r="1225" spans="5:14" ht="13.5" customHeight="1">
      <c r="E1225" s="209" t="s">
        <v>1000</v>
      </c>
      <c r="F1225" s="209" t="s">
        <v>2515</v>
      </c>
      <c r="G1225" s="416" t="str">
        <f t="shared" si="14"/>
        <v>Color Code</v>
      </c>
      <c r="H1225" s="273" t="e">
        <f ca="1">_xludf.IFNA(VLOOKUP(Aragon!E1225,'Kilter Holds'!$P$37:$AB$662,13,0),0)</f>
        <v>#NAME?</v>
      </c>
      <c r="I1225" s="274"/>
      <c r="J1225" s="274" t="e">
        <f t="shared" ca="1" si="12"/>
        <v>#NAME?</v>
      </c>
      <c r="K1225" s="274">
        <f t="shared" si="13"/>
        <v>0</v>
      </c>
      <c r="N1225" s="274"/>
    </row>
    <row r="1226" spans="5:14" ht="13.5" customHeight="1">
      <c r="E1226" s="209" t="s">
        <v>1002</v>
      </c>
      <c r="F1226" s="209" t="s">
        <v>2516</v>
      </c>
      <c r="G1226" s="406" t="str">
        <f t="shared" si="14"/>
        <v>11-12</v>
      </c>
      <c r="H1226" s="273" t="e">
        <f ca="1">_xludf.IFNA(VLOOKUP(Aragon!E1226,'Kilter Holds'!$P$37:$AB$662,5,0),0)</f>
        <v>#NAME?</v>
      </c>
      <c r="I1226" s="274"/>
      <c r="J1226" s="274" t="e">
        <f t="shared" ca="1" si="12"/>
        <v>#NAME?</v>
      </c>
      <c r="K1226" s="274">
        <f t="shared" si="13"/>
        <v>0</v>
      </c>
      <c r="N1226" s="274"/>
    </row>
    <row r="1227" spans="5:14" ht="13.5" customHeight="1">
      <c r="E1227" s="209" t="s">
        <v>1002</v>
      </c>
      <c r="F1227" s="209" t="s">
        <v>2516</v>
      </c>
      <c r="G1227" s="408" t="str">
        <f t="shared" si="14"/>
        <v>14-01</v>
      </c>
      <c r="H1227" s="273" t="e">
        <f ca="1">_xludf.IFNA(VLOOKUP(Aragon!E1227,'Kilter Holds'!$P$37:$AB$662,6,0),0)</f>
        <v>#NAME?</v>
      </c>
      <c r="I1227" s="274"/>
      <c r="J1227" s="274" t="e">
        <f t="shared" ca="1" si="12"/>
        <v>#NAME?</v>
      </c>
      <c r="K1227" s="274">
        <f t="shared" si="13"/>
        <v>0</v>
      </c>
      <c r="N1227" s="274"/>
    </row>
    <row r="1228" spans="5:14" ht="13.5" customHeight="1">
      <c r="E1228" s="209" t="s">
        <v>1002</v>
      </c>
      <c r="F1228" s="209" t="s">
        <v>2516</v>
      </c>
      <c r="G1228" s="409" t="str">
        <f t="shared" si="14"/>
        <v>15-12</v>
      </c>
      <c r="H1228" s="273" t="e">
        <f ca="1">_xludf.IFNA(VLOOKUP(Aragon!E1228,'Kilter Holds'!$P$37:$AB$662,7,0),0)</f>
        <v>#NAME?</v>
      </c>
      <c r="I1228" s="274"/>
      <c r="J1228" s="274" t="e">
        <f t="shared" ca="1" si="12"/>
        <v>#NAME?</v>
      </c>
      <c r="K1228" s="274">
        <f t="shared" si="13"/>
        <v>0</v>
      </c>
      <c r="N1228" s="274"/>
    </row>
    <row r="1229" spans="5:14" ht="13.5" customHeight="1">
      <c r="E1229" s="209" t="s">
        <v>1002</v>
      </c>
      <c r="F1229" s="209" t="s">
        <v>2516</v>
      </c>
      <c r="G1229" s="410" t="str">
        <f t="shared" si="14"/>
        <v>16-16</v>
      </c>
      <c r="H1229" s="273" t="e">
        <f ca="1">_xludf.IFNA(VLOOKUP(Aragon!E1229,'Kilter Holds'!$P$37:$AB$662,8,0),0)</f>
        <v>#NAME?</v>
      </c>
      <c r="I1229" s="274"/>
      <c r="J1229" s="274" t="e">
        <f t="shared" ca="1" si="12"/>
        <v>#NAME?</v>
      </c>
      <c r="K1229" s="274">
        <f t="shared" si="13"/>
        <v>0</v>
      </c>
      <c r="N1229" s="274"/>
    </row>
    <row r="1230" spans="5:14" ht="13.5" customHeight="1">
      <c r="E1230" s="209" t="s">
        <v>1002</v>
      </c>
      <c r="F1230" s="209" t="s">
        <v>2516</v>
      </c>
      <c r="G1230" s="411" t="str">
        <f t="shared" si="14"/>
        <v>13-01</v>
      </c>
      <c r="H1230" s="273" t="e">
        <f ca="1">_xludf.IFNA(VLOOKUP(Aragon!E1230,'Kilter Holds'!$P$37:$AB$662,9,0),0)</f>
        <v>#NAME?</v>
      </c>
      <c r="I1230" s="274"/>
      <c r="J1230" s="274" t="e">
        <f t="shared" ca="1" si="12"/>
        <v>#NAME?</v>
      </c>
      <c r="K1230" s="274">
        <f t="shared" si="13"/>
        <v>0</v>
      </c>
      <c r="N1230" s="274"/>
    </row>
    <row r="1231" spans="5:14" ht="13.5" customHeight="1">
      <c r="E1231" s="209" t="s">
        <v>1002</v>
      </c>
      <c r="F1231" s="209" t="s">
        <v>2516</v>
      </c>
      <c r="G1231" s="413" t="str">
        <f t="shared" si="14"/>
        <v>07-13</v>
      </c>
      <c r="H1231" s="273" t="e">
        <f ca="1">_xludf.IFNA(VLOOKUP(Aragon!E1231,'Kilter Holds'!$P$37:$AB$662,10,0),0)</f>
        <v>#NAME?</v>
      </c>
      <c r="I1231" s="274"/>
      <c r="J1231" s="274" t="e">
        <f t="shared" ca="1" si="12"/>
        <v>#NAME?</v>
      </c>
      <c r="K1231" s="274">
        <f t="shared" si="13"/>
        <v>0</v>
      </c>
      <c r="N1231" s="274"/>
    </row>
    <row r="1232" spans="5:14" ht="13.5" customHeight="1">
      <c r="E1232" s="209" t="s">
        <v>1002</v>
      </c>
      <c r="F1232" s="209" t="s">
        <v>2516</v>
      </c>
      <c r="G1232" s="414" t="str">
        <f t="shared" si="14"/>
        <v>11-26</v>
      </c>
      <c r="H1232" s="273" t="e">
        <f ca="1">_xludf.IFNA(VLOOKUP(Aragon!E1232,'Kilter Holds'!$P$37:$AB$662,11,0),0)</f>
        <v>#NAME?</v>
      </c>
      <c r="I1232" s="274"/>
      <c r="J1232" s="274" t="e">
        <f t="shared" ca="1" si="12"/>
        <v>#NAME?</v>
      </c>
      <c r="K1232" s="274">
        <f t="shared" si="13"/>
        <v>0</v>
      </c>
      <c r="N1232" s="274"/>
    </row>
    <row r="1233" spans="5:14" ht="13.5" customHeight="1">
      <c r="E1233" s="209" t="s">
        <v>1002</v>
      </c>
      <c r="F1233" s="209" t="s">
        <v>2516</v>
      </c>
      <c r="G1233" s="415" t="str">
        <f t="shared" si="14"/>
        <v>18-01</v>
      </c>
      <c r="H1233" s="273" t="e">
        <f ca="1">_xludf.IFNA(VLOOKUP(Aragon!E1233,'Kilter Holds'!$P$37:$AB$662,12,0),0)</f>
        <v>#NAME?</v>
      </c>
      <c r="I1233" s="274"/>
      <c r="J1233" s="274" t="e">
        <f t="shared" ca="1" si="12"/>
        <v>#NAME?</v>
      </c>
      <c r="K1233" s="274">
        <f t="shared" si="13"/>
        <v>0</v>
      </c>
      <c r="N1233" s="274"/>
    </row>
    <row r="1234" spans="5:14" ht="13.5" customHeight="1">
      <c r="E1234" s="209" t="s">
        <v>1002</v>
      </c>
      <c r="F1234" s="209" t="s">
        <v>2516</v>
      </c>
      <c r="G1234" s="416" t="str">
        <f t="shared" si="14"/>
        <v>Color Code</v>
      </c>
      <c r="H1234" s="273" t="e">
        <f ca="1">_xludf.IFNA(VLOOKUP(Aragon!E1234,'Kilter Holds'!$P$37:$AB$662,13,0),0)</f>
        <v>#NAME?</v>
      </c>
      <c r="I1234" s="274"/>
      <c r="J1234" s="274" t="e">
        <f t="shared" ca="1" si="12"/>
        <v>#NAME?</v>
      </c>
      <c r="K1234" s="274">
        <f t="shared" si="13"/>
        <v>0</v>
      </c>
      <c r="N1234" s="274"/>
    </row>
    <row r="1235" spans="5:14" ht="13.5" customHeight="1">
      <c r="E1235" s="209" t="s">
        <v>293</v>
      </c>
      <c r="F1235" s="209" t="s">
        <v>2517</v>
      </c>
      <c r="G1235" s="406" t="str">
        <f t="shared" si="14"/>
        <v>11-12</v>
      </c>
      <c r="H1235" s="273" t="e">
        <f ca="1">_xludf.IFNA(VLOOKUP(Aragon!E1235,'Kilter Holds'!$P$37:$AB$662,5,0),0)</f>
        <v>#NAME?</v>
      </c>
      <c r="I1235" s="274"/>
      <c r="J1235" s="274" t="e">
        <f t="shared" ca="1" si="12"/>
        <v>#NAME?</v>
      </c>
      <c r="K1235" s="274">
        <f t="shared" si="13"/>
        <v>0</v>
      </c>
      <c r="N1235" s="274"/>
    </row>
    <row r="1236" spans="5:14" ht="13.5" customHeight="1">
      <c r="E1236" s="209" t="s">
        <v>293</v>
      </c>
      <c r="F1236" s="209" t="s">
        <v>2517</v>
      </c>
      <c r="G1236" s="408" t="str">
        <f t="shared" si="14"/>
        <v>14-01</v>
      </c>
      <c r="H1236" s="273" t="e">
        <f ca="1">_xludf.IFNA(VLOOKUP(Aragon!E1236,'Kilter Holds'!$P$37:$AB$662,6,0),0)</f>
        <v>#NAME?</v>
      </c>
      <c r="I1236" s="274"/>
      <c r="J1236" s="274" t="e">
        <f t="shared" ca="1" si="12"/>
        <v>#NAME?</v>
      </c>
      <c r="K1236" s="274">
        <f t="shared" si="13"/>
        <v>0</v>
      </c>
      <c r="N1236" s="274"/>
    </row>
    <row r="1237" spans="5:14" ht="13.5" customHeight="1">
      <c r="E1237" s="209" t="s">
        <v>293</v>
      </c>
      <c r="F1237" s="209" t="s">
        <v>2517</v>
      </c>
      <c r="G1237" s="409" t="str">
        <f t="shared" si="14"/>
        <v>15-12</v>
      </c>
      <c r="H1237" s="273" t="e">
        <f ca="1">_xludf.IFNA(VLOOKUP(Aragon!E1237,'Kilter Holds'!$P$37:$AB$662,7,0),0)</f>
        <v>#NAME?</v>
      </c>
      <c r="I1237" s="274"/>
      <c r="J1237" s="274" t="e">
        <f t="shared" ca="1" si="12"/>
        <v>#NAME?</v>
      </c>
      <c r="K1237" s="274">
        <f t="shared" si="13"/>
        <v>0</v>
      </c>
      <c r="N1237" s="274"/>
    </row>
    <row r="1238" spans="5:14" ht="13.5" customHeight="1">
      <c r="E1238" s="209" t="s">
        <v>293</v>
      </c>
      <c r="F1238" s="209" t="s">
        <v>2517</v>
      </c>
      <c r="G1238" s="410" t="str">
        <f t="shared" si="14"/>
        <v>16-16</v>
      </c>
      <c r="H1238" s="273" t="e">
        <f ca="1">_xludf.IFNA(VLOOKUP(Aragon!E1238,'Kilter Holds'!$P$37:$AB$662,8,0),0)</f>
        <v>#NAME?</v>
      </c>
      <c r="I1238" s="274"/>
      <c r="J1238" s="274" t="e">
        <f t="shared" ca="1" si="12"/>
        <v>#NAME?</v>
      </c>
      <c r="K1238" s="274">
        <f t="shared" si="13"/>
        <v>0</v>
      </c>
      <c r="N1238" s="274"/>
    </row>
    <row r="1239" spans="5:14" ht="13.5" customHeight="1">
      <c r="E1239" s="209" t="s">
        <v>293</v>
      </c>
      <c r="F1239" s="209" t="s">
        <v>2517</v>
      </c>
      <c r="G1239" s="411" t="str">
        <f t="shared" si="14"/>
        <v>13-01</v>
      </c>
      <c r="H1239" s="273" t="e">
        <f ca="1">_xludf.IFNA(VLOOKUP(Aragon!E1239,'Kilter Holds'!$P$37:$AB$662,9,0),0)</f>
        <v>#NAME?</v>
      </c>
      <c r="I1239" s="274"/>
      <c r="J1239" s="274" t="e">
        <f t="shared" ca="1" si="12"/>
        <v>#NAME?</v>
      </c>
      <c r="K1239" s="274">
        <f t="shared" si="13"/>
        <v>0</v>
      </c>
      <c r="N1239" s="274"/>
    </row>
    <row r="1240" spans="5:14" ht="13.5" customHeight="1">
      <c r="E1240" s="209" t="s">
        <v>293</v>
      </c>
      <c r="F1240" s="209" t="s">
        <v>2517</v>
      </c>
      <c r="G1240" s="413" t="str">
        <f t="shared" si="14"/>
        <v>07-13</v>
      </c>
      <c r="H1240" s="273" t="e">
        <f ca="1">_xludf.IFNA(VLOOKUP(Aragon!E1240,'Kilter Holds'!$P$37:$AB$662,10,0),0)</f>
        <v>#NAME?</v>
      </c>
      <c r="I1240" s="274"/>
      <c r="J1240" s="274" t="e">
        <f t="shared" ca="1" si="12"/>
        <v>#NAME?</v>
      </c>
      <c r="K1240" s="274">
        <f t="shared" si="13"/>
        <v>0</v>
      </c>
      <c r="N1240" s="274"/>
    </row>
    <row r="1241" spans="5:14" ht="13.5" customHeight="1">
      <c r="E1241" s="209" t="s">
        <v>293</v>
      </c>
      <c r="F1241" s="209" t="s">
        <v>2517</v>
      </c>
      <c r="G1241" s="414" t="str">
        <f t="shared" si="14"/>
        <v>11-26</v>
      </c>
      <c r="H1241" s="273" t="e">
        <f ca="1">_xludf.IFNA(VLOOKUP(Aragon!E1241,'Kilter Holds'!$P$37:$AB$662,11,0),0)</f>
        <v>#NAME?</v>
      </c>
      <c r="I1241" s="274"/>
      <c r="J1241" s="274" t="e">
        <f t="shared" ca="1" si="12"/>
        <v>#NAME?</v>
      </c>
      <c r="K1241" s="274">
        <f t="shared" si="13"/>
        <v>0</v>
      </c>
      <c r="N1241" s="274"/>
    </row>
    <row r="1242" spans="5:14" ht="13.5" customHeight="1">
      <c r="E1242" s="209" t="s">
        <v>293</v>
      </c>
      <c r="F1242" s="209" t="s">
        <v>2517</v>
      </c>
      <c r="G1242" s="415" t="str">
        <f t="shared" si="14"/>
        <v>18-01</v>
      </c>
      <c r="H1242" s="273" t="e">
        <f ca="1">_xludf.IFNA(VLOOKUP(Aragon!E1242,'Kilter Holds'!$P$37:$AB$662,12,0),0)</f>
        <v>#NAME?</v>
      </c>
      <c r="I1242" s="274"/>
      <c r="J1242" s="274" t="e">
        <f t="shared" ca="1" si="12"/>
        <v>#NAME?</v>
      </c>
      <c r="K1242" s="274">
        <f t="shared" si="13"/>
        <v>0</v>
      </c>
      <c r="N1242" s="274"/>
    </row>
    <row r="1243" spans="5:14" ht="13.5" customHeight="1">
      <c r="E1243" s="209" t="s">
        <v>293</v>
      </c>
      <c r="F1243" s="209" t="s">
        <v>2517</v>
      </c>
      <c r="G1243" s="416" t="str">
        <f t="shared" si="14"/>
        <v>Color Code</v>
      </c>
      <c r="H1243" s="273" t="e">
        <f ca="1">_xludf.IFNA(VLOOKUP(Aragon!E1243,'Kilter Holds'!$P$37:$AB$662,13,0),0)</f>
        <v>#NAME?</v>
      </c>
      <c r="I1243" s="274"/>
      <c r="J1243" s="274" t="e">
        <f t="shared" ca="1" si="12"/>
        <v>#NAME?</v>
      </c>
      <c r="K1243" s="274">
        <f t="shared" si="13"/>
        <v>0</v>
      </c>
      <c r="N1243" s="274"/>
    </row>
    <row r="1244" spans="5:14" ht="13.5" customHeight="1">
      <c r="E1244" s="209" t="s">
        <v>962</v>
      </c>
      <c r="F1244" s="209" t="s">
        <v>2518</v>
      </c>
      <c r="G1244" s="406" t="str">
        <f t="shared" si="14"/>
        <v>11-12</v>
      </c>
      <c r="H1244" s="273" t="e">
        <f ca="1">_xludf.IFNA(VLOOKUP(Aragon!E1244,'Kilter Holds'!$P$37:$AB$662,5,0),0)</f>
        <v>#NAME?</v>
      </c>
      <c r="I1244" s="274"/>
      <c r="J1244" s="274" t="e">
        <f t="shared" ca="1" si="12"/>
        <v>#NAME?</v>
      </c>
      <c r="K1244" s="274">
        <f t="shared" si="13"/>
        <v>0</v>
      </c>
      <c r="N1244" s="274"/>
    </row>
    <row r="1245" spans="5:14" ht="13.5" customHeight="1">
      <c r="E1245" s="209" t="s">
        <v>962</v>
      </c>
      <c r="F1245" s="209" t="s">
        <v>2518</v>
      </c>
      <c r="G1245" s="408" t="str">
        <f t="shared" si="14"/>
        <v>14-01</v>
      </c>
      <c r="H1245" s="273" t="e">
        <f ca="1">_xludf.IFNA(VLOOKUP(Aragon!E1245,'Kilter Holds'!$P$37:$AB$662,6,0),0)</f>
        <v>#NAME?</v>
      </c>
      <c r="I1245" s="274"/>
      <c r="J1245" s="274" t="e">
        <f t="shared" ca="1" si="12"/>
        <v>#NAME?</v>
      </c>
      <c r="K1245" s="274">
        <f t="shared" si="13"/>
        <v>0</v>
      </c>
      <c r="N1245" s="274"/>
    </row>
    <row r="1246" spans="5:14" ht="13.5" customHeight="1">
      <c r="E1246" s="209" t="s">
        <v>962</v>
      </c>
      <c r="F1246" s="209" t="s">
        <v>2518</v>
      </c>
      <c r="G1246" s="409" t="str">
        <f t="shared" si="14"/>
        <v>15-12</v>
      </c>
      <c r="H1246" s="273" t="e">
        <f ca="1">_xludf.IFNA(VLOOKUP(Aragon!E1246,'Kilter Holds'!$P$37:$AB$662,7,0),0)</f>
        <v>#NAME?</v>
      </c>
      <c r="I1246" s="274"/>
      <c r="J1246" s="274" t="e">
        <f t="shared" ca="1" si="12"/>
        <v>#NAME?</v>
      </c>
      <c r="K1246" s="274">
        <f t="shared" si="13"/>
        <v>0</v>
      </c>
      <c r="N1246" s="274"/>
    </row>
    <row r="1247" spans="5:14" ht="13.5" customHeight="1">
      <c r="E1247" s="209" t="s">
        <v>962</v>
      </c>
      <c r="F1247" s="209" t="s">
        <v>2518</v>
      </c>
      <c r="G1247" s="410" t="str">
        <f t="shared" si="14"/>
        <v>16-16</v>
      </c>
      <c r="H1247" s="273" t="e">
        <f ca="1">_xludf.IFNA(VLOOKUP(Aragon!E1247,'Kilter Holds'!$P$37:$AB$662,8,0),0)</f>
        <v>#NAME?</v>
      </c>
      <c r="I1247" s="274"/>
      <c r="J1247" s="274" t="e">
        <f t="shared" ca="1" si="12"/>
        <v>#NAME?</v>
      </c>
      <c r="K1247" s="274">
        <f t="shared" si="13"/>
        <v>0</v>
      </c>
      <c r="N1247" s="274"/>
    </row>
    <row r="1248" spans="5:14" ht="13.5" customHeight="1">
      <c r="E1248" s="209" t="s">
        <v>962</v>
      </c>
      <c r="F1248" s="209" t="s">
        <v>2518</v>
      </c>
      <c r="G1248" s="411" t="str">
        <f t="shared" si="14"/>
        <v>13-01</v>
      </c>
      <c r="H1248" s="273" t="e">
        <f ca="1">_xludf.IFNA(VLOOKUP(Aragon!E1248,'Kilter Holds'!$P$37:$AB$662,9,0),0)</f>
        <v>#NAME?</v>
      </c>
      <c r="I1248" s="274"/>
      <c r="J1248" s="274" t="e">
        <f t="shared" ca="1" si="12"/>
        <v>#NAME?</v>
      </c>
      <c r="K1248" s="274">
        <f t="shared" si="13"/>
        <v>0</v>
      </c>
      <c r="N1248" s="274"/>
    </row>
    <row r="1249" spans="5:14" ht="13.5" customHeight="1">
      <c r="E1249" s="209" t="s">
        <v>962</v>
      </c>
      <c r="F1249" s="209" t="s">
        <v>2518</v>
      </c>
      <c r="G1249" s="413" t="str">
        <f t="shared" si="14"/>
        <v>07-13</v>
      </c>
      <c r="H1249" s="273" t="e">
        <f ca="1">_xludf.IFNA(VLOOKUP(Aragon!E1249,'Kilter Holds'!$P$37:$AB$662,10,0),0)</f>
        <v>#NAME?</v>
      </c>
      <c r="I1249" s="274"/>
      <c r="J1249" s="274" t="e">
        <f t="shared" ca="1" si="12"/>
        <v>#NAME?</v>
      </c>
      <c r="K1249" s="274">
        <f t="shared" si="13"/>
        <v>0</v>
      </c>
      <c r="N1249" s="274"/>
    </row>
    <row r="1250" spans="5:14" ht="13.5" customHeight="1">
      <c r="E1250" s="209" t="s">
        <v>962</v>
      </c>
      <c r="F1250" s="209" t="s">
        <v>2518</v>
      </c>
      <c r="G1250" s="414" t="str">
        <f t="shared" si="14"/>
        <v>11-26</v>
      </c>
      <c r="H1250" s="273" t="e">
        <f ca="1">_xludf.IFNA(VLOOKUP(Aragon!E1250,'Kilter Holds'!$P$37:$AB$662,11,0),0)</f>
        <v>#NAME?</v>
      </c>
      <c r="I1250" s="274"/>
      <c r="J1250" s="274" t="e">
        <f t="shared" ca="1" si="12"/>
        <v>#NAME?</v>
      </c>
      <c r="K1250" s="274">
        <f t="shared" si="13"/>
        <v>0</v>
      </c>
      <c r="N1250" s="274"/>
    </row>
    <row r="1251" spans="5:14" ht="13.5" customHeight="1">
      <c r="E1251" s="209" t="s">
        <v>962</v>
      </c>
      <c r="F1251" s="209" t="s">
        <v>2518</v>
      </c>
      <c r="G1251" s="415" t="str">
        <f t="shared" si="14"/>
        <v>18-01</v>
      </c>
      <c r="H1251" s="273" t="e">
        <f ca="1">_xludf.IFNA(VLOOKUP(Aragon!E1251,'Kilter Holds'!$P$37:$AB$662,12,0),0)</f>
        <v>#NAME?</v>
      </c>
      <c r="I1251" s="274"/>
      <c r="J1251" s="274" t="e">
        <f t="shared" ca="1" si="12"/>
        <v>#NAME?</v>
      </c>
      <c r="K1251" s="274">
        <f t="shared" si="13"/>
        <v>0</v>
      </c>
      <c r="N1251" s="274"/>
    </row>
    <row r="1252" spans="5:14" ht="13.5" customHeight="1">
      <c r="E1252" s="209" t="s">
        <v>962</v>
      </c>
      <c r="F1252" s="209" t="s">
        <v>2518</v>
      </c>
      <c r="G1252" s="416" t="str">
        <f t="shared" si="14"/>
        <v>Color Code</v>
      </c>
      <c r="H1252" s="273" t="e">
        <f ca="1">_xludf.IFNA(VLOOKUP(Aragon!E1252,'Kilter Holds'!$P$37:$AB$662,13,0),0)</f>
        <v>#NAME?</v>
      </c>
      <c r="I1252" s="274"/>
      <c r="J1252" s="274" t="e">
        <f t="shared" ca="1" si="12"/>
        <v>#NAME?</v>
      </c>
      <c r="K1252" s="274">
        <f t="shared" si="13"/>
        <v>0</v>
      </c>
      <c r="N1252" s="274"/>
    </row>
    <row r="1253" spans="5:14" ht="13.5" customHeight="1">
      <c r="E1253" s="209" t="s">
        <v>1147</v>
      </c>
      <c r="F1253" s="209" t="s">
        <v>2519</v>
      </c>
      <c r="G1253" s="406" t="str">
        <f t="shared" si="14"/>
        <v>11-12</v>
      </c>
      <c r="H1253" s="273" t="e">
        <f ca="1">_xludf.IFNA(VLOOKUP(Aragon!E1253,'Kilter Holds'!$P$37:$AB$662,5,0),0)</f>
        <v>#NAME?</v>
      </c>
      <c r="I1253" s="274"/>
      <c r="J1253" s="274" t="e">
        <f t="shared" ca="1" si="12"/>
        <v>#NAME?</v>
      </c>
      <c r="K1253" s="274">
        <f t="shared" si="13"/>
        <v>0</v>
      </c>
      <c r="N1253" s="274"/>
    </row>
    <row r="1254" spans="5:14" ht="13.5" customHeight="1">
      <c r="E1254" s="209" t="s">
        <v>1147</v>
      </c>
      <c r="F1254" s="209" t="s">
        <v>2519</v>
      </c>
      <c r="G1254" s="408" t="str">
        <f t="shared" si="14"/>
        <v>14-01</v>
      </c>
      <c r="H1254" s="273" t="e">
        <f ca="1">_xludf.IFNA(VLOOKUP(Aragon!E1254,'Kilter Holds'!$P$37:$AB$662,6,0),0)</f>
        <v>#NAME?</v>
      </c>
      <c r="I1254" s="274"/>
      <c r="J1254" s="274" t="e">
        <f t="shared" ca="1" si="12"/>
        <v>#NAME?</v>
      </c>
      <c r="K1254" s="274">
        <f t="shared" si="13"/>
        <v>0</v>
      </c>
      <c r="N1254" s="274"/>
    </row>
    <row r="1255" spans="5:14" ht="13.5" customHeight="1">
      <c r="E1255" s="209" t="s">
        <v>1147</v>
      </c>
      <c r="F1255" s="209" t="s">
        <v>2519</v>
      </c>
      <c r="G1255" s="409" t="str">
        <f t="shared" si="14"/>
        <v>15-12</v>
      </c>
      <c r="H1255" s="273" t="e">
        <f ca="1">_xludf.IFNA(VLOOKUP(Aragon!E1255,'Kilter Holds'!$P$37:$AB$662,7,0),0)</f>
        <v>#NAME?</v>
      </c>
      <c r="I1255" s="274"/>
      <c r="J1255" s="274" t="e">
        <f t="shared" ca="1" si="12"/>
        <v>#NAME?</v>
      </c>
      <c r="K1255" s="274">
        <f t="shared" si="13"/>
        <v>0</v>
      </c>
      <c r="N1255" s="274"/>
    </row>
    <row r="1256" spans="5:14" ht="13.5" customHeight="1">
      <c r="E1256" s="209" t="s">
        <v>1147</v>
      </c>
      <c r="F1256" s="209" t="s">
        <v>2519</v>
      </c>
      <c r="G1256" s="410" t="str">
        <f t="shared" si="14"/>
        <v>16-16</v>
      </c>
      <c r="H1256" s="273" t="e">
        <f ca="1">_xludf.IFNA(VLOOKUP(Aragon!E1256,'Kilter Holds'!$P$37:$AB$662,8,0),0)</f>
        <v>#NAME?</v>
      </c>
      <c r="I1256" s="274"/>
      <c r="J1256" s="274" t="e">
        <f t="shared" ca="1" si="12"/>
        <v>#NAME?</v>
      </c>
      <c r="K1256" s="274">
        <f t="shared" si="13"/>
        <v>0</v>
      </c>
      <c r="N1256" s="274"/>
    </row>
    <row r="1257" spans="5:14" ht="13.5" customHeight="1">
      <c r="E1257" s="209" t="s">
        <v>1147</v>
      </c>
      <c r="F1257" s="209" t="s">
        <v>2519</v>
      </c>
      <c r="G1257" s="411" t="str">
        <f t="shared" si="14"/>
        <v>13-01</v>
      </c>
      <c r="H1257" s="273" t="e">
        <f ca="1">_xludf.IFNA(VLOOKUP(Aragon!E1257,'Kilter Holds'!$P$37:$AB$662,9,0),0)</f>
        <v>#NAME?</v>
      </c>
      <c r="I1257" s="274"/>
      <c r="J1257" s="274" t="e">
        <f t="shared" ca="1" si="12"/>
        <v>#NAME?</v>
      </c>
      <c r="K1257" s="274">
        <f t="shared" si="13"/>
        <v>0</v>
      </c>
      <c r="N1257" s="274"/>
    </row>
    <row r="1258" spans="5:14" ht="13.5" customHeight="1">
      <c r="E1258" s="209" t="s">
        <v>1147</v>
      </c>
      <c r="F1258" s="209" t="s">
        <v>2519</v>
      </c>
      <c r="G1258" s="413" t="str">
        <f t="shared" si="14"/>
        <v>07-13</v>
      </c>
      <c r="H1258" s="273" t="e">
        <f ca="1">_xludf.IFNA(VLOOKUP(Aragon!E1258,'Kilter Holds'!$P$37:$AB$662,10,0),0)</f>
        <v>#NAME?</v>
      </c>
      <c r="I1258" s="274"/>
      <c r="J1258" s="274" t="e">
        <f t="shared" ca="1" si="12"/>
        <v>#NAME?</v>
      </c>
      <c r="K1258" s="274">
        <f t="shared" si="13"/>
        <v>0</v>
      </c>
      <c r="N1258" s="274"/>
    </row>
    <row r="1259" spans="5:14" ht="13.5" customHeight="1">
      <c r="E1259" s="209" t="s">
        <v>1147</v>
      </c>
      <c r="F1259" s="209" t="s">
        <v>2519</v>
      </c>
      <c r="G1259" s="414" t="str">
        <f t="shared" si="14"/>
        <v>11-26</v>
      </c>
      <c r="H1259" s="273" t="e">
        <f ca="1">_xludf.IFNA(VLOOKUP(Aragon!E1259,'Kilter Holds'!$P$37:$AB$662,11,0),0)</f>
        <v>#NAME?</v>
      </c>
      <c r="I1259" s="274"/>
      <c r="J1259" s="274" t="e">
        <f t="shared" ca="1" si="12"/>
        <v>#NAME?</v>
      </c>
      <c r="K1259" s="274">
        <f t="shared" si="13"/>
        <v>0</v>
      </c>
      <c r="N1259" s="274"/>
    </row>
    <row r="1260" spans="5:14" ht="13.5" customHeight="1">
      <c r="E1260" s="209" t="s">
        <v>1147</v>
      </c>
      <c r="F1260" s="209" t="s">
        <v>2519</v>
      </c>
      <c r="G1260" s="415" t="str">
        <f t="shared" si="14"/>
        <v>18-01</v>
      </c>
      <c r="H1260" s="273" t="e">
        <f ca="1">_xludf.IFNA(VLOOKUP(Aragon!E1260,'Kilter Holds'!$P$37:$AB$662,12,0),0)</f>
        <v>#NAME?</v>
      </c>
      <c r="I1260" s="274"/>
      <c r="J1260" s="274" t="e">
        <f t="shared" ca="1" si="12"/>
        <v>#NAME?</v>
      </c>
      <c r="K1260" s="274">
        <f t="shared" si="13"/>
        <v>0</v>
      </c>
      <c r="N1260" s="274"/>
    </row>
    <row r="1261" spans="5:14" ht="13.5" customHeight="1">
      <c r="E1261" s="209" t="s">
        <v>1147</v>
      </c>
      <c r="F1261" s="209" t="s">
        <v>2519</v>
      </c>
      <c r="G1261" s="416" t="str">
        <f t="shared" si="14"/>
        <v>Color Code</v>
      </c>
      <c r="H1261" s="273" t="e">
        <f ca="1">_xludf.IFNA(VLOOKUP(Aragon!E1261,'Kilter Holds'!$P$37:$AB$662,13,0),0)</f>
        <v>#NAME?</v>
      </c>
      <c r="I1261" s="274"/>
      <c r="J1261" s="274" t="e">
        <f t="shared" ca="1" si="12"/>
        <v>#NAME?</v>
      </c>
      <c r="K1261" s="274">
        <f t="shared" si="13"/>
        <v>0</v>
      </c>
      <c r="N1261" s="274"/>
    </row>
    <row r="1262" spans="5:14" ht="13.5" customHeight="1">
      <c r="E1262" s="209" t="s">
        <v>741</v>
      </c>
      <c r="F1262" s="209" t="s">
        <v>2520</v>
      </c>
      <c r="G1262" s="406" t="str">
        <f t="shared" si="14"/>
        <v>11-12</v>
      </c>
      <c r="H1262" s="273" t="e">
        <f ca="1">_xludf.IFNA(VLOOKUP(Aragon!E1262,'Kilter Holds'!$P$37:$AB$662,5,0),0)</f>
        <v>#NAME?</v>
      </c>
      <c r="I1262" s="274"/>
      <c r="J1262" s="274" t="e">
        <f t="shared" ca="1" si="12"/>
        <v>#NAME?</v>
      </c>
      <c r="K1262" s="274">
        <f t="shared" si="13"/>
        <v>0</v>
      </c>
      <c r="N1262" s="274"/>
    </row>
    <row r="1263" spans="5:14" ht="13.5" customHeight="1">
      <c r="E1263" s="209" t="s">
        <v>741</v>
      </c>
      <c r="F1263" s="209" t="s">
        <v>2520</v>
      </c>
      <c r="G1263" s="408" t="str">
        <f t="shared" si="14"/>
        <v>14-01</v>
      </c>
      <c r="H1263" s="273" t="e">
        <f ca="1">_xludf.IFNA(VLOOKUP(Aragon!E1263,'Kilter Holds'!$P$37:$AB$662,6,0),0)</f>
        <v>#NAME?</v>
      </c>
      <c r="I1263" s="274"/>
      <c r="J1263" s="274" t="e">
        <f t="shared" ca="1" si="12"/>
        <v>#NAME?</v>
      </c>
      <c r="K1263" s="274">
        <f t="shared" si="13"/>
        <v>0</v>
      </c>
      <c r="N1263" s="274"/>
    </row>
    <row r="1264" spans="5:14" ht="13.5" customHeight="1">
      <c r="E1264" s="209" t="s">
        <v>741</v>
      </c>
      <c r="F1264" s="209" t="s">
        <v>2520</v>
      </c>
      <c r="G1264" s="409" t="str">
        <f t="shared" si="14"/>
        <v>15-12</v>
      </c>
      <c r="H1264" s="273" t="e">
        <f ca="1">_xludf.IFNA(VLOOKUP(Aragon!E1264,'Kilter Holds'!$P$37:$AB$662,7,0),0)</f>
        <v>#NAME?</v>
      </c>
      <c r="I1264" s="274"/>
      <c r="J1264" s="274" t="e">
        <f t="shared" ca="1" si="12"/>
        <v>#NAME?</v>
      </c>
      <c r="K1264" s="274">
        <f t="shared" si="13"/>
        <v>0</v>
      </c>
      <c r="N1264" s="274"/>
    </row>
    <row r="1265" spans="5:14" ht="13.5" customHeight="1">
      <c r="E1265" s="209" t="s">
        <v>741</v>
      </c>
      <c r="F1265" s="209" t="s">
        <v>2520</v>
      </c>
      <c r="G1265" s="410" t="str">
        <f t="shared" si="14"/>
        <v>16-16</v>
      </c>
      <c r="H1265" s="273" t="e">
        <f ca="1">_xludf.IFNA(VLOOKUP(Aragon!E1265,'Kilter Holds'!$P$37:$AB$662,8,0),0)</f>
        <v>#NAME?</v>
      </c>
      <c r="I1265" s="274"/>
      <c r="J1265" s="274" t="e">
        <f t="shared" ca="1" si="12"/>
        <v>#NAME?</v>
      </c>
      <c r="K1265" s="274">
        <f t="shared" si="13"/>
        <v>0</v>
      </c>
      <c r="N1265" s="274"/>
    </row>
    <row r="1266" spans="5:14" ht="13.5" customHeight="1">
      <c r="E1266" s="209" t="s">
        <v>741</v>
      </c>
      <c r="F1266" s="209" t="s">
        <v>2520</v>
      </c>
      <c r="G1266" s="411" t="str">
        <f t="shared" si="14"/>
        <v>13-01</v>
      </c>
      <c r="H1266" s="273" t="e">
        <f ca="1">_xludf.IFNA(VLOOKUP(Aragon!E1266,'Kilter Holds'!$P$37:$AB$662,9,0),0)</f>
        <v>#NAME?</v>
      </c>
      <c r="I1266" s="274"/>
      <c r="J1266" s="274" t="e">
        <f t="shared" ca="1" si="12"/>
        <v>#NAME?</v>
      </c>
      <c r="K1266" s="274">
        <f t="shared" si="13"/>
        <v>0</v>
      </c>
      <c r="N1266" s="274"/>
    </row>
    <row r="1267" spans="5:14" ht="13.5" customHeight="1">
      <c r="E1267" s="209" t="s">
        <v>741</v>
      </c>
      <c r="F1267" s="209" t="s">
        <v>2520</v>
      </c>
      <c r="G1267" s="413" t="str">
        <f t="shared" si="14"/>
        <v>07-13</v>
      </c>
      <c r="H1267" s="273" t="e">
        <f ca="1">_xludf.IFNA(VLOOKUP(Aragon!E1267,'Kilter Holds'!$P$37:$AB$662,10,0),0)</f>
        <v>#NAME?</v>
      </c>
      <c r="I1267" s="274"/>
      <c r="J1267" s="274" t="e">
        <f t="shared" ca="1" si="12"/>
        <v>#NAME?</v>
      </c>
      <c r="K1267" s="274">
        <f t="shared" si="13"/>
        <v>0</v>
      </c>
      <c r="N1267" s="274"/>
    </row>
    <row r="1268" spans="5:14" ht="13.5" customHeight="1">
      <c r="E1268" s="209" t="s">
        <v>741</v>
      </c>
      <c r="F1268" s="209" t="s">
        <v>2520</v>
      </c>
      <c r="G1268" s="414" t="str">
        <f t="shared" si="14"/>
        <v>11-26</v>
      </c>
      <c r="H1268" s="273" t="e">
        <f ca="1">_xludf.IFNA(VLOOKUP(Aragon!E1268,'Kilter Holds'!$P$37:$AB$662,11,0),0)</f>
        <v>#NAME?</v>
      </c>
      <c r="I1268" s="274"/>
      <c r="J1268" s="274" t="e">
        <f t="shared" ca="1" si="12"/>
        <v>#NAME?</v>
      </c>
      <c r="K1268" s="274">
        <f t="shared" si="13"/>
        <v>0</v>
      </c>
      <c r="N1268" s="274"/>
    </row>
    <row r="1269" spans="5:14" ht="13.5" customHeight="1">
      <c r="E1269" s="209" t="s">
        <v>741</v>
      </c>
      <c r="F1269" s="209" t="s">
        <v>2520</v>
      </c>
      <c r="G1269" s="415" t="str">
        <f t="shared" si="14"/>
        <v>18-01</v>
      </c>
      <c r="H1269" s="273" t="e">
        <f ca="1">_xludf.IFNA(VLOOKUP(Aragon!E1269,'Kilter Holds'!$P$37:$AB$662,12,0),0)</f>
        <v>#NAME?</v>
      </c>
      <c r="I1269" s="274"/>
      <c r="J1269" s="274" t="e">
        <f t="shared" ca="1" si="12"/>
        <v>#NAME?</v>
      </c>
      <c r="K1269" s="274">
        <f t="shared" si="13"/>
        <v>0</v>
      </c>
      <c r="N1269" s="274"/>
    </row>
    <row r="1270" spans="5:14" ht="13.5" customHeight="1">
      <c r="E1270" s="209" t="s">
        <v>741</v>
      </c>
      <c r="F1270" s="209" t="s">
        <v>2520</v>
      </c>
      <c r="G1270" s="416" t="str">
        <f t="shared" si="14"/>
        <v>Color Code</v>
      </c>
      <c r="H1270" s="273" t="e">
        <f ca="1">_xludf.IFNA(VLOOKUP(Aragon!E1270,'Kilter Holds'!$P$37:$AB$662,13,0),0)</f>
        <v>#NAME?</v>
      </c>
      <c r="I1270" s="274"/>
      <c r="J1270" s="274" t="e">
        <f t="shared" ca="1" si="12"/>
        <v>#NAME?</v>
      </c>
      <c r="K1270" s="274">
        <f t="shared" si="13"/>
        <v>0</v>
      </c>
      <c r="N1270" s="274"/>
    </row>
    <row r="1271" spans="5:14" ht="13.5" customHeight="1">
      <c r="E1271" s="209" t="s">
        <v>1004</v>
      </c>
      <c r="F1271" s="209" t="s">
        <v>2521</v>
      </c>
      <c r="G1271" s="406" t="str">
        <f t="shared" si="14"/>
        <v>11-12</v>
      </c>
      <c r="H1271" s="273" t="e">
        <f ca="1">_xludf.IFNA(VLOOKUP(Aragon!E1271,'Kilter Holds'!$P$37:$AB$662,5,0),0)</f>
        <v>#NAME?</v>
      </c>
      <c r="I1271" s="274"/>
      <c r="J1271" s="274" t="e">
        <f t="shared" ca="1" si="12"/>
        <v>#NAME?</v>
      </c>
      <c r="K1271" s="274">
        <f t="shared" si="13"/>
        <v>0</v>
      </c>
      <c r="N1271" s="274"/>
    </row>
    <row r="1272" spans="5:14" ht="13.5" customHeight="1">
      <c r="E1272" s="209" t="s">
        <v>1004</v>
      </c>
      <c r="F1272" s="209" t="s">
        <v>2521</v>
      </c>
      <c r="G1272" s="408" t="str">
        <f t="shared" si="14"/>
        <v>14-01</v>
      </c>
      <c r="H1272" s="273" t="e">
        <f ca="1">_xludf.IFNA(VLOOKUP(Aragon!E1272,'Kilter Holds'!$P$37:$AB$662,6,0),0)</f>
        <v>#NAME?</v>
      </c>
      <c r="I1272" s="274"/>
      <c r="J1272" s="274" t="e">
        <f t="shared" ca="1" si="12"/>
        <v>#NAME?</v>
      </c>
      <c r="K1272" s="274">
        <f t="shared" si="13"/>
        <v>0</v>
      </c>
      <c r="N1272" s="274"/>
    </row>
    <row r="1273" spans="5:14" ht="13.5" customHeight="1">
      <c r="E1273" s="209" t="s">
        <v>1004</v>
      </c>
      <c r="F1273" s="209" t="s">
        <v>2521</v>
      </c>
      <c r="G1273" s="409" t="str">
        <f t="shared" si="14"/>
        <v>15-12</v>
      </c>
      <c r="H1273" s="273" t="e">
        <f ca="1">_xludf.IFNA(VLOOKUP(Aragon!E1273,'Kilter Holds'!$P$37:$AB$662,7,0),0)</f>
        <v>#NAME?</v>
      </c>
      <c r="I1273" s="274"/>
      <c r="J1273" s="274" t="e">
        <f t="shared" ca="1" si="12"/>
        <v>#NAME?</v>
      </c>
      <c r="K1273" s="274">
        <f t="shared" si="13"/>
        <v>0</v>
      </c>
      <c r="N1273" s="274"/>
    </row>
    <row r="1274" spans="5:14" ht="13.5" customHeight="1">
      <c r="E1274" s="209" t="s">
        <v>1004</v>
      </c>
      <c r="F1274" s="209" t="s">
        <v>2521</v>
      </c>
      <c r="G1274" s="410" t="str">
        <f t="shared" si="14"/>
        <v>16-16</v>
      </c>
      <c r="H1274" s="273" t="e">
        <f ca="1">_xludf.IFNA(VLOOKUP(Aragon!E1274,'Kilter Holds'!$P$37:$AB$662,8,0),0)</f>
        <v>#NAME?</v>
      </c>
      <c r="I1274" s="274"/>
      <c r="J1274" s="274" t="e">
        <f t="shared" ca="1" si="12"/>
        <v>#NAME?</v>
      </c>
      <c r="K1274" s="274">
        <f t="shared" si="13"/>
        <v>0</v>
      </c>
      <c r="N1274" s="274"/>
    </row>
    <row r="1275" spans="5:14" ht="13.5" customHeight="1">
      <c r="E1275" s="209" t="s">
        <v>1004</v>
      </c>
      <c r="F1275" s="209" t="s">
        <v>2521</v>
      </c>
      <c r="G1275" s="411" t="str">
        <f t="shared" si="14"/>
        <v>13-01</v>
      </c>
      <c r="H1275" s="273" t="e">
        <f ca="1">_xludf.IFNA(VLOOKUP(Aragon!E1275,'Kilter Holds'!$P$37:$AB$662,9,0),0)</f>
        <v>#NAME?</v>
      </c>
      <c r="I1275" s="274"/>
      <c r="J1275" s="274" t="e">
        <f t="shared" ca="1" si="12"/>
        <v>#NAME?</v>
      </c>
      <c r="K1275" s="274">
        <f t="shared" si="13"/>
        <v>0</v>
      </c>
      <c r="N1275" s="274"/>
    </row>
    <row r="1276" spans="5:14" ht="13.5" customHeight="1">
      <c r="E1276" s="209" t="s">
        <v>1004</v>
      </c>
      <c r="F1276" s="209" t="s">
        <v>2521</v>
      </c>
      <c r="G1276" s="413" t="str">
        <f t="shared" si="14"/>
        <v>07-13</v>
      </c>
      <c r="H1276" s="273" t="e">
        <f ca="1">_xludf.IFNA(VLOOKUP(Aragon!E1276,'Kilter Holds'!$P$37:$AB$662,10,0),0)</f>
        <v>#NAME?</v>
      </c>
      <c r="I1276" s="274"/>
      <c r="J1276" s="274" t="e">
        <f t="shared" ca="1" si="12"/>
        <v>#NAME?</v>
      </c>
      <c r="K1276" s="274">
        <f t="shared" si="13"/>
        <v>0</v>
      </c>
      <c r="N1276" s="274"/>
    </row>
    <row r="1277" spans="5:14" ht="13.5" customHeight="1">
      <c r="E1277" s="209" t="s">
        <v>1004</v>
      </c>
      <c r="F1277" s="209" t="s">
        <v>2521</v>
      </c>
      <c r="G1277" s="414" t="str">
        <f t="shared" si="14"/>
        <v>11-26</v>
      </c>
      <c r="H1277" s="273" t="e">
        <f ca="1">_xludf.IFNA(VLOOKUP(Aragon!E1277,'Kilter Holds'!$P$37:$AB$662,11,0),0)</f>
        <v>#NAME?</v>
      </c>
      <c r="I1277" s="274"/>
      <c r="J1277" s="274" t="e">
        <f t="shared" ref="J1277:J1531" ca="1" si="15">H1277*I1277</f>
        <v>#NAME?</v>
      </c>
      <c r="K1277" s="274">
        <f t="shared" ref="K1277:K1531" si="16">IF($V$11="Y",J1277*0.05,0)</f>
        <v>0</v>
      </c>
      <c r="N1277" s="274"/>
    </row>
    <row r="1278" spans="5:14" ht="13.5" customHeight="1">
      <c r="E1278" s="209" t="s">
        <v>1004</v>
      </c>
      <c r="F1278" s="209" t="s">
        <v>2521</v>
      </c>
      <c r="G1278" s="415" t="str">
        <f t="shared" si="14"/>
        <v>18-01</v>
      </c>
      <c r="H1278" s="273" t="e">
        <f ca="1">_xludf.IFNA(VLOOKUP(Aragon!E1278,'Kilter Holds'!$P$37:$AB$662,12,0),0)</f>
        <v>#NAME?</v>
      </c>
      <c r="I1278" s="274"/>
      <c r="J1278" s="274" t="e">
        <f t="shared" ca="1" si="15"/>
        <v>#NAME?</v>
      </c>
      <c r="K1278" s="274">
        <f t="shared" si="16"/>
        <v>0</v>
      </c>
      <c r="N1278" s="274"/>
    </row>
    <row r="1279" spans="5:14" ht="13.5" customHeight="1">
      <c r="E1279" s="209" t="s">
        <v>1004</v>
      </c>
      <c r="F1279" s="209" t="s">
        <v>2521</v>
      </c>
      <c r="G1279" s="416" t="str">
        <f t="shared" si="14"/>
        <v>Color Code</v>
      </c>
      <c r="H1279" s="273" t="e">
        <f ca="1">_xludf.IFNA(VLOOKUP(Aragon!E1279,'Kilter Holds'!$P$37:$AB$662,13,0),0)</f>
        <v>#NAME?</v>
      </c>
      <c r="I1279" s="274"/>
      <c r="J1279" s="274" t="e">
        <f t="shared" ca="1" si="15"/>
        <v>#NAME?</v>
      </c>
      <c r="K1279" s="274">
        <f t="shared" si="16"/>
        <v>0</v>
      </c>
      <c r="N1279" s="274"/>
    </row>
    <row r="1280" spans="5:14" ht="13.5" customHeight="1">
      <c r="E1280" s="209" t="s">
        <v>1006</v>
      </c>
      <c r="F1280" s="209" t="s">
        <v>2522</v>
      </c>
      <c r="G1280" s="406" t="str">
        <f t="shared" si="14"/>
        <v>11-12</v>
      </c>
      <c r="H1280" s="273" t="e">
        <f ca="1">_xludf.IFNA(VLOOKUP(Aragon!E1280,'Kilter Holds'!$P$37:$AB$662,5,0),0)</f>
        <v>#NAME?</v>
      </c>
      <c r="I1280" s="274"/>
      <c r="J1280" s="274" t="e">
        <f t="shared" ca="1" si="15"/>
        <v>#NAME?</v>
      </c>
      <c r="K1280" s="274">
        <f t="shared" si="16"/>
        <v>0</v>
      </c>
      <c r="N1280" s="274"/>
    </row>
    <row r="1281" spans="5:14" ht="13.5" customHeight="1">
      <c r="E1281" s="209" t="s">
        <v>1006</v>
      </c>
      <c r="F1281" s="209" t="s">
        <v>2522</v>
      </c>
      <c r="G1281" s="408" t="str">
        <f t="shared" si="14"/>
        <v>14-01</v>
      </c>
      <c r="H1281" s="273" t="e">
        <f ca="1">_xludf.IFNA(VLOOKUP(Aragon!E1281,'Kilter Holds'!$P$37:$AB$662,6,0),0)</f>
        <v>#NAME?</v>
      </c>
      <c r="I1281" s="274"/>
      <c r="J1281" s="274" t="e">
        <f t="shared" ca="1" si="15"/>
        <v>#NAME?</v>
      </c>
      <c r="K1281" s="274">
        <f t="shared" si="16"/>
        <v>0</v>
      </c>
      <c r="N1281" s="274"/>
    </row>
    <row r="1282" spans="5:14" ht="13.5" customHeight="1">
      <c r="E1282" s="209" t="s">
        <v>1006</v>
      </c>
      <c r="F1282" s="209" t="s">
        <v>2522</v>
      </c>
      <c r="G1282" s="409" t="str">
        <f t="shared" si="14"/>
        <v>15-12</v>
      </c>
      <c r="H1282" s="273" t="e">
        <f ca="1">_xludf.IFNA(VLOOKUP(Aragon!E1282,'Kilter Holds'!$P$37:$AB$662,7,0),0)</f>
        <v>#NAME?</v>
      </c>
      <c r="I1282" s="274"/>
      <c r="J1282" s="274" t="e">
        <f t="shared" ca="1" si="15"/>
        <v>#NAME?</v>
      </c>
      <c r="K1282" s="274">
        <f t="shared" si="16"/>
        <v>0</v>
      </c>
      <c r="N1282" s="274"/>
    </row>
    <row r="1283" spans="5:14" ht="13.5" customHeight="1">
      <c r="E1283" s="209" t="s">
        <v>1006</v>
      </c>
      <c r="F1283" s="209" t="s">
        <v>2522</v>
      </c>
      <c r="G1283" s="410" t="str">
        <f t="shared" si="14"/>
        <v>16-16</v>
      </c>
      <c r="H1283" s="273" t="e">
        <f ca="1">_xludf.IFNA(VLOOKUP(Aragon!E1283,'Kilter Holds'!$P$37:$AB$662,8,0),0)</f>
        <v>#NAME?</v>
      </c>
      <c r="I1283" s="274"/>
      <c r="J1283" s="274" t="e">
        <f t="shared" ca="1" si="15"/>
        <v>#NAME?</v>
      </c>
      <c r="K1283" s="274">
        <f t="shared" si="16"/>
        <v>0</v>
      </c>
      <c r="N1283" s="274"/>
    </row>
    <row r="1284" spans="5:14" ht="13.5" customHeight="1">
      <c r="E1284" s="209" t="s">
        <v>1006</v>
      </c>
      <c r="F1284" s="209" t="s">
        <v>2522</v>
      </c>
      <c r="G1284" s="411" t="str">
        <f t="shared" si="14"/>
        <v>13-01</v>
      </c>
      <c r="H1284" s="273" t="e">
        <f ca="1">_xludf.IFNA(VLOOKUP(Aragon!E1284,'Kilter Holds'!$P$37:$AB$662,9,0),0)</f>
        <v>#NAME?</v>
      </c>
      <c r="I1284" s="274"/>
      <c r="J1284" s="274" t="e">
        <f t="shared" ca="1" si="15"/>
        <v>#NAME?</v>
      </c>
      <c r="K1284" s="274">
        <f t="shared" si="16"/>
        <v>0</v>
      </c>
      <c r="N1284" s="274"/>
    </row>
    <row r="1285" spans="5:14" ht="13.5" customHeight="1">
      <c r="E1285" s="209" t="s">
        <v>1006</v>
      </c>
      <c r="F1285" s="209" t="s">
        <v>2522</v>
      </c>
      <c r="G1285" s="413" t="str">
        <f t="shared" si="14"/>
        <v>07-13</v>
      </c>
      <c r="H1285" s="273" t="e">
        <f ca="1">_xludf.IFNA(VLOOKUP(Aragon!E1285,'Kilter Holds'!$P$37:$AB$662,10,0),0)</f>
        <v>#NAME?</v>
      </c>
      <c r="I1285" s="274"/>
      <c r="J1285" s="274" t="e">
        <f t="shared" ca="1" si="15"/>
        <v>#NAME?</v>
      </c>
      <c r="K1285" s="274">
        <f t="shared" si="16"/>
        <v>0</v>
      </c>
      <c r="N1285" s="274"/>
    </row>
    <row r="1286" spans="5:14" ht="13.5" customHeight="1">
      <c r="E1286" s="209" t="s">
        <v>1006</v>
      </c>
      <c r="F1286" s="209" t="s">
        <v>2522</v>
      </c>
      <c r="G1286" s="414" t="str">
        <f t="shared" ref="G1286:G1540" si="17">G1277</f>
        <v>11-26</v>
      </c>
      <c r="H1286" s="273" t="e">
        <f ca="1">_xludf.IFNA(VLOOKUP(Aragon!E1286,'Kilter Holds'!$P$37:$AB$662,11,0),0)</f>
        <v>#NAME?</v>
      </c>
      <c r="I1286" s="274"/>
      <c r="J1286" s="274" t="e">
        <f t="shared" ca="1" si="15"/>
        <v>#NAME?</v>
      </c>
      <c r="K1286" s="274">
        <f t="shared" si="16"/>
        <v>0</v>
      </c>
      <c r="N1286" s="274"/>
    </row>
    <row r="1287" spans="5:14" ht="13.5" customHeight="1">
      <c r="E1287" s="209" t="s">
        <v>1006</v>
      </c>
      <c r="F1287" s="209" t="s">
        <v>2522</v>
      </c>
      <c r="G1287" s="415" t="str">
        <f t="shared" si="17"/>
        <v>18-01</v>
      </c>
      <c r="H1287" s="273" t="e">
        <f ca="1">_xludf.IFNA(VLOOKUP(Aragon!E1287,'Kilter Holds'!$P$37:$AB$662,12,0),0)</f>
        <v>#NAME?</v>
      </c>
      <c r="I1287" s="274"/>
      <c r="J1287" s="274" t="e">
        <f t="shared" ca="1" si="15"/>
        <v>#NAME?</v>
      </c>
      <c r="K1287" s="274">
        <f t="shared" si="16"/>
        <v>0</v>
      </c>
      <c r="N1287" s="274"/>
    </row>
    <row r="1288" spans="5:14" ht="13.5" customHeight="1">
      <c r="E1288" s="209" t="s">
        <v>1006</v>
      </c>
      <c r="F1288" s="209" t="s">
        <v>2522</v>
      </c>
      <c r="G1288" s="416" t="str">
        <f t="shared" si="17"/>
        <v>Color Code</v>
      </c>
      <c r="H1288" s="273" t="e">
        <f ca="1">_xludf.IFNA(VLOOKUP(Aragon!E1288,'Kilter Holds'!$P$37:$AB$662,13,0),0)</f>
        <v>#NAME?</v>
      </c>
      <c r="I1288" s="274"/>
      <c r="J1288" s="274" t="e">
        <f t="shared" ca="1" si="15"/>
        <v>#NAME?</v>
      </c>
      <c r="K1288" s="274">
        <f t="shared" si="16"/>
        <v>0</v>
      </c>
      <c r="N1288" s="274"/>
    </row>
    <row r="1289" spans="5:14" ht="13.5" customHeight="1">
      <c r="E1289" s="209" t="s">
        <v>942</v>
      </c>
      <c r="F1289" s="209" t="s">
        <v>2523</v>
      </c>
      <c r="G1289" s="406" t="str">
        <f t="shared" si="17"/>
        <v>11-12</v>
      </c>
      <c r="H1289" s="273" t="e">
        <f ca="1">_xludf.IFNA(VLOOKUP(Aragon!E1289,'Kilter Holds'!$P$37:$AB$662,5,0),0)</f>
        <v>#NAME?</v>
      </c>
      <c r="I1289" s="274"/>
      <c r="J1289" s="274" t="e">
        <f t="shared" ca="1" si="15"/>
        <v>#NAME?</v>
      </c>
      <c r="K1289" s="274">
        <f t="shared" si="16"/>
        <v>0</v>
      </c>
      <c r="N1289" s="274"/>
    </row>
    <row r="1290" spans="5:14" ht="13.5" customHeight="1">
      <c r="E1290" s="209" t="s">
        <v>942</v>
      </c>
      <c r="F1290" s="209" t="s">
        <v>2523</v>
      </c>
      <c r="G1290" s="408" t="str">
        <f t="shared" si="17"/>
        <v>14-01</v>
      </c>
      <c r="H1290" s="273" t="e">
        <f ca="1">_xludf.IFNA(VLOOKUP(Aragon!E1290,'Kilter Holds'!$P$37:$AB$662,6,0),0)</f>
        <v>#NAME?</v>
      </c>
      <c r="I1290" s="274"/>
      <c r="J1290" s="274" t="e">
        <f t="shared" ca="1" si="15"/>
        <v>#NAME?</v>
      </c>
      <c r="K1290" s="274">
        <f t="shared" si="16"/>
        <v>0</v>
      </c>
      <c r="N1290" s="274"/>
    </row>
    <row r="1291" spans="5:14" ht="13.5" customHeight="1">
      <c r="E1291" s="209" t="s">
        <v>942</v>
      </c>
      <c r="F1291" s="209" t="s">
        <v>2523</v>
      </c>
      <c r="G1291" s="409" t="str">
        <f t="shared" si="17"/>
        <v>15-12</v>
      </c>
      <c r="H1291" s="273" t="e">
        <f ca="1">_xludf.IFNA(VLOOKUP(Aragon!E1291,'Kilter Holds'!$P$37:$AB$662,7,0),0)</f>
        <v>#NAME?</v>
      </c>
      <c r="I1291" s="274"/>
      <c r="J1291" s="274" t="e">
        <f t="shared" ca="1" si="15"/>
        <v>#NAME?</v>
      </c>
      <c r="K1291" s="274">
        <f t="shared" si="16"/>
        <v>0</v>
      </c>
      <c r="N1291" s="274"/>
    </row>
    <row r="1292" spans="5:14" ht="13.5" customHeight="1">
      <c r="E1292" s="209" t="s">
        <v>942</v>
      </c>
      <c r="F1292" s="209" t="s">
        <v>2523</v>
      </c>
      <c r="G1292" s="410" t="str">
        <f t="shared" si="17"/>
        <v>16-16</v>
      </c>
      <c r="H1292" s="273" t="e">
        <f ca="1">_xludf.IFNA(VLOOKUP(Aragon!E1292,'Kilter Holds'!$P$37:$AB$662,8,0),0)</f>
        <v>#NAME?</v>
      </c>
      <c r="I1292" s="274"/>
      <c r="J1292" s="274" t="e">
        <f t="shared" ca="1" si="15"/>
        <v>#NAME?</v>
      </c>
      <c r="K1292" s="274">
        <f t="shared" si="16"/>
        <v>0</v>
      </c>
      <c r="N1292" s="274"/>
    </row>
    <row r="1293" spans="5:14" ht="13.5" customHeight="1">
      <c r="E1293" s="209" t="s">
        <v>942</v>
      </c>
      <c r="F1293" s="209" t="s">
        <v>2523</v>
      </c>
      <c r="G1293" s="411" t="str">
        <f t="shared" si="17"/>
        <v>13-01</v>
      </c>
      <c r="H1293" s="273" t="e">
        <f ca="1">_xludf.IFNA(VLOOKUP(Aragon!E1293,'Kilter Holds'!$P$37:$AB$662,9,0),0)</f>
        <v>#NAME?</v>
      </c>
      <c r="I1293" s="274"/>
      <c r="J1293" s="274" t="e">
        <f t="shared" ca="1" si="15"/>
        <v>#NAME?</v>
      </c>
      <c r="K1293" s="274">
        <f t="shared" si="16"/>
        <v>0</v>
      </c>
      <c r="N1293" s="274"/>
    </row>
    <row r="1294" spans="5:14" ht="13.5" customHeight="1">
      <c r="E1294" s="209" t="s">
        <v>942</v>
      </c>
      <c r="F1294" s="209" t="s">
        <v>2523</v>
      </c>
      <c r="G1294" s="413" t="str">
        <f t="shared" si="17"/>
        <v>07-13</v>
      </c>
      <c r="H1294" s="273" t="e">
        <f ca="1">_xludf.IFNA(VLOOKUP(Aragon!E1294,'Kilter Holds'!$P$37:$AB$662,10,0),0)</f>
        <v>#NAME?</v>
      </c>
      <c r="I1294" s="274"/>
      <c r="J1294" s="274" t="e">
        <f t="shared" ca="1" si="15"/>
        <v>#NAME?</v>
      </c>
      <c r="K1294" s="274">
        <f t="shared" si="16"/>
        <v>0</v>
      </c>
      <c r="N1294" s="274"/>
    </row>
    <row r="1295" spans="5:14" ht="13.5" customHeight="1">
      <c r="E1295" s="209" t="s">
        <v>942</v>
      </c>
      <c r="F1295" s="209" t="s">
        <v>2523</v>
      </c>
      <c r="G1295" s="414" t="str">
        <f t="shared" si="17"/>
        <v>11-26</v>
      </c>
      <c r="H1295" s="273" t="e">
        <f ca="1">_xludf.IFNA(VLOOKUP(Aragon!E1295,'Kilter Holds'!$P$37:$AB$662,11,0),0)</f>
        <v>#NAME?</v>
      </c>
      <c r="I1295" s="274"/>
      <c r="J1295" s="274" t="e">
        <f t="shared" ca="1" si="15"/>
        <v>#NAME?</v>
      </c>
      <c r="K1295" s="274">
        <f t="shared" si="16"/>
        <v>0</v>
      </c>
      <c r="N1295" s="274"/>
    </row>
    <row r="1296" spans="5:14" ht="13.5" customHeight="1">
      <c r="E1296" s="209" t="s">
        <v>942</v>
      </c>
      <c r="F1296" s="209" t="s">
        <v>2523</v>
      </c>
      <c r="G1296" s="415" t="str">
        <f t="shared" si="17"/>
        <v>18-01</v>
      </c>
      <c r="H1296" s="273" t="e">
        <f ca="1">_xludf.IFNA(VLOOKUP(Aragon!E1296,'Kilter Holds'!$P$37:$AB$662,12,0),0)</f>
        <v>#NAME?</v>
      </c>
      <c r="I1296" s="274"/>
      <c r="J1296" s="274" t="e">
        <f t="shared" ca="1" si="15"/>
        <v>#NAME?</v>
      </c>
      <c r="K1296" s="274">
        <f t="shared" si="16"/>
        <v>0</v>
      </c>
      <c r="N1296" s="274"/>
    </row>
    <row r="1297" spans="5:14" ht="13.5" customHeight="1">
      <c r="E1297" s="209" t="s">
        <v>942</v>
      </c>
      <c r="F1297" s="209" t="s">
        <v>2523</v>
      </c>
      <c r="G1297" s="416" t="str">
        <f t="shared" si="17"/>
        <v>Color Code</v>
      </c>
      <c r="H1297" s="273" t="e">
        <f ca="1">_xludf.IFNA(VLOOKUP(Aragon!E1297,'Kilter Holds'!$P$37:$AB$662,13,0),0)</f>
        <v>#NAME?</v>
      </c>
      <c r="I1297" s="274"/>
      <c r="J1297" s="274" t="e">
        <f t="shared" ca="1" si="15"/>
        <v>#NAME?</v>
      </c>
      <c r="K1297" s="274">
        <f t="shared" si="16"/>
        <v>0</v>
      </c>
      <c r="N1297" s="274"/>
    </row>
    <row r="1298" spans="5:14" ht="13.5" customHeight="1">
      <c r="E1298" s="209" t="s">
        <v>235</v>
      </c>
      <c r="F1298" s="209" t="s">
        <v>2524</v>
      </c>
      <c r="G1298" s="406" t="str">
        <f t="shared" si="17"/>
        <v>11-12</v>
      </c>
      <c r="H1298" s="273" t="e">
        <f ca="1">_xludf.IFNA(VLOOKUP(Aragon!E1298,'Kilter Holds'!$P$37:$AB$662,5,0),0)</f>
        <v>#NAME?</v>
      </c>
      <c r="I1298" s="274"/>
      <c r="J1298" s="274" t="e">
        <f t="shared" ca="1" si="15"/>
        <v>#NAME?</v>
      </c>
      <c r="K1298" s="274">
        <f t="shared" si="16"/>
        <v>0</v>
      </c>
      <c r="N1298" s="274"/>
    </row>
    <row r="1299" spans="5:14" ht="13.5" customHeight="1">
      <c r="E1299" s="209" t="s">
        <v>235</v>
      </c>
      <c r="F1299" s="209" t="s">
        <v>2524</v>
      </c>
      <c r="G1299" s="408" t="str">
        <f t="shared" si="17"/>
        <v>14-01</v>
      </c>
      <c r="H1299" s="273" t="e">
        <f ca="1">_xludf.IFNA(VLOOKUP(Aragon!E1299,'Kilter Holds'!$P$37:$AB$662,6,0),0)</f>
        <v>#NAME?</v>
      </c>
      <c r="I1299" s="274"/>
      <c r="J1299" s="274" t="e">
        <f t="shared" ca="1" si="15"/>
        <v>#NAME?</v>
      </c>
      <c r="K1299" s="274">
        <f t="shared" si="16"/>
        <v>0</v>
      </c>
      <c r="N1299" s="274"/>
    </row>
    <row r="1300" spans="5:14" ht="13.5" customHeight="1">
      <c r="E1300" s="209" t="s">
        <v>235</v>
      </c>
      <c r="F1300" s="209" t="s">
        <v>2524</v>
      </c>
      <c r="G1300" s="409" t="str">
        <f t="shared" si="17"/>
        <v>15-12</v>
      </c>
      <c r="H1300" s="273" t="e">
        <f ca="1">_xludf.IFNA(VLOOKUP(Aragon!E1300,'Kilter Holds'!$P$37:$AB$662,7,0),0)</f>
        <v>#NAME?</v>
      </c>
      <c r="I1300" s="274"/>
      <c r="J1300" s="274" t="e">
        <f t="shared" ca="1" si="15"/>
        <v>#NAME?</v>
      </c>
      <c r="K1300" s="274">
        <f t="shared" si="16"/>
        <v>0</v>
      </c>
      <c r="N1300" s="274"/>
    </row>
    <row r="1301" spans="5:14" ht="13.5" customHeight="1">
      <c r="E1301" s="209" t="s">
        <v>235</v>
      </c>
      <c r="F1301" s="209" t="s">
        <v>2524</v>
      </c>
      <c r="G1301" s="410" t="str">
        <f t="shared" si="17"/>
        <v>16-16</v>
      </c>
      <c r="H1301" s="273" t="e">
        <f ca="1">_xludf.IFNA(VLOOKUP(Aragon!E1301,'Kilter Holds'!$P$37:$AB$662,8,0),0)</f>
        <v>#NAME?</v>
      </c>
      <c r="I1301" s="274"/>
      <c r="J1301" s="274" t="e">
        <f t="shared" ca="1" si="15"/>
        <v>#NAME?</v>
      </c>
      <c r="K1301" s="274">
        <f t="shared" si="16"/>
        <v>0</v>
      </c>
      <c r="N1301" s="274"/>
    </row>
    <row r="1302" spans="5:14" ht="13.5" customHeight="1">
      <c r="E1302" s="209" t="s">
        <v>235</v>
      </c>
      <c r="F1302" s="209" t="s">
        <v>2524</v>
      </c>
      <c r="G1302" s="411" t="str">
        <f t="shared" si="17"/>
        <v>13-01</v>
      </c>
      <c r="H1302" s="273" t="e">
        <f ca="1">_xludf.IFNA(VLOOKUP(Aragon!E1302,'Kilter Holds'!$P$37:$AB$662,9,0),0)</f>
        <v>#NAME?</v>
      </c>
      <c r="I1302" s="274"/>
      <c r="J1302" s="274" t="e">
        <f t="shared" ca="1" si="15"/>
        <v>#NAME?</v>
      </c>
      <c r="K1302" s="274">
        <f t="shared" si="16"/>
        <v>0</v>
      </c>
      <c r="N1302" s="274"/>
    </row>
    <row r="1303" spans="5:14" ht="13.5" customHeight="1">
      <c r="E1303" s="209" t="s">
        <v>235</v>
      </c>
      <c r="F1303" s="209" t="s">
        <v>2524</v>
      </c>
      <c r="G1303" s="413" t="str">
        <f t="shared" si="17"/>
        <v>07-13</v>
      </c>
      <c r="H1303" s="273" t="e">
        <f ca="1">_xludf.IFNA(VLOOKUP(Aragon!E1303,'Kilter Holds'!$P$37:$AB$662,10,0),0)</f>
        <v>#NAME?</v>
      </c>
      <c r="I1303" s="274"/>
      <c r="J1303" s="274" t="e">
        <f t="shared" ca="1" si="15"/>
        <v>#NAME?</v>
      </c>
      <c r="K1303" s="274">
        <f t="shared" si="16"/>
        <v>0</v>
      </c>
      <c r="N1303" s="274"/>
    </row>
    <row r="1304" spans="5:14" ht="13.5" customHeight="1">
      <c r="E1304" s="209" t="s">
        <v>235</v>
      </c>
      <c r="F1304" s="209" t="s">
        <v>2524</v>
      </c>
      <c r="G1304" s="414" t="str">
        <f t="shared" si="17"/>
        <v>11-26</v>
      </c>
      <c r="H1304" s="273" t="e">
        <f ca="1">_xludf.IFNA(VLOOKUP(Aragon!E1304,'Kilter Holds'!$P$37:$AB$662,11,0),0)</f>
        <v>#NAME?</v>
      </c>
      <c r="I1304" s="274"/>
      <c r="J1304" s="274" t="e">
        <f t="shared" ca="1" si="15"/>
        <v>#NAME?</v>
      </c>
      <c r="K1304" s="274">
        <f t="shared" si="16"/>
        <v>0</v>
      </c>
      <c r="N1304" s="274"/>
    </row>
    <row r="1305" spans="5:14" ht="13.5" customHeight="1">
      <c r="E1305" s="209" t="s">
        <v>235</v>
      </c>
      <c r="F1305" s="209" t="s">
        <v>2524</v>
      </c>
      <c r="G1305" s="415" t="str">
        <f t="shared" si="17"/>
        <v>18-01</v>
      </c>
      <c r="H1305" s="273" t="e">
        <f ca="1">_xludf.IFNA(VLOOKUP(Aragon!E1305,'Kilter Holds'!$P$37:$AB$662,12,0),0)</f>
        <v>#NAME?</v>
      </c>
      <c r="I1305" s="274"/>
      <c r="J1305" s="274" t="e">
        <f t="shared" ca="1" si="15"/>
        <v>#NAME?</v>
      </c>
      <c r="K1305" s="274">
        <f t="shared" si="16"/>
        <v>0</v>
      </c>
      <c r="N1305" s="274"/>
    </row>
    <row r="1306" spans="5:14" ht="13.5" customHeight="1">
      <c r="E1306" s="209" t="s">
        <v>235</v>
      </c>
      <c r="F1306" s="209" t="s">
        <v>2524</v>
      </c>
      <c r="G1306" s="416" t="str">
        <f t="shared" si="17"/>
        <v>Color Code</v>
      </c>
      <c r="H1306" s="273" t="e">
        <f ca="1">_xludf.IFNA(VLOOKUP(Aragon!E1306,'Kilter Holds'!$P$37:$AB$662,13,0),0)</f>
        <v>#NAME?</v>
      </c>
      <c r="I1306" s="274"/>
      <c r="J1306" s="274" t="e">
        <f t="shared" ca="1" si="15"/>
        <v>#NAME?</v>
      </c>
      <c r="K1306" s="274">
        <f t="shared" si="16"/>
        <v>0</v>
      </c>
      <c r="N1306" s="274"/>
    </row>
    <row r="1307" spans="5:14" ht="13.5" customHeight="1">
      <c r="E1307" s="209" t="s">
        <v>217</v>
      </c>
      <c r="F1307" s="209" t="s">
        <v>2525</v>
      </c>
      <c r="G1307" s="406" t="str">
        <f t="shared" si="17"/>
        <v>11-12</v>
      </c>
      <c r="H1307" s="273" t="e">
        <f ca="1">_xludf.IFNA(VLOOKUP(Aragon!E1307,'Kilter Holds'!$P$37:$AB$662,5,0),0)</f>
        <v>#NAME?</v>
      </c>
      <c r="I1307" s="274"/>
      <c r="J1307" s="274" t="e">
        <f t="shared" ca="1" si="15"/>
        <v>#NAME?</v>
      </c>
      <c r="K1307" s="274">
        <f t="shared" si="16"/>
        <v>0</v>
      </c>
      <c r="N1307" s="274"/>
    </row>
    <row r="1308" spans="5:14" ht="13.5" customHeight="1">
      <c r="E1308" s="209" t="s">
        <v>217</v>
      </c>
      <c r="F1308" s="209" t="s">
        <v>2525</v>
      </c>
      <c r="G1308" s="408" t="str">
        <f t="shared" si="17"/>
        <v>14-01</v>
      </c>
      <c r="H1308" s="273" t="e">
        <f ca="1">_xludf.IFNA(VLOOKUP(Aragon!E1308,'Kilter Holds'!$P$37:$AB$662,6,0),0)</f>
        <v>#NAME?</v>
      </c>
      <c r="I1308" s="274"/>
      <c r="J1308" s="274" t="e">
        <f t="shared" ca="1" si="15"/>
        <v>#NAME?</v>
      </c>
      <c r="K1308" s="274">
        <f t="shared" si="16"/>
        <v>0</v>
      </c>
      <c r="N1308" s="274"/>
    </row>
    <row r="1309" spans="5:14" ht="13.5" customHeight="1">
      <c r="E1309" s="209" t="s">
        <v>217</v>
      </c>
      <c r="F1309" s="209" t="s">
        <v>2525</v>
      </c>
      <c r="G1309" s="409" t="str">
        <f t="shared" si="17"/>
        <v>15-12</v>
      </c>
      <c r="H1309" s="273" t="e">
        <f ca="1">_xludf.IFNA(VLOOKUP(Aragon!E1309,'Kilter Holds'!$P$37:$AB$662,7,0),0)</f>
        <v>#NAME?</v>
      </c>
      <c r="I1309" s="274"/>
      <c r="J1309" s="274" t="e">
        <f t="shared" ca="1" si="15"/>
        <v>#NAME?</v>
      </c>
      <c r="K1309" s="274">
        <f t="shared" si="16"/>
        <v>0</v>
      </c>
      <c r="N1309" s="274"/>
    </row>
    <row r="1310" spans="5:14" ht="13.5" customHeight="1">
      <c r="E1310" s="209" t="s">
        <v>217</v>
      </c>
      <c r="F1310" s="209" t="s">
        <v>2525</v>
      </c>
      <c r="G1310" s="410" t="str">
        <f t="shared" si="17"/>
        <v>16-16</v>
      </c>
      <c r="H1310" s="273" t="e">
        <f ca="1">_xludf.IFNA(VLOOKUP(Aragon!E1310,'Kilter Holds'!$P$37:$AB$662,8,0),0)</f>
        <v>#NAME?</v>
      </c>
      <c r="I1310" s="274"/>
      <c r="J1310" s="274" t="e">
        <f t="shared" ca="1" si="15"/>
        <v>#NAME?</v>
      </c>
      <c r="K1310" s="274">
        <f t="shared" si="16"/>
        <v>0</v>
      </c>
      <c r="N1310" s="274"/>
    </row>
    <row r="1311" spans="5:14" ht="13.5" customHeight="1">
      <c r="E1311" s="209" t="s">
        <v>217</v>
      </c>
      <c r="F1311" s="209" t="s">
        <v>2525</v>
      </c>
      <c r="G1311" s="411" t="str">
        <f t="shared" si="17"/>
        <v>13-01</v>
      </c>
      <c r="H1311" s="273" t="e">
        <f ca="1">_xludf.IFNA(VLOOKUP(Aragon!E1311,'Kilter Holds'!$P$37:$AB$662,9,0),0)</f>
        <v>#NAME?</v>
      </c>
      <c r="I1311" s="274"/>
      <c r="J1311" s="274" t="e">
        <f t="shared" ca="1" si="15"/>
        <v>#NAME?</v>
      </c>
      <c r="K1311" s="274">
        <f t="shared" si="16"/>
        <v>0</v>
      </c>
      <c r="N1311" s="274"/>
    </row>
    <row r="1312" spans="5:14" ht="13.5" customHeight="1">
      <c r="E1312" s="209" t="s">
        <v>217</v>
      </c>
      <c r="F1312" s="209" t="s">
        <v>2525</v>
      </c>
      <c r="G1312" s="413" t="str">
        <f t="shared" si="17"/>
        <v>07-13</v>
      </c>
      <c r="H1312" s="273" t="e">
        <f ca="1">_xludf.IFNA(VLOOKUP(Aragon!E1312,'Kilter Holds'!$P$37:$AB$662,10,0),0)</f>
        <v>#NAME?</v>
      </c>
      <c r="I1312" s="274"/>
      <c r="J1312" s="274" t="e">
        <f t="shared" ca="1" si="15"/>
        <v>#NAME?</v>
      </c>
      <c r="K1312" s="274">
        <f t="shared" si="16"/>
        <v>0</v>
      </c>
      <c r="N1312" s="274"/>
    </row>
    <row r="1313" spans="5:14" ht="13.5" customHeight="1">
      <c r="E1313" s="209" t="s">
        <v>217</v>
      </c>
      <c r="F1313" s="209" t="s">
        <v>2525</v>
      </c>
      <c r="G1313" s="414" t="str">
        <f t="shared" si="17"/>
        <v>11-26</v>
      </c>
      <c r="H1313" s="273" t="e">
        <f ca="1">_xludf.IFNA(VLOOKUP(Aragon!E1313,'Kilter Holds'!$P$37:$AB$662,11,0),0)</f>
        <v>#NAME?</v>
      </c>
      <c r="I1313" s="274"/>
      <c r="J1313" s="274" t="e">
        <f t="shared" ca="1" si="15"/>
        <v>#NAME?</v>
      </c>
      <c r="K1313" s="274">
        <f t="shared" si="16"/>
        <v>0</v>
      </c>
      <c r="N1313" s="274"/>
    </row>
    <row r="1314" spans="5:14" ht="13.5" customHeight="1">
      <c r="E1314" s="209" t="s">
        <v>217</v>
      </c>
      <c r="F1314" s="209" t="s">
        <v>2525</v>
      </c>
      <c r="G1314" s="415" t="str">
        <f t="shared" si="17"/>
        <v>18-01</v>
      </c>
      <c r="H1314" s="273" t="e">
        <f ca="1">_xludf.IFNA(VLOOKUP(Aragon!E1314,'Kilter Holds'!$P$37:$AB$662,12,0),0)</f>
        <v>#NAME?</v>
      </c>
      <c r="I1314" s="274"/>
      <c r="J1314" s="274" t="e">
        <f t="shared" ca="1" si="15"/>
        <v>#NAME?</v>
      </c>
      <c r="K1314" s="274">
        <f t="shared" si="16"/>
        <v>0</v>
      </c>
      <c r="N1314" s="274"/>
    </row>
    <row r="1315" spans="5:14" ht="13.5" customHeight="1">
      <c r="E1315" s="209" t="s">
        <v>217</v>
      </c>
      <c r="F1315" s="209" t="s">
        <v>2525</v>
      </c>
      <c r="G1315" s="416" t="str">
        <f t="shared" si="17"/>
        <v>Color Code</v>
      </c>
      <c r="H1315" s="273" t="e">
        <f ca="1">_xludf.IFNA(VLOOKUP(Aragon!E1315,'Kilter Holds'!$P$37:$AB$662,13,0),0)</f>
        <v>#NAME?</v>
      </c>
      <c r="I1315" s="274"/>
      <c r="J1315" s="274" t="e">
        <f t="shared" ca="1" si="15"/>
        <v>#NAME?</v>
      </c>
      <c r="K1315" s="274">
        <f t="shared" si="16"/>
        <v>0</v>
      </c>
      <c r="N1315" s="274"/>
    </row>
    <row r="1316" spans="5:14" ht="13.5" customHeight="1">
      <c r="E1316" s="209" t="s">
        <v>219</v>
      </c>
      <c r="F1316" s="209" t="s">
        <v>2526</v>
      </c>
      <c r="G1316" s="406" t="str">
        <f t="shared" si="17"/>
        <v>11-12</v>
      </c>
      <c r="H1316" s="273" t="e">
        <f ca="1">_xludf.IFNA(VLOOKUP(Aragon!E1316,'Kilter Holds'!$P$37:$AB$662,5,0),0)</f>
        <v>#NAME?</v>
      </c>
      <c r="I1316" s="274"/>
      <c r="J1316" s="274" t="e">
        <f t="shared" ca="1" si="15"/>
        <v>#NAME?</v>
      </c>
      <c r="K1316" s="274">
        <f t="shared" si="16"/>
        <v>0</v>
      </c>
      <c r="N1316" s="274"/>
    </row>
    <row r="1317" spans="5:14" ht="13.5" customHeight="1">
      <c r="E1317" s="209" t="s">
        <v>219</v>
      </c>
      <c r="F1317" s="209" t="s">
        <v>2526</v>
      </c>
      <c r="G1317" s="408" t="str">
        <f t="shared" si="17"/>
        <v>14-01</v>
      </c>
      <c r="H1317" s="273" t="e">
        <f ca="1">_xludf.IFNA(VLOOKUP(Aragon!E1317,'Kilter Holds'!$P$37:$AB$662,6,0),0)</f>
        <v>#NAME?</v>
      </c>
      <c r="I1317" s="274"/>
      <c r="J1317" s="274" t="e">
        <f t="shared" ca="1" si="15"/>
        <v>#NAME?</v>
      </c>
      <c r="K1317" s="274">
        <f t="shared" si="16"/>
        <v>0</v>
      </c>
      <c r="N1317" s="274"/>
    </row>
    <row r="1318" spans="5:14" ht="13.5" customHeight="1">
      <c r="E1318" s="209" t="s">
        <v>219</v>
      </c>
      <c r="F1318" s="209" t="s">
        <v>2526</v>
      </c>
      <c r="G1318" s="409" t="str">
        <f t="shared" si="17"/>
        <v>15-12</v>
      </c>
      <c r="H1318" s="273" t="e">
        <f ca="1">_xludf.IFNA(VLOOKUP(Aragon!E1318,'Kilter Holds'!$P$37:$AB$662,7,0),0)</f>
        <v>#NAME?</v>
      </c>
      <c r="I1318" s="274"/>
      <c r="J1318" s="274" t="e">
        <f t="shared" ca="1" si="15"/>
        <v>#NAME?</v>
      </c>
      <c r="K1318" s="274">
        <f t="shared" si="16"/>
        <v>0</v>
      </c>
      <c r="N1318" s="274"/>
    </row>
    <row r="1319" spans="5:14" ht="13.5" customHeight="1">
      <c r="E1319" s="209" t="s">
        <v>219</v>
      </c>
      <c r="F1319" s="209" t="s">
        <v>2526</v>
      </c>
      <c r="G1319" s="410" t="str">
        <f t="shared" si="17"/>
        <v>16-16</v>
      </c>
      <c r="H1319" s="273" t="e">
        <f ca="1">_xludf.IFNA(VLOOKUP(Aragon!E1319,'Kilter Holds'!$P$37:$AB$662,8,0),0)</f>
        <v>#NAME?</v>
      </c>
      <c r="I1319" s="274"/>
      <c r="J1319" s="274" t="e">
        <f t="shared" ca="1" si="15"/>
        <v>#NAME?</v>
      </c>
      <c r="K1319" s="274">
        <f t="shared" si="16"/>
        <v>0</v>
      </c>
      <c r="N1319" s="274"/>
    </row>
    <row r="1320" spans="5:14" ht="13.5" customHeight="1">
      <c r="E1320" s="209" t="s">
        <v>219</v>
      </c>
      <c r="F1320" s="209" t="s">
        <v>2526</v>
      </c>
      <c r="G1320" s="411" t="str">
        <f t="shared" si="17"/>
        <v>13-01</v>
      </c>
      <c r="H1320" s="273" t="e">
        <f ca="1">_xludf.IFNA(VLOOKUP(Aragon!E1320,'Kilter Holds'!$P$37:$AB$662,9,0),0)</f>
        <v>#NAME?</v>
      </c>
      <c r="I1320" s="274"/>
      <c r="J1320" s="274" t="e">
        <f t="shared" ca="1" si="15"/>
        <v>#NAME?</v>
      </c>
      <c r="K1320" s="274">
        <f t="shared" si="16"/>
        <v>0</v>
      </c>
      <c r="N1320" s="274"/>
    </row>
    <row r="1321" spans="5:14" ht="13.5" customHeight="1">
      <c r="E1321" s="209" t="s">
        <v>219</v>
      </c>
      <c r="F1321" s="209" t="s">
        <v>2526</v>
      </c>
      <c r="G1321" s="413" t="str">
        <f t="shared" si="17"/>
        <v>07-13</v>
      </c>
      <c r="H1321" s="273" t="e">
        <f ca="1">_xludf.IFNA(VLOOKUP(Aragon!E1321,'Kilter Holds'!$P$37:$AB$662,10,0),0)</f>
        <v>#NAME?</v>
      </c>
      <c r="I1321" s="274"/>
      <c r="J1321" s="274" t="e">
        <f t="shared" ca="1" si="15"/>
        <v>#NAME?</v>
      </c>
      <c r="K1321" s="274">
        <f t="shared" si="16"/>
        <v>0</v>
      </c>
      <c r="N1321" s="274"/>
    </row>
    <row r="1322" spans="5:14" ht="13.5" customHeight="1">
      <c r="E1322" s="209" t="s">
        <v>219</v>
      </c>
      <c r="F1322" s="209" t="s">
        <v>2526</v>
      </c>
      <c r="G1322" s="414" t="str">
        <f t="shared" si="17"/>
        <v>11-26</v>
      </c>
      <c r="H1322" s="273" t="e">
        <f ca="1">_xludf.IFNA(VLOOKUP(Aragon!E1322,'Kilter Holds'!$P$37:$AB$662,11,0),0)</f>
        <v>#NAME?</v>
      </c>
      <c r="I1322" s="274"/>
      <c r="J1322" s="274" t="e">
        <f t="shared" ca="1" si="15"/>
        <v>#NAME?</v>
      </c>
      <c r="K1322" s="274">
        <f t="shared" si="16"/>
        <v>0</v>
      </c>
      <c r="N1322" s="274"/>
    </row>
    <row r="1323" spans="5:14" ht="13.5" customHeight="1">
      <c r="E1323" s="209" t="s">
        <v>219</v>
      </c>
      <c r="F1323" s="209" t="s">
        <v>2526</v>
      </c>
      <c r="G1323" s="415" t="str">
        <f t="shared" si="17"/>
        <v>18-01</v>
      </c>
      <c r="H1323" s="273" t="e">
        <f ca="1">_xludf.IFNA(VLOOKUP(Aragon!E1323,'Kilter Holds'!$P$37:$AB$662,12,0),0)</f>
        <v>#NAME?</v>
      </c>
      <c r="I1323" s="274"/>
      <c r="J1323" s="274" t="e">
        <f t="shared" ca="1" si="15"/>
        <v>#NAME?</v>
      </c>
      <c r="K1323" s="274">
        <f t="shared" si="16"/>
        <v>0</v>
      </c>
      <c r="N1323" s="274"/>
    </row>
    <row r="1324" spans="5:14" ht="13.5" customHeight="1">
      <c r="E1324" s="209" t="s">
        <v>219</v>
      </c>
      <c r="F1324" s="209" t="s">
        <v>2526</v>
      </c>
      <c r="G1324" s="416" t="str">
        <f t="shared" si="17"/>
        <v>Color Code</v>
      </c>
      <c r="H1324" s="273" t="e">
        <f ca="1">_xludf.IFNA(VLOOKUP(Aragon!E1324,'Kilter Holds'!$P$37:$AB$662,13,0),0)</f>
        <v>#NAME?</v>
      </c>
      <c r="I1324" s="274"/>
      <c r="J1324" s="274" t="e">
        <f t="shared" ca="1" si="15"/>
        <v>#NAME?</v>
      </c>
      <c r="K1324" s="274">
        <f t="shared" si="16"/>
        <v>0</v>
      </c>
      <c r="N1324" s="274"/>
    </row>
    <row r="1325" spans="5:14" ht="13.5" customHeight="1">
      <c r="E1325" s="209" t="s">
        <v>1091</v>
      </c>
      <c r="F1325" s="209" t="s">
        <v>2527</v>
      </c>
      <c r="G1325" s="406" t="str">
        <f t="shared" si="17"/>
        <v>11-12</v>
      </c>
      <c r="H1325" s="273" t="e">
        <f ca="1">_xludf.IFNA(VLOOKUP(Aragon!E1325,'Kilter Holds'!$P$37:$AB$662,5,0),0)</f>
        <v>#NAME?</v>
      </c>
      <c r="I1325" s="274"/>
      <c r="J1325" s="274" t="e">
        <f t="shared" ca="1" si="15"/>
        <v>#NAME?</v>
      </c>
      <c r="K1325" s="274">
        <f t="shared" si="16"/>
        <v>0</v>
      </c>
      <c r="N1325" s="274"/>
    </row>
    <row r="1326" spans="5:14" ht="13.5" customHeight="1">
      <c r="E1326" s="209" t="s">
        <v>1091</v>
      </c>
      <c r="F1326" s="209" t="s">
        <v>2527</v>
      </c>
      <c r="G1326" s="408" t="str">
        <f t="shared" si="17"/>
        <v>14-01</v>
      </c>
      <c r="H1326" s="273" t="e">
        <f ca="1">_xludf.IFNA(VLOOKUP(Aragon!E1326,'Kilter Holds'!$P$37:$AB$662,6,0),0)</f>
        <v>#NAME?</v>
      </c>
      <c r="I1326" s="274"/>
      <c r="J1326" s="274" t="e">
        <f t="shared" ca="1" si="15"/>
        <v>#NAME?</v>
      </c>
      <c r="K1326" s="274">
        <f t="shared" si="16"/>
        <v>0</v>
      </c>
      <c r="N1326" s="274"/>
    </row>
    <row r="1327" spans="5:14" ht="13.5" customHeight="1">
      <c r="E1327" s="209" t="s">
        <v>1091</v>
      </c>
      <c r="F1327" s="209" t="s">
        <v>2527</v>
      </c>
      <c r="G1327" s="409" t="str">
        <f t="shared" si="17"/>
        <v>15-12</v>
      </c>
      <c r="H1327" s="273" t="e">
        <f ca="1">_xludf.IFNA(VLOOKUP(Aragon!E1327,'Kilter Holds'!$P$37:$AB$662,7,0),0)</f>
        <v>#NAME?</v>
      </c>
      <c r="I1327" s="274"/>
      <c r="J1327" s="274" t="e">
        <f t="shared" ca="1" si="15"/>
        <v>#NAME?</v>
      </c>
      <c r="K1327" s="274">
        <f t="shared" si="16"/>
        <v>0</v>
      </c>
      <c r="N1327" s="274"/>
    </row>
    <row r="1328" spans="5:14" ht="13.5" customHeight="1">
      <c r="E1328" s="209" t="s">
        <v>1091</v>
      </c>
      <c r="F1328" s="209" t="s">
        <v>2527</v>
      </c>
      <c r="G1328" s="410" t="str">
        <f t="shared" si="17"/>
        <v>16-16</v>
      </c>
      <c r="H1328" s="273" t="e">
        <f ca="1">_xludf.IFNA(VLOOKUP(Aragon!E1328,'Kilter Holds'!$P$37:$AB$662,8,0),0)</f>
        <v>#NAME?</v>
      </c>
      <c r="I1328" s="274"/>
      <c r="J1328" s="274" t="e">
        <f t="shared" ca="1" si="15"/>
        <v>#NAME?</v>
      </c>
      <c r="K1328" s="274">
        <f t="shared" si="16"/>
        <v>0</v>
      </c>
      <c r="N1328" s="274"/>
    </row>
    <row r="1329" spans="5:14" ht="13.5" customHeight="1">
      <c r="E1329" s="209" t="s">
        <v>1091</v>
      </c>
      <c r="F1329" s="209" t="s">
        <v>2527</v>
      </c>
      <c r="G1329" s="411" t="str">
        <f t="shared" si="17"/>
        <v>13-01</v>
      </c>
      <c r="H1329" s="273" t="e">
        <f ca="1">_xludf.IFNA(VLOOKUP(Aragon!E1329,'Kilter Holds'!$P$37:$AB$662,9,0),0)</f>
        <v>#NAME?</v>
      </c>
      <c r="I1329" s="274"/>
      <c r="J1329" s="274" t="e">
        <f t="shared" ca="1" si="15"/>
        <v>#NAME?</v>
      </c>
      <c r="K1329" s="274">
        <f t="shared" si="16"/>
        <v>0</v>
      </c>
      <c r="N1329" s="274"/>
    </row>
    <row r="1330" spans="5:14" ht="13.5" customHeight="1">
      <c r="E1330" s="209" t="s">
        <v>1091</v>
      </c>
      <c r="F1330" s="209" t="s">
        <v>2527</v>
      </c>
      <c r="G1330" s="413" t="str">
        <f t="shared" si="17"/>
        <v>07-13</v>
      </c>
      <c r="H1330" s="273" t="e">
        <f ca="1">_xludf.IFNA(VLOOKUP(Aragon!E1330,'Kilter Holds'!$P$37:$AB$662,10,0),0)</f>
        <v>#NAME?</v>
      </c>
      <c r="I1330" s="274"/>
      <c r="J1330" s="274" t="e">
        <f t="shared" ca="1" si="15"/>
        <v>#NAME?</v>
      </c>
      <c r="K1330" s="274">
        <f t="shared" si="16"/>
        <v>0</v>
      </c>
      <c r="N1330" s="274"/>
    </row>
    <row r="1331" spans="5:14" ht="13.5" customHeight="1">
      <c r="E1331" s="209" t="s">
        <v>1091</v>
      </c>
      <c r="F1331" s="209" t="s">
        <v>2527</v>
      </c>
      <c r="G1331" s="414" t="str">
        <f t="shared" si="17"/>
        <v>11-26</v>
      </c>
      <c r="H1331" s="273" t="e">
        <f ca="1">_xludf.IFNA(VLOOKUP(Aragon!E1331,'Kilter Holds'!$P$37:$AB$662,11,0),0)</f>
        <v>#NAME?</v>
      </c>
      <c r="I1331" s="274"/>
      <c r="J1331" s="274" t="e">
        <f t="shared" ca="1" si="15"/>
        <v>#NAME?</v>
      </c>
      <c r="K1331" s="274">
        <f t="shared" si="16"/>
        <v>0</v>
      </c>
      <c r="N1331" s="274"/>
    </row>
    <row r="1332" spans="5:14" ht="13.5" customHeight="1">
      <c r="E1332" s="209" t="s">
        <v>1091</v>
      </c>
      <c r="F1332" s="209" t="s">
        <v>2527</v>
      </c>
      <c r="G1332" s="415" t="str">
        <f t="shared" si="17"/>
        <v>18-01</v>
      </c>
      <c r="H1332" s="273" t="e">
        <f ca="1">_xludf.IFNA(VLOOKUP(Aragon!E1332,'Kilter Holds'!$P$37:$AB$662,12,0),0)</f>
        <v>#NAME?</v>
      </c>
      <c r="I1332" s="274"/>
      <c r="J1332" s="274" t="e">
        <f t="shared" ca="1" si="15"/>
        <v>#NAME?</v>
      </c>
      <c r="K1332" s="274">
        <f t="shared" si="16"/>
        <v>0</v>
      </c>
      <c r="N1332" s="274"/>
    </row>
    <row r="1333" spans="5:14" ht="13.5" customHeight="1">
      <c r="E1333" s="209" t="s">
        <v>1091</v>
      </c>
      <c r="F1333" s="209" t="s">
        <v>2527</v>
      </c>
      <c r="G1333" s="416" t="str">
        <f t="shared" si="17"/>
        <v>Color Code</v>
      </c>
      <c r="H1333" s="273" t="e">
        <f ca="1">_xludf.IFNA(VLOOKUP(Aragon!E1333,'Kilter Holds'!$P$37:$AB$662,13,0),0)</f>
        <v>#NAME?</v>
      </c>
      <c r="I1333" s="274"/>
      <c r="J1333" s="274" t="e">
        <f t="shared" ca="1" si="15"/>
        <v>#NAME?</v>
      </c>
      <c r="K1333" s="274">
        <f t="shared" si="16"/>
        <v>0</v>
      </c>
      <c r="N1333" s="274"/>
    </row>
    <row r="1334" spans="5:14" ht="13.5" customHeight="1">
      <c r="E1334" s="209" t="s">
        <v>189</v>
      </c>
      <c r="F1334" s="209" t="s">
        <v>2528</v>
      </c>
      <c r="G1334" s="406" t="str">
        <f t="shared" si="17"/>
        <v>11-12</v>
      </c>
      <c r="H1334" s="273" t="e">
        <f ca="1">_xludf.IFNA(VLOOKUP(Aragon!E1334,'Kilter Holds'!$P$37:$AB$662,5,0),0)</f>
        <v>#NAME?</v>
      </c>
      <c r="I1334" s="274"/>
      <c r="J1334" s="274" t="e">
        <f t="shared" ca="1" si="15"/>
        <v>#NAME?</v>
      </c>
      <c r="K1334" s="274">
        <f t="shared" si="16"/>
        <v>0</v>
      </c>
      <c r="N1334" s="274"/>
    </row>
    <row r="1335" spans="5:14" ht="13.5" customHeight="1">
      <c r="E1335" s="209" t="s">
        <v>189</v>
      </c>
      <c r="F1335" s="209" t="s">
        <v>2528</v>
      </c>
      <c r="G1335" s="408" t="str">
        <f t="shared" si="17"/>
        <v>14-01</v>
      </c>
      <c r="H1335" s="273" t="e">
        <f ca="1">_xludf.IFNA(VLOOKUP(Aragon!E1335,'Kilter Holds'!$P$37:$AB$662,6,0),0)</f>
        <v>#NAME?</v>
      </c>
      <c r="I1335" s="274"/>
      <c r="J1335" s="274" t="e">
        <f t="shared" ca="1" si="15"/>
        <v>#NAME?</v>
      </c>
      <c r="K1335" s="274">
        <f t="shared" si="16"/>
        <v>0</v>
      </c>
      <c r="N1335" s="274"/>
    </row>
    <row r="1336" spans="5:14" ht="13.5" customHeight="1">
      <c r="E1336" s="209" t="s">
        <v>189</v>
      </c>
      <c r="F1336" s="209" t="s">
        <v>2528</v>
      </c>
      <c r="G1336" s="409" t="str">
        <f t="shared" si="17"/>
        <v>15-12</v>
      </c>
      <c r="H1336" s="273" t="e">
        <f ca="1">_xludf.IFNA(VLOOKUP(Aragon!E1336,'Kilter Holds'!$P$37:$AB$662,7,0),0)</f>
        <v>#NAME?</v>
      </c>
      <c r="I1336" s="274"/>
      <c r="J1336" s="274" t="e">
        <f t="shared" ca="1" si="15"/>
        <v>#NAME?</v>
      </c>
      <c r="K1336" s="274">
        <f t="shared" si="16"/>
        <v>0</v>
      </c>
      <c r="N1336" s="274"/>
    </row>
    <row r="1337" spans="5:14" ht="13.5" customHeight="1">
      <c r="E1337" s="209" t="s">
        <v>189</v>
      </c>
      <c r="F1337" s="209" t="s">
        <v>2528</v>
      </c>
      <c r="G1337" s="410" t="str">
        <f t="shared" si="17"/>
        <v>16-16</v>
      </c>
      <c r="H1337" s="273" t="e">
        <f ca="1">_xludf.IFNA(VLOOKUP(Aragon!E1337,'Kilter Holds'!$P$37:$AB$662,8,0),0)</f>
        <v>#NAME?</v>
      </c>
      <c r="I1337" s="274"/>
      <c r="J1337" s="274" t="e">
        <f t="shared" ca="1" si="15"/>
        <v>#NAME?</v>
      </c>
      <c r="K1337" s="274">
        <f t="shared" si="16"/>
        <v>0</v>
      </c>
      <c r="N1337" s="274"/>
    </row>
    <row r="1338" spans="5:14" ht="13.5" customHeight="1">
      <c r="E1338" s="209" t="s">
        <v>189</v>
      </c>
      <c r="F1338" s="209" t="s">
        <v>2528</v>
      </c>
      <c r="G1338" s="411" t="str">
        <f t="shared" si="17"/>
        <v>13-01</v>
      </c>
      <c r="H1338" s="273" t="e">
        <f ca="1">_xludf.IFNA(VLOOKUP(Aragon!E1338,'Kilter Holds'!$P$37:$AB$662,9,0),0)</f>
        <v>#NAME?</v>
      </c>
      <c r="I1338" s="274"/>
      <c r="J1338" s="274" t="e">
        <f t="shared" ca="1" si="15"/>
        <v>#NAME?</v>
      </c>
      <c r="K1338" s="274">
        <f t="shared" si="16"/>
        <v>0</v>
      </c>
      <c r="N1338" s="274"/>
    </row>
    <row r="1339" spans="5:14" ht="13.5" customHeight="1">
      <c r="E1339" s="209" t="s">
        <v>189</v>
      </c>
      <c r="F1339" s="209" t="s">
        <v>2528</v>
      </c>
      <c r="G1339" s="413" t="str">
        <f t="shared" si="17"/>
        <v>07-13</v>
      </c>
      <c r="H1339" s="273" t="e">
        <f ca="1">_xludf.IFNA(VLOOKUP(Aragon!E1339,'Kilter Holds'!$P$37:$AB$662,10,0),0)</f>
        <v>#NAME?</v>
      </c>
      <c r="I1339" s="274"/>
      <c r="J1339" s="274" t="e">
        <f t="shared" ca="1" si="15"/>
        <v>#NAME?</v>
      </c>
      <c r="K1339" s="274">
        <f t="shared" si="16"/>
        <v>0</v>
      </c>
      <c r="N1339" s="274"/>
    </row>
    <row r="1340" spans="5:14" ht="13.5" customHeight="1">
      <c r="E1340" s="209" t="s">
        <v>189</v>
      </c>
      <c r="F1340" s="209" t="s">
        <v>2528</v>
      </c>
      <c r="G1340" s="414" t="str">
        <f t="shared" si="17"/>
        <v>11-26</v>
      </c>
      <c r="H1340" s="273" t="e">
        <f ca="1">_xludf.IFNA(VLOOKUP(Aragon!E1340,'Kilter Holds'!$P$37:$AB$662,11,0),0)</f>
        <v>#NAME?</v>
      </c>
      <c r="I1340" s="274"/>
      <c r="J1340" s="274" t="e">
        <f t="shared" ca="1" si="15"/>
        <v>#NAME?</v>
      </c>
      <c r="K1340" s="274">
        <f t="shared" si="16"/>
        <v>0</v>
      </c>
      <c r="N1340" s="274"/>
    </row>
    <row r="1341" spans="5:14" ht="13.5" customHeight="1">
      <c r="E1341" s="209" t="s">
        <v>189</v>
      </c>
      <c r="F1341" s="209" t="s">
        <v>2528</v>
      </c>
      <c r="G1341" s="415" t="str">
        <f t="shared" si="17"/>
        <v>18-01</v>
      </c>
      <c r="H1341" s="273" t="e">
        <f ca="1">_xludf.IFNA(VLOOKUP(Aragon!E1341,'Kilter Holds'!$P$37:$AB$662,12,0),0)</f>
        <v>#NAME?</v>
      </c>
      <c r="I1341" s="274"/>
      <c r="J1341" s="274" t="e">
        <f t="shared" ca="1" si="15"/>
        <v>#NAME?</v>
      </c>
      <c r="K1341" s="274">
        <f t="shared" si="16"/>
        <v>0</v>
      </c>
      <c r="N1341" s="274"/>
    </row>
    <row r="1342" spans="5:14" ht="13.5" customHeight="1">
      <c r="E1342" s="209" t="s">
        <v>189</v>
      </c>
      <c r="F1342" s="209" t="s">
        <v>2528</v>
      </c>
      <c r="G1342" s="416" t="str">
        <f t="shared" si="17"/>
        <v>Color Code</v>
      </c>
      <c r="H1342" s="273" t="e">
        <f ca="1">_xludf.IFNA(VLOOKUP(Aragon!E1342,'Kilter Holds'!$P$37:$AB$662,13,0),0)</f>
        <v>#NAME?</v>
      </c>
      <c r="I1342" s="274"/>
      <c r="J1342" s="274" t="e">
        <f t="shared" ca="1" si="15"/>
        <v>#NAME?</v>
      </c>
      <c r="K1342" s="274">
        <f t="shared" si="16"/>
        <v>0</v>
      </c>
      <c r="N1342" s="274"/>
    </row>
    <row r="1343" spans="5:14" ht="13.5" customHeight="1">
      <c r="E1343" s="209" t="s">
        <v>191</v>
      </c>
      <c r="F1343" s="209" t="s">
        <v>2529</v>
      </c>
      <c r="G1343" s="406" t="str">
        <f t="shared" si="17"/>
        <v>11-12</v>
      </c>
      <c r="H1343" s="273" t="e">
        <f ca="1">_xludf.IFNA(VLOOKUP(Aragon!E1343,'Kilter Holds'!$P$37:$AB$662,5,0),0)</f>
        <v>#NAME?</v>
      </c>
      <c r="I1343" s="274"/>
      <c r="J1343" s="274" t="e">
        <f t="shared" ca="1" si="15"/>
        <v>#NAME?</v>
      </c>
      <c r="K1343" s="274">
        <f t="shared" si="16"/>
        <v>0</v>
      </c>
      <c r="N1343" s="274"/>
    </row>
    <row r="1344" spans="5:14" ht="13.5" customHeight="1">
      <c r="E1344" s="209" t="s">
        <v>191</v>
      </c>
      <c r="F1344" s="209" t="s">
        <v>2529</v>
      </c>
      <c r="G1344" s="408" t="str">
        <f t="shared" si="17"/>
        <v>14-01</v>
      </c>
      <c r="H1344" s="273" t="e">
        <f ca="1">_xludf.IFNA(VLOOKUP(Aragon!E1344,'Kilter Holds'!$P$37:$AB$662,6,0),0)</f>
        <v>#NAME?</v>
      </c>
      <c r="I1344" s="274"/>
      <c r="J1344" s="274" t="e">
        <f t="shared" ca="1" si="15"/>
        <v>#NAME?</v>
      </c>
      <c r="K1344" s="274">
        <f t="shared" si="16"/>
        <v>0</v>
      </c>
      <c r="N1344" s="274"/>
    </row>
    <row r="1345" spans="5:14" ht="13.5" customHeight="1">
      <c r="E1345" s="209" t="s">
        <v>191</v>
      </c>
      <c r="F1345" s="209" t="s">
        <v>2529</v>
      </c>
      <c r="G1345" s="409" t="str">
        <f t="shared" si="17"/>
        <v>15-12</v>
      </c>
      <c r="H1345" s="273" t="e">
        <f ca="1">_xludf.IFNA(VLOOKUP(Aragon!E1345,'Kilter Holds'!$P$37:$AB$662,7,0),0)</f>
        <v>#NAME?</v>
      </c>
      <c r="I1345" s="274"/>
      <c r="J1345" s="274" t="e">
        <f t="shared" ca="1" si="15"/>
        <v>#NAME?</v>
      </c>
      <c r="K1345" s="274">
        <f t="shared" si="16"/>
        <v>0</v>
      </c>
      <c r="N1345" s="274"/>
    </row>
    <row r="1346" spans="5:14" ht="13.5" customHeight="1">
      <c r="E1346" s="209" t="s">
        <v>191</v>
      </c>
      <c r="F1346" s="209" t="s">
        <v>2529</v>
      </c>
      <c r="G1346" s="410" t="str">
        <f t="shared" si="17"/>
        <v>16-16</v>
      </c>
      <c r="H1346" s="273" t="e">
        <f ca="1">_xludf.IFNA(VLOOKUP(Aragon!E1346,'Kilter Holds'!$P$37:$AB$662,8,0),0)</f>
        <v>#NAME?</v>
      </c>
      <c r="I1346" s="274"/>
      <c r="J1346" s="274" t="e">
        <f t="shared" ca="1" si="15"/>
        <v>#NAME?</v>
      </c>
      <c r="K1346" s="274">
        <f t="shared" si="16"/>
        <v>0</v>
      </c>
      <c r="N1346" s="274"/>
    </row>
    <row r="1347" spans="5:14" ht="13.5" customHeight="1">
      <c r="E1347" s="209" t="s">
        <v>191</v>
      </c>
      <c r="F1347" s="209" t="s">
        <v>2529</v>
      </c>
      <c r="G1347" s="411" t="str">
        <f t="shared" si="17"/>
        <v>13-01</v>
      </c>
      <c r="H1347" s="273" t="e">
        <f ca="1">_xludf.IFNA(VLOOKUP(Aragon!E1347,'Kilter Holds'!$P$37:$AB$662,9,0),0)</f>
        <v>#NAME?</v>
      </c>
      <c r="I1347" s="274"/>
      <c r="J1347" s="274" t="e">
        <f t="shared" ca="1" si="15"/>
        <v>#NAME?</v>
      </c>
      <c r="K1347" s="274">
        <f t="shared" si="16"/>
        <v>0</v>
      </c>
      <c r="N1347" s="274"/>
    </row>
    <row r="1348" spans="5:14" ht="13.5" customHeight="1">
      <c r="E1348" s="209" t="s">
        <v>191</v>
      </c>
      <c r="F1348" s="209" t="s">
        <v>2529</v>
      </c>
      <c r="G1348" s="413" t="str">
        <f t="shared" si="17"/>
        <v>07-13</v>
      </c>
      <c r="H1348" s="273" t="e">
        <f ca="1">_xludf.IFNA(VLOOKUP(Aragon!E1348,'Kilter Holds'!$P$37:$AB$662,10,0),0)</f>
        <v>#NAME?</v>
      </c>
      <c r="I1348" s="274"/>
      <c r="J1348" s="274" t="e">
        <f t="shared" ca="1" si="15"/>
        <v>#NAME?</v>
      </c>
      <c r="K1348" s="274">
        <f t="shared" si="16"/>
        <v>0</v>
      </c>
      <c r="N1348" s="274"/>
    </row>
    <row r="1349" spans="5:14" ht="13.5" customHeight="1">
      <c r="E1349" s="209" t="s">
        <v>191</v>
      </c>
      <c r="F1349" s="209" t="s">
        <v>2529</v>
      </c>
      <c r="G1349" s="414" t="str">
        <f t="shared" si="17"/>
        <v>11-26</v>
      </c>
      <c r="H1349" s="273" t="e">
        <f ca="1">_xludf.IFNA(VLOOKUP(Aragon!E1349,'Kilter Holds'!$P$37:$AB$662,11,0),0)</f>
        <v>#NAME?</v>
      </c>
      <c r="I1349" s="274"/>
      <c r="J1349" s="274" t="e">
        <f t="shared" ca="1" si="15"/>
        <v>#NAME?</v>
      </c>
      <c r="K1349" s="274">
        <f t="shared" si="16"/>
        <v>0</v>
      </c>
      <c r="N1349" s="274"/>
    </row>
    <row r="1350" spans="5:14" ht="13.5" customHeight="1">
      <c r="E1350" s="209" t="s">
        <v>191</v>
      </c>
      <c r="F1350" s="209" t="s">
        <v>2529</v>
      </c>
      <c r="G1350" s="415" t="str">
        <f t="shared" si="17"/>
        <v>18-01</v>
      </c>
      <c r="H1350" s="273" t="e">
        <f ca="1">_xludf.IFNA(VLOOKUP(Aragon!E1350,'Kilter Holds'!$P$37:$AB$662,12,0),0)</f>
        <v>#NAME?</v>
      </c>
      <c r="I1350" s="274"/>
      <c r="J1350" s="274" t="e">
        <f t="shared" ca="1" si="15"/>
        <v>#NAME?</v>
      </c>
      <c r="K1350" s="274">
        <f t="shared" si="16"/>
        <v>0</v>
      </c>
      <c r="N1350" s="274"/>
    </row>
    <row r="1351" spans="5:14" ht="13.5" customHeight="1">
      <c r="E1351" s="209" t="s">
        <v>191</v>
      </c>
      <c r="F1351" s="209" t="s">
        <v>2529</v>
      </c>
      <c r="G1351" s="416" t="str">
        <f t="shared" si="17"/>
        <v>Color Code</v>
      </c>
      <c r="H1351" s="273" t="e">
        <f ca="1">_xludf.IFNA(VLOOKUP(Aragon!E1351,'Kilter Holds'!$P$37:$AB$662,13,0),0)</f>
        <v>#NAME?</v>
      </c>
      <c r="I1351" s="274"/>
      <c r="J1351" s="274" t="e">
        <f t="shared" ca="1" si="15"/>
        <v>#NAME?</v>
      </c>
      <c r="K1351" s="274">
        <f t="shared" si="16"/>
        <v>0</v>
      </c>
      <c r="N1351" s="274"/>
    </row>
    <row r="1352" spans="5:14" ht="13.5" customHeight="1">
      <c r="E1352" s="209" t="s">
        <v>193</v>
      </c>
      <c r="F1352" s="209" t="s">
        <v>2530</v>
      </c>
      <c r="G1352" s="406" t="str">
        <f t="shared" si="17"/>
        <v>11-12</v>
      </c>
      <c r="H1352" s="273" t="e">
        <f ca="1">_xludf.IFNA(VLOOKUP(Aragon!E1352,'Kilter Holds'!$P$37:$AB$662,5,0),0)</f>
        <v>#NAME?</v>
      </c>
      <c r="I1352" s="274"/>
      <c r="J1352" s="274" t="e">
        <f t="shared" ca="1" si="15"/>
        <v>#NAME?</v>
      </c>
      <c r="K1352" s="274">
        <f t="shared" si="16"/>
        <v>0</v>
      </c>
      <c r="N1352" s="274"/>
    </row>
    <row r="1353" spans="5:14" ht="13.5" customHeight="1">
      <c r="E1353" s="209" t="s">
        <v>193</v>
      </c>
      <c r="F1353" s="209" t="s">
        <v>2530</v>
      </c>
      <c r="G1353" s="408" t="str">
        <f t="shared" si="17"/>
        <v>14-01</v>
      </c>
      <c r="H1353" s="273" t="e">
        <f ca="1">_xludf.IFNA(VLOOKUP(Aragon!E1353,'Kilter Holds'!$P$37:$AB$662,6,0),0)</f>
        <v>#NAME?</v>
      </c>
      <c r="I1353" s="274"/>
      <c r="J1353" s="274" t="e">
        <f t="shared" ca="1" si="15"/>
        <v>#NAME?</v>
      </c>
      <c r="K1353" s="274">
        <f t="shared" si="16"/>
        <v>0</v>
      </c>
      <c r="N1353" s="274"/>
    </row>
    <row r="1354" spans="5:14" ht="13.5" customHeight="1">
      <c r="E1354" s="209" t="s">
        <v>193</v>
      </c>
      <c r="F1354" s="209" t="s">
        <v>2530</v>
      </c>
      <c r="G1354" s="409" t="str">
        <f t="shared" si="17"/>
        <v>15-12</v>
      </c>
      <c r="H1354" s="273" t="e">
        <f ca="1">_xludf.IFNA(VLOOKUP(Aragon!E1354,'Kilter Holds'!$P$37:$AB$662,7,0),0)</f>
        <v>#NAME?</v>
      </c>
      <c r="I1354" s="274"/>
      <c r="J1354" s="274" t="e">
        <f t="shared" ca="1" si="15"/>
        <v>#NAME?</v>
      </c>
      <c r="K1354" s="274">
        <f t="shared" si="16"/>
        <v>0</v>
      </c>
      <c r="N1354" s="274"/>
    </row>
    <row r="1355" spans="5:14" ht="13.5" customHeight="1">
      <c r="E1355" s="209" t="s">
        <v>193</v>
      </c>
      <c r="F1355" s="209" t="s">
        <v>2530</v>
      </c>
      <c r="G1355" s="410" t="str">
        <f t="shared" si="17"/>
        <v>16-16</v>
      </c>
      <c r="H1355" s="273" t="e">
        <f ca="1">_xludf.IFNA(VLOOKUP(Aragon!E1355,'Kilter Holds'!$P$37:$AB$662,8,0),0)</f>
        <v>#NAME?</v>
      </c>
      <c r="I1355" s="274"/>
      <c r="J1355" s="274" t="e">
        <f t="shared" ca="1" si="15"/>
        <v>#NAME?</v>
      </c>
      <c r="K1355" s="274">
        <f t="shared" si="16"/>
        <v>0</v>
      </c>
      <c r="N1355" s="274"/>
    </row>
    <row r="1356" spans="5:14" ht="13.5" customHeight="1">
      <c r="E1356" s="209" t="s">
        <v>193</v>
      </c>
      <c r="F1356" s="209" t="s">
        <v>2530</v>
      </c>
      <c r="G1356" s="411" t="str">
        <f t="shared" si="17"/>
        <v>13-01</v>
      </c>
      <c r="H1356" s="273" t="e">
        <f ca="1">_xludf.IFNA(VLOOKUP(Aragon!E1356,'Kilter Holds'!$P$37:$AB$662,9,0),0)</f>
        <v>#NAME?</v>
      </c>
      <c r="I1356" s="274"/>
      <c r="J1356" s="274" t="e">
        <f t="shared" ca="1" si="15"/>
        <v>#NAME?</v>
      </c>
      <c r="K1356" s="274">
        <f t="shared" si="16"/>
        <v>0</v>
      </c>
      <c r="N1356" s="274"/>
    </row>
    <row r="1357" spans="5:14" ht="13.5" customHeight="1">
      <c r="E1357" s="209" t="s">
        <v>193</v>
      </c>
      <c r="F1357" s="209" t="s">
        <v>2530</v>
      </c>
      <c r="G1357" s="413" t="str">
        <f t="shared" si="17"/>
        <v>07-13</v>
      </c>
      <c r="H1357" s="273" t="e">
        <f ca="1">_xludf.IFNA(VLOOKUP(Aragon!E1357,'Kilter Holds'!$P$37:$AB$662,10,0),0)</f>
        <v>#NAME?</v>
      </c>
      <c r="I1357" s="274"/>
      <c r="J1357" s="274" t="e">
        <f t="shared" ca="1" si="15"/>
        <v>#NAME?</v>
      </c>
      <c r="K1357" s="274">
        <f t="shared" si="16"/>
        <v>0</v>
      </c>
      <c r="N1357" s="274"/>
    </row>
    <row r="1358" spans="5:14" ht="13.5" customHeight="1">
      <c r="E1358" s="209" t="s">
        <v>193</v>
      </c>
      <c r="F1358" s="209" t="s">
        <v>2530</v>
      </c>
      <c r="G1358" s="414" t="str">
        <f t="shared" si="17"/>
        <v>11-26</v>
      </c>
      <c r="H1358" s="273" t="e">
        <f ca="1">_xludf.IFNA(VLOOKUP(Aragon!E1358,'Kilter Holds'!$P$37:$AB$662,11,0),0)</f>
        <v>#NAME?</v>
      </c>
      <c r="I1358" s="274"/>
      <c r="J1358" s="274" t="e">
        <f t="shared" ca="1" si="15"/>
        <v>#NAME?</v>
      </c>
      <c r="K1358" s="274">
        <f t="shared" si="16"/>
        <v>0</v>
      </c>
      <c r="N1358" s="274"/>
    </row>
    <row r="1359" spans="5:14" ht="13.5" customHeight="1">
      <c r="E1359" s="209" t="s">
        <v>193</v>
      </c>
      <c r="F1359" s="209" t="s">
        <v>2530</v>
      </c>
      <c r="G1359" s="415" t="str">
        <f t="shared" si="17"/>
        <v>18-01</v>
      </c>
      <c r="H1359" s="273" t="e">
        <f ca="1">_xludf.IFNA(VLOOKUP(Aragon!E1359,'Kilter Holds'!$P$37:$AB$662,12,0),0)</f>
        <v>#NAME?</v>
      </c>
      <c r="I1359" s="274"/>
      <c r="J1359" s="274" t="e">
        <f t="shared" ca="1" si="15"/>
        <v>#NAME?</v>
      </c>
      <c r="K1359" s="274">
        <f t="shared" si="16"/>
        <v>0</v>
      </c>
      <c r="N1359" s="274"/>
    </row>
    <row r="1360" spans="5:14" ht="13.5" customHeight="1">
      <c r="E1360" s="209" t="s">
        <v>193</v>
      </c>
      <c r="F1360" s="209" t="s">
        <v>2530</v>
      </c>
      <c r="G1360" s="416" t="str">
        <f t="shared" si="17"/>
        <v>Color Code</v>
      </c>
      <c r="H1360" s="273" t="e">
        <f ca="1">_xludf.IFNA(VLOOKUP(Aragon!E1360,'Kilter Holds'!$P$37:$AB$662,13,0),0)</f>
        <v>#NAME?</v>
      </c>
      <c r="I1360" s="274"/>
      <c r="J1360" s="274" t="e">
        <f t="shared" ca="1" si="15"/>
        <v>#NAME?</v>
      </c>
      <c r="K1360" s="274">
        <f t="shared" si="16"/>
        <v>0</v>
      </c>
      <c r="N1360" s="274"/>
    </row>
    <row r="1361" spans="5:14" ht="13.5" customHeight="1">
      <c r="E1361" s="209" t="s">
        <v>195</v>
      </c>
      <c r="F1361" s="209" t="s">
        <v>2531</v>
      </c>
      <c r="G1361" s="406" t="str">
        <f t="shared" si="17"/>
        <v>11-12</v>
      </c>
      <c r="H1361" s="273" t="e">
        <f ca="1">_xludf.IFNA(VLOOKUP(Aragon!E1361,'Kilter Holds'!$P$37:$AB$662,5,0),0)</f>
        <v>#NAME?</v>
      </c>
      <c r="I1361" s="274"/>
      <c r="J1361" s="274" t="e">
        <f t="shared" ca="1" si="15"/>
        <v>#NAME?</v>
      </c>
      <c r="K1361" s="274">
        <f t="shared" si="16"/>
        <v>0</v>
      </c>
      <c r="N1361" s="274"/>
    </row>
    <row r="1362" spans="5:14" ht="13.5" customHeight="1">
      <c r="E1362" s="209" t="s">
        <v>195</v>
      </c>
      <c r="F1362" s="209" t="s">
        <v>2531</v>
      </c>
      <c r="G1362" s="408" t="str">
        <f t="shared" si="17"/>
        <v>14-01</v>
      </c>
      <c r="H1362" s="273" t="e">
        <f ca="1">_xludf.IFNA(VLOOKUP(Aragon!E1362,'Kilter Holds'!$P$37:$AB$662,6,0),0)</f>
        <v>#NAME?</v>
      </c>
      <c r="I1362" s="274"/>
      <c r="J1362" s="274" t="e">
        <f t="shared" ca="1" si="15"/>
        <v>#NAME?</v>
      </c>
      <c r="K1362" s="274">
        <f t="shared" si="16"/>
        <v>0</v>
      </c>
      <c r="N1362" s="274"/>
    </row>
    <row r="1363" spans="5:14" ht="13.5" customHeight="1">
      <c r="E1363" s="209" t="s">
        <v>195</v>
      </c>
      <c r="F1363" s="209" t="s">
        <v>2531</v>
      </c>
      <c r="G1363" s="409" t="str">
        <f t="shared" si="17"/>
        <v>15-12</v>
      </c>
      <c r="H1363" s="273" t="e">
        <f ca="1">_xludf.IFNA(VLOOKUP(Aragon!E1363,'Kilter Holds'!$P$37:$AB$662,7,0),0)</f>
        <v>#NAME?</v>
      </c>
      <c r="I1363" s="274"/>
      <c r="J1363" s="274" t="e">
        <f t="shared" ca="1" si="15"/>
        <v>#NAME?</v>
      </c>
      <c r="K1363" s="274">
        <f t="shared" si="16"/>
        <v>0</v>
      </c>
      <c r="N1363" s="274"/>
    </row>
    <row r="1364" spans="5:14" ht="13.5" customHeight="1">
      <c r="E1364" s="209" t="s">
        <v>195</v>
      </c>
      <c r="F1364" s="209" t="s">
        <v>2531</v>
      </c>
      <c r="G1364" s="410" t="str">
        <f t="shared" si="17"/>
        <v>16-16</v>
      </c>
      <c r="H1364" s="273" t="e">
        <f ca="1">_xludf.IFNA(VLOOKUP(Aragon!E1364,'Kilter Holds'!$P$37:$AB$662,8,0),0)</f>
        <v>#NAME?</v>
      </c>
      <c r="I1364" s="274"/>
      <c r="J1364" s="274" t="e">
        <f t="shared" ca="1" si="15"/>
        <v>#NAME?</v>
      </c>
      <c r="K1364" s="274">
        <f t="shared" si="16"/>
        <v>0</v>
      </c>
      <c r="N1364" s="274"/>
    </row>
    <row r="1365" spans="5:14" ht="13.5" customHeight="1">
      <c r="E1365" s="209" t="s">
        <v>195</v>
      </c>
      <c r="F1365" s="209" t="s">
        <v>2531</v>
      </c>
      <c r="G1365" s="411" t="str">
        <f t="shared" si="17"/>
        <v>13-01</v>
      </c>
      <c r="H1365" s="273" t="e">
        <f ca="1">_xludf.IFNA(VLOOKUP(Aragon!E1365,'Kilter Holds'!$P$37:$AB$662,9,0),0)</f>
        <v>#NAME?</v>
      </c>
      <c r="I1365" s="274"/>
      <c r="J1365" s="274" t="e">
        <f t="shared" ca="1" si="15"/>
        <v>#NAME?</v>
      </c>
      <c r="K1365" s="274">
        <f t="shared" si="16"/>
        <v>0</v>
      </c>
      <c r="N1365" s="274"/>
    </row>
    <row r="1366" spans="5:14" ht="13.5" customHeight="1">
      <c r="E1366" s="209" t="s">
        <v>195</v>
      </c>
      <c r="F1366" s="209" t="s">
        <v>2531</v>
      </c>
      <c r="G1366" s="413" t="str">
        <f t="shared" si="17"/>
        <v>07-13</v>
      </c>
      <c r="H1366" s="273" t="e">
        <f ca="1">_xludf.IFNA(VLOOKUP(Aragon!E1366,'Kilter Holds'!$P$37:$AB$662,10,0),0)</f>
        <v>#NAME?</v>
      </c>
      <c r="I1366" s="274"/>
      <c r="J1366" s="274" t="e">
        <f t="shared" ca="1" si="15"/>
        <v>#NAME?</v>
      </c>
      <c r="K1366" s="274">
        <f t="shared" si="16"/>
        <v>0</v>
      </c>
      <c r="N1366" s="274"/>
    </row>
    <row r="1367" spans="5:14" ht="13.5" customHeight="1">
      <c r="E1367" s="209" t="s">
        <v>195</v>
      </c>
      <c r="F1367" s="209" t="s">
        <v>2531</v>
      </c>
      <c r="G1367" s="414" t="str">
        <f t="shared" si="17"/>
        <v>11-26</v>
      </c>
      <c r="H1367" s="273" t="e">
        <f ca="1">_xludf.IFNA(VLOOKUP(Aragon!E1367,'Kilter Holds'!$P$37:$AB$662,11,0),0)</f>
        <v>#NAME?</v>
      </c>
      <c r="I1367" s="274"/>
      <c r="J1367" s="274" t="e">
        <f t="shared" ca="1" si="15"/>
        <v>#NAME?</v>
      </c>
      <c r="K1367" s="274">
        <f t="shared" si="16"/>
        <v>0</v>
      </c>
      <c r="N1367" s="274"/>
    </row>
    <row r="1368" spans="5:14" ht="13.5" customHeight="1">
      <c r="E1368" s="209" t="s">
        <v>195</v>
      </c>
      <c r="F1368" s="209" t="s">
        <v>2531</v>
      </c>
      <c r="G1368" s="415" t="str">
        <f t="shared" si="17"/>
        <v>18-01</v>
      </c>
      <c r="H1368" s="273" t="e">
        <f ca="1">_xludf.IFNA(VLOOKUP(Aragon!E1368,'Kilter Holds'!$P$37:$AB$662,12,0),0)</f>
        <v>#NAME?</v>
      </c>
      <c r="I1368" s="274"/>
      <c r="J1368" s="274" t="e">
        <f t="shared" ca="1" si="15"/>
        <v>#NAME?</v>
      </c>
      <c r="K1368" s="274">
        <f t="shared" si="16"/>
        <v>0</v>
      </c>
      <c r="N1368" s="274"/>
    </row>
    <row r="1369" spans="5:14" ht="13.5" customHeight="1">
      <c r="E1369" s="209" t="s">
        <v>195</v>
      </c>
      <c r="F1369" s="209" t="s">
        <v>2531</v>
      </c>
      <c r="G1369" s="416" t="str">
        <f t="shared" si="17"/>
        <v>Color Code</v>
      </c>
      <c r="H1369" s="273" t="e">
        <f ca="1">_xludf.IFNA(VLOOKUP(Aragon!E1369,'Kilter Holds'!$P$37:$AB$662,13,0),0)</f>
        <v>#NAME?</v>
      </c>
      <c r="I1369" s="274"/>
      <c r="J1369" s="274" t="e">
        <f t="shared" ca="1" si="15"/>
        <v>#NAME?</v>
      </c>
      <c r="K1369" s="274">
        <f t="shared" si="16"/>
        <v>0</v>
      </c>
      <c r="N1369" s="274"/>
    </row>
    <row r="1370" spans="5:14" ht="13.5" customHeight="1">
      <c r="E1370" s="209" t="s">
        <v>221</v>
      </c>
      <c r="F1370" s="209" t="s">
        <v>2532</v>
      </c>
      <c r="G1370" s="406" t="str">
        <f t="shared" si="17"/>
        <v>11-12</v>
      </c>
      <c r="H1370" s="273" t="e">
        <f ca="1">_xludf.IFNA(VLOOKUP(Aragon!E1370,'Kilter Holds'!$P$37:$AB$662,5,0),0)</f>
        <v>#NAME?</v>
      </c>
      <c r="I1370" s="274"/>
      <c r="J1370" s="274" t="e">
        <f t="shared" ca="1" si="15"/>
        <v>#NAME?</v>
      </c>
      <c r="K1370" s="274">
        <f t="shared" si="16"/>
        <v>0</v>
      </c>
      <c r="N1370" s="274"/>
    </row>
    <row r="1371" spans="5:14" ht="13.5" customHeight="1">
      <c r="E1371" s="209" t="s">
        <v>221</v>
      </c>
      <c r="F1371" s="209" t="s">
        <v>2532</v>
      </c>
      <c r="G1371" s="408" t="str">
        <f t="shared" si="17"/>
        <v>14-01</v>
      </c>
      <c r="H1371" s="273" t="e">
        <f ca="1">_xludf.IFNA(VLOOKUP(Aragon!E1371,'Kilter Holds'!$P$37:$AB$662,6,0),0)</f>
        <v>#NAME?</v>
      </c>
      <c r="I1371" s="274"/>
      <c r="J1371" s="274" t="e">
        <f t="shared" ca="1" si="15"/>
        <v>#NAME?</v>
      </c>
      <c r="K1371" s="274">
        <f t="shared" si="16"/>
        <v>0</v>
      </c>
      <c r="N1371" s="274"/>
    </row>
    <row r="1372" spans="5:14" ht="13.5" customHeight="1">
      <c r="E1372" s="209" t="s">
        <v>221</v>
      </c>
      <c r="F1372" s="209" t="s">
        <v>2532</v>
      </c>
      <c r="G1372" s="409" t="str">
        <f t="shared" si="17"/>
        <v>15-12</v>
      </c>
      <c r="H1372" s="273" t="e">
        <f ca="1">_xludf.IFNA(VLOOKUP(Aragon!E1372,'Kilter Holds'!$P$37:$AB$662,7,0),0)</f>
        <v>#NAME?</v>
      </c>
      <c r="I1372" s="274"/>
      <c r="J1372" s="274" t="e">
        <f t="shared" ca="1" si="15"/>
        <v>#NAME?</v>
      </c>
      <c r="K1372" s="274">
        <f t="shared" si="16"/>
        <v>0</v>
      </c>
      <c r="N1372" s="274"/>
    </row>
    <row r="1373" spans="5:14" ht="13.5" customHeight="1">
      <c r="E1373" s="209" t="s">
        <v>221</v>
      </c>
      <c r="F1373" s="209" t="s">
        <v>2532</v>
      </c>
      <c r="G1373" s="410" t="str">
        <f t="shared" si="17"/>
        <v>16-16</v>
      </c>
      <c r="H1373" s="273" t="e">
        <f ca="1">_xludf.IFNA(VLOOKUP(Aragon!E1373,'Kilter Holds'!$P$37:$AB$662,8,0),0)</f>
        <v>#NAME?</v>
      </c>
      <c r="I1373" s="274"/>
      <c r="J1373" s="274" t="e">
        <f t="shared" ca="1" si="15"/>
        <v>#NAME?</v>
      </c>
      <c r="K1373" s="274">
        <f t="shared" si="16"/>
        <v>0</v>
      </c>
      <c r="N1373" s="274"/>
    </row>
    <row r="1374" spans="5:14" ht="13.5" customHeight="1">
      <c r="E1374" s="209" t="s">
        <v>221</v>
      </c>
      <c r="F1374" s="209" t="s">
        <v>2532</v>
      </c>
      <c r="G1374" s="411" t="str">
        <f t="shared" si="17"/>
        <v>13-01</v>
      </c>
      <c r="H1374" s="273" t="e">
        <f ca="1">_xludf.IFNA(VLOOKUP(Aragon!E1374,'Kilter Holds'!$P$37:$AB$662,9,0),0)</f>
        <v>#NAME?</v>
      </c>
      <c r="I1374" s="274"/>
      <c r="J1374" s="274" t="e">
        <f t="shared" ca="1" si="15"/>
        <v>#NAME?</v>
      </c>
      <c r="K1374" s="274">
        <f t="shared" si="16"/>
        <v>0</v>
      </c>
      <c r="N1374" s="274"/>
    </row>
    <row r="1375" spans="5:14" ht="13.5" customHeight="1">
      <c r="E1375" s="209" t="s">
        <v>221</v>
      </c>
      <c r="F1375" s="209" t="s">
        <v>2532</v>
      </c>
      <c r="G1375" s="413" t="str">
        <f t="shared" si="17"/>
        <v>07-13</v>
      </c>
      <c r="H1375" s="273" t="e">
        <f ca="1">_xludf.IFNA(VLOOKUP(Aragon!E1375,'Kilter Holds'!$P$37:$AB$662,10,0),0)</f>
        <v>#NAME?</v>
      </c>
      <c r="I1375" s="274"/>
      <c r="J1375" s="274" t="e">
        <f t="shared" ca="1" si="15"/>
        <v>#NAME?</v>
      </c>
      <c r="K1375" s="274">
        <f t="shared" si="16"/>
        <v>0</v>
      </c>
      <c r="N1375" s="274"/>
    </row>
    <row r="1376" spans="5:14" ht="13.5" customHeight="1">
      <c r="E1376" s="209" t="s">
        <v>221</v>
      </c>
      <c r="F1376" s="209" t="s">
        <v>2532</v>
      </c>
      <c r="G1376" s="414" t="str">
        <f t="shared" si="17"/>
        <v>11-26</v>
      </c>
      <c r="H1376" s="273" t="e">
        <f ca="1">_xludf.IFNA(VLOOKUP(Aragon!E1376,'Kilter Holds'!$P$37:$AB$662,11,0),0)</f>
        <v>#NAME?</v>
      </c>
      <c r="I1376" s="274"/>
      <c r="J1376" s="274" t="e">
        <f t="shared" ca="1" si="15"/>
        <v>#NAME?</v>
      </c>
      <c r="K1376" s="274">
        <f t="shared" si="16"/>
        <v>0</v>
      </c>
      <c r="N1376" s="274"/>
    </row>
    <row r="1377" spans="5:14" ht="13.5" customHeight="1">
      <c r="E1377" s="209" t="s">
        <v>221</v>
      </c>
      <c r="F1377" s="209" t="s">
        <v>2532</v>
      </c>
      <c r="G1377" s="415" t="str">
        <f t="shared" si="17"/>
        <v>18-01</v>
      </c>
      <c r="H1377" s="273" t="e">
        <f ca="1">_xludf.IFNA(VLOOKUP(Aragon!E1377,'Kilter Holds'!$P$37:$AB$662,12,0),0)</f>
        <v>#NAME?</v>
      </c>
      <c r="I1377" s="274"/>
      <c r="J1377" s="274" t="e">
        <f t="shared" ca="1" si="15"/>
        <v>#NAME?</v>
      </c>
      <c r="K1377" s="274">
        <f t="shared" si="16"/>
        <v>0</v>
      </c>
      <c r="N1377" s="274"/>
    </row>
    <row r="1378" spans="5:14" ht="13.5" customHeight="1">
      <c r="E1378" s="209" t="s">
        <v>221</v>
      </c>
      <c r="F1378" s="209" t="s">
        <v>2532</v>
      </c>
      <c r="G1378" s="416" t="str">
        <f t="shared" si="17"/>
        <v>Color Code</v>
      </c>
      <c r="H1378" s="273" t="e">
        <f ca="1">_xludf.IFNA(VLOOKUP(Aragon!E1378,'Kilter Holds'!$P$37:$AB$662,13,0),0)</f>
        <v>#NAME?</v>
      </c>
      <c r="I1378" s="274"/>
      <c r="J1378" s="274" t="e">
        <f t="shared" ca="1" si="15"/>
        <v>#NAME?</v>
      </c>
      <c r="K1378" s="274">
        <f t="shared" si="16"/>
        <v>0</v>
      </c>
      <c r="N1378" s="274"/>
    </row>
    <row r="1379" spans="5:14" ht="13.5" customHeight="1">
      <c r="E1379" s="209" t="s">
        <v>223</v>
      </c>
      <c r="F1379" s="209" t="s">
        <v>2533</v>
      </c>
      <c r="G1379" s="406" t="str">
        <f t="shared" si="17"/>
        <v>11-12</v>
      </c>
      <c r="H1379" s="273" t="e">
        <f ca="1">_xludf.IFNA(VLOOKUP(Aragon!E1379,'Kilter Holds'!$P$37:$AB$662,5,0),0)</f>
        <v>#NAME?</v>
      </c>
      <c r="I1379" s="274"/>
      <c r="J1379" s="274" t="e">
        <f t="shared" ca="1" si="15"/>
        <v>#NAME?</v>
      </c>
      <c r="K1379" s="274">
        <f t="shared" si="16"/>
        <v>0</v>
      </c>
      <c r="N1379" s="274"/>
    </row>
    <row r="1380" spans="5:14" ht="13.5" customHeight="1">
      <c r="E1380" s="209" t="s">
        <v>223</v>
      </c>
      <c r="F1380" s="209" t="s">
        <v>2533</v>
      </c>
      <c r="G1380" s="408" t="str">
        <f t="shared" si="17"/>
        <v>14-01</v>
      </c>
      <c r="H1380" s="273" t="e">
        <f ca="1">_xludf.IFNA(VLOOKUP(Aragon!E1380,'Kilter Holds'!$P$37:$AB$662,6,0),0)</f>
        <v>#NAME?</v>
      </c>
      <c r="I1380" s="274"/>
      <c r="J1380" s="274" t="e">
        <f t="shared" ca="1" si="15"/>
        <v>#NAME?</v>
      </c>
      <c r="K1380" s="274">
        <f t="shared" si="16"/>
        <v>0</v>
      </c>
      <c r="N1380" s="274"/>
    </row>
    <row r="1381" spans="5:14" ht="13.5" customHeight="1">
      <c r="E1381" s="209" t="s">
        <v>223</v>
      </c>
      <c r="F1381" s="209" t="s">
        <v>2533</v>
      </c>
      <c r="G1381" s="409" t="str">
        <f t="shared" si="17"/>
        <v>15-12</v>
      </c>
      <c r="H1381" s="273" t="e">
        <f ca="1">_xludf.IFNA(VLOOKUP(Aragon!E1381,'Kilter Holds'!$P$37:$AB$662,7,0),0)</f>
        <v>#NAME?</v>
      </c>
      <c r="I1381" s="274"/>
      <c r="J1381" s="274" t="e">
        <f t="shared" ca="1" si="15"/>
        <v>#NAME?</v>
      </c>
      <c r="K1381" s="274">
        <f t="shared" si="16"/>
        <v>0</v>
      </c>
      <c r="N1381" s="274"/>
    </row>
    <row r="1382" spans="5:14" ht="13.5" customHeight="1">
      <c r="E1382" s="209" t="s">
        <v>223</v>
      </c>
      <c r="F1382" s="209" t="s">
        <v>2533</v>
      </c>
      <c r="G1382" s="410" t="str">
        <f t="shared" si="17"/>
        <v>16-16</v>
      </c>
      <c r="H1382" s="273" t="e">
        <f ca="1">_xludf.IFNA(VLOOKUP(Aragon!E1382,'Kilter Holds'!$P$37:$AB$662,8,0),0)</f>
        <v>#NAME?</v>
      </c>
      <c r="I1382" s="274"/>
      <c r="J1382" s="274" t="e">
        <f t="shared" ca="1" si="15"/>
        <v>#NAME?</v>
      </c>
      <c r="K1382" s="274">
        <f t="shared" si="16"/>
        <v>0</v>
      </c>
      <c r="N1382" s="274"/>
    </row>
    <row r="1383" spans="5:14" ht="13.5" customHeight="1">
      <c r="E1383" s="209" t="s">
        <v>223</v>
      </c>
      <c r="F1383" s="209" t="s">
        <v>2533</v>
      </c>
      <c r="G1383" s="411" t="str">
        <f t="shared" si="17"/>
        <v>13-01</v>
      </c>
      <c r="H1383" s="273" t="e">
        <f ca="1">_xludf.IFNA(VLOOKUP(Aragon!E1383,'Kilter Holds'!$P$37:$AB$662,9,0),0)</f>
        <v>#NAME?</v>
      </c>
      <c r="I1383" s="274"/>
      <c r="J1383" s="274" t="e">
        <f t="shared" ca="1" si="15"/>
        <v>#NAME?</v>
      </c>
      <c r="K1383" s="274">
        <f t="shared" si="16"/>
        <v>0</v>
      </c>
      <c r="N1383" s="274"/>
    </row>
    <row r="1384" spans="5:14" ht="13.5" customHeight="1">
      <c r="E1384" s="209" t="s">
        <v>223</v>
      </c>
      <c r="F1384" s="209" t="s">
        <v>2533</v>
      </c>
      <c r="G1384" s="413" t="str">
        <f t="shared" si="17"/>
        <v>07-13</v>
      </c>
      <c r="H1384" s="273" t="e">
        <f ca="1">_xludf.IFNA(VLOOKUP(Aragon!E1384,'Kilter Holds'!$P$37:$AB$662,10,0),0)</f>
        <v>#NAME?</v>
      </c>
      <c r="I1384" s="274"/>
      <c r="J1384" s="274" t="e">
        <f t="shared" ca="1" si="15"/>
        <v>#NAME?</v>
      </c>
      <c r="K1384" s="274">
        <f t="shared" si="16"/>
        <v>0</v>
      </c>
      <c r="N1384" s="274"/>
    </row>
    <row r="1385" spans="5:14" ht="13.5" customHeight="1">
      <c r="E1385" s="209" t="s">
        <v>223</v>
      </c>
      <c r="F1385" s="209" t="s">
        <v>2533</v>
      </c>
      <c r="G1385" s="414" t="str">
        <f t="shared" si="17"/>
        <v>11-26</v>
      </c>
      <c r="H1385" s="273" t="e">
        <f ca="1">_xludf.IFNA(VLOOKUP(Aragon!E1385,'Kilter Holds'!$P$37:$AB$662,11,0),0)</f>
        <v>#NAME?</v>
      </c>
      <c r="I1385" s="274"/>
      <c r="J1385" s="274" t="e">
        <f t="shared" ca="1" si="15"/>
        <v>#NAME?</v>
      </c>
      <c r="K1385" s="274">
        <f t="shared" si="16"/>
        <v>0</v>
      </c>
      <c r="N1385" s="274"/>
    </row>
    <row r="1386" spans="5:14" ht="13.5" customHeight="1">
      <c r="E1386" s="209" t="s">
        <v>223</v>
      </c>
      <c r="F1386" s="209" t="s">
        <v>2533</v>
      </c>
      <c r="G1386" s="415" t="str">
        <f t="shared" si="17"/>
        <v>18-01</v>
      </c>
      <c r="H1386" s="273" t="e">
        <f ca="1">_xludf.IFNA(VLOOKUP(Aragon!E1386,'Kilter Holds'!$P$37:$AB$662,12,0),0)</f>
        <v>#NAME?</v>
      </c>
      <c r="I1386" s="274"/>
      <c r="J1386" s="274" t="e">
        <f t="shared" ca="1" si="15"/>
        <v>#NAME?</v>
      </c>
      <c r="K1386" s="274">
        <f t="shared" si="16"/>
        <v>0</v>
      </c>
      <c r="N1386" s="274"/>
    </row>
    <row r="1387" spans="5:14" ht="13.5" customHeight="1">
      <c r="E1387" s="209" t="s">
        <v>223</v>
      </c>
      <c r="F1387" s="209" t="s">
        <v>2533</v>
      </c>
      <c r="G1387" s="416" t="str">
        <f t="shared" si="17"/>
        <v>Color Code</v>
      </c>
      <c r="H1387" s="273" t="e">
        <f ca="1">_xludf.IFNA(VLOOKUP(Aragon!E1387,'Kilter Holds'!$P$37:$AB$662,13,0),0)</f>
        <v>#NAME?</v>
      </c>
      <c r="I1387" s="274"/>
      <c r="J1387" s="274" t="e">
        <f t="shared" ca="1" si="15"/>
        <v>#NAME?</v>
      </c>
      <c r="K1387" s="274">
        <f t="shared" si="16"/>
        <v>0</v>
      </c>
      <c r="N1387" s="274"/>
    </row>
    <row r="1388" spans="5:14" ht="13.5" customHeight="1">
      <c r="E1388" s="209" t="s">
        <v>237</v>
      </c>
      <c r="F1388" s="209" t="s">
        <v>2534</v>
      </c>
      <c r="G1388" s="406" t="str">
        <f t="shared" si="17"/>
        <v>11-12</v>
      </c>
      <c r="H1388" s="273" t="e">
        <f ca="1">_xludf.IFNA(VLOOKUP(Aragon!E1388,'Kilter Holds'!$P$37:$AB$662,5,0),0)</f>
        <v>#NAME?</v>
      </c>
      <c r="I1388" s="274"/>
      <c r="J1388" s="274" t="e">
        <f t="shared" ca="1" si="15"/>
        <v>#NAME?</v>
      </c>
      <c r="K1388" s="274">
        <f t="shared" si="16"/>
        <v>0</v>
      </c>
      <c r="N1388" s="274"/>
    </row>
    <row r="1389" spans="5:14" ht="13.5" customHeight="1">
      <c r="E1389" s="209" t="s">
        <v>237</v>
      </c>
      <c r="F1389" s="209" t="s">
        <v>2534</v>
      </c>
      <c r="G1389" s="408" t="str">
        <f t="shared" si="17"/>
        <v>14-01</v>
      </c>
      <c r="H1389" s="273" t="e">
        <f ca="1">_xludf.IFNA(VLOOKUP(Aragon!E1389,'Kilter Holds'!$P$37:$AB$662,6,0),0)</f>
        <v>#NAME?</v>
      </c>
      <c r="I1389" s="274"/>
      <c r="J1389" s="274" t="e">
        <f t="shared" ca="1" si="15"/>
        <v>#NAME?</v>
      </c>
      <c r="K1389" s="274">
        <f t="shared" si="16"/>
        <v>0</v>
      </c>
      <c r="N1389" s="274"/>
    </row>
    <row r="1390" spans="5:14" ht="13.5" customHeight="1">
      <c r="E1390" s="209" t="s">
        <v>237</v>
      </c>
      <c r="F1390" s="209" t="s">
        <v>2534</v>
      </c>
      <c r="G1390" s="409" t="str">
        <f t="shared" si="17"/>
        <v>15-12</v>
      </c>
      <c r="H1390" s="273" t="e">
        <f ca="1">_xludf.IFNA(VLOOKUP(Aragon!E1390,'Kilter Holds'!$P$37:$AB$662,7,0),0)</f>
        <v>#NAME?</v>
      </c>
      <c r="I1390" s="274"/>
      <c r="J1390" s="274" t="e">
        <f t="shared" ca="1" si="15"/>
        <v>#NAME?</v>
      </c>
      <c r="K1390" s="274">
        <f t="shared" si="16"/>
        <v>0</v>
      </c>
      <c r="N1390" s="274"/>
    </row>
    <row r="1391" spans="5:14" ht="13.5" customHeight="1">
      <c r="E1391" s="209" t="s">
        <v>237</v>
      </c>
      <c r="F1391" s="209" t="s">
        <v>2534</v>
      </c>
      <c r="G1391" s="410" t="str">
        <f t="shared" si="17"/>
        <v>16-16</v>
      </c>
      <c r="H1391" s="273" t="e">
        <f ca="1">_xludf.IFNA(VLOOKUP(Aragon!E1391,'Kilter Holds'!$P$37:$AB$662,8,0),0)</f>
        <v>#NAME?</v>
      </c>
      <c r="I1391" s="274"/>
      <c r="J1391" s="274" t="e">
        <f t="shared" ca="1" si="15"/>
        <v>#NAME?</v>
      </c>
      <c r="K1391" s="274">
        <f t="shared" si="16"/>
        <v>0</v>
      </c>
      <c r="N1391" s="274"/>
    </row>
    <row r="1392" spans="5:14" ht="13.5" customHeight="1">
      <c r="E1392" s="209" t="s">
        <v>237</v>
      </c>
      <c r="F1392" s="209" t="s">
        <v>2534</v>
      </c>
      <c r="G1392" s="411" t="str">
        <f t="shared" si="17"/>
        <v>13-01</v>
      </c>
      <c r="H1392" s="273" t="e">
        <f ca="1">_xludf.IFNA(VLOOKUP(Aragon!E1392,'Kilter Holds'!$P$37:$AB$662,9,0),0)</f>
        <v>#NAME?</v>
      </c>
      <c r="I1392" s="274"/>
      <c r="J1392" s="274" t="e">
        <f t="shared" ca="1" si="15"/>
        <v>#NAME?</v>
      </c>
      <c r="K1392" s="274">
        <f t="shared" si="16"/>
        <v>0</v>
      </c>
      <c r="N1392" s="274"/>
    </row>
    <row r="1393" spans="5:14" ht="13.5" customHeight="1">
      <c r="E1393" s="209" t="s">
        <v>237</v>
      </c>
      <c r="F1393" s="209" t="s">
        <v>2534</v>
      </c>
      <c r="G1393" s="413" t="str">
        <f t="shared" si="17"/>
        <v>07-13</v>
      </c>
      <c r="H1393" s="273" t="e">
        <f ca="1">_xludf.IFNA(VLOOKUP(Aragon!E1393,'Kilter Holds'!$P$37:$AB$662,10,0),0)</f>
        <v>#NAME?</v>
      </c>
      <c r="I1393" s="274"/>
      <c r="J1393" s="274" t="e">
        <f t="shared" ca="1" si="15"/>
        <v>#NAME?</v>
      </c>
      <c r="K1393" s="274">
        <f t="shared" si="16"/>
        <v>0</v>
      </c>
      <c r="N1393" s="274"/>
    </row>
    <row r="1394" spans="5:14" ht="13.5" customHeight="1">
      <c r="E1394" s="209" t="s">
        <v>237</v>
      </c>
      <c r="F1394" s="209" t="s">
        <v>2534</v>
      </c>
      <c r="G1394" s="414" t="str">
        <f t="shared" si="17"/>
        <v>11-26</v>
      </c>
      <c r="H1394" s="273" t="e">
        <f ca="1">_xludf.IFNA(VLOOKUP(Aragon!E1394,'Kilter Holds'!$P$37:$AB$662,11,0),0)</f>
        <v>#NAME?</v>
      </c>
      <c r="I1394" s="274"/>
      <c r="J1394" s="274" t="e">
        <f t="shared" ca="1" si="15"/>
        <v>#NAME?</v>
      </c>
      <c r="K1394" s="274">
        <f t="shared" si="16"/>
        <v>0</v>
      </c>
      <c r="N1394" s="274"/>
    </row>
    <row r="1395" spans="5:14" ht="13.5" customHeight="1">
      <c r="E1395" s="209" t="s">
        <v>237</v>
      </c>
      <c r="F1395" s="209" t="s">
        <v>2534</v>
      </c>
      <c r="G1395" s="415" t="str">
        <f t="shared" si="17"/>
        <v>18-01</v>
      </c>
      <c r="H1395" s="273" t="e">
        <f ca="1">_xludf.IFNA(VLOOKUP(Aragon!E1395,'Kilter Holds'!$P$37:$AB$662,12,0),0)</f>
        <v>#NAME?</v>
      </c>
      <c r="I1395" s="274"/>
      <c r="J1395" s="274" t="e">
        <f t="shared" ca="1" si="15"/>
        <v>#NAME?</v>
      </c>
      <c r="K1395" s="274">
        <f t="shared" si="16"/>
        <v>0</v>
      </c>
      <c r="N1395" s="274"/>
    </row>
    <row r="1396" spans="5:14" ht="13.5" customHeight="1">
      <c r="E1396" s="209" t="s">
        <v>237</v>
      </c>
      <c r="F1396" s="209" t="s">
        <v>2534</v>
      </c>
      <c r="G1396" s="416" t="str">
        <f t="shared" si="17"/>
        <v>Color Code</v>
      </c>
      <c r="H1396" s="273" t="e">
        <f ca="1">_xludf.IFNA(VLOOKUP(Aragon!E1396,'Kilter Holds'!$P$37:$AB$662,13,0),0)</f>
        <v>#NAME?</v>
      </c>
      <c r="I1396" s="274"/>
      <c r="J1396" s="274" t="e">
        <f t="shared" ca="1" si="15"/>
        <v>#NAME?</v>
      </c>
      <c r="K1396" s="274">
        <f t="shared" si="16"/>
        <v>0</v>
      </c>
      <c r="N1396" s="274"/>
    </row>
    <row r="1397" spans="5:14" ht="13.5" customHeight="1">
      <c r="E1397" s="209" t="s">
        <v>197</v>
      </c>
      <c r="F1397" s="209" t="s">
        <v>2535</v>
      </c>
      <c r="G1397" s="406" t="str">
        <f t="shared" si="17"/>
        <v>11-12</v>
      </c>
      <c r="H1397" s="273" t="e">
        <f ca="1">_xludf.IFNA(VLOOKUP(Aragon!E1397,'Kilter Holds'!$P$37:$AB$662,5,0),0)</f>
        <v>#NAME?</v>
      </c>
      <c r="I1397" s="274"/>
      <c r="J1397" s="274" t="e">
        <f t="shared" ca="1" si="15"/>
        <v>#NAME?</v>
      </c>
      <c r="K1397" s="274">
        <f t="shared" si="16"/>
        <v>0</v>
      </c>
      <c r="N1397" s="274"/>
    </row>
    <row r="1398" spans="5:14" ht="13.5" customHeight="1">
      <c r="E1398" s="209" t="s">
        <v>197</v>
      </c>
      <c r="F1398" s="209" t="s">
        <v>2535</v>
      </c>
      <c r="G1398" s="408" t="str">
        <f t="shared" si="17"/>
        <v>14-01</v>
      </c>
      <c r="H1398" s="273" t="e">
        <f ca="1">_xludf.IFNA(VLOOKUP(Aragon!E1398,'Kilter Holds'!$P$37:$AB$662,6,0),0)</f>
        <v>#NAME?</v>
      </c>
      <c r="I1398" s="274"/>
      <c r="J1398" s="274" t="e">
        <f t="shared" ca="1" si="15"/>
        <v>#NAME?</v>
      </c>
      <c r="K1398" s="274">
        <f t="shared" si="16"/>
        <v>0</v>
      </c>
      <c r="N1398" s="274"/>
    </row>
    <row r="1399" spans="5:14" ht="13.5" customHeight="1">
      <c r="E1399" s="209" t="s">
        <v>197</v>
      </c>
      <c r="F1399" s="209" t="s">
        <v>2535</v>
      </c>
      <c r="G1399" s="409" t="str">
        <f t="shared" si="17"/>
        <v>15-12</v>
      </c>
      <c r="H1399" s="273" t="e">
        <f ca="1">_xludf.IFNA(VLOOKUP(Aragon!E1399,'Kilter Holds'!$P$37:$AB$662,7,0),0)</f>
        <v>#NAME?</v>
      </c>
      <c r="I1399" s="274"/>
      <c r="J1399" s="274" t="e">
        <f t="shared" ca="1" si="15"/>
        <v>#NAME?</v>
      </c>
      <c r="K1399" s="274">
        <f t="shared" si="16"/>
        <v>0</v>
      </c>
      <c r="N1399" s="274"/>
    </row>
    <row r="1400" spans="5:14" ht="13.5" customHeight="1">
      <c r="E1400" s="209" t="s">
        <v>197</v>
      </c>
      <c r="F1400" s="209" t="s">
        <v>2535</v>
      </c>
      <c r="G1400" s="410" t="str">
        <f t="shared" si="17"/>
        <v>16-16</v>
      </c>
      <c r="H1400" s="273" t="e">
        <f ca="1">_xludf.IFNA(VLOOKUP(Aragon!E1400,'Kilter Holds'!$P$37:$AB$662,8,0),0)</f>
        <v>#NAME?</v>
      </c>
      <c r="I1400" s="274"/>
      <c r="J1400" s="274" t="e">
        <f t="shared" ca="1" si="15"/>
        <v>#NAME?</v>
      </c>
      <c r="K1400" s="274">
        <f t="shared" si="16"/>
        <v>0</v>
      </c>
      <c r="N1400" s="274"/>
    </row>
    <row r="1401" spans="5:14" ht="13.5" customHeight="1">
      <c r="E1401" s="209" t="s">
        <v>197</v>
      </c>
      <c r="F1401" s="209" t="s">
        <v>2535</v>
      </c>
      <c r="G1401" s="411" t="str">
        <f t="shared" si="17"/>
        <v>13-01</v>
      </c>
      <c r="H1401" s="273" t="e">
        <f ca="1">_xludf.IFNA(VLOOKUP(Aragon!E1401,'Kilter Holds'!$P$37:$AB$662,9,0),0)</f>
        <v>#NAME?</v>
      </c>
      <c r="I1401" s="274"/>
      <c r="J1401" s="274" t="e">
        <f t="shared" ca="1" si="15"/>
        <v>#NAME?</v>
      </c>
      <c r="K1401" s="274">
        <f t="shared" si="16"/>
        <v>0</v>
      </c>
      <c r="N1401" s="274"/>
    </row>
    <row r="1402" spans="5:14" ht="13.5" customHeight="1">
      <c r="E1402" s="209" t="s">
        <v>197</v>
      </c>
      <c r="F1402" s="209" t="s">
        <v>2535</v>
      </c>
      <c r="G1402" s="413" t="str">
        <f t="shared" si="17"/>
        <v>07-13</v>
      </c>
      <c r="H1402" s="273" t="e">
        <f ca="1">_xludf.IFNA(VLOOKUP(Aragon!E1402,'Kilter Holds'!$P$37:$AB$662,10,0),0)</f>
        <v>#NAME?</v>
      </c>
      <c r="I1402" s="274"/>
      <c r="J1402" s="274" t="e">
        <f t="shared" ca="1" si="15"/>
        <v>#NAME?</v>
      </c>
      <c r="K1402" s="274">
        <f t="shared" si="16"/>
        <v>0</v>
      </c>
      <c r="N1402" s="274"/>
    </row>
    <row r="1403" spans="5:14" ht="13.5" customHeight="1">
      <c r="E1403" s="209" t="s">
        <v>197</v>
      </c>
      <c r="F1403" s="209" t="s">
        <v>2535</v>
      </c>
      <c r="G1403" s="414" t="str">
        <f t="shared" si="17"/>
        <v>11-26</v>
      </c>
      <c r="H1403" s="273" t="e">
        <f ca="1">_xludf.IFNA(VLOOKUP(Aragon!E1403,'Kilter Holds'!$P$37:$AB$662,11,0),0)</f>
        <v>#NAME?</v>
      </c>
      <c r="I1403" s="274"/>
      <c r="J1403" s="274" t="e">
        <f t="shared" ca="1" si="15"/>
        <v>#NAME?</v>
      </c>
      <c r="K1403" s="274">
        <f t="shared" si="16"/>
        <v>0</v>
      </c>
      <c r="N1403" s="274"/>
    </row>
    <row r="1404" spans="5:14" ht="13.5" customHeight="1">
      <c r="E1404" s="209" t="s">
        <v>197</v>
      </c>
      <c r="F1404" s="209" t="s">
        <v>2535</v>
      </c>
      <c r="G1404" s="415" t="str">
        <f t="shared" si="17"/>
        <v>18-01</v>
      </c>
      <c r="H1404" s="273" t="e">
        <f ca="1">_xludf.IFNA(VLOOKUP(Aragon!E1404,'Kilter Holds'!$P$37:$AB$662,12,0),0)</f>
        <v>#NAME?</v>
      </c>
      <c r="I1404" s="274"/>
      <c r="J1404" s="274" t="e">
        <f t="shared" ca="1" si="15"/>
        <v>#NAME?</v>
      </c>
      <c r="K1404" s="274">
        <f t="shared" si="16"/>
        <v>0</v>
      </c>
      <c r="N1404" s="274"/>
    </row>
    <row r="1405" spans="5:14" ht="13.5" customHeight="1">
      <c r="E1405" s="209" t="s">
        <v>197</v>
      </c>
      <c r="F1405" s="209" t="s">
        <v>2535</v>
      </c>
      <c r="G1405" s="416" t="str">
        <f t="shared" si="17"/>
        <v>Color Code</v>
      </c>
      <c r="H1405" s="273" t="e">
        <f ca="1">_xludf.IFNA(VLOOKUP(Aragon!E1405,'Kilter Holds'!$P$37:$AB$662,13,0),0)</f>
        <v>#NAME?</v>
      </c>
      <c r="I1405" s="274"/>
      <c r="J1405" s="274" t="e">
        <f t="shared" ca="1" si="15"/>
        <v>#NAME?</v>
      </c>
      <c r="K1405" s="274">
        <f t="shared" si="16"/>
        <v>0</v>
      </c>
      <c r="N1405" s="274"/>
    </row>
    <row r="1406" spans="5:14" ht="13.5" customHeight="1">
      <c r="E1406" s="209" t="s">
        <v>199</v>
      </c>
      <c r="F1406" s="209" t="s">
        <v>2536</v>
      </c>
      <c r="G1406" s="406" t="str">
        <f t="shared" si="17"/>
        <v>11-12</v>
      </c>
      <c r="H1406" s="273" t="e">
        <f ca="1">_xludf.IFNA(VLOOKUP(Aragon!E1406,'Kilter Holds'!$P$37:$AB$662,5,0),0)</f>
        <v>#NAME?</v>
      </c>
      <c r="I1406" s="274"/>
      <c r="J1406" s="274" t="e">
        <f t="shared" ca="1" si="15"/>
        <v>#NAME?</v>
      </c>
      <c r="K1406" s="274">
        <f t="shared" si="16"/>
        <v>0</v>
      </c>
      <c r="N1406" s="274"/>
    </row>
    <row r="1407" spans="5:14" ht="13.5" customHeight="1">
      <c r="E1407" s="209" t="s">
        <v>199</v>
      </c>
      <c r="F1407" s="209" t="s">
        <v>2536</v>
      </c>
      <c r="G1407" s="408" t="str">
        <f t="shared" si="17"/>
        <v>14-01</v>
      </c>
      <c r="H1407" s="273" t="e">
        <f ca="1">_xludf.IFNA(VLOOKUP(Aragon!E1407,'Kilter Holds'!$P$37:$AB$662,6,0),0)</f>
        <v>#NAME?</v>
      </c>
      <c r="I1407" s="274"/>
      <c r="J1407" s="274" t="e">
        <f t="shared" ca="1" si="15"/>
        <v>#NAME?</v>
      </c>
      <c r="K1407" s="274">
        <f t="shared" si="16"/>
        <v>0</v>
      </c>
      <c r="N1407" s="274"/>
    </row>
    <row r="1408" spans="5:14" ht="13.5" customHeight="1">
      <c r="E1408" s="209" t="s">
        <v>199</v>
      </c>
      <c r="F1408" s="209" t="s">
        <v>2536</v>
      </c>
      <c r="G1408" s="409" t="str">
        <f t="shared" si="17"/>
        <v>15-12</v>
      </c>
      <c r="H1408" s="273" t="e">
        <f ca="1">_xludf.IFNA(VLOOKUP(Aragon!E1408,'Kilter Holds'!$P$37:$AB$662,7,0),0)</f>
        <v>#NAME?</v>
      </c>
      <c r="I1408" s="274"/>
      <c r="J1408" s="274" t="e">
        <f t="shared" ca="1" si="15"/>
        <v>#NAME?</v>
      </c>
      <c r="K1408" s="274">
        <f t="shared" si="16"/>
        <v>0</v>
      </c>
      <c r="N1408" s="274"/>
    </row>
    <row r="1409" spans="5:14" ht="13.5" customHeight="1">
      <c r="E1409" s="209" t="s">
        <v>199</v>
      </c>
      <c r="F1409" s="209" t="s">
        <v>2536</v>
      </c>
      <c r="G1409" s="410" t="str">
        <f t="shared" si="17"/>
        <v>16-16</v>
      </c>
      <c r="H1409" s="273" t="e">
        <f ca="1">_xludf.IFNA(VLOOKUP(Aragon!E1409,'Kilter Holds'!$P$37:$AB$662,8,0),0)</f>
        <v>#NAME?</v>
      </c>
      <c r="I1409" s="274"/>
      <c r="J1409" s="274" t="e">
        <f t="shared" ca="1" si="15"/>
        <v>#NAME?</v>
      </c>
      <c r="K1409" s="274">
        <f t="shared" si="16"/>
        <v>0</v>
      </c>
      <c r="N1409" s="274"/>
    </row>
    <row r="1410" spans="5:14" ht="13.5" customHeight="1">
      <c r="E1410" s="209" t="s">
        <v>199</v>
      </c>
      <c r="F1410" s="209" t="s">
        <v>2536</v>
      </c>
      <c r="G1410" s="411" t="str">
        <f t="shared" si="17"/>
        <v>13-01</v>
      </c>
      <c r="H1410" s="273" t="e">
        <f ca="1">_xludf.IFNA(VLOOKUP(Aragon!E1410,'Kilter Holds'!$P$37:$AB$662,9,0),0)</f>
        <v>#NAME?</v>
      </c>
      <c r="I1410" s="274"/>
      <c r="J1410" s="274" t="e">
        <f t="shared" ca="1" si="15"/>
        <v>#NAME?</v>
      </c>
      <c r="K1410" s="274">
        <f t="shared" si="16"/>
        <v>0</v>
      </c>
      <c r="N1410" s="274"/>
    </row>
    <row r="1411" spans="5:14" ht="13.5" customHeight="1">
      <c r="E1411" s="209" t="s">
        <v>199</v>
      </c>
      <c r="F1411" s="209" t="s">
        <v>2536</v>
      </c>
      <c r="G1411" s="413" t="str">
        <f t="shared" si="17"/>
        <v>07-13</v>
      </c>
      <c r="H1411" s="273" t="e">
        <f ca="1">_xludf.IFNA(VLOOKUP(Aragon!E1411,'Kilter Holds'!$P$37:$AB$662,10,0),0)</f>
        <v>#NAME?</v>
      </c>
      <c r="I1411" s="274"/>
      <c r="J1411" s="274" t="e">
        <f t="shared" ca="1" si="15"/>
        <v>#NAME?</v>
      </c>
      <c r="K1411" s="274">
        <f t="shared" si="16"/>
        <v>0</v>
      </c>
      <c r="N1411" s="274"/>
    </row>
    <row r="1412" spans="5:14" ht="13.5" customHeight="1">
      <c r="E1412" s="209" t="s">
        <v>199</v>
      </c>
      <c r="F1412" s="209" t="s">
        <v>2536</v>
      </c>
      <c r="G1412" s="414" t="str">
        <f t="shared" si="17"/>
        <v>11-26</v>
      </c>
      <c r="H1412" s="273" t="e">
        <f ca="1">_xludf.IFNA(VLOOKUP(Aragon!E1412,'Kilter Holds'!$P$37:$AB$662,11,0),0)</f>
        <v>#NAME?</v>
      </c>
      <c r="I1412" s="274"/>
      <c r="J1412" s="274" t="e">
        <f t="shared" ca="1" si="15"/>
        <v>#NAME?</v>
      </c>
      <c r="K1412" s="274">
        <f t="shared" si="16"/>
        <v>0</v>
      </c>
      <c r="N1412" s="274"/>
    </row>
    <row r="1413" spans="5:14" ht="13.5" customHeight="1">
      <c r="E1413" s="209" t="s">
        <v>199</v>
      </c>
      <c r="F1413" s="209" t="s">
        <v>2536</v>
      </c>
      <c r="G1413" s="415" t="str">
        <f t="shared" si="17"/>
        <v>18-01</v>
      </c>
      <c r="H1413" s="273" t="e">
        <f ca="1">_xludf.IFNA(VLOOKUP(Aragon!E1413,'Kilter Holds'!$P$37:$AB$662,12,0),0)</f>
        <v>#NAME?</v>
      </c>
      <c r="I1413" s="274"/>
      <c r="J1413" s="274" t="e">
        <f t="shared" ca="1" si="15"/>
        <v>#NAME?</v>
      </c>
      <c r="K1413" s="274">
        <f t="shared" si="16"/>
        <v>0</v>
      </c>
      <c r="N1413" s="274"/>
    </row>
    <row r="1414" spans="5:14" ht="13.5" customHeight="1">
      <c r="E1414" s="209" t="s">
        <v>199</v>
      </c>
      <c r="F1414" s="209" t="s">
        <v>2536</v>
      </c>
      <c r="G1414" s="416" t="str">
        <f t="shared" si="17"/>
        <v>Color Code</v>
      </c>
      <c r="H1414" s="273" t="e">
        <f ca="1">_xludf.IFNA(VLOOKUP(Aragon!E1414,'Kilter Holds'!$P$37:$AB$662,13,0),0)</f>
        <v>#NAME?</v>
      </c>
      <c r="I1414" s="274"/>
      <c r="J1414" s="274" t="e">
        <f t="shared" ca="1" si="15"/>
        <v>#NAME?</v>
      </c>
      <c r="K1414" s="274">
        <f t="shared" si="16"/>
        <v>0</v>
      </c>
      <c r="N1414" s="274"/>
    </row>
    <row r="1415" spans="5:14" ht="13.5" customHeight="1">
      <c r="E1415" s="209" t="s">
        <v>201</v>
      </c>
      <c r="F1415" s="209" t="s">
        <v>2537</v>
      </c>
      <c r="G1415" s="406" t="str">
        <f t="shared" si="17"/>
        <v>11-12</v>
      </c>
      <c r="H1415" s="273" t="e">
        <f ca="1">_xludf.IFNA(VLOOKUP(Aragon!E1415,'Kilter Holds'!$P$37:$AB$662,5,0),0)</f>
        <v>#NAME?</v>
      </c>
      <c r="I1415" s="274"/>
      <c r="J1415" s="274" t="e">
        <f t="shared" ca="1" si="15"/>
        <v>#NAME?</v>
      </c>
      <c r="K1415" s="274">
        <f t="shared" si="16"/>
        <v>0</v>
      </c>
      <c r="N1415" s="274"/>
    </row>
    <row r="1416" spans="5:14" ht="13.5" customHeight="1">
      <c r="E1416" s="209" t="s">
        <v>201</v>
      </c>
      <c r="F1416" s="209" t="s">
        <v>2537</v>
      </c>
      <c r="G1416" s="408" t="str">
        <f t="shared" si="17"/>
        <v>14-01</v>
      </c>
      <c r="H1416" s="273" t="e">
        <f ca="1">_xludf.IFNA(VLOOKUP(Aragon!E1416,'Kilter Holds'!$P$37:$AB$662,6,0),0)</f>
        <v>#NAME?</v>
      </c>
      <c r="I1416" s="274"/>
      <c r="J1416" s="274" t="e">
        <f t="shared" ca="1" si="15"/>
        <v>#NAME?</v>
      </c>
      <c r="K1416" s="274">
        <f t="shared" si="16"/>
        <v>0</v>
      </c>
      <c r="N1416" s="274"/>
    </row>
    <row r="1417" spans="5:14" ht="13.5" customHeight="1">
      <c r="E1417" s="209" t="s">
        <v>201</v>
      </c>
      <c r="F1417" s="209" t="s">
        <v>2537</v>
      </c>
      <c r="G1417" s="409" t="str">
        <f t="shared" si="17"/>
        <v>15-12</v>
      </c>
      <c r="H1417" s="273" t="e">
        <f ca="1">_xludf.IFNA(VLOOKUP(Aragon!E1417,'Kilter Holds'!$P$37:$AB$662,7,0),0)</f>
        <v>#NAME?</v>
      </c>
      <c r="I1417" s="274"/>
      <c r="J1417" s="274" t="e">
        <f t="shared" ca="1" si="15"/>
        <v>#NAME?</v>
      </c>
      <c r="K1417" s="274">
        <f t="shared" si="16"/>
        <v>0</v>
      </c>
      <c r="N1417" s="274"/>
    </row>
    <row r="1418" spans="5:14" ht="13.5" customHeight="1">
      <c r="E1418" s="209" t="s">
        <v>201</v>
      </c>
      <c r="F1418" s="209" t="s">
        <v>2537</v>
      </c>
      <c r="G1418" s="410" t="str">
        <f t="shared" si="17"/>
        <v>16-16</v>
      </c>
      <c r="H1418" s="273" t="e">
        <f ca="1">_xludf.IFNA(VLOOKUP(Aragon!E1418,'Kilter Holds'!$P$37:$AB$662,8,0),0)</f>
        <v>#NAME?</v>
      </c>
      <c r="I1418" s="274"/>
      <c r="J1418" s="274" t="e">
        <f t="shared" ca="1" si="15"/>
        <v>#NAME?</v>
      </c>
      <c r="K1418" s="274">
        <f t="shared" si="16"/>
        <v>0</v>
      </c>
      <c r="N1418" s="274"/>
    </row>
    <row r="1419" spans="5:14" ht="13.5" customHeight="1">
      <c r="E1419" s="209" t="s">
        <v>201</v>
      </c>
      <c r="F1419" s="209" t="s">
        <v>2537</v>
      </c>
      <c r="G1419" s="411" t="str">
        <f t="shared" si="17"/>
        <v>13-01</v>
      </c>
      <c r="H1419" s="273" t="e">
        <f ca="1">_xludf.IFNA(VLOOKUP(Aragon!E1419,'Kilter Holds'!$P$37:$AB$662,9,0),0)</f>
        <v>#NAME?</v>
      </c>
      <c r="I1419" s="274"/>
      <c r="J1419" s="274" t="e">
        <f t="shared" ca="1" si="15"/>
        <v>#NAME?</v>
      </c>
      <c r="K1419" s="274">
        <f t="shared" si="16"/>
        <v>0</v>
      </c>
      <c r="N1419" s="274"/>
    </row>
    <row r="1420" spans="5:14" ht="13.5" customHeight="1">
      <c r="E1420" s="209" t="s">
        <v>201</v>
      </c>
      <c r="F1420" s="209" t="s">
        <v>2537</v>
      </c>
      <c r="G1420" s="413" t="str">
        <f t="shared" si="17"/>
        <v>07-13</v>
      </c>
      <c r="H1420" s="273" t="e">
        <f ca="1">_xludf.IFNA(VLOOKUP(Aragon!E1420,'Kilter Holds'!$P$37:$AB$662,10,0),0)</f>
        <v>#NAME?</v>
      </c>
      <c r="I1420" s="274"/>
      <c r="J1420" s="274" t="e">
        <f t="shared" ca="1" si="15"/>
        <v>#NAME?</v>
      </c>
      <c r="K1420" s="274">
        <f t="shared" si="16"/>
        <v>0</v>
      </c>
      <c r="N1420" s="274"/>
    </row>
    <row r="1421" spans="5:14" ht="13.5" customHeight="1">
      <c r="E1421" s="209" t="s">
        <v>201</v>
      </c>
      <c r="F1421" s="209" t="s">
        <v>2537</v>
      </c>
      <c r="G1421" s="414" t="str">
        <f t="shared" si="17"/>
        <v>11-26</v>
      </c>
      <c r="H1421" s="273" t="e">
        <f ca="1">_xludf.IFNA(VLOOKUP(Aragon!E1421,'Kilter Holds'!$P$37:$AB$662,11,0),0)</f>
        <v>#NAME?</v>
      </c>
      <c r="I1421" s="274"/>
      <c r="J1421" s="274" t="e">
        <f t="shared" ca="1" si="15"/>
        <v>#NAME?</v>
      </c>
      <c r="K1421" s="274">
        <f t="shared" si="16"/>
        <v>0</v>
      </c>
      <c r="N1421" s="274"/>
    </row>
    <row r="1422" spans="5:14" ht="13.5" customHeight="1">
      <c r="E1422" s="209" t="s">
        <v>201</v>
      </c>
      <c r="F1422" s="209" t="s">
        <v>2537</v>
      </c>
      <c r="G1422" s="415" t="str">
        <f t="shared" si="17"/>
        <v>18-01</v>
      </c>
      <c r="H1422" s="273" t="e">
        <f ca="1">_xludf.IFNA(VLOOKUP(Aragon!E1422,'Kilter Holds'!$P$37:$AB$662,12,0),0)</f>
        <v>#NAME?</v>
      </c>
      <c r="I1422" s="274"/>
      <c r="J1422" s="274" t="e">
        <f t="shared" ca="1" si="15"/>
        <v>#NAME?</v>
      </c>
      <c r="K1422" s="274">
        <f t="shared" si="16"/>
        <v>0</v>
      </c>
      <c r="N1422" s="274"/>
    </row>
    <row r="1423" spans="5:14" ht="13.5" customHeight="1">
      <c r="E1423" s="209" t="s">
        <v>201</v>
      </c>
      <c r="F1423" s="209" t="s">
        <v>2537</v>
      </c>
      <c r="G1423" s="416" t="str">
        <f t="shared" si="17"/>
        <v>Color Code</v>
      </c>
      <c r="H1423" s="273" t="e">
        <f ca="1">_xludf.IFNA(VLOOKUP(Aragon!E1423,'Kilter Holds'!$P$37:$AB$662,13,0),0)</f>
        <v>#NAME?</v>
      </c>
      <c r="I1423" s="274"/>
      <c r="J1423" s="274" t="e">
        <f t="shared" ca="1" si="15"/>
        <v>#NAME?</v>
      </c>
      <c r="K1423" s="274">
        <f t="shared" si="16"/>
        <v>0</v>
      </c>
      <c r="N1423" s="274"/>
    </row>
    <row r="1424" spans="5:14" ht="13.5" customHeight="1">
      <c r="E1424" s="209" t="s">
        <v>266</v>
      </c>
      <c r="F1424" s="209" t="s">
        <v>2538</v>
      </c>
      <c r="G1424" s="406" t="str">
        <f t="shared" si="17"/>
        <v>11-12</v>
      </c>
      <c r="H1424" s="273" t="e">
        <f ca="1">_xludf.IFNA(VLOOKUP(Aragon!E1424,'Kilter Holds'!$P$37:$AB$662,5,0),0)</f>
        <v>#NAME?</v>
      </c>
      <c r="I1424" s="274"/>
      <c r="J1424" s="274" t="e">
        <f t="shared" ca="1" si="15"/>
        <v>#NAME?</v>
      </c>
      <c r="K1424" s="274">
        <f t="shared" si="16"/>
        <v>0</v>
      </c>
      <c r="N1424" s="274"/>
    </row>
    <row r="1425" spans="5:14" ht="13.5" customHeight="1">
      <c r="E1425" s="209" t="s">
        <v>266</v>
      </c>
      <c r="F1425" s="209" t="s">
        <v>2538</v>
      </c>
      <c r="G1425" s="408" t="str">
        <f t="shared" si="17"/>
        <v>14-01</v>
      </c>
      <c r="H1425" s="273" t="e">
        <f ca="1">_xludf.IFNA(VLOOKUP(Aragon!E1425,'Kilter Holds'!$P$37:$AB$662,6,0),0)</f>
        <v>#NAME?</v>
      </c>
      <c r="I1425" s="274"/>
      <c r="J1425" s="274" t="e">
        <f t="shared" ca="1" si="15"/>
        <v>#NAME?</v>
      </c>
      <c r="K1425" s="274">
        <f t="shared" si="16"/>
        <v>0</v>
      </c>
      <c r="N1425" s="274"/>
    </row>
    <row r="1426" spans="5:14" ht="13.5" customHeight="1">
      <c r="E1426" s="209" t="s">
        <v>266</v>
      </c>
      <c r="F1426" s="209" t="s">
        <v>2538</v>
      </c>
      <c r="G1426" s="409" t="str">
        <f t="shared" si="17"/>
        <v>15-12</v>
      </c>
      <c r="H1426" s="273" t="e">
        <f ca="1">_xludf.IFNA(VLOOKUP(Aragon!E1426,'Kilter Holds'!$P$37:$AB$662,7,0),0)</f>
        <v>#NAME?</v>
      </c>
      <c r="I1426" s="274"/>
      <c r="J1426" s="274" t="e">
        <f t="shared" ca="1" si="15"/>
        <v>#NAME?</v>
      </c>
      <c r="K1426" s="274">
        <f t="shared" si="16"/>
        <v>0</v>
      </c>
      <c r="N1426" s="274"/>
    </row>
    <row r="1427" spans="5:14" ht="13.5" customHeight="1">
      <c r="E1427" s="209" t="s">
        <v>266</v>
      </c>
      <c r="F1427" s="209" t="s">
        <v>2538</v>
      </c>
      <c r="G1427" s="410" t="str">
        <f t="shared" si="17"/>
        <v>16-16</v>
      </c>
      <c r="H1427" s="273" t="e">
        <f ca="1">_xludf.IFNA(VLOOKUP(Aragon!E1427,'Kilter Holds'!$P$37:$AB$662,8,0),0)</f>
        <v>#NAME?</v>
      </c>
      <c r="I1427" s="274"/>
      <c r="J1427" s="274" t="e">
        <f t="shared" ca="1" si="15"/>
        <v>#NAME?</v>
      </c>
      <c r="K1427" s="274">
        <f t="shared" si="16"/>
        <v>0</v>
      </c>
      <c r="N1427" s="274"/>
    </row>
    <row r="1428" spans="5:14" ht="13.5" customHeight="1">
      <c r="E1428" s="209" t="s">
        <v>266</v>
      </c>
      <c r="F1428" s="209" t="s">
        <v>2538</v>
      </c>
      <c r="G1428" s="411" t="str">
        <f t="shared" si="17"/>
        <v>13-01</v>
      </c>
      <c r="H1428" s="273" t="e">
        <f ca="1">_xludf.IFNA(VLOOKUP(Aragon!E1428,'Kilter Holds'!$P$37:$AB$662,9,0),0)</f>
        <v>#NAME?</v>
      </c>
      <c r="I1428" s="274"/>
      <c r="J1428" s="274" t="e">
        <f t="shared" ca="1" si="15"/>
        <v>#NAME?</v>
      </c>
      <c r="K1428" s="274">
        <f t="shared" si="16"/>
        <v>0</v>
      </c>
      <c r="N1428" s="274"/>
    </row>
    <row r="1429" spans="5:14" ht="13.5" customHeight="1">
      <c r="E1429" s="209" t="s">
        <v>266</v>
      </c>
      <c r="F1429" s="209" t="s">
        <v>2538</v>
      </c>
      <c r="G1429" s="413" t="str">
        <f t="shared" si="17"/>
        <v>07-13</v>
      </c>
      <c r="H1429" s="273" t="e">
        <f ca="1">_xludf.IFNA(VLOOKUP(Aragon!E1429,'Kilter Holds'!$P$37:$AB$662,10,0),0)</f>
        <v>#NAME?</v>
      </c>
      <c r="I1429" s="274"/>
      <c r="J1429" s="274" t="e">
        <f t="shared" ca="1" si="15"/>
        <v>#NAME?</v>
      </c>
      <c r="K1429" s="274">
        <f t="shared" si="16"/>
        <v>0</v>
      </c>
      <c r="N1429" s="274"/>
    </row>
    <row r="1430" spans="5:14" ht="13.5" customHeight="1">
      <c r="E1430" s="209" t="s">
        <v>266</v>
      </c>
      <c r="F1430" s="209" t="s">
        <v>2538</v>
      </c>
      <c r="G1430" s="414" t="str">
        <f t="shared" si="17"/>
        <v>11-26</v>
      </c>
      <c r="H1430" s="273" t="e">
        <f ca="1">_xludf.IFNA(VLOOKUP(Aragon!E1430,'Kilter Holds'!$P$37:$AB$662,11,0),0)</f>
        <v>#NAME?</v>
      </c>
      <c r="I1430" s="274"/>
      <c r="J1430" s="274" t="e">
        <f t="shared" ca="1" si="15"/>
        <v>#NAME?</v>
      </c>
      <c r="K1430" s="274">
        <f t="shared" si="16"/>
        <v>0</v>
      </c>
      <c r="N1430" s="274"/>
    </row>
    <row r="1431" spans="5:14" ht="13.5" customHeight="1">
      <c r="E1431" s="209" t="s">
        <v>266</v>
      </c>
      <c r="F1431" s="209" t="s">
        <v>2538</v>
      </c>
      <c r="G1431" s="415" t="str">
        <f t="shared" si="17"/>
        <v>18-01</v>
      </c>
      <c r="H1431" s="273" t="e">
        <f ca="1">_xludf.IFNA(VLOOKUP(Aragon!E1431,'Kilter Holds'!$P$37:$AB$662,12,0),0)</f>
        <v>#NAME?</v>
      </c>
      <c r="I1431" s="274"/>
      <c r="J1431" s="274" t="e">
        <f t="shared" ca="1" si="15"/>
        <v>#NAME?</v>
      </c>
      <c r="K1431" s="274">
        <f t="shared" si="16"/>
        <v>0</v>
      </c>
      <c r="N1431" s="274"/>
    </row>
    <row r="1432" spans="5:14" ht="13.5" customHeight="1">
      <c r="E1432" s="209" t="s">
        <v>266</v>
      </c>
      <c r="F1432" s="209" t="s">
        <v>2538</v>
      </c>
      <c r="G1432" s="416" t="str">
        <f t="shared" si="17"/>
        <v>Color Code</v>
      </c>
      <c r="H1432" s="273" t="e">
        <f ca="1">_xludf.IFNA(VLOOKUP(Aragon!E1432,'Kilter Holds'!$P$37:$AB$662,13,0),0)</f>
        <v>#NAME?</v>
      </c>
      <c r="I1432" s="274"/>
      <c r="J1432" s="274" t="e">
        <f t="shared" ca="1" si="15"/>
        <v>#NAME?</v>
      </c>
      <c r="K1432" s="274">
        <f t="shared" si="16"/>
        <v>0</v>
      </c>
      <c r="N1432" s="274"/>
    </row>
    <row r="1433" spans="5:14" ht="13.5" customHeight="1">
      <c r="E1433" s="209" t="s">
        <v>268</v>
      </c>
      <c r="F1433" s="209" t="s">
        <v>2539</v>
      </c>
      <c r="G1433" s="406" t="str">
        <f t="shared" si="17"/>
        <v>11-12</v>
      </c>
      <c r="H1433" s="273" t="e">
        <f ca="1">_xludf.IFNA(VLOOKUP(Aragon!E1433,'Kilter Holds'!$P$37:$AB$662,5,0),0)</f>
        <v>#NAME?</v>
      </c>
      <c r="I1433" s="274"/>
      <c r="J1433" s="274" t="e">
        <f t="shared" ca="1" si="15"/>
        <v>#NAME?</v>
      </c>
      <c r="K1433" s="274">
        <f t="shared" si="16"/>
        <v>0</v>
      </c>
      <c r="N1433" s="274"/>
    </row>
    <row r="1434" spans="5:14" ht="13.5" customHeight="1">
      <c r="E1434" s="209" t="s">
        <v>268</v>
      </c>
      <c r="F1434" s="209" t="s">
        <v>2539</v>
      </c>
      <c r="G1434" s="408" t="str">
        <f t="shared" si="17"/>
        <v>14-01</v>
      </c>
      <c r="H1434" s="273" t="e">
        <f ca="1">_xludf.IFNA(VLOOKUP(Aragon!E1434,'Kilter Holds'!$P$37:$AB$662,6,0),0)</f>
        <v>#NAME?</v>
      </c>
      <c r="I1434" s="274"/>
      <c r="J1434" s="274" t="e">
        <f t="shared" ca="1" si="15"/>
        <v>#NAME?</v>
      </c>
      <c r="K1434" s="274">
        <f t="shared" si="16"/>
        <v>0</v>
      </c>
      <c r="N1434" s="274"/>
    </row>
    <row r="1435" spans="5:14" ht="13.5" customHeight="1">
      <c r="E1435" s="209" t="s">
        <v>268</v>
      </c>
      <c r="F1435" s="209" t="s">
        <v>2539</v>
      </c>
      <c r="G1435" s="409" t="str">
        <f t="shared" si="17"/>
        <v>15-12</v>
      </c>
      <c r="H1435" s="273" t="e">
        <f ca="1">_xludf.IFNA(VLOOKUP(Aragon!E1435,'Kilter Holds'!$P$37:$AB$662,7,0),0)</f>
        <v>#NAME?</v>
      </c>
      <c r="I1435" s="274"/>
      <c r="J1435" s="274" t="e">
        <f t="shared" ca="1" si="15"/>
        <v>#NAME?</v>
      </c>
      <c r="K1435" s="274">
        <f t="shared" si="16"/>
        <v>0</v>
      </c>
      <c r="N1435" s="274"/>
    </row>
    <row r="1436" spans="5:14" ht="13.5" customHeight="1">
      <c r="E1436" s="209" t="s">
        <v>268</v>
      </c>
      <c r="F1436" s="209" t="s">
        <v>2539</v>
      </c>
      <c r="G1436" s="410" t="str">
        <f t="shared" si="17"/>
        <v>16-16</v>
      </c>
      <c r="H1436" s="273" t="e">
        <f ca="1">_xludf.IFNA(VLOOKUP(Aragon!E1436,'Kilter Holds'!$P$37:$AB$662,8,0),0)</f>
        <v>#NAME?</v>
      </c>
      <c r="I1436" s="274"/>
      <c r="J1436" s="274" t="e">
        <f t="shared" ca="1" si="15"/>
        <v>#NAME?</v>
      </c>
      <c r="K1436" s="274">
        <f t="shared" si="16"/>
        <v>0</v>
      </c>
      <c r="N1436" s="274"/>
    </row>
    <row r="1437" spans="5:14" ht="13.5" customHeight="1">
      <c r="E1437" s="209" t="s">
        <v>268</v>
      </c>
      <c r="F1437" s="209" t="s">
        <v>2539</v>
      </c>
      <c r="G1437" s="411" t="str">
        <f t="shared" si="17"/>
        <v>13-01</v>
      </c>
      <c r="H1437" s="273" t="e">
        <f ca="1">_xludf.IFNA(VLOOKUP(Aragon!E1437,'Kilter Holds'!$P$37:$AB$662,9,0),0)</f>
        <v>#NAME?</v>
      </c>
      <c r="I1437" s="274"/>
      <c r="J1437" s="274" t="e">
        <f t="shared" ca="1" si="15"/>
        <v>#NAME?</v>
      </c>
      <c r="K1437" s="274">
        <f t="shared" si="16"/>
        <v>0</v>
      </c>
      <c r="N1437" s="274"/>
    </row>
    <row r="1438" spans="5:14" ht="13.5" customHeight="1">
      <c r="E1438" s="209" t="s">
        <v>268</v>
      </c>
      <c r="F1438" s="209" t="s">
        <v>2539</v>
      </c>
      <c r="G1438" s="413" t="str">
        <f t="shared" si="17"/>
        <v>07-13</v>
      </c>
      <c r="H1438" s="273" t="e">
        <f ca="1">_xludf.IFNA(VLOOKUP(Aragon!E1438,'Kilter Holds'!$P$37:$AB$662,10,0),0)</f>
        <v>#NAME?</v>
      </c>
      <c r="I1438" s="274"/>
      <c r="J1438" s="274" t="e">
        <f t="shared" ca="1" si="15"/>
        <v>#NAME?</v>
      </c>
      <c r="K1438" s="274">
        <f t="shared" si="16"/>
        <v>0</v>
      </c>
      <c r="N1438" s="274"/>
    </row>
    <row r="1439" spans="5:14" ht="13.5" customHeight="1">
      <c r="E1439" s="209" t="s">
        <v>268</v>
      </c>
      <c r="F1439" s="209" t="s">
        <v>2539</v>
      </c>
      <c r="G1439" s="414" t="str">
        <f t="shared" si="17"/>
        <v>11-26</v>
      </c>
      <c r="H1439" s="273" t="e">
        <f ca="1">_xludf.IFNA(VLOOKUP(Aragon!E1439,'Kilter Holds'!$P$37:$AB$662,11,0),0)</f>
        <v>#NAME?</v>
      </c>
      <c r="I1439" s="274"/>
      <c r="J1439" s="274" t="e">
        <f t="shared" ca="1" si="15"/>
        <v>#NAME?</v>
      </c>
      <c r="K1439" s="274">
        <f t="shared" si="16"/>
        <v>0</v>
      </c>
      <c r="N1439" s="274"/>
    </row>
    <row r="1440" spans="5:14" ht="13.5" customHeight="1">
      <c r="E1440" s="209" t="s">
        <v>268</v>
      </c>
      <c r="F1440" s="209" t="s">
        <v>2539</v>
      </c>
      <c r="G1440" s="415" t="str">
        <f t="shared" si="17"/>
        <v>18-01</v>
      </c>
      <c r="H1440" s="273" t="e">
        <f ca="1">_xludf.IFNA(VLOOKUP(Aragon!E1440,'Kilter Holds'!$P$37:$AB$662,12,0),0)</f>
        <v>#NAME?</v>
      </c>
      <c r="I1440" s="274"/>
      <c r="J1440" s="274" t="e">
        <f t="shared" ca="1" si="15"/>
        <v>#NAME?</v>
      </c>
      <c r="K1440" s="274">
        <f t="shared" si="16"/>
        <v>0</v>
      </c>
      <c r="N1440" s="274"/>
    </row>
    <row r="1441" spans="5:14" ht="13.5" customHeight="1">
      <c r="E1441" s="209" t="s">
        <v>268</v>
      </c>
      <c r="F1441" s="209" t="s">
        <v>2539</v>
      </c>
      <c r="G1441" s="416" t="str">
        <f t="shared" si="17"/>
        <v>Color Code</v>
      </c>
      <c r="H1441" s="273" t="e">
        <f ca="1">_xludf.IFNA(VLOOKUP(Aragon!E1441,'Kilter Holds'!$P$37:$AB$662,13,0),0)</f>
        <v>#NAME?</v>
      </c>
      <c r="I1441" s="274"/>
      <c r="J1441" s="274" t="e">
        <f t="shared" ca="1" si="15"/>
        <v>#NAME?</v>
      </c>
      <c r="K1441" s="274">
        <f t="shared" si="16"/>
        <v>0</v>
      </c>
      <c r="N1441" s="274"/>
    </row>
    <row r="1442" spans="5:14" ht="13.5" customHeight="1">
      <c r="E1442" s="209" t="s">
        <v>295</v>
      </c>
      <c r="F1442" s="209" t="s">
        <v>2540</v>
      </c>
      <c r="G1442" s="406" t="str">
        <f t="shared" si="17"/>
        <v>11-12</v>
      </c>
      <c r="H1442" s="273" t="e">
        <f ca="1">_xludf.IFNA(VLOOKUP(Aragon!E1442,'Kilter Holds'!$P$37:$AB$662,5,0),0)</f>
        <v>#NAME?</v>
      </c>
      <c r="I1442" s="274"/>
      <c r="J1442" s="274" t="e">
        <f t="shared" ca="1" si="15"/>
        <v>#NAME?</v>
      </c>
      <c r="K1442" s="274">
        <f t="shared" si="16"/>
        <v>0</v>
      </c>
      <c r="N1442" s="274"/>
    </row>
    <row r="1443" spans="5:14" ht="13.5" customHeight="1">
      <c r="E1443" s="209" t="s">
        <v>295</v>
      </c>
      <c r="F1443" s="209" t="s">
        <v>2540</v>
      </c>
      <c r="G1443" s="408" t="str">
        <f t="shared" si="17"/>
        <v>14-01</v>
      </c>
      <c r="H1443" s="273" t="e">
        <f ca="1">_xludf.IFNA(VLOOKUP(Aragon!E1443,'Kilter Holds'!$P$37:$AB$662,6,0),0)</f>
        <v>#NAME?</v>
      </c>
      <c r="I1443" s="274"/>
      <c r="J1443" s="274" t="e">
        <f t="shared" ca="1" si="15"/>
        <v>#NAME?</v>
      </c>
      <c r="K1443" s="274">
        <f t="shared" si="16"/>
        <v>0</v>
      </c>
      <c r="N1443" s="274"/>
    </row>
    <row r="1444" spans="5:14" ht="13.5" customHeight="1">
      <c r="E1444" s="209" t="s">
        <v>295</v>
      </c>
      <c r="F1444" s="209" t="s">
        <v>2540</v>
      </c>
      <c r="G1444" s="409" t="str">
        <f t="shared" si="17"/>
        <v>15-12</v>
      </c>
      <c r="H1444" s="273" t="e">
        <f ca="1">_xludf.IFNA(VLOOKUP(Aragon!E1444,'Kilter Holds'!$P$37:$AB$662,7,0),0)</f>
        <v>#NAME?</v>
      </c>
      <c r="I1444" s="274"/>
      <c r="J1444" s="274" t="e">
        <f t="shared" ca="1" si="15"/>
        <v>#NAME?</v>
      </c>
      <c r="K1444" s="274">
        <f t="shared" si="16"/>
        <v>0</v>
      </c>
      <c r="N1444" s="274"/>
    </row>
    <row r="1445" spans="5:14" ht="13.5" customHeight="1">
      <c r="E1445" s="209" t="s">
        <v>295</v>
      </c>
      <c r="F1445" s="209" t="s">
        <v>2540</v>
      </c>
      <c r="G1445" s="410" t="str">
        <f t="shared" si="17"/>
        <v>16-16</v>
      </c>
      <c r="H1445" s="273" t="e">
        <f ca="1">_xludf.IFNA(VLOOKUP(Aragon!E1445,'Kilter Holds'!$P$37:$AB$662,8,0),0)</f>
        <v>#NAME?</v>
      </c>
      <c r="I1445" s="274"/>
      <c r="J1445" s="274" t="e">
        <f t="shared" ca="1" si="15"/>
        <v>#NAME?</v>
      </c>
      <c r="K1445" s="274">
        <f t="shared" si="16"/>
        <v>0</v>
      </c>
      <c r="N1445" s="274"/>
    </row>
    <row r="1446" spans="5:14" ht="13.5" customHeight="1">
      <c r="E1446" s="209" t="s">
        <v>295</v>
      </c>
      <c r="F1446" s="209" t="s">
        <v>2540</v>
      </c>
      <c r="G1446" s="411" t="str">
        <f t="shared" si="17"/>
        <v>13-01</v>
      </c>
      <c r="H1446" s="273" t="e">
        <f ca="1">_xludf.IFNA(VLOOKUP(Aragon!E1446,'Kilter Holds'!$P$37:$AB$662,9,0),0)</f>
        <v>#NAME?</v>
      </c>
      <c r="I1446" s="274"/>
      <c r="J1446" s="274" t="e">
        <f t="shared" ca="1" si="15"/>
        <v>#NAME?</v>
      </c>
      <c r="K1446" s="274">
        <f t="shared" si="16"/>
        <v>0</v>
      </c>
      <c r="N1446" s="274"/>
    </row>
    <row r="1447" spans="5:14" ht="13.5" customHeight="1">
      <c r="E1447" s="209" t="s">
        <v>295</v>
      </c>
      <c r="F1447" s="209" t="s">
        <v>2540</v>
      </c>
      <c r="G1447" s="413" t="str">
        <f t="shared" si="17"/>
        <v>07-13</v>
      </c>
      <c r="H1447" s="273" t="e">
        <f ca="1">_xludf.IFNA(VLOOKUP(Aragon!E1447,'Kilter Holds'!$P$37:$AB$662,10,0),0)</f>
        <v>#NAME?</v>
      </c>
      <c r="I1447" s="274"/>
      <c r="J1447" s="274" t="e">
        <f t="shared" ca="1" si="15"/>
        <v>#NAME?</v>
      </c>
      <c r="K1447" s="274">
        <f t="shared" si="16"/>
        <v>0</v>
      </c>
      <c r="N1447" s="274"/>
    </row>
    <row r="1448" spans="5:14" ht="13.5" customHeight="1">
      <c r="E1448" s="209" t="s">
        <v>295</v>
      </c>
      <c r="F1448" s="209" t="s">
        <v>2540</v>
      </c>
      <c r="G1448" s="414" t="str">
        <f t="shared" si="17"/>
        <v>11-26</v>
      </c>
      <c r="H1448" s="273" t="e">
        <f ca="1">_xludf.IFNA(VLOOKUP(Aragon!E1448,'Kilter Holds'!$P$37:$AB$662,11,0),0)</f>
        <v>#NAME?</v>
      </c>
      <c r="I1448" s="274"/>
      <c r="J1448" s="274" t="e">
        <f t="shared" ca="1" si="15"/>
        <v>#NAME?</v>
      </c>
      <c r="K1448" s="274">
        <f t="shared" si="16"/>
        <v>0</v>
      </c>
      <c r="N1448" s="274"/>
    </row>
    <row r="1449" spans="5:14" ht="13.5" customHeight="1">
      <c r="E1449" s="209" t="s">
        <v>295</v>
      </c>
      <c r="F1449" s="209" t="s">
        <v>2540</v>
      </c>
      <c r="G1449" s="415" t="str">
        <f t="shared" si="17"/>
        <v>18-01</v>
      </c>
      <c r="H1449" s="273" t="e">
        <f ca="1">_xludf.IFNA(VLOOKUP(Aragon!E1449,'Kilter Holds'!$P$37:$AB$662,12,0),0)</f>
        <v>#NAME?</v>
      </c>
      <c r="I1449" s="274"/>
      <c r="J1449" s="274" t="e">
        <f t="shared" ca="1" si="15"/>
        <v>#NAME?</v>
      </c>
      <c r="K1449" s="274">
        <f t="shared" si="16"/>
        <v>0</v>
      </c>
      <c r="N1449" s="274"/>
    </row>
    <row r="1450" spans="5:14" ht="13.5" customHeight="1">
      <c r="E1450" s="209" t="s">
        <v>295</v>
      </c>
      <c r="F1450" s="209" t="s">
        <v>2540</v>
      </c>
      <c r="G1450" s="416" t="str">
        <f t="shared" si="17"/>
        <v>Color Code</v>
      </c>
      <c r="H1450" s="273" t="e">
        <f ca="1">_xludf.IFNA(VLOOKUP(Aragon!E1450,'Kilter Holds'!$P$37:$AB$662,13,0),0)</f>
        <v>#NAME?</v>
      </c>
      <c r="I1450" s="274"/>
      <c r="J1450" s="274" t="e">
        <f t="shared" ca="1" si="15"/>
        <v>#NAME?</v>
      </c>
      <c r="K1450" s="274">
        <f t="shared" si="16"/>
        <v>0</v>
      </c>
      <c r="N1450" s="274"/>
    </row>
    <row r="1451" spans="5:14" ht="13.5" customHeight="1">
      <c r="E1451" s="209" t="s">
        <v>270</v>
      </c>
      <c r="F1451" s="209" t="s">
        <v>2541</v>
      </c>
      <c r="G1451" s="406" t="str">
        <f t="shared" si="17"/>
        <v>11-12</v>
      </c>
      <c r="H1451" s="273" t="e">
        <f ca="1">_xludf.IFNA(VLOOKUP(Aragon!E1451,'Kilter Holds'!$P$37:$AB$662,5,0),0)</f>
        <v>#NAME?</v>
      </c>
      <c r="I1451" s="274"/>
      <c r="J1451" s="274" t="e">
        <f t="shared" ca="1" si="15"/>
        <v>#NAME?</v>
      </c>
      <c r="K1451" s="274">
        <f t="shared" si="16"/>
        <v>0</v>
      </c>
      <c r="N1451" s="274"/>
    </row>
    <row r="1452" spans="5:14" ht="13.5" customHeight="1">
      <c r="E1452" s="209" t="s">
        <v>270</v>
      </c>
      <c r="F1452" s="209" t="s">
        <v>2541</v>
      </c>
      <c r="G1452" s="408" t="str">
        <f t="shared" si="17"/>
        <v>14-01</v>
      </c>
      <c r="H1452" s="273" t="e">
        <f ca="1">_xludf.IFNA(VLOOKUP(Aragon!E1452,'Kilter Holds'!$P$37:$AB$662,6,0),0)</f>
        <v>#NAME?</v>
      </c>
      <c r="I1452" s="274"/>
      <c r="J1452" s="274" t="e">
        <f t="shared" ca="1" si="15"/>
        <v>#NAME?</v>
      </c>
      <c r="K1452" s="274">
        <f t="shared" si="16"/>
        <v>0</v>
      </c>
      <c r="N1452" s="274"/>
    </row>
    <row r="1453" spans="5:14" ht="13.5" customHeight="1">
      <c r="E1453" s="209" t="s">
        <v>270</v>
      </c>
      <c r="F1453" s="209" t="s">
        <v>2541</v>
      </c>
      <c r="G1453" s="409" t="str">
        <f t="shared" si="17"/>
        <v>15-12</v>
      </c>
      <c r="H1453" s="273" t="e">
        <f ca="1">_xludf.IFNA(VLOOKUP(Aragon!E1453,'Kilter Holds'!$P$37:$AB$662,7,0),0)</f>
        <v>#NAME?</v>
      </c>
      <c r="I1453" s="274"/>
      <c r="J1453" s="274" t="e">
        <f t="shared" ca="1" si="15"/>
        <v>#NAME?</v>
      </c>
      <c r="K1453" s="274">
        <f t="shared" si="16"/>
        <v>0</v>
      </c>
      <c r="N1453" s="274"/>
    </row>
    <row r="1454" spans="5:14" ht="13.5" customHeight="1">
      <c r="E1454" s="209" t="s">
        <v>270</v>
      </c>
      <c r="F1454" s="209" t="s">
        <v>2541</v>
      </c>
      <c r="G1454" s="410" t="str">
        <f t="shared" si="17"/>
        <v>16-16</v>
      </c>
      <c r="H1454" s="273" t="e">
        <f ca="1">_xludf.IFNA(VLOOKUP(Aragon!E1454,'Kilter Holds'!$P$37:$AB$662,8,0),0)</f>
        <v>#NAME?</v>
      </c>
      <c r="I1454" s="274"/>
      <c r="J1454" s="274" t="e">
        <f t="shared" ca="1" si="15"/>
        <v>#NAME?</v>
      </c>
      <c r="K1454" s="274">
        <f t="shared" si="16"/>
        <v>0</v>
      </c>
      <c r="N1454" s="274"/>
    </row>
    <row r="1455" spans="5:14" ht="13.5" customHeight="1">
      <c r="E1455" s="209" t="s">
        <v>270</v>
      </c>
      <c r="F1455" s="209" t="s">
        <v>2541</v>
      </c>
      <c r="G1455" s="411" t="str">
        <f t="shared" si="17"/>
        <v>13-01</v>
      </c>
      <c r="H1455" s="273" t="e">
        <f ca="1">_xludf.IFNA(VLOOKUP(Aragon!E1455,'Kilter Holds'!$P$37:$AB$662,9,0),0)</f>
        <v>#NAME?</v>
      </c>
      <c r="I1455" s="274"/>
      <c r="J1455" s="274" t="e">
        <f t="shared" ca="1" si="15"/>
        <v>#NAME?</v>
      </c>
      <c r="K1455" s="274">
        <f t="shared" si="16"/>
        <v>0</v>
      </c>
      <c r="N1455" s="274"/>
    </row>
    <row r="1456" spans="5:14" ht="13.5" customHeight="1">
      <c r="E1456" s="209" t="s">
        <v>270</v>
      </c>
      <c r="F1456" s="209" t="s">
        <v>2541</v>
      </c>
      <c r="G1456" s="413" t="str">
        <f t="shared" si="17"/>
        <v>07-13</v>
      </c>
      <c r="H1456" s="273" t="e">
        <f ca="1">_xludf.IFNA(VLOOKUP(Aragon!E1456,'Kilter Holds'!$P$37:$AB$662,10,0),0)</f>
        <v>#NAME?</v>
      </c>
      <c r="I1456" s="274"/>
      <c r="J1456" s="274" t="e">
        <f t="shared" ca="1" si="15"/>
        <v>#NAME?</v>
      </c>
      <c r="K1456" s="274">
        <f t="shared" si="16"/>
        <v>0</v>
      </c>
      <c r="N1456" s="274"/>
    </row>
    <row r="1457" spans="5:14" ht="13.5" customHeight="1">
      <c r="E1457" s="209" t="s">
        <v>270</v>
      </c>
      <c r="F1457" s="209" t="s">
        <v>2541</v>
      </c>
      <c r="G1457" s="414" t="str">
        <f t="shared" si="17"/>
        <v>11-26</v>
      </c>
      <c r="H1457" s="273" t="e">
        <f ca="1">_xludf.IFNA(VLOOKUP(Aragon!E1457,'Kilter Holds'!$P$37:$AB$662,11,0),0)</f>
        <v>#NAME?</v>
      </c>
      <c r="I1457" s="274"/>
      <c r="J1457" s="274" t="e">
        <f t="shared" ca="1" si="15"/>
        <v>#NAME?</v>
      </c>
      <c r="K1457" s="274">
        <f t="shared" si="16"/>
        <v>0</v>
      </c>
      <c r="N1457" s="274"/>
    </row>
    <row r="1458" spans="5:14" ht="13.5" customHeight="1">
      <c r="E1458" s="209" t="s">
        <v>270</v>
      </c>
      <c r="F1458" s="209" t="s">
        <v>2541</v>
      </c>
      <c r="G1458" s="415" t="str">
        <f t="shared" si="17"/>
        <v>18-01</v>
      </c>
      <c r="H1458" s="273" t="e">
        <f ca="1">_xludf.IFNA(VLOOKUP(Aragon!E1458,'Kilter Holds'!$P$37:$AB$662,12,0),0)</f>
        <v>#NAME?</v>
      </c>
      <c r="I1458" s="274"/>
      <c r="J1458" s="274" t="e">
        <f t="shared" ca="1" si="15"/>
        <v>#NAME?</v>
      </c>
      <c r="K1458" s="274">
        <f t="shared" si="16"/>
        <v>0</v>
      </c>
      <c r="N1458" s="274"/>
    </row>
    <row r="1459" spans="5:14" ht="13.5" customHeight="1">
      <c r="E1459" s="209" t="s">
        <v>270</v>
      </c>
      <c r="F1459" s="209" t="s">
        <v>2541</v>
      </c>
      <c r="G1459" s="416" t="str">
        <f t="shared" si="17"/>
        <v>Color Code</v>
      </c>
      <c r="H1459" s="273" t="e">
        <f ca="1">_xludf.IFNA(VLOOKUP(Aragon!E1459,'Kilter Holds'!$P$37:$AB$662,13,0),0)</f>
        <v>#NAME?</v>
      </c>
      <c r="I1459" s="274"/>
      <c r="J1459" s="274" t="e">
        <f t="shared" ca="1" si="15"/>
        <v>#NAME?</v>
      </c>
      <c r="K1459" s="274">
        <f t="shared" si="16"/>
        <v>0</v>
      </c>
      <c r="N1459" s="274"/>
    </row>
    <row r="1460" spans="5:14" ht="13.5" customHeight="1">
      <c r="E1460" s="209" t="s">
        <v>297</v>
      </c>
      <c r="F1460" s="209" t="s">
        <v>2542</v>
      </c>
      <c r="G1460" s="406" t="str">
        <f t="shared" si="17"/>
        <v>11-12</v>
      </c>
      <c r="H1460" s="273" t="e">
        <f ca="1">_xludf.IFNA(VLOOKUP(Aragon!E1460,'Kilter Holds'!$P$37:$AB$662,5,0),0)</f>
        <v>#NAME?</v>
      </c>
      <c r="I1460" s="274"/>
      <c r="J1460" s="274" t="e">
        <f t="shared" ca="1" si="15"/>
        <v>#NAME?</v>
      </c>
      <c r="K1460" s="274">
        <f t="shared" si="16"/>
        <v>0</v>
      </c>
      <c r="N1460" s="274"/>
    </row>
    <row r="1461" spans="5:14" ht="13.5" customHeight="1">
      <c r="E1461" s="209" t="s">
        <v>297</v>
      </c>
      <c r="F1461" s="209" t="s">
        <v>2542</v>
      </c>
      <c r="G1461" s="408" t="str">
        <f t="shared" si="17"/>
        <v>14-01</v>
      </c>
      <c r="H1461" s="273" t="e">
        <f ca="1">_xludf.IFNA(VLOOKUP(Aragon!E1461,'Kilter Holds'!$P$37:$AB$662,6,0),0)</f>
        <v>#NAME?</v>
      </c>
      <c r="I1461" s="274"/>
      <c r="J1461" s="274" t="e">
        <f t="shared" ca="1" si="15"/>
        <v>#NAME?</v>
      </c>
      <c r="K1461" s="274">
        <f t="shared" si="16"/>
        <v>0</v>
      </c>
      <c r="N1461" s="274"/>
    </row>
    <row r="1462" spans="5:14" ht="13.5" customHeight="1">
      <c r="E1462" s="209" t="s">
        <v>297</v>
      </c>
      <c r="F1462" s="209" t="s">
        <v>2542</v>
      </c>
      <c r="G1462" s="409" t="str">
        <f t="shared" si="17"/>
        <v>15-12</v>
      </c>
      <c r="H1462" s="273" t="e">
        <f ca="1">_xludf.IFNA(VLOOKUP(Aragon!E1462,'Kilter Holds'!$P$37:$AB$662,7,0),0)</f>
        <v>#NAME?</v>
      </c>
      <c r="I1462" s="274"/>
      <c r="J1462" s="274" t="e">
        <f t="shared" ca="1" si="15"/>
        <v>#NAME?</v>
      </c>
      <c r="K1462" s="274">
        <f t="shared" si="16"/>
        <v>0</v>
      </c>
      <c r="N1462" s="274"/>
    </row>
    <row r="1463" spans="5:14" ht="13.5" customHeight="1">
      <c r="E1463" s="209" t="s">
        <v>297</v>
      </c>
      <c r="F1463" s="209" t="s">
        <v>2542</v>
      </c>
      <c r="G1463" s="410" t="str">
        <f t="shared" si="17"/>
        <v>16-16</v>
      </c>
      <c r="H1463" s="273" t="e">
        <f ca="1">_xludf.IFNA(VLOOKUP(Aragon!E1463,'Kilter Holds'!$P$37:$AB$662,8,0),0)</f>
        <v>#NAME?</v>
      </c>
      <c r="I1463" s="274"/>
      <c r="J1463" s="274" t="e">
        <f t="shared" ca="1" si="15"/>
        <v>#NAME?</v>
      </c>
      <c r="K1463" s="274">
        <f t="shared" si="16"/>
        <v>0</v>
      </c>
      <c r="N1463" s="274"/>
    </row>
    <row r="1464" spans="5:14" ht="13.5" customHeight="1">
      <c r="E1464" s="209" t="s">
        <v>297</v>
      </c>
      <c r="F1464" s="209" t="s">
        <v>2542</v>
      </c>
      <c r="G1464" s="411" t="str">
        <f t="shared" si="17"/>
        <v>13-01</v>
      </c>
      <c r="H1464" s="273" t="e">
        <f ca="1">_xludf.IFNA(VLOOKUP(Aragon!E1464,'Kilter Holds'!$P$37:$AB$662,9,0),0)</f>
        <v>#NAME?</v>
      </c>
      <c r="I1464" s="274"/>
      <c r="J1464" s="274" t="e">
        <f t="shared" ca="1" si="15"/>
        <v>#NAME?</v>
      </c>
      <c r="K1464" s="274">
        <f t="shared" si="16"/>
        <v>0</v>
      </c>
      <c r="N1464" s="274"/>
    </row>
    <row r="1465" spans="5:14" ht="13.5" customHeight="1">
      <c r="E1465" s="209" t="s">
        <v>297</v>
      </c>
      <c r="F1465" s="209" t="s">
        <v>2542</v>
      </c>
      <c r="G1465" s="413" t="str">
        <f t="shared" si="17"/>
        <v>07-13</v>
      </c>
      <c r="H1465" s="273" t="e">
        <f ca="1">_xludf.IFNA(VLOOKUP(Aragon!E1465,'Kilter Holds'!$P$37:$AB$662,10,0),0)</f>
        <v>#NAME?</v>
      </c>
      <c r="I1465" s="274"/>
      <c r="J1465" s="274" t="e">
        <f t="shared" ca="1" si="15"/>
        <v>#NAME?</v>
      </c>
      <c r="K1465" s="274">
        <f t="shared" si="16"/>
        <v>0</v>
      </c>
      <c r="N1465" s="274"/>
    </row>
    <row r="1466" spans="5:14" ht="13.5" customHeight="1">
      <c r="E1466" s="209" t="s">
        <v>297</v>
      </c>
      <c r="F1466" s="209" t="s">
        <v>2542</v>
      </c>
      <c r="G1466" s="414" t="str">
        <f t="shared" si="17"/>
        <v>11-26</v>
      </c>
      <c r="H1466" s="273" t="e">
        <f ca="1">_xludf.IFNA(VLOOKUP(Aragon!E1466,'Kilter Holds'!$P$37:$AB$662,11,0),0)</f>
        <v>#NAME?</v>
      </c>
      <c r="I1466" s="274"/>
      <c r="J1466" s="274" t="e">
        <f t="shared" ca="1" si="15"/>
        <v>#NAME?</v>
      </c>
      <c r="K1466" s="274">
        <f t="shared" si="16"/>
        <v>0</v>
      </c>
      <c r="N1466" s="274"/>
    </row>
    <row r="1467" spans="5:14" ht="13.5" customHeight="1">
      <c r="E1467" s="209" t="s">
        <v>297</v>
      </c>
      <c r="F1467" s="209" t="s">
        <v>2542</v>
      </c>
      <c r="G1467" s="415" t="str">
        <f t="shared" si="17"/>
        <v>18-01</v>
      </c>
      <c r="H1467" s="273" t="e">
        <f ca="1">_xludf.IFNA(VLOOKUP(Aragon!E1467,'Kilter Holds'!$P$37:$AB$662,12,0),0)</f>
        <v>#NAME?</v>
      </c>
      <c r="I1467" s="274"/>
      <c r="J1467" s="274" t="e">
        <f t="shared" ca="1" si="15"/>
        <v>#NAME?</v>
      </c>
      <c r="K1467" s="274">
        <f t="shared" si="16"/>
        <v>0</v>
      </c>
      <c r="N1467" s="274"/>
    </row>
    <row r="1468" spans="5:14" ht="13.5" customHeight="1">
      <c r="E1468" s="209" t="s">
        <v>297</v>
      </c>
      <c r="F1468" s="209" t="s">
        <v>2542</v>
      </c>
      <c r="G1468" s="416" t="str">
        <f t="shared" si="17"/>
        <v>Color Code</v>
      </c>
      <c r="H1468" s="273" t="e">
        <f ca="1">_xludf.IFNA(VLOOKUP(Aragon!E1468,'Kilter Holds'!$P$37:$AB$662,13,0),0)</f>
        <v>#NAME?</v>
      </c>
      <c r="I1468" s="274"/>
      <c r="J1468" s="274" t="e">
        <f t="shared" ca="1" si="15"/>
        <v>#NAME?</v>
      </c>
      <c r="K1468" s="274">
        <f t="shared" si="16"/>
        <v>0</v>
      </c>
      <c r="N1468" s="274"/>
    </row>
    <row r="1469" spans="5:14" ht="13.5" customHeight="1">
      <c r="E1469" s="209" t="s">
        <v>239</v>
      </c>
      <c r="F1469" s="209" t="s">
        <v>2543</v>
      </c>
      <c r="G1469" s="406" t="str">
        <f t="shared" si="17"/>
        <v>11-12</v>
      </c>
      <c r="H1469" s="273" t="e">
        <f ca="1">_xludf.IFNA(VLOOKUP(Aragon!E1469,'Kilter Holds'!$P$37:$AB$662,5,0),0)</f>
        <v>#NAME?</v>
      </c>
      <c r="I1469" s="274"/>
      <c r="J1469" s="274" t="e">
        <f t="shared" ca="1" si="15"/>
        <v>#NAME?</v>
      </c>
      <c r="K1469" s="274">
        <f t="shared" si="16"/>
        <v>0</v>
      </c>
      <c r="N1469" s="274"/>
    </row>
    <row r="1470" spans="5:14" ht="13.5" customHeight="1">
      <c r="E1470" s="209" t="s">
        <v>239</v>
      </c>
      <c r="F1470" s="209" t="s">
        <v>2543</v>
      </c>
      <c r="G1470" s="408" t="str">
        <f t="shared" si="17"/>
        <v>14-01</v>
      </c>
      <c r="H1470" s="273" t="e">
        <f ca="1">_xludf.IFNA(VLOOKUP(Aragon!E1470,'Kilter Holds'!$P$37:$AB$662,6,0),0)</f>
        <v>#NAME?</v>
      </c>
      <c r="I1470" s="274"/>
      <c r="J1470" s="274" t="e">
        <f t="shared" ca="1" si="15"/>
        <v>#NAME?</v>
      </c>
      <c r="K1470" s="274">
        <f t="shared" si="16"/>
        <v>0</v>
      </c>
      <c r="N1470" s="274"/>
    </row>
    <row r="1471" spans="5:14" ht="13.5" customHeight="1">
      <c r="E1471" s="209" t="s">
        <v>239</v>
      </c>
      <c r="F1471" s="209" t="s">
        <v>2543</v>
      </c>
      <c r="G1471" s="409" t="str">
        <f t="shared" si="17"/>
        <v>15-12</v>
      </c>
      <c r="H1471" s="273" t="e">
        <f ca="1">_xludf.IFNA(VLOOKUP(Aragon!E1471,'Kilter Holds'!$P$37:$AB$662,7,0),0)</f>
        <v>#NAME?</v>
      </c>
      <c r="I1471" s="274"/>
      <c r="J1471" s="274" t="e">
        <f t="shared" ca="1" si="15"/>
        <v>#NAME?</v>
      </c>
      <c r="K1471" s="274">
        <f t="shared" si="16"/>
        <v>0</v>
      </c>
      <c r="N1471" s="274"/>
    </row>
    <row r="1472" spans="5:14" ht="13.5" customHeight="1">
      <c r="E1472" s="209" t="s">
        <v>239</v>
      </c>
      <c r="F1472" s="209" t="s">
        <v>2543</v>
      </c>
      <c r="G1472" s="410" t="str">
        <f t="shared" si="17"/>
        <v>16-16</v>
      </c>
      <c r="H1472" s="273" t="e">
        <f ca="1">_xludf.IFNA(VLOOKUP(Aragon!E1472,'Kilter Holds'!$P$37:$AB$662,8,0),0)</f>
        <v>#NAME?</v>
      </c>
      <c r="I1472" s="274"/>
      <c r="J1472" s="274" t="e">
        <f t="shared" ca="1" si="15"/>
        <v>#NAME?</v>
      </c>
      <c r="K1472" s="274">
        <f t="shared" si="16"/>
        <v>0</v>
      </c>
      <c r="N1472" s="274"/>
    </row>
    <row r="1473" spans="5:14" ht="13.5" customHeight="1">
      <c r="E1473" s="209" t="s">
        <v>239</v>
      </c>
      <c r="F1473" s="209" t="s">
        <v>2543</v>
      </c>
      <c r="G1473" s="411" t="str">
        <f t="shared" si="17"/>
        <v>13-01</v>
      </c>
      <c r="H1473" s="273" t="e">
        <f ca="1">_xludf.IFNA(VLOOKUP(Aragon!E1473,'Kilter Holds'!$P$37:$AB$662,9,0),0)</f>
        <v>#NAME?</v>
      </c>
      <c r="I1473" s="274"/>
      <c r="J1473" s="274" t="e">
        <f t="shared" ca="1" si="15"/>
        <v>#NAME?</v>
      </c>
      <c r="K1473" s="274">
        <f t="shared" si="16"/>
        <v>0</v>
      </c>
      <c r="N1473" s="274"/>
    </row>
    <row r="1474" spans="5:14" ht="13.5" customHeight="1">
      <c r="E1474" s="209" t="s">
        <v>239</v>
      </c>
      <c r="F1474" s="209" t="s">
        <v>2543</v>
      </c>
      <c r="G1474" s="413" t="str">
        <f t="shared" si="17"/>
        <v>07-13</v>
      </c>
      <c r="H1474" s="273" t="e">
        <f ca="1">_xludf.IFNA(VLOOKUP(Aragon!E1474,'Kilter Holds'!$P$37:$AB$662,10,0),0)</f>
        <v>#NAME?</v>
      </c>
      <c r="I1474" s="274"/>
      <c r="J1474" s="274" t="e">
        <f t="shared" ca="1" si="15"/>
        <v>#NAME?</v>
      </c>
      <c r="K1474" s="274">
        <f t="shared" si="16"/>
        <v>0</v>
      </c>
      <c r="N1474" s="274"/>
    </row>
    <row r="1475" spans="5:14" ht="13.5" customHeight="1">
      <c r="E1475" s="209" t="s">
        <v>239</v>
      </c>
      <c r="F1475" s="209" t="s">
        <v>2543</v>
      </c>
      <c r="G1475" s="414" t="str">
        <f t="shared" si="17"/>
        <v>11-26</v>
      </c>
      <c r="H1475" s="273" t="e">
        <f ca="1">_xludf.IFNA(VLOOKUP(Aragon!E1475,'Kilter Holds'!$P$37:$AB$662,11,0),0)</f>
        <v>#NAME?</v>
      </c>
      <c r="I1475" s="274"/>
      <c r="J1475" s="274" t="e">
        <f t="shared" ca="1" si="15"/>
        <v>#NAME?</v>
      </c>
      <c r="K1475" s="274">
        <f t="shared" si="16"/>
        <v>0</v>
      </c>
      <c r="N1475" s="274"/>
    </row>
    <row r="1476" spans="5:14" ht="13.5" customHeight="1">
      <c r="E1476" s="209" t="s">
        <v>239</v>
      </c>
      <c r="F1476" s="209" t="s">
        <v>2543</v>
      </c>
      <c r="G1476" s="415" t="str">
        <f t="shared" si="17"/>
        <v>18-01</v>
      </c>
      <c r="H1476" s="273" t="e">
        <f ca="1">_xludf.IFNA(VLOOKUP(Aragon!E1476,'Kilter Holds'!$P$37:$AB$662,12,0),0)</f>
        <v>#NAME?</v>
      </c>
      <c r="I1476" s="274"/>
      <c r="J1476" s="274" t="e">
        <f t="shared" ca="1" si="15"/>
        <v>#NAME?</v>
      </c>
      <c r="K1476" s="274">
        <f t="shared" si="16"/>
        <v>0</v>
      </c>
      <c r="N1476" s="274"/>
    </row>
    <row r="1477" spans="5:14" ht="13.5" customHeight="1">
      <c r="E1477" s="209" t="s">
        <v>239</v>
      </c>
      <c r="F1477" s="209" t="s">
        <v>2543</v>
      </c>
      <c r="G1477" s="416" t="str">
        <f t="shared" si="17"/>
        <v>Color Code</v>
      </c>
      <c r="H1477" s="273" t="e">
        <f ca="1">_xludf.IFNA(VLOOKUP(Aragon!E1477,'Kilter Holds'!$P$37:$AB$662,13,0),0)</f>
        <v>#NAME?</v>
      </c>
      <c r="I1477" s="274"/>
      <c r="J1477" s="274" t="e">
        <f t="shared" ca="1" si="15"/>
        <v>#NAME?</v>
      </c>
      <c r="K1477" s="274">
        <f t="shared" si="16"/>
        <v>0</v>
      </c>
      <c r="N1477" s="274"/>
    </row>
    <row r="1478" spans="5:14" ht="13.5" customHeight="1">
      <c r="E1478" s="209" t="s">
        <v>241</v>
      </c>
      <c r="F1478" s="209" t="s">
        <v>2544</v>
      </c>
      <c r="G1478" s="406" t="str">
        <f t="shared" si="17"/>
        <v>11-12</v>
      </c>
      <c r="H1478" s="273" t="e">
        <f ca="1">_xludf.IFNA(VLOOKUP(Aragon!E1478,'Kilter Holds'!$P$37:$AB$662,5,0),0)</f>
        <v>#NAME?</v>
      </c>
      <c r="I1478" s="274"/>
      <c r="J1478" s="274" t="e">
        <f t="shared" ca="1" si="15"/>
        <v>#NAME?</v>
      </c>
      <c r="K1478" s="274">
        <f t="shared" si="16"/>
        <v>0</v>
      </c>
      <c r="N1478" s="274"/>
    </row>
    <row r="1479" spans="5:14" ht="13.5" customHeight="1">
      <c r="E1479" s="209" t="s">
        <v>241</v>
      </c>
      <c r="F1479" s="209" t="s">
        <v>2544</v>
      </c>
      <c r="G1479" s="408" t="str">
        <f t="shared" si="17"/>
        <v>14-01</v>
      </c>
      <c r="H1479" s="273" t="e">
        <f ca="1">_xludf.IFNA(VLOOKUP(Aragon!E1479,'Kilter Holds'!$P$37:$AB$662,6,0),0)</f>
        <v>#NAME?</v>
      </c>
      <c r="I1479" s="274"/>
      <c r="J1479" s="274" t="e">
        <f t="shared" ca="1" si="15"/>
        <v>#NAME?</v>
      </c>
      <c r="K1479" s="274">
        <f t="shared" si="16"/>
        <v>0</v>
      </c>
      <c r="N1479" s="274"/>
    </row>
    <row r="1480" spans="5:14" ht="13.5" customHeight="1">
      <c r="E1480" s="209" t="s">
        <v>241</v>
      </c>
      <c r="F1480" s="209" t="s">
        <v>2544</v>
      </c>
      <c r="G1480" s="409" t="str">
        <f t="shared" si="17"/>
        <v>15-12</v>
      </c>
      <c r="H1480" s="273" t="e">
        <f ca="1">_xludf.IFNA(VLOOKUP(Aragon!E1480,'Kilter Holds'!$P$37:$AB$662,7,0),0)</f>
        <v>#NAME?</v>
      </c>
      <c r="I1480" s="274"/>
      <c r="J1480" s="274" t="e">
        <f t="shared" ca="1" si="15"/>
        <v>#NAME?</v>
      </c>
      <c r="K1480" s="274">
        <f t="shared" si="16"/>
        <v>0</v>
      </c>
      <c r="N1480" s="274"/>
    </row>
    <row r="1481" spans="5:14" ht="13.5" customHeight="1">
      <c r="E1481" s="209" t="s">
        <v>241</v>
      </c>
      <c r="F1481" s="209" t="s">
        <v>2544</v>
      </c>
      <c r="G1481" s="410" t="str">
        <f t="shared" si="17"/>
        <v>16-16</v>
      </c>
      <c r="H1481" s="273" t="e">
        <f ca="1">_xludf.IFNA(VLOOKUP(Aragon!E1481,'Kilter Holds'!$P$37:$AB$662,8,0),0)</f>
        <v>#NAME?</v>
      </c>
      <c r="I1481" s="274"/>
      <c r="J1481" s="274" t="e">
        <f t="shared" ca="1" si="15"/>
        <v>#NAME?</v>
      </c>
      <c r="K1481" s="274">
        <f t="shared" si="16"/>
        <v>0</v>
      </c>
      <c r="N1481" s="274"/>
    </row>
    <row r="1482" spans="5:14" ht="13.5" customHeight="1">
      <c r="E1482" s="209" t="s">
        <v>241</v>
      </c>
      <c r="F1482" s="209" t="s">
        <v>2544</v>
      </c>
      <c r="G1482" s="411" t="str">
        <f t="shared" si="17"/>
        <v>13-01</v>
      </c>
      <c r="H1482" s="273" t="e">
        <f ca="1">_xludf.IFNA(VLOOKUP(Aragon!E1482,'Kilter Holds'!$P$37:$AB$662,9,0),0)</f>
        <v>#NAME?</v>
      </c>
      <c r="I1482" s="274"/>
      <c r="J1482" s="274" t="e">
        <f t="shared" ca="1" si="15"/>
        <v>#NAME?</v>
      </c>
      <c r="K1482" s="274">
        <f t="shared" si="16"/>
        <v>0</v>
      </c>
      <c r="N1482" s="274"/>
    </row>
    <row r="1483" spans="5:14" ht="13.5" customHeight="1">
      <c r="E1483" s="209" t="s">
        <v>241</v>
      </c>
      <c r="F1483" s="209" t="s">
        <v>2544</v>
      </c>
      <c r="G1483" s="413" t="str">
        <f t="shared" si="17"/>
        <v>07-13</v>
      </c>
      <c r="H1483" s="273" t="e">
        <f ca="1">_xludf.IFNA(VLOOKUP(Aragon!E1483,'Kilter Holds'!$P$37:$AB$662,10,0),0)</f>
        <v>#NAME?</v>
      </c>
      <c r="I1483" s="274"/>
      <c r="J1483" s="274" t="e">
        <f t="shared" ca="1" si="15"/>
        <v>#NAME?</v>
      </c>
      <c r="K1483" s="274">
        <f t="shared" si="16"/>
        <v>0</v>
      </c>
      <c r="N1483" s="274"/>
    </row>
    <row r="1484" spans="5:14" ht="13.5" customHeight="1">
      <c r="E1484" s="209" t="s">
        <v>241</v>
      </c>
      <c r="F1484" s="209" t="s">
        <v>2544</v>
      </c>
      <c r="G1484" s="414" t="str">
        <f t="shared" si="17"/>
        <v>11-26</v>
      </c>
      <c r="H1484" s="273" t="e">
        <f ca="1">_xludf.IFNA(VLOOKUP(Aragon!E1484,'Kilter Holds'!$P$37:$AB$662,11,0),0)</f>
        <v>#NAME?</v>
      </c>
      <c r="I1484" s="274"/>
      <c r="J1484" s="274" t="e">
        <f t="shared" ca="1" si="15"/>
        <v>#NAME?</v>
      </c>
      <c r="K1484" s="274">
        <f t="shared" si="16"/>
        <v>0</v>
      </c>
      <c r="N1484" s="274"/>
    </row>
    <row r="1485" spans="5:14" ht="13.5" customHeight="1">
      <c r="E1485" s="209" t="s">
        <v>241</v>
      </c>
      <c r="F1485" s="209" t="s">
        <v>2544</v>
      </c>
      <c r="G1485" s="415" t="str">
        <f t="shared" si="17"/>
        <v>18-01</v>
      </c>
      <c r="H1485" s="273" t="e">
        <f ca="1">_xludf.IFNA(VLOOKUP(Aragon!E1485,'Kilter Holds'!$P$37:$AB$662,12,0),0)</f>
        <v>#NAME?</v>
      </c>
      <c r="I1485" s="274"/>
      <c r="J1485" s="274" t="e">
        <f t="shared" ca="1" si="15"/>
        <v>#NAME?</v>
      </c>
      <c r="K1485" s="274">
        <f t="shared" si="16"/>
        <v>0</v>
      </c>
      <c r="N1485" s="274"/>
    </row>
    <row r="1486" spans="5:14" ht="13.5" customHeight="1">
      <c r="E1486" s="209" t="s">
        <v>241</v>
      </c>
      <c r="F1486" s="209" t="s">
        <v>2544</v>
      </c>
      <c r="G1486" s="416" t="str">
        <f t="shared" si="17"/>
        <v>Color Code</v>
      </c>
      <c r="H1486" s="273" t="e">
        <f ca="1">_xludf.IFNA(VLOOKUP(Aragon!E1486,'Kilter Holds'!$P$37:$AB$662,13,0),0)</f>
        <v>#NAME?</v>
      </c>
      <c r="I1486" s="274"/>
      <c r="J1486" s="274" t="e">
        <f t="shared" ca="1" si="15"/>
        <v>#NAME?</v>
      </c>
      <c r="K1486" s="274">
        <f t="shared" si="16"/>
        <v>0</v>
      </c>
      <c r="N1486" s="274"/>
    </row>
    <row r="1487" spans="5:14" ht="13.5" customHeight="1">
      <c r="E1487" s="209" t="s">
        <v>299</v>
      </c>
      <c r="F1487" s="209" t="s">
        <v>2545</v>
      </c>
      <c r="G1487" s="406" t="str">
        <f t="shared" si="17"/>
        <v>11-12</v>
      </c>
      <c r="H1487" s="273" t="e">
        <f ca="1">_xludf.IFNA(VLOOKUP(Aragon!E1487,'Kilter Holds'!$P$37:$AB$662,5,0),0)</f>
        <v>#NAME?</v>
      </c>
      <c r="I1487" s="274"/>
      <c r="J1487" s="274" t="e">
        <f t="shared" ca="1" si="15"/>
        <v>#NAME?</v>
      </c>
      <c r="K1487" s="274">
        <f t="shared" si="16"/>
        <v>0</v>
      </c>
      <c r="N1487" s="274"/>
    </row>
    <row r="1488" spans="5:14" ht="13.5" customHeight="1">
      <c r="E1488" s="209" t="s">
        <v>299</v>
      </c>
      <c r="F1488" s="209" t="s">
        <v>2545</v>
      </c>
      <c r="G1488" s="408" t="str">
        <f t="shared" si="17"/>
        <v>14-01</v>
      </c>
      <c r="H1488" s="273" t="e">
        <f ca="1">_xludf.IFNA(VLOOKUP(Aragon!E1488,'Kilter Holds'!$P$37:$AB$662,6,0),0)</f>
        <v>#NAME?</v>
      </c>
      <c r="I1488" s="274"/>
      <c r="J1488" s="274" t="e">
        <f t="shared" ca="1" si="15"/>
        <v>#NAME?</v>
      </c>
      <c r="K1488" s="274">
        <f t="shared" si="16"/>
        <v>0</v>
      </c>
      <c r="N1488" s="274"/>
    </row>
    <row r="1489" spans="5:14" ht="13.5" customHeight="1">
      <c r="E1489" s="209" t="s">
        <v>299</v>
      </c>
      <c r="F1489" s="209" t="s">
        <v>2545</v>
      </c>
      <c r="G1489" s="409" t="str">
        <f t="shared" si="17"/>
        <v>15-12</v>
      </c>
      <c r="H1489" s="273" t="e">
        <f ca="1">_xludf.IFNA(VLOOKUP(Aragon!E1489,'Kilter Holds'!$P$37:$AB$662,7,0),0)</f>
        <v>#NAME?</v>
      </c>
      <c r="I1489" s="274"/>
      <c r="J1489" s="274" t="e">
        <f t="shared" ca="1" si="15"/>
        <v>#NAME?</v>
      </c>
      <c r="K1489" s="274">
        <f t="shared" si="16"/>
        <v>0</v>
      </c>
      <c r="N1489" s="274"/>
    </row>
    <row r="1490" spans="5:14" ht="13.5" customHeight="1">
      <c r="E1490" s="209" t="s">
        <v>299</v>
      </c>
      <c r="F1490" s="209" t="s">
        <v>2545</v>
      </c>
      <c r="G1490" s="410" t="str">
        <f t="shared" si="17"/>
        <v>16-16</v>
      </c>
      <c r="H1490" s="273" t="e">
        <f ca="1">_xludf.IFNA(VLOOKUP(Aragon!E1490,'Kilter Holds'!$P$37:$AB$662,8,0),0)</f>
        <v>#NAME?</v>
      </c>
      <c r="I1490" s="274"/>
      <c r="J1490" s="274" t="e">
        <f t="shared" ca="1" si="15"/>
        <v>#NAME?</v>
      </c>
      <c r="K1490" s="274">
        <f t="shared" si="16"/>
        <v>0</v>
      </c>
      <c r="N1490" s="274"/>
    </row>
    <row r="1491" spans="5:14" ht="13.5" customHeight="1">
      <c r="E1491" s="209" t="s">
        <v>299</v>
      </c>
      <c r="F1491" s="209" t="s">
        <v>2545</v>
      </c>
      <c r="G1491" s="411" t="str">
        <f t="shared" si="17"/>
        <v>13-01</v>
      </c>
      <c r="H1491" s="273" t="e">
        <f ca="1">_xludf.IFNA(VLOOKUP(Aragon!E1491,'Kilter Holds'!$P$37:$AB$662,9,0),0)</f>
        <v>#NAME?</v>
      </c>
      <c r="I1491" s="274"/>
      <c r="J1491" s="274" t="e">
        <f t="shared" ca="1" si="15"/>
        <v>#NAME?</v>
      </c>
      <c r="K1491" s="274">
        <f t="shared" si="16"/>
        <v>0</v>
      </c>
      <c r="N1491" s="274"/>
    </row>
    <row r="1492" spans="5:14" ht="13.5" customHeight="1">
      <c r="E1492" s="209" t="s">
        <v>299</v>
      </c>
      <c r="F1492" s="209" t="s">
        <v>2545</v>
      </c>
      <c r="G1492" s="413" t="str">
        <f t="shared" si="17"/>
        <v>07-13</v>
      </c>
      <c r="H1492" s="273" t="e">
        <f ca="1">_xludf.IFNA(VLOOKUP(Aragon!E1492,'Kilter Holds'!$P$37:$AB$662,10,0),0)</f>
        <v>#NAME?</v>
      </c>
      <c r="I1492" s="274"/>
      <c r="J1492" s="274" t="e">
        <f t="shared" ca="1" si="15"/>
        <v>#NAME?</v>
      </c>
      <c r="K1492" s="274">
        <f t="shared" si="16"/>
        <v>0</v>
      </c>
      <c r="N1492" s="274"/>
    </row>
    <row r="1493" spans="5:14" ht="13.5" customHeight="1">
      <c r="E1493" s="209" t="s">
        <v>299</v>
      </c>
      <c r="F1493" s="209" t="s">
        <v>2545</v>
      </c>
      <c r="G1493" s="414" t="str">
        <f t="shared" si="17"/>
        <v>11-26</v>
      </c>
      <c r="H1493" s="273" t="e">
        <f ca="1">_xludf.IFNA(VLOOKUP(Aragon!E1493,'Kilter Holds'!$P$37:$AB$662,11,0),0)</f>
        <v>#NAME?</v>
      </c>
      <c r="I1493" s="274"/>
      <c r="J1493" s="274" t="e">
        <f t="shared" ca="1" si="15"/>
        <v>#NAME?</v>
      </c>
      <c r="K1493" s="274">
        <f t="shared" si="16"/>
        <v>0</v>
      </c>
      <c r="N1493" s="274"/>
    </row>
    <row r="1494" spans="5:14" ht="13.5" customHeight="1">
      <c r="E1494" s="209" t="s">
        <v>299</v>
      </c>
      <c r="F1494" s="209" t="s">
        <v>2545</v>
      </c>
      <c r="G1494" s="415" t="str">
        <f t="shared" si="17"/>
        <v>18-01</v>
      </c>
      <c r="H1494" s="273" t="e">
        <f ca="1">_xludf.IFNA(VLOOKUP(Aragon!E1494,'Kilter Holds'!$P$37:$AB$662,12,0),0)</f>
        <v>#NAME?</v>
      </c>
      <c r="I1494" s="274"/>
      <c r="J1494" s="274" t="e">
        <f t="shared" ca="1" si="15"/>
        <v>#NAME?</v>
      </c>
      <c r="K1494" s="274">
        <f t="shared" si="16"/>
        <v>0</v>
      </c>
      <c r="N1494" s="274"/>
    </row>
    <row r="1495" spans="5:14" ht="13.5" customHeight="1">
      <c r="E1495" s="209" t="s">
        <v>299</v>
      </c>
      <c r="F1495" s="209" t="s">
        <v>2545</v>
      </c>
      <c r="G1495" s="416" t="str">
        <f t="shared" si="17"/>
        <v>Color Code</v>
      </c>
      <c r="H1495" s="273" t="e">
        <f ca="1">_xludf.IFNA(VLOOKUP(Aragon!E1495,'Kilter Holds'!$P$37:$AB$662,13,0),0)</f>
        <v>#NAME?</v>
      </c>
      <c r="I1495" s="274"/>
      <c r="J1495" s="274" t="e">
        <f t="shared" ca="1" si="15"/>
        <v>#NAME?</v>
      </c>
      <c r="K1495" s="274">
        <f t="shared" si="16"/>
        <v>0</v>
      </c>
      <c r="N1495" s="274"/>
    </row>
    <row r="1496" spans="5:14" ht="13.5" customHeight="1">
      <c r="E1496" s="209" t="s">
        <v>301</v>
      </c>
      <c r="F1496" s="209" t="s">
        <v>2546</v>
      </c>
      <c r="G1496" s="406" t="str">
        <f t="shared" si="17"/>
        <v>11-12</v>
      </c>
      <c r="H1496" s="273" t="e">
        <f ca="1">_xludf.IFNA(VLOOKUP(Aragon!E1496,'Kilter Holds'!$P$37:$AB$662,5,0),0)</f>
        <v>#NAME?</v>
      </c>
      <c r="I1496" s="274"/>
      <c r="J1496" s="274" t="e">
        <f t="shared" ca="1" si="15"/>
        <v>#NAME?</v>
      </c>
      <c r="K1496" s="274">
        <f t="shared" si="16"/>
        <v>0</v>
      </c>
      <c r="N1496" s="274"/>
    </row>
    <row r="1497" spans="5:14" ht="13.5" customHeight="1">
      <c r="E1497" s="209" t="s">
        <v>301</v>
      </c>
      <c r="F1497" s="209" t="s">
        <v>2546</v>
      </c>
      <c r="G1497" s="408" t="str">
        <f t="shared" si="17"/>
        <v>14-01</v>
      </c>
      <c r="H1497" s="273" t="e">
        <f ca="1">_xludf.IFNA(VLOOKUP(Aragon!E1497,'Kilter Holds'!$P$37:$AB$662,6,0),0)</f>
        <v>#NAME?</v>
      </c>
      <c r="I1497" s="274"/>
      <c r="J1497" s="274" t="e">
        <f t="shared" ca="1" si="15"/>
        <v>#NAME?</v>
      </c>
      <c r="K1497" s="274">
        <f t="shared" si="16"/>
        <v>0</v>
      </c>
      <c r="N1497" s="274"/>
    </row>
    <row r="1498" spans="5:14" ht="13.5" customHeight="1">
      <c r="E1498" s="209" t="s">
        <v>301</v>
      </c>
      <c r="F1498" s="209" t="s">
        <v>2546</v>
      </c>
      <c r="G1498" s="409" t="str">
        <f t="shared" si="17"/>
        <v>15-12</v>
      </c>
      <c r="H1498" s="273" t="e">
        <f ca="1">_xludf.IFNA(VLOOKUP(Aragon!E1498,'Kilter Holds'!$P$37:$AB$662,7,0),0)</f>
        <v>#NAME?</v>
      </c>
      <c r="I1498" s="274"/>
      <c r="J1498" s="274" t="e">
        <f t="shared" ca="1" si="15"/>
        <v>#NAME?</v>
      </c>
      <c r="K1498" s="274">
        <f t="shared" si="16"/>
        <v>0</v>
      </c>
      <c r="N1498" s="274"/>
    </row>
    <row r="1499" spans="5:14" ht="13.5" customHeight="1">
      <c r="E1499" s="209" t="s">
        <v>301</v>
      </c>
      <c r="F1499" s="209" t="s">
        <v>2546</v>
      </c>
      <c r="G1499" s="410" t="str">
        <f t="shared" si="17"/>
        <v>16-16</v>
      </c>
      <c r="H1499" s="273" t="e">
        <f ca="1">_xludf.IFNA(VLOOKUP(Aragon!E1499,'Kilter Holds'!$P$37:$AB$662,8,0),0)</f>
        <v>#NAME?</v>
      </c>
      <c r="I1499" s="274"/>
      <c r="J1499" s="274" t="e">
        <f t="shared" ca="1" si="15"/>
        <v>#NAME?</v>
      </c>
      <c r="K1499" s="274">
        <f t="shared" si="16"/>
        <v>0</v>
      </c>
      <c r="N1499" s="274"/>
    </row>
    <row r="1500" spans="5:14" ht="13.5" customHeight="1">
      <c r="E1500" s="209" t="s">
        <v>301</v>
      </c>
      <c r="F1500" s="209" t="s">
        <v>2546</v>
      </c>
      <c r="G1500" s="411" t="str">
        <f t="shared" si="17"/>
        <v>13-01</v>
      </c>
      <c r="H1500" s="273" t="e">
        <f ca="1">_xludf.IFNA(VLOOKUP(Aragon!E1500,'Kilter Holds'!$P$37:$AB$662,9,0),0)</f>
        <v>#NAME?</v>
      </c>
      <c r="I1500" s="274"/>
      <c r="J1500" s="274" t="e">
        <f t="shared" ca="1" si="15"/>
        <v>#NAME?</v>
      </c>
      <c r="K1500" s="274">
        <f t="shared" si="16"/>
        <v>0</v>
      </c>
      <c r="N1500" s="274"/>
    </row>
    <row r="1501" spans="5:14" ht="13.5" customHeight="1">
      <c r="E1501" s="209" t="s">
        <v>301</v>
      </c>
      <c r="F1501" s="209" t="s">
        <v>2546</v>
      </c>
      <c r="G1501" s="413" t="str">
        <f t="shared" si="17"/>
        <v>07-13</v>
      </c>
      <c r="H1501" s="273" t="e">
        <f ca="1">_xludf.IFNA(VLOOKUP(Aragon!E1501,'Kilter Holds'!$P$37:$AB$662,10,0),0)</f>
        <v>#NAME?</v>
      </c>
      <c r="I1501" s="274"/>
      <c r="J1501" s="274" t="e">
        <f t="shared" ca="1" si="15"/>
        <v>#NAME?</v>
      </c>
      <c r="K1501" s="274">
        <f t="shared" si="16"/>
        <v>0</v>
      </c>
      <c r="N1501" s="274"/>
    </row>
    <row r="1502" spans="5:14" ht="13.5" customHeight="1">
      <c r="E1502" s="209" t="s">
        <v>301</v>
      </c>
      <c r="F1502" s="209" t="s">
        <v>2546</v>
      </c>
      <c r="G1502" s="414" t="str">
        <f t="shared" si="17"/>
        <v>11-26</v>
      </c>
      <c r="H1502" s="273" t="e">
        <f ca="1">_xludf.IFNA(VLOOKUP(Aragon!E1502,'Kilter Holds'!$P$37:$AB$662,11,0),0)</f>
        <v>#NAME?</v>
      </c>
      <c r="I1502" s="274"/>
      <c r="J1502" s="274" t="e">
        <f t="shared" ca="1" si="15"/>
        <v>#NAME?</v>
      </c>
      <c r="K1502" s="274">
        <f t="shared" si="16"/>
        <v>0</v>
      </c>
      <c r="N1502" s="274"/>
    </row>
    <row r="1503" spans="5:14" ht="13.5" customHeight="1">
      <c r="E1503" s="209" t="s">
        <v>301</v>
      </c>
      <c r="F1503" s="209" t="s">
        <v>2546</v>
      </c>
      <c r="G1503" s="415" t="str">
        <f t="shared" si="17"/>
        <v>18-01</v>
      </c>
      <c r="H1503" s="273" t="e">
        <f ca="1">_xludf.IFNA(VLOOKUP(Aragon!E1503,'Kilter Holds'!$P$37:$AB$662,12,0),0)</f>
        <v>#NAME?</v>
      </c>
      <c r="I1503" s="274"/>
      <c r="J1503" s="274" t="e">
        <f t="shared" ca="1" si="15"/>
        <v>#NAME?</v>
      </c>
      <c r="K1503" s="274">
        <f t="shared" si="16"/>
        <v>0</v>
      </c>
      <c r="N1503" s="274"/>
    </row>
    <row r="1504" spans="5:14" ht="13.5" customHeight="1">
      <c r="E1504" s="209" t="s">
        <v>301</v>
      </c>
      <c r="F1504" s="209" t="s">
        <v>2546</v>
      </c>
      <c r="G1504" s="416" t="str">
        <f t="shared" si="17"/>
        <v>Color Code</v>
      </c>
      <c r="H1504" s="273" t="e">
        <f ca="1">_xludf.IFNA(VLOOKUP(Aragon!E1504,'Kilter Holds'!$P$37:$AB$662,13,0),0)</f>
        <v>#NAME?</v>
      </c>
      <c r="I1504" s="274"/>
      <c r="J1504" s="274" t="e">
        <f t="shared" ca="1" si="15"/>
        <v>#NAME?</v>
      </c>
      <c r="K1504" s="274">
        <f t="shared" si="16"/>
        <v>0</v>
      </c>
      <c r="N1504" s="274"/>
    </row>
    <row r="1505" spans="5:14" ht="13.5" customHeight="1">
      <c r="E1505" s="209" t="s">
        <v>303</v>
      </c>
      <c r="F1505" s="209" t="s">
        <v>2547</v>
      </c>
      <c r="G1505" s="406" t="str">
        <f t="shared" si="17"/>
        <v>11-12</v>
      </c>
      <c r="H1505" s="273" t="e">
        <f ca="1">_xludf.IFNA(VLOOKUP(Aragon!E1505,'Kilter Holds'!$P$37:$AB$662,5,0),0)</f>
        <v>#NAME?</v>
      </c>
      <c r="I1505" s="274"/>
      <c r="J1505" s="274" t="e">
        <f t="shared" ca="1" si="15"/>
        <v>#NAME?</v>
      </c>
      <c r="K1505" s="274">
        <f t="shared" si="16"/>
        <v>0</v>
      </c>
      <c r="N1505" s="274"/>
    </row>
    <row r="1506" spans="5:14" ht="13.5" customHeight="1">
      <c r="E1506" s="209" t="s">
        <v>303</v>
      </c>
      <c r="F1506" s="209" t="s">
        <v>2547</v>
      </c>
      <c r="G1506" s="408" t="str">
        <f t="shared" si="17"/>
        <v>14-01</v>
      </c>
      <c r="H1506" s="273" t="e">
        <f ca="1">_xludf.IFNA(VLOOKUP(Aragon!E1506,'Kilter Holds'!$P$37:$AB$662,6,0),0)</f>
        <v>#NAME?</v>
      </c>
      <c r="I1506" s="274"/>
      <c r="J1506" s="274" t="e">
        <f t="shared" ca="1" si="15"/>
        <v>#NAME?</v>
      </c>
      <c r="K1506" s="274">
        <f t="shared" si="16"/>
        <v>0</v>
      </c>
      <c r="N1506" s="274"/>
    </row>
    <row r="1507" spans="5:14" ht="13.5" customHeight="1">
      <c r="E1507" s="209" t="s">
        <v>303</v>
      </c>
      <c r="F1507" s="209" t="s">
        <v>2547</v>
      </c>
      <c r="G1507" s="409" t="str">
        <f t="shared" si="17"/>
        <v>15-12</v>
      </c>
      <c r="H1507" s="273" t="e">
        <f ca="1">_xludf.IFNA(VLOOKUP(Aragon!E1507,'Kilter Holds'!$P$37:$AB$662,7,0),0)</f>
        <v>#NAME?</v>
      </c>
      <c r="I1507" s="274"/>
      <c r="J1507" s="274" t="e">
        <f t="shared" ca="1" si="15"/>
        <v>#NAME?</v>
      </c>
      <c r="K1507" s="274">
        <f t="shared" si="16"/>
        <v>0</v>
      </c>
      <c r="N1507" s="274"/>
    </row>
    <row r="1508" spans="5:14" ht="13.5" customHeight="1">
      <c r="E1508" s="209" t="s">
        <v>303</v>
      </c>
      <c r="F1508" s="209" t="s">
        <v>2547</v>
      </c>
      <c r="G1508" s="410" t="str">
        <f t="shared" si="17"/>
        <v>16-16</v>
      </c>
      <c r="H1508" s="273" t="e">
        <f ca="1">_xludf.IFNA(VLOOKUP(Aragon!E1508,'Kilter Holds'!$P$37:$AB$662,8,0),0)</f>
        <v>#NAME?</v>
      </c>
      <c r="I1508" s="274"/>
      <c r="J1508" s="274" t="e">
        <f t="shared" ca="1" si="15"/>
        <v>#NAME?</v>
      </c>
      <c r="K1508" s="274">
        <f t="shared" si="16"/>
        <v>0</v>
      </c>
      <c r="N1508" s="274"/>
    </row>
    <row r="1509" spans="5:14" ht="13.5" customHeight="1">
      <c r="E1509" s="209" t="s">
        <v>303</v>
      </c>
      <c r="F1509" s="209" t="s">
        <v>2547</v>
      </c>
      <c r="G1509" s="411" t="str">
        <f t="shared" si="17"/>
        <v>13-01</v>
      </c>
      <c r="H1509" s="273" t="e">
        <f ca="1">_xludf.IFNA(VLOOKUP(Aragon!E1509,'Kilter Holds'!$P$37:$AB$662,9,0),0)</f>
        <v>#NAME?</v>
      </c>
      <c r="I1509" s="274"/>
      <c r="J1509" s="274" t="e">
        <f t="shared" ca="1" si="15"/>
        <v>#NAME?</v>
      </c>
      <c r="K1509" s="274">
        <f t="shared" si="16"/>
        <v>0</v>
      </c>
      <c r="N1509" s="274"/>
    </row>
    <row r="1510" spans="5:14" ht="13.5" customHeight="1">
      <c r="E1510" s="209" t="s">
        <v>303</v>
      </c>
      <c r="F1510" s="209" t="s">
        <v>2547</v>
      </c>
      <c r="G1510" s="413" t="str">
        <f t="shared" si="17"/>
        <v>07-13</v>
      </c>
      <c r="H1510" s="273" t="e">
        <f ca="1">_xludf.IFNA(VLOOKUP(Aragon!E1510,'Kilter Holds'!$P$37:$AB$662,10,0),0)</f>
        <v>#NAME?</v>
      </c>
      <c r="I1510" s="274"/>
      <c r="J1510" s="274" t="e">
        <f t="shared" ca="1" si="15"/>
        <v>#NAME?</v>
      </c>
      <c r="K1510" s="274">
        <f t="shared" si="16"/>
        <v>0</v>
      </c>
      <c r="N1510" s="274"/>
    </row>
    <row r="1511" spans="5:14" ht="13.5" customHeight="1">
      <c r="E1511" s="209" t="s">
        <v>303</v>
      </c>
      <c r="F1511" s="209" t="s">
        <v>2547</v>
      </c>
      <c r="G1511" s="414" t="str">
        <f t="shared" si="17"/>
        <v>11-26</v>
      </c>
      <c r="H1511" s="273" t="e">
        <f ca="1">_xludf.IFNA(VLOOKUP(Aragon!E1511,'Kilter Holds'!$P$37:$AB$662,11,0),0)</f>
        <v>#NAME?</v>
      </c>
      <c r="I1511" s="274"/>
      <c r="J1511" s="274" t="e">
        <f t="shared" ca="1" si="15"/>
        <v>#NAME?</v>
      </c>
      <c r="K1511" s="274">
        <f t="shared" si="16"/>
        <v>0</v>
      </c>
      <c r="N1511" s="274"/>
    </row>
    <row r="1512" spans="5:14" ht="13.5" customHeight="1">
      <c r="E1512" s="209" t="s">
        <v>303</v>
      </c>
      <c r="F1512" s="209" t="s">
        <v>2547</v>
      </c>
      <c r="G1512" s="415" t="str">
        <f t="shared" si="17"/>
        <v>18-01</v>
      </c>
      <c r="H1512" s="273" t="e">
        <f ca="1">_xludf.IFNA(VLOOKUP(Aragon!E1512,'Kilter Holds'!$P$37:$AB$662,12,0),0)</f>
        <v>#NAME?</v>
      </c>
      <c r="I1512" s="274"/>
      <c r="J1512" s="274" t="e">
        <f t="shared" ca="1" si="15"/>
        <v>#NAME?</v>
      </c>
      <c r="K1512" s="274">
        <f t="shared" si="16"/>
        <v>0</v>
      </c>
      <c r="N1512" s="274"/>
    </row>
    <row r="1513" spans="5:14" ht="13.5" customHeight="1">
      <c r="E1513" s="209" t="s">
        <v>303</v>
      </c>
      <c r="F1513" s="209" t="s">
        <v>2547</v>
      </c>
      <c r="G1513" s="416" t="str">
        <f t="shared" si="17"/>
        <v>Color Code</v>
      </c>
      <c r="H1513" s="273" t="e">
        <f ca="1">_xludf.IFNA(VLOOKUP(Aragon!E1513,'Kilter Holds'!$P$37:$AB$662,13,0),0)</f>
        <v>#NAME?</v>
      </c>
      <c r="I1513" s="274"/>
      <c r="J1513" s="274" t="e">
        <f t="shared" ca="1" si="15"/>
        <v>#NAME?</v>
      </c>
      <c r="K1513" s="274">
        <f t="shared" si="16"/>
        <v>0</v>
      </c>
      <c r="N1513" s="274"/>
    </row>
    <row r="1514" spans="5:14" ht="13.5" customHeight="1">
      <c r="E1514" s="209" t="s">
        <v>305</v>
      </c>
      <c r="F1514" s="209" t="s">
        <v>2548</v>
      </c>
      <c r="G1514" s="406" t="str">
        <f t="shared" si="17"/>
        <v>11-12</v>
      </c>
      <c r="H1514" s="273" t="e">
        <f ca="1">_xludf.IFNA(VLOOKUP(Aragon!E1514,'Kilter Holds'!$P$37:$AB$662,5,0),0)</f>
        <v>#NAME?</v>
      </c>
      <c r="I1514" s="274"/>
      <c r="J1514" s="274" t="e">
        <f t="shared" ca="1" si="15"/>
        <v>#NAME?</v>
      </c>
      <c r="K1514" s="274">
        <f t="shared" si="16"/>
        <v>0</v>
      </c>
      <c r="N1514" s="274"/>
    </row>
    <row r="1515" spans="5:14" ht="13.5" customHeight="1">
      <c r="E1515" s="209" t="s">
        <v>305</v>
      </c>
      <c r="F1515" s="209" t="s">
        <v>2548</v>
      </c>
      <c r="G1515" s="408" t="str">
        <f t="shared" si="17"/>
        <v>14-01</v>
      </c>
      <c r="H1515" s="273" t="e">
        <f ca="1">_xludf.IFNA(VLOOKUP(Aragon!E1515,'Kilter Holds'!$P$37:$AB$662,6,0),0)</f>
        <v>#NAME?</v>
      </c>
      <c r="I1515" s="274"/>
      <c r="J1515" s="274" t="e">
        <f t="shared" ca="1" si="15"/>
        <v>#NAME?</v>
      </c>
      <c r="K1515" s="274">
        <f t="shared" si="16"/>
        <v>0</v>
      </c>
      <c r="N1515" s="274"/>
    </row>
    <row r="1516" spans="5:14" ht="13.5" customHeight="1">
      <c r="E1516" s="209" t="s">
        <v>305</v>
      </c>
      <c r="F1516" s="209" t="s">
        <v>2548</v>
      </c>
      <c r="G1516" s="409" t="str">
        <f t="shared" si="17"/>
        <v>15-12</v>
      </c>
      <c r="H1516" s="273" t="e">
        <f ca="1">_xludf.IFNA(VLOOKUP(Aragon!E1516,'Kilter Holds'!$P$37:$AB$662,7,0),0)</f>
        <v>#NAME?</v>
      </c>
      <c r="I1516" s="274"/>
      <c r="J1516" s="274" t="e">
        <f t="shared" ca="1" si="15"/>
        <v>#NAME?</v>
      </c>
      <c r="K1516" s="274">
        <f t="shared" si="16"/>
        <v>0</v>
      </c>
      <c r="N1516" s="274"/>
    </row>
    <row r="1517" spans="5:14" ht="13.5" customHeight="1">
      <c r="E1517" s="209" t="s">
        <v>305</v>
      </c>
      <c r="F1517" s="209" t="s">
        <v>2548</v>
      </c>
      <c r="G1517" s="410" t="str">
        <f t="shared" si="17"/>
        <v>16-16</v>
      </c>
      <c r="H1517" s="273" t="e">
        <f ca="1">_xludf.IFNA(VLOOKUP(Aragon!E1517,'Kilter Holds'!$P$37:$AB$662,8,0),0)</f>
        <v>#NAME?</v>
      </c>
      <c r="I1517" s="274"/>
      <c r="J1517" s="274" t="e">
        <f t="shared" ca="1" si="15"/>
        <v>#NAME?</v>
      </c>
      <c r="K1517" s="274">
        <f t="shared" si="16"/>
        <v>0</v>
      </c>
      <c r="N1517" s="274"/>
    </row>
    <row r="1518" spans="5:14" ht="13.5" customHeight="1">
      <c r="E1518" s="209" t="s">
        <v>305</v>
      </c>
      <c r="F1518" s="209" t="s">
        <v>2548</v>
      </c>
      <c r="G1518" s="411" t="str">
        <f t="shared" si="17"/>
        <v>13-01</v>
      </c>
      <c r="H1518" s="273" t="e">
        <f ca="1">_xludf.IFNA(VLOOKUP(Aragon!E1518,'Kilter Holds'!$P$37:$AB$662,9,0),0)</f>
        <v>#NAME?</v>
      </c>
      <c r="I1518" s="274"/>
      <c r="J1518" s="274" t="e">
        <f t="shared" ca="1" si="15"/>
        <v>#NAME?</v>
      </c>
      <c r="K1518" s="274">
        <f t="shared" si="16"/>
        <v>0</v>
      </c>
      <c r="N1518" s="274"/>
    </row>
    <row r="1519" spans="5:14" ht="13.5" customHeight="1">
      <c r="E1519" s="209" t="s">
        <v>305</v>
      </c>
      <c r="F1519" s="209" t="s">
        <v>2548</v>
      </c>
      <c r="G1519" s="413" t="str">
        <f t="shared" si="17"/>
        <v>07-13</v>
      </c>
      <c r="H1519" s="273" t="e">
        <f ca="1">_xludf.IFNA(VLOOKUP(Aragon!E1519,'Kilter Holds'!$P$37:$AB$662,10,0),0)</f>
        <v>#NAME?</v>
      </c>
      <c r="I1519" s="274"/>
      <c r="J1519" s="274" t="e">
        <f t="shared" ca="1" si="15"/>
        <v>#NAME?</v>
      </c>
      <c r="K1519" s="274">
        <f t="shared" si="16"/>
        <v>0</v>
      </c>
      <c r="N1519" s="274"/>
    </row>
    <row r="1520" spans="5:14" ht="13.5" customHeight="1">
      <c r="E1520" s="209" t="s">
        <v>305</v>
      </c>
      <c r="F1520" s="209" t="s">
        <v>2548</v>
      </c>
      <c r="G1520" s="414" t="str">
        <f t="shared" si="17"/>
        <v>11-26</v>
      </c>
      <c r="H1520" s="273" t="e">
        <f ca="1">_xludf.IFNA(VLOOKUP(Aragon!E1520,'Kilter Holds'!$P$37:$AB$662,11,0),0)</f>
        <v>#NAME?</v>
      </c>
      <c r="I1520" s="274"/>
      <c r="J1520" s="274" t="e">
        <f t="shared" ca="1" si="15"/>
        <v>#NAME?</v>
      </c>
      <c r="K1520" s="274">
        <f t="shared" si="16"/>
        <v>0</v>
      </c>
      <c r="N1520" s="274"/>
    </row>
    <row r="1521" spans="5:14" ht="13.5" customHeight="1">
      <c r="E1521" s="209" t="s">
        <v>305</v>
      </c>
      <c r="F1521" s="209" t="s">
        <v>2548</v>
      </c>
      <c r="G1521" s="415" t="str">
        <f t="shared" si="17"/>
        <v>18-01</v>
      </c>
      <c r="H1521" s="273" t="e">
        <f ca="1">_xludf.IFNA(VLOOKUP(Aragon!E1521,'Kilter Holds'!$P$37:$AB$662,12,0),0)</f>
        <v>#NAME?</v>
      </c>
      <c r="I1521" s="274"/>
      <c r="J1521" s="274" t="e">
        <f t="shared" ca="1" si="15"/>
        <v>#NAME?</v>
      </c>
      <c r="K1521" s="274">
        <f t="shared" si="16"/>
        <v>0</v>
      </c>
      <c r="N1521" s="274"/>
    </row>
    <row r="1522" spans="5:14" ht="13.5" customHeight="1">
      <c r="E1522" s="209" t="s">
        <v>305</v>
      </c>
      <c r="F1522" s="209" t="s">
        <v>2548</v>
      </c>
      <c r="G1522" s="416" t="str">
        <f t="shared" si="17"/>
        <v>Color Code</v>
      </c>
      <c r="H1522" s="273" t="e">
        <f ca="1">_xludf.IFNA(VLOOKUP(Aragon!E1522,'Kilter Holds'!$P$37:$AB$662,13,0),0)</f>
        <v>#NAME?</v>
      </c>
      <c r="I1522" s="274"/>
      <c r="J1522" s="274" t="e">
        <f t="shared" ca="1" si="15"/>
        <v>#NAME?</v>
      </c>
      <c r="K1522" s="274">
        <f t="shared" si="16"/>
        <v>0</v>
      </c>
      <c r="N1522" s="274"/>
    </row>
    <row r="1523" spans="5:14" ht="13.5" customHeight="1">
      <c r="E1523" s="209" t="s">
        <v>331</v>
      </c>
      <c r="F1523" s="209" t="s">
        <v>2549</v>
      </c>
      <c r="G1523" s="406" t="str">
        <f t="shared" si="17"/>
        <v>11-12</v>
      </c>
      <c r="H1523" s="273" t="e">
        <f ca="1">_xludf.IFNA(VLOOKUP(Aragon!E1523,'Kilter Holds'!$P$37:$AB$662,5,0),0)</f>
        <v>#NAME?</v>
      </c>
      <c r="I1523" s="274"/>
      <c r="J1523" s="274" t="e">
        <f t="shared" ca="1" si="15"/>
        <v>#NAME?</v>
      </c>
      <c r="K1523" s="274">
        <f t="shared" si="16"/>
        <v>0</v>
      </c>
      <c r="N1523" s="274"/>
    </row>
    <row r="1524" spans="5:14" ht="13.5" customHeight="1">
      <c r="E1524" s="209" t="s">
        <v>331</v>
      </c>
      <c r="F1524" s="209" t="s">
        <v>2549</v>
      </c>
      <c r="G1524" s="408" t="str">
        <f t="shared" si="17"/>
        <v>14-01</v>
      </c>
      <c r="H1524" s="273" t="e">
        <f ca="1">_xludf.IFNA(VLOOKUP(Aragon!E1524,'Kilter Holds'!$P$37:$AB$662,6,0),0)</f>
        <v>#NAME?</v>
      </c>
      <c r="I1524" s="274"/>
      <c r="J1524" s="274" t="e">
        <f t="shared" ca="1" si="15"/>
        <v>#NAME?</v>
      </c>
      <c r="K1524" s="274">
        <f t="shared" si="16"/>
        <v>0</v>
      </c>
      <c r="N1524" s="274"/>
    </row>
    <row r="1525" spans="5:14" ht="13.5" customHeight="1">
      <c r="E1525" s="209" t="s">
        <v>331</v>
      </c>
      <c r="F1525" s="209" t="s">
        <v>2549</v>
      </c>
      <c r="G1525" s="409" t="str">
        <f t="shared" si="17"/>
        <v>15-12</v>
      </c>
      <c r="H1525" s="273" t="e">
        <f ca="1">_xludf.IFNA(VLOOKUP(Aragon!E1525,'Kilter Holds'!$P$37:$AB$662,7,0),0)</f>
        <v>#NAME?</v>
      </c>
      <c r="I1525" s="274"/>
      <c r="J1525" s="274" t="e">
        <f t="shared" ca="1" si="15"/>
        <v>#NAME?</v>
      </c>
      <c r="K1525" s="274">
        <f t="shared" si="16"/>
        <v>0</v>
      </c>
      <c r="N1525" s="274"/>
    </row>
    <row r="1526" spans="5:14" ht="13.5" customHeight="1">
      <c r="E1526" s="209" t="s">
        <v>331</v>
      </c>
      <c r="F1526" s="209" t="s">
        <v>2549</v>
      </c>
      <c r="G1526" s="410" t="str">
        <f t="shared" si="17"/>
        <v>16-16</v>
      </c>
      <c r="H1526" s="273" t="e">
        <f ca="1">_xludf.IFNA(VLOOKUP(Aragon!E1526,'Kilter Holds'!$P$37:$AB$662,8,0),0)</f>
        <v>#NAME?</v>
      </c>
      <c r="I1526" s="274"/>
      <c r="J1526" s="274" t="e">
        <f t="shared" ca="1" si="15"/>
        <v>#NAME?</v>
      </c>
      <c r="K1526" s="274">
        <f t="shared" si="16"/>
        <v>0</v>
      </c>
      <c r="N1526" s="274"/>
    </row>
    <row r="1527" spans="5:14" ht="13.5" customHeight="1">
      <c r="E1527" s="209" t="s">
        <v>331</v>
      </c>
      <c r="F1527" s="209" t="s">
        <v>2549</v>
      </c>
      <c r="G1527" s="411" t="str">
        <f t="shared" si="17"/>
        <v>13-01</v>
      </c>
      <c r="H1527" s="273" t="e">
        <f ca="1">_xludf.IFNA(VLOOKUP(Aragon!E1527,'Kilter Holds'!$P$37:$AB$662,9,0),0)</f>
        <v>#NAME?</v>
      </c>
      <c r="I1527" s="274"/>
      <c r="J1527" s="274" t="e">
        <f t="shared" ca="1" si="15"/>
        <v>#NAME?</v>
      </c>
      <c r="K1527" s="274">
        <f t="shared" si="16"/>
        <v>0</v>
      </c>
      <c r="N1527" s="274"/>
    </row>
    <row r="1528" spans="5:14" ht="13.5" customHeight="1">
      <c r="E1528" s="209" t="s">
        <v>331</v>
      </c>
      <c r="F1528" s="209" t="s">
        <v>2549</v>
      </c>
      <c r="G1528" s="413" t="str">
        <f t="shared" si="17"/>
        <v>07-13</v>
      </c>
      <c r="H1528" s="273" t="e">
        <f ca="1">_xludf.IFNA(VLOOKUP(Aragon!E1528,'Kilter Holds'!$P$37:$AB$662,10,0),0)</f>
        <v>#NAME?</v>
      </c>
      <c r="I1528" s="274"/>
      <c r="J1528" s="274" t="e">
        <f t="shared" ca="1" si="15"/>
        <v>#NAME?</v>
      </c>
      <c r="K1528" s="274">
        <f t="shared" si="16"/>
        <v>0</v>
      </c>
      <c r="N1528" s="274"/>
    </row>
    <row r="1529" spans="5:14" ht="13.5" customHeight="1">
      <c r="E1529" s="209" t="s">
        <v>331</v>
      </c>
      <c r="F1529" s="209" t="s">
        <v>2549</v>
      </c>
      <c r="G1529" s="414" t="str">
        <f t="shared" si="17"/>
        <v>11-26</v>
      </c>
      <c r="H1529" s="273" t="e">
        <f ca="1">_xludf.IFNA(VLOOKUP(Aragon!E1529,'Kilter Holds'!$P$37:$AB$662,11,0),0)</f>
        <v>#NAME?</v>
      </c>
      <c r="I1529" s="274"/>
      <c r="J1529" s="274" t="e">
        <f t="shared" ca="1" si="15"/>
        <v>#NAME?</v>
      </c>
      <c r="K1529" s="274">
        <f t="shared" si="16"/>
        <v>0</v>
      </c>
      <c r="N1529" s="274"/>
    </row>
    <row r="1530" spans="5:14" ht="13.5" customHeight="1">
      <c r="E1530" s="209" t="s">
        <v>331</v>
      </c>
      <c r="F1530" s="209" t="s">
        <v>2549</v>
      </c>
      <c r="G1530" s="415" t="str">
        <f t="shared" si="17"/>
        <v>18-01</v>
      </c>
      <c r="H1530" s="273" t="e">
        <f ca="1">_xludf.IFNA(VLOOKUP(Aragon!E1530,'Kilter Holds'!$P$37:$AB$662,12,0),0)</f>
        <v>#NAME?</v>
      </c>
      <c r="I1530" s="274"/>
      <c r="J1530" s="274" t="e">
        <f t="shared" ca="1" si="15"/>
        <v>#NAME?</v>
      </c>
      <c r="K1530" s="274">
        <f t="shared" si="16"/>
        <v>0</v>
      </c>
      <c r="N1530" s="274"/>
    </row>
    <row r="1531" spans="5:14" ht="13.5" customHeight="1">
      <c r="E1531" s="209" t="s">
        <v>331</v>
      </c>
      <c r="F1531" s="209" t="s">
        <v>2549</v>
      </c>
      <c r="G1531" s="416" t="str">
        <f t="shared" si="17"/>
        <v>Color Code</v>
      </c>
      <c r="H1531" s="273" t="e">
        <f ca="1">_xludf.IFNA(VLOOKUP(Aragon!E1531,'Kilter Holds'!$P$37:$AB$662,13,0),0)</f>
        <v>#NAME?</v>
      </c>
      <c r="I1531" s="274"/>
      <c r="J1531" s="274" t="e">
        <f t="shared" ca="1" si="15"/>
        <v>#NAME?</v>
      </c>
      <c r="K1531" s="274">
        <f t="shared" si="16"/>
        <v>0</v>
      </c>
      <c r="N1531" s="274"/>
    </row>
    <row r="1532" spans="5:14" ht="13.5" customHeight="1">
      <c r="E1532" s="209" t="s">
        <v>307</v>
      </c>
      <c r="F1532" s="209" t="s">
        <v>2550</v>
      </c>
      <c r="G1532" s="406" t="str">
        <f t="shared" si="17"/>
        <v>11-12</v>
      </c>
      <c r="H1532" s="273" t="e">
        <f ca="1">_xludf.IFNA(VLOOKUP(Aragon!E1532,'Kilter Holds'!$P$37:$AB$662,5,0),0)</f>
        <v>#NAME?</v>
      </c>
      <c r="I1532" s="274"/>
      <c r="J1532" s="274" t="e">
        <f t="shared" ref="J1532:J1786" ca="1" si="18">H1532*I1532</f>
        <v>#NAME?</v>
      </c>
      <c r="K1532" s="274">
        <f t="shared" ref="K1532:K1786" si="19">IF($V$11="Y",J1532*0.05,0)</f>
        <v>0</v>
      </c>
      <c r="N1532" s="274"/>
    </row>
    <row r="1533" spans="5:14" ht="13.5" customHeight="1">
      <c r="E1533" s="209" t="s">
        <v>307</v>
      </c>
      <c r="F1533" s="209" t="s">
        <v>2550</v>
      </c>
      <c r="G1533" s="408" t="str">
        <f t="shared" si="17"/>
        <v>14-01</v>
      </c>
      <c r="H1533" s="273" t="e">
        <f ca="1">_xludf.IFNA(VLOOKUP(Aragon!E1533,'Kilter Holds'!$P$37:$AB$662,6,0),0)</f>
        <v>#NAME?</v>
      </c>
      <c r="I1533" s="274"/>
      <c r="J1533" s="274" t="e">
        <f t="shared" ca="1" si="18"/>
        <v>#NAME?</v>
      </c>
      <c r="K1533" s="274">
        <f t="shared" si="19"/>
        <v>0</v>
      </c>
      <c r="N1533" s="274"/>
    </row>
    <row r="1534" spans="5:14" ht="13.5" customHeight="1">
      <c r="E1534" s="209" t="s">
        <v>307</v>
      </c>
      <c r="F1534" s="209" t="s">
        <v>2550</v>
      </c>
      <c r="G1534" s="409" t="str">
        <f t="shared" si="17"/>
        <v>15-12</v>
      </c>
      <c r="H1534" s="273" t="e">
        <f ca="1">_xludf.IFNA(VLOOKUP(Aragon!E1534,'Kilter Holds'!$P$37:$AB$662,7,0),0)</f>
        <v>#NAME?</v>
      </c>
      <c r="I1534" s="274"/>
      <c r="J1534" s="274" t="e">
        <f t="shared" ca="1" si="18"/>
        <v>#NAME?</v>
      </c>
      <c r="K1534" s="274">
        <f t="shared" si="19"/>
        <v>0</v>
      </c>
      <c r="N1534" s="274"/>
    </row>
    <row r="1535" spans="5:14" ht="13.5" customHeight="1">
      <c r="E1535" s="209" t="s">
        <v>307</v>
      </c>
      <c r="F1535" s="209" t="s">
        <v>2550</v>
      </c>
      <c r="G1535" s="410" t="str">
        <f t="shared" si="17"/>
        <v>16-16</v>
      </c>
      <c r="H1535" s="273" t="e">
        <f ca="1">_xludf.IFNA(VLOOKUP(Aragon!E1535,'Kilter Holds'!$P$37:$AB$662,8,0),0)</f>
        <v>#NAME?</v>
      </c>
      <c r="I1535" s="274"/>
      <c r="J1535" s="274" t="e">
        <f t="shared" ca="1" si="18"/>
        <v>#NAME?</v>
      </c>
      <c r="K1535" s="274">
        <f t="shared" si="19"/>
        <v>0</v>
      </c>
      <c r="N1535" s="274"/>
    </row>
    <row r="1536" spans="5:14" ht="13.5" customHeight="1">
      <c r="E1536" s="209" t="s">
        <v>307</v>
      </c>
      <c r="F1536" s="209" t="s">
        <v>2550</v>
      </c>
      <c r="G1536" s="411" t="str">
        <f t="shared" si="17"/>
        <v>13-01</v>
      </c>
      <c r="H1536" s="273" t="e">
        <f ca="1">_xludf.IFNA(VLOOKUP(Aragon!E1536,'Kilter Holds'!$P$37:$AB$662,9,0),0)</f>
        <v>#NAME?</v>
      </c>
      <c r="I1536" s="274"/>
      <c r="J1536" s="274" t="e">
        <f t="shared" ca="1" si="18"/>
        <v>#NAME?</v>
      </c>
      <c r="K1536" s="274">
        <f t="shared" si="19"/>
        <v>0</v>
      </c>
      <c r="N1536" s="274"/>
    </row>
    <row r="1537" spans="5:14" ht="13.5" customHeight="1">
      <c r="E1537" s="209" t="s">
        <v>307</v>
      </c>
      <c r="F1537" s="209" t="s">
        <v>2550</v>
      </c>
      <c r="G1537" s="413" t="str">
        <f t="shared" si="17"/>
        <v>07-13</v>
      </c>
      <c r="H1537" s="273" t="e">
        <f ca="1">_xludf.IFNA(VLOOKUP(Aragon!E1537,'Kilter Holds'!$P$37:$AB$662,10,0),0)</f>
        <v>#NAME?</v>
      </c>
      <c r="I1537" s="274"/>
      <c r="J1537" s="274" t="e">
        <f t="shared" ca="1" si="18"/>
        <v>#NAME?</v>
      </c>
      <c r="K1537" s="274">
        <f t="shared" si="19"/>
        <v>0</v>
      </c>
      <c r="N1537" s="274"/>
    </row>
    <row r="1538" spans="5:14" ht="13.5" customHeight="1">
      <c r="E1538" s="209" t="s">
        <v>307</v>
      </c>
      <c r="F1538" s="209" t="s">
        <v>2550</v>
      </c>
      <c r="G1538" s="414" t="str">
        <f t="shared" si="17"/>
        <v>11-26</v>
      </c>
      <c r="H1538" s="273" t="e">
        <f ca="1">_xludf.IFNA(VLOOKUP(Aragon!E1538,'Kilter Holds'!$P$37:$AB$662,11,0),0)</f>
        <v>#NAME?</v>
      </c>
      <c r="I1538" s="274"/>
      <c r="J1538" s="274" t="e">
        <f t="shared" ca="1" si="18"/>
        <v>#NAME?</v>
      </c>
      <c r="K1538" s="274">
        <f t="shared" si="19"/>
        <v>0</v>
      </c>
      <c r="N1538" s="274"/>
    </row>
    <row r="1539" spans="5:14" ht="13.5" customHeight="1">
      <c r="E1539" s="209" t="s">
        <v>307</v>
      </c>
      <c r="F1539" s="209" t="s">
        <v>2550</v>
      </c>
      <c r="G1539" s="415" t="str">
        <f t="shared" si="17"/>
        <v>18-01</v>
      </c>
      <c r="H1539" s="273" t="e">
        <f ca="1">_xludf.IFNA(VLOOKUP(Aragon!E1539,'Kilter Holds'!$P$37:$AB$662,12,0),0)</f>
        <v>#NAME?</v>
      </c>
      <c r="I1539" s="274"/>
      <c r="J1539" s="274" t="e">
        <f t="shared" ca="1" si="18"/>
        <v>#NAME?</v>
      </c>
      <c r="K1539" s="274">
        <f t="shared" si="19"/>
        <v>0</v>
      </c>
      <c r="N1539" s="274"/>
    </row>
    <row r="1540" spans="5:14" ht="13.5" customHeight="1">
      <c r="E1540" s="209" t="s">
        <v>307</v>
      </c>
      <c r="F1540" s="209" t="s">
        <v>2550</v>
      </c>
      <c r="G1540" s="416" t="str">
        <f t="shared" si="17"/>
        <v>Color Code</v>
      </c>
      <c r="H1540" s="273" t="e">
        <f ca="1">_xludf.IFNA(VLOOKUP(Aragon!E1540,'Kilter Holds'!$P$37:$AB$662,13,0),0)</f>
        <v>#NAME?</v>
      </c>
      <c r="I1540" s="274"/>
      <c r="J1540" s="274" t="e">
        <f t="shared" ca="1" si="18"/>
        <v>#NAME?</v>
      </c>
      <c r="K1540" s="274">
        <f t="shared" si="19"/>
        <v>0</v>
      </c>
      <c r="N1540" s="274"/>
    </row>
    <row r="1541" spans="5:14" ht="13.5" customHeight="1">
      <c r="E1541" s="209" t="s">
        <v>357</v>
      </c>
      <c r="F1541" s="209" t="s">
        <v>2551</v>
      </c>
      <c r="G1541" s="406" t="str">
        <f t="shared" ref="G1541:G1795" si="20">G1532</f>
        <v>11-12</v>
      </c>
      <c r="H1541" s="273" t="e">
        <f ca="1">_xludf.IFNA(VLOOKUP(Aragon!E1541,'Kilter Holds'!$P$37:$AB$662,5,0),0)</f>
        <v>#NAME?</v>
      </c>
      <c r="I1541" s="274"/>
      <c r="J1541" s="274" t="e">
        <f t="shared" ca="1" si="18"/>
        <v>#NAME?</v>
      </c>
      <c r="K1541" s="274">
        <f t="shared" si="19"/>
        <v>0</v>
      </c>
      <c r="N1541" s="274"/>
    </row>
    <row r="1542" spans="5:14" ht="13.5" customHeight="1">
      <c r="E1542" s="209" t="s">
        <v>357</v>
      </c>
      <c r="F1542" s="209" t="s">
        <v>2551</v>
      </c>
      <c r="G1542" s="408" t="str">
        <f t="shared" si="20"/>
        <v>14-01</v>
      </c>
      <c r="H1542" s="273" t="e">
        <f ca="1">_xludf.IFNA(VLOOKUP(Aragon!E1542,'Kilter Holds'!$P$37:$AB$662,6,0),0)</f>
        <v>#NAME?</v>
      </c>
      <c r="I1542" s="274"/>
      <c r="J1542" s="274" t="e">
        <f t="shared" ca="1" si="18"/>
        <v>#NAME?</v>
      </c>
      <c r="K1542" s="274">
        <f t="shared" si="19"/>
        <v>0</v>
      </c>
      <c r="N1542" s="274"/>
    </row>
    <row r="1543" spans="5:14" ht="13.5" customHeight="1">
      <c r="E1543" s="209" t="s">
        <v>357</v>
      </c>
      <c r="F1543" s="209" t="s">
        <v>2551</v>
      </c>
      <c r="G1543" s="409" t="str">
        <f t="shared" si="20"/>
        <v>15-12</v>
      </c>
      <c r="H1543" s="273" t="e">
        <f ca="1">_xludf.IFNA(VLOOKUP(Aragon!E1543,'Kilter Holds'!$P$37:$AB$662,7,0),0)</f>
        <v>#NAME?</v>
      </c>
      <c r="I1543" s="274"/>
      <c r="J1543" s="274" t="e">
        <f t="shared" ca="1" si="18"/>
        <v>#NAME?</v>
      </c>
      <c r="K1543" s="274">
        <f t="shared" si="19"/>
        <v>0</v>
      </c>
      <c r="N1543" s="274"/>
    </row>
    <row r="1544" spans="5:14" ht="13.5" customHeight="1">
      <c r="E1544" s="209" t="s">
        <v>357</v>
      </c>
      <c r="F1544" s="209" t="s">
        <v>2551</v>
      </c>
      <c r="G1544" s="410" t="str">
        <f t="shared" si="20"/>
        <v>16-16</v>
      </c>
      <c r="H1544" s="273" t="e">
        <f ca="1">_xludf.IFNA(VLOOKUP(Aragon!E1544,'Kilter Holds'!$P$37:$AB$662,8,0),0)</f>
        <v>#NAME?</v>
      </c>
      <c r="I1544" s="274"/>
      <c r="J1544" s="274" t="e">
        <f t="shared" ca="1" si="18"/>
        <v>#NAME?</v>
      </c>
      <c r="K1544" s="274">
        <f t="shared" si="19"/>
        <v>0</v>
      </c>
      <c r="N1544" s="274"/>
    </row>
    <row r="1545" spans="5:14" ht="13.5" customHeight="1">
      <c r="E1545" s="209" t="s">
        <v>357</v>
      </c>
      <c r="F1545" s="209" t="s">
        <v>2551</v>
      </c>
      <c r="G1545" s="411" t="str">
        <f t="shared" si="20"/>
        <v>13-01</v>
      </c>
      <c r="H1545" s="273" t="e">
        <f ca="1">_xludf.IFNA(VLOOKUP(Aragon!E1545,'Kilter Holds'!$P$37:$AB$662,9,0),0)</f>
        <v>#NAME?</v>
      </c>
      <c r="I1545" s="274"/>
      <c r="J1545" s="274" t="e">
        <f t="shared" ca="1" si="18"/>
        <v>#NAME?</v>
      </c>
      <c r="K1545" s="274">
        <f t="shared" si="19"/>
        <v>0</v>
      </c>
      <c r="N1545" s="274"/>
    </row>
    <row r="1546" spans="5:14" ht="13.5" customHeight="1">
      <c r="E1546" s="209" t="s">
        <v>357</v>
      </c>
      <c r="F1546" s="209" t="s">
        <v>2551</v>
      </c>
      <c r="G1546" s="413" t="str">
        <f t="shared" si="20"/>
        <v>07-13</v>
      </c>
      <c r="H1546" s="273" t="e">
        <f ca="1">_xludf.IFNA(VLOOKUP(Aragon!E1546,'Kilter Holds'!$P$37:$AB$662,10,0),0)</f>
        <v>#NAME?</v>
      </c>
      <c r="I1546" s="274"/>
      <c r="J1546" s="274" t="e">
        <f t="shared" ca="1" si="18"/>
        <v>#NAME?</v>
      </c>
      <c r="K1546" s="274">
        <f t="shared" si="19"/>
        <v>0</v>
      </c>
      <c r="N1546" s="274"/>
    </row>
    <row r="1547" spans="5:14" ht="13.5" customHeight="1">
      <c r="E1547" s="209" t="s">
        <v>357</v>
      </c>
      <c r="F1547" s="209" t="s">
        <v>2551</v>
      </c>
      <c r="G1547" s="414" t="str">
        <f t="shared" si="20"/>
        <v>11-26</v>
      </c>
      <c r="H1547" s="273" t="e">
        <f ca="1">_xludf.IFNA(VLOOKUP(Aragon!E1547,'Kilter Holds'!$P$37:$AB$662,11,0),0)</f>
        <v>#NAME?</v>
      </c>
      <c r="I1547" s="274"/>
      <c r="J1547" s="274" t="e">
        <f t="shared" ca="1" si="18"/>
        <v>#NAME?</v>
      </c>
      <c r="K1547" s="274">
        <f t="shared" si="19"/>
        <v>0</v>
      </c>
      <c r="N1547" s="274"/>
    </row>
    <row r="1548" spans="5:14" ht="13.5" customHeight="1">
      <c r="E1548" s="209" t="s">
        <v>357</v>
      </c>
      <c r="F1548" s="209" t="s">
        <v>2551</v>
      </c>
      <c r="G1548" s="415" t="str">
        <f t="shared" si="20"/>
        <v>18-01</v>
      </c>
      <c r="H1548" s="273" t="e">
        <f ca="1">_xludf.IFNA(VLOOKUP(Aragon!E1548,'Kilter Holds'!$P$37:$AB$662,12,0),0)</f>
        <v>#NAME?</v>
      </c>
      <c r="I1548" s="274"/>
      <c r="J1548" s="274" t="e">
        <f t="shared" ca="1" si="18"/>
        <v>#NAME?</v>
      </c>
      <c r="K1548" s="274">
        <f t="shared" si="19"/>
        <v>0</v>
      </c>
      <c r="N1548" s="274"/>
    </row>
    <row r="1549" spans="5:14" ht="13.5" customHeight="1">
      <c r="E1549" s="209" t="s">
        <v>357</v>
      </c>
      <c r="F1549" s="209" t="s">
        <v>2551</v>
      </c>
      <c r="G1549" s="416" t="str">
        <f t="shared" si="20"/>
        <v>Color Code</v>
      </c>
      <c r="H1549" s="273" t="e">
        <f ca="1">_xludf.IFNA(VLOOKUP(Aragon!E1549,'Kilter Holds'!$P$37:$AB$662,13,0),0)</f>
        <v>#NAME?</v>
      </c>
      <c r="I1549" s="274"/>
      <c r="J1549" s="274" t="e">
        <f t="shared" ca="1" si="18"/>
        <v>#NAME?</v>
      </c>
      <c r="K1549" s="274">
        <f t="shared" si="19"/>
        <v>0</v>
      </c>
      <c r="N1549" s="274"/>
    </row>
    <row r="1550" spans="5:14" ht="13.5" customHeight="1">
      <c r="E1550" s="209" t="s">
        <v>272</v>
      </c>
      <c r="F1550" s="209" t="s">
        <v>2552</v>
      </c>
      <c r="G1550" s="406" t="str">
        <f t="shared" si="20"/>
        <v>11-12</v>
      </c>
      <c r="H1550" s="273" t="e">
        <f ca="1">_xludf.IFNA(VLOOKUP(Aragon!E1550,'Kilter Holds'!$P$37:$AB$662,5,0),0)</f>
        <v>#NAME?</v>
      </c>
      <c r="I1550" s="274"/>
      <c r="J1550" s="274" t="e">
        <f t="shared" ca="1" si="18"/>
        <v>#NAME?</v>
      </c>
      <c r="K1550" s="274">
        <f t="shared" si="19"/>
        <v>0</v>
      </c>
      <c r="N1550" s="274"/>
    </row>
    <row r="1551" spans="5:14" ht="13.5" customHeight="1">
      <c r="E1551" s="209" t="s">
        <v>272</v>
      </c>
      <c r="F1551" s="209" t="s">
        <v>2552</v>
      </c>
      <c r="G1551" s="408" t="str">
        <f t="shared" si="20"/>
        <v>14-01</v>
      </c>
      <c r="H1551" s="273" t="e">
        <f ca="1">_xludf.IFNA(VLOOKUP(Aragon!E1551,'Kilter Holds'!$P$37:$AB$662,6,0),0)</f>
        <v>#NAME?</v>
      </c>
      <c r="I1551" s="274"/>
      <c r="J1551" s="274" t="e">
        <f t="shared" ca="1" si="18"/>
        <v>#NAME?</v>
      </c>
      <c r="K1551" s="274">
        <f t="shared" si="19"/>
        <v>0</v>
      </c>
      <c r="N1551" s="274"/>
    </row>
    <row r="1552" spans="5:14" ht="13.5" customHeight="1">
      <c r="E1552" s="209" t="s">
        <v>272</v>
      </c>
      <c r="F1552" s="209" t="s">
        <v>2552</v>
      </c>
      <c r="G1552" s="409" t="str">
        <f t="shared" si="20"/>
        <v>15-12</v>
      </c>
      <c r="H1552" s="273" t="e">
        <f ca="1">_xludf.IFNA(VLOOKUP(Aragon!E1552,'Kilter Holds'!$P$37:$AB$662,7,0),0)</f>
        <v>#NAME?</v>
      </c>
      <c r="I1552" s="274"/>
      <c r="J1552" s="274" t="e">
        <f t="shared" ca="1" si="18"/>
        <v>#NAME?</v>
      </c>
      <c r="K1552" s="274">
        <f t="shared" si="19"/>
        <v>0</v>
      </c>
      <c r="N1552" s="274"/>
    </row>
    <row r="1553" spans="5:14" ht="13.5" customHeight="1">
      <c r="E1553" s="209" t="s">
        <v>272</v>
      </c>
      <c r="F1553" s="209" t="s">
        <v>2552</v>
      </c>
      <c r="G1553" s="410" t="str">
        <f t="shared" si="20"/>
        <v>16-16</v>
      </c>
      <c r="H1553" s="273" t="e">
        <f ca="1">_xludf.IFNA(VLOOKUP(Aragon!E1553,'Kilter Holds'!$P$37:$AB$662,8,0),0)</f>
        <v>#NAME?</v>
      </c>
      <c r="I1553" s="274"/>
      <c r="J1553" s="274" t="e">
        <f t="shared" ca="1" si="18"/>
        <v>#NAME?</v>
      </c>
      <c r="K1553" s="274">
        <f t="shared" si="19"/>
        <v>0</v>
      </c>
      <c r="N1553" s="274"/>
    </row>
    <row r="1554" spans="5:14" ht="13.5" customHeight="1">
      <c r="E1554" s="209" t="s">
        <v>272</v>
      </c>
      <c r="F1554" s="209" t="s">
        <v>2552</v>
      </c>
      <c r="G1554" s="411" t="str">
        <f t="shared" si="20"/>
        <v>13-01</v>
      </c>
      <c r="H1554" s="273" t="e">
        <f ca="1">_xludf.IFNA(VLOOKUP(Aragon!E1554,'Kilter Holds'!$P$37:$AB$662,9,0),0)</f>
        <v>#NAME?</v>
      </c>
      <c r="I1554" s="274"/>
      <c r="J1554" s="274" t="e">
        <f t="shared" ca="1" si="18"/>
        <v>#NAME?</v>
      </c>
      <c r="K1554" s="274">
        <f t="shared" si="19"/>
        <v>0</v>
      </c>
      <c r="N1554" s="274"/>
    </row>
    <row r="1555" spans="5:14" ht="13.5" customHeight="1">
      <c r="E1555" s="209" t="s">
        <v>272</v>
      </c>
      <c r="F1555" s="209" t="s">
        <v>2552</v>
      </c>
      <c r="G1555" s="413" t="str">
        <f t="shared" si="20"/>
        <v>07-13</v>
      </c>
      <c r="H1555" s="273" t="e">
        <f ca="1">_xludf.IFNA(VLOOKUP(Aragon!E1555,'Kilter Holds'!$P$37:$AB$662,10,0),0)</f>
        <v>#NAME?</v>
      </c>
      <c r="I1555" s="274"/>
      <c r="J1555" s="274" t="e">
        <f t="shared" ca="1" si="18"/>
        <v>#NAME?</v>
      </c>
      <c r="K1555" s="274">
        <f t="shared" si="19"/>
        <v>0</v>
      </c>
      <c r="N1555" s="274"/>
    </row>
    <row r="1556" spans="5:14" ht="13.5" customHeight="1">
      <c r="E1556" s="209" t="s">
        <v>272</v>
      </c>
      <c r="F1556" s="209" t="s">
        <v>2552</v>
      </c>
      <c r="G1556" s="414" t="str">
        <f t="shared" si="20"/>
        <v>11-26</v>
      </c>
      <c r="H1556" s="273" t="e">
        <f ca="1">_xludf.IFNA(VLOOKUP(Aragon!E1556,'Kilter Holds'!$P$37:$AB$662,11,0),0)</f>
        <v>#NAME?</v>
      </c>
      <c r="I1556" s="274"/>
      <c r="J1556" s="274" t="e">
        <f t="shared" ca="1" si="18"/>
        <v>#NAME?</v>
      </c>
      <c r="K1556" s="274">
        <f t="shared" si="19"/>
        <v>0</v>
      </c>
      <c r="N1556" s="274"/>
    </row>
    <row r="1557" spans="5:14" ht="13.5" customHeight="1">
      <c r="E1557" s="209" t="s">
        <v>272</v>
      </c>
      <c r="F1557" s="209" t="s">
        <v>2552</v>
      </c>
      <c r="G1557" s="415" t="str">
        <f t="shared" si="20"/>
        <v>18-01</v>
      </c>
      <c r="H1557" s="273" t="e">
        <f ca="1">_xludf.IFNA(VLOOKUP(Aragon!E1557,'Kilter Holds'!$P$37:$AB$662,12,0),0)</f>
        <v>#NAME?</v>
      </c>
      <c r="I1557" s="274"/>
      <c r="J1557" s="274" t="e">
        <f t="shared" ca="1" si="18"/>
        <v>#NAME?</v>
      </c>
      <c r="K1557" s="274">
        <f t="shared" si="19"/>
        <v>0</v>
      </c>
      <c r="N1557" s="274"/>
    </row>
    <row r="1558" spans="5:14" ht="13.5" customHeight="1">
      <c r="E1558" s="209" t="s">
        <v>272</v>
      </c>
      <c r="F1558" s="209" t="s">
        <v>2552</v>
      </c>
      <c r="G1558" s="416" t="str">
        <f t="shared" si="20"/>
        <v>Color Code</v>
      </c>
      <c r="H1558" s="273" t="e">
        <f ca="1">_xludf.IFNA(VLOOKUP(Aragon!E1558,'Kilter Holds'!$P$37:$AB$662,13,0),0)</f>
        <v>#NAME?</v>
      </c>
      <c r="I1558" s="274"/>
      <c r="J1558" s="274" t="e">
        <f t="shared" ca="1" si="18"/>
        <v>#NAME?</v>
      </c>
      <c r="K1558" s="274">
        <f t="shared" si="19"/>
        <v>0</v>
      </c>
      <c r="N1558" s="274"/>
    </row>
    <row r="1559" spans="5:14" ht="13.5" customHeight="1">
      <c r="E1559" s="209" t="s">
        <v>359</v>
      </c>
      <c r="F1559" s="209" t="s">
        <v>2553</v>
      </c>
      <c r="G1559" s="406" t="str">
        <f t="shared" si="20"/>
        <v>11-12</v>
      </c>
      <c r="H1559" s="273" t="e">
        <f ca="1">_xludf.IFNA(VLOOKUP(Aragon!E1559,'Kilter Holds'!$P$37:$AB$662,5,0),0)</f>
        <v>#NAME?</v>
      </c>
      <c r="I1559" s="274"/>
      <c r="J1559" s="274" t="e">
        <f t="shared" ca="1" si="18"/>
        <v>#NAME?</v>
      </c>
      <c r="K1559" s="274">
        <f t="shared" si="19"/>
        <v>0</v>
      </c>
      <c r="N1559" s="274"/>
    </row>
    <row r="1560" spans="5:14" ht="13.5" customHeight="1">
      <c r="E1560" s="209" t="s">
        <v>359</v>
      </c>
      <c r="F1560" s="209" t="s">
        <v>2553</v>
      </c>
      <c r="G1560" s="408" t="str">
        <f t="shared" si="20"/>
        <v>14-01</v>
      </c>
      <c r="H1560" s="273" t="e">
        <f ca="1">_xludf.IFNA(VLOOKUP(Aragon!E1560,'Kilter Holds'!$P$37:$AB$662,6,0),0)</f>
        <v>#NAME?</v>
      </c>
      <c r="I1560" s="274"/>
      <c r="J1560" s="274" t="e">
        <f t="shared" ca="1" si="18"/>
        <v>#NAME?</v>
      </c>
      <c r="K1560" s="274">
        <f t="shared" si="19"/>
        <v>0</v>
      </c>
      <c r="N1560" s="274"/>
    </row>
    <row r="1561" spans="5:14" ht="13.5" customHeight="1">
      <c r="E1561" s="209" t="s">
        <v>359</v>
      </c>
      <c r="F1561" s="209" t="s">
        <v>2553</v>
      </c>
      <c r="G1561" s="409" t="str">
        <f t="shared" si="20"/>
        <v>15-12</v>
      </c>
      <c r="H1561" s="273" t="e">
        <f ca="1">_xludf.IFNA(VLOOKUP(Aragon!E1561,'Kilter Holds'!$P$37:$AB$662,7,0),0)</f>
        <v>#NAME?</v>
      </c>
      <c r="I1561" s="274"/>
      <c r="J1561" s="274" t="e">
        <f t="shared" ca="1" si="18"/>
        <v>#NAME?</v>
      </c>
      <c r="K1561" s="274">
        <f t="shared" si="19"/>
        <v>0</v>
      </c>
      <c r="N1561" s="274"/>
    </row>
    <row r="1562" spans="5:14" ht="13.5" customHeight="1">
      <c r="E1562" s="209" t="s">
        <v>359</v>
      </c>
      <c r="F1562" s="209" t="s">
        <v>2553</v>
      </c>
      <c r="G1562" s="410" t="str">
        <f t="shared" si="20"/>
        <v>16-16</v>
      </c>
      <c r="H1562" s="273" t="e">
        <f ca="1">_xludf.IFNA(VLOOKUP(Aragon!E1562,'Kilter Holds'!$P$37:$AB$662,8,0),0)</f>
        <v>#NAME?</v>
      </c>
      <c r="I1562" s="274"/>
      <c r="J1562" s="274" t="e">
        <f t="shared" ca="1" si="18"/>
        <v>#NAME?</v>
      </c>
      <c r="K1562" s="274">
        <f t="shared" si="19"/>
        <v>0</v>
      </c>
      <c r="N1562" s="274"/>
    </row>
    <row r="1563" spans="5:14" ht="13.5" customHeight="1">
      <c r="E1563" s="209" t="s">
        <v>359</v>
      </c>
      <c r="F1563" s="209" t="s">
        <v>2553</v>
      </c>
      <c r="G1563" s="411" t="str">
        <f t="shared" si="20"/>
        <v>13-01</v>
      </c>
      <c r="H1563" s="273" t="e">
        <f ca="1">_xludf.IFNA(VLOOKUP(Aragon!E1563,'Kilter Holds'!$P$37:$AB$662,9,0),0)</f>
        <v>#NAME?</v>
      </c>
      <c r="I1563" s="274"/>
      <c r="J1563" s="274" t="e">
        <f t="shared" ca="1" si="18"/>
        <v>#NAME?</v>
      </c>
      <c r="K1563" s="274">
        <f t="shared" si="19"/>
        <v>0</v>
      </c>
      <c r="N1563" s="274"/>
    </row>
    <row r="1564" spans="5:14" ht="13.5" customHeight="1">
      <c r="E1564" s="209" t="s">
        <v>359</v>
      </c>
      <c r="F1564" s="209" t="s">
        <v>2553</v>
      </c>
      <c r="G1564" s="413" t="str">
        <f t="shared" si="20"/>
        <v>07-13</v>
      </c>
      <c r="H1564" s="273" t="e">
        <f ca="1">_xludf.IFNA(VLOOKUP(Aragon!E1564,'Kilter Holds'!$P$37:$AB$662,10,0),0)</f>
        <v>#NAME?</v>
      </c>
      <c r="I1564" s="274"/>
      <c r="J1564" s="274" t="e">
        <f t="shared" ca="1" si="18"/>
        <v>#NAME?</v>
      </c>
      <c r="K1564" s="274">
        <f t="shared" si="19"/>
        <v>0</v>
      </c>
      <c r="N1564" s="274"/>
    </row>
    <row r="1565" spans="5:14" ht="13.5" customHeight="1">
      <c r="E1565" s="209" t="s">
        <v>359</v>
      </c>
      <c r="F1565" s="209" t="s">
        <v>2553</v>
      </c>
      <c r="G1565" s="414" t="str">
        <f t="shared" si="20"/>
        <v>11-26</v>
      </c>
      <c r="H1565" s="273" t="e">
        <f ca="1">_xludf.IFNA(VLOOKUP(Aragon!E1565,'Kilter Holds'!$P$37:$AB$662,11,0),0)</f>
        <v>#NAME?</v>
      </c>
      <c r="I1565" s="274"/>
      <c r="J1565" s="274" t="e">
        <f t="shared" ca="1" si="18"/>
        <v>#NAME?</v>
      </c>
      <c r="K1565" s="274">
        <f t="shared" si="19"/>
        <v>0</v>
      </c>
      <c r="N1565" s="274"/>
    </row>
    <row r="1566" spans="5:14" ht="13.5" customHeight="1">
      <c r="E1566" s="209" t="s">
        <v>359</v>
      </c>
      <c r="F1566" s="209" t="s">
        <v>2553</v>
      </c>
      <c r="G1566" s="415" t="str">
        <f t="shared" si="20"/>
        <v>18-01</v>
      </c>
      <c r="H1566" s="273" t="e">
        <f ca="1">_xludf.IFNA(VLOOKUP(Aragon!E1566,'Kilter Holds'!$P$37:$AB$662,12,0),0)</f>
        <v>#NAME?</v>
      </c>
      <c r="I1566" s="274"/>
      <c r="J1566" s="274" t="e">
        <f t="shared" ca="1" si="18"/>
        <v>#NAME?</v>
      </c>
      <c r="K1566" s="274">
        <f t="shared" si="19"/>
        <v>0</v>
      </c>
      <c r="N1566" s="274"/>
    </row>
    <row r="1567" spans="5:14" ht="13.5" customHeight="1">
      <c r="E1567" s="209" t="s">
        <v>359</v>
      </c>
      <c r="F1567" s="209" t="s">
        <v>2553</v>
      </c>
      <c r="G1567" s="416" t="str">
        <f t="shared" si="20"/>
        <v>Color Code</v>
      </c>
      <c r="H1567" s="273" t="e">
        <f ca="1">_xludf.IFNA(VLOOKUP(Aragon!E1567,'Kilter Holds'!$P$37:$AB$662,13,0),0)</f>
        <v>#NAME?</v>
      </c>
      <c r="I1567" s="274"/>
      <c r="J1567" s="274" t="e">
        <f t="shared" ca="1" si="18"/>
        <v>#NAME?</v>
      </c>
      <c r="K1567" s="274">
        <f t="shared" si="19"/>
        <v>0</v>
      </c>
      <c r="N1567" s="274"/>
    </row>
    <row r="1568" spans="5:14" ht="13.5" customHeight="1">
      <c r="E1568" s="209" t="s">
        <v>659</v>
      </c>
      <c r="F1568" s="209" t="s">
        <v>2554</v>
      </c>
      <c r="G1568" s="406" t="str">
        <f t="shared" si="20"/>
        <v>11-12</v>
      </c>
      <c r="H1568" s="273" t="e">
        <f ca="1">_xludf.IFNA(VLOOKUP(Aragon!E1568,'Kilter Holds'!$P$37:$AB$662,5,0),0)</f>
        <v>#NAME?</v>
      </c>
      <c r="I1568" s="274"/>
      <c r="J1568" s="274" t="e">
        <f t="shared" ca="1" si="18"/>
        <v>#NAME?</v>
      </c>
      <c r="K1568" s="274">
        <f t="shared" si="19"/>
        <v>0</v>
      </c>
      <c r="N1568" s="274"/>
    </row>
    <row r="1569" spans="5:14" ht="13.5" customHeight="1">
      <c r="E1569" s="209" t="s">
        <v>659</v>
      </c>
      <c r="F1569" s="209" t="s">
        <v>2554</v>
      </c>
      <c r="G1569" s="408" t="str">
        <f t="shared" si="20"/>
        <v>14-01</v>
      </c>
      <c r="H1569" s="273" t="e">
        <f ca="1">_xludf.IFNA(VLOOKUP(Aragon!E1569,'Kilter Holds'!$P$37:$AB$662,6,0),0)</f>
        <v>#NAME?</v>
      </c>
      <c r="I1569" s="274"/>
      <c r="J1569" s="274" t="e">
        <f t="shared" ca="1" si="18"/>
        <v>#NAME?</v>
      </c>
      <c r="K1569" s="274">
        <f t="shared" si="19"/>
        <v>0</v>
      </c>
      <c r="N1569" s="274"/>
    </row>
    <row r="1570" spans="5:14" ht="13.5" customHeight="1">
      <c r="E1570" s="209" t="s">
        <v>659</v>
      </c>
      <c r="F1570" s="209" t="s">
        <v>2554</v>
      </c>
      <c r="G1570" s="409" t="str">
        <f t="shared" si="20"/>
        <v>15-12</v>
      </c>
      <c r="H1570" s="273" t="e">
        <f ca="1">_xludf.IFNA(VLOOKUP(Aragon!E1570,'Kilter Holds'!$P$37:$AB$662,7,0),0)</f>
        <v>#NAME?</v>
      </c>
      <c r="I1570" s="274"/>
      <c r="J1570" s="274" t="e">
        <f t="shared" ca="1" si="18"/>
        <v>#NAME?</v>
      </c>
      <c r="K1570" s="274">
        <f t="shared" si="19"/>
        <v>0</v>
      </c>
      <c r="N1570" s="274"/>
    </row>
    <row r="1571" spans="5:14" ht="13.5" customHeight="1">
      <c r="E1571" s="209" t="s">
        <v>659</v>
      </c>
      <c r="F1571" s="209" t="s">
        <v>2554</v>
      </c>
      <c r="G1571" s="410" t="str">
        <f t="shared" si="20"/>
        <v>16-16</v>
      </c>
      <c r="H1571" s="273" t="e">
        <f ca="1">_xludf.IFNA(VLOOKUP(Aragon!E1571,'Kilter Holds'!$P$37:$AB$662,8,0),0)</f>
        <v>#NAME?</v>
      </c>
      <c r="I1571" s="274"/>
      <c r="J1571" s="274" t="e">
        <f t="shared" ca="1" si="18"/>
        <v>#NAME?</v>
      </c>
      <c r="K1571" s="274">
        <f t="shared" si="19"/>
        <v>0</v>
      </c>
      <c r="N1571" s="274"/>
    </row>
    <row r="1572" spans="5:14" ht="13.5" customHeight="1">
      <c r="E1572" s="209" t="s">
        <v>659</v>
      </c>
      <c r="F1572" s="209" t="s">
        <v>2554</v>
      </c>
      <c r="G1572" s="411" t="str">
        <f t="shared" si="20"/>
        <v>13-01</v>
      </c>
      <c r="H1572" s="273" t="e">
        <f ca="1">_xludf.IFNA(VLOOKUP(Aragon!E1572,'Kilter Holds'!$P$37:$AB$662,9,0),0)</f>
        <v>#NAME?</v>
      </c>
      <c r="I1572" s="274"/>
      <c r="J1572" s="274" t="e">
        <f t="shared" ca="1" si="18"/>
        <v>#NAME?</v>
      </c>
      <c r="K1572" s="274">
        <f t="shared" si="19"/>
        <v>0</v>
      </c>
      <c r="N1572" s="274"/>
    </row>
    <row r="1573" spans="5:14" ht="13.5" customHeight="1">
      <c r="E1573" s="209" t="s">
        <v>659</v>
      </c>
      <c r="F1573" s="209" t="s">
        <v>2554</v>
      </c>
      <c r="G1573" s="413" t="str">
        <f t="shared" si="20"/>
        <v>07-13</v>
      </c>
      <c r="H1573" s="273" t="e">
        <f ca="1">_xludf.IFNA(VLOOKUP(Aragon!E1573,'Kilter Holds'!$P$37:$AB$662,10,0),0)</f>
        <v>#NAME?</v>
      </c>
      <c r="I1573" s="274"/>
      <c r="J1573" s="274" t="e">
        <f t="shared" ca="1" si="18"/>
        <v>#NAME?</v>
      </c>
      <c r="K1573" s="274">
        <f t="shared" si="19"/>
        <v>0</v>
      </c>
      <c r="N1573" s="274"/>
    </row>
    <row r="1574" spans="5:14" ht="13.5" customHeight="1">
      <c r="E1574" s="209" t="s">
        <v>659</v>
      </c>
      <c r="F1574" s="209" t="s">
        <v>2554</v>
      </c>
      <c r="G1574" s="414" t="str">
        <f t="shared" si="20"/>
        <v>11-26</v>
      </c>
      <c r="H1574" s="273" t="e">
        <f ca="1">_xludf.IFNA(VLOOKUP(Aragon!E1574,'Kilter Holds'!$P$37:$AB$662,11,0),0)</f>
        <v>#NAME?</v>
      </c>
      <c r="I1574" s="274"/>
      <c r="J1574" s="274" t="e">
        <f t="shared" ca="1" si="18"/>
        <v>#NAME?</v>
      </c>
      <c r="K1574" s="274">
        <f t="shared" si="19"/>
        <v>0</v>
      </c>
      <c r="N1574" s="274"/>
    </row>
    <row r="1575" spans="5:14" ht="13.5" customHeight="1">
      <c r="E1575" s="209" t="s">
        <v>659</v>
      </c>
      <c r="F1575" s="209" t="s">
        <v>2554</v>
      </c>
      <c r="G1575" s="415" t="str">
        <f t="shared" si="20"/>
        <v>18-01</v>
      </c>
      <c r="H1575" s="273" t="e">
        <f ca="1">_xludf.IFNA(VLOOKUP(Aragon!E1575,'Kilter Holds'!$P$37:$AB$662,12,0),0)</f>
        <v>#NAME?</v>
      </c>
      <c r="I1575" s="274"/>
      <c r="J1575" s="274" t="e">
        <f t="shared" ca="1" si="18"/>
        <v>#NAME?</v>
      </c>
      <c r="K1575" s="274">
        <f t="shared" si="19"/>
        <v>0</v>
      </c>
      <c r="N1575" s="274"/>
    </row>
    <row r="1576" spans="5:14" ht="13.5" customHeight="1">
      <c r="E1576" s="209" t="s">
        <v>659</v>
      </c>
      <c r="F1576" s="209" t="s">
        <v>2554</v>
      </c>
      <c r="G1576" s="416" t="str">
        <f t="shared" si="20"/>
        <v>Color Code</v>
      </c>
      <c r="H1576" s="273" t="e">
        <f ca="1">_xludf.IFNA(VLOOKUP(Aragon!E1576,'Kilter Holds'!$P$37:$AB$662,13,0),0)</f>
        <v>#NAME?</v>
      </c>
      <c r="I1576" s="274"/>
      <c r="J1576" s="274" t="e">
        <f t="shared" ca="1" si="18"/>
        <v>#NAME?</v>
      </c>
      <c r="K1576" s="274">
        <f t="shared" si="19"/>
        <v>0</v>
      </c>
      <c r="N1576" s="274"/>
    </row>
    <row r="1577" spans="5:14" ht="13.5" customHeight="1">
      <c r="E1577" s="209" t="s">
        <v>309</v>
      </c>
      <c r="F1577" s="209" t="s">
        <v>2555</v>
      </c>
      <c r="G1577" s="406" t="str">
        <f t="shared" si="20"/>
        <v>11-12</v>
      </c>
      <c r="H1577" s="273" t="e">
        <f ca="1">_xludf.IFNA(VLOOKUP(Aragon!E1577,'Kilter Holds'!$P$37:$AB$662,5,0),0)</f>
        <v>#NAME?</v>
      </c>
      <c r="I1577" s="274"/>
      <c r="J1577" s="274" t="e">
        <f t="shared" ca="1" si="18"/>
        <v>#NAME?</v>
      </c>
      <c r="K1577" s="274">
        <f t="shared" si="19"/>
        <v>0</v>
      </c>
      <c r="N1577" s="274"/>
    </row>
    <row r="1578" spans="5:14" ht="13.5" customHeight="1">
      <c r="E1578" s="209" t="s">
        <v>309</v>
      </c>
      <c r="F1578" s="209" t="s">
        <v>2555</v>
      </c>
      <c r="G1578" s="408" t="str">
        <f t="shared" si="20"/>
        <v>14-01</v>
      </c>
      <c r="H1578" s="273" t="e">
        <f ca="1">_xludf.IFNA(VLOOKUP(Aragon!E1578,'Kilter Holds'!$P$37:$AB$662,6,0),0)</f>
        <v>#NAME?</v>
      </c>
      <c r="I1578" s="274"/>
      <c r="J1578" s="274" t="e">
        <f t="shared" ca="1" si="18"/>
        <v>#NAME?</v>
      </c>
      <c r="K1578" s="274">
        <f t="shared" si="19"/>
        <v>0</v>
      </c>
      <c r="N1578" s="274"/>
    </row>
    <row r="1579" spans="5:14" ht="13.5" customHeight="1">
      <c r="E1579" s="209" t="s">
        <v>309</v>
      </c>
      <c r="F1579" s="209" t="s">
        <v>2555</v>
      </c>
      <c r="G1579" s="409" t="str">
        <f t="shared" si="20"/>
        <v>15-12</v>
      </c>
      <c r="H1579" s="273" t="e">
        <f ca="1">_xludf.IFNA(VLOOKUP(Aragon!E1579,'Kilter Holds'!$P$37:$AB$662,7,0),0)</f>
        <v>#NAME?</v>
      </c>
      <c r="I1579" s="274"/>
      <c r="J1579" s="274" t="e">
        <f t="shared" ca="1" si="18"/>
        <v>#NAME?</v>
      </c>
      <c r="K1579" s="274">
        <f t="shared" si="19"/>
        <v>0</v>
      </c>
      <c r="N1579" s="274"/>
    </row>
    <row r="1580" spans="5:14" ht="13.5" customHeight="1">
      <c r="E1580" s="209" t="s">
        <v>309</v>
      </c>
      <c r="F1580" s="209" t="s">
        <v>2555</v>
      </c>
      <c r="G1580" s="410" t="str">
        <f t="shared" si="20"/>
        <v>16-16</v>
      </c>
      <c r="H1580" s="273" t="e">
        <f ca="1">_xludf.IFNA(VLOOKUP(Aragon!E1580,'Kilter Holds'!$P$37:$AB$662,8,0),0)</f>
        <v>#NAME?</v>
      </c>
      <c r="I1580" s="274"/>
      <c r="J1580" s="274" t="e">
        <f t="shared" ca="1" si="18"/>
        <v>#NAME?</v>
      </c>
      <c r="K1580" s="274">
        <f t="shared" si="19"/>
        <v>0</v>
      </c>
      <c r="N1580" s="274"/>
    </row>
    <row r="1581" spans="5:14" ht="13.5" customHeight="1">
      <c r="E1581" s="209" t="s">
        <v>309</v>
      </c>
      <c r="F1581" s="209" t="s">
        <v>2555</v>
      </c>
      <c r="G1581" s="411" t="str">
        <f t="shared" si="20"/>
        <v>13-01</v>
      </c>
      <c r="H1581" s="273" t="e">
        <f ca="1">_xludf.IFNA(VLOOKUP(Aragon!E1581,'Kilter Holds'!$P$37:$AB$662,9,0),0)</f>
        <v>#NAME?</v>
      </c>
      <c r="I1581" s="274"/>
      <c r="J1581" s="274" t="e">
        <f t="shared" ca="1" si="18"/>
        <v>#NAME?</v>
      </c>
      <c r="K1581" s="274">
        <f t="shared" si="19"/>
        <v>0</v>
      </c>
      <c r="N1581" s="274"/>
    </row>
    <row r="1582" spans="5:14" ht="13.5" customHeight="1">
      <c r="E1582" s="209" t="s">
        <v>309</v>
      </c>
      <c r="F1582" s="209" t="s">
        <v>2555</v>
      </c>
      <c r="G1582" s="413" t="str">
        <f t="shared" si="20"/>
        <v>07-13</v>
      </c>
      <c r="H1582" s="273" t="e">
        <f ca="1">_xludf.IFNA(VLOOKUP(Aragon!E1582,'Kilter Holds'!$P$37:$AB$662,10,0),0)</f>
        <v>#NAME?</v>
      </c>
      <c r="I1582" s="274"/>
      <c r="J1582" s="274" t="e">
        <f t="shared" ca="1" si="18"/>
        <v>#NAME?</v>
      </c>
      <c r="K1582" s="274">
        <f t="shared" si="19"/>
        <v>0</v>
      </c>
      <c r="N1582" s="274"/>
    </row>
    <row r="1583" spans="5:14" ht="13.5" customHeight="1">
      <c r="E1583" s="209" t="s">
        <v>309</v>
      </c>
      <c r="F1583" s="209" t="s">
        <v>2555</v>
      </c>
      <c r="G1583" s="414" t="str">
        <f t="shared" si="20"/>
        <v>11-26</v>
      </c>
      <c r="H1583" s="273" t="e">
        <f ca="1">_xludf.IFNA(VLOOKUP(Aragon!E1583,'Kilter Holds'!$P$37:$AB$662,11,0),0)</f>
        <v>#NAME?</v>
      </c>
      <c r="I1583" s="274"/>
      <c r="J1583" s="274" t="e">
        <f t="shared" ca="1" si="18"/>
        <v>#NAME?</v>
      </c>
      <c r="K1583" s="274">
        <f t="shared" si="19"/>
        <v>0</v>
      </c>
      <c r="N1583" s="274"/>
    </row>
    <row r="1584" spans="5:14" ht="13.5" customHeight="1">
      <c r="E1584" s="209" t="s">
        <v>309</v>
      </c>
      <c r="F1584" s="209" t="s">
        <v>2555</v>
      </c>
      <c r="G1584" s="415" t="str">
        <f t="shared" si="20"/>
        <v>18-01</v>
      </c>
      <c r="H1584" s="273" t="e">
        <f ca="1">_xludf.IFNA(VLOOKUP(Aragon!E1584,'Kilter Holds'!$P$37:$AB$662,12,0),0)</f>
        <v>#NAME?</v>
      </c>
      <c r="I1584" s="274"/>
      <c r="J1584" s="274" t="e">
        <f t="shared" ca="1" si="18"/>
        <v>#NAME?</v>
      </c>
      <c r="K1584" s="274">
        <f t="shared" si="19"/>
        <v>0</v>
      </c>
      <c r="N1584" s="274"/>
    </row>
    <row r="1585" spans="5:14" ht="13.5" customHeight="1">
      <c r="E1585" s="209" t="s">
        <v>309</v>
      </c>
      <c r="F1585" s="209" t="s">
        <v>2555</v>
      </c>
      <c r="G1585" s="416" t="str">
        <f t="shared" si="20"/>
        <v>Color Code</v>
      </c>
      <c r="H1585" s="273" t="e">
        <f ca="1">_xludf.IFNA(VLOOKUP(Aragon!E1585,'Kilter Holds'!$P$37:$AB$662,13,0),0)</f>
        <v>#NAME?</v>
      </c>
      <c r="I1585" s="274"/>
      <c r="J1585" s="274" t="e">
        <f t="shared" ca="1" si="18"/>
        <v>#NAME?</v>
      </c>
      <c r="K1585" s="274">
        <f t="shared" si="19"/>
        <v>0</v>
      </c>
      <c r="N1585" s="274"/>
    </row>
    <row r="1586" spans="5:14" ht="13.5" customHeight="1">
      <c r="E1586" s="209" t="s">
        <v>311</v>
      </c>
      <c r="F1586" s="209" t="s">
        <v>2556</v>
      </c>
      <c r="G1586" s="406" t="str">
        <f t="shared" si="20"/>
        <v>11-12</v>
      </c>
      <c r="H1586" s="273" t="e">
        <f ca="1">_xludf.IFNA(VLOOKUP(Aragon!E1586,'Kilter Holds'!$P$37:$AB$662,5,0),0)</f>
        <v>#NAME?</v>
      </c>
      <c r="I1586" s="274"/>
      <c r="J1586" s="274" t="e">
        <f t="shared" ca="1" si="18"/>
        <v>#NAME?</v>
      </c>
      <c r="K1586" s="274">
        <f t="shared" si="19"/>
        <v>0</v>
      </c>
      <c r="N1586" s="274"/>
    </row>
    <row r="1587" spans="5:14" ht="13.5" customHeight="1">
      <c r="E1587" s="209" t="s">
        <v>311</v>
      </c>
      <c r="F1587" s="209" t="s">
        <v>2556</v>
      </c>
      <c r="G1587" s="408" t="str">
        <f t="shared" si="20"/>
        <v>14-01</v>
      </c>
      <c r="H1587" s="273" t="e">
        <f ca="1">_xludf.IFNA(VLOOKUP(Aragon!E1587,'Kilter Holds'!$P$37:$AB$662,6,0),0)</f>
        <v>#NAME?</v>
      </c>
      <c r="I1587" s="274"/>
      <c r="J1587" s="274" t="e">
        <f t="shared" ca="1" si="18"/>
        <v>#NAME?</v>
      </c>
      <c r="K1587" s="274">
        <f t="shared" si="19"/>
        <v>0</v>
      </c>
      <c r="N1587" s="274"/>
    </row>
    <row r="1588" spans="5:14" ht="13.5" customHeight="1">
      <c r="E1588" s="209" t="s">
        <v>311</v>
      </c>
      <c r="F1588" s="209" t="s">
        <v>2556</v>
      </c>
      <c r="G1588" s="409" t="str">
        <f t="shared" si="20"/>
        <v>15-12</v>
      </c>
      <c r="H1588" s="273" t="e">
        <f ca="1">_xludf.IFNA(VLOOKUP(Aragon!E1588,'Kilter Holds'!$P$37:$AB$662,7,0),0)</f>
        <v>#NAME?</v>
      </c>
      <c r="I1588" s="274"/>
      <c r="J1588" s="274" t="e">
        <f t="shared" ca="1" si="18"/>
        <v>#NAME?</v>
      </c>
      <c r="K1588" s="274">
        <f t="shared" si="19"/>
        <v>0</v>
      </c>
      <c r="N1588" s="274"/>
    </row>
    <row r="1589" spans="5:14" ht="13.5" customHeight="1">
      <c r="E1589" s="209" t="s">
        <v>311</v>
      </c>
      <c r="F1589" s="209" t="s">
        <v>2556</v>
      </c>
      <c r="G1589" s="410" t="str">
        <f t="shared" si="20"/>
        <v>16-16</v>
      </c>
      <c r="H1589" s="273" t="e">
        <f ca="1">_xludf.IFNA(VLOOKUP(Aragon!E1589,'Kilter Holds'!$P$37:$AB$662,8,0),0)</f>
        <v>#NAME?</v>
      </c>
      <c r="I1589" s="274"/>
      <c r="J1589" s="274" t="e">
        <f t="shared" ca="1" si="18"/>
        <v>#NAME?</v>
      </c>
      <c r="K1589" s="274">
        <f t="shared" si="19"/>
        <v>0</v>
      </c>
      <c r="N1589" s="274"/>
    </row>
    <row r="1590" spans="5:14" ht="13.5" customHeight="1">
      <c r="E1590" s="209" t="s">
        <v>311</v>
      </c>
      <c r="F1590" s="209" t="s">
        <v>2556</v>
      </c>
      <c r="G1590" s="411" t="str">
        <f t="shared" si="20"/>
        <v>13-01</v>
      </c>
      <c r="H1590" s="273" t="e">
        <f ca="1">_xludf.IFNA(VLOOKUP(Aragon!E1590,'Kilter Holds'!$P$37:$AB$662,9,0),0)</f>
        <v>#NAME?</v>
      </c>
      <c r="I1590" s="274"/>
      <c r="J1590" s="274" t="e">
        <f t="shared" ca="1" si="18"/>
        <v>#NAME?</v>
      </c>
      <c r="K1590" s="274">
        <f t="shared" si="19"/>
        <v>0</v>
      </c>
      <c r="N1590" s="274"/>
    </row>
    <row r="1591" spans="5:14" ht="13.5" customHeight="1">
      <c r="E1591" s="209" t="s">
        <v>311</v>
      </c>
      <c r="F1591" s="209" t="s">
        <v>2556</v>
      </c>
      <c r="G1591" s="413" t="str">
        <f t="shared" si="20"/>
        <v>07-13</v>
      </c>
      <c r="H1591" s="273" t="e">
        <f ca="1">_xludf.IFNA(VLOOKUP(Aragon!E1591,'Kilter Holds'!$P$37:$AB$662,10,0),0)</f>
        <v>#NAME?</v>
      </c>
      <c r="I1591" s="274"/>
      <c r="J1591" s="274" t="e">
        <f t="shared" ca="1" si="18"/>
        <v>#NAME?</v>
      </c>
      <c r="K1591" s="274">
        <f t="shared" si="19"/>
        <v>0</v>
      </c>
      <c r="N1591" s="274"/>
    </row>
    <row r="1592" spans="5:14" ht="13.5" customHeight="1">
      <c r="E1592" s="209" t="s">
        <v>311</v>
      </c>
      <c r="F1592" s="209" t="s">
        <v>2556</v>
      </c>
      <c r="G1592" s="414" t="str">
        <f t="shared" si="20"/>
        <v>11-26</v>
      </c>
      <c r="H1592" s="273" t="e">
        <f ca="1">_xludf.IFNA(VLOOKUP(Aragon!E1592,'Kilter Holds'!$P$37:$AB$662,11,0),0)</f>
        <v>#NAME?</v>
      </c>
      <c r="I1592" s="274"/>
      <c r="J1592" s="274" t="e">
        <f t="shared" ca="1" si="18"/>
        <v>#NAME?</v>
      </c>
      <c r="K1592" s="274">
        <f t="shared" si="19"/>
        <v>0</v>
      </c>
      <c r="N1592" s="274"/>
    </row>
    <row r="1593" spans="5:14" ht="13.5" customHeight="1">
      <c r="E1593" s="209" t="s">
        <v>311</v>
      </c>
      <c r="F1593" s="209" t="s">
        <v>2556</v>
      </c>
      <c r="G1593" s="415" t="str">
        <f t="shared" si="20"/>
        <v>18-01</v>
      </c>
      <c r="H1593" s="273" t="e">
        <f ca="1">_xludf.IFNA(VLOOKUP(Aragon!E1593,'Kilter Holds'!$P$37:$AB$662,12,0),0)</f>
        <v>#NAME?</v>
      </c>
      <c r="I1593" s="274"/>
      <c r="J1593" s="274" t="e">
        <f t="shared" ca="1" si="18"/>
        <v>#NAME?</v>
      </c>
      <c r="K1593" s="274">
        <f t="shared" si="19"/>
        <v>0</v>
      </c>
      <c r="N1593" s="274"/>
    </row>
    <row r="1594" spans="5:14" ht="13.5" customHeight="1">
      <c r="E1594" s="209" t="s">
        <v>311</v>
      </c>
      <c r="F1594" s="209" t="s">
        <v>2556</v>
      </c>
      <c r="G1594" s="416" t="str">
        <f t="shared" si="20"/>
        <v>Color Code</v>
      </c>
      <c r="H1594" s="273" t="e">
        <f ca="1">_xludf.IFNA(VLOOKUP(Aragon!E1594,'Kilter Holds'!$P$37:$AB$662,13,0),0)</f>
        <v>#NAME?</v>
      </c>
      <c r="I1594" s="274"/>
      <c r="J1594" s="274" t="e">
        <f t="shared" ca="1" si="18"/>
        <v>#NAME?</v>
      </c>
      <c r="K1594" s="274">
        <f t="shared" si="19"/>
        <v>0</v>
      </c>
      <c r="N1594" s="274"/>
    </row>
    <row r="1595" spans="5:14" ht="13.5" customHeight="1">
      <c r="E1595" s="209" t="s">
        <v>274</v>
      </c>
      <c r="F1595" s="209" t="s">
        <v>2557</v>
      </c>
      <c r="G1595" s="406" t="str">
        <f t="shared" si="20"/>
        <v>11-12</v>
      </c>
      <c r="H1595" s="273" t="e">
        <f ca="1">_xludf.IFNA(VLOOKUP(Aragon!E1595,'Kilter Holds'!$P$37:$AB$662,5,0),0)</f>
        <v>#NAME?</v>
      </c>
      <c r="I1595" s="274"/>
      <c r="J1595" s="274" t="e">
        <f t="shared" ca="1" si="18"/>
        <v>#NAME?</v>
      </c>
      <c r="K1595" s="274">
        <f t="shared" si="19"/>
        <v>0</v>
      </c>
      <c r="N1595" s="274"/>
    </row>
    <row r="1596" spans="5:14" ht="13.5" customHeight="1">
      <c r="E1596" s="209" t="s">
        <v>274</v>
      </c>
      <c r="F1596" s="209" t="s">
        <v>2557</v>
      </c>
      <c r="G1596" s="408" t="str">
        <f t="shared" si="20"/>
        <v>14-01</v>
      </c>
      <c r="H1596" s="273" t="e">
        <f ca="1">_xludf.IFNA(VLOOKUP(Aragon!E1596,'Kilter Holds'!$P$37:$AB$662,6,0),0)</f>
        <v>#NAME?</v>
      </c>
      <c r="I1596" s="274"/>
      <c r="J1596" s="274" t="e">
        <f t="shared" ca="1" si="18"/>
        <v>#NAME?</v>
      </c>
      <c r="K1596" s="274">
        <f t="shared" si="19"/>
        <v>0</v>
      </c>
      <c r="N1596" s="274"/>
    </row>
    <row r="1597" spans="5:14" ht="13.5" customHeight="1">
      <c r="E1597" s="209" t="s">
        <v>274</v>
      </c>
      <c r="F1597" s="209" t="s">
        <v>2557</v>
      </c>
      <c r="G1597" s="409" t="str">
        <f t="shared" si="20"/>
        <v>15-12</v>
      </c>
      <c r="H1597" s="273" t="e">
        <f ca="1">_xludf.IFNA(VLOOKUP(Aragon!E1597,'Kilter Holds'!$P$37:$AB$662,7,0),0)</f>
        <v>#NAME?</v>
      </c>
      <c r="I1597" s="274"/>
      <c r="J1597" s="274" t="e">
        <f t="shared" ca="1" si="18"/>
        <v>#NAME?</v>
      </c>
      <c r="K1597" s="274">
        <f t="shared" si="19"/>
        <v>0</v>
      </c>
      <c r="N1597" s="274"/>
    </row>
    <row r="1598" spans="5:14" ht="13.5" customHeight="1">
      <c r="E1598" s="209" t="s">
        <v>274</v>
      </c>
      <c r="F1598" s="209" t="s">
        <v>2557</v>
      </c>
      <c r="G1598" s="410" t="str">
        <f t="shared" si="20"/>
        <v>16-16</v>
      </c>
      <c r="H1598" s="273" t="e">
        <f ca="1">_xludf.IFNA(VLOOKUP(Aragon!E1598,'Kilter Holds'!$P$37:$AB$662,8,0),0)</f>
        <v>#NAME?</v>
      </c>
      <c r="I1598" s="274"/>
      <c r="J1598" s="274" t="e">
        <f t="shared" ca="1" si="18"/>
        <v>#NAME?</v>
      </c>
      <c r="K1598" s="274">
        <f t="shared" si="19"/>
        <v>0</v>
      </c>
      <c r="N1598" s="274"/>
    </row>
    <row r="1599" spans="5:14" ht="13.5" customHeight="1">
      <c r="E1599" s="209" t="s">
        <v>274</v>
      </c>
      <c r="F1599" s="209" t="s">
        <v>2557</v>
      </c>
      <c r="G1599" s="411" t="str">
        <f t="shared" si="20"/>
        <v>13-01</v>
      </c>
      <c r="H1599" s="273" t="e">
        <f ca="1">_xludf.IFNA(VLOOKUP(Aragon!E1599,'Kilter Holds'!$P$37:$AB$662,9,0),0)</f>
        <v>#NAME?</v>
      </c>
      <c r="I1599" s="274"/>
      <c r="J1599" s="274" t="e">
        <f t="shared" ca="1" si="18"/>
        <v>#NAME?</v>
      </c>
      <c r="K1599" s="274">
        <f t="shared" si="19"/>
        <v>0</v>
      </c>
      <c r="N1599" s="274"/>
    </row>
    <row r="1600" spans="5:14" ht="13.5" customHeight="1">
      <c r="E1600" s="209" t="s">
        <v>274</v>
      </c>
      <c r="F1600" s="209" t="s">
        <v>2557</v>
      </c>
      <c r="G1600" s="413" t="str">
        <f t="shared" si="20"/>
        <v>07-13</v>
      </c>
      <c r="H1600" s="273" t="e">
        <f ca="1">_xludf.IFNA(VLOOKUP(Aragon!E1600,'Kilter Holds'!$P$37:$AB$662,10,0),0)</f>
        <v>#NAME?</v>
      </c>
      <c r="I1600" s="274"/>
      <c r="J1600" s="274" t="e">
        <f t="shared" ca="1" si="18"/>
        <v>#NAME?</v>
      </c>
      <c r="K1600" s="274">
        <f t="shared" si="19"/>
        <v>0</v>
      </c>
      <c r="N1600" s="274"/>
    </row>
    <row r="1601" spans="5:14" ht="13.5" customHeight="1">
      <c r="E1601" s="209" t="s">
        <v>274</v>
      </c>
      <c r="F1601" s="209" t="s">
        <v>2557</v>
      </c>
      <c r="G1601" s="414" t="str">
        <f t="shared" si="20"/>
        <v>11-26</v>
      </c>
      <c r="H1601" s="273" t="e">
        <f ca="1">_xludf.IFNA(VLOOKUP(Aragon!E1601,'Kilter Holds'!$P$37:$AB$662,11,0),0)</f>
        <v>#NAME?</v>
      </c>
      <c r="I1601" s="274"/>
      <c r="J1601" s="274" t="e">
        <f t="shared" ca="1" si="18"/>
        <v>#NAME?</v>
      </c>
      <c r="K1601" s="274">
        <f t="shared" si="19"/>
        <v>0</v>
      </c>
      <c r="N1601" s="274"/>
    </row>
    <row r="1602" spans="5:14" ht="13.5" customHeight="1">
      <c r="E1602" s="209" t="s">
        <v>274</v>
      </c>
      <c r="F1602" s="209" t="s">
        <v>2557</v>
      </c>
      <c r="G1602" s="415" t="str">
        <f t="shared" si="20"/>
        <v>18-01</v>
      </c>
      <c r="H1602" s="273" t="e">
        <f ca="1">_xludf.IFNA(VLOOKUP(Aragon!E1602,'Kilter Holds'!$P$37:$AB$662,12,0),0)</f>
        <v>#NAME?</v>
      </c>
      <c r="I1602" s="274"/>
      <c r="J1602" s="274" t="e">
        <f t="shared" ca="1" si="18"/>
        <v>#NAME?</v>
      </c>
      <c r="K1602" s="274">
        <f t="shared" si="19"/>
        <v>0</v>
      </c>
      <c r="N1602" s="274"/>
    </row>
    <row r="1603" spans="5:14" ht="13.5" customHeight="1">
      <c r="E1603" s="209" t="s">
        <v>274</v>
      </c>
      <c r="F1603" s="209" t="s">
        <v>2557</v>
      </c>
      <c r="G1603" s="416" t="str">
        <f t="shared" si="20"/>
        <v>Color Code</v>
      </c>
      <c r="H1603" s="273" t="e">
        <f ca="1">_xludf.IFNA(VLOOKUP(Aragon!E1603,'Kilter Holds'!$P$37:$AB$662,13,0),0)</f>
        <v>#NAME?</v>
      </c>
      <c r="I1603" s="274"/>
      <c r="J1603" s="274" t="e">
        <f t="shared" ca="1" si="18"/>
        <v>#NAME?</v>
      </c>
      <c r="K1603" s="274">
        <f t="shared" si="19"/>
        <v>0</v>
      </c>
      <c r="N1603" s="274"/>
    </row>
    <row r="1604" spans="5:14" ht="13.5" customHeight="1">
      <c r="E1604" s="209" t="s">
        <v>313</v>
      </c>
      <c r="F1604" s="209" t="s">
        <v>2558</v>
      </c>
      <c r="G1604" s="406" t="str">
        <f t="shared" si="20"/>
        <v>11-12</v>
      </c>
      <c r="H1604" s="273" t="e">
        <f ca="1">_xludf.IFNA(VLOOKUP(Aragon!E1604,'Kilter Holds'!$P$37:$AB$662,5,0),0)</f>
        <v>#NAME?</v>
      </c>
      <c r="I1604" s="274"/>
      <c r="J1604" s="274" t="e">
        <f t="shared" ca="1" si="18"/>
        <v>#NAME?</v>
      </c>
      <c r="K1604" s="274">
        <f t="shared" si="19"/>
        <v>0</v>
      </c>
      <c r="N1604" s="274"/>
    </row>
    <row r="1605" spans="5:14" ht="13.5" customHeight="1">
      <c r="E1605" s="209" t="s">
        <v>313</v>
      </c>
      <c r="F1605" s="209" t="s">
        <v>2558</v>
      </c>
      <c r="G1605" s="408" t="str">
        <f t="shared" si="20"/>
        <v>14-01</v>
      </c>
      <c r="H1605" s="273" t="e">
        <f ca="1">_xludf.IFNA(VLOOKUP(Aragon!E1605,'Kilter Holds'!$P$37:$AB$662,6,0),0)</f>
        <v>#NAME?</v>
      </c>
      <c r="I1605" s="274"/>
      <c r="J1605" s="274" t="e">
        <f t="shared" ca="1" si="18"/>
        <v>#NAME?</v>
      </c>
      <c r="K1605" s="274">
        <f t="shared" si="19"/>
        <v>0</v>
      </c>
      <c r="N1605" s="274"/>
    </row>
    <row r="1606" spans="5:14" ht="13.5" customHeight="1">
      <c r="E1606" s="209" t="s">
        <v>313</v>
      </c>
      <c r="F1606" s="209" t="s">
        <v>2558</v>
      </c>
      <c r="G1606" s="409" t="str">
        <f t="shared" si="20"/>
        <v>15-12</v>
      </c>
      <c r="H1606" s="273" t="e">
        <f ca="1">_xludf.IFNA(VLOOKUP(Aragon!E1606,'Kilter Holds'!$P$37:$AB$662,7,0),0)</f>
        <v>#NAME?</v>
      </c>
      <c r="I1606" s="274"/>
      <c r="J1606" s="274" t="e">
        <f t="shared" ca="1" si="18"/>
        <v>#NAME?</v>
      </c>
      <c r="K1606" s="274">
        <f t="shared" si="19"/>
        <v>0</v>
      </c>
      <c r="N1606" s="274"/>
    </row>
    <row r="1607" spans="5:14" ht="13.5" customHeight="1">
      <c r="E1607" s="209" t="s">
        <v>313</v>
      </c>
      <c r="F1607" s="209" t="s">
        <v>2558</v>
      </c>
      <c r="G1607" s="410" t="str">
        <f t="shared" si="20"/>
        <v>16-16</v>
      </c>
      <c r="H1607" s="273" t="e">
        <f ca="1">_xludf.IFNA(VLOOKUP(Aragon!E1607,'Kilter Holds'!$P$37:$AB$662,8,0),0)</f>
        <v>#NAME?</v>
      </c>
      <c r="I1607" s="274"/>
      <c r="J1607" s="274" t="e">
        <f t="shared" ca="1" si="18"/>
        <v>#NAME?</v>
      </c>
      <c r="K1607" s="274">
        <f t="shared" si="19"/>
        <v>0</v>
      </c>
      <c r="N1607" s="274"/>
    </row>
    <row r="1608" spans="5:14" ht="13.5" customHeight="1">
      <c r="E1608" s="209" t="s">
        <v>313</v>
      </c>
      <c r="F1608" s="209" t="s">
        <v>2558</v>
      </c>
      <c r="G1608" s="411" t="str">
        <f t="shared" si="20"/>
        <v>13-01</v>
      </c>
      <c r="H1608" s="273" t="e">
        <f ca="1">_xludf.IFNA(VLOOKUP(Aragon!E1608,'Kilter Holds'!$P$37:$AB$662,9,0),0)</f>
        <v>#NAME?</v>
      </c>
      <c r="I1608" s="274"/>
      <c r="J1608" s="274" t="e">
        <f t="shared" ca="1" si="18"/>
        <v>#NAME?</v>
      </c>
      <c r="K1608" s="274">
        <f t="shared" si="19"/>
        <v>0</v>
      </c>
      <c r="N1608" s="274"/>
    </row>
    <row r="1609" spans="5:14" ht="13.5" customHeight="1">
      <c r="E1609" s="209" t="s">
        <v>313</v>
      </c>
      <c r="F1609" s="209" t="s">
        <v>2558</v>
      </c>
      <c r="G1609" s="413" t="str">
        <f t="shared" si="20"/>
        <v>07-13</v>
      </c>
      <c r="H1609" s="273" t="e">
        <f ca="1">_xludf.IFNA(VLOOKUP(Aragon!E1609,'Kilter Holds'!$P$37:$AB$662,10,0),0)</f>
        <v>#NAME?</v>
      </c>
      <c r="I1609" s="274"/>
      <c r="J1609" s="274" t="e">
        <f t="shared" ca="1" si="18"/>
        <v>#NAME?</v>
      </c>
      <c r="K1609" s="274">
        <f t="shared" si="19"/>
        <v>0</v>
      </c>
      <c r="N1609" s="274"/>
    </row>
    <row r="1610" spans="5:14" ht="13.5" customHeight="1">
      <c r="E1610" s="209" t="s">
        <v>313</v>
      </c>
      <c r="F1610" s="209" t="s">
        <v>2558</v>
      </c>
      <c r="G1610" s="414" t="str">
        <f t="shared" si="20"/>
        <v>11-26</v>
      </c>
      <c r="H1610" s="273" t="e">
        <f ca="1">_xludf.IFNA(VLOOKUP(Aragon!E1610,'Kilter Holds'!$P$37:$AB$662,11,0),0)</f>
        <v>#NAME?</v>
      </c>
      <c r="I1610" s="274"/>
      <c r="J1610" s="274" t="e">
        <f t="shared" ca="1" si="18"/>
        <v>#NAME?</v>
      </c>
      <c r="K1610" s="274">
        <f t="shared" si="19"/>
        <v>0</v>
      </c>
      <c r="N1610" s="274"/>
    </row>
    <row r="1611" spans="5:14" ht="13.5" customHeight="1">
      <c r="E1611" s="209" t="s">
        <v>313</v>
      </c>
      <c r="F1611" s="209" t="s">
        <v>2558</v>
      </c>
      <c r="G1611" s="415" t="str">
        <f t="shared" si="20"/>
        <v>18-01</v>
      </c>
      <c r="H1611" s="273" t="e">
        <f ca="1">_xludf.IFNA(VLOOKUP(Aragon!E1611,'Kilter Holds'!$P$37:$AB$662,12,0),0)</f>
        <v>#NAME?</v>
      </c>
      <c r="I1611" s="274"/>
      <c r="J1611" s="274" t="e">
        <f t="shared" ca="1" si="18"/>
        <v>#NAME?</v>
      </c>
      <c r="K1611" s="274">
        <f t="shared" si="19"/>
        <v>0</v>
      </c>
      <c r="N1611" s="274"/>
    </row>
    <row r="1612" spans="5:14" ht="13.5" customHeight="1">
      <c r="E1612" s="209" t="s">
        <v>313</v>
      </c>
      <c r="F1612" s="209" t="s">
        <v>2558</v>
      </c>
      <c r="G1612" s="416" t="str">
        <f t="shared" si="20"/>
        <v>Color Code</v>
      </c>
      <c r="H1612" s="273" t="e">
        <f ca="1">_xludf.IFNA(VLOOKUP(Aragon!E1612,'Kilter Holds'!$P$37:$AB$662,13,0),0)</f>
        <v>#NAME?</v>
      </c>
      <c r="I1612" s="274"/>
      <c r="J1612" s="274" t="e">
        <f t="shared" ca="1" si="18"/>
        <v>#NAME?</v>
      </c>
      <c r="K1612" s="274">
        <f t="shared" si="19"/>
        <v>0</v>
      </c>
      <c r="N1612" s="274"/>
    </row>
    <row r="1613" spans="5:14" ht="13.5" customHeight="1">
      <c r="E1613" s="209" t="s">
        <v>1008</v>
      </c>
      <c r="F1613" s="209" t="s">
        <v>2559</v>
      </c>
      <c r="G1613" s="406" t="str">
        <f t="shared" si="20"/>
        <v>11-12</v>
      </c>
      <c r="H1613" s="273" t="e">
        <f ca="1">_xludf.IFNA(VLOOKUP(Aragon!E1613,'Kilter Holds'!$P$37:$AB$662,5,0),0)</f>
        <v>#NAME?</v>
      </c>
      <c r="I1613" s="274"/>
      <c r="J1613" s="274" t="e">
        <f t="shared" ca="1" si="18"/>
        <v>#NAME?</v>
      </c>
      <c r="K1613" s="274">
        <f t="shared" si="19"/>
        <v>0</v>
      </c>
      <c r="N1613" s="274"/>
    </row>
    <row r="1614" spans="5:14" ht="13.5" customHeight="1">
      <c r="E1614" s="209" t="s">
        <v>1008</v>
      </c>
      <c r="F1614" s="209" t="s">
        <v>2559</v>
      </c>
      <c r="G1614" s="408" t="str">
        <f t="shared" si="20"/>
        <v>14-01</v>
      </c>
      <c r="H1614" s="273" t="e">
        <f ca="1">_xludf.IFNA(VLOOKUP(Aragon!E1614,'Kilter Holds'!$P$37:$AB$662,6,0),0)</f>
        <v>#NAME?</v>
      </c>
      <c r="I1614" s="274"/>
      <c r="J1614" s="274" t="e">
        <f t="shared" ca="1" si="18"/>
        <v>#NAME?</v>
      </c>
      <c r="K1614" s="274">
        <f t="shared" si="19"/>
        <v>0</v>
      </c>
      <c r="N1614" s="274"/>
    </row>
    <row r="1615" spans="5:14" ht="13.5" customHeight="1">
      <c r="E1615" s="209" t="s">
        <v>1008</v>
      </c>
      <c r="F1615" s="209" t="s">
        <v>2559</v>
      </c>
      <c r="G1615" s="409" t="str">
        <f t="shared" si="20"/>
        <v>15-12</v>
      </c>
      <c r="H1615" s="273" t="e">
        <f ca="1">_xludf.IFNA(VLOOKUP(Aragon!E1615,'Kilter Holds'!$P$37:$AB$662,7,0),0)</f>
        <v>#NAME?</v>
      </c>
      <c r="I1615" s="274"/>
      <c r="J1615" s="274" t="e">
        <f t="shared" ca="1" si="18"/>
        <v>#NAME?</v>
      </c>
      <c r="K1615" s="274">
        <f t="shared" si="19"/>
        <v>0</v>
      </c>
      <c r="N1615" s="274"/>
    </row>
    <row r="1616" spans="5:14" ht="13.5" customHeight="1">
      <c r="E1616" s="209" t="s">
        <v>1008</v>
      </c>
      <c r="F1616" s="209" t="s">
        <v>2559</v>
      </c>
      <c r="G1616" s="410" t="str">
        <f t="shared" si="20"/>
        <v>16-16</v>
      </c>
      <c r="H1616" s="273" t="e">
        <f ca="1">_xludf.IFNA(VLOOKUP(Aragon!E1616,'Kilter Holds'!$P$37:$AB$662,8,0),0)</f>
        <v>#NAME?</v>
      </c>
      <c r="I1616" s="274"/>
      <c r="J1616" s="274" t="e">
        <f t="shared" ca="1" si="18"/>
        <v>#NAME?</v>
      </c>
      <c r="K1616" s="274">
        <f t="shared" si="19"/>
        <v>0</v>
      </c>
      <c r="N1616" s="274"/>
    </row>
    <row r="1617" spans="5:14" ht="13.5" customHeight="1">
      <c r="E1617" s="209" t="s">
        <v>1008</v>
      </c>
      <c r="F1617" s="209" t="s">
        <v>2559</v>
      </c>
      <c r="G1617" s="411" t="str">
        <f t="shared" si="20"/>
        <v>13-01</v>
      </c>
      <c r="H1617" s="273" t="e">
        <f ca="1">_xludf.IFNA(VLOOKUP(Aragon!E1617,'Kilter Holds'!$P$37:$AB$662,9,0),0)</f>
        <v>#NAME?</v>
      </c>
      <c r="I1617" s="274"/>
      <c r="J1617" s="274" t="e">
        <f t="shared" ca="1" si="18"/>
        <v>#NAME?</v>
      </c>
      <c r="K1617" s="274">
        <f t="shared" si="19"/>
        <v>0</v>
      </c>
      <c r="N1617" s="274"/>
    </row>
    <row r="1618" spans="5:14" ht="13.5" customHeight="1">
      <c r="E1618" s="209" t="s">
        <v>1008</v>
      </c>
      <c r="F1618" s="209" t="s">
        <v>2559</v>
      </c>
      <c r="G1618" s="413" t="str">
        <f t="shared" si="20"/>
        <v>07-13</v>
      </c>
      <c r="H1618" s="273" t="e">
        <f ca="1">_xludf.IFNA(VLOOKUP(Aragon!E1618,'Kilter Holds'!$P$37:$AB$662,10,0),0)</f>
        <v>#NAME?</v>
      </c>
      <c r="I1618" s="274"/>
      <c r="J1618" s="274" t="e">
        <f t="shared" ca="1" si="18"/>
        <v>#NAME?</v>
      </c>
      <c r="K1618" s="274">
        <f t="shared" si="19"/>
        <v>0</v>
      </c>
      <c r="N1618" s="274"/>
    </row>
    <row r="1619" spans="5:14" ht="13.5" customHeight="1">
      <c r="E1619" s="209" t="s">
        <v>1008</v>
      </c>
      <c r="F1619" s="209" t="s">
        <v>2559</v>
      </c>
      <c r="G1619" s="414" t="str">
        <f t="shared" si="20"/>
        <v>11-26</v>
      </c>
      <c r="H1619" s="273" t="e">
        <f ca="1">_xludf.IFNA(VLOOKUP(Aragon!E1619,'Kilter Holds'!$P$37:$AB$662,11,0),0)</f>
        <v>#NAME?</v>
      </c>
      <c r="I1619" s="274"/>
      <c r="J1619" s="274" t="e">
        <f t="shared" ca="1" si="18"/>
        <v>#NAME?</v>
      </c>
      <c r="K1619" s="274">
        <f t="shared" si="19"/>
        <v>0</v>
      </c>
      <c r="N1619" s="274"/>
    </row>
    <row r="1620" spans="5:14" ht="13.5" customHeight="1">
      <c r="E1620" s="209" t="s">
        <v>1008</v>
      </c>
      <c r="F1620" s="209" t="s">
        <v>2559</v>
      </c>
      <c r="G1620" s="415" t="str">
        <f t="shared" si="20"/>
        <v>18-01</v>
      </c>
      <c r="H1620" s="273" t="e">
        <f ca="1">_xludf.IFNA(VLOOKUP(Aragon!E1620,'Kilter Holds'!$P$37:$AB$662,12,0),0)</f>
        <v>#NAME?</v>
      </c>
      <c r="I1620" s="274"/>
      <c r="J1620" s="274" t="e">
        <f t="shared" ca="1" si="18"/>
        <v>#NAME?</v>
      </c>
      <c r="K1620" s="274">
        <f t="shared" si="19"/>
        <v>0</v>
      </c>
      <c r="N1620" s="274"/>
    </row>
    <row r="1621" spans="5:14" ht="13.5" customHeight="1">
      <c r="E1621" s="209" t="s">
        <v>1008</v>
      </c>
      <c r="F1621" s="209" t="s">
        <v>2559</v>
      </c>
      <c r="G1621" s="416" t="str">
        <f t="shared" si="20"/>
        <v>Color Code</v>
      </c>
      <c r="H1621" s="273" t="e">
        <f ca="1">_xludf.IFNA(VLOOKUP(Aragon!E1621,'Kilter Holds'!$P$37:$AB$662,13,0),0)</f>
        <v>#NAME?</v>
      </c>
      <c r="I1621" s="274"/>
      <c r="J1621" s="274" t="e">
        <f t="shared" ca="1" si="18"/>
        <v>#NAME?</v>
      </c>
      <c r="K1621" s="274">
        <f t="shared" si="19"/>
        <v>0</v>
      </c>
      <c r="N1621" s="274"/>
    </row>
    <row r="1622" spans="5:14" ht="13.5" customHeight="1">
      <c r="E1622" s="209" t="s">
        <v>1010</v>
      </c>
      <c r="F1622" s="209" t="s">
        <v>2560</v>
      </c>
      <c r="G1622" s="406" t="str">
        <f t="shared" si="20"/>
        <v>11-12</v>
      </c>
      <c r="H1622" s="273" t="e">
        <f ca="1">_xludf.IFNA(VLOOKUP(Aragon!E1622,'Kilter Holds'!$P$37:$AB$662,5,0),0)</f>
        <v>#NAME?</v>
      </c>
      <c r="I1622" s="274"/>
      <c r="J1622" s="274" t="e">
        <f t="shared" ca="1" si="18"/>
        <v>#NAME?</v>
      </c>
      <c r="K1622" s="274">
        <f t="shared" si="19"/>
        <v>0</v>
      </c>
      <c r="N1622" s="274"/>
    </row>
    <row r="1623" spans="5:14" ht="13.5" customHeight="1">
      <c r="E1623" s="209" t="s">
        <v>1010</v>
      </c>
      <c r="F1623" s="209" t="s">
        <v>2560</v>
      </c>
      <c r="G1623" s="408" t="str">
        <f t="shared" si="20"/>
        <v>14-01</v>
      </c>
      <c r="H1623" s="273" t="e">
        <f ca="1">_xludf.IFNA(VLOOKUP(Aragon!E1623,'Kilter Holds'!$P$37:$AB$662,6,0),0)</f>
        <v>#NAME?</v>
      </c>
      <c r="I1623" s="274"/>
      <c r="J1623" s="274" t="e">
        <f t="shared" ca="1" si="18"/>
        <v>#NAME?</v>
      </c>
      <c r="K1623" s="274">
        <f t="shared" si="19"/>
        <v>0</v>
      </c>
      <c r="N1623" s="274"/>
    </row>
    <row r="1624" spans="5:14" ht="13.5" customHeight="1">
      <c r="E1624" s="209" t="s">
        <v>1010</v>
      </c>
      <c r="F1624" s="209" t="s">
        <v>2560</v>
      </c>
      <c r="G1624" s="409" t="str">
        <f t="shared" si="20"/>
        <v>15-12</v>
      </c>
      <c r="H1624" s="273" t="e">
        <f ca="1">_xludf.IFNA(VLOOKUP(Aragon!E1624,'Kilter Holds'!$P$37:$AB$662,7,0),0)</f>
        <v>#NAME?</v>
      </c>
      <c r="I1624" s="274"/>
      <c r="J1624" s="274" t="e">
        <f t="shared" ca="1" si="18"/>
        <v>#NAME?</v>
      </c>
      <c r="K1624" s="274">
        <f t="shared" si="19"/>
        <v>0</v>
      </c>
      <c r="N1624" s="274"/>
    </row>
    <row r="1625" spans="5:14" ht="13.5" customHeight="1">
      <c r="E1625" s="209" t="s">
        <v>1010</v>
      </c>
      <c r="F1625" s="209" t="s">
        <v>2560</v>
      </c>
      <c r="G1625" s="410" t="str">
        <f t="shared" si="20"/>
        <v>16-16</v>
      </c>
      <c r="H1625" s="273" t="e">
        <f ca="1">_xludf.IFNA(VLOOKUP(Aragon!E1625,'Kilter Holds'!$P$37:$AB$662,8,0),0)</f>
        <v>#NAME?</v>
      </c>
      <c r="I1625" s="274"/>
      <c r="J1625" s="274" t="e">
        <f t="shared" ca="1" si="18"/>
        <v>#NAME?</v>
      </c>
      <c r="K1625" s="274">
        <f t="shared" si="19"/>
        <v>0</v>
      </c>
      <c r="N1625" s="274"/>
    </row>
    <row r="1626" spans="5:14" ht="13.5" customHeight="1">
      <c r="E1626" s="209" t="s">
        <v>1010</v>
      </c>
      <c r="F1626" s="209" t="s">
        <v>2560</v>
      </c>
      <c r="G1626" s="411" t="str">
        <f t="shared" si="20"/>
        <v>13-01</v>
      </c>
      <c r="H1626" s="273" t="e">
        <f ca="1">_xludf.IFNA(VLOOKUP(Aragon!E1626,'Kilter Holds'!$P$37:$AB$662,9,0),0)</f>
        <v>#NAME?</v>
      </c>
      <c r="I1626" s="274"/>
      <c r="J1626" s="274" t="e">
        <f t="shared" ca="1" si="18"/>
        <v>#NAME?</v>
      </c>
      <c r="K1626" s="274">
        <f t="shared" si="19"/>
        <v>0</v>
      </c>
      <c r="N1626" s="274"/>
    </row>
    <row r="1627" spans="5:14" ht="13.5" customHeight="1">
      <c r="E1627" s="209" t="s">
        <v>1010</v>
      </c>
      <c r="F1627" s="209" t="s">
        <v>2560</v>
      </c>
      <c r="G1627" s="413" t="str">
        <f t="shared" si="20"/>
        <v>07-13</v>
      </c>
      <c r="H1627" s="273" t="e">
        <f ca="1">_xludf.IFNA(VLOOKUP(Aragon!E1627,'Kilter Holds'!$P$37:$AB$662,10,0),0)</f>
        <v>#NAME?</v>
      </c>
      <c r="I1627" s="274"/>
      <c r="J1627" s="274" t="e">
        <f t="shared" ca="1" si="18"/>
        <v>#NAME?</v>
      </c>
      <c r="K1627" s="274">
        <f t="shared" si="19"/>
        <v>0</v>
      </c>
      <c r="N1627" s="274"/>
    </row>
    <row r="1628" spans="5:14" ht="13.5" customHeight="1">
      <c r="E1628" s="209" t="s">
        <v>1010</v>
      </c>
      <c r="F1628" s="209" t="s">
        <v>2560</v>
      </c>
      <c r="G1628" s="414" t="str">
        <f t="shared" si="20"/>
        <v>11-26</v>
      </c>
      <c r="H1628" s="273" t="e">
        <f ca="1">_xludf.IFNA(VLOOKUP(Aragon!E1628,'Kilter Holds'!$P$37:$AB$662,11,0),0)</f>
        <v>#NAME?</v>
      </c>
      <c r="I1628" s="274"/>
      <c r="J1628" s="274" t="e">
        <f t="shared" ca="1" si="18"/>
        <v>#NAME?</v>
      </c>
      <c r="K1628" s="274">
        <f t="shared" si="19"/>
        <v>0</v>
      </c>
      <c r="N1628" s="274"/>
    </row>
    <row r="1629" spans="5:14" ht="13.5" customHeight="1">
      <c r="E1629" s="209" t="s">
        <v>1010</v>
      </c>
      <c r="F1629" s="209" t="s">
        <v>2560</v>
      </c>
      <c r="G1629" s="415" t="str">
        <f t="shared" si="20"/>
        <v>18-01</v>
      </c>
      <c r="H1629" s="273" t="e">
        <f ca="1">_xludf.IFNA(VLOOKUP(Aragon!E1629,'Kilter Holds'!$P$37:$AB$662,12,0),0)</f>
        <v>#NAME?</v>
      </c>
      <c r="I1629" s="274"/>
      <c r="J1629" s="274" t="e">
        <f t="shared" ca="1" si="18"/>
        <v>#NAME?</v>
      </c>
      <c r="K1629" s="274">
        <f t="shared" si="19"/>
        <v>0</v>
      </c>
      <c r="N1629" s="274"/>
    </row>
    <row r="1630" spans="5:14" ht="13.5" customHeight="1">
      <c r="E1630" s="209" t="s">
        <v>1010</v>
      </c>
      <c r="F1630" s="209" t="s">
        <v>2560</v>
      </c>
      <c r="G1630" s="416" t="str">
        <f t="shared" si="20"/>
        <v>Color Code</v>
      </c>
      <c r="H1630" s="273" t="e">
        <f ca="1">_xludf.IFNA(VLOOKUP(Aragon!E1630,'Kilter Holds'!$P$37:$AB$662,13,0),0)</f>
        <v>#NAME?</v>
      </c>
      <c r="I1630" s="274"/>
      <c r="J1630" s="274" t="e">
        <f t="shared" ca="1" si="18"/>
        <v>#NAME?</v>
      </c>
      <c r="K1630" s="274">
        <f t="shared" si="19"/>
        <v>0</v>
      </c>
      <c r="N1630" s="274"/>
    </row>
    <row r="1631" spans="5:14" ht="13.5" customHeight="1">
      <c r="E1631" s="209" t="s">
        <v>1012</v>
      </c>
      <c r="F1631" s="209" t="s">
        <v>2561</v>
      </c>
      <c r="G1631" s="406" t="str">
        <f t="shared" si="20"/>
        <v>11-12</v>
      </c>
      <c r="H1631" s="273" t="e">
        <f ca="1">_xludf.IFNA(VLOOKUP(Aragon!E1631,'Kilter Holds'!$P$37:$AB$662,5,0),0)</f>
        <v>#NAME?</v>
      </c>
      <c r="I1631" s="274"/>
      <c r="J1631" s="274" t="e">
        <f t="shared" ca="1" si="18"/>
        <v>#NAME?</v>
      </c>
      <c r="K1631" s="274">
        <f t="shared" si="19"/>
        <v>0</v>
      </c>
      <c r="N1631" s="274"/>
    </row>
    <row r="1632" spans="5:14" ht="13.5" customHeight="1">
      <c r="E1632" s="209" t="s">
        <v>1012</v>
      </c>
      <c r="F1632" s="209" t="s">
        <v>2561</v>
      </c>
      <c r="G1632" s="408" t="str">
        <f t="shared" si="20"/>
        <v>14-01</v>
      </c>
      <c r="H1632" s="273" t="e">
        <f ca="1">_xludf.IFNA(VLOOKUP(Aragon!E1632,'Kilter Holds'!$P$37:$AB$662,6,0),0)</f>
        <v>#NAME?</v>
      </c>
      <c r="I1632" s="274"/>
      <c r="J1632" s="274" t="e">
        <f t="shared" ca="1" si="18"/>
        <v>#NAME?</v>
      </c>
      <c r="K1632" s="274">
        <f t="shared" si="19"/>
        <v>0</v>
      </c>
      <c r="N1632" s="274"/>
    </row>
    <row r="1633" spans="5:14" ht="13.5" customHeight="1">
      <c r="E1633" s="209" t="s">
        <v>1012</v>
      </c>
      <c r="F1633" s="209" t="s">
        <v>2561</v>
      </c>
      <c r="G1633" s="409" t="str">
        <f t="shared" si="20"/>
        <v>15-12</v>
      </c>
      <c r="H1633" s="273" t="e">
        <f ca="1">_xludf.IFNA(VLOOKUP(Aragon!E1633,'Kilter Holds'!$P$37:$AB$662,7,0),0)</f>
        <v>#NAME?</v>
      </c>
      <c r="I1633" s="274"/>
      <c r="J1633" s="274" t="e">
        <f t="shared" ca="1" si="18"/>
        <v>#NAME?</v>
      </c>
      <c r="K1633" s="274">
        <f t="shared" si="19"/>
        <v>0</v>
      </c>
      <c r="N1633" s="274"/>
    </row>
    <row r="1634" spans="5:14" ht="13.5" customHeight="1">
      <c r="E1634" s="209" t="s">
        <v>1012</v>
      </c>
      <c r="F1634" s="209" t="s">
        <v>2561</v>
      </c>
      <c r="G1634" s="410" t="str">
        <f t="shared" si="20"/>
        <v>16-16</v>
      </c>
      <c r="H1634" s="273" t="e">
        <f ca="1">_xludf.IFNA(VLOOKUP(Aragon!E1634,'Kilter Holds'!$P$37:$AB$662,8,0),0)</f>
        <v>#NAME?</v>
      </c>
      <c r="I1634" s="274"/>
      <c r="J1634" s="274" t="e">
        <f t="shared" ca="1" si="18"/>
        <v>#NAME?</v>
      </c>
      <c r="K1634" s="274">
        <f t="shared" si="19"/>
        <v>0</v>
      </c>
      <c r="N1634" s="274"/>
    </row>
    <row r="1635" spans="5:14" ht="13.5" customHeight="1">
      <c r="E1635" s="209" t="s">
        <v>1012</v>
      </c>
      <c r="F1635" s="209" t="s">
        <v>2561</v>
      </c>
      <c r="G1635" s="411" t="str">
        <f t="shared" si="20"/>
        <v>13-01</v>
      </c>
      <c r="H1635" s="273" t="e">
        <f ca="1">_xludf.IFNA(VLOOKUP(Aragon!E1635,'Kilter Holds'!$P$37:$AB$662,9,0),0)</f>
        <v>#NAME?</v>
      </c>
      <c r="I1635" s="274"/>
      <c r="J1635" s="274" t="e">
        <f t="shared" ca="1" si="18"/>
        <v>#NAME?</v>
      </c>
      <c r="K1635" s="274">
        <f t="shared" si="19"/>
        <v>0</v>
      </c>
      <c r="N1635" s="274"/>
    </row>
    <row r="1636" spans="5:14" ht="13.5" customHeight="1">
      <c r="E1636" s="209" t="s">
        <v>1012</v>
      </c>
      <c r="F1636" s="209" t="s">
        <v>2561</v>
      </c>
      <c r="G1636" s="413" t="str">
        <f t="shared" si="20"/>
        <v>07-13</v>
      </c>
      <c r="H1636" s="273" t="e">
        <f ca="1">_xludf.IFNA(VLOOKUP(Aragon!E1636,'Kilter Holds'!$P$37:$AB$662,10,0),0)</f>
        <v>#NAME?</v>
      </c>
      <c r="I1636" s="274"/>
      <c r="J1636" s="274" t="e">
        <f t="shared" ca="1" si="18"/>
        <v>#NAME?</v>
      </c>
      <c r="K1636" s="274">
        <f t="shared" si="19"/>
        <v>0</v>
      </c>
      <c r="N1636" s="274"/>
    </row>
    <row r="1637" spans="5:14" ht="13.5" customHeight="1">
      <c r="E1637" s="209" t="s">
        <v>1012</v>
      </c>
      <c r="F1637" s="209" t="s">
        <v>2561</v>
      </c>
      <c r="G1637" s="414" t="str">
        <f t="shared" si="20"/>
        <v>11-26</v>
      </c>
      <c r="H1637" s="273" t="e">
        <f ca="1">_xludf.IFNA(VLOOKUP(Aragon!E1637,'Kilter Holds'!$P$37:$AB$662,11,0),0)</f>
        <v>#NAME?</v>
      </c>
      <c r="I1637" s="274"/>
      <c r="J1637" s="274" t="e">
        <f t="shared" ca="1" si="18"/>
        <v>#NAME?</v>
      </c>
      <c r="K1637" s="274">
        <f t="shared" si="19"/>
        <v>0</v>
      </c>
      <c r="N1637" s="274"/>
    </row>
    <row r="1638" spans="5:14" ht="13.5" customHeight="1">
      <c r="E1638" s="209" t="s">
        <v>1012</v>
      </c>
      <c r="F1638" s="209" t="s">
        <v>2561</v>
      </c>
      <c r="G1638" s="415" t="str">
        <f t="shared" si="20"/>
        <v>18-01</v>
      </c>
      <c r="H1638" s="273" t="e">
        <f ca="1">_xludf.IFNA(VLOOKUP(Aragon!E1638,'Kilter Holds'!$P$37:$AB$662,12,0),0)</f>
        <v>#NAME?</v>
      </c>
      <c r="I1638" s="274"/>
      <c r="J1638" s="274" t="e">
        <f t="shared" ca="1" si="18"/>
        <v>#NAME?</v>
      </c>
      <c r="K1638" s="274">
        <f t="shared" si="19"/>
        <v>0</v>
      </c>
      <c r="N1638" s="274"/>
    </row>
    <row r="1639" spans="5:14" ht="13.5" customHeight="1">
      <c r="E1639" s="209" t="s">
        <v>1012</v>
      </c>
      <c r="F1639" s="209" t="s">
        <v>2561</v>
      </c>
      <c r="G1639" s="416" t="str">
        <f t="shared" si="20"/>
        <v>Color Code</v>
      </c>
      <c r="H1639" s="273" t="e">
        <f ca="1">_xludf.IFNA(VLOOKUP(Aragon!E1639,'Kilter Holds'!$P$37:$AB$662,13,0),0)</f>
        <v>#NAME?</v>
      </c>
      <c r="I1639" s="274"/>
      <c r="J1639" s="274" t="e">
        <f t="shared" ca="1" si="18"/>
        <v>#NAME?</v>
      </c>
      <c r="K1639" s="274">
        <f t="shared" si="19"/>
        <v>0</v>
      </c>
      <c r="N1639" s="274"/>
    </row>
    <row r="1640" spans="5:14" ht="13.5" customHeight="1">
      <c r="E1640" s="209" t="s">
        <v>333</v>
      </c>
      <c r="F1640" s="209" t="s">
        <v>2562</v>
      </c>
      <c r="G1640" s="406" t="str">
        <f t="shared" si="20"/>
        <v>11-12</v>
      </c>
      <c r="H1640" s="273" t="e">
        <f ca="1">_xludf.IFNA(VLOOKUP(Aragon!E1640,'Kilter Holds'!$P$37:$AB$662,5,0),0)</f>
        <v>#NAME?</v>
      </c>
      <c r="I1640" s="274"/>
      <c r="J1640" s="274" t="e">
        <f t="shared" ca="1" si="18"/>
        <v>#NAME?</v>
      </c>
      <c r="K1640" s="274">
        <f t="shared" si="19"/>
        <v>0</v>
      </c>
      <c r="N1640" s="274"/>
    </row>
    <row r="1641" spans="5:14" ht="13.5" customHeight="1">
      <c r="E1641" s="209" t="s">
        <v>333</v>
      </c>
      <c r="F1641" s="209" t="s">
        <v>2562</v>
      </c>
      <c r="G1641" s="408" t="str">
        <f t="shared" si="20"/>
        <v>14-01</v>
      </c>
      <c r="H1641" s="273" t="e">
        <f ca="1">_xludf.IFNA(VLOOKUP(Aragon!E1641,'Kilter Holds'!$P$37:$AB$662,6,0),0)</f>
        <v>#NAME?</v>
      </c>
      <c r="I1641" s="274"/>
      <c r="J1641" s="274" t="e">
        <f t="shared" ca="1" si="18"/>
        <v>#NAME?</v>
      </c>
      <c r="K1641" s="274">
        <f t="shared" si="19"/>
        <v>0</v>
      </c>
      <c r="N1641" s="274"/>
    </row>
    <row r="1642" spans="5:14" ht="13.5" customHeight="1">
      <c r="E1642" s="209" t="s">
        <v>333</v>
      </c>
      <c r="F1642" s="209" t="s">
        <v>2562</v>
      </c>
      <c r="G1642" s="409" t="str">
        <f t="shared" si="20"/>
        <v>15-12</v>
      </c>
      <c r="H1642" s="273" t="e">
        <f ca="1">_xludf.IFNA(VLOOKUP(Aragon!E1642,'Kilter Holds'!$P$37:$AB$662,7,0),0)</f>
        <v>#NAME?</v>
      </c>
      <c r="I1642" s="274"/>
      <c r="J1642" s="274" t="e">
        <f t="shared" ca="1" si="18"/>
        <v>#NAME?</v>
      </c>
      <c r="K1642" s="274">
        <f t="shared" si="19"/>
        <v>0</v>
      </c>
      <c r="N1642" s="274"/>
    </row>
    <row r="1643" spans="5:14" ht="13.5" customHeight="1">
      <c r="E1643" s="209" t="s">
        <v>333</v>
      </c>
      <c r="F1643" s="209" t="s">
        <v>2562</v>
      </c>
      <c r="G1643" s="410" t="str">
        <f t="shared" si="20"/>
        <v>16-16</v>
      </c>
      <c r="H1643" s="273" t="e">
        <f ca="1">_xludf.IFNA(VLOOKUP(Aragon!E1643,'Kilter Holds'!$P$37:$AB$662,8,0),0)</f>
        <v>#NAME?</v>
      </c>
      <c r="I1643" s="274"/>
      <c r="J1643" s="274" t="e">
        <f t="shared" ca="1" si="18"/>
        <v>#NAME?</v>
      </c>
      <c r="K1643" s="274">
        <f t="shared" si="19"/>
        <v>0</v>
      </c>
      <c r="N1643" s="274"/>
    </row>
    <row r="1644" spans="5:14" ht="13.5" customHeight="1">
      <c r="E1644" s="209" t="s">
        <v>333</v>
      </c>
      <c r="F1644" s="209" t="s">
        <v>2562</v>
      </c>
      <c r="G1644" s="411" t="str">
        <f t="shared" si="20"/>
        <v>13-01</v>
      </c>
      <c r="H1644" s="273" t="e">
        <f ca="1">_xludf.IFNA(VLOOKUP(Aragon!E1644,'Kilter Holds'!$P$37:$AB$662,9,0),0)</f>
        <v>#NAME?</v>
      </c>
      <c r="I1644" s="274"/>
      <c r="J1644" s="274" t="e">
        <f t="shared" ca="1" si="18"/>
        <v>#NAME?</v>
      </c>
      <c r="K1644" s="274">
        <f t="shared" si="19"/>
        <v>0</v>
      </c>
      <c r="N1644" s="274"/>
    </row>
    <row r="1645" spans="5:14" ht="13.5" customHeight="1">
      <c r="E1645" s="209" t="s">
        <v>333</v>
      </c>
      <c r="F1645" s="209" t="s">
        <v>2562</v>
      </c>
      <c r="G1645" s="413" t="str">
        <f t="shared" si="20"/>
        <v>07-13</v>
      </c>
      <c r="H1645" s="273" t="e">
        <f ca="1">_xludf.IFNA(VLOOKUP(Aragon!E1645,'Kilter Holds'!$P$37:$AB$662,10,0),0)</f>
        <v>#NAME?</v>
      </c>
      <c r="I1645" s="274"/>
      <c r="J1645" s="274" t="e">
        <f t="shared" ca="1" si="18"/>
        <v>#NAME?</v>
      </c>
      <c r="K1645" s="274">
        <f t="shared" si="19"/>
        <v>0</v>
      </c>
      <c r="N1645" s="274"/>
    </row>
    <row r="1646" spans="5:14" ht="13.5" customHeight="1">
      <c r="E1646" s="209" t="s">
        <v>333</v>
      </c>
      <c r="F1646" s="209" t="s">
        <v>2562</v>
      </c>
      <c r="G1646" s="414" t="str">
        <f t="shared" si="20"/>
        <v>11-26</v>
      </c>
      <c r="H1646" s="273" t="e">
        <f ca="1">_xludf.IFNA(VLOOKUP(Aragon!E1646,'Kilter Holds'!$P$37:$AB$662,11,0),0)</f>
        <v>#NAME?</v>
      </c>
      <c r="I1646" s="274"/>
      <c r="J1646" s="274" t="e">
        <f t="shared" ca="1" si="18"/>
        <v>#NAME?</v>
      </c>
      <c r="K1646" s="274">
        <f t="shared" si="19"/>
        <v>0</v>
      </c>
      <c r="N1646" s="274"/>
    </row>
    <row r="1647" spans="5:14" ht="13.5" customHeight="1">
      <c r="E1647" s="209" t="s">
        <v>333</v>
      </c>
      <c r="F1647" s="209" t="s">
        <v>2562</v>
      </c>
      <c r="G1647" s="415" t="str">
        <f t="shared" si="20"/>
        <v>18-01</v>
      </c>
      <c r="H1647" s="273" t="e">
        <f ca="1">_xludf.IFNA(VLOOKUP(Aragon!E1647,'Kilter Holds'!$P$37:$AB$662,12,0),0)</f>
        <v>#NAME?</v>
      </c>
      <c r="I1647" s="274"/>
      <c r="J1647" s="274" t="e">
        <f t="shared" ca="1" si="18"/>
        <v>#NAME?</v>
      </c>
      <c r="K1647" s="274">
        <f t="shared" si="19"/>
        <v>0</v>
      </c>
      <c r="N1647" s="274"/>
    </row>
    <row r="1648" spans="5:14" ht="13.5" customHeight="1">
      <c r="E1648" s="209" t="s">
        <v>333</v>
      </c>
      <c r="F1648" s="209" t="s">
        <v>2562</v>
      </c>
      <c r="G1648" s="416" t="str">
        <f t="shared" si="20"/>
        <v>Color Code</v>
      </c>
      <c r="H1648" s="273" t="e">
        <f ca="1">_xludf.IFNA(VLOOKUP(Aragon!E1648,'Kilter Holds'!$P$37:$AB$662,13,0),0)</f>
        <v>#NAME?</v>
      </c>
      <c r="I1648" s="274"/>
      <c r="J1648" s="274" t="e">
        <f t="shared" ca="1" si="18"/>
        <v>#NAME?</v>
      </c>
      <c r="K1648" s="274">
        <f t="shared" si="19"/>
        <v>0</v>
      </c>
      <c r="N1648" s="274"/>
    </row>
    <row r="1649" spans="5:14" ht="13.5" customHeight="1">
      <c r="E1649" s="209" t="s">
        <v>335</v>
      </c>
      <c r="F1649" s="209" t="s">
        <v>2563</v>
      </c>
      <c r="G1649" s="406" t="str">
        <f t="shared" si="20"/>
        <v>11-12</v>
      </c>
      <c r="H1649" s="273" t="e">
        <f ca="1">_xludf.IFNA(VLOOKUP(Aragon!E1649,'Kilter Holds'!$P$37:$AB$662,5,0),0)</f>
        <v>#NAME?</v>
      </c>
      <c r="I1649" s="274"/>
      <c r="J1649" s="274" t="e">
        <f t="shared" ca="1" si="18"/>
        <v>#NAME?</v>
      </c>
      <c r="K1649" s="274">
        <f t="shared" si="19"/>
        <v>0</v>
      </c>
      <c r="N1649" s="274"/>
    </row>
    <row r="1650" spans="5:14" ht="13.5" customHeight="1">
      <c r="E1650" s="209" t="s">
        <v>335</v>
      </c>
      <c r="F1650" s="209" t="s">
        <v>2563</v>
      </c>
      <c r="G1650" s="408" t="str">
        <f t="shared" si="20"/>
        <v>14-01</v>
      </c>
      <c r="H1650" s="273" t="e">
        <f ca="1">_xludf.IFNA(VLOOKUP(Aragon!E1650,'Kilter Holds'!$P$37:$AB$662,6,0),0)</f>
        <v>#NAME?</v>
      </c>
      <c r="I1650" s="274"/>
      <c r="J1650" s="274" t="e">
        <f t="shared" ca="1" si="18"/>
        <v>#NAME?</v>
      </c>
      <c r="K1650" s="274">
        <f t="shared" si="19"/>
        <v>0</v>
      </c>
      <c r="N1650" s="274"/>
    </row>
    <row r="1651" spans="5:14" ht="13.5" customHeight="1">
      <c r="E1651" s="209" t="s">
        <v>335</v>
      </c>
      <c r="F1651" s="209" t="s">
        <v>2563</v>
      </c>
      <c r="G1651" s="409" t="str">
        <f t="shared" si="20"/>
        <v>15-12</v>
      </c>
      <c r="H1651" s="273" t="e">
        <f ca="1">_xludf.IFNA(VLOOKUP(Aragon!E1651,'Kilter Holds'!$P$37:$AB$662,7,0),0)</f>
        <v>#NAME?</v>
      </c>
      <c r="I1651" s="274"/>
      <c r="J1651" s="274" t="e">
        <f t="shared" ca="1" si="18"/>
        <v>#NAME?</v>
      </c>
      <c r="K1651" s="274">
        <f t="shared" si="19"/>
        <v>0</v>
      </c>
      <c r="N1651" s="274"/>
    </row>
    <row r="1652" spans="5:14" ht="13.5" customHeight="1">
      <c r="E1652" s="209" t="s">
        <v>335</v>
      </c>
      <c r="F1652" s="209" t="s">
        <v>2563</v>
      </c>
      <c r="G1652" s="410" t="str">
        <f t="shared" si="20"/>
        <v>16-16</v>
      </c>
      <c r="H1652" s="273" t="e">
        <f ca="1">_xludf.IFNA(VLOOKUP(Aragon!E1652,'Kilter Holds'!$P$37:$AB$662,8,0),0)</f>
        <v>#NAME?</v>
      </c>
      <c r="I1652" s="274"/>
      <c r="J1652" s="274" t="e">
        <f t="shared" ca="1" si="18"/>
        <v>#NAME?</v>
      </c>
      <c r="K1652" s="274">
        <f t="shared" si="19"/>
        <v>0</v>
      </c>
      <c r="N1652" s="274"/>
    </row>
    <row r="1653" spans="5:14" ht="13.5" customHeight="1">
      <c r="E1653" s="209" t="s">
        <v>335</v>
      </c>
      <c r="F1653" s="209" t="s">
        <v>2563</v>
      </c>
      <c r="G1653" s="411" t="str">
        <f t="shared" si="20"/>
        <v>13-01</v>
      </c>
      <c r="H1653" s="273" t="e">
        <f ca="1">_xludf.IFNA(VLOOKUP(Aragon!E1653,'Kilter Holds'!$P$37:$AB$662,9,0),0)</f>
        <v>#NAME?</v>
      </c>
      <c r="I1653" s="274"/>
      <c r="J1653" s="274" t="e">
        <f t="shared" ca="1" si="18"/>
        <v>#NAME?</v>
      </c>
      <c r="K1653" s="274">
        <f t="shared" si="19"/>
        <v>0</v>
      </c>
      <c r="N1653" s="274"/>
    </row>
    <row r="1654" spans="5:14" ht="13.5" customHeight="1">
      <c r="E1654" s="209" t="s">
        <v>335</v>
      </c>
      <c r="F1654" s="209" t="s">
        <v>2563</v>
      </c>
      <c r="G1654" s="413" t="str">
        <f t="shared" si="20"/>
        <v>07-13</v>
      </c>
      <c r="H1654" s="273" t="e">
        <f ca="1">_xludf.IFNA(VLOOKUP(Aragon!E1654,'Kilter Holds'!$P$37:$AB$662,10,0),0)</f>
        <v>#NAME?</v>
      </c>
      <c r="I1654" s="274"/>
      <c r="J1654" s="274" t="e">
        <f t="shared" ca="1" si="18"/>
        <v>#NAME?</v>
      </c>
      <c r="K1654" s="274">
        <f t="shared" si="19"/>
        <v>0</v>
      </c>
      <c r="N1654" s="274"/>
    </row>
    <row r="1655" spans="5:14" ht="13.5" customHeight="1">
      <c r="E1655" s="209" t="s">
        <v>335</v>
      </c>
      <c r="F1655" s="209" t="s">
        <v>2563</v>
      </c>
      <c r="G1655" s="414" t="str">
        <f t="shared" si="20"/>
        <v>11-26</v>
      </c>
      <c r="H1655" s="273" t="e">
        <f ca="1">_xludf.IFNA(VLOOKUP(Aragon!E1655,'Kilter Holds'!$P$37:$AB$662,11,0),0)</f>
        <v>#NAME?</v>
      </c>
      <c r="I1655" s="274"/>
      <c r="J1655" s="274" t="e">
        <f t="shared" ca="1" si="18"/>
        <v>#NAME?</v>
      </c>
      <c r="K1655" s="274">
        <f t="shared" si="19"/>
        <v>0</v>
      </c>
      <c r="N1655" s="274"/>
    </row>
    <row r="1656" spans="5:14" ht="13.5" customHeight="1">
      <c r="E1656" s="209" t="s">
        <v>335</v>
      </c>
      <c r="F1656" s="209" t="s">
        <v>2563</v>
      </c>
      <c r="G1656" s="415" t="str">
        <f t="shared" si="20"/>
        <v>18-01</v>
      </c>
      <c r="H1656" s="273" t="e">
        <f ca="1">_xludf.IFNA(VLOOKUP(Aragon!E1656,'Kilter Holds'!$P$37:$AB$662,12,0),0)</f>
        <v>#NAME?</v>
      </c>
      <c r="I1656" s="274"/>
      <c r="J1656" s="274" t="e">
        <f t="shared" ca="1" si="18"/>
        <v>#NAME?</v>
      </c>
      <c r="K1656" s="274">
        <f t="shared" si="19"/>
        <v>0</v>
      </c>
      <c r="N1656" s="274"/>
    </row>
    <row r="1657" spans="5:14" ht="13.5" customHeight="1">
      <c r="E1657" s="209" t="s">
        <v>335</v>
      </c>
      <c r="F1657" s="209" t="s">
        <v>2563</v>
      </c>
      <c r="G1657" s="416" t="str">
        <f t="shared" si="20"/>
        <v>Color Code</v>
      </c>
      <c r="H1657" s="273" t="e">
        <f ca="1">_xludf.IFNA(VLOOKUP(Aragon!E1657,'Kilter Holds'!$P$37:$AB$662,13,0),0)</f>
        <v>#NAME?</v>
      </c>
      <c r="I1657" s="274"/>
      <c r="J1657" s="274" t="e">
        <f t="shared" ca="1" si="18"/>
        <v>#NAME?</v>
      </c>
      <c r="K1657" s="274">
        <f t="shared" si="19"/>
        <v>0</v>
      </c>
      <c r="N1657" s="274"/>
    </row>
    <row r="1658" spans="5:14" ht="13.5" customHeight="1">
      <c r="E1658" s="209" t="s">
        <v>1014</v>
      </c>
      <c r="F1658" s="209" t="s">
        <v>2564</v>
      </c>
      <c r="G1658" s="406" t="str">
        <f t="shared" si="20"/>
        <v>11-12</v>
      </c>
      <c r="H1658" s="273" t="e">
        <f ca="1">_xludf.IFNA(VLOOKUP(Aragon!E1658,'Kilter Holds'!$P$37:$AB$662,5,0),0)</f>
        <v>#NAME?</v>
      </c>
      <c r="I1658" s="274"/>
      <c r="J1658" s="274" t="e">
        <f t="shared" ca="1" si="18"/>
        <v>#NAME?</v>
      </c>
      <c r="K1658" s="274">
        <f t="shared" si="19"/>
        <v>0</v>
      </c>
      <c r="N1658" s="274"/>
    </row>
    <row r="1659" spans="5:14" ht="13.5" customHeight="1">
      <c r="E1659" s="209" t="s">
        <v>1014</v>
      </c>
      <c r="F1659" s="209" t="s">
        <v>2564</v>
      </c>
      <c r="G1659" s="408" t="str">
        <f t="shared" si="20"/>
        <v>14-01</v>
      </c>
      <c r="H1659" s="273" t="e">
        <f ca="1">_xludf.IFNA(VLOOKUP(Aragon!E1659,'Kilter Holds'!$P$37:$AB$662,6,0),0)</f>
        <v>#NAME?</v>
      </c>
      <c r="I1659" s="274"/>
      <c r="J1659" s="274" t="e">
        <f t="shared" ca="1" si="18"/>
        <v>#NAME?</v>
      </c>
      <c r="K1659" s="274">
        <f t="shared" si="19"/>
        <v>0</v>
      </c>
      <c r="N1659" s="274"/>
    </row>
    <row r="1660" spans="5:14" ht="13.5" customHeight="1">
      <c r="E1660" s="209" t="s">
        <v>1014</v>
      </c>
      <c r="F1660" s="209" t="s">
        <v>2564</v>
      </c>
      <c r="G1660" s="409" t="str">
        <f t="shared" si="20"/>
        <v>15-12</v>
      </c>
      <c r="H1660" s="273" t="e">
        <f ca="1">_xludf.IFNA(VLOOKUP(Aragon!E1660,'Kilter Holds'!$P$37:$AB$662,7,0),0)</f>
        <v>#NAME?</v>
      </c>
      <c r="I1660" s="274"/>
      <c r="J1660" s="274" t="e">
        <f t="shared" ca="1" si="18"/>
        <v>#NAME?</v>
      </c>
      <c r="K1660" s="274">
        <f t="shared" si="19"/>
        <v>0</v>
      </c>
      <c r="N1660" s="274"/>
    </row>
    <row r="1661" spans="5:14" ht="13.5" customHeight="1">
      <c r="E1661" s="209" t="s">
        <v>1014</v>
      </c>
      <c r="F1661" s="209" t="s">
        <v>2564</v>
      </c>
      <c r="G1661" s="410" t="str">
        <f t="shared" si="20"/>
        <v>16-16</v>
      </c>
      <c r="H1661" s="273" t="e">
        <f ca="1">_xludf.IFNA(VLOOKUP(Aragon!E1661,'Kilter Holds'!$P$37:$AB$662,8,0),0)</f>
        <v>#NAME?</v>
      </c>
      <c r="I1661" s="274"/>
      <c r="J1661" s="274" t="e">
        <f t="shared" ca="1" si="18"/>
        <v>#NAME?</v>
      </c>
      <c r="K1661" s="274">
        <f t="shared" si="19"/>
        <v>0</v>
      </c>
      <c r="N1661" s="274"/>
    </row>
    <row r="1662" spans="5:14" ht="13.5" customHeight="1">
      <c r="E1662" s="209" t="s">
        <v>1014</v>
      </c>
      <c r="F1662" s="209" t="s">
        <v>2564</v>
      </c>
      <c r="G1662" s="411" t="str">
        <f t="shared" si="20"/>
        <v>13-01</v>
      </c>
      <c r="H1662" s="273" t="e">
        <f ca="1">_xludf.IFNA(VLOOKUP(Aragon!E1662,'Kilter Holds'!$P$37:$AB$662,9,0),0)</f>
        <v>#NAME?</v>
      </c>
      <c r="I1662" s="274"/>
      <c r="J1662" s="274" t="e">
        <f t="shared" ca="1" si="18"/>
        <v>#NAME?</v>
      </c>
      <c r="K1662" s="274">
        <f t="shared" si="19"/>
        <v>0</v>
      </c>
      <c r="N1662" s="274"/>
    </row>
    <row r="1663" spans="5:14" ht="13.5" customHeight="1">
      <c r="E1663" s="209" t="s">
        <v>1014</v>
      </c>
      <c r="F1663" s="209" t="s">
        <v>2564</v>
      </c>
      <c r="G1663" s="413" t="str">
        <f t="shared" si="20"/>
        <v>07-13</v>
      </c>
      <c r="H1663" s="273" t="e">
        <f ca="1">_xludf.IFNA(VLOOKUP(Aragon!E1663,'Kilter Holds'!$P$37:$AB$662,10,0),0)</f>
        <v>#NAME?</v>
      </c>
      <c r="I1663" s="274"/>
      <c r="J1663" s="274" t="e">
        <f t="shared" ca="1" si="18"/>
        <v>#NAME?</v>
      </c>
      <c r="K1663" s="274">
        <f t="shared" si="19"/>
        <v>0</v>
      </c>
      <c r="N1663" s="274"/>
    </row>
    <row r="1664" spans="5:14" ht="13.5" customHeight="1">
      <c r="E1664" s="209" t="s">
        <v>1014</v>
      </c>
      <c r="F1664" s="209" t="s">
        <v>2564</v>
      </c>
      <c r="G1664" s="414" t="str">
        <f t="shared" si="20"/>
        <v>11-26</v>
      </c>
      <c r="H1664" s="273" t="e">
        <f ca="1">_xludf.IFNA(VLOOKUP(Aragon!E1664,'Kilter Holds'!$P$37:$AB$662,11,0),0)</f>
        <v>#NAME?</v>
      </c>
      <c r="I1664" s="274"/>
      <c r="J1664" s="274" t="e">
        <f t="shared" ca="1" si="18"/>
        <v>#NAME?</v>
      </c>
      <c r="K1664" s="274">
        <f t="shared" si="19"/>
        <v>0</v>
      </c>
      <c r="N1664" s="274"/>
    </row>
    <row r="1665" spans="5:14" ht="13.5" customHeight="1">
      <c r="E1665" s="209" t="s">
        <v>1014</v>
      </c>
      <c r="F1665" s="209" t="s">
        <v>2564</v>
      </c>
      <c r="G1665" s="415" t="str">
        <f t="shared" si="20"/>
        <v>18-01</v>
      </c>
      <c r="H1665" s="273" t="e">
        <f ca="1">_xludf.IFNA(VLOOKUP(Aragon!E1665,'Kilter Holds'!$P$37:$AB$662,12,0),0)</f>
        <v>#NAME?</v>
      </c>
      <c r="I1665" s="274"/>
      <c r="J1665" s="274" t="e">
        <f t="shared" ca="1" si="18"/>
        <v>#NAME?</v>
      </c>
      <c r="K1665" s="274">
        <f t="shared" si="19"/>
        <v>0</v>
      </c>
      <c r="N1665" s="274"/>
    </row>
    <row r="1666" spans="5:14" ht="13.5" customHeight="1">
      <c r="E1666" s="209" t="s">
        <v>1014</v>
      </c>
      <c r="F1666" s="209" t="s">
        <v>2564</v>
      </c>
      <c r="G1666" s="416" t="str">
        <f t="shared" si="20"/>
        <v>Color Code</v>
      </c>
      <c r="H1666" s="273" t="e">
        <f ca="1">_xludf.IFNA(VLOOKUP(Aragon!E1666,'Kilter Holds'!$P$37:$AB$662,13,0),0)</f>
        <v>#NAME?</v>
      </c>
      <c r="I1666" s="274"/>
      <c r="J1666" s="274" t="e">
        <f t="shared" ca="1" si="18"/>
        <v>#NAME?</v>
      </c>
      <c r="K1666" s="274">
        <f t="shared" si="19"/>
        <v>0</v>
      </c>
      <c r="N1666" s="274"/>
    </row>
    <row r="1667" spans="5:14" ht="13.5" customHeight="1">
      <c r="E1667" s="209" t="s">
        <v>243</v>
      </c>
      <c r="F1667" s="209" t="s">
        <v>2565</v>
      </c>
      <c r="G1667" s="406" t="str">
        <f t="shared" si="20"/>
        <v>11-12</v>
      </c>
      <c r="H1667" s="273" t="e">
        <f ca="1">_xludf.IFNA(VLOOKUP(Aragon!E1667,'Kilter Holds'!$P$37:$AB$662,5,0),0)</f>
        <v>#NAME?</v>
      </c>
      <c r="I1667" s="274"/>
      <c r="J1667" s="274" t="e">
        <f t="shared" ca="1" si="18"/>
        <v>#NAME?</v>
      </c>
      <c r="K1667" s="274">
        <f t="shared" si="19"/>
        <v>0</v>
      </c>
      <c r="N1667" s="274"/>
    </row>
    <row r="1668" spans="5:14" ht="13.5" customHeight="1">
      <c r="E1668" s="209" t="s">
        <v>243</v>
      </c>
      <c r="F1668" s="209" t="s">
        <v>2565</v>
      </c>
      <c r="G1668" s="408" t="str">
        <f t="shared" si="20"/>
        <v>14-01</v>
      </c>
      <c r="H1668" s="273" t="e">
        <f ca="1">_xludf.IFNA(VLOOKUP(Aragon!E1668,'Kilter Holds'!$P$37:$AB$662,6,0),0)</f>
        <v>#NAME?</v>
      </c>
      <c r="I1668" s="274"/>
      <c r="J1668" s="274" t="e">
        <f t="shared" ca="1" si="18"/>
        <v>#NAME?</v>
      </c>
      <c r="K1668" s="274">
        <f t="shared" si="19"/>
        <v>0</v>
      </c>
      <c r="N1668" s="274"/>
    </row>
    <row r="1669" spans="5:14" ht="13.5" customHeight="1">
      <c r="E1669" s="209" t="s">
        <v>243</v>
      </c>
      <c r="F1669" s="209" t="s">
        <v>2565</v>
      </c>
      <c r="G1669" s="409" t="str">
        <f t="shared" si="20"/>
        <v>15-12</v>
      </c>
      <c r="H1669" s="273" t="e">
        <f ca="1">_xludf.IFNA(VLOOKUP(Aragon!E1669,'Kilter Holds'!$P$37:$AB$662,7,0),0)</f>
        <v>#NAME?</v>
      </c>
      <c r="I1669" s="274"/>
      <c r="J1669" s="274" t="e">
        <f t="shared" ca="1" si="18"/>
        <v>#NAME?</v>
      </c>
      <c r="K1669" s="274">
        <f t="shared" si="19"/>
        <v>0</v>
      </c>
      <c r="N1669" s="274"/>
    </row>
    <row r="1670" spans="5:14" ht="13.5" customHeight="1">
      <c r="E1670" s="209" t="s">
        <v>243</v>
      </c>
      <c r="F1670" s="209" t="s">
        <v>2565</v>
      </c>
      <c r="G1670" s="410" t="str">
        <f t="shared" si="20"/>
        <v>16-16</v>
      </c>
      <c r="H1670" s="273" t="e">
        <f ca="1">_xludf.IFNA(VLOOKUP(Aragon!E1670,'Kilter Holds'!$P$37:$AB$662,8,0),0)</f>
        <v>#NAME?</v>
      </c>
      <c r="I1670" s="274"/>
      <c r="J1670" s="274" t="e">
        <f t="shared" ca="1" si="18"/>
        <v>#NAME?</v>
      </c>
      <c r="K1670" s="274">
        <f t="shared" si="19"/>
        <v>0</v>
      </c>
      <c r="N1670" s="274"/>
    </row>
    <row r="1671" spans="5:14" ht="13.5" customHeight="1">
      <c r="E1671" s="209" t="s">
        <v>243</v>
      </c>
      <c r="F1671" s="209" t="s">
        <v>2565</v>
      </c>
      <c r="G1671" s="411" t="str">
        <f t="shared" si="20"/>
        <v>13-01</v>
      </c>
      <c r="H1671" s="273" t="e">
        <f ca="1">_xludf.IFNA(VLOOKUP(Aragon!E1671,'Kilter Holds'!$P$37:$AB$662,9,0),0)</f>
        <v>#NAME?</v>
      </c>
      <c r="I1671" s="274"/>
      <c r="J1671" s="274" t="e">
        <f t="shared" ca="1" si="18"/>
        <v>#NAME?</v>
      </c>
      <c r="K1671" s="274">
        <f t="shared" si="19"/>
        <v>0</v>
      </c>
      <c r="N1671" s="274"/>
    </row>
    <row r="1672" spans="5:14" ht="13.5" customHeight="1">
      <c r="E1672" s="209" t="s">
        <v>243</v>
      </c>
      <c r="F1672" s="209" t="s">
        <v>2565</v>
      </c>
      <c r="G1672" s="413" t="str">
        <f t="shared" si="20"/>
        <v>07-13</v>
      </c>
      <c r="H1672" s="273" t="e">
        <f ca="1">_xludf.IFNA(VLOOKUP(Aragon!E1672,'Kilter Holds'!$P$37:$AB$662,10,0),0)</f>
        <v>#NAME?</v>
      </c>
      <c r="I1672" s="274"/>
      <c r="J1672" s="274" t="e">
        <f t="shared" ca="1" si="18"/>
        <v>#NAME?</v>
      </c>
      <c r="K1672" s="274">
        <f t="shared" si="19"/>
        <v>0</v>
      </c>
      <c r="N1672" s="274"/>
    </row>
    <row r="1673" spans="5:14" ht="13.5" customHeight="1">
      <c r="E1673" s="209" t="s">
        <v>243</v>
      </c>
      <c r="F1673" s="209" t="s">
        <v>2565</v>
      </c>
      <c r="G1673" s="414" t="str">
        <f t="shared" si="20"/>
        <v>11-26</v>
      </c>
      <c r="H1673" s="273" t="e">
        <f ca="1">_xludf.IFNA(VLOOKUP(Aragon!E1673,'Kilter Holds'!$P$37:$AB$662,11,0),0)</f>
        <v>#NAME?</v>
      </c>
      <c r="I1673" s="274"/>
      <c r="J1673" s="274" t="e">
        <f t="shared" ca="1" si="18"/>
        <v>#NAME?</v>
      </c>
      <c r="K1673" s="274">
        <f t="shared" si="19"/>
        <v>0</v>
      </c>
      <c r="N1673" s="274"/>
    </row>
    <row r="1674" spans="5:14" ht="13.5" customHeight="1">
      <c r="E1674" s="209" t="s">
        <v>243</v>
      </c>
      <c r="F1674" s="209" t="s">
        <v>2565</v>
      </c>
      <c r="G1674" s="415" t="str">
        <f t="shared" si="20"/>
        <v>18-01</v>
      </c>
      <c r="H1674" s="273" t="e">
        <f ca="1">_xludf.IFNA(VLOOKUP(Aragon!E1674,'Kilter Holds'!$P$37:$AB$662,12,0),0)</f>
        <v>#NAME?</v>
      </c>
      <c r="I1674" s="274"/>
      <c r="J1674" s="274" t="e">
        <f t="shared" ca="1" si="18"/>
        <v>#NAME?</v>
      </c>
      <c r="K1674" s="274">
        <f t="shared" si="19"/>
        <v>0</v>
      </c>
      <c r="N1674" s="274"/>
    </row>
    <row r="1675" spans="5:14" ht="13.5" customHeight="1">
      <c r="E1675" s="209" t="s">
        <v>243</v>
      </c>
      <c r="F1675" s="209" t="s">
        <v>2565</v>
      </c>
      <c r="G1675" s="416" t="str">
        <f t="shared" si="20"/>
        <v>Color Code</v>
      </c>
      <c r="H1675" s="273" t="e">
        <f ca="1">_xludf.IFNA(VLOOKUP(Aragon!E1675,'Kilter Holds'!$P$37:$AB$662,13,0),0)</f>
        <v>#NAME?</v>
      </c>
      <c r="I1675" s="274"/>
      <c r="J1675" s="274" t="e">
        <f t="shared" ca="1" si="18"/>
        <v>#NAME?</v>
      </c>
      <c r="K1675" s="274">
        <f t="shared" si="19"/>
        <v>0</v>
      </c>
      <c r="N1675" s="274"/>
    </row>
    <row r="1676" spans="5:14" ht="13.5" customHeight="1">
      <c r="E1676" s="209" t="s">
        <v>203</v>
      </c>
      <c r="F1676" s="209" t="s">
        <v>2566</v>
      </c>
      <c r="G1676" s="406" t="str">
        <f t="shared" si="20"/>
        <v>11-12</v>
      </c>
      <c r="H1676" s="273" t="e">
        <f ca="1">_xludf.IFNA(VLOOKUP(Aragon!E1676,'Kilter Holds'!$P$37:$AB$662,5,0),0)</f>
        <v>#NAME?</v>
      </c>
      <c r="I1676" s="274"/>
      <c r="J1676" s="274" t="e">
        <f t="shared" ca="1" si="18"/>
        <v>#NAME?</v>
      </c>
      <c r="K1676" s="274">
        <f t="shared" si="19"/>
        <v>0</v>
      </c>
      <c r="N1676" s="274"/>
    </row>
    <row r="1677" spans="5:14" ht="13.5" customHeight="1">
      <c r="E1677" s="209" t="s">
        <v>203</v>
      </c>
      <c r="F1677" s="209" t="s">
        <v>2566</v>
      </c>
      <c r="G1677" s="408" t="str">
        <f t="shared" si="20"/>
        <v>14-01</v>
      </c>
      <c r="H1677" s="273" t="e">
        <f ca="1">_xludf.IFNA(VLOOKUP(Aragon!E1677,'Kilter Holds'!$P$37:$AB$662,6,0),0)</f>
        <v>#NAME?</v>
      </c>
      <c r="I1677" s="274"/>
      <c r="J1677" s="274" t="e">
        <f t="shared" ca="1" si="18"/>
        <v>#NAME?</v>
      </c>
      <c r="K1677" s="274">
        <f t="shared" si="19"/>
        <v>0</v>
      </c>
      <c r="N1677" s="274"/>
    </row>
    <row r="1678" spans="5:14" ht="13.5" customHeight="1">
      <c r="E1678" s="209" t="s">
        <v>203</v>
      </c>
      <c r="F1678" s="209" t="s">
        <v>2566</v>
      </c>
      <c r="G1678" s="409" t="str">
        <f t="shared" si="20"/>
        <v>15-12</v>
      </c>
      <c r="H1678" s="273" t="e">
        <f ca="1">_xludf.IFNA(VLOOKUP(Aragon!E1678,'Kilter Holds'!$P$37:$AB$662,7,0),0)</f>
        <v>#NAME?</v>
      </c>
      <c r="I1678" s="274"/>
      <c r="J1678" s="274" t="e">
        <f t="shared" ca="1" si="18"/>
        <v>#NAME?</v>
      </c>
      <c r="K1678" s="274">
        <f t="shared" si="19"/>
        <v>0</v>
      </c>
      <c r="N1678" s="274"/>
    </row>
    <row r="1679" spans="5:14" ht="13.5" customHeight="1">
      <c r="E1679" s="209" t="s">
        <v>203</v>
      </c>
      <c r="F1679" s="209" t="s">
        <v>2566</v>
      </c>
      <c r="G1679" s="410" t="str">
        <f t="shared" si="20"/>
        <v>16-16</v>
      </c>
      <c r="H1679" s="273" t="e">
        <f ca="1">_xludf.IFNA(VLOOKUP(Aragon!E1679,'Kilter Holds'!$P$37:$AB$662,8,0),0)</f>
        <v>#NAME?</v>
      </c>
      <c r="I1679" s="274"/>
      <c r="J1679" s="274" t="e">
        <f t="shared" ca="1" si="18"/>
        <v>#NAME?</v>
      </c>
      <c r="K1679" s="274">
        <f t="shared" si="19"/>
        <v>0</v>
      </c>
      <c r="N1679" s="274"/>
    </row>
    <row r="1680" spans="5:14" ht="13.5" customHeight="1">
      <c r="E1680" s="209" t="s">
        <v>203</v>
      </c>
      <c r="F1680" s="209" t="s">
        <v>2566</v>
      </c>
      <c r="G1680" s="411" t="str">
        <f t="shared" si="20"/>
        <v>13-01</v>
      </c>
      <c r="H1680" s="273" t="e">
        <f ca="1">_xludf.IFNA(VLOOKUP(Aragon!E1680,'Kilter Holds'!$P$37:$AB$662,9,0),0)</f>
        <v>#NAME?</v>
      </c>
      <c r="I1680" s="274"/>
      <c r="J1680" s="274" t="e">
        <f t="shared" ca="1" si="18"/>
        <v>#NAME?</v>
      </c>
      <c r="K1680" s="274">
        <f t="shared" si="19"/>
        <v>0</v>
      </c>
      <c r="N1680" s="274"/>
    </row>
    <row r="1681" spans="5:14" ht="13.5" customHeight="1">
      <c r="E1681" s="209" t="s">
        <v>203</v>
      </c>
      <c r="F1681" s="209" t="s">
        <v>2566</v>
      </c>
      <c r="G1681" s="413" t="str">
        <f t="shared" si="20"/>
        <v>07-13</v>
      </c>
      <c r="H1681" s="273" t="e">
        <f ca="1">_xludf.IFNA(VLOOKUP(Aragon!E1681,'Kilter Holds'!$P$37:$AB$662,10,0),0)</f>
        <v>#NAME?</v>
      </c>
      <c r="I1681" s="274"/>
      <c r="J1681" s="274" t="e">
        <f t="shared" ca="1" si="18"/>
        <v>#NAME?</v>
      </c>
      <c r="K1681" s="274">
        <f t="shared" si="19"/>
        <v>0</v>
      </c>
      <c r="N1681" s="274"/>
    </row>
    <row r="1682" spans="5:14" ht="13.5" customHeight="1">
      <c r="E1682" s="209" t="s">
        <v>203</v>
      </c>
      <c r="F1682" s="209" t="s">
        <v>2566</v>
      </c>
      <c r="G1682" s="414" t="str">
        <f t="shared" si="20"/>
        <v>11-26</v>
      </c>
      <c r="H1682" s="273" t="e">
        <f ca="1">_xludf.IFNA(VLOOKUP(Aragon!E1682,'Kilter Holds'!$P$37:$AB$662,11,0),0)</f>
        <v>#NAME?</v>
      </c>
      <c r="I1682" s="274"/>
      <c r="J1682" s="274" t="e">
        <f t="shared" ca="1" si="18"/>
        <v>#NAME?</v>
      </c>
      <c r="K1682" s="274">
        <f t="shared" si="19"/>
        <v>0</v>
      </c>
      <c r="N1682" s="274"/>
    </row>
    <row r="1683" spans="5:14" ht="13.5" customHeight="1">
      <c r="E1683" s="209" t="s">
        <v>203</v>
      </c>
      <c r="F1683" s="209" t="s">
        <v>2566</v>
      </c>
      <c r="G1683" s="415" t="str">
        <f t="shared" si="20"/>
        <v>18-01</v>
      </c>
      <c r="H1683" s="273" t="e">
        <f ca="1">_xludf.IFNA(VLOOKUP(Aragon!E1683,'Kilter Holds'!$P$37:$AB$662,12,0),0)</f>
        <v>#NAME?</v>
      </c>
      <c r="I1683" s="274"/>
      <c r="J1683" s="274" t="e">
        <f t="shared" ca="1" si="18"/>
        <v>#NAME?</v>
      </c>
      <c r="K1683" s="274">
        <f t="shared" si="19"/>
        <v>0</v>
      </c>
      <c r="N1683" s="274"/>
    </row>
    <row r="1684" spans="5:14" ht="13.5" customHeight="1">
      <c r="E1684" s="209" t="s">
        <v>203</v>
      </c>
      <c r="F1684" s="209" t="s">
        <v>2566</v>
      </c>
      <c r="G1684" s="416" t="str">
        <f t="shared" si="20"/>
        <v>Color Code</v>
      </c>
      <c r="H1684" s="273" t="e">
        <f ca="1">_xludf.IFNA(VLOOKUP(Aragon!E1684,'Kilter Holds'!$P$37:$AB$662,13,0),0)</f>
        <v>#NAME?</v>
      </c>
      <c r="I1684" s="274"/>
      <c r="J1684" s="274" t="e">
        <f t="shared" ca="1" si="18"/>
        <v>#NAME?</v>
      </c>
      <c r="K1684" s="274">
        <f t="shared" si="19"/>
        <v>0</v>
      </c>
      <c r="N1684" s="274"/>
    </row>
    <row r="1685" spans="5:14" ht="13.5" customHeight="1">
      <c r="E1685" s="1" t="s">
        <v>636</v>
      </c>
      <c r="F1685" s="1" t="s">
        <v>2567</v>
      </c>
      <c r="G1685" s="406" t="str">
        <f t="shared" si="20"/>
        <v>11-12</v>
      </c>
      <c r="H1685" s="273" t="e">
        <f ca="1">_xludf.IFNA(VLOOKUP(Aragon!E1685,'Kilter Holds'!$P$37:$AB$662,5,0),0)</f>
        <v>#NAME?</v>
      </c>
      <c r="I1685" s="274"/>
      <c r="J1685" s="274" t="e">
        <f t="shared" ca="1" si="18"/>
        <v>#NAME?</v>
      </c>
      <c r="K1685" s="274">
        <f t="shared" si="19"/>
        <v>0</v>
      </c>
      <c r="N1685" s="274"/>
    </row>
    <row r="1686" spans="5:14" ht="13.5" customHeight="1">
      <c r="E1686" s="1" t="s">
        <v>636</v>
      </c>
      <c r="F1686" s="1" t="s">
        <v>2567</v>
      </c>
      <c r="G1686" s="408" t="str">
        <f t="shared" si="20"/>
        <v>14-01</v>
      </c>
      <c r="H1686" s="273" t="e">
        <f ca="1">_xludf.IFNA(VLOOKUP(Aragon!E1686,'Kilter Holds'!$P$37:$AB$662,6,0),0)</f>
        <v>#NAME?</v>
      </c>
      <c r="I1686" s="274"/>
      <c r="J1686" s="274" t="e">
        <f t="shared" ca="1" si="18"/>
        <v>#NAME?</v>
      </c>
      <c r="K1686" s="274">
        <f t="shared" si="19"/>
        <v>0</v>
      </c>
      <c r="N1686" s="274"/>
    </row>
    <row r="1687" spans="5:14" ht="13.5" customHeight="1">
      <c r="E1687" s="1" t="s">
        <v>636</v>
      </c>
      <c r="F1687" s="1" t="s">
        <v>2567</v>
      </c>
      <c r="G1687" s="409" t="str">
        <f t="shared" si="20"/>
        <v>15-12</v>
      </c>
      <c r="H1687" s="273" t="e">
        <f ca="1">_xludf.IFNA(VLOOKUP(Aragon!E1687,'Kilter Holds'!$P$37:$AB$662,7,0),0)</f>
        <v>#NAME?</v>
      </c>
      <c r="I1687" s="274"/>
      <c r="J1687" s="274" t="e">
        <f t="shared" ca="1" si="18"/>
        <v>#NAME?</v>
      </c>
      <c r="K1687" s="274">
        <f t="shared" si="19"/>
        <v>0</v>
      </c>
      <c r="N1687" s="274"/>
    </row>
    <row r="1688" spans="5:14" ht="13.5" customHeight="1">
      <c r="E1688" s="1" t="s">
        <v>636</v>
      </c>
      <c r="F1688" s="1" t="s">
        <v>2567</v>
      </c>
      <c r="G1688" s="410" t="str">
        <f t="shared" si="20"/>
        <v>16-16</v>
      </c>
      <c r="H1688" s="273" t="e">
        <f ca="1">_xludf.IFNA(VLOOKUP(Aragon!E1688,'Kilter Holds'!$P$37:$AB$662,8,0),0)</f>
        <v>#NAME?</v>
      </c>
      <c r="I1688" s="274"/>
      <c r="J1688" s="274" t="e">
        <f t="shared" ca="1" si="18"/>
        <v>#NAME?</v>
      </c>
      <c r="K1688" s="274">
        <f t="shared" si="19"/>
        <v>0</v>
      </c>
      <c r="N1688" s="274"/>
    </row>
    <row r="1689" spans="5:14" ht="13.5" customHeight="1">
      <c r="E1689" s="1" t="s">
        <v>636</v>
      </c>
      <c r="F1689" s="1" t="s">
        <v>2567</v>
      </c>
      <c r="G1689" s="411" t="str">
        <f t="shared" si="20"/>
        <v>13-01</v>
      </c>
      <c r="H1689" s="273" t="e">
        <f ca="1">_xludf.IFNA(VLOOKUP(Aragon!E1689,'Kilter Holds'!$P$37:$AB$662,9,0),0)</f>
        <v>#NAME?</v>
      </c>
      <c r="I1689" s="274"/>
      <c r="J1689" s="274" t="e">
        <f t="shared" ca="1" si="18"/>
        <v>#NAME?</v>
      </c>
      <c r="K1689" s="274">
        <f t="shared" si="19"/>
        <v>0</v>
      </c>
      <c r="N1689" s="274"/>
    </row>
    <row r="1690" spans="5:14" ht="13.5" customHeight="1">
      <c r="E1690" s="1" t="s">
        <v>636</v>
      </c>
      <c r="F1690" s="1" t="s">
        <v>2567</v>
      </c>
      <c r="G1690" s="413" t="str">
        <f t="shared" si="20"/>
        <v>07-13</v>
      </c>
      <c r="H1690" s="273" t="e">
        <f ca="1">_xludf.IFNA(VLOOKUP(Aragon!E1690,'Kilter Holds'!$P$37:$AB$662,10,0),0)</f>
        <v>#NAME?</v>
      </c>
      <c r="I1690" s="274"/>
      <c r="J1690" s="274" t="e">
        <f t="shared" ca="1" si="18"/>
        <v>#NAME?</v>
      </c>
      <c r="K1690" s="274">
        <f t="shared" si="19"/>
        <v>0</v>
      </c>
      <c r="N1690" s="274"/>
    </row>
    <row r="1691" spans="5:14" ht="13.5" customHeight="1">
      <c r="E1691" s="1" t="s">
        <v>636</v>
      </c>
      <c r="F1691" s="1" t="s">
        <v>2567</v>
      </c>
      <c r="G1691" s="414" t="str">
        <f t="shared" si="20"/>
        <v>11-26</v>
      </c>
      <c r="H1691" s="273" t="e">
        <f ca="1">_xludf.IFNA(VLOOKUP(Aragon!E1691,'Kilter Holds'!$P$37:$AB$662,11,0),0)</f>
        <v>#NAME?</v>
      </c>
      <c r="I1691" s="274"/>
      <c r="J1691" s="274" t="e">
        <f t="shared" ca="1" si="18"/>
        <v>#NAME?</v>
      </c>
      <c r="K1691" s="274">
        <f t="shared" si="19"/>
        <v>0</v>
      </c>
      <c r="N1691" s="274"/>
    </row>
    <row r="1692" spans="5:14" ht="13.5" customHeight="1">
      <c r="E1692" s="1" t="s">
        <v>636</v>
      </c>
      <c r="F1692" s="1" t="s">
        <v>2567</v>
      </c>
      <c r="G1692" s="415" t="str">
        <f t="shared" si="20"/>
        <v>18-01</v>
      </c>
      <c r="H1692" s="273" t="e">
        <f ca="1">_xludf.IFNA(VLOOKUP(Aragon!E1692,'Kilter Holds'!$P$37:$AB$662,12,0),0)</f>
        <v>#NAME?</v>
      </c>
      <c r="I1692" s="274"/>
      <c r="J1692" s="274" t="e">
        <f t="shared" ca="1" si="18"/>
        <v>#NAME?</v>
      </c>
      <c r="K1692" s="274">
        <f t="shared" si="19"/>
        <v>0</v>
      </c>
      <c r="N1692" s="274"/>
    </row>
    <row r="1693" spans="5:14" ht="13.5" customHeight="1">
      <c r="E1693" s="1" t="s">
        <v>636</v>
      </c>
      <c r="F1693" s="1" t="s">
        <v>2567</v>
      </c>
      <c r="G1693" s="416" t="str">
        <f t="shared" si="20"/>
        <v>Color Code</v>
      </c>
      <c r="H1693" s="273" t="e">
        <f ca="1">_xludf.IFNA(VLOOKUP(Aragon!E1693,'Kilter Holds'!$P$37:$AB$662,13,0),0)</f>
        <v>#NAME?</v>
      </c>
      <c r="I1693" s="274"/>
      <c r="J1693" s="274" t="e">
        <f t="shared" ca="1" si="18"/>
        <v>#NAME?</v>
      </c>
      <c r="K1693" s="274">
        <f t="shared" si="19"/>
        <v>0</v>
      </c>
      <c r="N1693" s="274"/>
    </row>
    <row r="1694" spans="5:14" ht="13.5" customHeight="1">
      <c r="E1694" s="209" t="s">
        <v>639</v>
      </c>
      <c r="F1694" s="209" t="s">
        <v>2568</v>
      </c>
      <c r="G1694" s="406" t="str">
        <f t="shared" si="20"/>
        <v>11-12</v>
      </c>
      <c r="H1694" s="273" t="e">
        <f ca="1">_xludf.IFNA(VLOOKUP(Aragon!E1694,'Kilter Holds'!$P$37:$AB$662,5,0),0)</f>
        <v>#NAME?</v>
      </c>
      <c r="I1694" s="274"/>
      <c r="J1694" s="274" t="e">
        <f t="shared" ca="1" si="18"/>
        <v>#NAME?</v>
      </c>
      <c r="K1694" s="274">
        <f t="shared" si="19"/>
        <v>0</v>
      </c>
      <c r="N1694" s="274"/>
    </row>
    <row r="1695" spans="5:14" ht="13.5" customHeight="1">
      <c r="E1695" s="209" t="s">
        <v>639</v>
      </c>
      <c r="F1695" s="209" t="s">
        <v>2568</v>
      </c>
      <c r="G1695" s="408" t="str">
        <f t="shared" si="20"/>
        <v>14-01</v>
      </c>
      <c r="H1695" s="273" t="e">
        <f ca="1">_xludf.IFNA(VLOOKUP(Aragon!E1695,'Kilter Holds'!$P$37:$AB$662,6,0),0)</f>
        <v>#NAME?</v>
      </c>
      <c r="I1695" s="274"/>
      <c r="J1695" s="274" t="e">
        <f t="shared" ca="1" si="18"/>
        <v>#NAME?</v>
      </c>
      <c r="K1695" s="274">
        <f t="shared" si="19"/>
        <v>0</v>
      </c>
      <c r="N1695" s="274"/>
    </row>
    <row r="1696" spans="5:14" ht="13.5" customHeight="1">
      <c r="E1696" s="209" t="s">
        <v>639</v>
      </c>
      <c r="F1696" s="209" t="s">
        <v>2568</v>
      </c>
      <c r="G1696" s="409" t="str">
        <f t="shared" si="20"/>
        <v>15-12</v>
      </c>
      <c r="H1696" s="273" t="e">
        <f ca="1">_xludf.IFNA(VLOOKUP(Aragon!E1696,'Kilter Holds'!$P$37:$AB$662,7,0),0)</f>
        <v>#NAME?</v>
      </c>
      <c r="I1696" s="274"/>
      <c r="J1696" s="274" t="e">
        <f t="shared" ca="1" si="18"/>
        <v>#NAME?</v>
      </c>
      <c r="K1696" s="274">
        <f t="shared" si="19"/>
        <v>0</v>
      </c>
      <c r="N1696" s="274"/>
    </row>
    <row r="1697" spans="5:14" ht="13.5" customHeight="1">
      <c r="E1697" s="209" t="s">
        <v>639</v>
      </c>
      <c r="F1697" s="209" t="s">
        <v>2568</v>
      </c>
      <c r="G1697" s="410" t="str">
        <f t="shared" si="20"/>
        <v>16-16</v>
      </c>
      <c r="H1697" s="273" t="e">
        <f ca="1">_xludf.IFNA(VLOOKUP(Aragon!E1697,'Kilter Holds'!$P$37:$AB$662,8,0),0)</f>
        <v>#NAME?</v>
      </c>
      <c r="I1697" s="274"/>
      <c r="J1697" s="274" t="e">
        <f t="shared" ca="1" si="18"/>
        <v>#NAME?</v>
      </c>
      <c r="K1697" s="274">
        <f t="shared" si="19"/>
        <v>0</v>
      </c>
      <c r="N1697" s="274"/>
    </row>
    <row r="1698" spans="5:14" ht="13.5" customHeight="1">
      <c r="E1698" s="209" t="s">
        <v>639</v>
      </c>
      <c r="F1698" s="209" t="s">
        <v>2568</v>
      </c>
      <c r="G1698" s="411" t="str">
        <f t="shared" si="20"/>
        <v>13-01</v>
      </c>
      <c r="H1698" s="273" t="e">
        <f ca="1">_xludf.IFNA(VLOOKUP(Aragon!E1698,'Kilter Holds'!$P$37:$AB$662,9,0),0)</f>
        <v>#NAME?</v>
      </c>
      <c r="I1698" s="274"/>
      <c r="J1698" s="274" t="e">
        <f t="shared" ca="1" si="18"/>
        <v>#NAME?</v>
      </c>
      <c r="K1698" s="274">
        <f t="shared" si="19"/>
        <v>0</v>
      </c>
      <c r="N1698" s="274"/>
    </row>
    <row r="1699" spans="5:14" ht="13.5" customHeight="1">
      <c r="E1699" s="209" t="s">
        <v>639</v>
      </c>
      <c r="F1699" s="209" t="s">
        <v>2568</v>
      </c>
      <c r="G1699" s="413" t="str">
        <f t="shared" si="20"/>
        <v>07-13</v>
      </c>
      <c r="H1699" s="273" t="e">
        <f ca="1">_xludf.IFNA(VLOOKUP(Aragon!E1699,'Kilter Holds'!$P$37:$AB$662,10,0),0)</f>
        <v>#NAME?</v>
      </c>
      <c r="I1699" s="274"/>
      <c r="J1699" s="274" t="e">
        <f t="shared" ca="1" si="18"/>
        <v>#NAME?</v>
      </c>
      <c r="K1699" s="274">
        <f t="shared" si="19"/>
        <v>0</v>
      </c>
      <c r="N1699" s="274"/>
    </row>
    <row r="1700" spans="5:14" ht="13.5" customHeight="1">
      <c r="E1700" s="209" t="s">
        <v>639</v>
      </c>
      <c r="F1700" s="209" t="s">
        <v>2568</v>
      </c>
      <c r="G1700" s="414" t="str">
        <f t="shared" si="20"/>
        <v>11-26</v>
      </c>
      <c r="H1700" s="273" t="e">
        <f ca="1">_xludf.IFNA(VLOOKUP(Aragon!E1700,'Kilter Holds'!$P$37:$AB$662,11,0),0)</f>
        <v>#NAME?</v>
      </c>
      <c r="I1700" s="274"/>
      <c r="J1700" s="274" t="e">
        <f t="shared" ca="1" si="18"/>
        <v>#NAME?</v>
      </c>
      <c r="K1700" s="274">
        <f t="shared" si="19"/>
        <v>0</v>
      </c>
      <c r="N1700" s="274"/>
    </row>
    <row r="1701" spans="5:14" ht="13.5" customHeight="1">
      <c r="E1701" s="209" t="s">
        <v>639</v>
      </c>
      <c r="F1701" s="209" t="s">
        <v>2568</v>
      </c>
      <c r="G1701" s="415" t="str">
        <f t="shared" si="20"/>
        <v>18-01</v>
      </c>
      <c r="H1701" s="273" t="e">
        <f ca="1">_xludf.IFNA(VLOOKUP(Aragon!E1701,'Kilter Holds'!$P$37:$AB$662,12,0),0)</f>
        <v>#NAME?</v>
      </c>
      <c r="I1701" s="274"/>
      <c r="J1701" s="274" t="e">
        <f t="shared" ca="1" si="18"/>
        <v>#NAME?</v>
      </c>
      <c r="K1701" s="274">
        <f t="shared" si="19"/>
        <v>0</v>
      </c>
      <c r="N1701" s="274"/>
    </row>
    <row r="1702" spans="5:14" ht="13.5" customHeight="1">
      <c r="E1702" s="209" t="s">
        <v>639</v>
      </c>
      <c r="F1702" s="209" t="s">
        <v>2568</v>
      </c>
      <c r="G1702" s="416" t="str">
        <f t="shared" si="20"/>
        <v>Color Code</v>
      </c>
      <c r="H1702" s="273" t="e">
        <f ca="1">_xludf.IFNA(VLOOKUP(Aragon!E1702,'Kilter Holds'!$P$37:$AB$662,13,0),0)</f>
        <v>#NAME?</v>
      </c>
      <c r="I1702" s="274"/>
      <c r="J1702" s="274" t="e">
        <f t="shared" ca="1" si="18"/>
        <v>#NAME?</v>
      </c>
      <c r="K1702" s="274">
        <f t="shared" si="19"/>
        <v>0</v>
      </c>
      <c r="N1702" s="274"/>
    </row>
    <row r="1703" spans="5:14" ht="13.5" customHeight="1">
      <c r="E1703" s="209" t="s">
        <v>205</v>
      </c>
      <c r="F1703" s="209" t="s">
        <v>2569</v>
      </c>
      <c r="G1703" s="406" t="str">
        <f t="shared" si="20"/>
        <v>11-12</v>
      </c>
      <c r="H1703" s="273" t="e">
        <f ca="1">_xludf.IFNA(VLOOKUP(Aragon!E1703,'Kilter Holds'!$P$37:$AB$662,5,0),0)</f>
        <v>#NAME?</v>
      </c>
      <c r="I1703" s="274"/>
      <c r="J1703" s="274" t="e">
        <f t="shared" ca="1" si="18"/>
        <v>#NAME?</v>
      </c>
      <c r="K1703" s="274">
        <f t="shared" si="19"/>
        <v>0</v>
      </c>
      <c r="N1703" s="274"/>
    </row>
    <row r="1704" spans="5:14" ht="13.5" customHeight="1">
      <c r="E1704" s="209" t="s">
        <v>205</v>
      </c>
      <c r="F1704" s="209" t="s">
        <v>2569</v>
      </c>
      <c r="G1704" s="408" t="str">
        <f t="shared" si="20"/>
        <v>14-01</v>
      </c>
      <c r="H1704" s="273" t="e">
        <f ca="1">_xludf.IFNA(VLOOKUP(Aragon!E1704,'Kilter Holds'!$P$37:$AB$662,6,0),0)</f>
        <v>#NAME?</v>
      </c>
      <c r="I1704" s="274"/>
      <c r="J1704" s="274" t="e">
        <f t="shared" ca="1" si="18"/>
        <v>#NAME?</v>
      </c>
      <c r="K1704" s="274">
        <f t="shared" si="19"/>
        <v>0</v>
      </c>
      <c r="N1704" s="274"/>
    </row>
    <row r="1705" spans="5:14" ht="13.5" customHeight="1">
      <c r="E1705" s="209" t="s">
        <v>205</v>
      </c>
      <c r="F1705" s="209" t="s">
        <v>2569</v>
      </c>
      <c r="G1705" s="409" t="str">
        <f t="shared" si="20"/>
        <v>15-12</v>
      </c>
      <c r="H1705" s="273" t="e">
        <f ca="1">_xludf.IFNA(VLOOKUP(Aragon!E1705,'Kilter Holds'!$P$37:$AB$662,7,0),0)</f>
        <v>#NAME?</v>
      </c>
      <c r="I1705" s="274"/>
      <c r="J1705" s="274" t="e">
        <f t="shared" ca="1" si="18"/>
        <v>#NAME?</v>
      </c>
      <c r="K1705" s="274">
        <f t="shared" si="19"/>
        <v>0</v>
      </c>
      <c r="N1705" s="274"/>
    </row>
    <row r="1706" spans="5:14" ht="13.5" customHeight="1">
      <c r="E1706" s="209" t="s">
        <v>205</v>
      </c>
      <c r="F1706" s="209" t="s">
        <v>2569</v>
      </c>
      <c r="G1706" s="410" t="str">
        <f t="shared" si="20"/>
        <v>16-16</v>
      </c>
      <c r="H1706" s="273" t="e">
        <f ca="1">_xludf.IFNA(VLOOKUP(Aragon!E1706,'Kilter Holds'!$P$37:$AB$662,8,0),0)</f>
        <v>#NAME?</v>
      </c>
      <c r="I1706" s="274"/>
      <c r="J1706" s="274" t="e">
        <f t="shared" ca="1" si="18"/>
        <v>#NAME?</v>
      </c>
      <c r="K1706" s="274">
        <f t="shared" si="19"/>
        <v>0</v>
      </c>
      <c r="N1706" s="274"/>
    </row>
    <row r="1707" spans="5:14" ht="13.5" customHeight="1">
      <c r="E1707" s="209" t="s">
        <v>205</v>
      </c>
      <c r="F1707" s="209" t="s">
        <v>2569</v>
      </c>
      <c r="G1707" s="411" t="str">
        <f t="shared" si="20"/>
        <v>13-01</v>
      </c>
      <c r="H1707" s="273" t="e">
        <f ca="1">_xludf.IFNA(VLOOKUP(Aragon!E1707,'Kilter Holds'!$P$37:$AB$662,9,0),0)</f>
        <v>#NAME?</v>
      </c>
      <c r="I1707" s="274"/>
      <c r="J1707" s="274" t="e">
        <f t="shared" ca="1" si="18"/>
        <v>#NAME?</v>
      </c>
      <c r="K1707" s="274">
        <f t="shared" si="19"/>
        <v>0</v>
      </c>
      <c r="N1707" s="274"/>
    </row>
    <row r="1708" spans="5:14" ht="13.5" customHeight="1">
      <c r="E1708" s="209" t="s">
        <v>205</v>
      </c>
      <c r="F1708" s="209" t="s">
        <v>2569</v>
      </c>
      <c r="G1708" s="413" t="str">
        <f t="shared" si="20"/>
        <v>07-13</v>
      </c>
      <c r="H1708" s="273" t="e">
        <f ca="1">_xludf.IFNA(VLOOKUP(Aragon!E1708,'Kilter Holds'!$P$37:$AB$662,10,0),0)</f>
        <v>#NAME?</v>
      </c>
      <c r="I1708" s="274"/>
      <c r="J1708" s="274" t="e">
        <f t="shared" ca="1" si="18"/>
        <v>#NAME?</v>
      </c>
      <c r="K1708" s="274">
        <f t="shared" si="19"/>
        <v>0</v>
      </c>
      <c r="N1708" s="274"/>
    </row>
    <row r="1709" spans="5:14" ht="13.5" customHeight="1">
      <c r="E1709" s="209" t="s">
        <v>205</v>
      </c>
      <c r="F1709" s="209" t="s">
        <v>2569</v>
      </c>
      <c r="G1709" s="414" t="str">
        <f t="shared" si="20"/>
        <v>11-26</v>
      </c>
      <c r="H1709" s="273" t="e">
        <f ca="1">_xludf.IFNA(VLOOKUP(Aragon!E1709,'Kilter Holds'!$P$37:$AB$662,11,0),0)</f>
        <v>#NAME?</v>
      </c>
      <c r="I1709" s="274"/>
      <c r="J1709" s="274" t="e">
        <f t="shared" ca="1" si="18"/>
        <v>#NAME?</v>
      </c>
      <c r="K1709" s="274">
        <f t="shared" si="19"/>
        <v>0</v>
      </c>
      <c r="N1709" s="274"/>
    </row>
    <row r="1710" spans="5:14" ht="13.5" customHeight="1">
      <c r="E1710" s="209" t="s">
        <v>205</v>
      </c>
      <c r="F1710" s="209" t="s">
        <v>2569</v>
      </c>
      <c r="G1710" s="415" t="str">
        <f t="shared" si="20"/>
        <v>18-01</v>
      </c>
      <c r="H1710" s="273" t="e">
        <f ca="1">_xludf.IFNA(VLOOKUP(Aragon!E1710,'Kilter Holds'!$P$37:$AB$662,12,0),0)</f>
        <v>#NAME?</v>
      </c>
      <c r="I1710" s="274"/>
      <c r="J1710" s="274" t="e">
        <f t="shared" ca="1" si="18"/>
        <v>#NAME?</v>
      </c>
      <c r="K1710" s="274">
        <f t="shared" si="19"/>
        <v>0</v>
      </c>
      <c r="N1710" s="274"/>
    </row>
    <row r="1711" spans="5:14" ht="13.5" customHeight="1">
      <c r="E1711" s="209" t="s">
        <v>205</v>
      </c>
      <c r="F1711" s="209" t="s">
        <v>2569</v>
      </c>
      <c r="G1711" s="416" t="str">
        <f t="shared" si="20"/>
        <v>Color Code</v>
      </c>
      <c r="H1711" s="273" t="e">
        <f ca="1">_xludf.IFNA(VLOOKUP(Aragon!E1711,'Kilter Holds'!$P$37:$AB$662,13,0),0)</f>
        <v>#NAME?</v>
      </c>
      <c r="I1711" s="274"/>
      <c r="J1711" s="274" t="e">
        <f t="shared" ca="1" si="18"/>
        <v>#NAME?</v>
      </c>
      <c r="K1711" s="274">
        <f t="shared" si="19"/>
        <v>0</v>
      </c>
      <c r="N1711" s="274"/>
    </row>
    <row r="1712" spans="5:14" ht="13.5" customHeight="1">
      <c r="E1712" s="209" t="s">
        <v>641</v>
      </c>
      <c r="F1712" s="209" t="s">
        <v>2570</v>
      </c>
      <c r="G1712" s="406" t="str">
        <f t="shared" si="20"/>
        <v>11-12</v>
      </c>
      <c r="H1712" s="273" t="e">
        <f ca="1">_xludf.IFNA(VLOOKUP(Aragon!E1712,'Kilter Holds'!$P$37:$AB$662,5,0),0)</f>
        <v>#NAME?</v>
      </c>
      <c r="I1712" s="274"/>
      <c r="J1712" s="274" t="e">
        <f t="shared" ca="1" si="18"/>
        <v>#NAME?</v>
      </c>
      <c r="K1712" s="274">
        <f t="shared" si="19"/>
        <v>0</v>
      </c>
      <c r="N1712" s="274"/>
    </row>
    <row r="1713" spans="5:14" ht="13.5" customHeight="1">
      <c r="E1713" s="209" t="s">
        <v>641</v>
      </c>
      <c r="F1713" s="209" t="s">
        <v>2570</v>
      </c>
      <c r="G1713" s="408" t="str">
        <f t="shared" si="20"/>
        <v>14-01</v>
      </c>
      <c r="H1713" s="273" t="e">
        <f ca="1">_xludf.IFNA(VLOOKUP(Aragon!E1713,'Kilter Holds'!$P$37:$AB$662,6,0),0)</f>
        <v>#NAME?</v>
      </c>
      <c r="I1713" s="274"/>
      <c r="J1713" s="274" t="e">
        <f t="shared" ca="1" si="18"/>
        <v>#NAME?</v>
      </c>
      <c r="K1713" s="274">
        <f t="shared" si="19"/>
        <v>0</v>
      </c>
      <c r="N1713" s="274"/>
    </row>
    <row r="1714" spans="5:14" ht="13.5" customHeight="1">
      <c r="E1714" s="209" t="s">
        <v>641</v>
      </c>
      <c r="F1714" s="209" t="s">
        <v>2570</v>
      </c>
      <c r="G1714" s="409" t="str">
        <f t="shared" si="20"/>
        <v>15-12</v>
      </c>
      <c r="H1714" s="273" t="e">
        <f ca="1">_xludf.IFNA(VLOOKUP(Aragon!E1714,'Kilter Holds'!$P$37:$AB$662,7,0),0)</f>
        <v>#NAME?</v>
      </c>
      <c r="I1714" s="274"/>
      <c r="J1714" s="274" t="e">
        <f t="shared" ca="1" si="18"/>
        <v>#NAME?</v>
      </c>
      <c r="K1714" s="274">
        <f t="shared" si="19"/>
        <v>0</v>
      </c>
      <c r="N1714" s="274"/>
    </row>
    <row r="1715" spans="5:14" ht="13.5" customHeight="1">
      <c r="E1715" s="209" t="s">
        <v>641</v>
      </c>
      <c r="F1715" s="209" t="s">
        <v>2570</v>
      </c>
      <c r="G1715" s="410" t="str">
        <f t="shared" si="20"/>
        <v>16-16</v>
      </c>
      <c r="H1715" s="273" t="e">
        <f ca="1">_xludf.IFNA(VLOOKUP(Aragon!E1715,'Kilter Holds'!$P$37:$AB$662,8,0),0)</f>
        <v>#NAME?</v>
      </c>
      <c r="I1715" s="274"/>
      <c r="J1715" s="274" t="e">
        <f t="shared" ca="1" si="18"/>
        <v>#NAME?</v>
      </c>
      <c r="K1715" s="274">
        <f t="shared" si="19"/>
        <v>0</v>
      </c>
      <c r="N1715" s="274"/>
    </row>
    <row r="1716" spans="5:14" ht="13.5" customHeight="1">
      <c r="E1716" s="209" t="s">
        <v>641</v>
      </c>
      <c r="F1716" s="209" t="s">
        <v>2570</v>
      </c>
      <c r="G1716" s="411" t="str">
        <f t="shared" si="20"/>
        <v>13-01</v>
      </c>
      <c r="H1716" s="273" t="e">
        <f ca="1">_xludf.IFNA(VLOOKUP(Aragon!E1716,'Kilter Holds'!$P$37:$AB$662,9,0),0)</f>
        <v>#NAME?</v>
      </c>
      <c r="I1716" s="274"/>
      <c r="J1716" s="274" t="e">
        <f t="shared" ca="1" si="18"/>
        <v>#NAME?</v>
      </c>
      <c r="K1716" s="274">
        <f t="shared" si="19"/>
        <v>0</v>
      </c>
      <c r="N1716" s="274"/>
    </row>
    <row r="1717" spans="5:14" ht="13.5" customHeight="1">
      <c r="E1717" s="209" t="s">
        <v>641</v>
      </c>
      <c r="F1717" s="209" t="s">
        <v>2570</v>
      </c>
      <c r="G1717" s="413" t="str">
        <f t="shared" si="20"/>
        <v>07-13</v>
      </c>
      <c r="H1717" s="273" t="e">
        <f ca="1">_xludf.IFNA(VLOOKUP(Aragon!E1717,'Kilter Holds'!$P$37:$AB$662,10,0),0)</f>
        <v>#NAME?</v>
      </c>
      <c r="I1717" s="274"/>
      <c r="J1717" s="274" t="e">
        <f t="shared" ca="1" si="18"/>
        <v>#NAME?</v>
      </c>
      <c r="K1717" s="274">
        <f t="shared" si="19"/>
        <v>0</v>
      </c>
      <c r="N1717" s="274"/>
    </row>
    <row r="1718" spans="5:14" ht="13.5" customHeight="1">
      <c r="E1718" s="209" t="s">
        <v>641</v>
      </c>
      <c r="F1718" s="209" t="s">
        <v>2570</v>
      </c>
      <c r="G1718" s="414" t="str">
        <f t="shared" si="20"/>
        <v>11-26</v>
      </c>
      <c r="H1718" s="273" t="e">
        <f ca="1">_xludf.IFNA(VLOOKUP(Aragon!E1718,'Kilter Holds'!$P$37:$AB$662,11,0),0)</f>
        <v>#NAME?</v>
      </c>
      <c r="I1718" s="274"/>
      <c r="J1718" s="274" t="e">
        <f t="shared" ca="1" si="18"/>
        <v>#NAME?</v>
      </c>
      <c r="K1718" s="274">
        <f t="shared" si="19"/>
        <v>0</v>
      </c>
      <c r="N1718" s="274"/>
    </row>
    <row r="1719" spans="5:14" ht="13.5" customHeight="1">
      <c r="E1719" s="209" t="s">
        <v>641</v>
      </c>
      <c r="F1719" s="209" t="s">
        <v>2570</v>
      </c>
      <c r="G1719" s="415" t="str">
        <f t="shared" si="20"/>
        <v>18-01</v>
      </c>
      <c r="H1719" s="273" t="e">
        <f ca="1">_xludf.IFNA(VLOOKUP(Aragon!E1719,'Kilter Holds'!$P$37:$AB$662,12,0),0)</f>
        <v>#NAME?</v>
      </c>
      <c r="I1719" s="274"/>
      <c r="J1719" s="274" t="e">
        <f t="shared" ca="1" si="18"/>
        <v>#NAME?</v>
      </c>
      <c r="K1719" s="274">
        <f t="shared" si="19"/>
        <v>0</v>
      </c>
      <c r="N1719" s="274"/>
    </row>
    <row r="1720" spans="5:14" ht="13.5" customHeight="1">
      <c r="E1720" s="209" t="s">
        <v>641</v>
      </c>
      <c r="F1720" s="209" t="s">
        <v>2570</v>
      </c>
      <c r="G1720" s="416" t="str">
        <f t="shared" si="20"/>
        <v>Color Code</v>
      </c>
      <c r="H1720" s="273" t="e">
        <f ca="1">_xludf.IFNA(VLOOKUP(Aragon!E1720,'Kilter Holds'!$P$37:$AB$662,13,0),0)</f>
        <v>#NAME?</v>
      </c>
      <c r="I1720" s="274"/>
      <c r="J1720" s="274" t="e">
        <f t="shared" ca="1" si="18"/>
        <v>#NAME?</v>
      </c>
      <c r="K1720" s="274">
        <f t="shared" si="19"/>
        <v>0</v>
      </c>
      <c r="N1720" s="274"/>
    </row>
    <row r="1721" spans="5:14" ht="13.5" customHeight="1">
      <c r="E1721" s="209" t="s">
        <v>207</v>
      </c>
      <c r="F1721" s="209" t="s">
        <v>2571</v>
      </c>
      <c r="G1721" s="406" t="str">
        <f t="shared" si="20"/>
        <v>11-12</v>
      </c>
      <c r="H1721" s="273" t="e">
        <f ca="1">_xludf.IFNA(VLOOKUP(Aragon!E1721,'Kilter Holds'!$P$37:$AB$662,5,0),0)</f>
        <v>#NAME?</v>
      </c>
      <c r="I1721" s="274"/>
      <c r="J1721" s="274" t="e">
        <f t="shared" ca="1" si="18"/>
        <v>#NAME?</v>
      </c>
      <c r="K1721" s="274">
        <f t="shared" si="19"/>
        <v>0</v>
      </c>
      <c r="N1721" s="274"/>
    </row>
    <row r="1722" spans="5:14" ht="13.5" customHeight="1">
      <c r="E1722" s="209" t="s">
        <v>207</v>
      </c>
      <c r="F1722" s="209" t="s">
        <v>2571</v>
      </c>
      <c r="G1722" s="408" t="str">
        <f t="shared" si="20"/>
        <v>14-01</v>
      </c>
      <c r="H1722" s="273" t="e">
        <f ca="1">_xludf.IFNA(VLOOKUP(Aragon!E1722,'Kilter Holds'!$P$37:$AB$662,6,0),0)</f>
        <v>#NAME?</v>
      </c>
      <c r="I1722" s="274"/>
      <c r="J1722" s="274" t="e">
        <f t="shared" ca="1" si="18"/>
        <v>#NAME?</v>
      </c>
      <c r="K1722" s="274">
        <f t="shared" si="19"/>
        <v>0</v>
      </c>
      <c r="N1722" s="274"/>
    </row>
    <row r="1723" spans="5:14" ht="13.5" customHeight="1">
      <c r="E1723" s="209" t="s">
        <v>207</v>
      </c>
      <c r="F1723" s="209" t="s">
        <v>2571</v>
      </c>
      <c r="G1723" s="409" t="str">
        <f t="shared" si="20"/>
        <v>15-12</v>
      </c>
      <c r="H1723" s="273" t="e">
        <f ca="1">_xludf.IFNA(VLOOKUP(Aragon!E1723,'Kilter Holds'!$P$37:$AB$662,7,0),0)</f>
        <v>#NAME?</v>
      </c>
      <c r="I1723" s="274"/>
      <c r="J1723" s="274" t="e">
        <f t="shared" ca="1" si="18"/>
        <v>#NAME?</v>
      </c>
      <c r="K1723" s="274">
        <f t="shared" si="19"/>
        <v>0</v>
      </c>
      <c r="N1723" s="274"/>
    </row>
    <row r="1724" spans="5:14" ht="13.5" customHeight="1">
      <c r="E1724" s="209" t="s">
        <v>207</v>
      </c>
      <c r="F1724" s="209" t="s">
        <v>2571</v>
      </c>
      <c r="G1724" s="410" t="str">
        <f t="shared" si="20"/>
        <v>16-16</v>
      </c>
      <c r="H1724" s="273" t="e">
        <f ca="1">_xludf.IFNA(VLOOKUP(Aragon!E1724,'Kilter Holds'!$P$37:$AB$662,8,0),0)</f>
        <v>#NAME?</v>
      </c>
      <c r="I1724" s="274"/>
      <c r="J1724" s="274" t="e">
        <f t="shared" ca="1" si="18"/>
        <v>#NAME?</v>
      </c>
      <c r="K1724" s="274">
        <f t="shared" si="19"/>
        <v>0</v>
      </c>
      <c r="N1724" s="274"/>
    </row>
    <row r="1725" spans="5:14" ht="13.5" customHeight="1">
      <c r="E1725" s="209" t="s">
        <v>207</v>
      </c>
      <c r="F1725" s="209" t="s">
        <v>2571</v>
      </c>
      <c r="G1725" s="411" t="str">
        <f t="shared" si="20"/>
        <v>13-01</v>
      </c>
      <c r="H1725" s="273" t="e">
        <f ca="1">_xludf.IFNA(VLOOKUP(Aragon!E1725,'Kilter Holds'!$P$37:$AB$662,9,0),0)</f>
        <v>#NAME?</v>
      </c>
      <c r="I1725" s="274"/>
      <c r="J1725" s="274" t="e">
        <f t="shared" ca="1" si="18"/>
        <v>#NAME?</v>
      </c>
      <c r="K1725" s="274">
        <f t="shared" si="19"/>
        <v>0</v>
      </c>
      <c r="N1725" s="274"/>
    </row>
    <row r="1726" spans="5:14" ht="13.5" customHeight="1">
      <c r="E1726" s="209" t="s">
        <v>207</v>
      </c>
      <c r="F1726" s="209" t="s">
        <v>2571</v>
      </c>
      <c r="G1726" s="413" t="str">
        <f t="shared" si="20"/>
        <v>07-13</v>
      </c>
      <c r="H1726" s="273" t="e">
        <f ca="1">_xludf.IFNA(VLOOKUP(Aragon!E1726,'Kilter Holds'!$P$37:$AB$662,10,0),0)</f>
        <v>#NAME?</v>
      </c>
      <c r="I1726" s="274"/>
      <c r="J1726" s="274" t="e">
        <f t="shared" ca="1" si="18"/>
        <v>#NAME?</v>
      </c>
      <c r="K1726" s="274">
        <f t="shared" si="19"/>
        <v>0</v>
      </c>
      <c r="N1726" s="274"/>
    </row>
    <row r="1727" spans="5:14" ht="13.5" customHeight="1">
      <c r="E1727" s="209" t="s">
        <v>207</v>
      </c>
      <c r="F1727" s="209" t="s">
        <v>2571</v>
      </c>
      <c r="G1727" s="414" t="str">
        <f t="shared" si="20"/>
        <v>11-26</v>
      </c>
      <c r="H1727" s="273" t="e">
        <f ca="1">_xludf.IFNA(VLOOKUP(Aragon!E1727,'Kilter Holds'!$P$37:$AB$662,11,0),0)</f>
        <v>#NAME?</v>
      </c>
      <c r="I1727" s="274"/>
      <c r="J1727" s="274" t="e">
        <f t="shared" ca="1" si="18"/>
        <v>#NAME?</v>
      </c>
      <c r="K1727" s="274">
        <f t="shared" si="19"/>
        <v>0</v>
      </c>
      <c r="N1727" s="274"/>
    </row>
    <row r="1728" spans="5:14" ht="13.5" customHeight="1">
      <c r="E1728" s="209" t="s">
        <v>207</v>
      </c>
      <c r="F1728" s="209" t="s">
        <v>2571</v>
      </c>
      <c r="G1728" s="415" t="str">
        <f t="shared" si="20"/>
        <v>18-01</v>
      </c>
      <c r="H1728" s="273" t="e">
        <f ca="1">_xludf.IFNA(VLOOKUP(Aragon!E1728,'Kilter Holds'!$P$37:$AB$662,12,0),0)</f>
        <v>#NAME?</v>
      </c>
      <c r="I1728" s="274"/>
      <c r="J1728" s="274" t="e">
        <f t="shared" ca="1" si="18"/>
        <v>#NAME?</v>
      </c>
      <c r="K1728" s="274">
        <f t="shared" si="19"/>
        <v>0</v>
      </c>
      <c r="N1728" s="274"/>
    </row>
    <row r="1729" spans="5:14" ht="13.5" customHeight="1">
      <c r="E1729" s="209" t="s">
        <v>207</v>
      </c>
      <c r="F1729" s="209" t="s">
        <v>2571</v>
      </c>
      <c r="G1729" s="416" t="str">
        <f t="shared" si="20"/>
        <v>Color Code</v>
      </c>
      <c r="H1729" s="273" t="e">
        <f ca="1">_xludf.IFNA(VLOOKUP(Aragon!E1729,'Kilter Holds'!$P$37:$AB$662,13,0),0)</f>
        <v>#NAME?</v>
      </c>
      <c r="I1729" s="274"/>
      <c r="J1729" s="274" t="e">
        <f t="shared" ca="1" si="18"/>
        <v>#NAME?</v>
      </c>
      <c r="K1729" s="274">
        <f t="shared" si="19"/>
        <v>0</v>
      </c>
      <c r="N1729" s="274"/>
    </row>
    <row r="1730" spans="5:14" ht="13.5" customHeight="1">
      <c r="E1730" s="209" t="s">
        <v>643</v>
      </c>
      <c r="F1730" s="209" t="s">
        <v>2572</v>
      </c>
      <c r="G1730" s="406" t="str">
        <f t="shared" si="20"/>
        <v>11-12</v>
      </c>
      <c r="H1730" s="273" t="e">
        <f ca="1">_xludf.IFNA(VLOOKUP(Aragon!E1730,'Kilter Holds'!$P$37:$AB$662,5,0),0)</f>
        <v>#NAME?</v>
      </c>
      <c r="I1730" s="274"/>
      <c r="J1730" s="274" t="e">
        <f t="shared" ca="1" si="18"/>
        <v>#NAME?</v>
      </c>
      <c r="K1730" s="274">
        <f t="shared" si="19"/>
        <v>0</v>
      </c>
      <c r="N1730" s="274"/>
    </row>
    <row r="1731" spans="5:14" ht="13.5" customHeight="1">
      <c r="E1731" s="209" t="s">
        <v>643</v>
      </c>
      <c r="F1731" s="209" t="s">
        <v>2572</v>
      </c>
      <c r="G1731" s="408" t="str">
        <f t="shared" si="20"/>
        <v>14-01</v>
      </c>
      <c r="H1731" s="273" t="e">
        <f ca="1">_xludf.IFNA(VLOOKUP(Aragon!E1731,'Kilter Holds'!$P$37:$AB$662,6,0),0)</f>
        <v>#NAME?</v>
      </c>
      <c r="I1731" s="274"/>
      <c r="J1731" s="274" t="e">
        <f t="shared" ca="1" si="18"/>
        <v>#NAME?</v>
      </c>
      <c r="K1731" s="274">
        <f t="shared" si="19"/>
        <v>0</v>
      </c>
      <c r="N1731" s="274"/>
    </row>
    <row r="1732" spans="5:14" ht="13.5" customHeight="1">
      <c r="E1732" s="209" t="s">
        <v>643</v>
      </c>
      <c r="F1732" s="209" t="s">
        <v>2572</v>
      </c>
      <c r="G1732" s="409" t="str">
        <f t="shared" si="20"/>
        <v>15-12</v>
      </c>
      <c r="H1732" s="273" t="e">
        <f ca="1">_xludf.IFNA(VLOOKUP(Aragon!E1732,'Kilter Holds'!$P$37:$AB$662,7,0),0)</f>
        <v>#NAME?</v>
      </c>
      <c r="I1732" s="274"/>
      <c r="J1732" s="274" t="e">
        <f t="shared" ca="1" si="18"/>
        <v>#NAME?</v>
      </c>
      <c r="K1732" s="274">
        <f t="shared" si="19"/>
        <v>0</v>
      </c>
      <c r="N1732" s="274"/>
    </row>
    <row r="1733" spans="5:14" ht="13.5" customHeight="1">
      <c r="E1733" s="209" t="s">
        <v>643</v>
      </c>
      <c r="F1733" s="209" t="s">
        <v>2572</v>
      </c>
      <c r="G1733" s="410" t="str">
        <f t="shared" si="20"/>
        <v>16-16</v>
      </c>
      <c r="H1733" s="273" t="e">
        <f ca="1">_xludf.IFNA(VLOOKUP(Aragon!E1733,'Kilter Holds'!$P$37:$AB$662,8,0),0)</f>
        <v>#NAME?</v>
      </c>
      <c r="I1733" s="274"/>
      <c r="J1733" s="274" t="e">
        <f t="shared" ca="1" si="18"/>
        <v>#NAME?</v>
      </c>
      <c r="K1733" s="274">
        <f t="shared" si="19"/>
        <v>0</v>
      </c>
      <c r="N1733" s="274"/>
    </row>
    <row r="1734" spans="5:14" ht="13.5" customHeight="1">
      <c r="E1734" s="209" t="s">
        <v>643</v>
      </c>
      <c r="F1734" s="209" t="s">
        <v>2572</v>
      </c>
      <c r="G1734" s="411" t="str">
        <f t="shared" si="20"/>
        <v>13-01</v>
      </c>
      <c r="H1734" s="273" t="e">
        <f ca="1">_xludf.IFNA(VLOOKUP(Aragon!E1734,'Kilter Holds'!$P$37:$AB$662,9,0),0)</f>
        <v>#NAME?</v>
      </c>
      <c r="I1734" s="274"/>
      <c r="J1734" s="274" t="e">
        <f t="shared" ca="1" si="18"/>
        <v>#NAME?</v>
      </c>
      <c r="K1734" s="274">
        <f t="shared" si="19"/>
        <v>0</v>
      </c>
      <c r="N1734" s="274"/>
    </row>
    <row r="1735" spans="5:14" ht="13.5" customHeight="1">
      <c r="E1735" s="209" t="s">
        <v>643</v>
      </c>
      <c r="F1735" s="209" t="s">
        <v>2572</v>
      </c>
      <c r="G1735" s="413" t="str">
        <f t="shared" si="20"/>
        <v>07-13</v>
      </c>
      <c r="H1735" s="273" t="e">
        <f ca="1">_xludf.IFNA(VLOOKUP(Aragon!E1735,'Kilter Holds'!$P$37:$AB$662,10,0),0)</f>
        <v>#NAME?</v>
      </c>
      <c r="I1735" s="274"/>
      <c r="J1735" s="274" t="e">
        <f t="shared" ca="1" si="18"/>
        <v>#NAME?</v>
      </c>
      <c r="K1735" s="274">
        <f t="shared" si="19"/>
        <v>0</v>
      </c>
      <c r="N1735" s="274"/>
    </row>
    <row r="1736" spans="5:14" ht="13.5" customHeight="1">
      <c r="E1736" s="209" t="s">
        <v>643</v>
      </c>
      <c r="F1736" s="209" t="s">
        <v>2572</v>
      </c>
      <c r="G1736" s="414" t="str">
        <f t="shared" si="20"/>
        <v>11-26</v>
      </c>
      <c r="H1736" s="273" t="e">
        <f ca="1">_xludf.IFNA(VLOOKUP(Aragon!E1736,'Kilter Holds'!$P$37:$AB$662,11,0),0)</f>
        <v>#NAME?</v>
      </c>
      <c r="I1736" s="274"/>
      <c r="J1736" s="274" t="e">
        <f t="shared" ca="1" si="18"/>
        <v>#NAME?</v>
      </c>
      <c r="K1736" s="274">
        <f t="shared" si="19"/>
        <v>0</v>
      </c>
      <c r="N1736" s="274"/>
    </row>
    <row r="1737" spans="5:14" ht="13.5" customHeight="1">
      <c r="E1737" s="209" t="s">
        <v>643</v>
      </c>
      <c r="F1737" s="209" t="s">
        <v>2572</v>
      </c>
      <c r="G1737" s="415" t="str">
        <f t="shared" si="20"/>
        <v>18-01</v>
      </c>
      <c r="H1737" s="273" t="e">
        <f ca="1">_xludf.IFNA(VLOOKUP(Aragon!E1737,'Kilter Holds'!$P$37:$AB$662,12,0),0)</f>
        <v>#NAME?</v>
      </c>
      <c r="I1737" s="274"/>
      <c r="J1737" s="274" t="e">
        <f t="shared" ca="1" si="18"/>
        <v>#NAME?</v>
      </c>
      <c r="K1737" s="274">
        <f t="shared" si="19"/>
        <v>0</v>
      </c>
      <c r="N1737" s="274"/>
    </row>
    <row r="1738" spans="5:14" ht="13.5" customHeight="1">
      <c r="E1738" s="209" t="s">
        <v>643</v>
      </c>
      <c r="F1738" s="209" t="s">
        <v>2572</v>
      </c>
      <c r="G1738" s="416" t="str">
        <f t="shared" si="20"/>
        <v>Color Code</v>
      </c>
      <c r="H1738" s="273" t="e">
        <f ca="1">_xludf.IFNA(VLOOKUP(Aragon!E1738,'Kilter Holds'!$P$37:$AB$662,13,0),0)</f>
        <v>#NAME?</v>
      </c>
      <c r="I1738" s="274"/>
      <c r="J1738" s="274" t="e">
        <f t="shared" ca="1" si="18"/>
        <v>#NAME?</v>
      </c>
      <c r="K1738" s="274">
        <f t="shared" si="19"/>
        <v>0</v>
      </c>
      <c r="N1738" s="274"/>
    </row>
    <row r="1739" spans="5:14" ht="13.5" customHeight="1">
      <c r="E1739" s="1" t="s">
        <v>647</v>
      </c>
      <c r="F1739" s="1" t="s">
        <v>2573</v>
      </c>
      <c r="G1739" s="406" t="str">
        <f t="shared" si="20"/>
        <v>11-12</v>
      </c>
      <c r="H1739" s="273" t="e">
        <f ca="1">_xludf.IFNA(VLOOKUP(Aragon!E1739,'Kilter Holds'!$P$37:$AB$662,5,0),0)</f>
        <v>#NAME?</v>
      </c>
      <c r="I1739" s="274"/>
      <c r="J1739" s="274" t="e">
        <f t="shared" ca="1" si="18"/>
        <v>#NAME?</v>
      </c>
      <c r="K1739" s="274">
        <f t="shared" si="19"/>
        <v>0</v>
      </c>
      <c r="N1739" s="274"/>
    </row>
    <row r="1740" spans="5:14" ht="13.5" customHeight="1">
      <c r="E1740" s="1" t="s">
        <v>647</v>
      </c>
      <c r="F1740" s="1" t="s">
        <v>2573</v>
      </c>
      <c r="G1740" s="408" t="str">
        <f t="shared" si="20"/>
        <v>14-01</v>
      </c>
      <c r="H1740" s="273" t="e">
        <f ca="1">_xludf.IFNA(VLOOKUP(Aragon!E1740,'Kilter Holds'!$P$37:$AB$662,6,0),0)</f>
        <v>#NAME?</v>
      </c>
      <c r="I1740" s="274"/>
      <c r="J1740" s="274" t="e">
        <f t="shared" ca="1" si="18"/>
        <v>#NAME?</v>
      </c>
      <c r="K1740" s="274">
        <f t="shared" si="19"/>
        <v>0</v>
      </c>
      <c r="N1740" s="274"/>
    </row>
    <row r="1741" spans="5:14" ht="13.5" customHeight="1">
      <c r="E1741" s="1" t="s">
        <v>647</v>
      </c>
      <c r="F1741" s="1" t="s">
        <v>2573</v>
      </c>
      <c r="G1741" s="409" t="str">
        <f t="shared" si="20"/>
        <v>15-12</v>
      </c>
      <c r="H1741" s="273" t="e">
        <f ca="1">_xludf.IFNA(VLOOKUP(Aragon!E1741,'Kilter Holds'!$P$37:$AB$662,7,0),0)</f>
        <v>#NAME?</v>
      </c>
      <c r="I1741" s="274"/>
      <c r="J1741" s="274" t="e">
        <f t="shared" ca="1" si="18"/>
        <v>#NAME?</v>
      </c>
      <c r="K1741" s="274">
        <f t="shared" si="19"/>
        <v>0</v>
      </c>
      <c r="N1741" s="274"/>
    </row>
    <row r="1742" spans="5:14" ht="13.5" customHeight="1">
      <c r="E1742" s="1" t="s">
        <v>647</v>
      </c>
      <c r="F1742" s="1" t="s">
        <v>2573</v>
      </c>
      <c r="G1742" s="410" t="str">
        <f t="shared" si="20"/>
        <v>16-16</v>
      </c>
      <c r="H1742" s="273" t="e">
        <f ca="1">_xludf.IFNA(VLOOKUP(Aragon!E1742,'Kilter Holds'!$P$37:$AB$662,8,0),0)</f>
        <v>#NAME?</v>
      </c>
      <c r="I1742" s="274"/>
      <c r="J1742" s="274" t="e">
        <f t="shared" ca="1" si="18"/>
        <v>#NAME?</v>
      </c>
      <c r="K1742" s="274">
        <f t="shared" si="19"/>
        <v>0</v>
      </c>
      <c r="N1742" s="274"/>
    </row>
    <row r="1743" spans="5:14" ht="13.5" customHeight="1">
      <c r="E1743" s="1" t="s">
        <v>647</v>
      </c>
      <c r="F1743" s="1" t="s">
        <v>2573</v>
      </c>
      <c r="G1743" s="411" t="str">
        <f t="shared" si="20"/>
        <v>13-01</v>
      </c>
      <c r="H1743" s="273" t="e">
        <f ca="1">_xludf.IFNA(VLOOKUP(Aragon!E1743,'Kilter Holds'!$P$37:$AB$662,9,0),0)</f>
        <v>#NAME?</v>
      </c>
      <c r="I1743" s="274"/>
      <c r="J1743" s="274" t="e">
        <f t="shared" ca="1" si="18"/>
        <v>#NAME?</v>
      </c>
      <c r="K1743" s="274">
        <f t="shared" si="19"/>
        <v>0</v>
      </c>
      <c r="N1743" s="274"/>
    </row>
    <row r="1744" spans="5:14" ht="13.5" customHeight="1">
      <c r="E1744" s="1" t="s">
        <v>647</v>
      </c>
      <c r="F1744" s="1" t="s">
        <v>2573</v>
      </c>
      <c r="G1744" s="413" t="str">
        <f t="shared" si="20"/>
        <v>07-13</v>
      </c>
      <c r="H1744" s="273" t="e">
        <f ca="1">_xludf.IFNA(VLOOKUP(Aragon!E1744,'Kilter Holds'!$P$37:$AB$662,10,0),0)</f>
        <v>#NAME?</v>
      </c>
      <c r="I1744" s="274"/>
      <c r="J1744" s="274" t="e">
        <f t="shared" ca="1" si="18"/>
        <v>#NAME?</v>
      </c>
      <c r="K1744" s="274">
        <f t="shared" si="19"/>
        <v>0</v>
      </c>
      <c r="N1744" s="274"/>
    </row>
    <row r="1745" spans="5:14" ht="13.5" customHeight="1">
      <c r="E1745" s="1" t="s">
        <v>647</v>
      </c>
      <c r="F1745" s="1" t="s">
        <v>2573</v>
      </c>
      <c r="G1745" s="414" t="str">
        <f t="shared" si="20"/>
        <v>11-26</v>
      </c>
      <c r="H1745" s="273" t="e">
        <f ca="1">_xludf.IFNA(VLOOKUP(Aragon!E1745,'Kilter Holds'!$P$37:$AB$662,11,0),0)</f>
        <v>#NAME?</v>
      </c>
      <c r="I1745" s="274"/>
      <c r="J1745" s="274" t="e">
        <f t="shared" ca="1" si="18"/>
        <v>#NAME?</v>
      </c>
      <c r="K1745" s="274">
        <f t="shared" si="19"/>
        <v>0</v>
      </c>
      <c r="N1745" s="274"/>
    </row>
    <row r="1746" spans="5:14" ht="13.5" customHeight="1">
      <c r="E1746" s="1" t="s">
        <v>647</v>
      </c>
      <c r="F1746" s="1" t="s">
        <v>2573</v>
      </c>
      <c r="G1746" s="415" t="str">
        <f t="shared" si="20"/>
        <v>18-01</v>
      </c>
      <c r="H1746" s="273" t="e">
        <f ca="1">_xludf.IFNA(VLOOKUP(Aragon!E1746,'Kilter Holds'!$P$37:$AB$662,12,0),0)</f>
        <v>#NAME?</v>
      </c>
      <c r="I1746" s="274"/>
      <c r="J1746" s="274" t="e">
        <f t="shared" ca="1" si="18"/>
        <v>#NAME?</v>
      </c>
      <c r="K1746" s="274">
        <f t="shared" si="19"/>
        <v>0</v>
      </c>
      <c r="N1746" s="274"/>
    </row>
    <row r="1747" spans="5:14" ht="13.5" customHeight="1">
      <c r="E1747" s="1" t="s">
        <v>647</v>
      </c>
      <c r="F1747" s="1" t="s">
        <v>2573</v>
      </c>
      <c r="G1747" s="416" t="str">
        <f t="shared" si="20"/>
        <v>Color Code</v>
      </c>
      <c r="H1747" s="273" t="e">
        <f ca="1">_xludf.IFNA(VLOOKUP(Aragon!E1747,'Kilter Holds'!$P$37:$AB$662,13,0),0)</f>
        <v>#NAME?</v>
      </c>
      <c r="I1747" s="274"/>
      <c r="J1747" s="274" t="e">
        <f t="shared" ca="1" si="18"/>
        <v>#NAME?</v>
      </c>
      <c r="K1747" s="274">
        <f t="shared" si="19"/>
        <v>0</v>
      </c>
      <c r="N1747" s="274"/>
    </row>
    <row r="1748" spans="5:14" ht="13.5" customHeight="1">
      <c r="E1748" s="209" t="s">
        <v>649</v>
      </c>
      <c r="F1748" s="209" t="s">
        <v>2574</v>
      </c>
      <c r="G1748" s="406" t="str">
        <f t="shared" si="20"/>
        <v>11-12</v>
      </c>
      <c r="H1748" s="273" t="e">
        <f ca="1">_xludf.IFNA(VLOOKUP(Aragon!E1748,'Kilter Holds'!$P$37:$AB$662,5,0),0)</f>
        <v>#NAME?</v>
      </c>
      <c r="I1748" s="274"/>
      <c r="J1748" s="274" t="e">
        <f t="shared" ca="1" si="18"/>
        <v>#NAME?</v>
      </c>
      <c r="K1748" s="274">
        <f t="shared" si="19"/>
        <v>0</v>
      </c>
      <c r="N1748" s="274"/>
    </row>
    <row r="1749" spans="5:14" ht="13.5" customHeight="1">
      <c r="E1749" s="209" t="s">
        <v>649</v>
      </c>
      <c r="F1749" s="209" t="s">
        <v>2574</v>
      </c>
      <c r="G1749" s="408" t="str">
        <f t="shared" si="20"/>
        <v>14-01</v>
      </c>
      <c r="H1749" s="273" t="e">
        <f ca="1">_xludf.IFNA(VLOOKUP(Aragon!E1749,'Kilter Holds'!$P$37:$AB$662,6,0),0)</f>
        <v>#NAME?</v>
      </c>
      <c r="I1749" s="274"/>
      <c r="J1749" s="274" t="e">
        <f t="shared" ca="1" si="18"/>
        <v>#NAME?</v>
      </c>
      <c r="K1749" s="274">
        <f t="shared" si="19"/>
        <v>0</v>
      </c>
      <c r="N1749" s="274"/>
    </row>
    <row r="1750" spans="5:14" ht="13.5" customHeight="1">
      <c r="E1750" s="209" t="s">
        <v>649</v>
      </c>
      <c r="F1750" s="209" t="s">
        <v>2574</v>
      </c>
      <c r="G1750" s="409" t="str">
        <f t="shared" si="20"/>
        <v>15-12</v>
      </c>
      <c r="H1750" s="273" t="e">
        <f ca="1">_xludf.IFNA(VLOOKUP(Aragon!E1750,'Kilter Holds'!$P$37:$AB$662,7,0),0)</f>
        <v>#NAME?</v>
      </c>
      <c r="I1750" s="274"/>
      <c r="J1750" s="274" t="e">
        <f t="shared" ca="1" si="18"/>
        <v>#NAME?</v>
      </c>
      <c r="K1750" s="274">
        <f t="shared" si="19"/>
        <v>0</v>
      </c>
      <c r="N1750" s="274"/>
    </row>
    <row r="1751" spans="5:14" ht="13.5" customHeight="1">
      <c r="E1751" s="209" t="s">
        <v>649</v>
      </c>
      <c r="F1751" s="209" t="s">
        <v>2574</v>
      </c>
      <c r="G1751" s="410" t="str">
        <f t="shared" si="20"/>
        <v>16-16</v>
      </c>
      <c r="H1751" s="273" t="e">
        <f ca="1">_xludf.IFNA(VLOOKUP(Aragon!E1751,'Kilter Holds'!$P$37:$AB$662,8,0),0)</f>
        <v>#NAME?</v>
      </c>
      <c r="I1751" s="274"/>
      <c r="J1751" s="274" t="e">
        <f t="shared" ca="1" si="18"/>
        <v>#NAME?</v>
      </c>
      <c r="K1751" s="274">
        <f t="shared" si="19"/>
        <v>0</v>
      </c>
      <c r="N1751" s="274"/>
    </row>
    <row r="1752" spans="5:14" ht="13.5" customHeight="1">
      <c r="E1752" s="209" t="s">
        <v>649</v>
      </c>
      <c r="F1752" s="209" t="s">
        <v>2574</v>
      </c>
      <c r="G1752" s="411" t="str">
        <f t="shared" si="20"/>
        <v>13-01</v>
      </c>
      <c r="H1752" s="273" t="e">
        <f ca="1">_xludf.IFNA(VLOOKUP(Aragon!E1752,'Kilter Holds'!$P$37:$AB$662,9,0),0)</f>
        <v>#NAME?</v>
      </c>
      <c r="I1752" s="274"/>
      <c r="J1752" s="274" t="e">
        <f t="shared" ca="1" si="18"/>
        <v>#NAME?</v>
      </c>
      <c r="K1752" s="274">
        <f t="shared" si="19"/>
        <v>0</v>
      </c>
      <c r="N1752" s="274"/>
    </row>
    <row r="1753" spans="5:14" ht="13.5" customHeight="1">
      <c r="E1753" s="209" t="s">
        <v>649</v>
      </c>
      <c r="F1753" s="209" t="s">
        <v>2574</v>
      </c>
      <c r="G1753" s="413" t="str">
        <f t="shared" si="20"/>
        <v>07-13</v>
      </c>
      <c r="H1753" s="273" t="e">
        <f ca="1">_xludf.IFNA(VLOOKUP(Aragon!E1753,'Kilter Holds'!$P$37:$AB$662,10,0),0)</f>
        <v>#NAME?</v>
      </c>
      <c r="I1753" s="274"/>
      <c r="J1753" s="274" t="e">
        <f t="shared" ca="1" si="18"/>
        <v>#NAME?</v>
      </c>
      <c r="K1753" s="274">
        <f t="shared" si="19"/>
        <v>0</v>
      </c>
      <c r="N1753" s="274"/>
    </row>
    <row r="1754" spans="5:14" ht="13.5" customHeight="1">
      <c r="E1754" s="209" t="s">
        <v>649</v>
      </c>
      <c r="F1754" s="209" t="s">
        <v>2574</v>
      </c>
      <c r="G1754" s="414" t="str">
        <f t="shared" si="20"/>
        <v>11-26</v>
      </c>
      <c r="H1754" s="273" t="e">
        <f ca="1">_xludf.IFNA(VLOOKUP(Aragon!E1754,'Kilter Holds'!$P$37:$AB$662,11,0),0)</f>
        <v>#NAME?</v>
      </c>
      <c r="I1754" s="274"/>
      <c r="J1754" s="274" t="e">
        <f t="shared" ca="1" si="18"/>
        <v>#NAME?</v>
      </c>
      <c r="K1754" s="274">
        <f t="shared" si="19"/>
        <v>0</v>
      </c>
      <c r="N1754" s="274"/>
    </row>
    <row r="1755" spans="5:14" ht="13.5" customHeight="1">
      <c r="E1755" s="209" t="s">
        <v>649</v>
      </c>
      <c r="F1755" s="209" t="s">
        <v>2574</v>
      </c>
      <c r="G1755" s="415" t="str">
        <f t="shared" si="20"/>
        <v>18-01</v>
      </c>
      <c r="H1755" s="273" t="e">
        <f ca="1">_xludf.IFNA(VLOOKUP(Aragon!E1755,'Kilter Holds'!$P$37:$AB$662,12,0),0)</f>
        <v>#NAME?</v>
      </c>
      <c r="I1755" s="274"/>
      <c r="J1755" s="274" t="e">
        <f t="shared" ca="1" si="18"/>
        <v>#NAME?</v>
      </c>
      <c r="K1755" s="274">
        <f t="shared" si="19"/>
        <v>0</v>
      </c>
      <c r="N1755" s="274"/>
    </row>
    <row r="1756" spans="5:14" ht="13.5" customHeight="1">
      <c r="E1756" s="209" t="s">
        <v>649</v>
      </c>
      <c r="F1756" s="209" t="s">
        <v>2574</v>
      </c>
      <c r="G1756" s="416" t="str">
        <f t="shared" si="20"/>
        <v>Color Code</v>
      </c>
      <c r="H1756" s="273" t="e">
        <f ca="1">_xludf.IFNA(VLOOKUP(Aragon!E1756,'Kilter Holds'!$P$37:$AB$662,13,0),0)</f>
        <v>#NAME?</v>
      </c>
      <c r="I1756" s="274"/>
      <c r="J1756" s="274" t="e">
        <f t="shared" ca="1" si="18"/>
        <v>#NAME?</v>
      </c>
      <c r="K1756" s="274">
        <f t="shared" si="19"/>
        <v>0</v>
      </c>
      <c r="N1756" s="274"/>
    </row>
    <row r="1757" spans="5:14" ht="13.5" customHeight="1">
      <c r="E1757" s="209" t="s">
        <v>651</v>
      </c>
      <c r="F1757" s="209" t="s">
        <v>2575</v>
      </c>
      <c r="G1757" s="406" t="str">
        <f t="shared" si="20"/>
        <v>11-12</v>
      </c>
      <c r="H1757" s="273" t="e">
        <f ca="1">_xludf.IFNA(VLOOKUP(Aragon!E1757,'Kilter Holds'!$P$37:$AB$662,5,0),0)</f>
        <v>#NAME?</v>
      </c>
      <c r="I1757" s="274"/>
      <c r="J1757" s="274" t="e">
        <f t="shared" ca="1" si="18"/>
        <v>#NAME?</v>
      </c>
      <c r="K1757" s="274">
        <f t="shared" si="19"/>
        <v>0</v>
      </c>
      <c r="N1757" s="274"/>
    </row>
    <row r="1758" spans="5:14" ht="13.5" customHeight="1">
      <c r="E1758" s="209" t="s">
        <v>651</v>
      </c>
      <c r="F1758" s="209" t="s">
        <v>2575</v>
      </c>
      <c r="G1758" s="408" t="str">
        <f t="shared" si="20"/>
        <v>14-01</v>
      </c>
      <c r="H1758" s="273" t="e">
        <f ca="1">_xludf.IFNA(VLOOKUP(Aragon!E1758,'Kilter Holds'!$P$37:$AB$662,6,0),0)</f>
        <v>#NAME?</v>
      </c>
      <c r="I1758" s="274"/>
      <c r="J1758" s="274" t="e">
        <f t="shared" ca="1" si="18"/>
        <v>#NAME?</v>
      </c>
      <c r="K1758" s="274">
        <f t="shared" si="19"/>
        <v>0</v>
      </c>
      <c r="N1758" s="274"/>
    </row>
    <row r="1759" spans="5:14" ht="13.5" customHeight="1">
      <c r="E1759" s="209" t="s">
        <v>651</v>
      </c>
      <c r="F1759" s="209" t="s">
        <v>2575</v>
      </c>
      <c r="G1759" s="409" t="str">
        <f t="shared" si="20"/>
        <v>15-12</v>
      </c>
      <c r="H1759" s="273" t="e">
        <f ca="1">_xludf.IFNA(VLOOKUP(Aragon!E1759,'Kilter Holds'!$P$37:$AB$662,7,0),0)</f>
        <v>#NAME?</v>
      </c>
      <c r="I1759" s="274"/>
      <c r="J1759" s="274" t="e">
        <f t="shared" ca="1" si="18"/>
        <v>#NAME?</v>
      </c>
      <c r="K1759" s="274">
        <f t="shared" si="19"/>
        <v>0</v>
      </c>
      <c r="N1759" s="274"/>
    </row>
    <row r="1760" spans="5:14" ht="13.5" customHeight="1">
      <c r="E1760" s="209" t="s">
        <v>651</v>
      </c>
      <c r="F1760" s="209" t="s">
        <v>2575</v>
      </c>
      <c r="G1760" s="410" t="str">
        <f t="shared" si="20"/>
        <v>16-16</v>
      </c>
      <c r="H1760" s="273" t="e">
        <f ca="1">_xludf.IFNA(VLOOKUP(Aragon!E1760,'Kilter Holds'!$P$37:$AB$662,8,0),0)</f>
        <v>#NAME?</v>
      </c>
      <c r="I1760" s="274"/>
      <c r="J1760" s="274" t="e">
        <f t="shared" ca="1" si="18"/>
        <v>#NAME?</v>
      </c>
      <c r="K1760" s="274">
        <f t="shared" si="19"/>
        <v>0</v>
      </c>
      <c r="N1760" s="274"/>
    </row>
    <row r="1761" spans="5:14" ht="13.5" customHeight="1">
      <c r="E1761" s="209" t="s">
        <v>651</v>
      </c>
      <c r="F1761" s="209" t="s">
        <v>2575</v>
      </c>
      <c r="G1761" s="411" t="str">
        <f t="shared" si="20"/>
        <v>13-01</v>
      </c>
      <c r="H1761" s="273" t="e">
        <f ca="1">_xludf.IFNA(VLOOKUP(Aragon!E1761,'Kilter Holds'!$P$37:$AB$662,9,0),0)</f>
        <v>#NAME?</v>
      </c>
      <c r="I1761" s="274"/>
      <c r="J1761" s="274" t="e">
        <f t="shared" ca="1" si="18"/>
        <v>#NAME?</v>
      </c>
      <c r="K1761" s="274">
        <f t="shared" si="19"/>
        <v>0</v>
      </c>
      <c r="N1761" s="274"/>
    </row>
    <row r="1762" spans="5:14" ht="13.5" customHeight="1">
      <c r="E1762" s="209" t="s">
        <v>651</v>
      </c>
      <c r="F1762" s="209" t="s">
        <v>2575</v>
      </c>
      <c r="G1762" s="413" t="str">
        <f t="shared" si="20"/>
        <v>07-13</v>
      </c>
      <c r="H1762" s="273" t="e">
        <f ca="1">_xludf.IFNA(VLOOKUP(Aragon!E1762,'Kilter Holds'!$P$37:$AB$662,10,0),0)</f>
        <v>#NAME?</v>
      </c>
      <c r="I1762" s="274"/>
      <c r="J1762" s="274" t="e">
        <f t="shared" ca="1" si="18"/>
        <v>#NAME?</v>
      </c>
      <c r="K1762" s="274">
        <f t="shared" si="19"/>
        <v>0</v>
      </c>
      <c r="N1762" s="274"/>
    </row>
    <row r="1763" spans="5:14" ht="13.5" customHeight="1">
      <c r="E1763" s="209" t="s">
        <v>651</v>
      </c>
      <c r="F1763" s="209" t="s">
        <v>2575</v>
      </c>
      <c r="G1763" s="414" t="str">
        <f t="shared" si="20"/>
        <v>11-26</v>
      </c>
      <c r="H1763" s="273" t="e">
        <f ca="1">_xludf.IFNA(VLOOKUP(Aragon!E1763,'Kilter Holds'!$P$37:$AB$662,11,0),0)</f>
        <v>#NAME?</v>
      </c>
      <c r="I1763" s="274"/>
      <c r="J1763" s="274" t="e">
        <f t="shared" ca="1" si="18"/>
        <v>#NAME?</v>
      </c>
      <c r="K1763" s="274">
        <f t="shared" si="19"/>
        <v>0</v>
      </c>
      <c r="N1763" s="274"/>
    </row>
    <row r="1764" spans="5:14" ht="13.5" customHeight="1">
      <c r="E1764" s="209" t="s">
        <v>651</v>
      </c>
      <c r="F1764" s="209" t="s">
        <v>2575</v>
      </c>
      <c r="G1764" s="415" t="str">
        <f t="shared" si="20"/>
        <v>18-01</v>
      </c>
      <c r="H1764" s="273" t="e">
        <f ca="1">_xludf.IFNA(VLOOKUP(Aragon!E1764,'Kilter Holds'!$P$37:$AB$662,12,0),0)</f>
        <v>#NAME?</v>
      </c>
      <c r="I1764" s="274"/>
      <c r="J1764" s="274" t="e">
        <f t="shared" ca="1" si="18"/>
        <v>#NAME?</v>
      </c>
      <c r="K1764" s="274">
        <f t="shared" si="19"/>
        <v>0</v>
      </c>
      <c r="N1764" s="274"/>
    </row>
    <row r="1765" spans="5:14" ht="13.5" customHeight="1">
      <c r="E1765" s="209" t="s">
        <v>651</v>
      </c>
      <c r="F1765" s="209" t="s">
        <v>2575</v>
      </c>
      <c r="G1765" s="416" t="str">
        <f t="shared" si="20"/>
        <v>Color Code</v>
      </c>
      <c r="H1765" s="273" t="e">
        <f ca="1">_xludf.IFNA(VLOOKUP(Aragon!E1765,'Kilter Holds'!$P$37:$AB$662,13,0),0)</f>
        <v>#NAME?</v>
      </c>
      <c r="I1765" s="274"/>
      <c r="J1765" s="274" t="e">
        <f t="shared" ca="1" si="18"/>
        <v>#NAME?</v>
      </c>
      <c r="K1765" s="274">
        <f t="shared" si="19"/>
        <v>0</v>
      </c>
      <c r="N1765" s="274"/>
    </row>
    <row r="1766" spans="5:14" ht="13.5" customHeight="1">
      <c r="E1766" s="209" t="s">
        <v>653</v>
      </c>
      <c r="F1766" s="209" t="s">
        <v>2576</v>
      </c>
      <c r="G1766" s="406" t="str">
        <f t="shared" si="20"/>
        <v>11-12</v>
      </c>
      <c r="H1766" s="273" t="e">
        <f ca="1">_xludf.IFNA(VLOOKUP(Aragon!E1766,'Kilter Holds'!$P$37:$AB$662,5,0),0)</f>
        <v>#NAME?</v>
      </c>
      <c r="I1766" s="274"/>
      <c r="J1766" s="274" t="e">
        <f t="shared" ca="1" si="18"/>
        <v>#NAME?</v>
      </c>
      <c r="K1766" s="274">
        <f t="shared" si="19"/>
        <v>0</v>
      </c>
      <c r="N1766" s="274"/>
    </row>
    <row r="1767" spans="5:14" ht="13.5" customHeight="1">
      <c r="E1767" s="209" t="s">
        <v>653</v>
      </c>
      <c r="F1767" s="209" t="s">
        <v>2576</v>
      </c>
      <c r="G1767" s="408" t="str">
        <f t="shared" si="20"/>
        <v>14-01</v>
      </c>
      <c r="H1767" s="273" t="e">
        <f ca="1">_xludf.IFNA(VLOOKUP(Aragon!E1767,'Kilter Holds'!$P$37:$AB$662,6,0),0)</f>
        <v>#NAME?</v>
      </c>
      <c r="I1767" s="274"/>
      <c r="J1767" s="274" t="e">
        <f t="shared" ca="1" si="18"/>
        <v>#NAME?</v>
      </c>
      <c r="K1767" s="274">
        <f t="shared" si="19"/>
        <v>0</v>
      </c>
      <c r="N1767" s="274"/>
    </row>
    <row r="1768" spans="5:14" ht="13.5" customHeight="1">
      <c r="E1768" s="209" t="s">
        <v>653</v>
      </c>
      <c r="F1768" s="209" t="s">
        <v>2576</v>
      </c>
      <c r="G1768" s="409" t="str">
        <f t="shared" si="20"/>
        <v>15-12</v>
      </c>
      <c r="H1768" s="273" t="e">
        <f ca="1">_xludf.IFNA(VLOOKUP(Aragon!E1768,'Kilter Holds'!$P$37:$AB$662,7,0),0)</f>
        <v>#NAME?</v>
      </c>
      <c r="I1768" s="274"/>
      <c r="J1768" s="274" t="e">
        <f t="shared" ca="1" si="18"/>
        <v>#NAME?</v>
      </c>
      <c r="K1768" s="274">
        <f t="shared" si="19"/>
        <v>0</v>
      </c>
      <c r="N1768" s="274"/>
    </row>
    <row r="1769" spans="5:14" ht="13.5" customHeight="1">
      <c r="E1769" s="209" t="s">
        <v>653</v>
      </c>
      <c r="F1769" s="209" t="s">
        <v>2576</v>
      </c>
      <c r="G1769" s="410" t="str">
        <f t="shared" si="20"/>
        <v>16-16</v>
      </c>
      <c r="H1769" s="273" t="e">
        <f ca="1">_xludf.IFNA(VLOOKUP(Aragon!E1769,'Kilter Holds'!$P$37:$AB$662,8,0),0)</f>
        <v>#NAME?</v>
      </c>
      <c r="I1769" s="274"/>
      <c r="J1769" s="274" t="e">
        <f t="shared" ca="1" si="18"/>
        <v>#NAME?</v>
      </c>
      <c r="K1769" s="274">
        <f t="shared" si="19"/>
        <v>0</v>
      </c>
      <c r="N1769" s="274"/>
    </row>
    <row r="1770" spans="5:14" ht="13.5" customHeight="1">
      <c r="E1770" s="209" t="s">
        <v>653</v>
      </c>
      <c r="F1770" s="209" t="s">
        <v>2576</v>
      </c>
      <c r="G1770" s="411" t="str">
        <f t="shared" si="20"/>
        <v>13-01</v>
      </c>
      <c r="H1770" s="273" t="e">
        <f ca="1">_xludf.IFNA(VLOOKUP(Aragon!E1770,'Kilter Holds'!$P$37:$AB$662,9,0),0)</f>
        <v>#NAME?</v>
      </c>
      <c r="I1770" s="274"/>
      <c r="J1770" s="274" t="e">
        <f t="shared" ca="1" si="18"/>
        <v>#NAME?</v>
      </c>
      <c r="K1770" s="274">
        <f t="shared" si="19"/>
        <v>0</v>
      </c>
      <c r="N1770" s="274"/>
    </row>
    <row r="1771" spans="5:14" ht="13.5" customHeight="1">
      <c r="E1771" s="209" t="s">
        <v>653</v>
      </c>
      <c r="F1771" s="209" t="s">
        <v>2576</v>
      </c>
      <c r="G1771" s="413" t="str">
        <f t="shared" si="20"/>
        <v>07-13</v>
      </c>
      <c r="H1771" s="273" t="e">
        <f ca="1">_xludf.IFNA(VLOOKUP(Aragon!E1771,'Kilter Holds'!$P$37:$AB$662,10,0),0)</f>
        <v>#NAME?</v>
      </c>
      <c r="I1771" s="274"/>
      <c r="J1771" s="274" t="e">
        <f t="shared" ca="1" si="18"/>
        <v>#NAME?</v>
      </c>
      <c r="K1771" s="274">
        <f t="shared" si="19"/>
        <v>0</v>
      </c>
      <c r="N1771" s="274"/>
    </row>
    <row r="1772" spans="5:14" ht="13.5" customHeight="1">
      <c r="E1772" s="209" t="s">
        <v>653</v>
      </c>
      <c r="F1772" s="209" t="s">
        <v>2576</v>
      </c>
      <c r="G1772" s="414" t="str">
        <f t="shared" si="20"/>
        <v>11-26</v>
      </c>
      <c r="H1772" s="273" t="e">
        <f ca="1">_xludf.IFNA(VLOOKUP(Aragon!E1772,'Kilter Holds'!$P$37:$AB$662,11,0),0)</f>
        <v>#NAME?</v>
      </c>
      <c r="I1772" s="274"/>
      <c r="J1772" s="274" t="e">
        <f t="shared" ca="1" si="18"/>
        <v>#NAME?</v>
      </c>
      <c r="K1772" s="274">
        <f t="shared" si="19"/>
        <v>0</v>
      </c>
      <c r="N1772" s="274"/>
    </row>
    <row r="1773" spans="5:14" ht="13.5" customHeight="1">
      <c r="E1773" s="209" t="s">
        <v>653</v>
      </c>
      <c r="F1773" s="209" t="s">
        <v>2576</v>
      </c>
      <c r="G1773" s="415" t="str">
        <f t="shared" si="20"/>
        <v>18-01</v>
      </c>
      <c r="H1773" s="273" t="e">
        <f ca="1">_xludf.IFNA(VLOOKUP(Aragon!E1773,'Kilter Holds'!$P$37:$AB$662,12,0),0)</f>
        <v>#NAME?</v>
      </c>
      <c r="I1773" s="274"/>
      <c r="J1773" s="274" t="e">
        <f t="shared" ca="1" si="18"/>
        <v>#NAME?</v>
      </c>
      <c r="K1773" s="274">
        <f t="shared" si="19"/>
        <v>0</v>
      </c>
      <c r="N1773" s="274"/>
    </row>
    <row r="1774" spans="5:14" ht="13.5" customHeight="1">
      <c r="E1774" s="209" t="s">
        <v>653</v>
      </c>
      <c r="F1774" s="209" t="s">
        <v>2576</v>
      </c>
      <c r="G1774" s="416" t="str">
        <f t="shared" si="20"/>
        <v>Color Code</v>
      </c>
      <c r="H1774" s="273" t="e">
        <f ca="1">_xludf.IFNA(VLOOKUP(Aragon!E1774,'Kilter Holds'!$P$37:$AB$662,13,0),0)</f>
        <v>#NAME?</v>
      </c>
      <c r="I1774" s="274"/>
      <c r="J1774" s="274" t="e">
        <f t="shared" ca="1" si="18"/>
        <v>#NAME?</v>
      </c>
      <c r="K1774" s="274">
        <f t="shared" si="19"/>
        <v>0</v>
      </c>
      <c r="N1774" s="274"/>
    </row>
    <row r="1775" spans="5:14" ht="13.5" customHeight="1">
      <c r="E1775" s="209" t="s">
        <v>944</v>
      </c>
      <c r="F1775" s="209" t="s">
        <v>2577</v>
      </c>
      <c r="G1775" s="406" t="str">
        <f t="shared" si="20"/>
        <v>11-12</v>
      </c>
      <c r="H1775" s="273" t="e">
        <f ca="1">_xludf.IFNA(VLOOKUP(Aragon!E1775,'Kilter Holds'!$P$37:$AB$662,5,0),0)</f>
        <v>#NAME?</v>
      </c>
      <c r="I1775" s="274"/>
      <c r="J1775" s="274" t="e">
        <f t="shared" ca="1" si="18"/>
        <v>#NAME?</v>
      </c>
      <c r="K1775" s="274">
        <f t="shared" si="19"/>
        <v>0</v>
      </c>
      <c r="N1775" s="274"/>
    </row>
    <row r="1776" spans="5:14" ht="13.5" customHeight="1">
      <c r="E1776" s="209" t="s">
        <v>944</v>
      </c>
      <c r="F1776" s="209" t="s">
        <v>2577</v>
      </c>
      <c r="G1776" s="408" t="str">
        <f t="shared" si="20"/>
        <v>14-01</v>
      </c>
      <c r="H1776" s="273" t="e">
        <f ca="1">_xludf.IFNA(VLOOKUP(Aragon!E1776,'Kilter Holds'!$P$37:$AB$662,6,0),0)</f>
        <v>#NAME?</v>
      </c>
      <c r="I1776" s="274"/>
      <c r="J1776" s="274" t="e">
        <f t="shared" ca="1" si="18"/>
        <v>#NAME?</v>
      </c>
      <c r="K1776" s="274">
        <f t="shared" si="19"/>
        <v>0</v>
      </c>
      <c r="N1776" s="274"/>
    </row>
    <row r="1777" spans="5:14" ht="13.5" customHeight="1">
      <c r="E1777" s="209" t="s">
        <v>944</v>
      </c>
      <c r="F1777" s="209" t="s">
        <v>2577</v>
      </c>
      <c r="G1777" s="409" t="str">
        <f t="shared" si="20"/>
        <v>15-12</v>
      </c>
      <c r="H1777" s="273" t="e">
        <f ca="1">_xludf.IFNA(VLOOKUP(Aragon!E1777,'Kilter Holds'!$P$37:$AB$662,7,0),0)</f>
        <v>#NAME?</v>
      </c>
      <c r="I1777" s="274"/>
      <c r="J1777" s="274" t="e">
        <f t="shared" ca="1" si="18"/>
        <v>#NAME?</v>
      </c>
      <c r="K1777" s="274">
        <f t="shared" si="19"/>
        <v>0</v>
      </c>
      <c r="N1777" s="274"/>
    </row>
    <row r="1778" spans="5:14" ht="13.5" customHeight="1">
      <c r="E1778" s="209" t="s">
        <v>944</v>
      </c>
      <c r="F1778" s="209" t="s">
        <v>2577</v>
      </c>
      <c r="G1778" s="410" t="str">
        <f t="shared" si="20"/>
        <v>16-16</v>
      </c>
      <c r="H1778" s="273" t="e">
        <f ca="1">_xludf.IFNA(VLOOKUP(Aragon!E1778,'Kilter Holds'!$P$37:$AB$662,8,0),0)</f>
        <v>#NAME?</v>
      </c>
      <c r="I1778" s="274"/>
      <c r="J1778" s="274" t="e">
        <f t="shared" ca="1" si="18"/>
        <v>#NAME?</v>
      </c>
      <c r="K1778" s="274">
        <f t="shared" si="19"/>
        <v>0</v>
      </c>
      <c r="N1778" s="274"/>
    </row>
    <row r="1779" spans="5:14" ht="13.5" customHeight="1">
      <c r="E1779" s="209" t="s">
        <v>944</v>
      </c>
      <c r="F1779" s="209" t="s">
        <v>2577</v>
      </c>
      <c r="G1779" s="411" t="str">
        <f t="shared" si="20"/>
        <v>13-01</v>
      </c>
      <c r="H1779" s="273" t="e">
        <f ca="1">_xludf.IFNA(VLOOKUP(Aragon!E1779,'Kilter Holds'!$P$37:$AB$662,9,0),0)</f>
        <v>#NAME?</v>
      </c>
      <c r="I1779" s="274"/>
      <c r="J1779" s="274" t="e">
        <f t="shared" ca="1" si="18"/>
        <v>#NAME?</v>
      </c>
      <c r="K1779" s="274">
        <f t="shared" si="19"/>
        <v>0</v>
      </c>
      <c r="N1779" s="274"/>
    </row>
    <row r="1780" spans="5:14" ht="13.5" customHeight="1">
      <c r="E1780" s="209" t="s">
        <v>944</v>
      </c>
      <c r="F1780" s="209" t="s">
        <v>2577</v>
      </c>
      <c r="G1780" s="413" t="str">
        <f t="shared" si="20"/>
        <v>07-13</v>
      </c>
      <c r="H1780" s="273" t="e">
        <f ca="1">_xludf.IFNA(VLOOKUP(Aragon!E1780,'Kilter Holds'!$P$37:$AB$662,10,0),0)</f>
        <v>#NAME?</v>
      </c>
      <c r="I1780" s="274"/>
      <c r="J1780" s="274" t="e">
        <f t="shared" ca="1" si="18"/>
        <v>#NAME?</v>
      </c>
      <c r="K1780" s="274">
        <f t="shared" si="19"/>
        <v>0</v>
      </c>
      <c r="N1780" s="274"/>
    </row>
    <row r="1781" spans="5:14" ht="13.5" customHeight="1">
      <c r="E1781" s="209" t="s">
        <v>944</v>
      </c>
      <c r="F1781" s="209" t="s">
        <v>2577</v>
      </c>
      <c r="G1781" s="414" t="str">
        <f t="shared" si="20"/>
        <v>11-26</v>
      </c>
      <c r="H1781" s="273" t="e">
        <f ca="1">_xludf.IFNA(VLOOKUP(Aragon!E1781,'Kilter Holds'!$P$37:$AB$662,11,0),0)</f>
        <v>#NAME?</v>
      </c>
      <c r="I1781" s="274"/>
      <c r="J1781" s="274" t="e">
        <f t="shared" ca="1" si="18"/>
        <v>#NAME?</v>
      </c>
      <c r="K1781" s="274">
        <f t="shared" si="19"/>
        <v>0</v>
      </c>
      <c r="N1781" s="274"/>
    </row>
    <row r="1782" spans="5:14" ht="13.5" customHeight="1">
      <c r="E1782" s="209" t="s">
        <v>944</v>
      </c>
      <c r="F1782" s="209" t="s">
        <v>2577</v>
      </c>
      <c r="G1782" s="415" t="str">
        <f t="shared" si="20"/>
        <v>18-01</v>
      </c>
      <c r="H1782" s="273" t="e">
        <f ca="1">_xludf.IFNA(VLOOKUP(Aragon!E1782,'Kilter Holds'!$P$37:$AB$662,12,0),0)</f>
        <v>#NAME?</v>
      </c>
      <c r="I1782" s="274"/>
      <c r="J1782" s="274" t="e">
        <f t="shared" ca="1" si="18"/>
        <v>#NAME?</v>
      </c>
      <c r="K1782" s="274">
        <f t="shared" si="19"/>
        <v>0</v>
      </c>
      <c r="N1782" s="274"/>
    </row>
    <row r="1783" spans="5:14" ht="13.5" customHeight="1">
      <c r="E1783" s="209" t="s">
        <v>944</v>
      </c>
      <c r="F1783" s="209" t="s">
        <v>2577</v>
      </c>
      <c r="G1783" s="416" t="str">
        <f t="shared" si="20"/>
        <v>Color Code</v>
      </c>
      <c r="H1783" s="273" t="e">
        <f ca="1">_xludf.IFNA(VLOOKUP(Aragon!E1783,'Kilter Holds'!$P$37:$AB$662,13,0),0)</f>
        <v>#NAME?</v>
      </c>
      <c r="I1783" s="274"/>
      <c r="J1783" s="274" t="e">
        <f t="shared" ca="1" si="18"/>
        <v>#NAME?</v>
      </c>
      <c r="K1783" s="274">
        <f t="shared" si="19"/>
        <v>0</v>
      </c>
      <c r="N1783" s="274"/>
    </row>
    <row r="1784" spans="5:14" ht="13.5" customHeight="1">
      <c r="E1784" s="209" t="s">
        <v>1149</v>
      </c>
      <c r="F1784" s="209" t="s">
        <v>2578</v>
      </c>
      <c r="G1784" s="406" t="str">
        <f t="shared" si="20"/>
        <v>11-12</v>
      </c>
      <c r="H1784" s="273" t="e">
        <f ca="1">_xludf.IFNA(VLOOKUP(Aragon!E1784,'Kilter Holds'!$P$37:$AB$662,5,0),0)</f>
        <v>#NAME?</v>
      </c>
      <c r="I1784" s="274"/>
      <c r="J1784" s="274" t="e">
        <f t="shared" ca="1" si="18"/>
        <v>#NAME?</v>
      </c>
      <c r="K1784" s="274">
        <f t="shared" si="19"/>
        <v>0</v>
      </c>
      <c r="N1784" s="274"/>
    </row>
    <row r="1785" spans="5:14" ht="13.5" customHeight="1">
      <c r="E1785" s="209" t="s">
        <v>1149</v>
      </c>
      <c r="F1785" s="209" t="s">
        <v>2578</v>
      </c>
      <c r="G1785" s="408" t="str">
        <f t="shared" si="20"/>
        <v>14-01</v>
      </c>
      <c r="H1785" s="273" t="e">
        <f ca="1">_xludf.IFNA(VLOOKUP(Aragon!E1785,'Kilter Holds'!$P$37:$AB$662,6,0),0)</f>
        <v>#NAME?</v>
      </c>
      <c r="I1785" s="274"/>
      <c r="J1785" s="274" t="e">
        <f t="shared" ca="1" si="18"/>
        <v>#NAME?</v>
      </c>
      <c r="K1785" s="274">
        <f t="shared" si="19"/>
        <v>0</v>
      </c>
      <c r="N1785" s="274"/>
    </row>
    <row r="1786" spans="5:14" ht="13.5" customHeight="1">
      <c r="E1786" s="209" t="s">
        <v>1149</v>
      </c>
      <c r="F1786" s="209" t="s">
        <v>2578</v>
      </c>
      <c r="G1786" s="409" t="str">
        <f t="shared" si="20"/>
        <v>15-12</v>
      </c>
      <c r="H1786" s="273" t="e">
        <f ca="1">_xludf.IFNA(VLOOKUP(Aragon!E1786,'Kilter Holds'!$P$37:$AB$662,7,0),0)</f>
        <v>#NAME?</v>
      </c>
      <c r="I1786" s="274"/>
      <c r="J1786" s="274" t="e">
        <f t="shared" ca="1" si="18"/>
        <v>#NAME?</v>
      </c>
      <c r="K1786" s="274">
        <f t="shared" si="19"/>
        <v>0</v>
      </c>
      <c r="N1786" s="274"/>
    </row>
    <row r="1787" spans="5:14" ht="13.5" customHeight="1">
      <c r="E1787" s="209" t="s">
        <v>1149</v>
      </c>
      <c r="F1787" s="209" t="s">
        <v>2578</v>
      </c>
      <c r="G1787" s="410" t="str">
        <f t="shared" si="20"/>
        <v>16-16</v>
      </c>
      <c r="H1787" s="273" t="e">
        <f ca="1">_xludf.IFNA(VLOOKUP(Aragon!E1787,'Kilter Holds'!$P$37:$AB$662,8,0),0)</f>
        <v>#NAME?</v>
      </c>
      <c r="I1787" s="274"/>
      <c r="J1787" s="274" t="e">
        <f t="shared" ref="J1787:J2041" ca="1" si="21">H1787*I1787</f>
        <v>#NAME?</v>
      </c>
      <c r="K1787" s="274">
        <f t="shared" ref="K1787:K2041" si="22">IF($V$11="Y",J1787*0.05,0)</f>
        <v>0</v>
      </c>
      <c r="N1787" s="274"/>
    </row>
    <row r="1788" spans="5:14" ht="13.5" customHeight="1">
      <c r="E1788" s="209" t="s">
        <v>1149</v>
      </c>
      <c r="F1788" s="209" t="s">
        <v>2578</v>
      </c>
      <c r="G1788" s="411" t="str">
        <f t="shared" si="20"/>
        <v>13-01</v>
      </c>
      <c r="H1788" s="273" t="e">
        <f ca="1">_xludf.IFNA(VLOOKUP(Aragon!E1788,'Kilter Holds'!$P$37:$AB$662,9,0),0)</f>
        <v>#NAME?</v>
      </c>
      <c r="I1788" s="274"/>
      <c r="J1788" s="274" t="e">
        <f t="shared" ca="1" si="21"/>
        <v>#NAME?</v>
      </c>
      <c r="K1788" s="274">
        <f t="shared" si="22"/>
        <v>0</v>
      </c>
      <c r="N1788" s="274"/>
    </row>
    <row r="1789" spans="5:14" ht="13.5" customHeight="1">
      <c r="E1789" s="209" t="s">
        <v>1149</v>
      </c>
      <c r="F1789" s="209" t="s">
        <v>2578</v>
      </c>
      <c r="G1789" s="413" t="str">
        <f t="shared" si="20"/>
        <v>07-13</v>
      </c>
      <c r="H1789" s="273" t="e">
        <f ca="1">_xludf.IFNA(VLOOKUP(Aragon!E1789,'Kilter Holds'!$P$37:$AB$662,10,0),0)</f>
        <v>#NAME?</v>
      </c>
      <c r="I1789" s="274"/>
      <c r="J1789" s="274" t="e">
        <f t="shared" ca="1" si="21"/>
        <v>#NAME?</v>
      </c>
      <c r="K1789" s="274">
        <f t="shared" si="22"/>
        <v>0</v>
      </c>
      <c r="N1789" s="274"/>
    </row>
    <row r="1790" spans="5:14" ht="13.5" customHeight="1">
      <c r="E1790" s="209" t="s">
        <v>1149</v>
      </c>
      <c r="F1790" s="209" t="s">
        <v>2578</v>
      </c>
      <c r="G1790" s="414" t="str">
        <f t="shared" si="20"/>
        <v>11-26</v>
      </c>
      <c r="H1790" s="273" t="e">
        <f ca="1">_xludf.IFNA(VLOOKUP(Aragon!E1790,'Kilter Holds'!$P$37:$AB$662,11,0),0)</f>
        <v>#NAME?</v>
      </c>
      <c r="I1790" s="274"/>
      <c r="J1790" s="274" t="e">
        <f t="shared" ca="1" si="21"/>
        <v>#NAME?</v>
      </c>
      <c r="K1790" s="274">
        <f t="shared" si="22"/>
        <v>0</v>
      </c>
      <c r="N1790" s="274"/>
    </row>
    <row r="1791" spans="5:14" ht="13.5" customHeight="1">
      <c r="E1791" s="209" t="s">
        <v>1149</v>
      </c>
      <c r="F1791" s="209" t="s">
        <v>2578</v>
      </c>
      <c r="G1791" s="415" t="str">
        <f t="shared" si="20"/>
        <v>18-01</v>
      </c>
      <c r="H1791" s="273" t="e">
        <f ca="1">_xludf.IFNA(VLOOKUP(Aragon!E1791,'Kilter Holds'!$P$37:$AB$662,12,0),0)</f>
        <v>#NAME?</v>
      </c>
      <c r="I1791" s="274"/>
      <c r="J1791" s="274" t="e">
        <f t="shared" ca="1" si="21"/>
        <v>#NAME?</v>
      </c>
      <c r="K1791" s="274">
        <f t="shared" si="22"/>
        <v>0</v>
      </c>
      <c r="N1791" s="274"/>
    </row>
    <row r="1792" spans="5:14" ht="13.5" customHeight="1">
      <c r="E1792" s="209" t="s">
        <v>1149</v>
      </c>
      <c r="F1792" s="209" t="s">
        <v>2578</v>
      </c>
      <c r="G1792" s="416" t="str">
        <f t="shared" si="20"/>
        <v>Color Code</v>
      </c>
      <c r="H1792" s="273" t="e">
        <f ca="1">_xludf.IFNA(VLOOKUP(Aragon!E1792,'Kilter Holds'!$P$37:$AB$662,13,0),0)</f>
        <v>#NAME?</v>
      </c>
      <c r="I1792" s="274"/>
      <c r="J1792" s="274" t="e">
        <f t="shared" ca="1" si="21"/>
        <v>#NAME?</v>
      </c>
      <c r="K1792" s="274">
        <f t="shared" si="22"/>
        <v>0</v>
      </c>
      <c r="N1792" s="274"/>
    </row>
    <row r="1793" spans="1:14" ht="13.5" customHeight="1">
      <c r="A1793" s="1" t="s">
        <v>1243</v>
      </c>
      <c r="E1793" s="209" t="s">
        <v>1151</v>
      </c>
      <c r="F1793" s="209" t="s">
        <v>2579</v>
      </c>
      <c r="G1793" s="406" t="str">
        <f t="shared" si="20"/>
        <v>11-12</v>
      </c>
      <c r="H1793" s="273" t="e">
        <f ca="1">_xludf.IFNA(VLOOKUP(Aragon!E1793,'Kilter Holds'!$P$37:$AB$662,5,0),0)+_xludf.IFNA(VLOOKUP(A1793,'Kilter Holds'!$P$37:$AB$662,5,0),0)</f>
        <v>#NAME?</v>
      </c>
      <c r="I1793" s="274"/>
      <c r="J1793" s="274" t="e">
        <f t="shared" ca="1" si="21"/>
        <v>#NAME?</v>
      </c>
      <c r="K1793" s="274">
        <f t="shared" si="22"/>
        <v>0</v>
      </c>
      <c r="N1793" s="274"/>
    </row>
    <row r="1794" spans="1:14" ht="13.5" customHeight="1">
      <c r="A1794" s="1" t="s">
        <v>1243</v>
      </c>
      <c r="E1794" s="209" t="s">
        <v>1151</v>
      </c>
      <c r="F1794" s="209" t="s">
        <v>2579</v>
      </c>
      <c r="G1794" s="408" t="str">
        <f t="shared" si="20"/>
        <v>14-01</v>
      </c>
      <c r="H1794" s="273" t="e">
        <f ca="1">_xludf.IFNA(VLOOKUP(Aragon!E1794,'Kilter Holds'!$P$37:$AB$662,6,0),0)+_xludf.IFNA(VLOOKUP(A1794,'Kilter Holds'!$P$37:$AB$662,6,0),0)</f>
        <v>#NAME?</v>
      </c>
      <c r="I1794" s="274"/>
      <c r="J1794" s="274" t="e">
        <f t="shared" ca="1" si="21"/>
        <v>#NAME?</v>
      </c>
      <c r="K1794" s="274">
        <f t="shared" si="22"/>
        <v>0</v>
      </c>
      <c r="N1794" s="274"/>
    </row>
    <row r="1795" spans="1:14" ht="13.5" customHeight="1">
      <c r="A1795" s="1" t="s">
        <v>1243</v>
      </c>
      <c r="E1795" s="209" t="s">
        <v>1151</v>
      </c>
      <c r="F1795" s="209" t="s">
        <v>2579</v>
      </c>
      <c r="G1795" s="409" t="str">
        <f t="shared" si="20"/>
        <v>15-12</v>
      </c>
      <c r="H1795" s="273" t="e">
        <f ca="1">_xludf.IFNA(VLOOKUP(Aragon!E1795,'Kilter Holds'!$P$37:$AB$662,7,0),0)+_xludf.IFNA(VLOOKUP(A1795,'Kilter Holds'!$P$37:$AB$662,7,0),0)</f>
        <v>#NAME?</v>
      </c>
      <c r="I1795" s="274"/>
      <c r="J1795" s="274" t="e">
        <f t="shared" ca="1" si="21"/>
        <v>#NAME?</v>
      </c>
      <c r="K1795" s="274">
        <f t="shared" si="22"/>
        <v>0</v>
      </c>
      <c r="N1795" s="274"/>
    </row>
    <row r="1796" spans="1:14" ht="13.5" customHeight="1">
      <c r="A1796" s="1" t="s">
        <v>1243</v>
      </c>
      <c r="E1796" s="209" t="s">
        <v>1151</v>
      </c>
      <c r="F1796" s="209" t="s">
        <v>2579</v>
      </c>
      <c r="G1796" s="410" t="str">
        <f t="shared" ref="G1796:G1990" si="23">G1787</f>
        <v>16-16</v>
      </c>
      <c r="H1796" s="273" t="e">
        <f ca="1">_xludf.IFNA(VLOOKUP(Aragon!E1796,'Kilter Holds'!$P$37:$AB$662,8,0),0)+_xludf.IFNA(VLOOKUP(A1796,'Kilter Holds'!$P$37:$AB$662,8,0),0)</f>
        <v>#NAME?</v>
      </c>
      <c r="I1796" s="274"/>
      <c r="J1796" s="274" t="e">
        <f t="shared" ca="1" si="21"/>
        <v>#NAME?</v>
      </c>
      <c r="K1796" s="274">
        <f t="shared" si="22"/>
        <v>0</v>
      </c>
      <c r="N1796" s="274"/>
    </row>
    <row r="1797" spans="1:14" ht="13.5" customHeight="1">
      <c r="A1797" s="1" t="s">
        <v>1243</v>
      </c>
      <c r="E1797" s="209" t="s">
        <v>1151</v>
      </c>
      <c r="F1797" s="209" t="s">
        <v>2579</v>
      </c>
      <c r="G1797" s="411" t="str">
        <f t="shared" si="23"/>
        <v>13-01</v>
      </c>
      <c r="H1797" s="273" t="e">
        <f ca="1">_xludf.IFNA(VLOOKUP(Aragon!E1797,'Kilter Holds'!$P$37:$AB$662,9,0),0)+_xludf.IFNA(VLOOKUP(A1797,'Kilter Holds'!$P$37:$AB$662,9,0),0)</f>
        <v>#NAME?</v>
      </c>
      <c r="I1797" s="274"/>
      <c r="J1797" s="274" t="e">
        <f t="shared" ca="1" si="21"/>
        <v>#NAME?</v>
      </c>
      <c r="K1797" s="274">
        <f t="shared" si="22"/>
        <v>0</v>
      </c>
      <c r="N1797" s="274"/>
    </row>
    <row r="1798" spans="1:14" ht="13.5" customHeight="1">
      <c r="A1798" s="1" t="s">
        <v>1243</v>
      </c>
      <c r="E1798" s="209" t="s">
        <v>1151</v>
      </c>
      <c r="F1798" s="209" t="s">
        <v>2579</v>
      </c>
      <c r="G1798" s="413" t="str">
        <f t="shared" si="23"/>
        <v>07-13</v>
      </c>
      <c r="H1798" s="273" t="e">
        <f ca="1">_xludf.IFNA(VLOOKUP(Aragon!E1798,'Kilter Holds'!$P$37:$AB$662,10,0),0)+_xludf.IFNA(VLOOKUP(A1798,'Kilter Holds'!$P$37:$AB$662,10,0),0)</f>
        <v>#NAME?</v>
      </c>
      <c r="I1798" s="274"/>
      <c r="J1798" s="274" t="e">
        <f t="shared" ca="1" si="21"/>
        <v>#NAME?</v>
      </c>
      <c r="K1798" s="274">
        <f t="shared" si="22"/>
        <v>0</v>
      </c>
      <c r="N1798" s="274"/>
    </row>
    <row r="1799" spans="1:14" ht="13.5" customHeight="1">
      <c r="A1799" s="1" t="s">
        <v>1243</v>
      </c>
      <c r="E1799" s="209" t="s">
        <v>1151</v>
      </c>
      <c r="F1799" s="209" t="s">
        <v>2579</v>
      </c>
      <c r="G1799" s="414" t="str">
        <f t="shared" si="23"/>
        <v>11-26</v>
      </c>
      <c r="H1799" s="273" t="e">
        <f ca="1">_xludf.IFNA(VLOOKUP(Aragon!E1799,'Kilter Holds'!$P$37:$AB$662,11,0),0)+_xludf.IFNA(VLOOKUP(A1799,'Kilter Holds'!$P$37:$AB$662,11,0),0)</f>
        <v>#NAME?</v>
      </c>
      <c r="I1799" s="274"/>
      <c r="J1799" s="274" t="e">
        <f t="shared" ca="1" si="21"/>
        <v>#NAME?</v>
      </c>
      <c r="K1799" s="274">
        <f t="shared" si="22"/>
        <v>0</v>
      </c>
      <c r="N1799" s="274"/>
    </row>
    <row r="1800" spans="1:14" ht="13.5" customHeight="1">
      <c r="A1800" s="1" t="s">
        <v>1243</v>
      </c>
      <c r="E1800" s="209" t="s">
        <v>1151</v>
      </c>
      <c r="F1800" s="209" t="s">
        <v>2579</v>
      </c>
      <c r="G1800" s="415" t="str">
        <f t="shared" si="23"/>
        <v>18-01</v>
      </c>
      <c r="H1800" s="273" t="e">
        <f ca="1">_xludf.IFNA(VLOOKUP(Aragon!E1800,'Kilter Holds'!$P$37:$AB$662,12,0),0)+_xludf.IFNA(VLOOKUP(A1800,'Kilter Holds'!$P$37:$AB$662,12,0),0)</f>
        <v>#NAME?</v>
      </c>
      <c r="I1800" s="274"/>
      <c r="J1800" s="274" t="e">
        <f t="shared" ca="1" si="21"/>
        <v>#NAME?</v>
      </c>
      <c r="K1800" s="274">
        <f t="shared" si="22"/>
        <v>0</v>
      </c>
      <c r="N1800" s="274"/>
    </row>
    <row r="1801" spans="1:14" ht="13.5" customHeight="1">
      <c r="A1801" s="1" t="s">
        <v>1243</v>
      </c>
      <c r="E1801" s="209" t="s">
        <v>1151</v>
      </c>
      <c r="F1801" s="209" t="s">
        <v>2579</v>
      </c>
      <c r="G1801" s="416" t="str">
        <f t="shared" si="23"/>
        <v>Color Code</v>
      </c>
      <c r="H1801" s="273" t="e">
        <f ca="1">_xludf.IFNA(VLOOKUP(Aragon!E1801,'Kilter Holds'!$P$37:$AB$662,13,0),0)+_xludf.IFNA(VLOOKUP(A1801,'Kilter Holds'!$P$37:$AB$662,13,0),0)</f>
        <v>#NAME?</v>
      </c>
      <c r="I1801" s="274"/>
      <c r="J1801" s="274" t="e">
        <f t="shared" ca="1" si="21"/>
        <v>#NAME?</v>
      </c>
      <c r="K1801" s="274">
        <f t="shared" si="22"/>
        <v>0</v>
      </c>
      <c r="N1801" s="274"/>
    </row>
    <row r="1802" spans="1:14" ht="13.5" customHeight="1">
      <c r="E1802" s="209" t="s">
        <v>1153</v>
      </c>
      <c r="F1802" s="209" t="s">
        <v>2580</v>
      </c>
      <c r="G1802" s="406" t="str">
        <f t="shared" si="23"/>
        <v>11-12</v>
      </c>
      <c r="H1802" s="273" t="e">
        <f ca="1">_xludf.IFNA(VLOOKUP(Aragon!E1802,'Kilter Holds'!$P$37:$AB$662,5,0),0)</f>
        <v>#NAME?</v>
      </c>
      <c r="I1802" s="274"/>
      <c r="J1802" s="274" t="e">
        <f t="shared" ca="1" si="21"/>
        <v>#NAME?</v>
      </c>
      <c r="K1802" s="274">
        <f t="shared" si="22"/>
        <v>0</v>
      </c>
      <c r="N1802" s="274"/>
    </row>
    <row r="1803" spans="1:14" ht="13.5" customHeight="1">
      <c r="E1803" s="209" t="s">
        <v>1153</v>
      </c>
      <c r="F1803" s="209" t="s">
        <v>2580</v>
      </c>
      <c r="G1803" s="408" t="str">
        <f t="shared" si="23"/>
        <v>14-01</v>
      </c>
      <c r="H1803" s="273" t="e">
        <f ca="1">_xludf.IFNA(VLOOKUP(Aragon!E1803,'Kilter Holds'!$P$37:$AB$662,6,0),0)</f>
        <v>#NAME?</v>
      </c>
      <c r="I1803" s="274"/>
      <c r="J1803" s="274" t="e">
        <f t="shared" ca="1" si="21"/>
        <v>#NAME?</v>
      </c>
      <c r="K1803" s="274">
        <f t="shared" si="22"/>
        <v>0</v>
      </c>
      <c r="N1803" s="274"/>
    </row>
    <row r="1804" spans="1:14" ht="13.5" customHeight="1">
      <c r="E1804" s="209" t="s">
        <v>1153</v>
      </c>
      <c r="F1804" s="209" t="s">
        <v>2580</v>
      </c>
      <c r="G1804" s="409" t="str">
        <f t="shared" si="23"/>
        <v>15-12</v>
      </c>
      <c r="H1804" s="273" t="e">
        <f ca="1">_xludf.IFNA(VLOOKUP(Aragon!E1804,'Kilter Holds'!$P$37:$AB$662,7,0),0)</f>
        <v>#NAME?</v>
      </c>
      <c r="I1804" s="274"/>
      <c r="J1804" s="274" t="e">
        <f t="shared" ca="1" si="21"/>
        <v>#NAME?</v>
      </c>
      <c r="K1804" s="274">
        <f t="shared" si="22"/>
        <v>0</v>
      </c>
      <c r="N1804" s="274"/>
    </row>
    <row r="1805" spans="1:14" ht="13.5" customHeight="1">
      <c r="E1805" s="209" t="s">
        <v>1153</v>
      </c>
      <c r="F1805" s="209" t="s">
        <v>2580</v>
      </c>
      <c r="G1805" s="410" t="str">
        <f t="shared" si="23"/>
        <v>16-16</v>
      </c>
      <c r="H1805" s="273" t="e">
        <f ca="1">_xludf.IFNA(VLOOKUP(Aragon!E1805,'Kilter Holds'!$P$37:$AB$662,8,0),0)</f>
        <v>#NAME?</v>
      </c>
      <c r="I1805" s="274"/>
      <c r="J1805" s="274" t="e">
        <f t="shared" ca="1" si="21"/>
        <v>#NAME?</v>
      </c>
      <c r="K1805" s="274">
        <f t="shared" si="22"/>
        <v>0</v>
      </c>
      <c r="N1805" s="274"/>
    </row>
    <row r="1806" spans="1:14" ht="13.5" customHeight="1">
      <c r="E1806" s="209" t="s">
        <v>1153</v>
      </c>
      <c r="F1806" s="209" t="s">
        <v>2580</v>
      </c>
      <c r="G1806" s="411" t="str">
        <f t="shared" si="23"/>
        <v>13-01</v>
      </c>
      <c r="H1806" s="273" t="e">
        <f ca="1">_xludf.IFNA(VLOOKUP(Aragon!E1806,'Kilter Holds'!$P$37:$AB$662,9,0),0)</f>
        <v>#NAME?</v>
      </c>
      <c r="I1806" s="274"/>
      <c r="J1806" s="274" t="e">
        <f t="shared" ca="1" si="21"/>
        <v>#NAME?</v>
      </c>
      <c r="K1806" s="274">
        <f t="shared" si="22"/>
        <v>0</v>
      </c>
      <c r="N1806" s="274"/>
    </row>
    <row r="1807" spans="1:14" ht="13.5" customHeight="1">
      <c r="E1807" s="209" t="s">
        <v>1153</v>
      </c>
      <c r="F1807" s="209" t="s">
        <v>2580</v>
      </c>
      <c r="G1807" s="413" t="str">
        <f t="shared" si="23"/>
        <v>07-13</v>
      </c>
      <c r="H1807" s="273" t="e">
        <f ca="1">_xludf.IFNA(VLOOKUP(Aragon!E1807,'Kilter Holds'!$P$37:$AB$662,10,0),0)</f>
        <v>#NAME?</v>
      </c>
      <c r="I1807" s="274"/>
      <c r="J1807" s="274" t="e">
        <f t="shared" ca="1" si="21"/>
        <v>#NAME?</v>
      </c>
      <c r="K1807" s="274">
        <f t="shared" si="22"/>
        <v>0</v>
      </c>
      <c r="N1807" s="274"/>
    </row>
    <row r="1808" spans="1:14" ht="13.5" customHeight="1">
      <c r="E1808" s="209" t="s">
        <v>1153</v>
      </c>
      <c r="F1808" s="209" t="s">
        <v>2580</v>
      </c>
      <c r="G1808" s="414" t="str">
        <f t="shared" si="23"/>
        <v>11-26</v>
      </c>
      <c r="H1808" s="273" t="e">
        <f ca="1">_xludf.IFNA(VLOOKUP(Aragon!E1808,'Kilter Holds'!$P$37:$AB$662,11,0),0)</f>
        <v>#NAME?</v>
      </c>
      <c r="I1808" s="274"/>
      <c r="J1808" s="274" t="e">
        <f t="shared" ca="1" si="21"/>
        <v>#NAME?</v>
      </c>
      <c r="K1808" s="274">
        <f t="shared" si="22"/>
        <v>0</v>
      </c>
      <c r="N1808" s="274"/>
    </row>
    <row r="1809" spans="1:14" ht="13.5" customHeight="1">
      <c r="E1809" s="209" t="s">
        <v>1153</v>
      </c>
      <c r="F1809" s="209" t="s">
        <v>2580</v>
      </c>
      <c r="G1809" s="415" t="str">
        <f t="shared" si="23"/>
        <v>18-01</v>
      </c>
      <c r="H1809" s="273" t="e">
        <f ca="1">_xludf.IFNA(VLOOKUP(Aragon!E1809,'Kilter Holds'!$P$37:$AB$662,12,0),0)</f>
        <v>#NAME?</v>
      </c>
      <c r="I1809" s="274"/>
      <c r="J1809" s="274" t="e">
        <f t="shared" ca="1" si="21"/>
        <v>#NAME?</v>
      </c>
      <c r="K1809" s="274">
        <f t="shared" si="22"/>
        <v>0</v>
      </c>
      <c r="N1809" s="274"/>
    </row>
    <row r="1810" spans="1:14" ht="13.5" customHeight="1">
      <c r="E1810" s="209" t="s">
        <v>1153</v>
      </c>
      <c r="F1810" s="209" t="s">
        <v>2580</v>
      </c>
      <c r="G1810" s="416" t="str">
        <f t="shared" si="23"/>
        <v>Color Code</v>
      </c>
      <c r="H1810" s="273" t="e">
        <f ca="1">_xludf.IFNA(VLOOKUP(Aragon!E1810,'Kilter Holds'!$P$37:$AB$662,13,0),0)</f>
        <v>#NAME?</v>
      </c>
      <c r="I1810" s="274"/>
      <c r="J1810" s="274" t="e">
        <f t="shared" ca="1" si="21"/>
        <v>#NAME?</v>
      </c>
      <c r="K1810" s="274">
        <f t="shared" si="22"/>
        <v>0</v>
      </c>
      <c r="N1810" s="274"/>
    </row>
    <row r="1811" spans="1:14" ht="13.5" customHeight="1">
      <c r="E1811" s="209" t="s">
        <v>276</v>
      </c>
      <c r="F1811" s="209" t="s">
        <v>2581</v>
      </c>
      <c r="G1811" s="406" t="str">
        <f t="shared" si="23"/>
        <v>11-12</v>
      </c>
      <c r="H1811" s="273" t="e">
        <f ca="1">_xludf.IFNA(VLOOKUP(Aragon!E1811,'Kilter Holds'!$P$37:$AB$662,5,0),0)</f>
        <v>#NAME?</v>
      </c>
      <c r="I1811" s="274"/>
      <c r="J1811" s="274" t="e">
        <f t="shared" ca="1" si="21"/>
        <v>#NAME?</v>
      </c>
      <c r="K1811" s="274">
        <f t="shared" si="22"/>
        <v>0</v>
      </c>
      <c r="N1811" s="274"/>
    </row>
    <row r="1812" spans="1:14" ht="13.5" customHeight="1">
      <c r="E1812" s="209" t="s">
        <v>276</v>
      </c>
      <c r="F1812" s="209" t="s">
        <v>2581</v>
      </c>
      <c r="G1812" s="408" t="str">
        <f t="shared" si="23"/>
        <v>14-01</v>
      </c>
      <c r="H1812" s="273" t="e">
        <f ca="1">_xludf.IFNA(VLOOKUP(Aragon!E1812,'Kilter Holds'!$P$37:$AB$662,6,0),0)</f>
        <v>#NAME?</v>
      </c>
      <c r="I1812" s="274"/>
      <c r="J1812" s="274" t="e">
        <f t="shared" ca="1" si="21"/>
        <v>#NAME?</v>
      </c>
      <c r="K1812" s="274">
        <f t="shared" si="22"/>
        <v>0</v>
      </c>
      <c r="N1812" s="274"/>
    </row>
    <row r="1813" spans="1:14" ht="13.5" customHeight="1">
      <c r="E1813" s="209" t="s">
        <v>276</v>
      </c>
      <c r="F1813" s="209" t="s">
        <v>2581</v>
      </c>
      <c r="G1813" s="409" t="str">
        <f t="shared" si="23"/>
        <v>15-12</v>
      </c>
      <c r="H1813" s="273" t="e">
        <f ca="1">_xludf.IFNA(VLOOKUP(Aragon!E1813,'Kilter Holds'!$P$37:$AB$662,7,0),0)</f>
        <v>#NAME?</v>
      </c>
      <c r="I1813" s="274"/>
      <c r="J1813" s="274" t="e">
        <f t="shared" ca="1" si="21"/>
        <v>#NAME?</v>
      </c>
      <c r="K1813" s="274">
        <f t="shared" si="22"/>
        <v>0</v>
      </c>
      <c r="N1813" s="274"/>
    </row>
    <row r="1814" spans="1:14" ht="13.5" customHeight="1">
      <c r="E1814" s="209" t="s">
        <v>276</v>
      </c>
      <c r="F1814" s="209" t="s">
        <v>2581</v>
      </c>
      <c r="G1814" s="410" t="str">
        <f t="shared" si="23"/>
        <v>16-16</v>
      </c>
      <c r="H1814" s="273" t="e">
        <f ca="1">_xludf.IFNA(VLOOKUP(Aragon!E1814,'Kilter Holds'!$P$37:$AB$662,8,0),0)</f>
        <v>#NAME?</v>
      </c>
      <c r="I1814" s="274"/>
      <c r="J1814" s="274" t="e">
        <f t="shared" ca="1" si="21"/>
        <v>#NAME?</v>
      </c>
      <c r="K1814" s="274">
        <f t="shared" si="22"/>
        <v>0</v>
      </c>
      <c r="N1814" s="274"/>
    </row>
    <row r="1815" spans="1:14" ht="13.5" customHeight="1">
      <c r="E1815" s="209" t="s">
        <v>276</v>
      </c>
      <c r="F1815" s="209" t="s">
        <v>2581</v>
      </c>
      <c r="G1815" s="411" t="str">
        <f t="shared" si="23"/>
        <v>13-01</v>
      </c>
      <c r="H1815" s="273" t="e">
        <f ca="1">_xludf.IFNA(VLOOKUP(Aragon!E1815,'Kilter Holds'!$P$37:$AB$662,9,0),0)</f>
        <v>#NAME?</v>
      </c>
      <c r="I1815" s="274"/>
      <c r="J1815" s="274" t="e">
        <f t="shared" ca="1" si="21"/>
        <v>#NAME?</v>
      </c>
      <c r="K1815" s="274">
        <f t="shared" si="22"/>
        <v>0</v>
      </c>
      <c r="N1815" s="274"/>
    </row>
    <row r="1816" spans="1:14" ht="13.5" customHeight="1">
      <c r="E1816" s="209" t="s">
        <v>276</v>
      </c>
      <c r="F1816" s="209" t="s">
        <v>2581</v>
      </c>
      <c r="G1816" s="413" t="str">
        <f t="shared" si="23"/>
        <v>07-13</v>
      </c>
      <c r="H1816" s="273" t="e">
        <f ca="1">_xludf.IFNA(VLOOKUP(Aragon!E1816,'Kilter Holds'!$P$37:$AB$662,10,0),0)</f>
        <v>#NAME?</v>
      </c>
      <c r="I1816" s="274"/>
      <c r="J1816" s="274" t="e">
        <f t="shared" ca="1" si="21"/>
        <v>#NAME?</v>
      </c>
      <c r="K1816" s="274">
        <f t="shared" si="22"/>
        <v>0</v>
      </c>
      <c r="N1816" s="274"/>
    </row>
    <row r="1817" spans="1:14" ht="13.5" customHeight="1">
      <c r="E1817" s="209" t="s">
        <v>276</v>
      </c>
      <c r="F1817" s="209" t="s">
        <v>2581</v>
      </c>
      <c r="G1817" s="414" t="str">
        <f t="shared" si="23"/>
        <v>11-26</v>
      </c>
      <c r="H1817" s="273" t="e">
        <f ca="1">_xludf.IFNA(VLOOKUP(Aragon!E1817,'Kilter Holds'!$P$37:$AB$662,11,0),0)</f>
        <v>#NAME?</v>
      </c>
      <c r="I1817" s="274"/>
      <c r="J1817" s="274" t="e">
        <f t="shared" ca="1" si="21"/>
        <v>#NAME?</v>
      </c>
      <c r="K1817" s="274">
        <f t="shared" si="22"/>
        <v>0</v>
      </c>
      <c r="N1817" s="274"/>
    </row>
    <row r="1818" spans="1:14" ht="13.5" customHeight="1">
      <c r="E1818" s="209" t="s">
        <v>276</v>
      </c>
      <c r="F1818" s="209" t="s">
        <v>2581</v>
      </c>
      <c r="G1818" s="415" t="str">
        <f t="shared" si="23"/>
        <v>18-01</v>
      </c>
      <c r="H1818" s="273" t="e">
        <f ca="1">_xludf.IFNA(VLOOKUP(Aragon!E1818,'Kilter Holds'!$P$37:$AB$662,12,0),0)</f>
        <v>#NAME?</v>
      </c>
      <c r="I1818" s="274"/>
      <c r="J1818" s="274" t="e">
        <f t="shared" ca="1" si="21"/>
        <v>#NAME?</v>
      </c>
      <c r="K1818" s="274">
        <f t="shared" si="22"/>
        <v>0</v>
      </c>
      <c r="N1818" s="274"/>
    </row>
    <row r="1819" spans="1:14" ht="13.5" customHeight="1">
      <c r="E1819" s="209" t="s">
        <v>276</v>
      </c>
      <c r="F1819" s="209" t="s">
        <v>2581</v>
      </c>
      <c r="G1819" s="416" t="str">
        <f t="shared" si="23"/>
        <v>Color Code</v>
      </c>
      <c r="H1819" s="273" t="e">
        <f ca="1">_xludf.IFNA(VLOOKUP(Aragon!E1819,'Kilter Holds'!$P$37:$AB$662,13,0),0)</f>
        <v>#NAME?</v>
      </c>
      <c r="I1819" s="274"/>
      <c r="J1819" s="274" t="e">
        <f t="shared" ca="1" si="21"/>
        <v>#NAME?</v>
      </c>
      <c r="K1819" s="274">
        <f t="shared" si="22"/>
        <v>0</v>
      </c>
      <c r="N1819" s="274"/>
    </row>
    <row r="1820" spans="1:14" ht="13.5" customHeight="1">
      <c r="A1820" s="1" t="s">
        <v>1243</v>
      </c>
      <c r="E1820" s="209" t="s">
        <v>1155</v>
      </c>
      <c r="F1820" s="209" t="s">
        <v>2582</v>
      </c>
      <c r="G1820" s="406" t="str">
        <f t="shared" si="23"/>
        <v>11-12</v>
      </c>
      <c r="H1820" s="273" t="e">
        <f ca="1">_xludf.IFNA(VLOOKUP(Aragon!E1820,'Kilter Holds'!$P$37:$AB$662,5,0),0)+_xludf.IFNA(VLOOKUP(A1820,'Kilter Holds'!$P$37:$AB$662,5,0),0)</f>
        <v>#NAME?</v>
      </c>
      <c r="I1820" s="274"/>
      <c r="J1820" s="274" t="e">
        <f t="shared" ca="1" si="21"/>
        <v>#NAME?</v>
      </c>
      <c r="K1820" s="274">
        <f t="shared" si="22"/>
        <v>0</v>
      </c>
      <c r="N1820" s="274"/>
    </row>
    <row r="1821" spans="1:14" ht="13.5" customHeight="1">
      <c r="A1821" s="1" t="s">
        <v>1243</v>
      </c>
      <c r="E1821" s="209" t="s">
        <v>1155</v>
      </c>
      <c r="F1821" s="209" t="s">
        <v>2582</v>
      </c>
      <c r="G1821" s="408" t="str">
        <f t="shared" si="23"/>
        <v>14-01</v>
      </c>
      <c r="H1821" s="273" t="e">
        <f ca="1">_xludf.IFNA(VLOOKUP(Aragon!E1821,'Kilter Holds'!$P$37:$AB$662,6,0),0)+_xludf.IFNA(VLOOKUP(A1821,'Kilter Holds'!$P$37:$AB$662,6,0),0)</f>
        <v>#NAME?</v>
      </c>
      <c r="I1821" s="274"/>
      <c r="J1821" s="274" t="e">
        <f t="shared" ca="1" si="21"/>
        <v>#NAME?</v>
      </c>
      <c r="K1821" s="274">
        <f t="shared" si="22"/>
        <v>0</v>
      </c>
      <c r="N1821" s="274"/>
    </row>
    <row r="1822" spans="1:14" ht="13.5" customHeight="1">
      <c r="A1822" s="1" t="s">
        <v>1243</v>
      </c>
      <c r="E1822" s="209" t="s">
        <v>1155</v>
      </c>
      <c r="F1822" s="209" t="s">
        <v>2582</v>
      </c>
      <c r="G1822" s="409" t="str">
        <f t="shared" si="23"/>
        <v>15-12</v>
      </c>
      <c r="H1822" s="273" t="e">
        <f ca="1">_xludf.IFNA(VLOOKUP(Aragon!E1822,'Kilter Holds'!$P$37:$AB$662,7,0),0)+_xludf.IFNA(VLOOKUP(A1822,'Kilter Holds'!$P$37:$AB$662,7,0),0)</f>
        <v>#NAME?</v>
      </c>
      <c r="I1822" s="274"/>
      <c r="J1822" s="274" t="e">
        <f t="shared" ca="1" si="21"/>
        <v>#NAME?</v>
      </c>
      <c r="K1822" s="274">
        <f t="shared" si="22"/>
        <v>0</v>
      </c>
      <c r="N1822" s="274"/>
    </row>
    <row r="1823" spans="1:14" ht="13.5" customHeight="1">
      <c r="A1823" s="1" t="s">
        <v>1243</v>
      </c>
      <c r="E1823" s="209" t="s">
        <v>1155</v>
      </c>
      <c r="F1823" s="209" t="s">
        <v>2582</v>
      </c>
      <c r="G1823" s="410" t="str">
        <f t="shared" si="23"/>
        <v>16-16</v>
      </c>
      <c r="H1823" s="273" t="e">
        <f ca="1">_xludf.IFNA(VLOOKUP(Aragon!E1823,'Kilter Holds'!$P$37:$AB$662,8,0),0)+_xludf.IFNA(VLOOKUP(A1823,'Kilter Holds'!$P$37:$AB$662,8,0),0)</f>
        <v>#NAME?</v>
      </c>
      <c r="I1823" s="274"/>
      <c r="J1823" s="274" t="e">
        <f t="shared" ca="1" si="21"/>
        <v>#NAME?</v>
      </c>
      <c r="K1823" s="274">
        <f t="shared" si="22"/>
        <v>0</v>
      </c>
      <c r="N1823" s="274"/>
    </row>
    <row r="1824" spans="1:14" ht="13.5" customHeight="1">
      <c r="A1824" s="1" t="s">
        <v>1243</v>
      </c>
      <c r="E1824" s="209" t="s">
        <v>1155</v>
      </c>
      <c r="F1824" s="209" t="s">
        <v>2582</v>
      </c>
      <c r="G1824" s="411" t="str">
        <f t="shared" si="23"/>
        <v>13-01</v>
      </c>
      <c r="H1824" s="273" t="e">
        <f ca="1">_xludf.IFNA(VLOOKUP(Aragon!E1824,'Kilter Holds'!$P$37:$AB$662,9,0),0)+_xludf.IFNA(VLOOKUP(A1824,'Kilter Holds'!$P$37:$AB$662,9,0),0)</f>
        <v>#NAME?</v>
      </c>
      <c r="I1824" s="274"/>
      <c r="J1824" s="274" t="e">
        <f t="shared" ca="1" si="21"/>
        <v>#NAME?</v>
      </c>
      <c r="K1824" s="274">
        <f t="shared" si="22"/>
        <v>0</v>
      </c>
      <c r="N1824" s="274"/>
    </row>
    <row r="1825" spans="1:14" ht="13.5" customHeight="1">
      <c r="A1825" s="1" t="s">
        <v>1243</v>
      </c>
      <c r="E1825" s="209" t="s">
        <v>1155</v>
      </c>
      <c r="F1825" s="209" t="s">
        <v>2582</v>
      </c>
      <c r="G1825" s="413" t="str">
        <f t="shared" si="23"/>
        <v>07-13</v>
      </c>
      <c r="H1825" s="273" t="e">
        <f ca="1">_xludf.IFNA(VLOOKUP(Aragon!E1825,'Kilter Holds'!$P$37:$AB$662,10,0),0)+_xludf.IFNA(VLOOKUP(A1825,'Kilter Holds'!$P$37:$AB$662,10,0),0)</f>
        <v>#NAME?</v>
      </c>
      <c r="I1825" s="274"/>
      <c r="J1825" s="274" t="e">
        <f t="shared" ca="1" si="21"/>
        <v>#NAME?</v>
      </c>
      <c r="K1825" s="274">
        <f t="shared" si="22"/>
        <v>0</v>
      </c>
      <c r="N1825" s="274"/>
    </row>
    <row r="1826" spans="1:14" ht="13.5" customHeight="1">
      <c r="A1826" s="1" t="s">
        <v>1243</v>
      </c>
      <c r="E1826" s="209" t="s">
        <v>1155</v>
      </c>
      <c r="F1826" s="209" t="s">
        <v>2582</v>
      </c>
      <c r="G1826" s="414" t="str">
        <f t="shared" si="23"/>
        <v>11-26</v>
      </c>
      <c r="H1826" s="273" t="e">
        <f ca="1">_xludf.IFNA(VLOOKUP(Aragon!E1826,'Kilter Holds'!$P$37:$AB$662,11,0),0)+_xludf.IFNA(VLOOKUP(A1826,'Kilter Holds'!$P$37:$AB$662,11,0),0)</f>
        <v>#NAME?</v>
      </c>
      <c r="I1826" s="274"/>
      <c r="J1826" s="274" t="e">
        <f t="shared" ca="1" si="21"/>
        <v>#NAME?</v>
      </c>
      <c r="K1826" s="274">
        <f t="shared" si="22"/>
        <v>0</v>
      </c>
      <c r="N1826" s="274"/>
    </row>
    <row r="1827" spans="1:14" ht="13.5" customHeight="1">
      <c r="A1827" s="1" t="s">
        <v>1243</v>
      </c>
      <c r="E1827" s="209" t="s">
        <v>1155</v>
      </c>
      <c r="F1827" s="209" t="s">
        <v>2582</v>
      </c>
      <c r="G1827" s="415" t="str">
        <f t="shared" si="23"/>
        <v>18-01</v>
      </c>
      <c r="H1827" s="273" t="e">
        <f ca="1">_xludf.IFNA(VLOOKUP(Aragon!E1827,'Kilter Holds'!$P$37:$AB$662,12,0),0)+_xludf.IFNA(VLOOKUP(A1827,'Kilter Holds'!$P$37:$AB$662,12,0),0)</f>
        <v>#NAME?</v>
      </c>
      <c r="I1827" s="274"/>
      <c r="J1827" s="274" t="e">
        <f t="shared" ca="1" si="21"/>
        <v>#NAME?</v>
      </c>
      <c r="K1827" s="274">
        <f t="shared" si="22"/>
        <v>0</v>
      </c>
      <c r="N1827" s="274"/>
    </row>
    <row r="1828" spans="1:14" ht="13.5" customHeight="1">
      <c r="A1828" s="1" t="s">
        <v>1243</v>
      </c>
      <c r="E1828" s="209" t="s">
        <v>1155</v>
      </c>
      <c r="F1828" s="209" t="s">
        <v>2582</v>
      </c>
      <c r="G1828" s="416" t="str">
        <f t="shared" si="23"/>
        <v>Color Code</v>
      </c>
      <c r="H1828" s="273" t="e">
        <f ca="1">_xludf.IFNA(VLOOKUP(Aragon!E1828,'Kilter Holds'!$P$37:$AB$662,13,0),0)+_xludf.IFNA(VLOOKUP(A1828,'Kilter Holds'!$P$37:$AB$662,13,0),0)</f>
        <v>#NAME?</v>
      </c>
      <c r="I1828" s="274"/>
      <c r="J1828" s="274" t="e">
        <f t="shared" ca="1" si="21"/>
        <v>#NAME?</v>
      </c>
      <c r="K1828" s="274">
        <f t="shared" si="22"/>
        <v>0</v>
      </c>
      <c r="N1828" s="274"/>
    </row>
    <row r="1829" spans="1:14" ht="13.5" customHeight="1">
      <c r="E1829" s="209" t="s">
        <v>278</v>
      </c>
      <c r="F1829" s="209" t="s">
        <v>2583</v>
      </c>
      <c r="G1829" s="406" t="str">
        <f t="shared" si="23"/>
        <v>11-12</v>
      </c>
      <c r="H1829" s="273" t="e">
        <f ca="1">_xludf.IFNA(VLOOKUP(Aragon!E1829,'Kilter Holds'!$P$37:$AB$662,5,0),0)</f>
        <v>#NAME?</v>
      </c>
      <c r="I1829" s="274"/>
      <c r="J1829" s="274" t="e">
        <f t="shared" ca="1" si="21"/>
        <v>#NAME?</v>
      </c>
      <c r="K1829" s="274">
        <f t="shared" si="22"/>
        <v>0</v>
      </c>
      <c r="N1829" s="274"/>
    </row>
    <row r="1830" spans="1:14" ht="13.5" customHeight="1">
      <c r="E1830" s="209" t="s">
        <v>278</v>
      </c>
      <c r="F1830" s="209" t="s">
        <v>2583</v>
      </c>
      <c r="G1830" s="408" t="str">
        <f t="shared" si="23"/>
        <v>14-01</v>
      </c>
      <c r="H1830" s="273" t="e">
        <f ca="1">_xludf.IFNA(VLOOKUP(Aragon!E1830,'Kilter Holds'!$P$37:$AB$662,6,0),0)</f>
        <v>#NAME?</v>
      </c>
      <c r="I1830" s="274"/>
      <c r="J1830" s="274" t="e">
        <f t="shared" ca="1" si="21"/>
        <v>#NAME?</v>
      </c>
      <c r="K1830" s="274">
        <f t="shared" si="22"/>
        <v>0</v>
      </c>
      <c r="N1830" s="274"/>
    </row>
    <row r="1831" spans="1:14" ht="13.5" customHeight="1">
      <c r="E1831" s="209" t="s">
        <v>278</v>
      </c>
      <c r="F1831" s="209" t="s">
        <v>2583</v>
      </c>
      <c r="G1831" s="409" t="str">
        <f t="shared" si="23"/>
        <v>15-12</v>
      </c>
      <c r="H1831" s="273" t="e">
        <f ca="1">_xludf.IFNA(VLOOKUP(Aragon!E1831,'Kilter Holds'!$P$37:$AB$662,7,0),0)</f>
        <v>#NAME?</v>
      </c>
      <c r="I1831" s="274"/>
      <c r="J1831" s="274" t="e">
        <f t="shared" ca="1" si="21"/>
        <v>#NAME?</v>
      </c>
      <c r="K1831" s="274">
        <f t="shared" si="22"/>
        <v>0</v>
      </c>
      <c r="N1831" s="274"/>
    </row>
    <row r="1832" spans="1:14" ht="13.5" customHeight="1">
      <c r="E1832" s="209" t="s">
        <v>278</v>
      </c>
      <c r="F1832" s="209" t="s">
        <v>2583</v>
      </c>
      <c r="G1832" s="410" t="str">
        <f t="shared" si="23"/>
        <v>16-16</v>
      </c>
      <c r="H1832" s="273" t="e">
        <f ca="1">_xludf.IFNA(VLOOKUP(Aragon!E1832,'Kilter Holds'!$P$37:$AB$662,8,0),0)</f>
        <v>#NAME?</v>
      </c>
      <c r="I1832" s="274"/>
      <c r="J1832" s="274" t="e">
        <f t="shared" ca="1" si="21"/>
        <v>#NAME?</v>
      </c>
      <c r="K1832" s="274">
        <f t="shared" si="22"/>
        <v>0</v>
      </c>
      <c r="N1832" s="274"/>
    </row>
    <row r="1833" spans="1:14" ht="13.5" customHeight="1">
      <c r="E1833" s="209" t="s">
        <v>278</v>
      </c>
      <c r="F1833" s="209" t="s">
        <v>2583</v>
      </c>
      <c r="G1833" s="411" t="str">
        <f t="shared" si="23"/>
        <v>13-01</v>
      </c>
      <c r="H1833" s="273" t="e">
        <f ca="1">_xludf.IFNA(VLOOKUP(Aragon!E1833,'Kilter Holds'!$P$37:$AB$662,9,0),0)</f>
        <v>#NAME?</v>
      </c>
      <c r="I1833" s="274"/>
      <c r="J1833" s="274" t="e">
        <f t="shared" ca="1" si="21"/>
        <v>#NAME?</v>
      </c>
      <c r="K1833" s="274">
        <f t="shared" si="22"/>
        <v>0</v>
      </c>
      <c r="N1833" s="274"/>
    </row>
    <row r="1834" spans="1:14" ht="13.5" customHeight="1">
      <c r="E1834" s="209" t="s">
        <v>278</v>
      </c>
      <c r="F1834" s="209" t="s">
        <v>2583</v>
      </c>
      <c r="G1834" s="413" t="str">
        <f t="shared" si="23"/>
        <v>07-13</v>
      </c>
      <c r="H1834" s="273" t="e">
        <f ca="1">_xludf.IFNA(VLOOKUP(Aragon!E1834,'Kilter Holds'!$P$37:$AB$662,10,0),0)</f>
        <v>#NAME?</v>
      </c>
      <c r="I1834" s="274"/>
      <c r="J1834" s="274" t="e">
        <f t="shared" ca="1" si="21"/>
        <v>#NAME?</v>
      </c>
      <c r="K1834" s="274">
        <f t="shared" si="22"/>
        <v>0</v>
      </c>
      <c r="N1834" s="274"/>
    </row>
    <row r="1835" spans="1:14" ht="13.5" customHeight="1">
      <c r="E1835" s="209" t="s">
        <v>278</v>
      </c>
      <c r="F1835" s="209" t="s">
        <v>2583</v>
      </c>
      <c r="G1835" s="414" t="str">
        <f t="shared" si="23"/>
        <v>11-26</v>
      </c>
      <c r="H1835" s="273" t="e">
        <f ca="1">_xludf.IFNA(VLOOKUP(Aragon!E1835,'Kilter Holds'!$P$37:$AB$662,11,0),0)</f>
        <v>#NAME?</v>
      </c>
      <c r="I1835" s="274"/>
      <c r="J1835" s="274" t="e">
        <f t="shared" ca="1" si="21"/>
        <v>#NAME?</v>
      </c>
      <c r="K1835" s="274">
        <f t="shared" si="22"/>
        <v>0</v>
      </c>
      <c r="N1835" s="274"/>
    </row>
    <row r="1836" spans="1:14" ht="13.5" customHeight="1">
      <c r="E1836" s="209" t="s">
        <v>278</v>
      </c>
      <c r="F1836" s="209" t="s">
        <v>2583</v>
      </c>
      <c r="G1836" s="415" t="str">
        <f t="shared" si="23"/>
        <v>18-01</v>
      </c>
      <c r="H1836" s="273" t="e">
        <f ca="1">_xludf.IFNA(VLOOKUP(Aragon!E1836,'Kilter Holds'!$P$37:$AB$662,12,0),0)</f>
        <v>#NAME?</v>
      </c>
      <c r="I1836" s="274"/>
      <c r="J1836" s="274" t="e">
        <f t="shared" ca="1" si="21"/>
        <v>#NAME?</v>
      </c>
      <c r="K1836" s="274">
        <f t="shared" si="22"/>
        <v>0</v>
      </c>
      <c r="N1836" s="274"/>
    </row>
    <row r="1837" spans="1:14" ht="13.5" customHeight="1">
      <c r="E1837" s="209" t="s">
        <v>278</v>
      </c>
      <c r="F1837" s="209" t="s">
        <v>2583</v>
      </c>
      <c r="G1837" s="416" t="str">
        <f t="shared" si="23"/>
        <v>Color Code</v>
      </c>
      <c r="H1837" s="273" t="e">
        <f ca="1">_xludf.IFNA(VLOOKUP(Aragon!E1837,'Kilter Holds'!$P$37:$AB$662,13,0),0)</f>
        <v>#NAME?</v>
      </c>
      <c r="I1837" s="274"/>
      <c r="J1837" s="274" t="e">
        <f t="shared" ca="1" si="21"/>
        <v>#NAME?</v>
      </c>
      <c r="K1837" s="274">
        <f t="shared" si="22"/>
        <v>0</v>
      </c>
      <c r="N1837" s="274"/>
    </row>
    <row r="1838" spans="1:14" ht="13.5" customHeight="1">
      <c r="E1838" s="209" t="s">
        <v>365</v>
      </c>
      <c r="F1838" s="209" t="s">
        <v>2584</v>
      </c>
      <c r="G1838" s="406" t="str">
        <f t="shared" si="23"/>
        <v>11-12</v>
      </c>
      <c r="H1838" s="273" t="e">
        <f ca="1">_xludf.IFNA(VLOOKUP(Aragon!E1838,'Kilter Holds'!$P$37:$AB$662,5,0),0)</f>
        <v>#NAME?</v>
      </c>
      <c r="I1838" s="274"/>
      <c r="J1838" s="274" t="e">
        <f t="shared" ca="1" si="21"/>
        <v>#NAME?</v>
      </c>
      <c r="K1838" s="274">
        <f t="shared" si="22"/>
        <v>0</v>
      </c>
      <c r="N1838" s="274"/>
    </row>
    <row r="1839" spans="1:14" ht="13.5" customHeight="1">
      <c r="E1839" s="209" t="s">
        <v>365</v>
      </c>
      <c r="F1839" s="209" t="s">
        <v>2584</v>
      </c>
      <c r="G1839" s="408" t="str">
        <f t="shared" si="23"/>
        <v>14-01</v>
      </c>
      <c r="H1839" s="273" t="e">
        <f ca="1">_xludf.IFNA(VLOOKUP(Aragon!E1839,'Kilter Holds'!$P$37:$AB$662,6,0),0)</f>
        <v>#NAME?</v>
      </c>
      <c r="I1839" s="274"/>
      <c r="J1839" s="274" t="e">
        <f t="shared" ca="1" si="21"/>
        <v>#NAME?</v>
      </c>
      <c r="K1839" s="274">
        <f t="shared" si="22"/>
        <v>0</v>
      </c>
      <c r="N1839" s="274"/>
    </row>
    <row r="1840" spans="1:14" ht="13.5" customHeight="1">
      <c r="E1840" s="209" t="s">
        <v>365</v>
      </c>
      <c r="F1840" s="209" t="s">
        <v>2584</v>
      </c>
      <c r="G1840" s="409" t="str">
        <f t="shared" si="23"/>
        <v>15-12</v>
      </c>
      <c r="H1840" s="273" t="e">
        <f ca="1">_xludf.IFNA(VLOOKUP(Aragon!E1840,'Kilter Holds'!$P$37:$AB$662,7,0),0)</f>
        <v>#NAME?</v>
      </c>
      <c r="I1840" s="274"/>
      <c r="J1840" s="274" t="e">
        <f t="shared" ca="1" si="21"/>
        <v>#NAME?</v>
      </c>
      <c r="K1840" s="274">
        <f t="shared" si="22"/>
        <v>0</v>
      </c>
      <c r="N1840" s="274"/>
    </row>
    <row r="1841" spans="5:14" ht="13.5" customHeight="1">
      <c r="E1841" s="209" t="s">
        <v>365</v>
      </c>
      <c r="F1841" s="209" t="s">
        <v>2584</v>
      </c>
      <c r="G1841" s="410" t="str">
        <f t="shared" si="23"/>
        <v>16-16</v>
      </c>
      <c r="H1841" s="273" t="e">
        <f ca="1">_xludf.IFNA(VLOOKUP(Aragon!E1841,'Kilter Holds'!$P$37:$AB$662,8,0),0)</f>
        <v>#NAME?</v>
      </c>
      <c r="I1841" s="274"/>
      <c r="J1841" s="274" t="e">
        <f t="shared" ca="1" si="21"/>
        <v>#NAME?</v>
      </c>
      <c r="K1841" s="274">
        <f t="shared" si="22"/>
        <v>0</v>
      </c>
      <c r="N1841" s="274"/>
    </row>
    <row r="1842" spans="5:14" ht="13.5" customHeight="1">
      <c r="E1842" s="209" t="s">
        <v>365</v>
      </c>
      <c r="F1842" s="209" t="s">
        <v>2584</v>
      </c>
      <c r="G1842" s="411" t="str">
        <f t="shared" si="23"/>
        <v>13-01</v>
      </c>
      <c r="H1842" s="273" t="e">
        <f ca="1">_xludf.IFNA(VLOOKUP(Aragon!E1842,'Kilter Holds'!$P$37:$AB$662,9,0),0)</f>
        <v>#NAME?</v>
      </c>
      <c r="I1842" s="274"/>
      <c r="J1842" s="274" t="e">
        <f t="shared" ca="1" si="21"/>
        <v>#NAME?</v>
      </c>
      <c r="K1842" s="274">
        <f t="shared" si="22"/>
        <v>0</v>
      </c>
      <c r="N1842" s="274"/>
    </row>
    <row r="1843" spans="5:14" ht="13.5" customHeight="1">
      <c r="E1843" s="209" t="s">
        <v>365</v>
      </c>
      <c r="F1843" s="209" t="s">
        <v>2584</v>
      </c>
      <c r="G1843" s="413" t="str">
        <f t="shared" si="23"/>
        <v>07-13</v>
      </c>
      <c r="H1843" s="273" t="e">
        <f ca="1">_xludf.IFNA(VLOOKUP(Aragon!E1843,'Kilter Holds'!$P$37:$AB$662,10,0),0)</f>
        <v>#NAME?</v>
      </c>
      <c r="I1843" s="274"/>
      <c r="J1843" s="274" t="e">
        <f t="shared" ca="1" si="21"/>
        <v>#NAME?</v>
      </c>
      <c r="K1843" s="274">
        <f t="shared" si="22"/>
        <v>0</v>
      </c>
      <c r="N1843" s="274"/>
    </row>
    <row r="1844" spans="5:14" ht="13.5" customHeight="1">
      <c r="E1844" s="209" t="s">
        <v>365</v>
      </c>
      <c r="F1844" s="209" t="s">
        <v>2584</v>
      </c>
      <c r="G1844" s="414" t="str">
        <f t="shared" si="23"/>
        <v>11-26</v>
      </c>
      <c r="H1844" s="273" t="e">
        <f ca="1">_xludf.IFNA(VLOOKUP(Aragon!E1844,'Kilter Holds'!$P$37:$AB$662,11,0),0)</f>
        <v>#NAME?</v>
      </c>
      <c r="I1844" s="274"/>
      <c r="J1844" s="274" t="e">
        <f t="shared" ca="1" si="21"/>
        <v>#NAME?</v>
      </c>
      <c r="K1844" s="274">
        <f t="shared" si="22"/>
        <v>0</v>
      </c>
      <c r="N1844" s="274"/>
    </row>
    <row r="1845" spans="5:14" ht="13.5" customHeight="1">
      <c r="E1845" s="209" t="s">
        <v>365</v>
      </c>
      <c r="F1845" s="209" t="s">
        <v>2584</v>
      </c>
      <c r="G1845" s="415" t="str">
        <f t="shared" si="23"/>
        <v>18-01</v>
      </c>
      <c r="H1845" s="273" t="e">
        <f ca="1">_xludf.IFNA(VLOOKUP(Aragon!E1845,'Kilter Holds'!$P$37:$AB$662,12,0),0)</f>
        <v>#NAME?</v>
      </c>
      <c r="I1845" s="274"/>
      <c r="J1845" s="274" t="e">
        <f t="shared" ca="1" si="21"/>
        <v>#NAME?</v>
      </c>
      <c r="K1845" s="274">
        <f t="shared" si="22"/>
        <v>0</v>
      </c>
      <c r="N1845" s="274"/>
    </row>
    <row r="1846" spans="5:14" ht="13.5" customHeight="1">
      <c r="E1846" s="209" t="s">
        <v>365</v>
      </c>
      <c r="F1846" s="209" t="s">
        <v>2584</v>
      </c>
      <c r="G1846" s="416" t="str">
        <f t="shared" si="23"/>
        <v>Color Code</v>
      </c>
      <c r="H1846" s="273" t="e">
        <f ca="1">_xludf.IFNA(VLOOKUP(Aragon!E1846,'Kilter Holds'!$P$37:$AB$662,13,0),0)</f>
        <v>#NAME?</v>
      </c>
      <c r="I1846" s="274"/>
      <c r="J1846" s="274" t="e">
        <f t="shared" ca="1" si="21"/>
        <v>#NAME?</v>
      </c>
      <c r="K1846" s="274">
        <f t="shared" si="22"/>
        <v>0</v>
      </c>
      <c r="N1846" s="274"/>
    </row>
    <row r="1847" spans="5:14" ht="13.5" customHeight="1">
      <c r="E1847" s="209" t="s">
        <v>280</v>
      </c>
      <c r="F1847" s="209" t="s">
        <v>2585</v>
      </c>
      <c r="G1847" s="406" t="str">
        <f t="shared" si="23"/>
        <v>11-12</v>
      </c>
      <c r="H1847" s="273" t="e">
        <f ca="1">_xludf.IFNA(VLOOKUP(Aragon!E1847,'Kilter Holds'!$P$37:$AB$662,5,0),0)</f>
        <v>#NAME?</v>
      </c>
      <c r="I1847" s="274"/>
      <c r="J1847" s="274" t="e">
        <f t="shared" ca="1" si="21"/>
        <v>#NAME?</v>
      </c>
      <c r="K1847" s="274">
        <f t="shared" si="22"/>
        <v>0</v>
      </c>
      <c r="N1847" s="274"/>
    </row>
    <row r="1848" spans="5:14" ht="13.5" customHeight="1">
      <c r="E1848" s="209" t="s">
        <v>280</v>
      </c>
      <c r="F1848" s="209" t="s">
        <v>2585</v>
      </c>
      <c r="G1848" s="408" t="str">
        <f t="shared" si="23"/>
        <v>14-01</v>
      </c>
      <c r="H1848" s="273" t="e">
        <f ca="1">_xludf.IFNA(VLOOKUP(Aragon!E1848,'Kilter Holds'!$P$37:$AB$662,6,0),0)</f>
        <v>#NAME?</v>
      </c>
      <c r="I1848" s="274"/>
      <c r="J1848" s="274" t="e">
        <f t="shared" ca="1" si="21"/>
        <v>#NAME?</v>
      </c>
      <c r="K1848" s="274">
        <f t="shared" si="22"/>
        <v>0</v>
      </c>
      <c r="N1848" s="274"/>
    </row>
    <row r="1849" spans="5:14" ht="13.5" customHeight="1">
      <c r="E1849" s="209" t="s">
        <v>280</v>
      </c>
      <c r="F1849" s="209" t="s">
        <v>2585</v>
      </c>
      <c r="G1849" s="409" t="str">
        <f t="shared" si="23"/>
        <v>15-12</v>
      </c>
      <c r="H1849" s="273" t="e">
        <f ca="1">_xludf.IFNA(VLOOKUP(Aragon!E1849,'Kilter Holds'!$P$37:$AB$662,7,0),0)</f>
        <v>#NAME?</v>
      </c>
      <c r="I1849" s="274"/>
      <c r="J1849" s="274" t="e">
        <f t="shared" ca="1" si="21"/>
        <v>#NAME?</v>
      </c>
      <c r="K1849" s="274">
        <f t="shared" si="22"/>
        <v>0</v>
      </c>
      <c r="N1849" s="274"/>
    </row>
    <row r="1850" spans="5:14" ht="13.5" customHeight="1">
      <c r="E1850" s="209" t="s">
        <v>280</v>
      </c>
      <c r="F1850" s="209" t="s">
        <v>2585</v>
      </c>
      <c r="G1850" s="410" t="str">
        <f t="shared" si="23"/>
        <v>16-16</v>
      </c>
      <c r="H1850" s="273" t="e">
        <f ca="1">_xludf.IFNA(VLOOKUP(Aragon!E1850,'Kilter Holds'!$P$37:$AB$662,8,0),0)</f>
        <v>#NAME?</v>
      </c>
      <c r="I1850" s="274"/>
      <c r="J1850" s="274" t="e">
        <f t="shared" ca="1" si="21"/>
        <v>#NAME?</v>
      </c>
      <c r="K1850" s="274">
        <f t="shared" si="22"/>
        <v>0</v>
      </c>
      <c r="N1850" s="274"/>
    </row>
    <row r="1851" spans="5:14" ht="13.5" customHeight="1">
      <c r="E1851" s="209" t="s">
        <v>280</v>
      </c>
      <c r="F1851" s="209" t="s">
        <v>2585</v>
      </c>
      <c r="G1851" s="411" t="str">
        <f t="shared" si="23"/>
        <v>13-01</v>
      </c>
      <c r="H1851" s="273" t="e">
        <f ca="1">_xludf.IFNA(VLOOKUP(Aragon!E1851,'Kilter Holds'!$P$37:$AB$662,9,0),0)</f>
        <v>#NAME?</v>
      </c>
      <c r="I1851" s="274"/>
      <c r="J1851" s="274" t="e">
        <f t="shared" ca="1" si="21"/>
        <v>#NAME?</v>
      </c>
      <c r="K1851" s="274">
        <f t="shared" si="22"/>
        <v>0</v>
      </c>
      <c r="N1851" s="274"/>
    </row>
    <row r="1852" spans="5:14" ht="13.5" customHeight="1">
      <c r="E1852" s="209" t="s">
        <v>280</v>
      </c>
      <c r="F1852" s="209" t="s">
        <v>2585</v>
      </c>
      <c r="G1852" s="413" t="str">
        <f t="shared" si="23"/>
        <v>07-13</v>
      </c>
      <c r="H1852" s="273" t="e">
        <f ca="1">_xludf.IFNA(VLOOKUP(Aragon!E1852,'Kilter Holds'!$P$37:$AB$662,10,0),0)</f>
        <v>#NAME?</v>
      </c>
      <c r="I1852" s="274"/>
      <c r="J1852" s="274" t="e">
        <f t="shared" ca="1" si="21"/>
        <v>#NAME?</v>
      </c>
      <c r="K1852" s="274">
        <f t="shared" si="22"/>
        <v>0</v>
      </c>
      <c r="N1852" s="274"/>
    </row>
    <row r="1853" spans="5:14" ht="13.5" customHeight="1">
      <c r="E1853" s="209" t="s">
        <v>280</v>
      </c>
      <c r="F1853" s="209" t="s">
        <v>2585</v>
      </c>
      <c r="G1853" s="414" t="str">
        <f t="shared" si="23"/>
        <v>11-26</v>
      </c>
      <c r="H1853" s="273" t="e">
        <f ca="1">_xludf.IFNA(VLOOKUP(Aragon!E1853,'Kilter Holds'!$P$37:$AB$662,11,0),0)</f>
        <v>#NAME?</v>
      </c>
      <c r="I1853" s="274"/>
      <c r="J1853" s="274" t="e">
        <f t="shared" ca="1" si="21"/>
        <v>#NAME?</v>
      </c>
      <c r="K1853" s="274">
        <f t="shared" si="22"/>
        <v>0</v>
      </c>
      <c r="N1853" s="274"/>
    </row>
    <row r="1854" spans="5:14" ht="13.5" customHeight="1">
      <c r="E1854" s="209" t="s">
        <v>280</v>
      </c>
      <c r="F1854" s="209" t="s">
        <v>2585</v>
      </c>
      <c r="G1854" s="415" t="str">
        <f t="shared" si="23"/>
        <v>18-01</v>
      </c>
      <c r="H1854" s="273" t="e">
        <f ca="1">_xludf.IFNA(VLOOKUP(Aragon!E1854,'Kilter Holds'!$P$37:$AB$662,12,0),0)</f>
        <v>#NAME?</v>
      </c>
      <c r="I1854" s="274"/>
      <c r="J1854" s="274" t="e">
        <f t="shared" ca="1" si="21"/>
        <v>#NAME?</v>
      </c>
      <c r="K1854" s="274">
        <f t="shared" si="22"/>
        <v>0</v>
      </c>
      <c r="N1854" s="274"/>
    </row>
    <row r="1855" spans="5:14" ht="13.5" customHeight="1">
      <c r="E1855" s="209" t="s">
        <v>280</v>
      </c>
      <c r="F1855" s="209" t="s">
        <v>2585</v>
      </c>
      <c r="G1855" s="416" t="str">
        <f t="shared" si="23"/>
        <v>Color Code</v>
      </c>
      <c r="H1855" s="273" t="e">
        <f ca="1">_xludf.IFNA(VLOOKUP(Aragon!E1855,'Kilter Holds'!$P$37:$AB$662,13,0),0)</f>
        <v>#NAME?</v>
      </c>
      <c r="I1855" s="274"/>
      <c r="J1855" s="274" t="e">
        <f t="shared" ca="1" si="21"/>
        <v>#NAME?</v>
      </c>
      <c r="K1855" s="274">
        <f t="shared" si="22"/>
        <v>0</v>
      </c>
      <c r="N1855" s="274"/>
    </row>
    <row r="1856" spans="5:14" ht="13.5" customHeight="1">
      <c r="E1856" s="209" t="s">
        <v>1016</v>
      </c>
      <c r="F1856" s="209" t="s">
        <v>2586</v>
      </c>
      <c r="G1856" s="406" t="str">
        <f t="shared" si="23"/>
        <v>11-12</v>
      </c>
      <c r="H1856" s="273" t="e">
        <f ca="1">_xludf.IFNA(VLOOKUP(Aragon!E1856,'Kilter Holds'!$P$37:$AB$662,5,0),0)</f>
        <v>#NAME?</v>
      </c>
      <c r="I1856" s="274"/>
      <c r="J1856" s="274" t="e">
        <f t="shared" ca="1" si="21"/>
        <v>#NAME?</v>
      </c>
      <c r="K1856" s="274">
        <f t="shared" si="22"/>
        <v>0</v>
      </c>
      <c r="N1856" s="274"/>
    </row>
    <row r="1857" spans="5:14" ht="13.5" customHeight="1">
      <c r="E1857" s="209" t="s">
        <v>1016</v>
      </c>
      <c r="F1857" s="209" t="s">
        <v>2586</v>
      </c>
      <c r="G1857" s="408" t="str">
        <f t="shared" si="23"/>
        <v>14-01</v>
      </c>
      <c r="H1857" s="273" t="e">
        <f ca="1">_xludf.IFNA(VLOOKUP(Aragon!E1857,'Kilter Holds'!$P$37:$AB$662,6,0),0)</f>
        <v>#NAME?</v>
      </c>
      <c r="I1857" s="274"/>
      <c r="J1857" s="274" t="e">
        <f t="shared" ca="1" si="21"/>
        <v>#NAME?</v>
      </c>
      <c r="K1857" s="274">
        <f t="shared" si="22"/>
        <v>0</v>
      </c>
      <c r="N1857" s="274"/>
    </row>
    <row r="1858" spans="5:14" ht="13.5" customHeight="1">
      <c r="E1858" s="209" t="s">
        <v>1016</v>
      </c>
      <c r="F1858" s="209" t="s">
        <v>2586</v>
      </c>
      <c r="G1858" s="409" t="str">
        <f t="shared" si="23"/>
        <v>15-12</v>
      </c>
      <c r="H1858" s="273" t="e">
        <f ca="1">_xludf.IFNA(VLOOKUP(Aragon!E1858,'Kilter Holds'!$P$37:$AB$662,7,0),0)</f>
        <v>#NAME?</v>
      </c>
      <c r="I1858" s="274"/>
      <c r="J1858" s="274" t="e">
        <f t="shared" ca="1" si="21"/>
        <v>#NAME?</v>
      </c>
      <c r="K1858" s="274">
        <f t="shared" si="22"/>
        <v>0</v>
      </c>
      <c r="N1858" s="274"/>
    </row>
    <row r="1859" spans="5:14" ht="13.5" customHeight="1">
      <c r="E1859" s="209" t="s">
        <v>1016</v>
      </c>
      <c r="F1859" s="209" t="s">
        <v>2586</v>
      </c>
      <c r="G1859" s="410" t="str">
        <f t="shared" si="23"/>
        <v>16-16</v>
      </c>
      <c r="H1859" s="273" t="e">
        <f ca="1">_xludf.IFNA(VLOOKUP(Aragon!E1859,'Kilter Holds'!$P$37:$AB$662,8,0),0)</f>
        <v>#NAME?</v>
      </c>
      <c r="I1859" s="274"/>
      <c r="J1859" s="274" t="e">
        <f t="shared" ca="1" si="21"/>
        <v>#NAME?</v>
      </c>
      <c r="K1859" s="274">
        <f t="shared" si="22"/>
        <v>0</v>
      </c>
      <c r="N1859" s="274"/>
    </row>
    <row r="1860" spans="5:14" ht="13.5" customHeight="1">
      <c r="E1860" s="209" t="s">
        <v>1016</v>
      </c>
      <c r="F1860" s="209" t="s">
        <v>2586</v>
      </c>
      <c r="G1860" s="411" t="str">
        <f t="shared" si="23"/>
        <v>13-01</v>
      </c>
      <c r="H1860" s="273" t="e">
        <f ca="1">_xludf.IFNA(VLOOKUP(Aragon!E1860,'Kilter Holds'!$P$37:$AB$662,9,0),0)</f>
        <v>#NAME?</v>
      </c>
      <c r="I1860" s="274"/>
      <c r="J1860" s="274" t="e">
        <f t="shared" ca="1" si="21"/>
        <v>#NAME?</v>
      </c>
      <c r="K1860" s="274">
        <f t="shared" si="22"/>
        <v>0</v>
      </c>
      <c r="N1860" s="274"/>
    </row>
    <row r="1861" spans="5:14" ht="13.5" customHeight="1">
      <c r="E1861" s="209" t="s">
        <v>1016</v>
      </c>
      <c r="F1861" s="209" t="s">
        <v>2586</v>
      </c>
      <c r="G1861" s="413" t="str">
        <f t="shared" si="23"/>
        <v>07-13</v>
      </c>
      <c r="H1861" s="273" t="e">
        <f ca="1">_xludf.IFNA(VLOOKUP(Aragon!E1861,'Kilter Holds'!$P$37:$AB$662,10,0),0)</f>
        <v>#NAME?</v>
      </c>
      <c r="I1861" s="274"/>
      <c r="J1861" s="274" t="e">
        <f t="shared" ca="1" si="21"/>
        <v>#NAME?</v>
      </c>
      <c r="K1861" s="274">
        <f t="shared" si="22"/>
        <v>0</v>
      </c>
      <c r="N1861" s="274"/>
    </row>
    <row r="1862" spans="5:14" ht="13.5" customHeight="1">
      <c r="E1862" s="209" t="s">
        <v>1016</v>
      </c>
      <c r="F1862" s="209" t="s">
        <v>2586</v>
      </c>
      <c r="G1862" s="414" t="str">
        <f t="shared" si="23"/>
        <v>11-26</v>
      </c>
      <c r="H1862" s="273" t="e">
        <f ca="1">_xludf.IFNA(VLOOKUP(Aragon!E1862,'Kilter Holds'!$P$37:$AB$662,11,0),0)</f>
        <v>#NAME?</v>
      </c>
      <c r="I1862" s="274"/>
      <c r="J1862" s="274" t="e">
        <f t="shared" ca="1" si="21"/>
        <v>#NAME?</v>
      </c>
      <c r="K1862" s="274">
        <f t="shared" si="22"/>
        <v>0</v>
      </c>
      <c r="N1862" s="274"/>
    </row>
    <row r="1863" spans="5:14" ht="13.5" customHeight="1">
      <c r="E1863" s="209" t="s">
        <v>1016</v>
      </c>
      <c r="F1863" s="209" t="s">
        <v>2586</v>
      </c>
      <c r="G1863" s="415" t="str">
        <f t="shared" si="23"/>
        <v>18-01</v>
      </c>
      <c r="H1863" s="273" t="e">
        <f ca="1">_xludf.IFNA(VLOOKUP(Aragon!E1863,'Kilter Holds'!$P$37:$AB$662,12,0),0)</f>
        <v>#NAME?</v>
      </c>
      <c r="I1863" s="274"/>
      <c r="J1863" s="274" t="e">
        <f t="shared" ca="1" si="21"/>
        <v>#NAME?</v>
      </c>
      <c r="K1863" s="274">
        <f t="shared" si="22"/>
        <v>0</v>
      </c>
      <c r="N1863" s="274"/>
    </row>
    <row r="1864" spans="5:14" ht="13.5" customHeight="1">
      <c r="E1864" s="209" t="s">
        <v>1016</v>
      </c>
      <c r="F1864" s="209" t="s">
        <v>2586</v>
      </c>
      <c r="G1864" s="416" t="str">
        <f t="shared" si="23"/>
        <v>Color Code</v>
      </c>
      <c r="H1864" s="273" t="e">
        <f ca="1">_xludf.IFNA(VLOOKUP(Aragon!E1864,'Kilter Holds'!$P$37:$AB$662,13,0),0)</f>
        <v>#NAME?</v>
      </c>
      <c r="I1864" s="274"/>
      <c r="J1864" s="274" t="e">
        <f t="shared" ca="1" si="21"/>
        <v>#NAME?</v>
      </c>
      <c r="K1864" s="274">
        <f t="shared" si="22"/>
        <v>0</v>
      </c>
      <c r="N1864" s="274"/>
    </row>
    <row r="1865" spans="5:14" ht="13.5" customHeight="1">
      <c r="E1865" s="209" t="s">
        <v>1034</v>
      </c>
      <c r="F1865" s="209" t="s">
        <v>2587</v>
      </c>
      <c r="G1865" s="406" t="str">
        <f t="shared" si="23"/>
        <v>11-12</v>
      </c>
      <c r="H1865" s="273" t="e">
        <f ca="1">_xludf.IFNA(VLOOKUP(Aragon!E1865,'Kilter Holds'!$P$37:$AB$662,5,0),0)</f>
        <v>#NAME?</v>
      </c>
      <c r="I1865" s="274"/>
      <c r="J1865" s="274" t="e">
        <f t="shared" ca="1" si="21"/>
        <v>#NAME?</v>
      </c>
      <c r="K1865" s="274">
        <f t="shared" si="22"/>
        <v>0</v>
      </c>
      <c r="N1865" s="274"/>
    </row>
    <row r="1866" spans="5:14" ht="13.5" customHeight="1">
      <c r="E1866" s="209" t="s">
        <v>1034</v>
      </c>
      <c r="F1866" s="209" t="s">
        <v>2587</v>
      </c>
      <c r="G1866" s="408" t="str">
        <f t="shared" si="23"/>
        <v>14-01</v>
      </c>
      <c r="H1866" s="273" t="e">
        <f ca="1">_xludf.IFNA(VLOOKUP(Aragon!E1866,'Kilter Holds'!$P$37:$AB$662,6,0),0)</f>
        <v>#NAME?</v>
      </c>
      <c r="I1866" s="274"/>
      <c r="J1866" s="274" t="e">
        <f t="shared" ca="1" si="21"/>
        <v>#NAME?</v>
      </c>
      <c r="K1866" s="274">
        <f t="shared" si="22"/>
        <v>0</v>
      </c>
      <c r="N1866" s="274"/>
    </row>
    <row r="1867" spans="5:14" ht="13.5" customHeight="1">
      <c r="E1867" s="209" t="s">
        <v>1034</v>
      </c>
      <c r="F1867" s="209" t="s">
        <v>2587</v>
      </c>
      <c r="G1867" s="409" t="str">
        <f t="shared" si="23"/>
        <v>15-12</v>
      </c>
      <c r="H1867" s="273" t="e">
        <f ca="1">_xludf.IFNA(VLOOKUP(Aragon!E1867,'Kilter Holds'!$P$37:$AB$662,7,0),0)</f>
        <v>#NAME?</v>
      </c>
      <c r="I1867" s="274"/>
      <c r="J1867" s="274" t="e">
        <f t="shared" ca="1" si="21"/>
        <v>#NAME?</v>
      </c>
      <c r="K1867" s="274">
        <f t="shared" si="22"/>
        <v>0</v>
      </c>
      <c r="N1867" s="274"/>
    </row>
    <row r="1868" spans="5:14" ht="13.5" customHeight="1">
      <c r="E1868" s="209" t="s">
        <v>1034</v>
      </c>
      <c r="F1868" s="209" t="s">
        <v>2587</v>
      </c>
      <c r="G1868" s="410" t="str">
        <f t="shared" si="23"/>
        <v>16-16</v>
      </c>
      <c r="H1868" s="273" t="e">
        <f ca="1">_xludf.IFNA(VLOOKUP(Aragon!E1868,'Kilter Holds'!$P$37:$AB$662,8,0),0)</f>
        <v>#NAME?</v>
      </c>
      <c r="I1868" s="274"/>
      <c r="J1868" s="274" t="e">
        <f t="shared" ca="1" si="21"/>
        <v>#NAME?</v>
      </c>
      <c r="K1868" s="274">
        <f t="shared" si="22"/>
        <v>0</v>
      </c>
      <c r="N1868" s="274"/>
    </row>
    <row r="1869" spans="5:14" ht="13.5" customHeight="1">
      <c r="E1869" s="209" t="s">
        <v>1034</v>
      </c>
      <c r="F1869" s="209" t="s">
        <v>2587</v>
      </c>
      <c r="G1869" s="411" t="str">
        <f t="shared" si="23"/>
        <v>13-01</v>
      </c>
      <c r="H1869" s="273" t="e">
        <f ca="1">_xludf.IFNA(VLOOKUP(Aragon!E1869,'Kilter Holds'!$P$37:$AB$662,9,0),0)</f>
        <v>#NAME?</v>
      </c>
      <c r="I1869" s="274"/>
      <c r="J1869" s="274" t="e">
        <f t="shared" ca="1" si="21"/>
        <v>#NAME?</v>
      </c>
      <c r="K1869" s="274">
        <f t="shared" si="22"/>
        <v>0</v>
      </c>
      <c r="N1869" s="274"/>
    </row>
    <row r="1870" spans="5:14" ht="13.5" customHeight="1">
      <c r="E1870" s="209" t="s">
        <v>1034</v>
      </c>
      <c r="F1870" s="209" t="s">
        <v>2587</v>
      </c>
      <c r="G1870" s="413" t="str">
        <f t="shared" si="23"/>
        <v>07-13</v>
      </c>
      <c r="H1870" s="273" t="e">
        <f ca="1">_xludf.IFNA(VLOOKUP(Aragon!E1870,'Kilter Holds'!$P$37:$AB$662,10,0),0)</f>
        <v>#NAME?</v>
      </c>
      <c r="I1870" s="274"/>
      <c r="J1870" s="274" t="e">
        <f t="shared" ca="1" si="21"/>
        <v>#NAME?</v>
      </c>
      <c r="K1870" s="274">
        <f t="shared" si="22"/>
        <v>0</v>
      </c>
      <c r="N1870" s="274"/>
    </row>
    <row r="1871" spans="5:14" ht="13.5" customHeight="1">
      <c r="E1871" s="209" t="s">
        <v>1034</v>
      </c>
      <c r="F1871" s="209" t="s">
        <v>2587</v>
      </c>
      <c r="G1871" s="414" t="str">
        <f t="shared" si="23"/>
        <v>11-26</v>
      </c>
      <c r="H1871" s="273" t="e">
        <f ca="1">_xludf.IFNA(VLOOKUP(Aragon!E1871,'Kilter Holds'!$P$37:$AB$662,11,0),0)</f>
        <v>#NAME?</v>
      </c>
      <c r="I1871" s="274"/>
      <c r="J1871" s="274" t="e">
        <f t="shared" ca="1" si="21"/>
        <v>#NAME?</v>
      </c>
      <c r="K1871" s="274">
        <f t="shared" si="22"/>
        <v>0</v>
      </c>
      <c r="N1871" s="274"/>
    </row>
    <row r="1872" spans="5:14" ht="13.5" customHeight="1">
      <c r="E1872" s="209" t="s">
        <v>1034</v>
      </c>
      <c r="F1872" s="209" t="s">
        <v>2587</v>
      </c>
      <c r="G1872" s="415" t="str">
        <f t="shared" si="23"/>
        <v>18-01</v>
      </c>
      <c r="H1872" s="273" t="e">
        <f ca="1">_xludf.IFNA(VLOOKUP(Aragon!E1872,'Kilter Holds'!$P$37:$AB$662,12,0),0)</f>
        <v>#NAME?</v>
      </c>
      <c r="I1872" s="274"/>
      <c r="J1872" s="274" t="e">
        <f t="shared" ca="1" si="21"/>
        <v>#NAME?</v>
      </c>
      <c r="K1872" s="274">
        <f t="shared" si="22"/>
        <v>0</v>
      </c>
      <c r="N1872" s="274"/>
    </row>
    <row r="1873" spans="5:14" ht="13.5" customHeight="1">
      <c r="E1873" s="209" t="s">
        <v>1034</v>
      </c>
      <c r="F1873" s="209" t="s">
        <v>2587</v>
      </c>
      <c r="G1873" s="416" t="str">
        <f t="shared" si="23"/>
        <v>Color Code</v>
      </c>
      <c r="H1873" s="273" t="e">
        <f ca="1">_xludf.IFNA(VLOOKUP(Aragon!E1873,'Kilter Holds'!$P$37:$AB$662,13,0),0)</f>
        <v>#NAME?</v>
      </c>
      <c r="I1873" s="274"/>
      <c r="J1873" s="274" t="e">
        <f t="shared" ca="1" si="21"/>
        <v>#NAME?</v>
      </c>
      <c r="K1873" s="274">
        <f t="shared" si="22"/>
        <v>0</v>
      </c>
      <c r="N1873" s="274"/>
    </row>
    <row r="1874" spans="5:14" ht="13.5" customHeight="1">
      <c r="E1874" s="209" t="s">
        <v>337</v>
      </c>
      <c r="F1874" s="209" t="s">
        <v>2588</v>
      </c>
      <c r="G1874" s="406" t="str">
        <f t="shared" si="23"/>
        <v>11-12</v>
      </c>
      <c r="H1874" s="273" t="e">
        <f ca="1">_xludf.IFNA(VLOOKUP(Aragon!E1874,'Kilter Holds'!$P$37:$AB$662,5,0),0)</f>
        <v>#NAME?</v>
      </c>
      <c r="I1874" s="274"/>
      <c r="J1874" s="274" t="e">
        <f t="shared" ca="1" si="21"/>
        <v>#NAME?</v>
      </c>
      <c r="K1874" s="274">
        <f t="shared" si="22"/>
        <v>0</v>
      </c>
      <c r="N1874" s="274"/>
    </row>
    <row r="1875" spans="5:14" ht="13.5" customHeight="1">
      <c r="E1875" s="209" t="s">
        <v>337</v>
      </c>
      <c r="F1875" s="209" t="s">
        <v>2588</v>
      </c>
      <c r="G1875" s="408" t="str">
        <f t="shared" si="23"/>
        <v>14-01</v>
      </c>
      <c r="H1875" s="273" t="e">
        <f ca="1">_xludf.IFNA(VLOOKUP(Aragon!E1875,'Kilter Holds'!$P$37:$AB$662,6,0),0)</f>
        <v>#NAME?</v>
      </c>
      <c r="I1875" s="274"/>
      <c r="J1875" s="274" t="e">
        <f t="shared" ca="1" si="21"/>
        <v>#NAME?</v>
      </c>
      <c r="K1875" s="274">
        <f t="shared" si="22"/>
        <v>0</v>
      </c>
      <c r="N1875" s="274"/>
    </row>
    <row r="1876" spans="5:14" ht="13.5" customHeight="1">
      <c r="E1876" s="209" t="s">
        <v>337</v>
      </c>
      <c r="F1876" s="209" t="s">
        <v>2588</v>
      </c>
      <c r="G1876" s="409" t="str">
        <f t="shared" si="23"/>
        <v>15-12</v>
      </c>
      <c r="H1876" s="273" t="e">
        <f ca="1">_xludf.IFNA(VLOOKUP(Aragon!E1876,'Kilter Holds'!$P$37:$AB$662,7,0),0)</f>
        <v>#NAME?</v>
      </c>
      <c r="I1876" s="274"/>
      <c r="J1876" s="274" t="e">
        <f t="shared" ca="1" si="21"/>
        <v>#NAME?</v>
      </c>
      <c r="K1876" s="274">
        <f t="shared" si="22"/>
        <v>0</v>
      </c>
      <c r="N1876" s="274"/>
    </row>
    <row r="1877" spans="5:14" ht="13.5" customHeight="1">
      <c r="E1877" s="209" t="s">
        <v>337</v>
      </c>
      <c r="F1877" s="209" t="s">
        <v>2588</v>
      </c>
      <c r="G1877" s="410" t="str">
        <f t="shared" si="23"/>
        <v>16-16</v>
      </c>
      <c r="H1877" s="273" t="e">
        <f ca="1">_xludf.IFNA(VLOOKUP(Aragon!E1877,'Kilter Holds'!$P$37:$AB$662,8,0),0)</f>
        <v>#NAME?</v>
      </c>
      <c r="I1877" s="274"/>
      <c r="J1877" s="274" t="e">
        <f t="shared" ca="1" si="21"/>
        <v>#NAME?</v>
      </c>
      <c r="K1877" s="274">
        <f t="shared" si="22"/>
        <v>0</v>
      </c>
      <c r="N1877" s="274"/>
    </row>
    <row r="1878" spans="5:14" ht="13.5" customHeight="1">
      <c r="E1878" s="209" t="s">
        <v>337</v>
      </c>
      <c r="F1878" s="209" t="s">
        <v>2588</v>
      </c>
      <c r="G1878" s="411" t="str">
        <f t="shared" si="23"/>
        <v>13-01</v>
      </c>
      <c r="H1878" s="273" t="e">
        <f ca="1">_xludf.IFNA(VLOOKUP(Aragon!E1878,'Kilter Holds'!$P$37:$AB$662,9,0),0)</f>
        <v>#NAME?</v>
      </c>
      <c r="I1878" s="274"/>
      <c r="J1878" s="274" t="e">
        <f t="shared" ca="1" si="21"/>
        <v>#NAME?</v>
      </c>
      <c r="K1878" s="274">
        <f t="shared" si="22"/>
        <v>0</v>
      </c>
      <c r="N1878" s="274"/>
    </row>
    <row r="1879" spans="5:14" ht="13.5" customHeight="1">
      <c r="E1879" s="209" t="s">
        <v>337</v>
      </c>
      <c r="F1879" s="209" t="s">
        <v>2588</v>
      </c>
      <c r="G1879" s="413" t="str">
        <f t="shared" si="23"/>
        <v>07-13</v>
      </c>
      <c r="H1879" s="273" t="e">
        <f ca="1">_xludf.IFNA(VLOOKUP(Aragon!E1879,'Kilter Holds'!$P$37:$AB$662,10,0),0)</f>
        <v>#NAME?</v>
      </c>
      <c r="I1879" s="274"/>
      <c r="J1879" s="274" t="e">
        <f t="shared" ca="1" si="21"/>
        <v>#NAME?</v>
      </c>
      <c r="K1879" s="274">
        <f t="shared" si="22"/>
        <v>0</v>
      </c>
      <c r="N1879" s="274"/>
    </row>
    <row r="1880" spans="5:14" ht="13.5" customHeight="1">
      <c r="E1880" s="209" t="s">
        <v>337</v>
      </c>
      <c r="F1880" s="209" t="s">
        <v>2588</v>
      </c>
      <c r="G1880" s="414" t="str">
        <f t="shared" si="23"/>
        <v>11-26</v>
      </c>
      <c r="H1880" s="273" t="e">
        <f ca="1">_xludf.IFNA(VLOOKUP(Aragon!E1880,'Kilter Holds'!$P$37:$AB$662,11,0),0)</f>
        <v>#NAME?</v>
      </c>
      <c r="I1880" s="274"/>
      <c r="J1880" s="274" t="e">
        <f t="shared" ca="1" si="21"/>
        <v>#NAME?</v>
      </c>
      <c r="K1880" s="274">
        <f t="shared" si="22"/>
        <v>0</v>
      </c>
      <c r="N1880" s="274"/>
    </row>
    <row r="1881" spans="5:14" ht="13.5" customHeight="1">
      <c r="E1881" s="209" t="s">
        <v>337</v>
      </c>
      <c r="F1881" s="209" t="s">
        <v>2588</v>
      </c>
      <c r="G1881" s="415" t="str">
        <f t="shared" si="23"/>
        <v>18-01</v>
      </c>
      <c r="H1881" s="273" t="e">
        <f ca="1">_xludf.IFNA(VLOOKUP(Aragon!E1881,'Kilter Holds'!$P$37:$AB$662,12,0),0)</f>
        <v>#NAME?</v>
      </c>
      <c r="I1881" s="274"/>
      <c r="J1881" s="274" t="e">
        <f t="shared" ca="1" si="21"/>
        <v>#NAME?</v>
      </c>
      <c r="K1881" s="274">
        <f t="shared" si="22"/>
        <v>0</v>
      </c>
      <c r="N1881" s="274"/>
    </row>
    <row r="1882" spans="5:14" ht="13.5" customHeight="1">
      <c r="E1882" s="209" t="s">
        <v>337</v>
      </c>
      <c r="F1882" s="209" t="s">
        <v>2588</v>
      </c>
      <c r="G1882" s="416" t="str">
        <f t="shared" si="23"/>
        <v>Color Code</v>
      </c>
      <c r="H1882" s="273" t="e">
        <f ca="1">_xludf.IFNA(VLOOKUP(Aragon!E1882,'Kilter Holds'!$P$37:$AB$662,13,0),0)</f>
        <v>#NAME?</v>
      </c>
      <c r="I1882" s="274"/>
      <c r="J1882" s="274" t="e">
        <f t="shared" ca="1" si="21"/>
        <v>#NAME?</v>
      </c>
      <c r="K1882" s="274">
        <f t="shared" si="22"/>
        <v>0</v>
      </c>
      <c r="N1882" s="274"/>
    </row>
    <row r="1883" spans="5:14" ht="13.5" customHeight="1">
      <c r="E1883" s="209" t="s">
        <v>339</v>
      </c>
      <c r="F1883" s="209" t="s">
        <v>2589</v>
      </c>
      <c r="G1883" s="406" t="str">
        <f t="shared" si="23"/>
        <v>11-12</v>
      </c>
      <c r="H1883" s="273" t="e">
        <f ca="1">_xludf.IFNA(VLOOKUP(Aragon!E1883,'Kilter Holds'!$P$37:$AB$662,5,0),0)</f>
        <v>#NAME?</v>
      </c>
      <c r="I1883" s="274"/>
      <c r="J1883" s="274" t="e">
        <f t="shared" ca="1" si="21"/>
        <v>#NAME?</v>
      </c>
      <c r="K1883" s="274">
        <f t="shared" si="22"/>
        <v>0</v>
      </c>
      <c r="N1883" s="274"/>
    </row>
    <row r="1884" spans="5:14" ht="13.5" customHeight="1">
      <c r="E1884" s="209" t="s">
        <v>339</v>
      </c>
      <c r="F1884" s="209" t="s">
        <v>2589</v>
      </c>
      <c r="G1884" s="408" t="str">
        <f t="shared" si="23"/>
        <v>14-01</v>
      </c>
      <c r="H1884" s="273" t="e">
        <f ca="1">_xludf.IFNA(VLOOKUP(Aragon!E1884,'Kilter Holds'!$P$37:$AB$662,6,0),0)</f>
        <v>#NAME?</v>
      </c>
      <c r="I1884" s="274"/>
      <c r="J1884" s="274" t="e">
        <f t="shared" ca="1" si="21"/>
        <v>#NAME?</v>
      </c>
      <c r="K1884" s="274">
        <f t="shared" si="22"/>
        <v>0</v>
      </c>
      <c r="N1884" s="274"/>
    </row>
    <row r="1885" spans="5:14" ht="13.5" customHeight="1">
      <c r="E1885" s="209" t="s">
        <v>339</v>
      </c>
      <c r="F1885" s="209" t="s">
        <v>2589</v>
      </c>
      <c r="G1885" s="409" t="str">
        <f t="shared" si="23"/>
        <v>15-12</v>
      </c>
      <c r="H1885" s="273" t="e">
        <f ca="1">_xludf.IFNA(VLOOKUP(Aragon!E1885,'Kilter Holds'!$P$37:$AB$662,7,0),0)</f>
        <v>#NAME?</v>
      </c>
      <c r="I1885" s="274"/>
      <c r="J1885" s="274" t="e">
        <f t="shared" ca="1" si="21"/>
        <v>#NAME?</v>
      </c>
      <c r="K1885" s="274">
        <f t="shared" si="22"/>
        <v>0</v>
      </c>
      <c r="N1885" s="274"/>
    </row>
    <row r="1886" spans="5:14" ht="13.5" customHeight="1">
      <c r="E1886" s="209" t="s">
        <v>339</v>
      </c>
      <c r="F1886" s="209" t="s">
        <v>2589</v>
      </c>
      <c r="G1886" s="410" t="str">
        <f t="shared" si="23"/>
        <v>16-16</v>
      </c>
      <c r="H1886" s="273" t="e">
        <f ca="1">_xludf.IFNA(VLOOKUP(Aragon!E1886,'Kilter Holds'!$P$37:$AB$662,8,0),0)</f>
        <v>#NAME?</v>
      </c>
      <c r="I1886" s="274"/>
      <c r="J1886" s="274" t="e">
        <f t="shared" ca="1" si="21"/>
        <v>#NAME?</v>
      </c>
      <c r="K1886" s="274">
        <f t="shared" si="22"/>
        <v>0</v>
      </c>
      <c r="N1886" s="274"/>
    </row>
    <row r="1887" spans="5:14" ht="13.5" customHeight="1">
      <c r="E1887" s="209" t="s">
        <v>339</v>
      </c>
      <c r="F1887" s="209" t="s">
        <v>2589</v>
      </c>
      <c r="G1887" s="411" t="str">
        <f t="shared" si="23"/>
        <v>13-01</v>
      </c>
      <c r="H1887" s="273" t="e">
        <f ca="1">_xludf.IFNA(VLOOKUP(Aragon!E1887,'Kilter Holds'!$P$37:$AB$662,9,0),0)</f>
        <v>#NAME?</v>
      </c>
      <c r="I1887" s="274"/>
      <c r="J1887" s="274" t="e">
        <f t="shared" ca="1" si="21"/>
        <v>#NAME?</v>
      </c>
      <c r="K1887" s="274">
        <f t="shared" si="22"/>
        <v>0</v>
      </c>
      <c r="N1887" s="274"/>
    </row>
    <row r="1888" spans="5:14" ht="13.5" customHeight="1">
      <c r="E1888" s="209" t="s">
        <v>339</v>
      </c>
      <c r="F1888" s="209" t="s">
        <v>2589</v>
      </c>
      <c r="G1888" s="413" t="str">
        <f t="shared" si="23"/>
        <v>07-13</v>
      </c>
      <c r="H1888" s="273" t="e">
        <f ca="1">_xludf.IFNA(VLOOKUP(Aragon!E1888,'Kilter Holds'!$P$37:$AB$662,10,0),0)</f>
        <v>#NAME?</v>
      </c>
      <c r="I1888" s="274"/>
      <c r="J1888" s="274" t="e">
        <f t="shared" ca="1" si="21"/>
        <v>#NAME?</v>
      </c>
      <c r="K1888" s="274">
        <f t="shared" si="22"/>
        <v>0</v>
      </c>
      <c r="N1888" s="274"/>
    </row>
    <row r="1889" spans="5:14" ht="13.5" customHeight="1">
      <c r="E1889" s="209" t="s">
        <v>339</v>
      </c>
      <c r="F1889" s="209" t="s">
        <v>2589</v>
      </c>
      <c r="G1889" s="414" t="str">
        <f t="shared" si="23"/>
        <v>11-26</v>
      </c>
      <c r="H1889" s="273" t="e">
        <f ca="1">_xludf.IFNA(VLOOKUP(Aragon!E1889,'Kilter Holds'!$P$37:$AB$662,11,0),0)</f>
        <v>#NAME?</v>
      </c>
      <c r="I1889" s="274"/>
      <c r="J1889" s="274" t="e">
        <f t="shared" ca="1" si="21"/>
        <v>#NAME?</v>
      </c>
      <c r="K1889" s="274">
        <f t="shared" si="22"/>
        <v>0</v>
      </c>
      <c r="N1889" s="274"/>
    </row>
    <row r="1890" spans="5:14" ht="13.5" customHeight="1">
      <c r="E1890" s="209" t="s">
        <v>339</v>
      </c>
      <c r="F1890" s="209" t="s">
        <v>2589</v>
      </c>
      <c r="G1890" s="415" t="str">
        <f t="shared" si="23"/>
        <v>18-01</v>
      </c>
      <c r="H1890" s="273" t="e">
        <f ca="1">_xludf.IFNA(VLOOKUP(Aragon!E1890,'Kilter Holds'!$P$37:$AB$662,12,0),0)</f>
        <v>#NAME?</v>
      </c>
      <c r="I1890" s="274"/>
      <c r="J1890" s="274" t="e">
        <f t="shared" ca="1" si="21"/>
        <v>#NAME?</v>
      </c>
      <c r="K1890" s="274">
        <f t="shared" si="22"/>
        <v>0</v>
      </c>
      <c r="N1890" s="274"/>
    </row>
    <row r="1891" spans="5:14" ht="13.5" customHeight="1">
      <c r="E1891" s="209" t="s">
        <v>339</v>
      </c>
      <c r="F1891" s="209" t="s">
        <v>2589</v>
      </c>
      <c r="G1891" s="416" t="str">
        <f t="shared" si="23"/>
        <v>Color Code</v>
      </c>
      <c r="H1891" s="273" t="e">
        <f ca="1">_xludf.IFNA(VLOOKUP(Aragon!E1891,'Kilter Holds'!$P$37:$AB$662,13,0),0)</f>
        <v>#NAME?</v>
      </c>
      <c r="I1891" s="274"/>
      <c r="J1891" s="274" t="e">
        <f t="shared" ca="1" si="21"/>
        <v>#NAME?</v>
      </c>
      <c r="K1891" s="274">
        <f t="shared" si="22"/>
        <v>0</v>
      </c>
      <c r="N1891" s="274"/>
    </row>
    <row r="1892" spans="5:14" ht="13.5" customHeight="1">
      <c r="E1892" s="209" t="s">
        <v>341</v>
      </c>
      <c r="F1892" s="209" t="s">
        <v>2590</v>
      </c>
      <c r="G1892" s="406" t="str">
        <f t="shared" si="23"/>
        <v>11-12</v>
      </c>
      <c r="H1892" s="273" t="e">
        <f ca="1">_xludf.IFNA(VLOOKUP(Aragon!E1892,'Kilter Holds'!$P$37:$AB$662,5,0),0)</f>
        <v>#NAME?</v>
      </c>
      <c r="I1892" s="274"/>
      <c r="J1892" s="274" t="e">
        <f t="shared" ca="1" si="21"/>
        <v>#NAME?</v>
      </c>
      <c r="K1892" s="274">
        <f t="shared" si="22"/>
        <v>0</v>
      </c>
      <c r="N1892" s="274"/>
    </row>
    <row r="1893" spans="5:14" ht="13.5" customHeight="1">
      <c r="E1893" s="209" t="s">
        <v>341</v>
      </c>
      <c r="F1893" s="209" t="s">
        <v>2590</v>
      </c>
      <c r="G1893" s="408" t="str">
        <f t="shared" si="23"/>
        <v>14-01</v>
      </c>
      <c r="H1893" s="273" t="e">
        <f ca="1">_xludf.IFNA(VLOOKUP(Aragon!E1893,'Kilter Holds'!$P$37:$AB$662,6,0),0)</f>
        <v>#NAME?</v>
      </c>
      <c r="I1893" s="274"/>
      <c r="J1893" s="274" t="e">
        <f t="shared" ca="1" si="21"/>
        <v>#NAME?</v>
      </c>
      <c r="K1893" s="274">
        <f t="shared" si="22"/>
        <v>0</v>
      </c>
      <c r="N1893" s="274"/>
    </row>
    <row r="1894" spans="5:14" ht="13.5" customHeight="1">
      <c r="E1894" s="209" t="s">
        <v>341</v>
      </c>
      <c r="F1894" s="209" t="s">
        <v>2590</v>
      </c>
      <c r="G1894" s="409" t="str">
        <f t="shared" si="23"/>
        <v>15-12</v>
      </c>
      <c r="H1894" s="273" t="e">
        <f ca="1">_xludf.IFNA(VLOOKUP(Aragon!E1894,'Kilter Holds'!$P$37:$AB$662,7,0),0)</f>
        <v>#NAME?</v>
      </c>
      <c r="I1894" s="274"/>
      <c r="J1894" s="274" t="e">
        <f t="shared" ca="1" si="21"/>
        <v>#NAME?</v>
      </c>
      <c r="K1894" s="274">
        <f t="shared" si="22"/>
        <v>0</v>
      </c>
      <c r="N1894" s="274"/>
    </row>
    <row r="1895" spans="5:14" ht="13.5" customHeight="1">
      <c r="E1895" s="209" t="s">
        <v>341</v>
      </c>
      <c r="F1895" s="209" t="s">
        <v>2590</v>
      </c>
      <c r="G1895" s="410" t="str">
        <f t="shared" si="23"/>
        <v>16-16</v>
      </c>
      <c r="H1895" s="273" t="e">
        <f ca="1">_xludf.IFNA(VLOOKUP(Aragon!E1895,'Kilter Holds'!$P$37:$AB$662,8,0),0)</f>
        <v>#NAME?</v>
      </c>
      <c r="I1895" s="274"/>
      <c r="J1895" s="274" t="e">
        <f t="shared" ca="1" si="21"/>
        <v>#NAME?</v>
      </c>
      <c r="K1895" s="274">
        <f t="shared" si="22"/>
        <v>0</v>
      </c>
      <c r="N1895" s="274"/>
    </row>
    <row r="1896" spans="5:14" ht="13.5" customHeight="1">
      <c r="E1896" s="209" t="s">
        <v>341</v>
      </c>
      <c r="F1896" s="209" t="s">
        <v>2590</v>
      </c>
      <c r="G1896" s="411" t="str">
        <f t="shared" si="23"/>
        <v>13-01</v>
      </c>
      <c r="H1896" s="273" t="e">
        <f ca="1">_xludf.IFNA(VLOOKUP(Aragon!E1896,'Kilter Holds'!$P$37:$AB$662,9,0),0)</f>
        <v>#NAME?</v>
      </c>
      <c r="I1896" s="274"/>
      <c r="J1896" s="274" t="e">
        <f t="shared" ca="1" si="21"/>
        <v>#NAME?</v>
      </c>
      <c r="K1896" s="274">
        <f t="shared" si="22"/>
        <v>0</v>
      </c>
      <c r="N1896" s="274"/>
    </row>
    <row r="1897" spans="5:14" ht="13.5" customHeight="1">
      <c r="E1897" s="209" t="s">
        <v>341</v>
      </c>
      <c r="F1897" s="209" t="s">
        <v>2590</v>
      </c>
      <c r="G1897" s="413" t="str">
        <f t="shared" si="23"/>
        <v>07-13</v>
      </c>
      <c r="H1897" s="273" t="e">
        <f ca="1">_xludf.IFNA(VLOOKUP(Aragon!E1897,'Kilter Holds'!$P$37:$AB$662,10,0),0)</f>
        <v>#NAME?</v>
      </c>
      <c r="I1897" s="274"/>
      <c r="J1897" s="274" t="e">
        <f t="shared" ca="1" si="21"/>
        <v>#NAME?</v>
      </c>
      <c r="K1897" s="274">
        <f t="shared" si="22"/>
        <v>0</v>
      </c>
      <c r="N1897" s="274"/>
    </row>
    <row r="1898" spans="5:14" ht="13.5" customHeight="1">
      <c r="E1898" s="209" t="s">
        <v>341</v>
      </c>
      <c r="F1898" s="209" t="s">
        <v>2590</v>
      </c>
      <c r="G1898" s="414" t="str">
        <f t="shared" si="23"/>
        <v>11-26</v>
      </c>
      <c r="H1898" s="273" t="e">
        <f ca="1">_xludf.IFNA(VLOOKUP(Aragon!E1898,'Kilter Holds'!$P$37:$AB$662,11,0),0)</f>
        <v>#NAME?</v>
      </c>
      <c r="I1898" s="274"/>
      <c r="J1898" s="274" t="e">
        <f t="shared" ca="1" si="21"/>
        <v>#NAME?</v>
      </c>
      <c r="K1898" s="274">
        <f t="shared" si="22"/>
        <v>0</v>
      </c>
      <c r="N1898" s="274"/>
    </row>
    <row r="1899" spans="5:14" ht="13.5" customHeight="1">
      <c r="E1899" s="209" t="s">
        <v>341</v>
      </c>
      <c r="F1899" s="209" t="s">
        <v>2590</v>
      </c>
      <c r="G1899" s="415" t="str">
        <f t="shared" si="23"/>
        <v>18-01</v>
      </c>
      <c r="H1899" s="273" t="e">
        <f ca="1">_xludf.IFNA(VLOOKUP(Aragon!E1899,'Kilter Holds'!$P$37:$AB$662,12,0),0)</f>
        <v>#NAME?</v>
      </c>
      <c r="I1899" s="274"/>
      <c r="J1899" s="274" t="e">
        <f t="shared" ca="1" si="21"/>
        <v>#NAME?</v>
      </c>
      <c r="K1899" s="274">
        <f t="shared" si="22"/>
        <v>0</v>
      </c>
      <c r="N1899" s="274"/>
    </row>
    <row r="1900" spans="5:14" ht="13.5" customHeight="1">
      <c r="E1900" s="209" t="s">
        <v>341</v>
      </c>
      <c r="F1900" s="209" t="s">
        <v>2590</v>
      </c>
      <c r="G1900" s="416" t="str">
        <f t="shared" si="23"/>
        <v>Color Code</v>
      </c>
      <c r="H1900" s="273" t="e">
        <f ca="1">_xludf.IFNA(VLOOKUP(Aragon!E1900,'Kilter Holds'!$P$37:$AB$662,13,0),0)</f>
        <v>#NAME?</v>
      </c>
      <c r="I1900" s="274"/>
      <c r="J1900" s="274" t="e">
        <f t="shared" ca="1" si="21"/>
        <v>#NAME?</v>
      </c>
      <c r="K1900" s="274">
        <f t="shared" si="22"/>
        <v>0</v>
      </c>
      <c r="N1900" s="274"/>
    </row>
    <row r="1901" spans="5:14" ht="13.5" customHeight="1">
      <c r="E1901" s="209" t="s">
        <v>1067</v>
      </c>
      <c r="F1901" s="209" t="s">
        <v>2591</v>
      </c>
      <c r="G1901" s="406" t="str">
        <f t="shared" si="23"/>
        <v>11-12</v>
      </c>
      <c r="H1901" s="273" t="e">
        <f ca="1">_xludf.IFNA(VLOOKUP(Aragon!E1901,'Kilter Holds'!$P$37:$AB$662,5,0),0)</f>
        <v>#NAME?</v>
      </c>
      <c r="I1901" s="274"/>
      <c r="J1901" s="274" t="e">
        <f t="shared" ca="1" si="21"/>
        <v>#NAME?</v>
      </c>
      <c r="K1901" s="274">
        <f t="shared" si="22"/>
        <v>0</v>
      </c>
      <c r="N1901" s="274"/>
    </row>
    <row r="1902" spans="5:14" ht="13.5" customHeight="1">
      <c r="E1902" s="209" t="s">
        <v>1067</v>
      </c>
      <c r="F1902" s="209" t="s">
        <v>2591</v>
      </c>
      <c r="G1902" s="408" t="str">
        <f t="shared" si="23"/>
        <v>14-01</v>
      </c>
      <c r="H1902" s="273" t="e">
        <f ca="1">_xludf.IFNA(VLOOKUP(Aragon!E1902,'Kilter Holds'!$P$37:$AB$662,6,0),0)</f>
        <v>#NAME?</v>
      </c>
      <c r="I1902" s="274"/>
      <c r="J1902" s="274" t="e">
        <f t="shared" ca="1" si="21"/>
        <v>#NAME?</v>
      </c>
      <c r="K1902" s="274">
        <f t="shared" si="22"/>
        <v>0</v>
      </c>
      <c r="N1902" s="274"/>
    </row>
    <row r="1903" spans="5:14" ht="13.5" customHeight="1">
      <c r="E1903" s="209" t="s">
        <v>1067</v>
      </c>
      <c r="F1903" s="209" t="s">
        <v>2591</v>
      </c>
      <c r="G1903" s="409" t="str">
        <f t="shared" si="23"/>
        <v>15-12</v>
      </c>
      <c r="H1903" s="273" t="e">
        <f ca="1">_xludf.IFNA(VLOOKUP(Aragon!E1903,'Kilter Holds'!$P$37:$AB$662,7,0),0)</f>
        <v>#NAME?</v>
      </c>
      <c r="I1903" s="274"/>
      <c r="J1903" s="274" t="e">
        <f t="shared" ca="1" si="21"/>
        <v>#NAME?</v>
      </c>
      <c r="K1903" s="274">
        <f t="shared" si="22"/>
        <v>0</v>
      </c>
      <c r="N1903" s="274"/>
    </row>
    <row r="1904" spans="5:14" ht="13.5" customHeight="1">
      <c r="E1904" s="209" t="s">
        <v>1067</v>
      </c>
      <c r="F1904" s="209" t="s">
        <v>2591</v>
      </c>
      <c r="G1904" s="410" t="str">
        <f t="shared" si="23"/>
        <v>16-16</v>
      </c>
      <c r="H1904" s="273" t="e">
        <f ca="1">_xludf.IFNA(VLOOKUP(Aragon!E1904,'Kilter Holds'!$P$37:$AB$662,8,0),0)</f>
        <v>#NAME?</v>
      </c>
      <c r="I1904" s="274"/>
      <c r="J1904" s="274" t="e">
        <f t="shared" ca="1" si="21"/>
        <v>#NAME?</v>
      </c>
      <c r="K1904" s="274">
        <f t="shared" si="22"/>
        <v>0</v>
      </c>
      <c r="N1904" s="274"/>
    </row>
    <row r="1905" spans="5:14" ht="13.5" customHeight="1">
      <c r="E1905" s="209" t="s">
        <v>1067</v>
      </c>
      <c r="F1905" s="209" t="s">
        <v>2591</v>
      </c>
      <c r="G1905" s="411" t="str">
        <f t="shared" si="23"/>
        <v>13-01</v>
      </c>
      <c r="H1905" s="273" t="e">
        <f ca="1">_xludf.IFNA(VLOOKUP(Aragon!E1905,'Kilter Holds'!$P$37:$AB$662,9,0),0)</f>
        <v>#NAME?</v>
      </c>
      <c r="I1905" s="274"/>
      <c r="J1905" s="274" t="e">
        <f t="shared" ca="1" si="21"/>
        <v>#NAME?</v>
      </c>
      <c r="K1905" s="274">
        <f t="shared" si="22"/>
        <v>0</v>
      </c>
      <c r="N1905" s="274"/>
    </row>
    <row r="1906" spans="5:14" ht="13.5" customHeight="1">
      <c r="E1906" s="209" t="s">
        <v>1067</v>
      </c>
      <c r="F1906" s="209" t="s">
        <v>2591</v>
      </c>
      <c r="G1906" s="413" t="str">
        <f t="shared" si="23"/>
        <v>07-13</v>
      </c>
      <c r="H1906" s="273" t="e">
        <f ca="1">_xludf.IFNA(VLOOKUP(Aragon!E1906,'Kilter Holds'!$P$37:$AB$662,10,0),0)</f>
        <v>#NAME?</v>
      </c>
      <c r="I1906" s="274"/>
      <c r="J1906" s="274" t="e">
        <f t="shared" ca="1" si="21"/>
        <v>#NAME?</v>
      </c>
      <c r="K1906" s="274">
        <f t="shared" si="22"/>
        <v>0</v>
      </c>
      <c r="N1906" s="274"/>
    </row>
    <row r="1907" spans="5:14" ht="13.5" customHeight="1">
      <c r="E1907" s="209" t="s">
        <v>1067</v>
      </c>
      <c r="F1907" s="209" t="s">
        <v>2591</v>
      </c>
      <c r="G1907" s="414" t="str">
        <f t="shared" si="23"/>
        <v>11-26</v>
      </c>
      <c r="H1907" s="273" t="e">
        <f ca="1">_xludf.IFNA(VLOOKUP(Aragon!E1907,'Kilter Holds'!$P$37:$AB$662,11,0),0)</f>
        <v>#NAME?</v>
      </c>
      <c r="I1907" s="274"/>
      <c r="J1907" s="274" t="e">
        <f t="shared" ca="1" si="21"/>
        <v>#NAME?</v>
      </c>
      <c r="K1907" s="274">
        <f t="shared" si="22"/>
        <v>0</v>
      </c>
      <c r="N1907" s="274"/>
    </row>
    <row r="1908" spans="5:14" ht="13.5" customHeight="1">
      <c r="E1908" s="209" t="s">
        <v>1067</v>
      </c>
      <c r="F1908" s="209" t="s">
        <v>2591</v>
      </c>
      <c r="G1908" s="415" t="str">
        <f t="shared" si="23"/>
        <v>18-01</v>
      </c>
      <c r="H1908" s="273" t="e">
        <f ca="1">_xludf.IFNA(VLOOKUP(Aragon!E1908,'Kilter Holds'!$P$37:$AB$662,12,0),0)</f>
        <v>#NAME?</v>
      </c>
      <c r="I1908" s="274"/>
      <c r="J1908" s="274" t="e">
        <f t="shared" ca="1" si="21"/>
        <v>#NAME?</v>
      </c>
      <c r="K1908" s="274">
        <f t="shared" si="22"/>
        <v>0</v>
      </c>
      <c r="N1908" s="274"/>
    </row>
    <row r="1909" spans="5:14" ht="13.5" customHeight="1">
      <c r="E1909" s="209" t="s">
        <v>1067</v>
      </c>
      <c r="F1909" s="209" t="s">
        <v>2591</v>
      </c>
      <c r="G1909" s="416" t="str">
        <f t="shared" si="23"/>
        <v>Color Code</v>
      </c>
      <c r="H1909" s="273" t="e">
        <f ca="1">_xludf.IFNA(VLOOKUP(Aragon!E1909,'Kilter Holds'!$P$37:$AB$662,13,0),0)</f>
        <v>#NAME?</v>
      </c>
      <c r="I1909" s="274"/>
      <c r="J1909" s="274" t="e">
        <f t="shared" ca="1" si="21"/>
        <v>#NAME?</v>
      </c>
      <c r="K1909" s="274">
        <f t="shared" si="22"/>
        <v>0</v>
      </c>
      <c r="N1909" s="274"/>
    </row>
    <row r="1910" spans="5:14" ht="13.5" customHeight="1">
      <c r="E1910" s="209" t="s">
        <v>1069</v>
      </c>
      <c r="F1910" s="209" t="s">
        <v>2592</v>
      </c>
      <c r="G1910" s="406" t="str">
        <f t="shared" si="23"/>
        <v>11-12</v>
      </c>
      <c r="H1910" s="273" t="e">
        <f ca="1">_xludf.IFNA(VLOOKUP(Aragon!E1910,'Kilter Holds'!$P$37:$AB$662,5,0),0)</f>
        <v>#NAME?</v>
      </c>
      <c r="I1910" s="274"/>
      <c r="J1910" s="274" t="e">
        <f t="shared" ca="1" si="21"/>
        <v>#NAME?</v>
      </c>
      <c r="K1910" s="274">
        <f t="shared" si="22"/>
        <v>0</v>
      </c>
      <c r="N1910" s="274"/>
    </row>
    <row r="1911" spans="5:14" ht="13.5" customHeight="1">
      <c r="E1911" s="209" t="s">
        <v>1069</v>
      </c>
      <c r="F1911" s="209" t="s">
        <v>2592</v>
      </c>
      <c r="G1911" s="408" t="str">
        <f t="shared" si="23"/>
        <v>14-01</v>
      </c>
      <c r="H1911" s="273" t="e">
        <f ca="1">_xludf.IFNA(VLOOKUP(Aragon!E1911,'Kilter Holds'!$P$37:$AB$662,6,0),0)</f>
        <v>#NAME?</v>
      </c>
      <c r="I1911" s="274"/>
      <c r="J1911" s="274" t="e">
        <f t="shared" ca="1" si="21"/>
        <v>#NAME?</v>
      </c>
      <c r="K1911" s="274">
        <f t="shared" si="22"/>
        <v>0</v>
      </c>
      <c r="N1911" s="274"/>
    </row>
    <row r="1912" spans="5:14" ht="13.5" customHeight="1">
      <c r="E1912" s="209" t="s">
        <v>1069</v>
      </c>
      <c r="F1912" s="209" t="s">
        <v>2592</v>
      </c>
      <c r="G1912" s="409" t="str">
        <f t="shared" si="23"/>
        <v>15-12</v>
      </c>
      <c r="H1912" s="273" t="e">
        <f ca="1">_xludf.IFNA(VLOOKUP(Aragon!E1912,'Kilter Holds'!$P$37:$AB$662,7,0),0)</f>
        <v>#NAME?</v>
      </c>
      <c r="I1912" s="274"/>
      <c r="J1912" s="274" t="e">
        <f t="shared" ca="1" si="21"/>
        <v>#NAME?</v>
      </c>
      <c r="K1912" s="274">
        <f t="shared" si="22"/>
        <v>0</v>
      </c>
      <c r="N1912" s="274"/>
    </row>
    <row r="1913" spans="5:14" ht="13.5" customHeight="1">
      <c r="E1913" s="209" t="s">
        <v>1069</v>
      </c>
      <c r="F1913" s="209" t="s">
        <v>2592</v>
      </c>
      <c r="G1913" s="410" t="str">
        <f t="shared" si="23"/>
        <v>16-16</v>
      </c>
      <c r="H1913" s="273" t="e">
        <f ca="1">_xludf.IFNA(VLOOKUP(Aragon!E1913,'Kilter Holds'!$P$37:$AB$662,8,0),0)</f>
        <v>#NAME?</v>
      </c>
      <c r="I1913" s="274"/>
      <c r="J1913" s="274" t="e">
        <f t="shared" ca="1" si="21"/>
        <v>#NAME?</v>
      </c>
      <c r="K1913" s="274">
        <f t="shared" si="22"/>
        <v>0</v>
      </c>
      <c r="N1913" s="274"/>
    </row>
    <row r="1914" spans="5:14" ht="13.5" customHeight="1">
      <c r="E1914" s="209" t="s">
        <v>1069</v>
      </c>
      <c r="F1914" s="209" t="s">
        <v>2592</v>
      </c>
      <c r="G1914" s="411" t="str">
        <f t="shared" si="23"/>
        <v>13-01</v>
      </c>
      <c r="H1914" s="273" t="e">
        <f ca="1">_xludf.IFNA(VLOOKUP(Aragon!E1914,'Kilter Holds'!$P$37:$AB$662,9,0),0)</f>
        <v>#NAME?</v>
      </c>
      <c r="I1914" s="274"/>
      <c r="J1914" s="274" t="e">
        <f t="shared" ca="1" si="21"/>
        <v>#NAME?</v>
      </c>
      <c r="K1914" s="274">
        <f t="shared" si="22"/>
        <v>0</v>
      </c>
      <c r="N1914" s="274"/>
    </row>
    <row r="1915" spans="5:14" ht="13.5" customHeight="1">
      <c r="E1915" s="209" t="s">
        <v>1069</v>
      </c>
      <c r="F1915" s="209" t="s">
        <v>2592</v>
      </c>
      <c r="G1915" s="413" t="str">
        <f t="shared" si="23"/>
        <v>07-13</v>
      </c>
      <c r="H1915" s="273" t="e">
        <f ca="1">_xludf.IFNA(VLOOKUP(Aragon!E1915,'Kilter Holds'!$P$37:$AB$662,10,0),0)</f>
        <v>#NAME?</v>
      </c>
      <c r="I1915" s="274"/>
      <c r="J1915" s="274" t="e">
        <f t="shared" ca="1" si="21"/>
        <v>#NAME?</v>
      </c>
      <c r="K1915" s="274">
        <f t="shared" si="22"/>
        <v>0</v>
      </c>
      <c r="N1915" s="274"/>
    </row>
    <row r="1916" spans="5:14" ht="13.5" customHeight="1">
      <c r="E1916" s="209" t="s">
        <v>1069</v>
      </c>
      <c r="F1916" s="209" t="s">
        <v>2592</v>
      </c>
      <c r="G1916" s="414" t="str">
        <f t="shared" si="23"/>
        <v>11-26</v>
      </c>
      <c r="H1916" s="273" t="e">
        <f ca="1">_xludf.IFNA(VLOOKUP(Aragon!E1916,'Kilter Holds'!$P$37:$AB$662,11,0),0)</f>
        <v>#NAME?</v>
      </c>
      <c r="I1916" s="274"/>
      <c r="J1916" s="274" t="e">
        <f t="shared" ca="1" si="21"/>
        <v>#NAME?</v>
      </c>
      <c r="K1916" s="274">
        <f t="shared" si="22"/>
        <v>0</v>
      </c>
      <c r="N1916" s="274"/>
    </row>
    <row r="1917" spans="5:14" ht="13.5" customHeight="1">
      <c r="E1917" s="209" t="s">
        <v>1069</v>
      </c>
      <c r="F1917" s="209" t="s">
        <v>2592</v>
      </c>
      <c r="G1917" s="415" t="str">
        <f t="shared" si="23"/>
        <v>18-01</v>
      </c>
      <c r="H1917" s="273" t="e">
        <f ca="1">_xludf.IFNA(VLOOKUP(Aragon!E1917,'Kilter Holds'!$P$37:$AB$662,12,0),0)</f>
        <v>#NAME?</v>
      </c>
      <c r="I1917" s="274"/>
      <c r="J1917" s="274" t="e">
        <f t="shared" ca="1" si="21"/>
        <v>#NAME?</v>
      </c>
      <c r="K1917" s="274">
        <f t="shared" si="22"/>
        <v>0</v>
      </c>
      <c r="N1917" s="274"/>
    </row>
    <row r="1918" spans="5:14" ht="13.5" customHeight="1">
      <c r="E1918" s="209" t="s">
        <v>1069</v>
      </c>
      <c r="F1918" s="209" t="s">
        <v>2592</v>
      </c>
      <c r="G1918" s="416" t="str">
        <f t="shared" si="23"/>
        <v>Color Code</v>
      </c>
      <c r="H1918" s="273" t="e">
        <f ca="1">_xludf.IFNA(VLOOKUP(Aragon!E1918,'Kilter Holds'!$P$37:$AB$662,13,0),0)</f>
        <v>#NAME?</v>
      </c>
      <c r="I1918" s="274"/>
      <c r="J1918" s="274" t="e">
        <f t="shared" ca="1" si="21"/>
        <v>#NAME?</v>
      </c>
      <c r="K1918" s="274">
        <f t="shared" si="22"/>
        <v>0</v>
      </c>
      <c r="N1918" s="274"/>
    </row>
    <row r="1919" spans="5:14" ht="13.5" customHeight="1">
      <c r="E1919" s="209" t="s">
        <v>1071</v>
      </c>
      <c r="F1919" s="209" t="s">
        <v>2593</v>
      </c>
      <c r="G1919" s="406" t="str">
        <f t="shared" si="23"/>
        <v>11-12</v>
      </c>
      <c r="H1919" s="273" t="e">
        <f ca="1">_xludf.IFNA(VLOOKUP(Aragon!E1919,'Kilter Holds'!$P$37:$AB$662,5,0),0)</f>
        <v>#NAME?</v>
      </c>
      <c r="I1919" s="274"/>
      <c r="J1919" s="274" t="e">
        <f t="shared" ca="1" si="21"/>
        <v>#NAME?</v>
      </c>
      <c r="K1919" s="274">
        <f t="shared" si="22"/>
        <v>0</v>
      </c>
      <c r="N1919" s="274"/>
    </row>
    <row r="1920" spans="5:14" ht="13.5" customHeight="1">
      <c r="E1920" s="209" t="s">
        <v>1071</v>
      </c>
      <c r="F1920" s="209" t="s">
        <v>2593</v>
      </c>
      <c r="G1920" s="408" t="str">
        <f t="shared" si="23"/>
        <v>14-01</v>
      </c>
      <c r="H1920" s="273" t="e">
        <f ca="1">_xludf.IFNA(VLOOKUP(Aragon!E1920,'Kilter Holds'!$P$37:$AB$662,6,0),0)</f>
        <v>#NAME?</v>
      </c>
      <c r="I1920" s="274"/>
      <c r="J1920" s="274" t="e">
        <f t="shared" ca="1" si="21"/>
        <v>#NAME?</v>
      </c>
      <c r="K1920" s="274">
        <f t="shared" si="22"/>
        <v>0</v>
      </c>
      <c r="N1920" s="274"/>
    </row>
    <row r="1921" spans="5:14" ht="13.5" customHeight="1">
      <c r="E1921" s="209" t="s">
        <v>1071</v>
      </c>
      <c r="F1921" s="209" t="s">
        <v>2593</v>
      </c>
      <c r="G1921" s="409" t="str">
        <f t="shared" si="23"/>
        <v>15-12</v>
      </c>
      <c r="H1921" s="273" t="e">
        <f ca="1">_xludf.IFNA(VLOOKUP(Aragon!E1921,'Kilter Holds'!$P$37:$AB$662,7,0),0)</f>
        <v>#NAME?</v>
      </c>
      <c r="I1921" s="274"/>
      <c r="J1921" s="274" t="e">
        <f t="shared" ca="1" si="21"/>
        <v>#NAME?</v>
      </c>
      <c r="K1921" s="274">
        <f t="shared" si="22"/>
        <v>0</v>
      </c>
      <c r="N1921" s="274"/>
    </row>
    <row r="1922" spans="5:14" ht="13.5" customHeight="1">
      <c r="E1922" s="209" t="s">
        <v>1071</v>
      </c>
      <c r="F1922" s="209" t="s">
        <v>2593</v>
      </c>
      <c r="G1922" s="410" t="str">
        <f t="shared" si="23"/>
        <v>16-16</v>
      </c>
      <c r="H1922" s="273" t="e">
        <f ca="1">_xludf.IFNA(VLOOKUP(Aragon!E1922,'Kilter Holds'!$P$37:$AB$662,8,0),0)</f>
        <v>#NAME?</v>
      </c>
      <c r="I1922" s="274"/>
      <c r="J1922" s="274" t="e">
        <f t="shared" ca="1" si="21"/>
        <v>#NAME?</v>
      </c>
      <c r="K1922" s="274">
        <f t="shared" si="22"/>
        <v>0</v>
      </c>
      <c r="N1922" s="274"/>
    </row>
    <row r="1923" spans="5:14" ht="13.5" customHeight="1">
      <c r="E1923" s="209" t="s">
        <v>1071</v>
      </c>
      <c r="F1923" s="209" t="s">
        <v>2593</v>
      </c>
      <c r="G1923" s="411" t="str">
        <f t="shared" si="23"/>
        <v>13-01</v>
      </c>
      <c r="H1923" s="273" t="e">
        <f ca="1">_xludf.IFNA(VLOOKUP(Aragon!E1923,'Kilter Holds'!$P$37:$AB$662,9,0),0)</f>
        <v>#NAME?</v>
      </c>
      <c r="I1923" s="274"/>
      <c r="J1923" s="274" t="e">
        <f t="shared" ca="1" si="21"/>
        <v>#NAME?</v>
      </c>
      <c r="K1923" s="274">
        <f t="shared" si="22"/>
        <v>0</v>
      </c>
      <c r="N1923" s="274"/>
    </row>
    <row r="1924" spans="5:14" ht="13.5" customHeight="1">
      <c r="E1924" s="209" t="s">
        <v>1071</v>
      </c>
      <c r="F1924" s="209" t="s">
        <v>2593</v>
      </c>
      <c r="G1924" s="413" t="str">
        <f t="shared" si="23"/>
        <v>07-13</v>
      </c>
      <c r="H1924" s="273" t="e">
        <f ca="1">_xludf.IFNA(VLOOKUP(Aragon!E1924,'Kilter Holds'!$P$37:$AB$662,10,0),0)</f>
        <v>#NAME?</v>
      </c>
      <c r="I1924" s="274"/>
      <c r="J1924" s="274" t="e">
        <f t="shared" ca="1" si="21"/>
        <v>#NAME?</v>
      </c>
      <c r="K1924" s="274">
        <f t="shared" si="22"/>
        <v>0</v>
      </c>
      <c r="N1924" s="274"/>
    </row>
    <row r="1925" spans="5:14" ht="13.5" customHeight="1">
      <c r="E1925" s="209" t="s">
        <v>1071</v>
      </c>
      <c r="F1925" s="209" t="s">
        <v>2593</v>
      </c>
      <c r="G1925" s="414" t="str">
        <f t="shared" si="23"/>
        <v>11-26</v>
      </c>
      <c r="H1925" s="273" t="e">
        <f ca="1">_xludf.IFNA(VLOOKUP(Aragon!E1925,'Kilter Holds'!$P$37:$AB$662,11,0),0)</f>
        <v>#NAME?</v>
      </c>
      <c r="I1925" s="274"/>
      <c r="J1925" s="274" t="e">
        <f t="shared" ca="1" si="21"/>
        <v>#NAME?</v>
      </c>
      <c r="K1925" s="274">
        <f t="shared" si="22"/>
        <v>0</v>
      </c>
      <c r="N1925" s="274"/>
    </row>
    <row r="1926" spans="5:14" ht="13.5" customHeight="1">
      <c r="E1926" s="209" t="s">
        <v>1071</v>
      </c>
      <c r="F1926" s="209" t="s">
        <v>2593</v>
      </c>
      <c r="G1926" s="415" t="str">
        <f t="shared" si="23"/>
        <v>18-01</v>
      </c>
      <c r="H1926" s="273" t="e">
        <f ca="1">_xludf.IFNA(VLOOKUP(Aragon!E1926,'Kilter Holds'!$P$37:$AB$662,12,0),0)</f>
        <v>#NAME?</v>
      </c>
      <c r="I1926" s="274"/>
      <c r="J1926" s="274" t="e">
        <f t="shared" ca="1" si="21"/>
        <v>#NAME?</v>
      </c>
      <c r="K1926" s="274">
        <f t="shared" si="22"/>
        <v>0</v>
      </c>
      <c r="N1926" s="274"/>
    </row>
    <row r="1927" spans="5:14" ht="13.5" customHeight="1">
      <c r="E1927" s="209" t="s">
        <v>1071</v>
      </c>
      <c r="F1927" s="209" t="s">
        <v>2593</v>
      </c>
      <c r="G1927" s="416" t="str">
        <f t="shared" si="23"/>
        <v>Color Code</v>
      </c>
      <c r="H1927" s="273" t="e">
        <f ca="1">_xludf.IFNA(VLOOKUP(Aragon!E1927,'Kilter Holds'!$P$37:$AB$662,13,0),0)</f>
        <v>#NAME?</v>
      </c>
      <c r="I1927" s="274"/>
      <c r="J1927" s="274" t="e">
        <f t="shared" ca="1" si="21"/>
        <v>#NAME?</v>
      </c>
      <c r="K1927" s="274">
        <f t="shared" si="22"/>
        <v>0</v>
      </c>
      <c r="N1927" s="274"/>
    </row>
    <row r="1928" spans="5:14" ht="13.5" customHeight="1">
      <c r="E1928" s="209" t="s">
        <v>1073</v>
      </c>
      <c r="F1928" s="209" t="s">
        <v>2594</v>
      </c>
      <c r="G1928" s="406" t="str">
        <f t="shared" si="23"/>
        <v>11-12</v>
      </c>
      <c r="H1928" s="273" t="e">
        <f ca="1">_xludf.IFNA(VLOOKUP(Aragon!E1928,'Kilter Holds'!$P$37:$AB$662,5,0),0)</f>
        <v>#NAME?</v>
      </c>
      <c r="I1928" s="274"/>
      <c r="J1928" s="274" t="e">
        <f t="shared" ca="1" si="21"/>
        <v>#NAME?</v>
      </c>
      <c r="K1928" s="274">
        <f t="shared" si="22"/>
        <v>0</v>
      </c>
      <c r="N1928" s="274"/>
    </row>
    <row r="1929" spans="5:14" ht="13.5" customHeight="1">
      <c r="E1929" s="209" t="s">
        <v>1073</v>
      </c>
      <c r="F1929" s="209" t="s">
        <v>2594</v>
      </c>
      <c r="G1929" s="408" t="str">
        <f t="shared" si="23"/>
        <v>14-01</v>
      </c>
      <c r="H1929" s="273" t="e">
        <f ca="1">_xludf.IFNA(VLOOKUP(Aragon!E1929,'Kilter Holds'!$P$37:$AB$662,6,0),0)</f>
        <v>#NAME?</v>
      </c>
      <c r="I1929" s="274"/>
      <c r="J1929" s="274" t="e">
        <f t="shared" ca="1" si="21"/>
        <v>#NAME?</v>
      </c>
      <c r="K1929" s="274">
        <f t="shared" si="22"/>
        <v>0</v>
      </c>
      <c r="N1929" s="274"/>
    </row>
    <row r="1930" spans="5:14" ht="13.5" customHeight="1">
      <c r="E1930" s="209" t="s">
        <v>1073</v>
      </c>
      <c r="F1930" s="209" t="s">
        <v>2594</v>
      </c>
      <c r="G1930" s="409" t="str">
        <f t="shared" si="23"/>
        <v>15-12</v>
      </c>
      <c r="H1930" s="273" t="e">
        <f ca="1">_xludf.IFNA(VLOOKUP(Aragon!E1930,'Kilter Holds'!$P$37:$AB$662,7,0),0)</f>
        <v>#NAME?</v>
      </c>
      <c r="I1930" s="274"/>
      <c r="J1930" s="274" t="e">
        <f t="shared" ca="1" si="21"/>
        <v>#NAME?</v>
      </c>
      <c r="K1930" s="274">
        <f t="shared" si="22"/>
        <v>0</v>
      </c>
      <c r="N1930" s="274"/>
    </row>
    <row r="1931" spans="5:14" ht="13.5" customHeight="1">
      <c r="E1931" s="209" t="s">
        <v>1073</v>
      </c>
      <c r="F1931" s="209" t="s">
        <v>2594</v>
      </c>
      <c r="G1931" s="410" t="str">
        <f t="shared" si="23"/>
        <v>16-16</v>
      </c>
      <c r="H1931" s="273" t="e">
        <f ca="1">_xludf.IFNA(VLOOKUP(Aragon!E1931,'Kilter Holds'!$P$37:$AB$662,8,0),0)</f>
        <v>#NAME?</v>
      </c>
      <c r="I1931" s="274"/>
      <c r="J1931" s="274" t="e">
        <f t="shared" ca="1" si="21"/>
        <v>#NAME?</v>
      </c>
      <c r="K1931" s="274">
        <f t="shared" si="22"/>
        <v>0</v>
      </c>
      <c r="N1931" s="274"/>
    </row>
    <row r="1932" spans="5:14" ht="13.5" customHeight="1">
      <c r="E1932" s="209" t="s">
        <v>1073</v>
      </c>
      <c r="F1932" s="209" t="s">
        <v>2594</v>
      </c>
      <c r="G1932" s="411" t="str">
        <f t="shared" si="23"/>
        <v>13-01</v>
      </c>
      <c r="H1932" s="273" t="e">
        <f ca="1">_xludf.IFNA(VLOOKUP(Aragon!E1932,'Kilter Holds'!$P$37:$AB$662,9,0),0)</f>
        <v>#NAME?</v>
      </c>
      <c r="I1932" s="274"/>
      <c r="J1932" s="274" t="e">
        <f t="shared" ca="1" si="21"/>
        <v>#NAME?</v>
      </c>
      <c r="K1932" s="274">
        <f t="shared" si="22"/>
        <v>0</v>
      </c>
      <c r="N1932" s="274"/>
    </row>
    <row r="1933" spans="5:14" ht="13.5" customHeight="1">
      <c r="E1933" s="209" t="s">
        <v>1073</v>
      </c>
      <c r="F1933" s="209" t="s">
        <v>2594</v>
      </c>
      <c r="G1933" s="413" t="str">
        <f t="shared" si="23"/>
        <v>07-13</v>
      </c>
      <c r="H1933" s="273" t="e">
        <f ca="1">_xludf.IFNA(VLOOKUP(Aragon!E1933,'Kilter Holds'!$P$37:$AB$662,10,0),0)</f>
        <v>#NAME?</v>
      </c>
      <c r="I1933" s="274"/>
      <c r="J1933" s="274" t="e">
        <f t="shared" ca="1" si="21"/>
        <v>#NAME?</v>
      </c>
      <c r="K1933" s="274">
        <f t="shared" si="22"/>
        <v>0</v>
      </c>
      <c r="N1933" s="274"/>
    </row>
    <row r="1934" spans="5:14" ht="13.5" customHeight="1">
      <c r="E1934" s="209" t="s">
        <v>1073</v>
      </c>
      <c r="F1934" s="209" t="s">
        <v>2594</v>
      </c>
      <c r="G1934" s="414" t="str">
        <f t="shared" si="23"/>
        <v>11-26</v>
      </c>
      <c r="H1934" s="273" t="e">
        <f ca="1">_xludf.IFNA(VLOOKUP(Aragon!E1934,'Kilter Holds'!$P$37:$AB$662,11,0),0)</f>
        <v>#NAME?</v>
      </c>
      <c r="I1934" s="274"/>
      <c r="J1934" s="274" t="e">
        <f t="shared" ca="1" si="21"/>
        <v>#NAME?</v>
      </c>
      <c r="K1934" s="274">
        <f t="shared" si="22"/>
        <v>0</v>
      </c>
      <c r="N1934" s="274"/>
    </row>
    <row r="1935" spans="5:14" ht="13.5" customHeight="1">
      <c r="E1935" s="209" t="s">
        <v>1073</v>
      </c>
      <c r="F1935" s="209" t="s">
        <v>2594</v>
      </c>
      <c r="G1935" s="415" t="str">
        <f t="shared" si="23"/>
        <v>18-01</v>
      </c>
      <c r="H1935" s="273" t="e">
        <f ca="1">_xludf.IFNA(VLOOKUP(Aragon!E1935,'Kilter Holds'!$P$37:$AB$662,12,0),0)</f>
        <v>#NAME?</v>
      </c>
      <c r="I1935" s="274"/>
      <c r="J1935" s="274" t="e">
        <f t="shared" ca="1" si="21"/>
        <v>#NAME?</v>
      </c>
      <c r="K1935" s="274">
        <f t="shared" si="22"/>
        <v>0</v>
      </c>
      <c r="N1935" s="274"/>
    </row>
    <row r="1936" spans="5:14" ht="13.5" customHeight="1">
      <c r="E1936" s="209" t="s">
        <v>1073</v>
      </c>
      <c r="F1936" s="209" t="s">
        <v>2594</v>
      </c>
      <c r="G1936" s="416" t="str">
        <f t="shared" si="23"/>
        <v>Color Code</v>
      </c>
      <c r="H1936" s="273" t="e">
        <f ca="1">_xludf.IFNA(VLOOKUP(Aragon!E1936,'Kilter Holds'!$P$37:$AB$662,13,0),0)</f>
        <v>#NAME?</v>
      </c>
      <c r="I1936" s="274"/>
      <c r="J1936" s="274" t="e">
        <f t="shared" ca="1" si="21"/>
        <v>#NAME?</v>
      </c>
      <c r="K1936" s="274">
        <f t="shared" si="22"/>
        <v>0</v>
      </c>
      <c r="N1936" s="274"/>
    </row>
    <row r="1937" spans="5:14" ht="13.5" customHeight="1">
      <c r="E1937" s="209" t="s">
        <v>315</v>
      </c>
      <c r="F1937" s="209" t="s">
        <v>2595</v>
      </c>
      <c r="G1937" s="406" t="str">
        <f t="shared" si="23"/>
        <v>11-12</v>
      </c>
      <c r="H1937" s="273" t="e">
        <f ca="1">_xludf.IFNA(VLOOKUP(Aragon!E1937,'Kilter Holds'!$P$37:$AB$662,5,0),0)</f>
        <v>#NAME?</v>
      </c>
      <c r="I1937" s="274"/>
      <c r="J1937" s="274" t="e">
        <f t="shared" ca="1" si="21"/>
        <v>#NAME?</v>
      </c>
      <c r="K1937" s="274">
        <f t="shared" si="22"/>
        <v>0</v>
      </c>
      <c r="N1937" s="274"/>
    </row>
    <row r="1938" spans="5:14" ht="13.5" customHeight="1">
      <c r="E1938" s="209" t="s">
        <v>315</v>
      </c>
      <c r="F1938" s="209" t="s">
        <v>2595</v>
      </c>
      <c r="G1938" s="408" t="str">
        <f t="shared" si="23"/>
        <v>14-01</v>
      </c>
      <c r="H1938" s="273" t="e">
        <f ca="1">_xludf.IFNA(VLOOKUP(Aragon!E1938,'Kilter Holds'!$P$37:$AB$662,6,0),0)</f>
        <v>#NAME?</v>
      </c>
      <c r="I1938" s="274"/>
      <c r="J1938" s="274" t="e">
        <f t="shared" ca="1" si="21"/>
        <v>#NAME?</v>
      </c>
      <c r="K1938" s="274">
        <f t="shared" si="22"/>
        <v>0</v>
      </c>
      <c r="N1938" s="274"/>
    </row>
    <row r="1939" spans="5:14" ht="13.5" customHeight="1">
      <c r="E1939" s="209" t="s">
        <v>315</v>
      </c>
      <c r="F1939" s="209" t="s">
        <v>2595</v>
      </c>
      <c r="G1939" s="409" t="str">
        <f t="shared" si="23"/>
        <v>15-12</v>
      </c>
      <c r="H1939" s="273" t="e">
        <f ca="1">_xludf.IFNA(VLOOKUP(Aragon!E1939,'Kilter Holds'!$P$37:$AB$662,7,0),0)</f>
        <v>#NAME?</v>
      </c>
      <c r="I1939" s="274"/>
      <c r="J1939" s="274" t="e">
        <f t="shared" ca="1" si="21"/>
        <v>#NAME?</v>
      </c>
      <c r="K1939" s="274">
        <f t="shared" si="22"/>
        <v>0</v>
      </c>
      <c r="N1939" s="274"/>
    </row>
    <row r="1940" spans="5:14" ht="13.5" customHeight="1">
      <c r="E1940" s="209" t="s">
        <v>315</v>
      </c>
      <c r="F1940" s="209" t="s">
        <v>2595</v>
      </c>
      <c r="G1940" s="410" t="str">
        <f t="shared" si="23"/>
        <v>16-16</v>
      </c>
      <c r="H1940" s="273" t="e">
        <f ca="1">_xludf.IFNA(VLOOKUP(Aragon!E1940,'Kilter Holds'!$P$37:$AB$662,8,0),0)</f>
        <v>#NAME?</v>
      </c>
      <c r="I1940" s="274"/>
      <c r="J1940" s="274" t="e">
        <f t="shared" ca="1" si="21"/>
        <v>#NAME?</v>
      </c>
      <c r="K1940" s="274">
        <f t="shared" si="22"/>
        <v>0</v>
      </c>
      <c r="N1940" s="274"/>
    </row>
    <row r="1941" spans="5:14" ht="13.5" customHeight="1">
      <c r="E1941" s="209" t="s">
        <v>315</v>
      </c>
      <c r="F1941" s="209" t="s">
        <v>2595</v>
      </c>
      <c r="G1941" s="411" t="str">
        <f t="shared" si="23"/>
        <v>13-01</v>
      </c>
      <c r="H1941" s="273" t="e">
        <f ca="1">_xludf.IFNA(VLOOKUP(Aragon!E1941,'Kilter Holds'!$P$37:$AB$662,9,0),0)</f>
        <v>#NAME?</v>
      </c>
      <c r="I1941" s="274"/>
      <c r="J1941" s="274" t="e">
        <f t="shared" ca="1" si="21"/>
        <v>#NAME?</v>
      </c>
      <c r="K1941" s="274">
        <f t="shared" si="22"/>
        <v>0</v>
      </c>
      <c r="N1941" s="274"/>
    </row>
    <row r="1942" spans="5:14" ht="13.5" customHeight="1">
      <c r="E1942" s="209" t="s">
        <v>315</v>
      </c>
      <c r="F1942" s="209" t="s">
        <v>2595</v>
      </c>
      <c r="G1942" s="413" t="str">
        <f t="shared" si="23"/>
        <v>07-13</v>
      </c>
      <c r="H1942" s="273" t="e">
        <f ca="1">_xludf.IFNA(VLOOKUP(Aragon!E1942,'Kilter Holds'!$P$37:$AB$662,10,0),0)</f>
        <v>#NAME?</v>
      </c>
      <c r="I1942" s="274"/>
      <c r="J1942" s="274" t="e">
        <f t="shared" ca="1" si="21"/>
        <v>#NAME?</v>
      </c>
      <c r="K1942" s="274">
        <f t="shared" si="22"/>
        <v>0</v>
      </c>
      <c r="N1942" s="274"/>
    </row>
    <row r="1943" spans="5:14" ht="13.5" customHeight="1">
      <c r="E1943" s="209" t="s">
        <v>315</v>
      </c>
      <c r="F1943" s="209" t="s">
        <v>2595</v>
      </c>
      <c r="G1943" s="414" t="str">
        <f t="shared" si="23"/>
        <v>11-26</v>
      </c>
      <c r="H1943" s="273" t="e">
        <f ca="1">_xludf.IFNA(VLOOKUP(Aragon!E1943,'Kilter Holds'!$P$37:$AB$662,11,0),0)</f>
        <v>#NAME?</v>
      </c>
      <c r="I1943" s="274"/>
      <c r="J1943" s="274" t="e">
        <f t="shared" ca="1" si="21"/>
        <v>#NAME?</v>
      </c>
      <c r="K1943" s="274">
        <f t="shared" si="22"/>
        <v>0</v>
      </c>
      <c r="N1943" s="274"/>
    </row>
    <row r="1944" spans="5:14" ht="13.5" customHeight="1">
      <c r="E1944" s="209" t="s">
        <v>315</v>
      </c>
      <c r="F1944" s="209" t="s">
        <v>2595</v>
      </c>
      <c r="G1944" s="415" t="str">
        <f t="shared" si="23"/>
        <v>18-01</v>
      </c>
      <c r="H1944" s="273" t="e">
        <f ca="1">_xludf.IFNA(VLOOKUP(Aragon!E1944,'Kilter Holds'!$P$37:$AB$662,12,0),0)</f>
        <v>#NAME?</v>
      </c>
      <c r="I1944" s="274"/>
      <c r="J1944" s="274" t="e">
        <f t="shared" ca="1" si="21"/>
        <v>#NAME?</v>
      </c>
      <c r="K1944" s="274">
        <f t="shared" si="22"/>
        <v>0</v>
      </c>
      <c r="N1944" s="274"/>
    </row>
    <row r="1945" spans="5:14" ht="13.5" customHeight="1">
      <c r="E1945" s="209" t="s">
        <v>315</v>
      </c>
      <c r="F1945" s="209" t="s">
        <v>2595</v>
      </c>
      <c r="G1945" s="416" t="str">
        <f t="shared" si="23"/>
        <v>Color Code</v>
      </c>
      <c r="H1945" s="273" t="e">
        <f ca="1">_xludf.IFNA(VLOOKUP(Aragon!E1945,'Kilter Holds'!$P$37:$AB$662,13,0),0)</f>
        <v>#NAME?</v>
      </c>
      <c r="I1945" s="274"/>
      <c r="J1945" s="274" t="e">
        <f t="shared" ca="1" si="21"/>
        <v>#NAME?</v>
      </c>
      <c r="K1945" s="274">
        <f t="shared" si="22"/>
        <v>0</v>
      </c>
      <c r="N1945" s="274"/>
    </row>
    <row r="1946" spans="5:14" ht="13.5" customHeight="1">
      <c r="E1946" s="209" t="s">
        <v>282</v>
      </c>
      <c r="F1946" s="209" t="s">
        <v>2596</v>
      </c>
      <c r="G1946" s="406" t="str">
        <f t="shared" si="23"/>
        <v>11-12</v>
      </c>
      <c r="H1946" s="273" t="e">
        <f ca="1">_xludf.IFNA(VLOOKUP(Aragon!E1946,'Kilter Holds'!$P$37:$AB$662,5,0),0)</f>
        <v>#NAME?</v>
      </c>
      <c r="I1946" s="274"/>
      <c r="J1946" s="274" t="e">
        <f t="shared" ca="1" si="21"/>
        <v>#NAME?</v>
      </c>
      <c r="K1946" s="274">
        <f t="shared" si="22"/>
        <v>0</v>
      </c>
      <c r="N1946" s="274"/>
    </row>
    <row r="1947" spans="5:14" ht="13.5" customHeight="1">
      <c r="E1947" s="209" t="s">
        <v>282</v>
      </c>
      <c r="F1947" s="209" t="s">
        <v>2596</v>
      </c>
      <c r="G1947" s="408" t="str">
        <f t="shared" si="23"/>
        <v>14-01</v>
      </c>
      <c r="H1947" s="273" t="e">
        <f ca="1">_xludf.IFNA(VLOOKUP(Aragon!E1947,'Kilter Holds'!$P$37:$AB$662,6,0),0)</f>
        <v>#NAME?</v>
      </c>
      <c r="I1947" s="274"/>
      <c r="J1947" s="274" t="e">
        <f t="shared" ca="1" si="21"/>
        <v>#NAME?</v>
      </c>
      <c r="K1947" s="274">
        <f t="shared" si="22"/>
        <v>0</v>
      </c>
      <c r="N1947" s="274"/>
    </row>
    <row r="1948" spans="5:14" ht="13.5" customHeight="1">
      <c r="E1948" s="209" t="s">
        <v>282</v>
      </c>
      <c r="F1948" s="209" t="s">
        <v>2596</v>
      </c>
      <c r="G1948" s="409" t="str">
        <f t="shared" si="23"/>
        <v>15-12</v>
      </c>
      <c r="H1948" s="273" t="e">
        <f ca="1">_xludf.IFNA(VLOOKUP(Aragon!E1948,'Kilter Holds'!$P$37:$AB$662,7,0),0)</f>
        <v>#NAME?</v>
      </c>
      <c r="I1948" s="274"/>
      <c r="J1948" s="274" t="e">
        <f t="shared" ca="1" si="21"/>
        <v>#NAME?</v>
      </c>
      <c r="K1948" s="274">
        <f t="shared" si="22"/>
        <v>0</v>
      </c>
      <c r="N1948" s="274"/>
    </row>
    <row r="1949" spans="5:14" ht="13.5" customHeight="1">
      <c r="E1949" s="209" t="s">
        <v>282</v>
      </c>
      <c r="F1949" s="209" t="s">
        <v>2596</v>
      </c>
      <c r="G1949" s="410" t="str">
        <f t="shared" si="23"/>
        <v>16-16</v>
      </c>
      <c r="H1949" s="273" t="e">
        <f ca="1">_xludf.IFNA(VLOOKUP(Aragon!E1949,'Kilter Holds'!$P$37:$AB$662,8,0),0)</f>
        <v>#NAME?</v>
      </c>
      <c r="I1949" s="274"/>
      <c r="J1949" s="274" t="e">
        <f t="shared" ca="1" si="21"/>
        <v>#NAME?</v>
      </c>
      <c r="K1949" s="274">
        <f t="shared" si="22"/>
        <v>0</v>
      </c>
      <c r="N1949" s="274"/>
    </row>
    <row r="1950" spans="5:14" ht="13.5" customHeight="1">
      <c r="E1950" s="209" t="s">
        <v>282</v>
      </c>
      <c r="F1950" s="209" t="s">
        <v>2596</v>
      </c>
      <c r="G1950" s="411" t="str">
        <f t="shared" si="23"/>
        <v>13-01</v>
      </c>
      <c r="H1950" s="273" t="e">
        <f ca="1">_xludf.IFNA(VLOOKUP(Aragon!E1950,'Kilter Holds'!$P$37:$AB$662,9,0),0)</f>
        <v>#NAME?</v>
      </c>
      <c r="I1950" s="274"/>
      <c r="J1950" s="274" t="e">
        <f t="shared" ca="1" si="21"/>
        <v>#NAME?</v>
      </c>
      <c r="K1950" s="274">
        <f t="shared" si="22"/>
        <v>0</v>
      </c>
      <c r="N1950" s="274"/>
    </row>
    <row r="1951" spans="5:14" ht="13.5" customHeight="1">
      <c r="E1951" s="209" t="s">
        <v>282</v>
      </c>
      <c r="F1951" s="209" t="s">
        <v>2596</v>
      </c>
      <c r="G1951" s="413" t="str">
        <f t="shared" si="23"/>
        <v>07-13</v>
      </c>
      <c r="H1951" s="273" t="e">
        <f ca="1">_xludf.IFNA(VLOOKUP(Aragon!E1951,'Kilter Holds'!$P$37:$AB$662,10,0),0)</f>
        <v>#NAME?</v>
      </c>
      <c r="I1951" s="274"/>
      <c r="J1951" s="274" t="e">
        <f t="shared" ca="1" si="21"/>
        <v>#NAME?</v>
      </c>
      <c r="K1951" s="274">
        <f t="shared" si="22"/>
        <v>0</v>
      </c>
      <c r="N1951" s="274"/>
    </row>
    <row r="1952" spans="5:14" ht="13.5" customHeight="1">
      <c r="E1952" s="209" t="s">
        <v>282</v>
      </c>
      <c r="F1952" s="209" t="s">
        <v>2596</v>
      </c>
      <c r="G1952" s="414" t="str">
        <f t="shared" si="23"/>
        <v>11-26</v>
      </c>
      <c r="H1952" s="273" t="e">
        <f ca="1">_xludf.IFNA(VLOOKUP(Aragon!E1952,'Kilter Holds'!$P$37:$AB$662,11,0),0)</f>
        <v>#NAME?</v>
      </c>
      <c r="I1952" s="274"/>
      <c r="J1952" s="274" t="e">
        <f t="shared" ca="1" si="21"/>
        <v>#NAME?</v>
      </c>
      <c r="K1952" s="274">
        <f t="shared" si="22"/>
        <v>0</v>
      </c>
      <c r="N1952" s="274"/>
    </row>
    <row r="1953" spans="5:14" ht="13.5" customHeight="1">
      <c r="E1953" s="209" t="s">
        <v>282</v>
      </c>
      <c r="F1953" s="209" t="s">
        <v>2596</v>
      </c>
      <c r="G1953" s="415" t="str">
        <f t="shared" si="23"/>
        <v>18-01</v>
      </c>
      <c r="H1953" s="273" t="e">
        <f ca="1">_xludf.IFNA(VLOOKUP(Aragon!E1953,'Kilter Holds'!$P$37:$AB$662,12,0),0)</f>
        <v>#NAME?</v>
      </c>
      <c r="I1953" s="274"/>
      <c r="J1953" s="274" t="e">
        <f t="shared" ca="1" si="21"/>
        <v>#NAME?</v>
      </c>
      <c r="K1953" s="274">
        <f t="shared" si="22"/>
        <v>0</v>
      </c>
      <c r="N1953" s="274"/>
    </row>
    <row r="1954" spans="5:14" ht="13.5" customHeight="1">
      <c r="E1954" s="209" t="s">
        <v>282</v>
      </c>
      <c r="F1954" s="209" t="s">
        <v>2596</v>
      </c>
      <c r="G1954" s="416" t="str">
        <f t="shared" si="23"/>
        <v>Color Code</v>
      </c>
      <c r="H1954" s="273" t="e">
        <f ca="1">_xludf.IFNA(VLOOKUP(Aragon!E1954,'Kilter Holds'!$P$37:$AB$662,13,0),0)</f>
        <v>#NAME?</v>
      </c>
      <c r="I1954" s="274"/>
      <c r="J1954" s="274" t="e">
        <f t="shared" ca="1" si="21"/>
        <v>#NAME?</v>
      </c>
      <c r="K1954" s="274">
        <f t="shared" si="22"/>
        <v>0</v>
      </c>
      <c r="N1954" s="274"/>
    </row>
    <row r="1955" spans="5:14" ht="13.5" customHeight="1">
      <c r="E1955" s="209" t="s">
        <v>361</v>
      </c>
      <c r="F1955" s="209" t="s">
        <v>2597</v>
      </c>
      <c r="G1955" s="406" t="str">
        <f t="shared" si="23"/>
        <v>11-12</v>
      </c>
      <c r="H1955" s="273" t="e">
        <f ca="1">_xludf.IFNA(VLOOKUP(Aragon!E1955,'Kilter Holds'!$P$37:$AB$662,5,0),0)</f>
        <v>#NAME?</v>
      </c>
      <c r="I1955" s="274"/>
      <c r="J1955" s="274" t="e">
        <f t="shared" ca="1" si="21"/>
        <v>#NAME?</v>
      </c>
      <c r="K1955" s="274">
        <f t="shared" si="22"/>
        <v>0</v>
      </c>
      <c r="N1955" s="274"/>
    </row>
    <row r="1956" spans="5:14" ht="13.5" customHeight="1">
      <c r="E1956" s="209" t="s">
        <v>361</v>
      </c>
      <c r="F1956" s="209" t="s">
        <v>2597</v>
      </c>
      <c r="G1956" s="408" t="str">
        <f t="shared" si="23"/>
        <v>14-01</v>
      </c>
      <c r="H1956" s="273" t="e">
        <f ca="1">_xludf.IFNA(VLOOKUP(Aragon!E1956,'Kilter Holds'!$P$37:$AB$662,6,0),0)</f>
        <v>#NAME?</v>
      </c>
      <c r="I1956" s="274"/>
      <c r="J1956" s="274" t="e">
        <f t="shared" ca="1" si="21"/>
        <v>#NAME?</v>
      </c>
      <c r="K1956" s="274">
        <f t="shared" si="22"/>
        <v>0</v>
      </c>
      <c r="N1956" s="274"/>
    </row>
    <row r="1957" spans="5:14" ht="13.5" customHeight="1">
      <c r="E1957" s="209" t="s">
        <v>361</v>
      </c>
      <c r="F1957" s="209" t="s">
        <v>2597</v>
      </c>
      <c r="G1957" s="409" t="str">
        <f t="shared" si="23"/>
        <v>15-12</v>
      </c>
      <c r="H1957" s="273" t="e">
        <f ca="1">_xludf.IFNA(VLOOKUP(Aragon!E1957,'Kilter Holds'!$P$37:$AB$662,7,0),0)</f>
        <v>#NAME?</v>
      </c>
      <c r="I1957" s="274"/>
      <c r="J1957" s="274" t="e">
        <f t="shared" ca="1" si="21"/>
        <v>#NAME?</v>
      </c>
      <c r="K1957" s="274">
        <f t="shared" si="22"/>
        <v>0</v>
      </c>
      <c r="N1957" s="274"/>
    </row>
    <row r="1958" spans="5:14" ht="13.5" customHeight="1">
      <c r="E1958" s="209" t="s">
        <v>361</v>
      </c>
      <c r="F1958" s="209" t="s">
        <v>2597</v>
      </c>
      <c r="G1958" s="410" t="str">
        <f t="shared" si="23"/>
        <v>16-16</v>
      </c>
      <c r="H1958" s="273" t="e">
        <f ca="1">_xludf.IFNA(VLOOKUP(Aragon!E1958,'Kilter Holds'!$P$37:$AB$662,8,0),0)</f>
        <v>#NAME?</v>
      </c>
      <c r="I1958" s="274"/>
      <c r="J1958" s="274" t="e">
        <f t="shared" ca="1" si="21"/>
        <v>#NAME?</v>
      </c>
      <c r="K1958" s="274">
        <f t="shared" si="22"/>
        <v>0</v>
      </c>
      <c r="N1958" s="274"/>
    </row>
    <row r="1959" spans="5:14" ht="13.5" customHeight="1">
      <c r="E1959" s="209" t="s">
        <v>361</v>
      </c>
      <c r="F1959" s="209" t="s">
        <v>2597</v>
      </c>
      <c r="G1959" s="411" t="str">
        <f t="shared" si="23"/>
        <v>13-01</v>
      </c>
      <c r="H1959" s="273" t="e">
        <f ca="1">_xludf.IFNA(VLOOKUP(Aragon!E1959,'Kilter Holds'!$P$37:$AB$662,9,0),0)</f>
        <v>#NAME?</v>
      </c>
      <c r="I1959" s="274"/>
      <c r="J1959" s="274" t="e">
        <f t="shared" ca="1" si="21"/>
        <v>#NAME?</v>
      </c>
      <c r="K1959" s="274">
        <f t="shared" si="22"/>
        <v>0</v>
      </c>
      <c r="N1959" s="274"/>
    </row>
    <row r="1960" spans="5:14" ht="13.5" customHeight="1">
      <c r="E1960" s="209" t="s">
        <v>361</v>
      </c>
      <c r="F1960" s="209" t="s">
        <v>2597</v>
      </c>
      <c r="G1960" s="413" t="str">
        <f t="shared" si="23"/>
        <v>07-13</v>
      </c>
      <c r="H1960" s="273" t="e">
        <f ca="1">_xludf.IFNA(VLOOKUP(Aragon!E1960,'Kilter Holds'!$P$37:$AB$662,10,0),0)</f>
        <v>#NAME?</v>
      </c>
      <c r="I1960" s="274"/>
      <c r="J1960" s="274" t="e">
        <f t="shared" ca="1" si="21"/>
        <v>#NAME?</v>
      </c>
      <c r="K1960" s="274">
        <f t="shared" si="22"/>
        <v>0</v>
      </c>
      <c r="N1960" s="274"/>
    </row>
    <row r="1961" spans="5:14" ht="13.5" customHeight="1">
      <c r="E1961" s="209" t="s">
        <v>361</v>
      </c>
      <c r="F1961" s="209" t="s">
        <v>2597</v>
      </c>
      <c r="G1961" s="414" t="str">
        <f t="shared" si="23"/>
        <v>11-26</v>
      </c>
      <c r="H1961" s="273" t="e">
        <f ca="1">_xludf.IFNA(VLOOKUP(Aragon!E1961,'Kilter Holds'!$P$37:$AB$662,11,0),0)</f>
        <v>#NAME?</v>
      </c>
      <c r="I1961" s="274"/>
      <c r="J1961" s="274" t="e">
        <f t="shared" ca="1" si="21"/>
        <v>#NAME?</v>
      </c>
      <c r="K1961" s="274">
        <f t="shared" si="22"/>
        <v>0</v>
      </c>
      <c r="N1961" s="274"/>
    </row>
    <row r="1962" spans="5:14" ht="13.5" customHeight="1">
      <c r="E1962" s="209" t="s">
        <v>361</v>
      </c>
      <c r="F1962" s="209" t="s">
        <v>2597</v>
      </c>
      <c r="G1962" s="415" t="str">
        <f t="shared" si="23"/>
        <v>18-01</v>
      </c>
      <c r="H1962" s="273" t="e">
        <f ca="1">_xludf.IFNA(VLOOKUP(Aragon!E1962,'Kilter Holds'!$P$37:$AB$662,12,0),0)</f>
        <v>#NAME?</v>
      </c>
      <c r="I1962" s="274"/>
      <c r="J1962" s="274" t="e">
        <f t="shared" ca="1" si="21"/>
        <v>#NAME?</v>
      </c>
      <c r="K1962" s="274">
        <f t="shared" si="22"/>
        <v>0</v>
      </c>
      <c r="N1962" s="274"/>
    </row>
    <row r="1963" spans="5:14" ht="13.5" customHeight="1">
      <c r="E1963" s="209" t="s">
        <v>361</v>
      </c>
      <c r="F1963" s="209" t="s">
        <v>2597</v>
      </c>
      <c r="G1963" s="416" t="str">
        <f t="shared" si="23"/>
        <v>Color Code</v>
      </c>
      <c r="H1963" s="273" t="e">
        <f ca="1">_xludf.IFNA(VLOOKUP(Aragon!E1963,'Kilter Holds'!$P$37:$AB$662,13,0),0)</f>
        <v>#NAME?</v>
      </c>
      <c r="I1963" s="274"/>
      <c r="J1963" s="274" t="e">
        <f t="shared" ca="1" si="21"/>
        <v>#NAME?</v>
      </c>
      <c r="K1963" s="274">
        <f t="shared" si="22"/>
        <v>0</v>
      </c>
      <c r="N1963" s="274"/>
    </row>
    <row r="1964" spans="5:14" ht="13.5" customHeight="1">
      <c r="E1964" s="209" t="s">
        <v>363</v>
      </c>
      <c r="F1964" s="209" t="s">
        <v>2598</v>
      </c>
      <c r="G1964" s="406" t="str">
        <f t="shared" si="23"/>
        <v>11-12</v>
      </c>
      <c r="H1964" s="273" t="e">
        <f ca="1">_xludf.IFNA(VLOOKUP(Aragon!E1964,'Kilter Holds'!$P$37:$AB$662,5,0),0)</f>
        <v>#NAME?</v>
      </c>
      <c r="I1964" s="274"/>
      <c r="J1964" s="274" t="e">
        <f t="shared" ca="1" si="21"/>
        <v>#NAME?</v>
      </c>
      <c r="K1964" s="274">
        <f t="shared" si="22"/>
        <v>0</v>
      </c>
      <c r="N1964" s="274"/>
    </row>
    <row r="1965" spans="5:14" ht="13.5" customHeight="1">
      <c r="E1965" s="209" t="s">
        <v>363</v>
      </c>
      <c r="F1965" s="209" t="s">
        <v>2598</v>
      </c>
      <c r="G1965" s="408" t="str">
        <f t="shared" si="23"/>
        <v>14-01</v>
      </c>
      <c r="H1965" s="273" t="e">
        <f ca="1">_xludf.IFNA(VLOOKUP(Aragon!E1965,'Kilter Holds'!$P$37:$AB$662,6,0),0)</f>
        <v>#NAME?</v>
      </c>
      <c r="I1965" s="274"/>
      <c r="J1965" s="274" t="e">
        <f t="shared" ca="1" si="21"/>
        <v>#NAME?</v>
      </c>
      <c r="K1965" s="274">
        <f t="shared" si="22"/>
        <v>0</v>
      </c>
      <c r="N1965" s="274"/>
    </row>
    <row r="1966" spans="5:14" ht="13.5" customHeight="1">
      <c r="E1966" s="209" t="s">
        <v>363</v>
      </c>
      <c r="F1966" s="209" t="s">
        <v>2598</v>
      </c>
      <c r="G1966" s="409" t="str">
        <f t="shared" si="23"/>
        <v>15-12</v>
      </c>
      <c r="H1966" s="273" t="e">
        <f ca="1">_xludf.IFNA(VLOOKUP(Aragon!E1966,'Kilter Holds'!$P$37:$AB$662,7,0),0)</f>
        <v>#NAME?</v>
      </c>
      <c r="I1966" s="274"/>
      <c r="J1966" s="274" t="e">
        <f t="shared" ca="1" si="21"/>
        <v>#NAME?</v>
      </c>
      <c r="K1966" s="274">
        <f t="shared" si="22"/>
        <v>0</v>
      </c>
      <c r="N1966" s="274"/>
    </row>
    <row r="1967" spans="5:14" ht="13.5" customHeight="1">
      <c r="E1967" s="209" t="s">
        <v>363</v>
      </c>
      <c r="F1967" s="209" t="s">
        <v>2598</v>
      </c>
      <c r="G1967" s="410" t="str">
        <f t="shared" si="23"/>
        <v>16-16</v>
      </c>
      <c r="H1967" s="273" t="e">
        <f ca="1">_xludf.IFNA(VLOOKUP(Aragon!E1967,'Kilter Holds'!$P$37:$AB$662,8,0),0)</f>
        <v>#NAME?</v>
      </c>
      <c r="I1967" s="274"/>
      <c r="J1967" s="274" t="e">
        <f t="shared" ca="1" si="21"/>
        <v>#NAME?</v>
      </c>
      <c r="K1967" s="274">
        <f t="shared" si="22"/>
        <v>0</v>
      </c>
      <c r="N1967" s="274"/>
    </row>
    <row r="1968" spans="5:14" ht="13.5" customHeight="1">
      <c r="E1968" s="209" t="s">
        <v>363</v>
      </c>
      <c r="F1968" s="209" t="s">
        <v>2598</v>
      </c>
      <c r="G1968" s="411" t="str">
        <f t="shared" si="23"/>
        <v>13-01</v>
      </c>
      <c r="H1968" s="273" t="e">
        <f ca="1">_xludf.IFNA(VLOOKUP(Aragon!E1968,'Kilter Holds'!$P$37:$AB$662,9,0),0)</f>
        <v>#NAME?</v>
      </c>
      <c r="I1968" s="274"/>
      <c r="J1968" s="274" t="e">
        <f t="shared" ca="1" si="21"/>
        <v>#NAME?</v>
      </c>
      <c r="K1968" s="274">
        <f t="shared" si="22"/>
        <v>0</v>
      </c>
      <c r="N1968" s="274"/>
    </row>
    <row r="1969" spans="5:14" ht="13.5" customHeight="1">
      <c r="E1969" s="209" t="s">
        <v>363</v>
      </c>
      <c r="F1969" s="209" t="s">
        <v>2598</v>
      </c>
      <c r="G1969" s="413" t="str">
        <f t="shared" si="23"/>
        <v>07-13</v>
      </c>
      <c r="H1969" s="273" t="e">
        <f ca="1">_xludf.IFNA(VLOOKUP(Aragon!E1969,'Kilter Holds'!$P$37:$AB$662,10,0),0)</f>
        <v>#NAME?</v>
      </c>
      <c r="I1969" s="274"/>
      <c r="J1969" s="274" t="e">
        <f t="shared" ca="1" si="21"/>
        <v>#NAME?</v>
      </c>
      <c r="K1969" s="274">
        <f t="shared" si="22"/>
        <v>0</v>
      </c>
      <c r="N1969" s="274"/>
    </row>
    <row r="1970" spans="5:14" ht="13.5" customHeight="1">
      <c r="E1970" s="209" t="s">
        <v>363</v>
      </c>
      <c r="F1970" s="209" t="s">
        <v>2598</v>
      </c>
      <c r="G1970" s="414" t="str">
        <f t="shared" si="23"/>
        <v>11-26</v>
      </c>
      <c r="H1970" s="273" t="e">
        <f ca="1">_xludf.IFNA(VLOOKUP(Aragon!E1970,'Kilter Holds'!$P$37:$AB$662,11,0),0)</f>
        <v>#NAME?</v>
      </c>
      <c r="I1970" s="274"/>
      <c r="J1970" s="274" t="e">
        <f t="shared" ca="1" si="21"/>
        <v>#NAME?</v>
      </c>
      <c r="K1970" s="274">
        <f t="shared" si="22"/>
        <v>0</v>
      </c>
      <c r="N1970" s="274"/>
    </row>
    <row r="1971" spans="5:14" ht="13.5" customHeight="1">
      <c r="E1971" s="209" t="s">
        <v>363</v>
      </c>
      <c r="F1971" s="209" t="s">
        <v>2598</v>
      </c>
      <c r="G1971" s="415" t="str">
        <f t="shared" si="23"/>
        <v>18-01</v>
      </c>
      <c r="H1971" s="273" t="e">
        <f ca="1">_xludf.IFNA(VLOOKUP(Aragon!E1971,'Kilter Holds'!$P$37:$AB$662,12,0),0)</f>
        <v>#NAME?</v>
      </c>
      <c r="I1971" s="274"/>
      <c r="J1971" s="274" t="e">
        <f t="shared" ca="1" si="21"/>
        <v>#NAME?</v>
      </c>
      <c r="K1971" s="274">
        <f t="shared" si="22"/>
        <v>0</v>
      </c>
      <c r="N1971" s="274"/>
    </row>
    <row r="1972" spans="5:14" ht="13.5" customHeight="1">
      <c r="E1972" s="209" t="s">
        <v>363</v>
      </c>
      <c r="F1972" s="209" t="s">
        <v>2598</v>
      </c>
      <c r="G1972" s="416" t="str">
        <f t="shared" si="23"/>
        <v>Color Code</v>
      </c>
      <c r="H1972" s="273" t="e">
        <f ca="1">_xludf.IFNA(VLOOKUP(Aragon!E1972,'Kilter Holds'!$P$37:$AB$662,13,0),0)</f>
        <v>#NAME?</v>
      </c>
      <c r="I1972" s="274"/>
      <c r="J1972" s="274" t="e">
        <f t="shared" ca="1" si="21"/>
        <v>#NAME?</v>
      </c>
      <c r="K1972" s="274">
        <f t="shared" si="22"/>
        <v>0</v>
      </c>
      <c r="N1972" s="274"/>
    </row>
    <row r="1973" spans="5:14" ht="13.5" customHeight="1">
      <c r="E1973" s="209" t="s">
        <v>367</v>
      </c>
      <c r="F1973" s="209" t="s">
        <v>2599</v>
      </c>
      <c r="G1973" s="406" t="str">
        <f t="shared" si="23"/>
        <v>11-12</v>
      </c>
      <c r="H1973" s="273" t="e">
        <f ca="1">_xludf.IFNA(VLOOKUP(Aragon!E1973,'Kilter Holds'!$P$37:$AB$662,5,0),0)</f>
        <v>#NAME?</v>
      </c>
      <c r="I1973" s="274"/>
      <c r="J1973" s="274" t="e">
        <f t="shared" ca="1" si="21"/>
        <v>#NAME?</v>
      </c>
      <c r="K1973" s="274">
        <f t="shared" si="22"/>
        <v>0</v>
      </c>
      <c r="N1973" s="274"/>
    </row>
    <row r="1974" spans="5:14" ht="13.5" customHeight="1">
      <c r="E1974" s="209" t="s">
        <v>367</v>
      </c>
      <c r="F1974" s="209" t="s">
        <v>2599</v>
      </c>
      <c r="G1974" s="408" t="str">
        <f t="shared" si="23"/>
        <v>14-01</v>
      </c>
      <c r="H1974" s="273" t="e">
        <f ca="1">_xludf.IFNA(VLOOKUP(Aragon!E1974,'Kilter Holds'!$P$37:$AB$662,6,0),0)</f>
        <v>#NAME?</v>
      </c>
      <c r="I1974" s="274"/>
      <c r="J1974" s="274" t="e">
        <f t="shared" ca="1" si="21"/>
        <v>#NAME?</v>
      </c>
      <c r="K1974" s="274">
        <f t="shared" si="22"/>
        <v>0</v>
      </c>
      <c r="N1974" s="274"/>
    </row>
    <row r="1975" spans="5:14" ht="13.5" customHeight="1">
      <c r="E1975" s="209" t="s">
        <v>367</v>
      </c>
      <c r="F1975" s="209" t="s">
        <v>2599</v>
      </c>
      <c r="G1975" s="409" t="str">
        <f t="shared" si="23"/>
        <v>15-12</v>
      </c>
      <c r="H1975" s="273" t="e">
        <f ca="1">_xludf.IFNA(VLOOKUP(Aragon!E1975,'Kilter Holds'!$P$37:$AB$662,7,0),0)</f>
        <v>#NAME?</v>
      </c>
      <c r="I1975" s="274"/>
      <c r="J1975" s="274" t="e">
        <f t="shared" ca="1" si="21"/>
        <v>#NAME?</v>
      </c>
      <c r="K1975" s="274">
        <f t="shared" si="22"/>
        <v>0</v>
      </c>
      <c r="N1975" s="274"/>
    </row>
    <row r="1976" spans="5:14" ht="13.5" customHeight="1">
      <c r="E1976" s="209" t="s">
        <v>367</v>
      </c>
      <c r="F1976" s="209" t="s">
        <v>2599</v>
      </c>
      <c r="G1976" s="410" t="str">
        <f t="shared" si="23"/>
        <v>16-16</v>
      </c>
      <c r="H1976" s="273" t="e">
        <f ca="1">_xludf.IFNA(VLOOKUP(Aragon!E1976,'Kilter Holds'!$P$37:$AB$662,8,0),0)</f>
        <v>#NAME?</v>
      </c>
      <c r="I1976" s="274"/>
      <c r="J1976" s="274" t="e">
        <f t="shared" ca="1" si="21"/>
        <v>#NAME?</v>
      </c>
      <c r="K1976" s="274">
        <f t="shared" si="22"/>
        <v>0</v>
      </c>
      <c r="N1976" s="274"/>
    </row>
    <row r="1977" spans="5:14" ht="13.5" customHeight="1">
      <c r="E1977" s="209" t="s">
        <v>367</v>
      </c>
      <c r="F1977" s="209" t="s">
        <v>2599</v>
      </c>
      <c r="G1977" s="411" t="str">
        <f t="shared" si="23"/>
        <v>13-01</v>
      </c>
      <c r="H1977" s="273" t="e">
        <f ca="1">_xludf.IFNA(VLOOKUP(Aragon!E1977,'Kilter Holds'!$P$37:$AB$662,9,0),0)</f>
        <v>#NAME?</v>
      </c>
      <c r="I1977" s="274"/>
      <c r="J1977" s="274" t="e">
        <f t="shared" ca="1" si="21"/>
        <v>#NAME?</v>
      </c>
      <c r="K1977" s="274">
        <f t="shared" si="22"/>
        <v>0</v>
      </c>
      <c r="N1977" s="274"/>
    </row>
    <row r="1978" spans="5:14" ht="13.5" customHeight="1">
      <c r="E1978" s="209" t="s">
        <v>367</v>
      </c>
      <c r="F1978" s="209" t="s">
        <v>2599</v>
      </c>
      <c r="G1978" s="413" t="str">
        <f t="shared" si="23"/>
        <v>07-13</v>
      </c>
      <c r="H1978" s="273" t="e">
        <f ca="1">_xludf.IFNA(VLOOKUP(Aragon!E1978,'Kilter Holds'!$P$37:$AB$662,10,0),0)</f>
        <v>#NAME?</v>
      </c>
      <c r="I1978" s="274"/>
      <c r="J1978" s="274" t="e">
        <f t="shared" ca="1" si="21"/>
        <v>#NAME?</v>
      </c>
      <c r="K1978" s="274">
        <f t="shared" si="22"/>
        <v>0</v>
      </c>
      <c r="N1978" s="274"/>
    </row>
    <row r="1979" spans="5:14" ht="13.5" customHeight="1">
      <c r="E1979" s="209" t="s">
        <v>367</v>
      </c>
      <c r="F1979" s="209" t="s">
        <v>2599</v>
      </c>
      <c r="G1979" s="414" t="str">
        <f t="shared" si="23"/>
        <v>11-26</v>
      </c>
      <c r="H1979" s="273" t="e">
        <f ca="1">_xludf.IFNA(VLOOKUP(Aragon!E1979,'Kilter Holds'!$P$37:$AB$662,11,0),0)</f>
        <v>#NAME?</v>
      </c>
      <c r="I1979" s="274"/>
      <c r="J1979" s="274" t="e">
        <f t="shared" ca="1" si="21"/>
        <v>#NAME?</v>
      </c>
      <c r="K1979" s="274">
        <f t="shared" si="22"/>
        <v>0</v>
      </c>
      <c r="N1979" s="274"/>
    </row>
    <row r="1980" spans="5:14" ht="13.5" customHeight="1">
      <c r="E1980" s="209" t="s">
        <v>367</v>
      </c>
      <c r="F1980" s="209" t="s">
        <v>2599</v>
      </c>
      <c r="G1980" s="415" t="str">
        <f t="shared" si="23"/>
        <v>18-01</v>
      </c>
      <c r="H1980" s="273" t="e">
        <f ca="1">_xludf.IFNA(VLOOKUP(Aragon!E1980,'Kilter Holds'!$P$37:$AB$662,12,0),0)</f>
        <v>#NAME?</v>
      </c>
      <c r="I1980" s="274"/>
      <c r="J1980" s="274" t="e">
        <f t="shared" ca="1" si="21"/>
        <v>#NAME?</v>
      </c>
      <c r="K1980" s="274">
        <f t="shared" si="22"/>
        <v>0</v>
      </c>
      <c r="N1980" s="274"/>
    </row>
    <row r="1981" spans="5:14" ht="13.5" customHeight="1">
      <c r="E1981" s="209" t="s">
        <v>367</v>
      </c>
      <c r="F1981" s="209" t="s">
        <v>2599</v>
      </c>
      <c r="G1981" s="416" t="str">
        <f t="shared" si="23"/>
        <v>Color Code</v>
      </c>
      <c r="H1981" s="273" t="e">
        <f ca="1">_xludf.IFNA(VLOOKUP(Aragon!E1981,'Kilter Holds'!$P$37:$AB$662,13,0),0)</f>
        <v>#NAME?</v>
      </c>
      <c r="I1981" s="274"/>
      <c r="J1981" s="274" t="e">
        <f t="shared" ca="1" si="21"/>
        <v>#NAME?</v>
      </c>
      <c r="K1981" s="274">
        <f t="shared" si="22"/>
        <v>0</v>
      </c>
      <c r="N1981" s="274"/>
    </row>
    <row r="1982" spans="5:14" ht="13.5" customHeight="1">
      <c r="E1982" s="209" t="s">
        <v>1117</v>
      </c>
      <c r="F1982" s="209" t="s">
        <v>2600</v>
      </c>
      <c r="G1982" s="406" t="str">
        <f t="shared" si="23"/>
        <v>11-12</v>
      </c>
      <c r="H1982" s="273" t="e">
        <f ca="1">_xludf.IFNA(VLOOKUP(Aragon!E1982,'Kilter Holds'!$P$37:$AB$662,5,0),0)</f>
        <v>#NAME?</v>
      </c>
      <c r="I1982" s="274"/>
      <c r="J1982" s="274" t="e">
        <f t="shared" ca="1" si="21"/>
        <v>#NAME?</v>
      </c>
      <c r="K1982" s="274">
        <f t="shared" si="22"/>
        <v>0</v>
      </c>
      <c r="N1982" s="274"/>
    </row>
    <row r="1983" spans="5:14" ht="13.5" customHeight="1">
      <c r="E1983" s="209" t="s">
        <v>1117</v>
      </c>
      <c r="F1983" s="209" t="s">
        <v>2600</v>
      </c>
      <c r="G1983" s="408" t="str">
        <f t="shared" si="23"/>
        <v>14-01</v>
      </c>
      <c r="H1983" s="273" t="e">
        <f ca="1">_xludf.IFNA(VLOOKUP(Aragon!E1983,'Kilter Holds'!$P$37:$AB$662,6,0),0)</f>
        <v>#NAME?</v>
      </c>
      <c r="I1983" s="274"/>
      <c r="J1983" s="274" t="e">
        <f t="shared" ca="1" si="21"/>
        <v>#NAME?</v>
      </c>
      <c r="K1983" s="274">
        <f t="shared" si="22"/>
        <v>0</v>
      </c>
      <c r="N1983" s="274"/>
    </row>
    <row r="1984" spans="5:14" ht="13.5" customHeight="1">
      <c r="E1984" s="209" t="s">
        <v>1117</v>
      </c>
      <c r="F1984" s="209" t="s">
        <v>2600</v>
      </c>
      <c r="G1984" s="409" t="str">
        <f t="shared" si="23"/>
        <v>15-12</v>
      </c>
      <c r="H1984" s="273" t="e">
        <f ca="1">_xludf.IFNA(VLOOKUP(Aragon!E1984,'Kilter Holds'!$P$37:$AB$662,7,0),0)</f>
        <v>#NAME?</v>
      </c>
      <c r="I1984" s="274"/>
      <c r="J1984" s="274" t="e">
        <f t="shared" ca="1" si="21"/>
        <v>#NAME?</v>
      </c>
      <c r="K1984" s="274">
        <f t="shared" si="22"/>
        <v>0</v>
      </c>
      <c r="N1984" s="274"/>
    </row>
    <row r="1985" spans="1:14" ht="13.5" customHeight="1">
      <c r="E1985" s="209" t="s">
        <v>1117</v>
      </c>
      <c r="F1985" s="209" t="s">
        <v>2600</v>
      </c>
      <c r="G1985" s="410" t="str">
        <f t="shared" si="23"/>
        <v>16-16</v>
      </c>
      <c r="H1985" s="273" t="e">
        <f ca="1">_xludf.IFNA(VLOOKUP(Aragon!E1985,'Kilter Holds'!$P$37:$AB$662,8,0),0)</f>
        <v>#NAME?</v>
      </c>
      <c r="I1985" s="274"/>
      <c r="J1985" s="274" t="e">
        <f t="shared" ca="1" si="21"/>
        <v>#NAME?</v>
      </c>
      <c r="K1985" s="274">
        <f t="shared" si="22"/>
        <v>0</v>
      </c>
      <c r="N1985" s="274"/>
    </row>
    <row r="1986" spans="1:14" ht="13.5" customHeight="1">
      <c r="E1986" s="209" t="s">
        <v>1117</v>
      </c>
      <c r="F1986" s="209" t="s">
        <v>2600</v>
      </c>
      <c r="G1986" s="411" t="str">
        <f t="shared" si="23"/>
        <v>13-01</v>
      </c>
      <c r="H1986" s="273" t="e">
        <f ca="1">_xludf.IFNA(VLOOKUP(Aragon!E1986,'Kilter Holds'!$P$37:$AB$662,9,0),0)</f>
        <v>#NAME?</v>
      </c>
      <c r="I1986" s="274"/>
      <c r="J1986" s="274" t="e">
        <f t="shared" ca="1" si="21"/>
        <v>#NAME?</v>
      </c>
      <c r="K1986" s="274">
        <f t="shared" si="22"/>
        <v>0</v>
      </c>
      <c r="N1986" s="274"/>
    </row>
    <row r="1987" spans="1:14" ht="13.5" customHeight="1">
      <c r="E1987" s="209" t="s">
        <v>1117</v>
      </c>
      <c r="F1987" s="209" t="s">
        <v>2600</v>
      </c>
      <c r="G1987" s="413" t="str">
        <f t="shared" si="23"/>
        <v>07-13</v>
      </c>
      <c r="H1987" s="273" t="e">
        <f ca="1">_xludf.IFNA(VLOOKUP(Aragon!E1987,'Kilter Holds'!$P$37:$AB$662,10,0),0)</f>
        <v>#NAME?</v>
      </c>
      <c r="I1987" s="274"/>
      <c r="J1987" s="274" t="e">
        <f t="shared" ca="1" si="21"/>
        <v>#NAME?</v>
      </c>
      <c r="K1987" s="274">
        <f t="shared" si="22"/>
        <v>0</v>
      </c>
      <c r="N1987" s="274"/>
    </row>
    <row r="1988" spans="1:14" ht="13.5" customHeight="1">
      <c r="E1988" s="209" t="s">
        <v>1117</v>
      </c>
      <c r="F1988" s="209" t="s">
        <v>2600</v>
      </c>
      <c r="G1988" s="414" t="str">
        <f t="shared" si="23"/>
        <v>11-26</v>
      </c>
      <c r="H1988" s="273" t="e">
        <f ca="1">_xludf.IFNA(VLOOKUP(Aragon!E1988,'Kilter Holds'!$P$37:$AB$662,11,0),0)</f>
        <v>#NAME?</v>
      </c>
      <c r="I1988" s="274"/>
      <c r="J1988" s="274" t="e">
        <f t="shared" ca="1" si="21"/>
        <v>#NAME?</v>
      </c>
      <c r="K1988" s="274">
        <f t="shared" si="22"/>
        <v>0</v>
      </c>
      <c r="N1988" s="274"/>
    </row>
    <row r="1989" spans="1:14" ht="13.5" customHeight="1">
      <c r="E1989" s="209" t="s">
        <v>1117</v>
      </c>
      <c r="F1989" s="209" t="s">
        <v>2600</v>
      </c>
      <c r="G1989" s="415" t="str">
        <f t="shared" si="23"/>
        <v>18-01</v>
      </c>
      <c r="H1989" s="273" t="e">
        <f ca="1">_xludf.IFNA(VLOOKUP(Aragon!E1989,'Kilter Holds'!$P$37:$AB$662,12,0),0)</f>
        <v>#NAME?</v>
      </c>
      <c r="I1989" s="274"/>
      <c r="J1989" s="274" t="e">
        <f t="shared" ca="1" si="21"/>
        <v>#NAME?</v>
      </c>
      <c r="K1989" s="274">
        <f t="shared" si="22"/>
        <v>0</v>
      </c>
      <c r="N1989" s="274"/>
    </row>
    <row r="1990" spans="1:14" ht="13.5" customHeight="1">
      <c r="E1990" s="209" t="s">
        <v>1117</v>
      </c>
      <c r="F1990" s="209" t="s">
        <v>2600</v>
      </c>
      <c r="G1990" s="416" t="str">
        <f t="shared" si="23"/>
        <v>Color Code</v>
      </c>
      <c r="H1990" s="273" t="e">
        <f ca="1">_xludf.IFNA(VLOOKUP(Aragon!E1990,'Kilter Holds'!$P$37:$AB$662,13,0),0)</f>
        <v>#NAME?</v>
      </c>
      <c r="I1990" s="274"/>
      <c r="J1990" s="274" t="e">
        <f t="shared" ca="1" si="21"/>
        <v>#NAME?</v>
      </c>
      <c r="K1990" s="274">
        <f t="shared" si="22"/>
        <v>0</v>
      </c>
      <c r="N1990" s="274"/>
    </row>
    <row r="1991" spans="1:14" ht="13.5" customHeight="1">
      <c r="A1991" s="209" t="s">
        <v>884</v>
      </c>
      <c r="E1991" s="209" t="s">
        <v>886</v>
      </c>
      <c r="F1991" s="209" t="s">
        <v>2601</v>
      </c>
      <c r="G1991" s="406" t="str">
        <f t="shared" ref="G1991:G1999" si="24">G1973</f>
        <v>11-12</v>
      </c>
      <c r="H1991" s="273" t="e">
        <f ca="1">_xludf.IFNA(VLOOKUP(Aragon!E1991,'Kilter Holds'!$P$37:$AB$662,5,0),0)+_xludf.IFNA(VLOOKUP(Aragon!A1991,'Kilter Holds'!$P$37:$AB$662,5,0),0)</f>
        <v>#NAME?</v>
      </c>
      <c r="I1991" s="274"/>
      <c r="J1991" s="274" t="e">
        <f t="shared" ca="1" si="21"/>
        <v>#NAME?</v>
      </c>
      <c r="K1991" s="274">
        <f t="shared" si="22"/>
        <v>0</v>
      </c>
      <c r="N1991" s="274"/>
    </row>
    <row r="1992" spans="1:14" ht="13.5" customHeight="1">
      <c r="A1992" s="209" t="s">
        <v>884</v>
      </c>
      <c r="E1992" s="209" t="s">
        <v>886</v>
      </c>
      <c r="F1992" s="209" t="s">
        <v>2601</v>
      </c>
      <c r="G1992" s="408" t="str">
        <f t="shared" si="24"/>
        <v>14-01</v>
      </c>
      <c r="H1992" s="273" t="e">
        <f ca="1">_xludf.IFNA(VLOOKUP(Aragon!E1992,'Kilter Holds'!$P$37:$AB$662,6,0),0)+_xludf.IFNA(VLOOKUP(Aragon!A1992,'Kilter Holds'!$P$37:$AB$662,6,0),0)</f>
        <v>#NAME?</v>
      </c>
      <c r="I1992" s="274"/>
      <c r="J1992" s="274" t="e">
        <f t="shared" ca="1" si="21"/>
        <v>#NAME?</v>
      </c>
      <c r="K1992" s="274">
        <f t="shared" si="22"/>
        <v>0</v>
      </c>
      <c r="N1992" s="274"/>
    </row>
    <row r="1993" spans="1:14" ht="13.5" customHeight="1">
      <c r="A1993" s="209" t="s">
        <v>884</v>
      </c>
      <c r="E1993" s="209" t="s">
        <v>886</v>
      </c>
      <c r="F1993" s="209" t="s">
        <v>2601</v>
      </c>
      <c r="G1993" s="409" t="str">
        <f t="shared" si="24"/>
        <v>15-12</v>
      </c>
      <c r="H1993" s="273" t="e">
        <f ca="1">_xludf.IFNA(VLOOKUP(Aragon!E1993,'Kilter Holds'!$P$37:$AB$662,7,0),0)+_xludf.IFNA(VLOOKUP(Aragon!A1993,'Kilter Holds'!$P$37:$AB$662,7,0),0)</f>
        <v>#NAME?</v>
      </c>
      <c r="I1993" s="274"/>
      <c r="J1993" s="274" t="e">
        <f t="shared" ca="1" si="21"/>
        <v>#NAME?</v>
      </c>
      <c r="K1993" s="274">
        <f t="shared" si="22"/>
        <v>0</v>
      </c>
      <c r="N1993" s="274"/>
    </row>
    <row r="1994" spans="1:14" ht="13.5" customHeight="1">
      <c r="A1994" s="209" t="s">
        <v>884</v>
      </c>
      <c r="E1994" s="209" t="s">
        <v>886</v>
      </c>
      <c r="F1994" s="209" t="s">
        <v>2601</v>
      </c>
      <c r="G1994" s="410" t="str">
        <f t="shared" si="24"/>
        <v>16-16</v>
      </c>
      <c r="H1994" s="273" t="e">
        <f ca="1">_xludf.IFNA(VLOOKUP(Aragon!E1994,'Kilter Holds'!$P$37:$AB$662,8,0),0)+_xludf.IFNA(VLOOKUP(Aragon!A1994,'Kilter Holds'!$P$37:$AB$662,8,0),0)</f>
        <v>#NAME?</v>
      </c>
      <c r="I1994" s="274"/>
      <c r="J1994" s="274" t="e">
        <f t="shared" ca="1" si="21"/>
        <v>#NAME?</v>
      </c>
      <c r="K1994" s="274">
        <f t="shared" si="22"/>
        <v>0</v>
      </c>
      <c r="N1994" s="274"/>
    </row>
    <row r="1995" spans="1:14" ht="13.5" customHeight="1">
      <c r="A1995" s="209" t="s">
        <v>884</v>
      </c>
      <c r="E1995" s="209" t="s">
        <v>886</v>
      </c>
      <c r="F1995" s="209" t="s">
        <v>2601</v>
      </c>
      <c r="G1995" s="411" t="str">
        <f t="shared" si="24"/>
        <v>13-01</v>
      </c>
      <c r="H1995" s="273" t="e">
        <f ca="1">_xludf.IFNA(VLOOKUP(Aragon!E1995,'Kilter Holds'!$P$37:$AB$662,9,0),0)+_xludf.IFNA(VLOOKUP(Aragon!A1995,'Kilter Holds'!$P$37:$AB$662,9,0),0)</f>
        <v>#NAME?</v>
      </c>
      <c r="I1995" s="274"/>
      <c r="J1995" s="274" t="e">
        <f t="shared" ca="1" si="21"/>
        <v>#NAME?</v>
      </c>
      <c r="K1995" s="274">
        <f t="shared" si="22"/>
        <v>0</v>
      </c>
      <c r="N1995" s="274"/>
    </row>
    <row r="1996" spans="1:14" ht="13.5" customHeight="1">
      <c r="A1996" s="209" t="s">
        <v>884</v>
      </c>
      <c r="E1996" s="209" t="s">
        <v>886</v>
      </c>
      <c r="F1996" s="209" t="s">
        <v>2601</v>
      </c>
      <c r="G1996" s="413" t="str">
        <f t="shared" si="24"/>
        <v>07-13</v>
      </c>
      <c r="H1996" s="273" t="e">
        <f ca="1">_xludf.IFNA(VLOOKUP(Aragon!E1996,'Kilter Holds'!$P$37:$AB$662,10,0),0)+_xludf.IFNA(VLOOKUP(Aragon!A1996,'Kilter Holds'!$P$37:$AB$662,10,0),0)</f>
        <v>#NAME?</v>
      </c>
      <c r="I1996" s="274"/>
      <c r="J1996" s="274" t="e">
        <f t="shared" ca="1" si="21"/>
        <v>#NAME?</v>
      </c>
      <c r="K1996" s="274">
        <f t="shared" si="22"/>
        <v>0</v>
      </c>
      <c r="N1996" s="274"/>
    </row>
    <row r="1997" spans="1:14" ht="13.5" customHeight="1">
      <c r="A1997" s="209" t="s">
        <v>884</v>
      </c>
      <c r="E1997" s="209" t="s">
        <v>886</v>
      </c>
      <c r="F1997" s="209" t="s">
        <v>2601</v>
      </c>
      <c r="G1997" s="414" t="str">
        <f t="shared" si="24"/>
        <v>11-26</v>
      </c>
      <c r="H1997" s="273" t="e">
        <f ca="1">_xludf.IFNA(VLOOKUP(Aragon!E1997,'Kilter Holds'!$P$37:$AB$662,11,0),0)+_xludf.IFNA(VLOOKUP(Aragon!A1997,'Kilter Holds'!$P$37:$AB$662,11,0),0)</f>
        <v>#NAME?</v>
      </c>
      <c r="I1997" s="274"/>
      <c r="J1997" s="274" t="e">
        <f t="shared" ca="1" si="21"/>
        <v>#NAME?</v>
      </c>
      <c r="K1997" s="274">
        <f t="shared" si="22"/>
        <v>0</v>
      </c>
      <c r="N1997" s="274"/>
    </row>
    <row r="1998" spans="1:14" ht="13.5" customHeight="1">
      <c r="A1998" s="209" t="s">
        <v>884</v>
      </c>
      <c r="E1998" s="209" t="s">
        <v>886</v>
      </c>
      <c r="F1998" s="209" t="s">
        <v>2601</v>
      </c>
      <c r="G1998" s="415" t="str">
        <f t="shared" si="24"/>
        <v>18-01</v>
      </c>
      <c r="H1998" s="273" t="e">
        <f ca="1">_xludf.IFNA(VLOOKUP(Aragon!E1998,'Kilter Holds'!$P$37:$AB$662,12,0),0)+_xludf.IFNA(VLOOKUP(Aragon!A1998,'Kilter Holds'!$P$37:$AB$662,12,0),0)</f>
        <v>#NAME?</v>
      </c>
      <c r="I1998" s="274"/>
      <c r="J1998" s="274" t="e">
        <f t="shared" ca="1" si="21"/>
        <v>#NAME?</v>
      </c>
      <c r="K1998" s="274">
        <f t="shared" si="22"/>
        <v>0</v>
      </c>
      <c r="N1998" s="274"/>
    </row>
    <row r="1999" spans="1:14" ht="13.5" customHeight="1">
      <c r="A1999" s="209" t="s">
        <v>884</v>
      </c>
      <c r="E1999" s="209" t="s">
        <v>886</v>
      </c>
      <c r="F1999" s="209" t="s">
        <v>2601</v>
      </c>
      <c r="G1999" s="416" t="str">
        <f t="shared" si="24"/>
        <v>Color Code</v>
      </c>
      <c r="H1999" s="273" t="e">
        <f ca="1">_xludf.IFNA(VLOOKUP(Aragon!E1999,'Kilter Holds'!$P$37:$AB$662,13,0),0)+_xludf.IFNA(VLOOKUP(Aragon!A1999,'Kilter Holds'!$P$37:$AB$662,13,0),0)</f>
        <v>#NAME?</v>
      </c>
      <c r="I1999" s="274"/>
      <c r="J1999" s="274" t="e">
        <f t="shared" ca="1" si="21"/>
        <v>#NAME?</v>
      </c>
      <c r="K1999" s="274">
        <f t="shared" si="22"/>
        <v>0</v>
      </c>
      <c r="N1999" s="274"/>
    </row>
    <row r="2000" spans="1:14" ht="13.5" customHeight="1">
      <c r="A2000" s="209" t="s">
        <v>884</v>
      </c>
      <c r="E2000" s="209" t="s">
        <v>888</v>
      </c>
      <c r="F2000" s="209" t="s">
        <v>2602</v>
      </c>
      <c r="G2000" s="406" t="str">
        <f t="shared" ref="G2000:G2161" si="25">G1991</f>
        <v>11-12</v>
      </c>
      <c r="H2000" s="273" t="e">
        <f ca="1">_xludf.IFNA(VLOOKUP(Aragon!E2000,'Kilter Holds'!$P$37:$AB$662,5,0),0)+(2*_xludf.IFNA(VLOOKUP(Aragon!A2000,'Kilter Holds'!$P$37:$AB$662,5,0),0))</f>
        <v>#NAME?</v>
      </c>
      <c r="I2000" s="274"/>
      <c r="J2000" s="274" t="e">
        <f t="shared" ca="1" si="21"/>
        <v>#NAME?</v>
      </c>
      <c r="K2000" s="274">
        <f t="shared" si="22"/>
        <v>0</v>
      </c>
      <c r="N2000" s="274"/>
    </row>
    <row r="2001" spans="1:14" ht="13.5" customHeight="1">
      <c r="A2001" s="209" t="s">
        <v>884</v>
      </c>
      <c r="E2001" s="209" t="s">
        <v>888</v>
      </c>
      <c r="F2001" s="209" t="s">
        <v>2602</v>
      </c>
      <c r="G2001" s="408" t="str">
        <f t="shared" si="25"/>
        <v>14-01</v>
      </c>
      <c r="H2001" s="273" t="e">
        <f ca="1">_xludf.IFNA(VLOOKUP(Aragon!E2001,'Kilter Holds'!$P$37:$AB$662,6,0),0)+(2*_xludf.IFNA(VLOOKUP(Aragon!A2001,'Kilter Holds'!$P$37:$AB$662,6,0),0))</f>
        <v>#NAME?</v>
      </c>
      <c r="I2001" s="274"/>
      <c r="J2001" s="274" t="e">
        <f t="shared" ca="1" si="21"/>
        <v>#NAME?</v>
      </c>
      <c r="K2001" s="274">
        <f t="shared" si="22"/>
        <v>0</v>
      </c>
      <c r="N2001" s="274"/>
    </row>
    <row r="2002" spans="1:14" ht="13.5" customHeight="1">
      <c r="A2002" s="209" t="s">
        <v>884</v>
      </c>
      <c r="E2002" s="209" t="s">
        <v>888</v>
      </c>
      <c r="F2002" s="209" t="s">
        <v>2602</v>
      </c>
      <c r="G2002" s="409" t="str">
        <f t="shared" si="25"/>
        <v>15-12</v>
      </c>
      <c r="H2002" s="273" t="e">
        <f ca="1">_xludf.IFNA(VLOOKUP(Aragon!E2002,'Kilter Holds'!$P$37:$AB$662,7,0),0)+(2*_xludf.IFNA(VLOOKUP(Aragon!A2002,'Kilter Holds'!$P$37:$AB$662,7,0),0))</f>
        <v>#NAME?</v>
      </c>
      <c r="I2002" s="274"/>
      <c r="J2002" s="274" t="e">
        <f t="shared" ca="1" si="21"/>
        <v>#NAME?</v>
      </c>
      <c r="K2002" s="274">
        <f t="shared" si="22"/>
        <v>0</v>
      </c>
      <c r="N2002" s="274"/>
    </row>
    <row r="2003" spans="1:14" ht="13.5" customHeight="1">
      <c r="A2003" s="209" t="s">
        <v>884</v>
      </c>
      <c r="E2003" s="209" t="s">
        <v>888</v>
      </c>
      <c r="F2003" s="209" t="s">
        <v>2602</v>
      </c>
      <c r="G2003" s="410" t="str">
        <f t="shared" si="25"/>
        <v>16-16</v>
      </c>
      <c r="H2003" s="273" t="e">
        <f ca="1">_xludf.IFNA(VLOOKUP(Aragon!E2003,'Kilter Holds'!$P$37:$AB$662,8,0),0)+(2*_xludf.IFNA(VLOOKUP(Aragon!A2003,'Kilter Holds'!$P$37:$AB$662,8,0),0))</f>
        <v>#NAME?</v>
      </c>
      <c r="I2003" s="274"/>
      <c r="J2003" s="274" t="e">
        <f t="shared" ca="1" si="21"/>
        <v>#NAME?</v>
      </c>
      <c r="K2003" s="274">
        <f t="shared" si="22"/>
        <v>0</v>
      </c>
      <c r="N2003" s="274"/>
    </row>
    <row r="2004" spans="1:14" ht="13.5" customHeight="1">
      <c r="A2004" s="209" t="s">
        <v>884</v>
      </c>
      <c r="E2004" s="209" t="s">
        <v>888</v>
      </c>
      <c r="F2004" s="209" t="s">
        <v>2602</v>
      </c>
      <c r="G2004" s="411" t="str">
        <f t="shared" si="25"/>
        <v>13-01</v>
      </c>
      <c r="H2004" s="273" t="e">
        <f ca="1">_xludf.IFNA(VLOOKUP(Aragon!E2004,'Kilter Holds'!$P$37:$AB$662,9,0),0)+(2*_xludf.IFNA(VLOOKUP(Aragon!A2004,'Kilter Holds'!$P$37:$AB$662,9,0),0))</f>
        <v>#NAME?</v>
      </c>
      <c r="I2004" s="274"/>
      <c r="J2004" s="274" t="e">
        <f t="shared" ca="1" si="21"/>
        <v>#NAME?</v>
      </c>
      <c r="K2004" s="274">
        <f t="shared" si="22"/>
        <v>0</v>
      </c>
      <c r="N2004" s="274"/>
    </row>
    <row r="2005" spans="1:14" ht="13.5" customHeight="1">
      <c r="A2005" s="209" t="s">
        <v>884</v>
      </c>
      <c r="E2005" s="209" t="s">
        <v>888</v>
      </c>
      <c r="F2005" s="209" t="s">
        <v>2602</v>
      </c>
      <c r="G2005" s="413" t="str">
        <f t="shared" si="25"/>
        <v>07-13</v>
      </c>
      <c r="H2005" s="273" t="e">
        <f ca="1">_xludf.IFNA(VLOOKUP(Aragon!E2005,'Kilter Holds'!$P$37:$AB$662,10,0),0)+(2*_xludf.IFNA(VLOOKUP(Aragon!A2005,'Kilter Holds'!$P$37:$AB$662,10,0),0))</f>
        <v>#NAME?</v>
      </c>
      <c r="I2005" s="274"/>
      <c r="J2005" s="274" t="e">
        <f t="shared" ca="1" si="21"/>
        <v>#NAME?</v>
      </c>
      <c r="K2005" s="274">
        <f t="shared" si="22"/>
        <v>0</v>
      </c>
      <c r="N2005" s="274"/>
    </row>
    <row r="2006" spans="1:14" ht="13.5" customHeight="1">
      <c r="A2006" s="209" t="s">
        <v>884</v>
      </c>
      <c r="E2006" s="209" t="s">
        <v>888</v>
      </c>
      <c r="F2006" s="209" t="s">
        <v>2602</v>
      </c>
      <c r="G2006" s="414" t="str">
        <f t="shared" si="25"/>
        <v>11-26</v>
      </c>
      <c r="H2006" s="273" t="e">
        <f ca="1">_xludf.IFNA(VLOOKUP(Aragon!E2006,'Kilter Holds'!$P$37:$AB$662,11,0),0)+(2*_xludf.IFNA(VLOOKUP(Aragon!A2006,'Kilter Holds'!$P$37:$AB$662,11,0),0))</f>
        <v>#NAME?</v>
      </c>
      <c r="I2006" s="274"/>
      <c r="J2006" s="274" t="e">
        <f t="shared" ca="1" si="21"/>
        <v>#NAME?</v>
      </c>
      <c r="K2006" s="274">
        <f t="shared" si="22"/>
        <v>0</v>
      </c>
      <c r="N2006" s="274"/>
    </row>
    <row r="2007" spans="1:14" ht="13.5" customHeight="1">
      <c r="A2007" s="209" t="s">
        <v>884</v>
      </c>
      <c r="E2007" s="209" t="s">
        <v>888</v>
      </c>
      <c r="F2007" s="209" t="s">
        <v>2602</v>
      </c>
      <c r="G2007" s="415" t="str">
        <f t="shared" si="25"/>
        <v>18-01</v>
      </c>
      <c r="H2007" s="273" t="e">
        <f ca="1">_xludf.IFNA(VLOOKUP(Aragon!E2007,'Kilter Holds'!$P$37:$AB$662,12,0),0)+(2*_xludf.IFNA(VLOOKUP(Aragon!A2007,'Kilter Holds'!$P$37:$AB$662,12,0),0))</f>
        <v>#NAME?</v>
      </c>
      <c r="I2007" s="274"/>
      <c r="J2007" s="274" t="e">
        <f t="shared" ca="1" si="21"/>
        <v>#NAME?</v>
      </c>
      <c r="K2007" s="274">
        <f t="shared" si="22"/>
        <v>0</v>
      </c>
      <c r="N2007" s="274"/>
    </row>
    <row r="2008" spans="1:14" ht="13.5" customHeight="1">
      <c r="A2008" s="209" t="s">
        <v>884</v>
      </c>
      <c r="E2008" s="209" t="s">
        <v>888</v>
      </c>
      <c r="F2008" s="209" t="s">
        <v>2602</v>
      </c>
      <c r="G2008" s="416" t="str">
        <f t="shared" si="25"/>
        <v>Color Code</v>
      </c>
      <c r="H2008" s="273" t="e">
        <f ca="1">_xludf.IFNA(VLOOKUP(Aragon!E2008,'Kilter Holds'!$P$37:$AB$662,13,0),0)+(2*_xludf.IFNA(VLOOKUP(Aragon!A2008,'Kilter Holds'!$P$37:$AB$662,13,0),0))</f>
        <v>#NAME?</v>
      </c>
      <c r="I2008" s="274"/>
      <c r="J2008" s="274" t="e">
        <f t="shared" ca="1" si="21"/>
        <v>#NAME?</v>
      </c>
      <c r="K2008" s="274">
        <f t="shared" si="22"/>
        <v>0</v>
      </c>
      <c r="N2008" s="274"/>
    </row>
    <row r="2009" spans="1:14" ht="13.5" customHeight="1">
      <c r="E2009" s="209" t="s">
        <v>369</v>
      </c>
      <c r="F2009" s="209" t="s">
        <v>2603</v>
      </c>
      <c r="G2009" s="406" t="str">
        <f t="shared" si="25"/>
        <v>11-12</v>
      </c>
      <c r="H2009" s="273" t="e">
        <f ca="1">_xludf.IFNA(VLOOKUP(Aragon!E2009,'Kilter Holds'!$P$37:$AB$662,5,0),0)+(2*_xludf.IFNA(VLOOKUP(Aragon!A2009,'Kilter Holds'!$P$37:$AB$662,5,0),0))</f>
        <v>#NAME?</v>
      </c>
      <c r="I2009" s="274"/>
      <c r="J2009" s="274" t="e">
        <f t="shared" ca="1" si="21"/>
        <v>#NAME?</v>
      </c>
      <c r="K2009" s="274">
        <f t="shared" si="22"/>
        <v>0</v>
      </c>
      <c r="N2009" s="274"/>
    </row>
    <row r="2010" spans="1:14" ht="13.5" customHeight="1">
      <c r="E2010" s="209" t="s">
        <v>369</v>
      </c>
      <c r="F2010" s="209" t="s">
        <v>2603</v>
      </c>
      <c r="G2010" s="408" t="str">
        <f t="shared" si="25"/>
        <v>14-01</v>
      </c>
      <c r="H2010" s="273" t="e">
        <f ca="1">_xludf.IFNA(VLOOKUP(Aragon!E2010,'Kilter Holds'!$P$37:$AB$662,6,0),0)+(2*_xludf.IFNA(VLOOKUP(Aragon!A2010,'Kilter Holds'!$P$37:$AB$662,6,0),0))</f>
        <v>#NAME?</v>
      </c>
      <c r="I2010" s="274"/>
      <c r="J2010" s="274" t="e">
        <f t="shared" ca="1" si="21"/>
        <v>#NAME?</v>
      </c>
      <c r="K2010" s="274">
        <f t="shared" si="22"/>
        <v>0</v>
      </c>
      <c r="N2010" s="274"/>
    </row>
    <row r="2011" spans="1:14" ht="13.5" customHeight="1">
      <c r="E2011" s="209" t="s">
        <v>369</v>
      </c>
      <c r="F2011" s="209" t="s">
        <v>2603</v>
      </c>
      <c r="G2011" s="409" t="str">
        <f t="shared" si="25"/>
        <v>15-12</v>
      </c>
      <c r="H2011" s="273" t="e">
        <f ca="1">_xludf.IFNA(VLOOKUP(Aragon!E2011,'Kilter Holds'!$P$37:$AB$662,7,0),0)+(2*_xludf.IFNA(VLOOKUP(Aragon!A2011,'Kilter Holds'!$P$37:$AB$662,7,0),0))</f>
        <v>#NAME?</v>
      </c>
      <c r="I2011" s="274"/>
      <c r="J2011" s="274" t="e">
        <f t="shared" ca="1" si="21"/>
        <v>#NAME?</v>
      </c>
      <c r="K2011" s="274">
        <f t="shared" si="22"/>
        <v>0</v>
      </c>
      <c r="N2011" s="274"/>
    </row>
    <row r="2012" spans="1:14" ht="13.5" customHeight="1">
      <c r="E2012" s="209" t="s">
        <v>369</v>
      </c>
      <c r="F2012" s="209" t="s">
        <v>2603</v>
      </c>
      <c r="G2012" s="410" t="str">
        <f t="shared" si="25"/>
        <v>16-16</v>
      </c>
      <c r="H2012" s="273" t="e">
        <f ca="1">_xludf.IFNA(VLOOKUP(Aragon!E2012,'Kilter Holds'!$P$37:$AB$662,8,0),0)+(2*_xludf.IFNA(VLOOKUP(Aragon!A2012,'Kilter Holds'!$P$37:$AB$662,8,0),0))</f>
        <v>#NAME?</v>
      </c>
      <c r="I2012" s="274"/>
      <c r="J2012" s="274" t="e">
        <f t="shared" ca="1" si="21"/>
        <v>#NAME?</v>
      </c>
      <c r="K2012" s="274">
        <f t="shared" si="22"/>
        <v>0</v>
      </c>
      <c r="N2012" s="274"/>
    </row>
    <row r="2013" spans="1:14" ht="13.5" customHeight="1">
      <c r="E2013" s="209" t="s">
        <v>369</v>
      </c>
      <c r="F2013" s="209" t="s">
        <v>2603</v>
      </c>
      <c r="G2013" s="411" t="str">
        <f t="shared" si="25"/>
        <v>13-01</v>
      </c>
      <c r="H2013" s="273" t="e">
        <f ca="1">_xludf.IFNA(VLOOKUP(Aragon!E2013,'Kilter Holds'!$P$37:$AB$662,9,0),0)+(2*_xludf.IFNA(VLOOKUP(Aragon!A2013,'Kilter Holds'!$P$37:$AB$662,9,0),0))</f>
        <v>#NAME?</v>
      </c>
      <c r="I2013" s="274"/>
      <c r="J2013" s="274" t="e">
        <f t="shared" ca="1" si="21"/>
        <v>#NAME?</v>
      </c>
      <c r="K2013" s="274">
        <f t="shared" si="22"/>
        <v>0</v>
      </c>
      <c r="N2013" s="274"/>
    </row>
    <row r="2014" spans="1:14" ht="13.5" customHeight="1">
      <c r="E2014" s="209" t="s">
        <v>369</v>
      </c>
      <c r="F2014" s="209" t="s">
        <v>2603</v>
      </c>
      <c r="G2014" s="413" t="str">
        <f t="shared" si="25"/>
        <v>07-13</v>
      </c>
      <c r="H2014" s="273" t="e">
        <f ca="1">_xludf.IFNA(VLOOKUP(Aragon!E2014,'Kilter Holds'!$P$37:$AB$662,10,0),0)+(2*_xludf.IFNA(VLOOKUP(Aragon!A2014,'Kilter Holds'!$P$37:$AB$662,10,0),0))</f>
        <v>#NAME?</v>
      </c>
      <c r="I2014" s="274"/>
      <c r="J2014" s="274" t="e">
        <f t="shared" ca="1" si="21"/>
        <v>#NAME?</v>
      </c>
      <c r="K2014" s="274">
        <f t="shared" si="22"/>
        <v>0</v>
      </c>
      <c r="N2014" s="274"/>
    </row>
    <row r="2015" spans="1:14" ht="13.5" customHeight="1">
      <c r="E2015" s="209" t="s">
        <v>369</v>
      </c>
      <c r="F2015" s="209" t="s">
        <v>2603</v>
      </c>
      <c r="G2015" s="414" t="str">
        <f t="shared" si="25"/>
        <v>11-26</v>
      </c>
      <c r="H2015" s="273" t="e">
        <f ca="1">_xludf.IFNA(VLOOKUP(Aragon!E2015,'Kilter Holds'!$P$37:$AB$662,11,0),0)+(2*_xludf.IFNA(VLOOKUP(Aragon!A2015,'Kilter Holds'!$P$37:$AB$662,11,0),0))</f>
        <v>#NAME?</v>
      </c>
      <c r="I2015" s="274"/>
      <c r="J2015" s="274" t="e">
        <f t="shared" ca="1" si="21"/>
        <v>#NAME?</v>
      </c>
      <c r="K2015" s="274">
        <f t="shared" si="22"/>
        <v>0</v>
      </c>
      <c r="N2015" s="274"/>
    </row>
    <row r="2016" spans="1:14" ht="13.5" customHeight="1">
      <c r="E2016" s="209" t="s">
        <v>369</v>
      </c>
      <c r="F2016" s="209" t="s">
        <v>2603</v>
      </c>
      <c r="G2016" s="415" t="str">
        <f t="shared" si="25"/>
        <v>18-01</v>
      </c>
      <c r="H2016" s="273" t="e">
        <f ca="1">_xludf.IFNA(VLOOKUP(Aragon!E2016,'Kilter Holds'!$P$37:$AB$662,12,0),0)+(2*_xludf.IFNA(VLOOKUP(Aragon!A2016,'Kilter Holds'!$P$37:$AB$662,12,0),0))</f>
        <v>#NAME?</v>
      </c>
      <c r="I2016" s="274"/>
      <c r="J2016" s="274" t="e">
        <f t="shared" ca="1" si="21"/>
        <v>#NAME?</v>
      </c>
      <c r="K2016" s="274">
        <f t="shared" si="22"/>
        <v>0</v>
      </c>
      <c r="N2016" s="274"/>
    </row>
    <row r="2017" spans="5:14" ht="13.5" customHeight="1">
      <c r="E2017" s="209" t="s">
        <v>369</v>
      </c>
      <c r="F2017" s="209" t="s">
        <v>2603</v>
      </c>
      <c r="G2017" s="416" t="str">
        <f t="shared" si="25"/>
        <v>Color Code</v>
      </c>
      <c r="H2017" s="273" t="e">
        <f ca="1">_xludf.IFNA(VLOOKUP(Aragon!E2017,'Kilter Holds'!$P$37:$AB$662,13,0),0)+(2*_xludf.IFNA(VLOOKUP(Aragon!A2017,'Kilter Holds'!$P$37:$AB$662,13,0),0))</f>
        <v>#NAME?</v>
      </c>
      <c r="I2017" s="274"/>
      <c r="J2017" s="274" t="e">
        <f t="shared" ca="1" si="21"/>
        <v>#NAME?</v>
      </c>
      <c r="K2017" s="274">
        <f t="shared" si="22"/>
        <v>0</v>
      </c>
      <c r="N2017" s="274"/>
    </row>
    <row r="2018" spans="5:14" ht="13.5" customHeight="1">
      <c r="E2018" s="209" t="s">
        <v>245</v>
      </c>
      <c r="F2018" s="209" t="s">
        <v>2604</v>
      </c>
      <c r="G2018" s="406" t="str">
        <f t="shared" si="25"/>
        <v>11-12</v>
      </c>
      <c r="H2018" s="273" t="e">
        <f ca="1">_xludf.IFNA(VLOOKUP(Aragon!E2018,'Kilter Holds'!$P$37:$AB$662,5,0),0)+(2*_xludf.IFNA(VLOOKUP(Aragon!A2018,'Kilter Holds'!$P$37:$AB$662,5,0),0))</f>
        <v>#NAME?</v>
      </c>
      <c r="I2018" s="274"/>
      <c r="J2018" s="274" t="e">
        <f t="shared" ca="1" si="21"/>
        <v>#NAME?</v>
      </c>
      <c r="K2018" s="274">
        <f t="shared" si="22"/>
        <v>0</v>
      </c>
      <c r="N2018" s="274"/>
    </row>
    <row r="2019" spans="5:14" ht="13.5" customHeight="1">
      <c r="E2019" s="209" t="s">
        <v>245</v>
      </c>
      <c r="F2019" s="209" t="s">
        <v>2604</v>
      </c>
      <c r="G2019" s="408" t="str">
        <f t="shared" si="25"/>
        <v>14-01</v>
      </c>
      <c r="H2019" s="273" t="e">
        <f ca="1">_xludf.IFNA(VLOOKUP(Aragon!E2019,'Kilter Holds'!$P$37:$AB$662,6,0),0)+(2*_xludf.IFNA(VLOOKUP(Aragon!A2019,'Kilter Holds'!$P$37:$AB$662,6,0),0))</f>
        <v>#NAME?</v>
      </c>
      <c r="I2019" s="274"/>
      <c r="J2019" s="274" t="e">
        <f t="shared" ca="1" si="21"/>
        <v>#NAME?</v>
      </c>
      <c r="K2019" s="274">
        <f t="shared" si="22"/>
        <v>0</v>
      </c>
      <c r="N2019" s="274"/>
    </row>
    <row r="2020" spans="5:14" ht="13.5" customHeight="1">
      <c r="E2020" s="209" t="s">
        <v>245</v>
      </c>
      <c r="F2020" s="209" t="s">
        <v>2604</v>
      </c>
      <c r="G2020" s="409" t="str">
        <f t="shared" si="25"/>
        <v>15-12</v>
      </c>
      <c r="H2020" s="273" t="e">
        <f ca="1">_xludf.IFNA(VLOOKUP(Aragon!E2020,'Kilter Holds'!$P$37:$AB$662,7,0),0)+(2*_xludf.IFNA(VLOOKUP(Aragon!A2020,'Kilter Holds'!$P$37:$AB$662,7,0),0))</f>
        <v>#NAME?</v>
      </c>
      <c r="I2020" s="274"/>
      <c r="J2020" s="274" t="e">
        <f t="shared" ca="1" si="21"/>
        <v>#NAME?</v>
      </c>
      <c r="K2020" s="274">
        <f t="shared" si="22"/>
        <v>0</v>
      </c>
      <c r="N2020" s="274"/>
    </row>
    <row r="2021" spans="5:14" ht="13.5" customHeight="1">
      <c r="E2021" s="209" t="s">
        <v>245</v>
      </c>
      <c r="F2021" s="209" t="s">
        <v>2604</v>
      </c>
      <c r="G2021" s="410" t="str">
        <f t="shared" si="25"/>
        <v>16-16</v>
      </c>
      <c r="H2021" s="273" t="e">
        <f ca="1">_xludf.IFNA(VLOOKUP(Aragon!E2021,'Kilter Holds'!$P$37:$AB$662,8,0),0)+(2*_xludf.IFNA(VLOOKUP(Aragon!A2021,'Kilter Holds'!$P$37:$AB$662,8,0),0))</f>
        <v>#NAME?</v>
      </c>
      <c r="I2021" s="274"/>
      <c r="J2021" s="274" t="e">
        <f t="shared" ca="1" si="21"/>
        <v>#NAME?</v>
      </c>
      <c r="K2021" s="274">
        <f t="shared" si="22"/>
        <v>0</v>
      </c>
      <c r="N2021" s="274"/>
    </row>
    <row r="2022" spans="5:14" ht="13.5" customHeight="1">
      <c r="E2022" s="209" t="s">
        <v>245</v>
      </c>
      <c r="F2022" s="209" t="s">
        <v>2604</v>
      </c>
      <c r="G2022" s="411" t="str">
        <f t="shared" si="25"/>
        <v>13-01</v>
      </c>
      <c r="H2022" s="273" t="e">
        <f ca="1">_xludf.IFNA(VLOOKUP(Aragon!E2022,'Kilter Holds'!$P$37:$AB$662,9,0),0)+(2*_xludf.IFNA(VLOOKUP(Aragon!A2022,'Kilter Holds'!$P$37:$AB$662,9,0),0))</f>
        <v>#NAME?</v>
      </c>
      <c r="I2022" s="274"/>
      <c r="J2022" s="274" t="e">
        <f t="shared" ca="1" si="21"/>
        <v>#NAME?</v>
      </c>
      <c r="K2022" s="274">
        <f t="shared" si="22"/>
        <v>0</v>
      </c>
      <c r="N2022" s="274"/>
    </row>
    <row r="2023" spans="5:14" ht="13.5" customHeight="1">
      <c r="E2023" s="209" t="s">
        <v>245</v>
      </c>
      <c r="F2023" s="209" t="s">
        <v>2604</v>
      </c>
      <c r="G2023" s="413" t="str">
        <f t="shared" si="25"/>
        <v>07-13</v>
      </c>
      <c r="H2023" s="273" t="e">
        <f ca="1">_xludf.IFNA(VLOOKUP(Aragon!E2023,'Kilter Holds'!$P$37:$AB$662,10,0),0)+(2*_xludf.IFNA(VLOOKUP(Aragon!A2023,'Kilter Holds'!$P$37:$AB$662,10,0),0))</f>
        <v>#NAME?</v>
      </c>
      <c r="I2023" s="274"/>
      <c r="J2023" s="274" t="e">
        <f t="shared" ca="1" si="21"/>
        <v>#NAME?</v>
      </c>
      <c r="K2023" s="274">
        <f t="shared" si="22"/>
        <v>0</v>
      </c>
      <c r="N2023" s="274"/>
    </row>
    <row r="2024" spans="5:14" ht="13.5" customHeight="1">
      <c r="E2024" s="209" t="s">
        <v>245</v>
      </c>
      <c r="F2024" s="209" t="s">
        <v>2604</v>
      </c>
      <c r="G2024" s="414" t="str">
        <f t="shared" si="25"/>
        <v>11-26</v>
      </c>
      <c r="H2024" s="273" t="e">
        <f ca="1">_xludf.IFNA(VLOOKUP(Aragon!E2024,'Kilter Holds'!$P$37:$AB$662,11,0),0)+(2*_xludf.IFNA(VLOOKUP(Aragon!A2024,'Kilter Holds'!$P$37:$AB$662,11,0),0))</f>
        <v>#NAME?</v>
      </c>
      <c r="I2024" s="274"/>
      <c r="J2024" s="274" t="e">
        <f t="shared" ca="1" si="21"/>
        <v>#NAME?</v>
      </c>
      <c r="K2024" s="274">
        <f t="shared" si="22"/>
        <v>0</v>
      </c>
      <c r="N2024" s="274"/>
    </row>
    <row r="2025" spans="5:14" ht="13.5" customHeight="1">
      <c r="E2025" s="209" t="s">
        <v>245</v>
      </c>
      <c r="F2025" s="209" t="s">
        <v>2604</v>
      </c>
      <c r="G2025" s="415" t="str">
        <f t="shared" si="25"/>
        <v>18-01</v>
      </c>
      <c r="H2025" s="273" t="e">
        <f ca="1">_xludf.IFNA(VLOOKUP(Aragon!E2025,'Kilter Holds'!$P$37:$AB$662,12,0),0)+(2*_xludf.IFNA(VLOOKUP(Aragon!A2025,'Kilter Holds'!$P$37:$AB$662,12,0),0))</f>
        <v>#NAME?</v>
      </c>
      <c r="I2025" s="274"/>
      <c r="J2025" s="274" t="e">
        <f t="shared" ca="1" si="21"/>
        <v>#NAME?</v>
      </c>
      <c r="K2025" s="274">
        <f t="shared" si="22"/>
        <v>0</v>
      </c>
      <c r="N2025" s="274"/>
    </row>
    <row r="2026" spans="5:14" ht="13.5" customHeight="1">
      <c r="E2026" s="209" t="s">
        <v>245</v>
      </c>
      <c r="F2026" s="209" t="s">
        <v>2604</v>
      </c>
      <c r="G2026" s="416" t="str">
        <f t="shared" si="25"/>
        <v>Color Code</v>
      </c>
      <c r="H2026" s="273" t="e">
        <f ca="1">_xludf.IFNA(VLOOKUP(Aragon!E2026,'Kilter Holds'!$P$37:$AB$662,13,0),0)+(2*_xludf.IFNA(VLOOKUP(Aragon!A2026,'Kilter Holds'!$P$37:$AB$662,13,0),0))</f>
        <v>#NAME?</v>
      </c>
      <c r="I2026" s="274"/>
      <c r="J2026" s="274" t="e">
        <f t="shared" ca="1" si="21"/>
        <v>#NAME?</v>
      </c>
      <c r="K2026" s="274">
        <f t="shared" si="22"/>
        <v>0</v>
      </c>
      <c r="N2026" s="274"/>
    </row>
    <row r="2027" spans="5:14" ht="13.5" customHeight="1">
      <c r="E2027" s="209" t="s">
        <v>179</v>
      </c>
      <c r="F2027" s="209" t="s">
        <v>2605</v>
      </c>
      <c r="G2027" s="406" t="str">
        <f t="shared" si="25"/>
        <v>11-12</v>
      </c>
      <c r="H2027" s="273" t="e">
        <f ca="1">_xludf.IFNA(VLOOKUP(Aragon!E2027,'Kilter Holds'!$P$37:$AB$662,5,0),0)+(2*_xludf.IFNA(VLOOKUP(Aragon!A2027,'Kilter Holds'!$P$37:$AB$662,5,0),0))</f>
        <v>#NAME?</v>
      </c>
      <c r="I2027" s="274"/>
      <c r="J2027" s="274" t="e">
        <f t="shared" ca="1" si="21"/>
        <v>#NAME?</v>
      </c>
      <c r="K2027" s="274">
        <f t="shared" si="22"/>
        <v>0</v>
      </c>
      <c r="N2027" s="274"/>
    </row>
    <row r="2028" spans="5:14" ht="13.5" customHeight="1">
      <c r="E2028" s="209" t="s">
        <v>179</v>
      </c>
      <c r="F2028" s="209" t="s">
        <v>2605</v>
      </c>
      <c r="G2028" s="408" t="str">
        <f t="shared" si="25"/>
        <v>14-01</v>
      </c>
      <c r="H2028" s="273" t="e">
        <f ca="1">_xludf.IFNA(VLOOKUP(Aragon!E2028,'Kilter Holds'!$P$37:$AB$662,6,0),0)+(2*_xludf.IFNA(VLOOKUP(Aragon!A2028,'Kilter Holds'!$P$37:$AB$662,6,0),0))</f>
        <v>#NAME?</v>
      </c>
      <c r="I2028" s="274"/>
      <c r="J2028" s="274" t="e">
        <f t="shared" ca="1" si="21"/>
        <v>#NAME?</v>
      </c>
      <c r="K2028" s="274">
        <f t="shared" si="22"/>
        <v>0</v>
      </c>
      <c r="N2028" s="274"/>
    </row>
    <row r="2029" spans="5:14" ht="13.5" customHeight="1">
      <c r="E2029" s="209" t="s">
        <v>179</v>
      </c>
      <c r="F2029" s="209" t="s">
        <v>2605</v>
      </c>
      <c r="G2029" s="409" t="str">
        <f t="shared" si="25"/>
        <v>15-12</v>
      </c>
      <c r="H2029" s="273" t="e">
        <f ca="1">_xludf.IFNA(VLOOKUP(Aragon!E2029,'Kilter Holds'!$P$37:$AB$662,7,0),0)+(2*_xludf.IFNA(VLOOKUP(Aragon!A2029,'Kilter Holds'!$P$37:$AB$662,7,0),0))</f>
        <v>#NAME?</v>
      </c>
      <c r="I2029" s="274"/>
      <c r="J2029" s="274" t="e">
        <f t="shared" ca="1" si="21"/>
        <v>#NAME?</v>
      </c>
      <c r="K2029" s="274">
        <f t="shared" si="22"/>
        <v>0</v>
      </c>
      <c r="N2029" s="274"/>
    </row>
    <row r="2030" spans="5:14" ht="13.5" customHeight="1">
      <c r="E2030" s="209" t="s">
        <v>179</v>
      </c>
      <c r="F2030" s="209" t="s">
        <v>2605</v>
      </c>
      <c r="G2030" s="410" t="str">
        <f t="shared" si="25"/>
        <v>16-16</v>
      </c>
      <c r="H2030" s="273" t="e">
        <f ca="1">_xludf.IFNA(VLOOKUP(Aragon!E2030,'Kilter Holds'!$P$37:$AB$662,8,0),0)+(2*_xludf.IFNA(VLOOKUP(Aragon!A2030,'Kilter Holds'!$P$37:$AB$662,8,0),0))</f>
        <v>#NAME?</v>
      </c>
      <c r="I2030" s="274"/>
      <c r="J2030" s="274" t="e">
        <f t="shared" ca="1" si="21"/>
        <v>#NAME?</v>
      </c>
      <c r="K2030" s="274">
        <f t="shared" si="22"/>
        <v>0</v>
      </c>
      <c r="N2030" s="274"/>
    </row>
    <row r="2031" spans="5:14" ht="13.5" customHeight="1">
      <c r="E2031" s="209" t="s">
        <v>179</v>
      </c>
      <c r="F2031" s="209" t="s">
        <v>2605</v>
      </c>
      <c r="G2031" s="411" t="str">
        <f t="shared" si="25"/>
        <v>13-01</v>
      </c>
      <c r="H2031" s="273" t="e">
        <f ca="1">_xludf.IFNA(VLOOKUP(Aragon!E2031,'Kilter Holds'!$P$37:$AB$662,9,0),0)+(2*_xludf.IFNA(VLOOKUP(Aragon!A2031,'Kilter Holds'!$P$37:$AB$662,9,0),0))</f>
        <v>#NAME?</v>
      </c>
      <c r="I2031" s="274"/>
      <c r="J2031" s="274" t="e">
        <f t="shared" ca="1" si="21"/>
        <v>#NAME?</v>
      </c>
      <c r="K2031" s="274">
        <f t="shared" si="22"/>
        <v>0</v>
      </c>
      <c r="N2031" s="274"/>
    </row>
    <row r="2032" spans="5:14" ht="13.5" customHeight="1">
      <c r="E2032" s="209" t="s">
        <v>179</v>
      </c>
      <c r="F2032" s="209" t="s">
        <v>2605</v>
      </c>
      <c r="G2032" s="413" t="str">
        <f t="shared" si="25"/>
        <v>07-13</v>
      </c>
      <c r="H2032" s="273" t="e">
        <f ca="1">_xludf.IFNA(VLOOKUP(Aragon!E2032,'Kilter Holds'!$P$37:$AB$662,10,0),0)+(2*_xludf.IFNA(VLOOKUP(Aragon!A2032,'Kilter Holds'!$P$37:$AB$662,10,0),0))</f>
        <v>#NAME?</v>
      </c>
      <c r="I2032" s="274"/>
      <c r="J2032" s="274" t="e">
        <f t="shared" ca="1" si="21"/>
        <v>#NAME?</v>
      </c>
      <c r="K2032" s="274">
        <f t="shared" si="22"/>
        <v>0</v>
      </c>
      <c r="N2032" s="274"/>
    </row>
    <row r="2033" spans="5:14" ht="13.5" customHeight="1">
      <c r="E2033" s="209" t="s">
        <v>179</v>
      </c>
      <c r="F2033" s="209" t="s">
        <v>2605</v>
      </c>
      <c r="G2033" s="414" t="str">
        <f t="shared" si="25"/>
        <v>11-26</v>
      </c>
      <c r="H2033" s="273" t="e">
        <f ca="1">_xludf.IFNA(VLOOKUP(Aragon!E2033,'Kilter Holds'!$P$37:$AB$662,11,0),0)+(2*_xludf.IFNA(VLOOKUP(Aragon!A2033,'Kilter Holds'!$P$37:$AB$662,11,0),0))</f>
        <v>#NAME?</v>
      </c>
      <c r="I2033" s="274"/>
      <c r="J2033" s="274" t="e">
        <f t="shared" ca="1" si="21"/>
        <v>#NAME?</v>
      </c>
      <c r="K2033" s="274">
        <f t="shared" si="22"/>
        <v>0</v>
      </c>
      <c r="N2033" s="274"/>
    </row>
    <row r="2034" spans="5:14" ht="13.5" customHeight="1">
      <c r="E2034" s="209" t="s">
        <v>179</v>
      </c>
      <c r="F2034" s="209" t="s">
        <v>2605</v>
      </c>
      <c r="G2034" s="415" t="str">
        <f t="shared" si="25"/>
        <v>18-01</v>
      </c>
      <c r="H2034" s="273" t="e">
        <f ca="1">_xludf.IFNA(VLOOKUP(Aragon!E2034,'Kilter Holds'!$P$37:$AB$662,12,0),0)+(2*_xludf.IFNA(VLOOKUP(Aragon!A2034,'Kilter Holds'!$P$37:$AB$662,12,0),0))</f>
        <v>#NAME?</v>
      </c>
      <c r="I2034" s="274"/>
      <c r="J2034" s="274" t="e">
        <f t="shared" ca="1" si="21"/>
        <v>#NAME?</v>
      </c>
      <c r="K2034" s="274">
        <f t="shared" si="22"/>
        <v>0</v>
      </c>
      <c r="N2034" s="274"/>
    </row>
    <row r="2035" spans="5:14" ht="13.5" customHeight="1">
      <c r="E2035" s="209" t="s">
        <v>179</v>
      </c>
      <c r="F2035" s="209" t="s">
        <v>2605</v>
      </c>
      <c r="G2035" s="416" t="str">
        <f t="shared" si="25"/>
        <v>Color Code</v>
      </c>
      <c r="H2035" s="273" t="e">
        <f ca="1">_xludf.IFNA(VLOOKUP(Aragon!E2035,'Kilter Holds'!$P$37:$AB$662,13,0),0)+(2*_xludf.IFNA(VLOOKUP(Aragon!A2035,'Kilter Holds'!$P$37:$AB$662,13,0),0))</f>
        <v>#NAME?</v>
      </c>
      <c r="I2035" s="274"/>
      <c r="J2035" s="274" t="e">
        <f t="shared" ca="1" si="21"/>
        <v>#NAME?</v>
      </c>
      <c r="K2035" s="274">
        <f t="shared" si="22"/>
        <v>0</v>
      </c>
      <c r="N2035" s="274"/>
    </row>
    <row r="2036" spans="5:14" ht="13.5" customHeight="1">
      <c r="E2036" s="209" t="s">
        <v>209</v>
      </c>
      <c r="F2036" s="209" t="s">
        <v>2606</v>
      </c>
      <c r="G2036" s="406" t="str">
        <f t="shared" si="25"/>
        <v>11-12</v>
      </c>
      <c r="H2036" s="273" t="e">
        <f ca="1">_xludf.IFNA(VLOOKUP(Aragon!E2036,'Kilter Holds'!$P$37:$AB$662,5,0),0)+(2*_xludf.IFNA(VLOOKUP(Aragon!A2036,'Kilter Holds'!$P$37:$AB$662,5,0),0))</f>
        <v>#NAME?</v>
      </c>
      <c r="I2036" s="274"/>
      <c r="J2036" s="274" t="e">
        <f t="shared" ca="1" si="21"/>
        <v>#NAME?</v>
      </c>
      <c r="K2036" s="274">
        <f t="shared" si="22"/>
        <v>0</v>
      </c>
      <c r="N2036" s="274"/>
    </row>
    <row r="2037" spans="5:14" ht="13.5" customHeight="1">
      <c r="E2037" s="209" t="s">
        <v>209</v>
      </c>
      <c r="F2037" s="209" t="s">
        <v>2606</v>
      </c>
      <c r="G2037" s="408" t="str">
        <f t="shared" si="25"/>
        <v>14-01</v>
      </c>
      <c r="H2037" s="273" t="e">
        <f ca="1">_xludf.IFNA(VLOOKUP(Aragon!E2037,'Kilter Holds'!$P$37:$AB$662,6,0),0)+(2*_xludf.IFNA(VLOOKUP(Aragon!A2037,'Kilter Holds'!$P$37:$AB$662,6,0),0))</f>
        <v>#NAME?</v>
      </c>
      <c r="I2037" s="274"/>
      <c r="J2037" s="274" t="e">
        <f t="shared" ca="1" si="21"/>
        <v>#NAME?</v>
      </c>
      <c r="K2037" s="274">
        <f t="shared" si="22"/>
        <v>0</v>
      </c>
      <c r="N2037" s="274"/>
    </row>
    <row r="2038" spans="5:14" ht="13.5" customHeight="1">
      <c r="E2038" s="209" t="s">
        <v>209</v>
      </c>
      <c r="F2038" s="209" t="s">
        <v>2606</v>
      </c>
      <c r="G2038" s="409" t="str">
        <f t="shared" si="25"/>
        <v>15-12</v>
      </c>
      <c r="H2038" s="273" t="e">
        <f ca="1">_xludf.IFNA(VLOOKUP(Aragon!E2038,'Kilter Holds'!$P$37:$AB$662,7,0),0)+(2*_xludf.IFNA(VLOOKUP(Aragon!A2038,'Kilter Holds'!$P$37:$AB$662,7,0),0))</f>
        <v>#NAME?</v>
      </c>
      <c r="I2038" s="274"/>
      <c r="J2038" s="274" t="e">
        <f t="shared" ca="1" si="21"/>
        <v>#NAME?</v>
      </c>
      <c r="K2038" s="274">
        <f t="shared" si="22"/>
        <v>0</v>
      </c>
      <c r="N2038" s="274"/>
    </row>
    <row r="2039" spans="5:14" ht="13.5" customHeight="1">
      <c r="E2039" s="209" t="s">
        <v>209</v>
      </c>
      <c r="F2039" s="209" t="s">
        <v>2606</v>
      </c>
      <c r="G2039" s="410" t="str">
        <f t="shared" si="25"/>
        <v>16-16</v>
      </c>
      <c r="H2039" s="273" t="e">
        <f ca="1">_xludf.IFNA(VLOOKUP(Aragon!E2039,'Kilter Holds'!$P$37:$AB$662,8,0),0)+(2*_xludf.IFNA(VLOOKUP(Aragon!A2039,'Kilter Holds'!$P$37:$AB$662,8,0),0))</f>
        <v>#NAME?</v>
      </c>
      <c r="I2039" s="274"/>
      <c r="J2039" s="274" t="e">
        <f t="shared" ca="1" si="21"/>
        <v>#NAME?</v>
      </c>
      <c r="K2039" s="274">
        <f t="shared" si="22"/>
        <v>0</v>
      </c>
      <c r="N2039" s="274"/>
    </row>
    <row r="2040" spans="5:14" ht="13.5" customHeight="1">
      <c r="E2040" s="209" t="s">
        <v>209</v>
      </c>
      <c r="F2040" s="209" t="s">
        <v>2606</v>
      </c>
      <c r="G2040" s="411" t="str">
        <f t="shared" si="25"/>
        <v>13-01</v>
      </c>
      <c r="H2040" s="273" t="e">
        <f ca="1">_xludf.IFNA(VLOOKUP(Aragon!E2040,'Kilter Holds'!$P$37:$AB$662,9,0),0)+(2*_xludf.IFNA(VLOOKUP(Aragon!A2040,'Kilter Holds'!$P$37:$AB$662,9,0),0))</f>
        <v>#NAME?</v>
      </c>
      <c r="I2040" s="274"/>
      <c r="J2040" s="274" t="e">
        <f t="shared" ca="1" si="21"/>
        <v>#NAME?</v>
      </c>
      <c r="K2040" s="274">
        <f t="shared" si="22"/>
        <v>0</v>
      </c>
      <c r="N2040" s="274"/>
    </row>
    <row r="2041" spans="5:14" ht="13.5" customHeight="1">
      <c r="E2041" s="209" t="s">
        <v>209</v>
      </c>
      <c r="F2041" s="209" t="s">
        <v>2606</v>
      </c>
      <c r="G2041" s="413" t="str">
        <f t="shared" si="25"/>
        <v>07-13</v>
      </c>
      <c r="H2041" s="273" t="e">
        <f ca="1">_xludf.IFNA(VLOOKUP(Aragon!E2041,'Kilter Holds'!$P$37:$AB$662,10,0),0)+(2*_xludf.IFNA(VLOOKUP(Aragon!A2041,'Kilter Holds'!$P$37:$AB$662,10,0),0))</f>
        <v>#NAME?</v>
      </c>
      <c r="I2041" s="274"/>
      <c r="J2041" s="274" t="e">
        <f t="shared" ca="1" si="21"/>
        <v>#NAME?</v>
      </c>
      <c r="K2041" s="274">
        <f t="shared" si="22"/>
        <v>0</v>
      </c>
      <c r="N2041" s="274"/>
    </row>
    <row r="2042" spans="5:14" ht="13.5" customHeight="1">
      <c r="E2042" s="209" t="s">
        <v>209</v>
      </c>
      <c r="F2042" s="209" t="s">
        <v>2606</v>
      </c>
      <c r="G2042" s="414" t="str">
        <f t="shared" si="25"/>
        <v>11-26</v>
      </c>
      <c r="H2042" s="273" t="e">
        <f ca="1">_xludf.IFNA(VLOOKUP(Aragon!E2042,'Kilter Holds'!$P$37:$AB$662,11,0),0)+(2*_xludf.IFNA(VLOOKUP(Aragon!A2042,'Kilter Holds'!$P$37:$AB$662,11,0),0))</f>
        <v>#NAME?</v>
      </c>
      <c r="I2042" s="274"/>
      <c r="J2042" s="274" t="e">
        <f t="shared" ref="J2042:J2296" ca="1" si="26">H2042*I2042</f>
        <v>#NAME?</v>
      </c>
      <c r="K2042" s="274">
        <f t="shared" ref="K2042:K2296" si="27">IF($V$11="Y",J2042*0.05,0)</f>
        <v>0</v>
      </c>
      <c r="N2042" s="274"/>
    </row>
    <row r="2043" spans="5:14" ht="13.5" customHeight="1">
      <c r="E2043" s="209" t="s">
        <v>209</v>
      </c>
      <c r="F2043" s="209" t="s">
        <v>2606</v>
      </c>
      <c r="G2043" s="415" t="str">
        <f t="shared" si="25"/>
        <v>18-01</v>
      </c>
      <c r="H2043" s="273" t="e">
        <f ca="1">_xludf.IFNA(VLOOKUP(Aragon!E2043,'Kilter Holds'!$P$37:$AB$662,12,0),0)+(2*_xludf.IFNA(VLOOKUP(Aragon!A2043,'Kilter Holds'!$P$37:$AB$662,12,0),0))</f>
        <v>#NAME?</v>
      </c>
      <c r="I2043" s="274"/>
      <c r="J2043" s="274" t="e">
        <f t="shared" ca="1" si="26"/>
        <v>#NAME?</v>
      </c>
      <c r="K2043" s="274">
        <f t="shared" si="27"/>
        <v>0</v>
      </c>
      <c r="N2043" s="274"/>
    </row>
    <row r="2044" spans="5:14" ht="13.5" customHeight="1">
      <c r="E2044" s="209" t="s">
        <v>209</v>
      </c>
      <c r="F2044" s="209" t="s">
        <v>2606</v>
      </c>
      <c r="G2044" s="416" t="str">
        <f t="shared" si="25"/>
        <v>Color Code</v>
      </c>
      <c r="H2044" s="273" t="e">
        <f ca="1">_xludf.IFNA(VLOOKUP(Aragon!E2044,'Kilter Holds'!$P$37:$AB$662,13,0),0)+(2*_xludf.IFNA(VLOOKUP(Aragon!A2044,'Kilter Holds'!$P$37:$AB$662,13,0),0))</f>
        <v>#NAME?</v>
      </c>
      <c r="I2044" s="274"/>
      <c r="J2044" s="274" t="e">
        <f t="shared" ca="1" si="26"/>
        <v>#NAME?</v>
      </c>
      <c r="K2044" s="274">
        <f t="shared" si="27"/>
        <v>0</v>
      </c>
      <c r="N2044" s="274"/>
    </row>
    <row r="2045" spans="5:14" ht="13.5" customHeight="1">
      <c r="E2045" s="209" t="s">
        <v>149</v>
      </c>
      <c r="F2045" s="209" t="s">
        <v>2607</v>
      </c>
      <c r="G2045" s="406" t="str">
        <f t="shared" si="25"/>
        <v>11-12</v>
      </c>
      <c r="H2045" s="273" t="e">
        <f ca="1">_xludf.IFNA(VLOOKUP(Aragon!E2045,'Kilter Holds'!$P$37:$AB$662,5,0),0)+(2*_xludf.IFNA(VLOOKUP(Aragon!A2045,'Kilter Holds'!$P$37:$AB$662,5,0),0))</f>
        <v>#NAME?</v>
      </c>
      <c r="I2045" s="274"/>
      <c r="J2045" s="274" t="e">
        <f t="shared" ca="1" si="26"/>
        <v>#NAME?</v>
      </c>
      <c r="K2045" s="274">
        <f t="shared" si="27"/>
        <v>0</v>
      </c>
      <c r="N2045" s="274"/>
    </row>
    <row r="2046" spans="5:14" ht="13.5" customHeight="1">
      <c r="E2046" s="209" t="s">
        <v>149</v>
      </c>
      <c r="F2046" s="209" t="s">
        <v>2607</v>
      </c>
      <c r="G2046" s="408" t="str">
        <f t="shared" si="25"/>
        <v>14-01</v>
      </c>
      <c r="H2046" s="273" t="e">
        <f ca="1">_xludf.IFNA(VLOOKUP(Aragon!E2046,'Kilter Holds'!$P$37:$AB$662,6,0),0)+(2*_xludf.IFNA(VLOOKUP(Aragon!A2046,'Kilter Holds'!$P$37:$AB$662,6,0),0))</f>
        <v>#NAME?</v>
      </c>
      <c r="I2046" s="274"/>
      <c r="J2046" s="274" t="e">
        <f t="shared" ca="1" si="26"/>
        <v>#NAME?</v>
      </c>
      <c r="K2046" s="274">
        <f t="shared" si="27"/>
        <v>0</v>
      </c>
      <c r="N2046" s="274"/>
    </row>
    <row r="2047" spans="5:14" ht="13.5" customHeight="1">
      <c r="E2047" s="209" t="s">
        <v>149</v>
      </c>
      <c r="F2047" s="209" t="s">
        <v>2607</v>
      </c>
      <c r="G2047" s="409" t="str">
        <f t="shared" si="25"/>
        <v>15-12</v>
      </c>
      <c r="H2047" s="273" t="e">
        <f ca="1">_xludf.IFNA(VLOOKUP(Aragon!E2047,'Kilter Holds'!$P$37:$AB$662,7,0),0)+(2*_xludf.IFNA(VLOOKUP(Aragon!A2047,'Kilter Holds'!$P$37:$AB$662,7,0),0))</f>
        <v>#NAME?</v>
      </c>
      <c r="I2047" s="274"/>
      <c r="J2047" s="274" t="e">
        <f t="shared" ca="1" si="26"/>
        <v>#NAME?</v>
      </c>
      <c r="K2047" s="274">
        <f t="shared" si="27"/>
        <v>0</v>
      </c>
      <c r="N2047" s="274"/>
    </row>
    <row r="2048" spans="5:14" ht="13.5" customHeight="1">
      <c r="E2048" s="209" t="s">
        <v>149</v>
      </c>
      <c r="F2048" s="209" t="s">
        <v>2607</v>
      </c>
      <c r="G2048" s="410" t="str">
        <f t="shared" si="25"/>
        <v>16-16</v>
      </c>
      <c r="H2048" s="273" t="e">
        <f ca="1">_xludf.IFNA(VLOOKUP(Aragon!E2048,'Kilter Holds'!$P$37:$AB$662,8,0),0)+(2*_xludf.IFNA(VLOOKUP(Aragon!A2048,'Kilter Holds'!$P$37:$AB$662,8,0),0))</f>
        <v>#NAME?</v>
      </c>
      <c r="I2048" s="274"/>
      <c r="J2048" s="274" t="e">
        <f t="shared" ca="1" si="26"/>
        <v>#NAME?</v>
      </c>
      <c r="K2048" s="274">
        <f t="shared" si="27"/>
        <v>0</v>
      </c>
      <c r="N2048" s="274"/>
    </row>
    <row r="2049" spans="5:14" ht="13.5" customHeight="1">
      <c r="E2049" s="209" t="s">
        <v>149</v>
      </c>
      <c r="F2049" s="209" t="s">
        <v>2607</v>
      </c>
      <c r="G2049" s="411" t="str">
        <f t="shared" si="25"/>
        <v>13-01</v>
      </c>
      <c r="H2049" s="273" t="e">
        <f ca="1">_xludf.IFNA(VLOOKUP(Aragon!E2049,'Kilter Holds'!$P$37:$AB$662,9,0),0)+(2*_xludf.IFNA(VLOOKUP(Aragon!A2049,'Kilter Holds'!$P$37:$AB$662,9,0),0))</f>
        <v>#NAME?</v>
      </c>
      <c r="I2049" s="274"/>
      <c r="J2049" s="274" t="e">
        <f t="shared" ca="1" si="26"/>
        <v>#NAME?</v>
      </c>
      <c r="K2049" s="274">
        <f t="shared" si="27"/>
        <v>0</v>
      </c>
      <c r="N2049" s="274"/>
    </row>
    <row r="2050" spans="5:14" ht="13.5" customHeight="1">
      <c r="E2050" s="209" t="s">
        <v>149</v>
      </c>
      <c r="F2050" s="209" t="s">
        <v>2607</v>
      </c>
      <c r="G2050" s="413" t="str">
        <f t="shared" si="25"/>
        <v>07-13</v>
      </c>
      <c r="H2050" s="273" t="e">
        <f ca="1">_xludf.IFNA(VLOOKUP(Aragon!E2050,'Kilter Holds'!$P$37:$AB$662,10,0),0)+(2*_xludf.IFNA(VLOOKUP(Aragon!A2050,'Kilter Holds'!$P$37:$AB$662,10,0),0))</f>
        <v>#NAME?</v>
      </c>
      <c r="I2050" s="274"/>
      <c r="J2050" s="274" t="e">
        <f t="shared" ca="1" si="26"/>
        <v>#NAME?</v>
      </c>
      <c r="K2050" s="274">
        <f t="shared" si="27"/>
        <v>0</v>
      </c>
      <c r="N2050" s="274"/>
    </row>
    <row r="2051" spans="5:14" ht="13.5" customHeight="1">
      <c r="E2051" s="209" t="s">
        <v>149</v>
      </c>
      <c r="F2051" s="209" t="s">
        <v>2607</v>
      </c>
      <c r="G2051" s="414" t="str">
        <f t="shared" si="25"/>
        <v>11-26</v>
      </c>
      <c r="H2051" s="273" t="e">
        <f ca="1">_xludf.IFNA(VLOOKUP(Aragon!E2051,'Kilter Holds'!$P$37:$AB$662,11,0),0)+(2*_xludf.IFNA(VLOOKUP(Aragon!A2051,'Kilter Holds'!$P$37:$AB$662,11,0),0))</f>
        <v>#NAME?</v>
      </c>
      <c r="I2051" s="274"/>
      <c r="J2051" s="274" t="e">
        <f t="shared" ca="1" si="26"/>
        <v>#NAME?</v>
      </c>
      <c r="K2051" s="274">
        <f t="shared" si="27"/>
        <v>0</v>
      </c>
      <c r="N2051" s="274"/>
    </row>
    <row r="2052" spans="5:14" ht="13.5" customHeight="1">
      <c r="E2052" s="209" t="s">
        <v>149</v>
      </c>
      <c r="F2052" s="209" t="s">
        <v>2607</v>
      </c>
      <c r="G2052" s="415" t="str">
        <f t="shared" si="25"/>
        <v>18-01</v>
      </c>
      <c r="H2052" s="273" t="e">
        <f ca="1">_xludf.IFNA(VLOOKUP(Aragon!E2052,'Kilter Holds'!$P$37:$AB$662,12,0),0)+(2*_xludf.IFNA(VLOOKUP(Aragon!A2052,'Kilter Holds'!$P$37:$AB$662,12,0),0))</f>
        <v>#NAME?</v>
      </c>
      <c r="I2052" s="274"/>
      <c r="J2052" s="274" t="e">
        <f t="shared" ca="1" si="26"/>
        <v>#NAME?</v>
      </c>
      <c r="K2052" s="274">
        <f t="shared" si="27"/>
        <v>0</v>
      </c>
      <c r="N2052" s="274"/>
    </row>
    <row r="2053" spans="5:14" ht="13.5" customHeight="1">
      <c r="E2053" s="209" t="s">
        <v>149</v>
      </c>
      <c r="F2053" s="209" t="s">
        <v>2607</v>
      </c>
      <c r="G2053" s="416" t="str">
        <f t="shared" si="25"/>
        <v>Color Code</v>
      </c>
      <c r="H2053" s="273" t="e">
        <f ca="1">_xludf.IFNA(VLOOKUP(Aragon!E2053,'Kilter Holds'!$P$37:$AB$662,13,0),0)+(2*_xludf.IFNA(VLOOKUP(Aragon!A2053,'Kilter Holds'!$P$37:$AB$662,13,0),0))</f>
        <v>#NAME?</v>
      </c>
      <c r="I2053" s="274"/>
      <c r="J2053" s="274" t="e">
        <f t="shared" ca="1" si="26"/>
        <v>#NAME?</v>
      </c>
      <c r="K2053" s="274">
        <f t="shared" si="27"/>
        <v>0</v>
      </c>
      <c r="N2053" s="274"/>
    </row>
    <row r="2054" spans="5:14" ht="13.5" customHeight="1">
      <c r="E2054" s="209" t="s">
        <v>151</v>
      </c>
      <c r="F2054" s="209" t="s">
        <v>2608</v>
      </c>
      <c r="G2054" s="406" t="str">
        <f t="shared" si="25"/>
        <v>11-12</v>
      </c>
      <c r="H2054" s="273" t="e">
        <f ca="1">_xludf.IFNA(VLOOKUP(Aragon!E2054,'Kilter Holds'!$P$37:$AB$662,5,0),0)+(2*_xludf.IFNA(VLOOKUP(Aragon!A2054,'Kilter Holds'!$P$37:$AB$662,5,0),0))</f>
        <v>#NAME?</v>
      </c>
      <c r="I2054" s="274"/>
      <c r="J2054" s="274" t="e">
        <f t="shared" ca="1" si="26"/>
        <v>#NAME?</v>
      </c>
      <c r="K2054" s="274">
        <f t="shared" si="27"/>
        <v>0</v>
      </c>
      <c r="N2054" s="274"/>
    </row>
    <row r="2055" spans="5:14" ht="13.5" customHeight="1">
      <c r="E2055" s="209" t="s">
        <v>151</v>
      </c>
      <c r="F2055" s="209" t="s">
        <v>2608</v>
      </c>
      <c r="G2055" s="408" t="str">
        <f t="shared" si="25"/>
        <v>14-01</v>
      </c>
      <c r="H2055" s="273" t="e">
        <f ca="1">_xludf.IFNA(VLOOKUP(Aragon!E2055,'Kilter Holds'!$P$37:$AB$662,6,0),0)+(2*_xludf.IFNA(VLOOKUP(Aragon!A2055,'Kilter Holds'!$P$37:$AB$662,6,0),0))</f>
        <v>#NAME?</v>
      </c>
      <c r="I2055" s="274"/>
      <c r="J2055" s="274" t="e">
        <f t="shared" ca="1" si="26"/>
        <v>#NAME?</v>
      </c>
      <c r="K2055" s="274">
        <f t="shared" si="27"/>
        <v>0</v>
      </c>
      <c r="N2055" s="274"/>
    </row>
    <row r="2056" spans="5:14" ht="13.5" customHeight="1">
      <c r="E2056" s="209" t="s">
        <v>151</v>
      </c>
      <c r="F2056" s="209" t="s">
        <v>2608</v>
      </c>
      <c r="G2056" s="409" t="str">
        <f t="shared" si="25"/>
        <v>15-12</v>
      </c>
      <c r="H2056" s="273" t="e">
        <f ca="1">_xludf.IFNA(VLOOKUP(Aragon!E2056,'Kilter Holds'!$P$37:$AB$662,7,0),0)+(2*_xludf.IFNA(VLOOKUP(Aragon!A2056,'Kilter Holds'!$P$37:$AB$662,7,0),0))</f>
        <v>#NAME?</v>
      </c>
      <c r="I2056" s="274"/>
      <c r="J2056" s="274" t="e">
        <f t="shared" ca="1" si="26"/>
        <v>#NAME?</v>
      </c>
      <c r="K2056" s="274">
        <f t="shared" si="27"/>
        <v>0</v>
      </c>
      <c r="N2056" s="274"/>
    </row>
    <row r="2057" spans="5:14" ht="13.5" customHeight="1">
      <c r="E2057" s="209" t="s">
        <v>151</v>
      </c>
      <c r="F2057" s="209" t="s">
        <v>2608</v>
      </c>
      <c r="G2057" s="410" t="str">
        <f t="shared" si="25"/>
        <v>16-16</v>
      </c>
      <c r="H2057" s="273" t="e">
        <f ca="1">_xludf.IFNA(VLOOKUP(Aragon!E2057,'Kilter Holds'!$P$37:$AB$662,8,0),0)+(2*_xludf.IFNA(VLOOKUP(Aragon!A2057,'Kilter Holds'!$P$37:$AB$662,8,0),0))</f>
        <v>#NAME?</v>
      </c>
      <c r="I2057" s="274"/>
      <c r="J2057" s="274" t="e">
        <f t="shared" ca="1" si="26"/>
        <v>#NAME?</v>
      </c>
      <c r="K2057" s="274">
        <f t="shared" si="27"/>
        <v>0</v>
      </c>
      <c r="N2057" s="274"/>
    </row>
    <row r="2058" spans="5:14" ht="13.5" customHeight="1">
      <c r="E2058" s="209" t="s">
        <v>151</v>
      </c>
      <c r="F2058" s="209" t="s">
        <v>2608</v>
      </c>
      <c r="G2058" s="411" t="str">
        <f t="shared" si="25"/>
        <v>13-01</v>
      </c>
      <c r="H2058" s="273" t="e">
        <f ca="1">_xludf.IFNA(VLOOKUP(Aragon!E2058,'Kilter Holds'!$P$37:$AB$662,9,0),0)+(2*_xludf.IFNA(VLOOKUP(Aragon!A2058,'Kilter Holds'!$P$37:$AB$662,9,0),0))</f>
        <v>#NAME?</v>
      </c>
      <c r="I2058" s="274"/>
      <c r="J2058" s="274" t="e">
        <f t="shared" ca="1" si="26"/>
        <v>#NAME?</v>
      </c>
      <c r="K2058" s="274">
        <f t="shared" si="27"/>
        <v>0</v>
      </c>
      <c r="N2058" s="274"/>
    </row>
    <row r="2059" spans="5:14" ht="13.5" customHeight="1">
      <c r="E2059" s="209" t="s">
        <v>151</v>
      </c>
      <c r="F2059" s="209" t="s">
        <v>2608</v>
      </c>
      <c r="G2059" s="413" t="str">
        <f t="shared" si="25"/>
        <v>07-13</v>
      </c>
      <c r="H2059" s="273" t="e">
        <f ca="1">_xludf.IFNA(VLOOKUP(Aragon!E2059,'Kilter Holds'!$P$37:$AB$662,10,0),0)+(2*_xludf.IFNA(VLOOKUP(Aragon!A2059,'Kilter Holds'!$P$37:$AB$662,10,0),0))</f>
        <v>#NAME?</v>
      </c>
      <c r="I2059" s="274"/>
      <c r="J2059" s="274" t="e">
        <f t="shared" ca="1" si="26"/>
        <v>#NAME?</v>
      </c>
      <c r="K2059" s="274">
        <f t="shared" si="27"/>
        <v>0</v>
      </c>
      <c r="N2059" s="274"/>
    </row>
    <row r="2060" spans="5:14" ht="13.5" customHeight="1">
      <c r="E2060" s="209" t="s">
        <v>151</v>
      </c>
      <c r="F2060" s="209" t="s">
        <v>2608</v>
      </c>
      <c r="G2060" s="414" t="str">
        <f t="shared" si="25"/>
        <v>11-26</v>
      </c>
      <c r="H2060" s="273" t="e">
        <f ca="1">_xludf.IFNA(VLOOKUP(Aragon!E2060,'Kilter Holds'!$P$37:$AB$662,11,0),0)+(2*_xludf.IFNA(VLOOKUP(Aragon!A2060,'Kilter Holds'!$P$37:$AB$662,11,0),0))</f>
        <v>#NAME?</v>
      </c>
      <c r="I2060" s="274"/>
      <c r="J2060" s="274" t="e">
        <f t="shared" ca="1" si="26"/>
        <v>#NAME?</v>
      </c>
      <c r="K2060" s="274">
        <f t="shared" si="27"/>
        <v>0</v>
      </c>
      <c r="N2060" s="274"/>
    </row>
    <row r="2061" spans="5:14" ht="13.5" customHeight="1">
      <c r="E2061" s="209" t="s">
        <v>151</v>
      </c>
      <c r="F2061" s="209" t="s">
        <v>2608</v>
      </c>
      <c r="G2061" s="415" t="str">
        <f t="shared" si="25"/>
        <v>18-01</v>
      </c>
      <c r="H2061" s="273" t="e">
        <f ca="1">_xludf.IFNA(VLOOKUP(Aragon!E2061,'Kilter Holds'!$P$37:$AB$662,12,0),0)+(2*_xludf.IFNA(VLOOKUP(Aragon!A2061,'Kilter Holds'!$P$37:$AB$662,12,0),0))</f>
        <v>#NAME?</v>
      </c>
      <c r="I2061" s="274"/>
      <c r="J2061" s="274" t="e">
        <f t="shared" ca="1" si="26"/>
        <v>#NAME?</v>
      </c>
      <c r="K2061" s="274">
        <f t="shared" si="27"/>
        <v>0</v>
      </c>
      <c r="N2061" s="274"/>
    </row>
    <row r="2062" spans="5:14" ht="13.5" customHeight="1">
      <c r="E2062" s="209" t="s">
        <v>151</v>
      </c>
      <c r="F2062" s="209" t="s">
        <v>2608</v>
      </c>
      <c r="G2062" s="416" t="str">
        <f t="shared" si="25"/>
        <v>Color Code</v>
      </c>
      <c r="H2062" s="273" t="e">
        <f ca="1">_xludf.IFNA(VLOOKUP(Aragon!E2062,'Kilter Holds'!$P$37:$AB$662,13,0),0)+(2*_xludf.IFNA(VLOOKUP(Aragon!A2062,'Kilter Holds'!$P$37:$AB$662,13,0),0))</f>
        <v>#NAME?</v>
      </c>
      <c r="I2062" s="274"/>
      <c r="J2062" s="274" t="e">
        <f t="shared" ca="1" si="26"/>
        <v>#NAME?</v>
      </c>
      <c r="K2062" s="274">
        <f t="shared" si="27"/>
        <v>0</v>
      </c>
      <c r="N2062" s="274"/>
    </row>
    <row r="2063" spans="5:14" ht="13.5" customHeight="1">
      <c r="E2063" s="209" t="s">
        <v>371</v>
      </c>
      <c r="F2063" s="209" t="s">
        <v>2609</v>
      </c>
      <c r="G2063" s="406" t="str">
        <f t="shared" si="25"/>
        <v>11-12</v>
      </c>
      <c r="H2063" s="273" t="e">
        <f ca="1">_xludf.IFNA(VLOOKUP(Aragon!E2063,'Kilter Holds'!$P$37:$AB$662,5,0),0)+(2*_xludf.IFNA(VLOOKUP(Aragon!A2063,'Kilter Holds'!$P$37:$AB$662,5,0),0))</f>
        <v>#NAME?</v>
      </c>
      <c r="I2063" s="274"/>
      <c r="J2063" s="274" t="e">
        <f t="shared" ca="1" si="26"/>
        <v>#NAME?</v>
      </c>
      <c r="K2063" s="274">
        <f t="shared" si="27"/>
        <v>0</v>
      </c>
      <c r="N2063" s="274"/>
    </row>
    <row r="2064" spans="5:14" ht="13.5" customHeight="1">
      <c r="E2064" s="209" t="s">
        <v>371</v>
      </c>
      <c r="F2064" s="209" t="s">
        <v>2609</v>
      </c>
      <c r="G2064" s="408" t="str">
        <f t="shared" si="25"/>
        <v>14-01</v>
      </c>
      <c r="H2064" s="273" t="e">
        <f ca="1">_xludf.IFNA(VLOOKUP(Aragon!E2064,'Kilter Holds'!$P$37:$AB$662,6,0),0)+(2*_xludf.IFNA(VLOOKUP(Aragon!A2064,'Kilter Holds'!$P$37:$AB$662,6,0),0))</f>
        <v>#NAME?</v>
      </c>
      <c r="I2064" s="274"/>
      <c r="J2064" s="274" t="e">
        <f t="shared" ca="1" si="26"/>
        <v>#NAME?</v>
      </c>
      <c r="K2064" s="274">
        <f t="shared" si="27"/>
        <v>0</v>
      </c>
      <c r="N2064" s="274"/>
    </row>
    <row r="2065" spans="5:14" ht="13.5" customHeight="1">
      <c r="E2065" s="209" t="s">
        <v>371</v>
      </c>
      <c r="F2065" s="209" t="s">
        <v>2609</v>
      </c>
      <c r="G2065" s="409" t="str">
        <f t="shared" si="25"/>
        <v>15-12</v>
      </c>
      <c r="H2065" s="273" t="e">
        <f ca="1">_xludf.IFNA(VLOOKUP(Aragon!E2065,'Kilter Holds'!$P$37:$AB$662,7,0),0)+(2*_xludf.IFNA(VLOOKUP(Aragon!A2065,'Kilter Holds'!$P$37:$AB$662,7,0),0))</f>
        <v>#NAME?</v>
      </c>
      <c r="I2065" s="274"/>
      <c r="J2065" s="274" t="e">
        <f t="shared" ca="1" si="26"/>
        <v>#NAME?</v>
      </c>
      <c r="K2065" s="274">
        <f t="shared" si="27"/>
        <v>0</v>
      </c>
      <c r="N2065" s="274"/>
    </row>
    <row r="2066" spans="5:14" ht="13.5" customHeight="1">
      <c r="E2066" s="209" t="s">
        <v>371</v>
      </c>
      <c r="F2066" s="209" t="s">
        <v>2609</v>
      </c>
      <c r="G2066" s="410" t="str">
        <f t="shared" si="25"/>
        <v>16-16</v>
      </c>
      <c r="H2066" s="273" t="e">
        <f ca="1">_xludf.IFNA(VLOOKUP(Aragon!E2066,'Kilter Holds'!$P$37:$AB$662,8,0),0)+(2*_xludf.IFNA(VLOOKUP(Aragon!A2066,'Kilter Holds'!$P$37:$AB$662,8,0),0))</f>
        <v>#NAME?</v>
      </c>
      <c r="I2066" s="274"/>
      <c r="J2066" s="274" t="e">
        <f t="shared" ca="1" si="26"/>
        <v>#NAME?</v>
      </c>
      <c r="K2066" s="274">
        <f t="shared" si="27"/>
        <v>0</v>
      </c>
      <c r="N2066" s="274"/>
    </row>
    <row r="2067" spans="5:14" ht="13.5" customHeight="1">
      <c r="E2067" s="209" t="s">
        <v>371</v>
      </c>
      <c r="F2067" s="209" t="s">
        <v>2609</v>
      </c>
      <c r="G2067" s="411" t="str">
        <f t="shared" si="25"/>
        <v>13-01</v>
      </c>
      <c r="H2067" s="273" t="e">
        <f ca="1">_xludf.IFNA(VLOOKUP(Aragon!E2067,'Kilter Holds'!$P$37:$AB$662,9,0),0)+(2*_xludf.IFNA(VLOOKUP(Aragon!A2067,'Kilter Holds'!$P$37:$AB$662,9,0),0))</f>
        <v>#NAME?</v>
      </c>
      <c r="I2067" s="274"/>
      <c r="J2067" s="274" t="e">
        <f t="shared" ca="1" si="26"/>
        <v>#NAME?</v>
      </c>
      <c r="K2067" s="274">
        <f t="shared" si="27"/>
        <v>0</v>
      </c>
      <c r="N2067" s="274"/>
    </row>
    <row r="2068" spans="5:14" ht="13.5" customHeight="1">
      <c r="E2068" s="209" t="s">
        <v>371</v>
      </c>
      <c r="F2068" s="209" t="s">
        <v>2609</v>
      </c>
      <c r="G2068" s="413" t="str">
        <f t="shared" si="25"/>
        <v>07-13</v>
      </c>
      <c r="H2068" s="273" t="e">
        <f ca="1">_xludf.IFNA(VLOOKUP(Aragon!E2068,'Kilter Holds'!$P$37:$AB$662,10,0),0)+(2*_xludf.IFNA(VLOOKUP(Aragon!A2068,'Kilter Holds'!$P$37:$AB$662,10,0),0))</f>
        <v>#NAME?</v>
      </c>
      <c r="I2068" s="274"/>
      <c r="J2068" s="274" t="e">
        <f t="shared" ca="1" si="26"/>
        <v>#NAME?</v>
      </c>
      <c r="K2068" s="274">
        <f t="shared" si="27"/>
        <v>0</v>
      </c>
      <c r="N2068" s="274"/>
    </row>
    <row r="2069" spans="5:14" ht="13.5" customHeight="1">
      <c r="E2069" s="209" t="s">
        <v>371</v>
      </c>
      <c r="F2069" s="209" t="s">
        <v>2609</v>
      </c>
      <c r="G2069" s="414" t="str">
        <f t="shared" si="25"/>
        <v>11-26</v>
      </c>
      <c r="H2069" s="273" t="e">
        <f ca="1">_xludf.IFNA(VLOOKUP(Aragon!E2069,'Kilter Holds'!$P$37:$AB$662,11,0),0)+(2*_xludf.IFNA(VLOOKUP(Aragon!A2069,'Kilter Holds'!$P$37:$AB$662,11,0),0))</f>
        <v>#NAME?</v>
      </c>
      <c r="I2069" s="274"/>
      <c r="J2069" s="274" t="e">
        <f t="shared" ca="1" si="26"/>
        <v>#NAME?</v>
      </c>
      <c r="K2069" s="274">
        <f t="shared" si="27"/>
        <v>0</v>
      </c>
      <c r="N2069" s="274"/>
    </row>
    <row r="2070" spans="5:14" ht="13.5" customHeight="1">
      <c r="E2070" s="209" t="s">
        <v>371</v>
      </c>
      <c r="F2070" s="209" t="s">
        <v>2609</v>
      </c>
      <c r="G2070" s="415" t="str">
        <f t="shared" si="25"/>
        <v>18-01</v>
      </c>
      <c r="H2070" s="273" t="e">
        <f ca="1">_xludf.IFNA(VLOOKUP(Aragon!E2070,'Kilter Holds'!$P$37:$AB$662,12,0),0)+(2*_xludf.IFNA(VLOOKUP(Aragon!A2070,'Kilter Holds'!$P$37:$AB$662,12,0),0))</f>
        <v>#NAME?</v>
      </c>
      <c r="I2070" s="274"/>
      <c r="J2070" s="274" t="e">
        <f t="shared" ca="1" si="26"/>
        <v>#NAME?</v>
      </c>
      <c r="K2070" s="274">
        <f t="shared" si="27"/>
        <v>0</v>
      </c>
      <c r="N2070" s="274"/>
    </row>
    <row r="2071" spans="5:14" ht="13.5" customHeight="1">
      <c r="E2071" s="209" t="s">
        <v>371</v>
      </c>
      <c r="F2071" s="209" t="s">
        <v>2609</v>
      </c>
      <c r="G2071" s="416" t="str">
        <f t="shared" si="25"/>
        <v>Color Code</v>
      </c>
      <c r="H2071" s="273" t="e">
        <f ca="1">_xludf.IFNA(VLOOKUP(Aragon!E2071,'Kilter Holds'!$P$37:$AB$662,13,0),0)+(2*_xludf.IFNA(VLOOKUP(Aragon!A2071,'Kilter Holds'!$P$37:$AB$662,13,0),0))</f>
        <v>#NAME?</v>
      </c>
      <c r="I2071" s="274"/>
      <c r="J2071" s="274" t="e">
        <f t="shared" ca="1" si="26"/>
        <v>#NAME?</v>
      </c>
      <c r="K2071" s="274">
        <f t="shared" si="27"/>
        <v>0</v>
      </c>
      <c r="N2071" s="274"/>
    </row>
    <row r="2072" spans="5:14" ht="13.5" customHeight="1">
      <c r="E2072" s="1" t="s">
        <v>513</v>
      </c>
      <c r="F2072" s="1" t="s">
        <v>2610</v>
      </c>
      <c r="G2072" s="406" t="str">
        <f t="shared" si="25"/>
        <v>11-12</v>
      </c>
      <c r="H2072" s="273" t="e">
        <f ca="1">_xludf.IFNA(VLOOKUP(Aragon!E2072,'Kilter Holds'!$P$37:$AB$662,5,0),0)+(2*_xludf.IFNA(VLOOKUP(Aragon!A2072,'Kilter Holds'!$P$37:$AB$662,5,0),0))</f>
        <v>#NAME?</v>
      </c>
      <c r="I2072" s="274"/>
      <c r="J2072" s="274" t="e">
        <f t="shared" ca="1" si="26"/>
        <v>#NAME?</v>
      </c>
      <c r="K2072" s="274">
        <f t="shared" si="27"/>
        <v>0</v>
      </c>
      <c r="N2072" s="274"/>
    </row>
    <row r="2073" spans="5:14" ht="13.5" customHeight="1">
      <c r="E2073" s="1" t="s">
        <v>513</v>
      </c>
      <c r="F2073" s="1" t="s">
        <v>2610</v>
      </c>
      <c r="G2073" s="408" t="str">
        <f t="shared" si="25"/>
        <v>14-01</v>
      </c>
      <c r="H2073" s="273" t="e">
        <f ca="1">_xludf.IFNA(VLOOKUP(Aragon!E2073,'Kilter Holds'!$P$37:$AB$662,6,0),0)+(2*_xludf.IFNA(VLOOKUP(Aragon!A2073,'Kilter Holds'!$P$37:$AB$662,6,0),0))</f>
        <v>#NAME?</v>
      </c>
      <c r="I2073" s="274"/>
      <c r="J2073" s="274" t="e">
        <f t="shared" ca="1" si="26"/>
        <v>#NAME?</v>
      </c>
      <c r="K2073" s="274">
        <f t="shared" si="27"/>
        <v>0</v>
      </c>
      <c r="N2073" s="274"/>
    </row>
    <row r="2074" spans="5:14" ht="13.5" customHeight="1">
      <c r="E2074" s="1" t="s">
        <v>513</v>
      </c>
      <c r="F2074" s="1" t="s">
        <v>2610</v>
      </c>
      <c r="G2074" s="409" t="str">
        <f t="shared" si="25"/>
        <v>15-12</v>
      </c>
      <c r="H2074" s="273" t="e">
        <f ca="1">_xludf.IFNA(VLOOKUP(Aragon!E2074,'Kilter Holds'!$P$37:$AB$662,7,0),0)+(2*_xludf.IFNA(VLOOKUP(Aragon!A2074,'Kilter Holds'!$P$37:$AB$662,7,0),0))</f>
        <v>#NAME?</v>
      </c>
      <c r="I2074" s="274"/>
      <c r="J2074" s="274" t="e">
        <f t="shared" ca="1" si="26"/>
        <v>#NAME?</v>
      </c>
      <c r="K2074" s="274">
        <f t="shared" si="27"/>
        <v>0</v>
      </c>
      <c r="N2074" s="274"/>
    </row>
    <row r="2075" spans="5:14" ht="13.5" customHeight="1">
      <c r="E2075" s="1" t="s">
        <v>513</v>
      </c>
      <c r="F2075" s="1" t="s">
        <v>2610</v>
      </c>
      <c r="G2075" s="410" t="str">
        <f t="shared" si="25"/>
        <v>16-16</v>
      </c>
      <c r="H2075" s="273" t="e">
        <f ca="1">_xludf.IFNA(VLOOKUP(Aragon!E2075,'Kilter Holds'!$P$37:$AB$662,8,0),0)+(2*_xludf.IFNA(VLOOKUP(Aragon!A2075,'Kilter Holds'!$P$37:$AB$662,8,0),0))</f>
        <v>#NAME?</v>
      </c>
      <c r="I2075" s="274"/>
      <c r="J2075" s="274" t="e">
        <f t="shared" ca="1" si="26"/>
        <v>#NAME?</v>
      </c>
      <c r="K2075" s="274">
        <f t="shared" si="27"/>
        <v>0</v>
      </c>
      <c r="N2075" s="274"/>
    </row>
    <row r="2076" spans="5:14" ht="13.5" customHeight="1">
      <c r="E2076" s="1" t="s">
        <v>513</v>
      </c>
      <c r="F2076" s="1" t="s">
        <v>2610</v>
      </c>
      <c r="G2076" s="411" t="str">
        <f t="shared" si="25"/>
        <v>13-01</v>
      </c>
      <c r="H2076" s="273" t="e">
        <f ca="1">_xludf.IFNA(VLOOKUP(Aragon!E2076,'Kilter Holds'!$P$37:$AB$662,9,0),0)+(2*_xludf.IFNA(VLOOKUP(Aragon!A2076,'Kilter Holds'!$P$37:$AB$662,9,0),0))</f>
        <v>#NAME?</v>
      </c>
      <c r="I2076" s="274"/>
      <c r="J2076" s="274" t="e">
        <f t="shared" ca="1" si="26"/>
        <v>#NAME?</v>
      </c>
      <c r="K2076" s="274">
        <f t="shared" si="27"/>
        <v>0</v>
      </c>
      <c r="N2076" s="274"/>
    </row>
    <row r="2077" spans="5:14" ht="13.5" customHeight="1">
      <c r="E2077" s="1" t="s">
        <v>513</v>
      </c>
      <c r="F2077" s="1" t="s">
        <v>2610</v>
      </c>
      <c r="G2077" s="413" t="str">
        <f t="shared" si="25"/>
        <v>07-13</v>
      </c>
      <c r="H2077" s="273" t="e">
        <f ca="1">_xludf.IFNA(VLOOKUP(Aragon!E2077,'Kilter Holds'!$P$37:$AB$662,10,0),0)+(2*_xludf.IFNA(VLOOKUP(Aragon!A2077,'Kilter Holds'!$P$37:$AB$662,10,0),0))</f>
        <v>#NAME?</v>
      </c>
      <c r="I2077" s="274"/>
      <c r="J2077" s="274" t="e">
        <f t="shared" ca="1" si="26"/>
        <v>#NAME?</v>
      </c>
      <c r="K2077" s="274">
        <f t="shared" si="27"/>
        <v>0</v>
      </c>
      <c r="N2077" s="274"/>
    </row>
    <row r="2078" spans="5:14" ht="13.5" customHeight="1">
      <c r="E2078" s="1" t="s">
        <v>513</v>
      </c>
      <c r="F2078" s="1" t="s">
        <v>2610</v>
      </c>
      <c r="G2078" s="414" t="str">
        <f t="shared" si="25"/>
        <v>11-26</v>
      </c>
      <c r="H2078" s="273" t="e">
        <f ca="1">_xludf.IFNA(VLOOKUP(Aragon!E2078,'Kilter Holds'!$P$37:$AB$662,11,0),0)+(2*_xludf.IFNA(VLOOKUP(Aragon!A2078,'Kilter Holds'!$P$37:$AB$662,11,0),0))</f>
        <v>#NAME?</v>
      </c>
      <c r="I2078" s="274"/>
      <c r="J2078" s="274" t="e">
        <f t="shared" ca="1" si="26"/>
        <v>#NAME?</v>
      </c>
      <c r="K2078" s="274">
        <f t="shared" si="27"/>
        <v>0</v>
      </c>
      <c r="N2078" s="274"/>
    </row>
    <row r="2079" spans="5:14" ht="13.5" customHeight="1">
      <c r="E2079" s="1" t="s">
        <v>513</v>
      </c>
      <c r="F2079" s="1" t="s">
        <v>2610</v>
      </c>
      <c r="G2079" s="415" t="str">
        <f t="shared" si="25"/>
        <v>18-01</v>
      </c>
      <c r="H2079" s="273" t="e">
        <f ca="1">_xludf.IFNA(VLOOKUP(Aragon!E2079,'Kilter Holds'!$P$37:$AB$662,12,0),0)+(2*_xludf.IFNA(VLOOKUP(Aragon!A2079,'Kilter Holds'!$P$37:$AB$662,12,0),0))</f>
        <v>#NAME?</v>
      </c>
      <c r="I2079" s="274"/>
      <c r="J2079" s="274" t="e">
        <f t="shared" ca="1" si="26"/>
        <v>#NAME?</v>
      </c>
      <c r="K2079" s="274">
        <f t="shared" si="27"/>
        <v>0</v>
      </c>
      <c r="N2079" s="274"/>
    </row>
    <row r="2080" spans="5:14" ht="13.5" customHeight="1">
      <c r="E2080" s="1" t="s">
        <v>513</v>
      </c>
      <c r="F2080" s="1" t="s">
        <v>2610</v>
      </c>
      <c r="G2080" s="416" t="str">
        <f t="shared" si="25"/>
        <v>Color Code</v>
      </c>
      <c r="H2080" s="273" t="e">
        <f ca="1">_xludf.IFNA(VLOOKUP(Aragon!E2080,'Kilter Holds'!$P$37:$AB$662,13,0),0)+(2*_xludf.IFNA(VLOOKUP(Aragon!A2080,'Kilter Holds'!$P$37:$AB$662,13,0),0))</f>
        <v>#NAME?</v>
      </c>
      <c r="I2080" s="274"/>
      <c r="J2080" s="274" t="e">
        <f t="shared" ca="1" si="26"/>
        <v>#NAME?</v>
      </c>
      <c r="K2080" s="274">
        <f t="shared" si="27"/>
        <v>0</v>
      </c>
      <c r="N2080" s="274"/>
    </row>
    <row r="2081" spans="5:14" ht="13.5" customHeight="1">
      <c r="E2081" s="1" t="s">
        <v>153</v>
      </c>
      <c r="F2081" s="1" t="s">
        <v>2611</v>
      </c>
      <c r="G2081" s="406" t="str">
        <f t="shared" si="25"/>
        <v>11-12</v>
      </c>
      <c r="H2081" s="273" t="e">
        <f ca="1">_xludf.IFNA(VLOOKUP(Aragon!E2081,'Kilter Holds'!$P$37:$AB$662,5,0),0)+(2*_xludf.IFNA(VLOOKUP(Aragon!A2081,'Kilter Holds'!$P$37:$AB$662,5,0),0))</f>
        <v>#NAME?</v>
      </c>
      <c r="I2081" s="274"/>
      <c r="J2081" s="274" t="e">
        <f t="shared" ca="1" si="26"/>
        <v>#NAME?</v>
      </c>
      <c r="K2081" s="274">
        <f t="shared" si="27"/>
        <v>0</v>
      </c>
      <c r="N2081" s="274"/>
    </row>
    <row r="2082" spans="5:14" ht="13.5" customHeight="1">
      <c r="E2082" s="1" t="s">
        <v>153</v>
      </c>
      <c r="F2082" s="1" t="s">
        <v>2611</v>
      </c>
      <c r="G2082" s="408" t="str">
        <f t="shared" si="25"/>
        <v>14-01</v>
      </c>
      <c r="H2082" s="273" t="e">
        <f ca="1">_xludf.IFNA(VLOOKUP(Aragon!E2082,'Kilter Holds'!$P$37:$AB$662,6,0),0)+(2*_xludf.IFNA(VLOOKUP(Aragon!A2082,'Kilter Holds'!$P$37:$AB$662,6,0),0))</f>
        <v>#NAME?</v>
      </c>
      <c r="I2082" s="274"/>
      <c r="J2082" s="274" t="e">
        <f t="shared" ca="1" si="26"/>
        <v>#NAME?</v>
      </c>
      <c r="K2082" s="274">
        <f t="shared" si="27"/>
        <v>0</v>
      </c>
      <c r="N2082" s="274"/>
    </row>
    <row r="2083" spans="5:14" ht="13.5" customHeight="1">
      <c r="E2083" s="1" t="s">
        <v>153</v>
      </c>
      <c r="F2083" s="1" t="s">
        <v>2611</v>
      </c>
      <c r="G2083" s="409" t="str">
        <f t="shared" si="25"/>
        <v>15-12</v>
      </c>
      <c r="H2083" s="273" t="e">
        <f ca="1">_xludf.IFNA(VLOOKUP(Aragon!E2083,'Kilter Holds'!$P$37:$AB$662,7,0),0)+(2*_xludf.IFNA(VLOOKUP(Aragon!A2083,'Kilter Holds'!$P$37:$AB$662,7,0),0))</f>
        <v>#NAME?</v>
      </c>
      <c r="I2083" s="274"/>
      <c r="J2083" s="274" t="e">
        <f t="shared" ca="1" si="26"/>
        <v>#NAME?</v>
      </c>
      <c r="K2083" s="274">
        <f t="shared" si="27"/>
        <v>0</v>
      </c>
      <c r="N2083" s="274"/>
    </row>
    <row r="2084" spans="5:14" ht="13.5" customHeight="1">
      <c r="E2084" s="1" t="s">
        <v>153</v>
      </c>
      <c r="F2084" s="1" t="s">
        <v>2611</v>
      </c>
      <c r="G2084" s="410" t="str">
        <f t="shared" si="25"/>
        <v>16-16</v>
      </c>
      <c r="H2084" s="273" t="e">
        <f ca="1">_xludf.IFNA(VLOOKUP(Aragon!E2084,'Kilter Holds'!$P$37:$AB$662,8,0),0)+(2*_xludf.IFNA(VLOOKUP(Aragon!A2084,'Kilter Holds'!$P$37:$AB$662,8,0),0))</f>
        <v>#NAME?</v>
      </c>
      <c r="I2084" s="274"/>
      <c r="J2084" s="274" t="e">
        <f t="shared" ca="1" si="26"/>
        <v>#NAME?</v>
      </c>
      <c r="K2084" s="274">
        <f t="shared" si="27"/>
        <v>0</v>
      </c>
      <c r="N2084" s="274"/>
    </row>
    <row r="2085" spans="5:14" ht="13.5" customHeight="1">
      <c r="E2085" s="1" t="s">
        <v>153</v>
      </c>
      <c r="F2085" s="1" t="s">
        <v>2611</v>
      </c>
      <c r="G2085" s="411" t="str">
        <f t="shared" si="25"/>
        <v>13-01</v>
      </c>
      <c r="H2085" s="273" t="e">
        <f ca="1">_xludf.IFNA(VLOOKUP(Aragon!E2085,'Kilter Holds'!$P$37:$AB$662,9,0),0)+(2*_xludf.IFNA(VLOOKUP(Aragon!A2085,'Kilter Holds'!$P$37:$AB$662,9,0),0))</f>
        <v>#NAME?</v>
      </c>
      <c r="I2085" s="274"/>
      <c r="J2085" s="274" t="e">
        <f t="shared" ca="1" si="26"/>
        <v>#NAME?</v>
      </c>
      <c r="K2085" s="274">
        <f t="shared" si="27"/>
        <v>0</v>
      </c>
      <c r="N2085" s="274"/>
    </row>
    <row r="2086" spans="5:14" ht="13.5" customHeight="1">
      <c r="E2086" s="1" t="s">
        <v>153</v>
      </c>
      <c r="F2086" s="1" t="s">
        <v>2611</v>
      </c>
      <c r="G2086" s="413" t="str">
        <f t="shared" si="25"/>
        <v>07-13</v>
      </c>
      <c r="H2086" s="273" t="e">
        <f ca="1">_xludf.IFNA(VLOOKUP(Aragon!E2086,'Kilter Holds'!$P$37:$AB$662,10,0),0)+(2*_xludf.IFNA(VLOOKUP(Aragon!A2086,'Kilter Holds'!$P$37:$AB$662,10,0),0))</f>
        <v>#NAME?</v>
      </c>
      <c r="I2086" s="274"/>
      <c r="J2086" s="274" t="e">
        <f t="shared" ca="1" si="26"/>
        <v>#NAME?</v>
      </c>
      <c r="K2086" s="274">
        <f t="shared" si="27"/>
        <v>0</v>
      </c>
      <c r="N2086" s="274"/>
    </row>
    <row r="2087" spans="5:14" ht="13.5" customHeight="1">
      <c r="E2087" s="1" t="s">
        <v>153</v>
      </c>
      <c r="F2087" s="1" t="s">
        <v>2611</v>
      </c>
      <c r="G2087" s="414" t="str">
        <f t="shared" si="25"/>
        <v>11-26</v>
      </c>
      <c r="H2087" s="273" t="e">
        <f ca="1">_xludf.IFNA(VLOOKUP(Aragon!E2087,'Kilter Holds'!$P$37:$AB$662,11,0),0)+(2*_xludf.IFNA(VLOOKUP(Aragon!A2087,'Kilter Holds'!$P$37:$AB$662,11,0),0))</f>
        <v>#NAME?</v>
      </c>
      <c r="I2087" s="274"/>
      <c r="J2087" s="274" t="e">
        <f t="shared" ca="1" si="26"/>
        <v>#NAME?</v>
      </c>
      <c r="K2087" s="274">
        <f t="shared" si="27"/>
        <v>0</v>
      </c>
      <c r="N2087" s="274"/>
    </row>
    <row r="2088" spans="5:14" ht="13.5" customHeight="1">
      <c r="E2088" s="1" t="s">
        <v>153</v>
      </c>
      <c r="F2088" s="1" t="s">
        <v>2611</v>
      </c>
      <c r="G2088" s="415" t="str">
        <f t="shared" si="25"/>
        <v>18-01</v>
      </c>
      <c r="H2088" s="273" t="e">
        <f ca="1">_xludf.IFNA(VLOOKUP(Aragon!E2088,'Kilter Holds'!$P$37:$AB$662,12,0),0)+(2*_xludf.IFNA(VLOOKUP(Aragon!A2088,'Kilter Holds'!$P$37:$AB$662,12,0),0))</f>
        <v>#NAME?</v>
      </c>
      <c r="I2088" s="274"/>
      <c r="J2088" s="274" t="e">
        <f t="shared" ca="1" si="26"/>
        <v>#NAME?</v>
      </c>
      <c r="K2088" s="274">
        <f t="shared" si="27"/>
        <v>0</v>
      </c>
      <c r="N2088" s="274"/>
    </row>
    <row r="2089" spans="5:14" ht="13.5" customHeight="1">
      <c r="E2089" s="1" t="s">
        <v>153</v>
      </c>
      <c r="F2089" s="1" t="s">
        <v>2611</v>
      </c>
      <c r="G2089" s="416" t="str">
        <f t="shared" si="25"/>
        <v>Color Code</v>
      </c>
      <c r="H2089" s="273" t="e">
        <f ca="1">_xludf.IFNA(VLOOKUP(Aragon!E2089,'Kilter Holds'!$P$37:$AB$662,13,0),0)+(2*_xludf.IFNA(VLOOKUP(Aragon!A2089,'Kilter Holds'!$P$37:$AB$662,13,0),0))</f>
        <v>#NAME?</v>
      </c>
      <c r="I2089" s="274"/>
      <c r="J2089" s="274" t="e">
        <f t="shared" ca="1" si="26"/>
        <v>#NAME?</v>
      </c>
      <c r="K2089" s="274">
        <f t="shared" si="27"/>
        <v>0</v>
      </c>
      <c r="N2089" s="274"/>
    </row>
    <row r="2090" spans="5:14" ht="13.5" customHeight="1">
      <c r="E2090" s="1" t="s">
        <v>157</v>
      </c>
      <c r="F2090" s="1" t="s">
        <v>2612</v>
      </c>
      <c r="G2090" s="406" t="str">
        <f t="shared" si="25"/>
        <v>11-12</v>
      </c>
      <c r="H2090" s="273" t="e">
        <f ca="1">_xludf.IFNA(VLOOKUP(Aragon!E2090,'Kilter Holds'!$P$37:$AB$662,5,0),0)+(2*_xludf.IFNA(VLOOKUP(Aragon!A2090,'Kilter Holds'!$P$37:$AB$662,5,0),0))</f>
        <v>#NAME?</v>
      </c>
      <c r="I2090" s="274"/>
      <c r="J2090" s="274" t="e">
        <f t="shared" ca="1" si="26"/>
        <v>#NAME?</v>
      </c>
      <c r="K2090" s="274">
        <f t="shared" si="27"/>
        <v>0</v>
      </c>
      <c r="N2090" s="274"/>
    </row>
    <row r="2091" spans="5:14" ht="13.5" customHeight="1">
      <c r="E2091" s="1" t="s">
        <v>157</v>
      </c>
      <c r="F2091" s="1" t="s">
        <v>2612</v>
      </c>
      <c r="G2091" s="408" t="str">
        <f t="shared" si="25"/>
        <v>14-01</v>
      </c>
      <c r="H2091" s="273" t="e">
        <f ca="1">_xludf.IFNA(VLOOKUP(Aragon!E2091,'Kilter Holds'!$P$37:$AB$662,6,0),0)+(2*_xludf.IFNA(VLOOKUP(Aragon!A2091,'Kilter Holds'!$P$37:$AB$662,6,0),0))</f>
        <v>#NAME?</v>
      </c>
      <c r="I2091" s="274"/>
      <c r="J2091" s="274" t="e">
        <f t="shared" ca="1" si="26"/>
        <v>#NAME?</v>
      </c>
      <c r="K2091" s="274">
        <f t="shared" si="27"/>
        <v>0</v>
      </c>
      <c r="N2091" s="274"/>
    </row>
    <row r="2092" spans="5:14" ht="13.5" customHeight="1">
      <c r="E2092" s="1" t="s">
        <v>157</v>
      </c>
      <c r="F2092" s="1" t="s">
        <v>2612</v>
      </c>
      <c r="G2092" s="409" t="str">
        <f t="shared" si="25"/>
        <v>15-12</v>
      </c>
      <c r="H2092" s="273" t="e">
        <f ca="1">_xludf.IFNA(VLOOKUP(Aragon!E2092,'Kilter Holds'!$P$37:$AB$662,7,0),0)+(2*_xludf.IFNA(VLOOKUP(Aragon!A2092,'Kilter Holds'!$P$37:$AB$662,7,0),0))</f>
        <v>#NAME?</v>
      </c>
      <c r="I2092" s="274"/>
      <c r="J2092" s="274" t="e">
        <f t="shared" ca="1" si="26"/>
        <v>#NAME?</v>
      </c>
      <c r="K2092" s="274">
        <f t="shared" si="27"/>
        <v>0</v>
      </c>
      <c r="N2092" s="274"/>
    </row>
    <row r="2093" spans="5:14" ht="13.5" customHeight="1">
      <c r="E2093" s="1" t="s">
        <v>157</v>
      </c>
      <c r="F2093" s="1" t="s">
        <v>2612</v>
      </c>
      <c r="G2093" s="410" t="str">
        <f t="shared" si="25"/>
        <v>16-16</v>
      </c>
      <c r="H2093" s="273" t="e">
        <f ca="1">_xludf.IFNA(VLOOKUP(Aragon!E2093,'Kilter Holds'!$P$37:$AB$662,8,0),0)+(2*_xludf.IFNA(VLOOKUP(Aragon!A2093,'Kilter Holds'!$P$37:$AB$662,8,0),0))</f>
        <v>#NAME?</v>
      </c>
      <c r="I2093" s="274"/>
      <c r="J2093" s="274" t="e">
        <f t="shared" ca="1" si="26"/>
        <v>#NAME?</v>
      </c>
      <c r="K2093" s="274">
        <f t="shared" si="27"/>
        <v>0</v>
      </c>
      <c r="N2093" s="274"/>
    </row>
    <row r="2094" spans="5:14" ht="13.5" customHeight="1">
      <c r="E2094" s="1" t="s">
        <v>157</v>
      </c>
      <c r="F2094" s="1" t="s">
        <v>2612</v>
      </c>
      <c r="G2094" s="411" t="str">
        <f t="shared" si="25"/>
        <v>13-01</v>
      </c>
      <c r="H2094" s="273" t="e">
        <f ca="1">_xludf.IFNA(VLOOKUP(Aragon!E2094,'Kilter Holds'!$P$37:$AB$662,9,0),0)+(2*_xludf.IFNA(VLOOKUP(Aragon!A2094,'Kilter Holds'!$P$37:$AB$662,9,0),0))</f>
        <v>#NAME?</v>
      </c>
      <c r="I2094" s="274"/>
      <c r="J2094" s="274" t="e">
        <f t="shared" ca="1" si="26"/>
        <v>#NAME?</v>
      </c>
      <c r="K2094" s="274">
        <f t="shared" si="27"/>
        <v>0</v>
      </c>
      <c r="N2094" s="274"/>
    </row>
    <row r="2095" spans="5:14" ht="13.5" customHeight="1">
      <c r="E2095" s="1" t="s">
        <v>157</v>
      </c>
      <c r="F2095" s="1" t="s">
        <v>2612</v>
      </c>
      <c r="G2095" s="413" t="str">
        <f t="shared" si="25"/>
        <v>07-13</v>
      </c>
      <c r="H2095" s="273" t="e">
        <f ca="1">_xludf.IFNA(VLOOKUP(Aragon!E2095,'Kilter Holds'!$P$37:$AB$662,10,0),0)+(2*_xludf.IFNA(VLOOKUP(Aragon!A2095,'Kilter Holds'!$P$37:$AB$662,10,0),0))</f>
        <v>#NAME?</v>
      </c>
      <c r="I2095" s="274"/>
      <c r="J2095" s="274" t="e">
        <f t="shared" ca="1" si="26"/>
        <v>#NAME?</v>
      </c>
      <c r="K2095" s="274">
        <f t="shared" si="27"/>
        <v>0</v>
      </c>
      <c r="N2095" s="274"/>
    </row>
    <row r="2096" spans="5:14" ht="13.5" customHeight="1">
      <c r="E2096" s="1" t="s">
        <v>157</v>
      </c>
      <c r="F2096" s="1" t="s">
        <v>2612</v>
      </c>
      <c r="G2096" s="414" t="str">
        <f t="shared" si="25"/>
        <v>11-26</v>
      </c>
      <c r="H2096" s="273" t="e">
        <f ca="1">_xludf.IFNA(VLOOKUP(Aragon!E2096,'Kilter Holds'!$P$37:$AB$662,11,0),0)+(2*_xludf.IFNA(VLOOKUP(Aragon!A2096,'Kilter Holds'!$P$37:$AB$662,11,0),0))</f>
        <v>#NAME?</v>
      </c>
      <c r="I2096" s="274"/>
      <c r="J2096" s="274" t="e">
        <f t="shared" ca="1" si="26"/>
        <v>#NAME?</v>
      </c>
      <c r="K2096" s="274">
        <f t="shared" si="27"/>
        <v>0</v>
      </c>
      <c r="N2096" s="274"/>
    </row>
    <row r="2097" spans="5:14" ht="13.5" customHeight="1">
      <c r="E2097" s="1" t="s">
        <v>157</v>
      </c>
      <c r="F2097" s="1" t="s">
        <v>2612</v>
      </c>
      <c r="G2097" s="415" t="str">
        <f t="shared" si="25"/>
        <v>18-01</v>
      </c>
      <c r="H2097" s="273" t="e">
        <f ca="1">_xludf.IFNA(VLOOKUP(Aragon!E2097,'Kilter Holds'!$P$37:$AB$662,12,0),0)+(2*_xludf.IFNA(VLOOKUP(Aragon!A2097,'Kilter Holds'!$P$37:$AB$662,12,0),0))</f>
        <v>#NAME?</v>
      </c>
      <c r="I2097" s="274"/>
      <c r="J2097" s="274" t="e">
        <f t="shared" ca="1" si="26"/>
        <v>#NAME?</v>
      </c>
      <c r="K2097" s="274">
        <f t="shared" si="27"/>
        <v>0</v>
      </c>
      <c r="N2097" s="274"/>
    </row>
    <row r="2098" spans="5:14" ht="13.5" customHeight="1">
      <c r="E2098" s="1" t="s">
        <v>157</v>
      </c>
      <c r="F2098" s="1" t="s">
        <v>2612</v>
      </c>
      <c r="G2098" s="416" t="str">
        <f t="shared" si="25"/>
        <v>Color Code</v>
      </c>
      <c r="H2098" s="273" t="e">
        <f ca="1">_xludf.IFNA(VLOOKUP(Aragon!E2098,'Kilter Holds'!$P$37:$AB$662,13,0),0)+(2*_xludf.IFNA(VLOOKUP(Aragon!A2098,'Kilter Holds'!$P$37:$AB$662,13,0),0))</f>
        <v>#NAME?</v>
      </c>
      <c r="I2098" s="274"/>
      <c r="J2098" s="274" t="e">
        <f t="shared" ca="1" si="26"/>
        <v>#NAME?</v>
      </c>
      <c r="K2098" s="274">
        <f t="shared" si="27"/>
        <v>0</v>
      </c>
      <c r="N2098" s="274"/>
    </row>
    <row r="2099" spans="5:14" ht="13.5" customHeight="1">
      <c r="E2099" s="1" t="s">
        <v>181</v>
      </c>
      <c r="F2099" s="1" t="s">
        <v>2613</v>
      </c>
      <c r="G2099" s="406" t="str">
        <f t="shared" si="25"/>
        <v>11-12</v>
      </c>
      <c r="H2099" s="273" t="e">
        <f ca="1">_xludf.IFNA(VLOOKUP(Aragon!E2099,'Kilter Holds'!$P$37:$AB$662,5,0),0)+(2*_xludf.IFNA(VLOOKUP(Aragon!A2099,'Kilter Holds'!$P$37:$AB$662,5,0),0))</f>
        <v>#NAME?</v>
      </c>
      <c r="I2099" s="274"/>
      <c r="J2099" s="274" t="e">
        <f t="shared" ca="1" si="26"/>
        <v>#NAME?</v>
      </c>
      <c r="K2099" s="274">
        <f t="shared" si="27"/>
        <v>0</v>
      </c>
      <c r="N2099" s="274"/>
    </row>
    <row r="2100" spans="5:14" ht="13.5" customHeight="1">
      <c r="E2100" s="1" t="s">
        <v>181</v>
      </c>
      <c r="F2100" s="1" t="s">
        <v>2613</v>
      </c>
      <c r="G2100" s="408" t="str">
        <f t="shared" si="25"/>
        <v>14-01</v>
      </c>
      <c r="H2100" s="273" t="e">
        <f ca="1">_xludf.IFNA(VLOOKUP(Aragon!E2100,'Kilter Holds'!$P$37:$AB$662,6,0),0)+(2*_xludf.IFNA(VLOOKUP(Aragon!A2100,'Kilter Holds'!$P$37:$AB$662,6,0),0))</f>
        <v>#NAME?</v>
      </c>
      <c r="I2100" s="274"/>
      <c r="J2100" s="274" t="e">
        <f t="shared" ca="1" si="26"/>
        <v>#NAME?</v>
      </c>
      <c r="K2100" s="274">
        <f t="shared" si="27"/>
        <v>0</v>
      </c>
      <c r="N2100" s="274"/>
    </row>
    <row r="2101" spans="5:14" ht="13.5" customHeight="1">
      <c r="E2101" s="1" t="s">
        <v>181</v>
      </c>
      <c r="F2101" s="1" t="s">
        <v>2613</v>
      </c>
      <c r="G2101" s="409" t="str">
        <f t="shared" si="25"/>
        <v>15-12</v>
      </c>
      <c r="H2101" s="273" t="e">
        <f ca="1">_xludf.IFNA(VLOOKUP(Aragon!E2101,'Kilter Holds'!$P$37:$AB$662,7,0),0)+(2*_xludf.IFNA(VLOOKUP(Aragon!A2101,'Kilter Holds'!$P$37:$AB$662,7,0),0))</f>
        <v>#NAME?</v>
      </c>
      <c r="I2101" s="274"/>
      <c r="J2101" s="274" t="e">
        <f t="shared" ca="1" si="26"/>
        <v>#NAME?</v>
      </c>
      <c r="K2101" s="274">
        <f t="shared" si="27"/>
        <v>0</v>
      </c>
      <c r="N2101" s="274"/>
    </row>
    <row r="2102" spans="5:14" ht="13.5" customHeight="1">
      <c r="E2102" s="1" t="s">
        <v>181</v>
      </c>
      <c r="F2102" s="1" t="s">
        <v>2613</v>
      </c>
      <c r="G2102" s="410" t="str">
        <f t="shared" si="25"/>
        <v>16-16</v>
      </c>
      <c r="H2102" s="273" t="e">
        <f ca="1">_xludf.IFNA(VLOOKUP(Aragon!E2102,'Kilter Holds'!$P$37:$AB$662,8,0),0)+(2*_xludf.IFNA(VLOOKUP(Aragon!A2102,'Kilter Holds'!$P$37:$AB$662,8,0),0))</f>
        <v>#NAME?</v>
      </c>
      <c r="I2102" s="274"/>
      <c r="J2102" s="274" t="e">
        <f t="shared" ca="1" si="26"/>
        <v>#NAME?</v>
      </c>
      <c r="K2102" s="274">
        <f t="shared" si="27"/>
        <v>0</v>
      </c>
      <c r="N2102" s="274"/>
    </row>
    <row r="2103" spans="5:14" ht="13.5" customHeight="1">
      <c r="E2103" s="1" t="s">
        <v>181</v>
      </c>
      <c r="F2103" s="1" t="s">
        <v>2613</v>
      </c>
      <c r="G2103" s="411" t="str">
        <f t="shared" si="25"/>
        <v>13-01</v>
      </c>
      <c r="H2103" s="273" t="e">
        <f ca="1">_xludf.IFNA(VLOOKUP(Aragon!E2103,'Kilter Holds'!$P$37:$AB$662,9,0),0)+(2*_xludf.IFNA(VLOOKUP(Aragon!A2103,'Kilter Holds'!$P$37:$AB$662,9,0),0))</f>
        <v>#NAME?</v>
      </c>
      <c r="I2103" s="274"/>
      <c r="J2103" s="274" t="e">
        <f t="shared" ca="1" si="26"/>
        <v>#NAME?</v>
      </c>
      <c r="K2103" s="274">
        <f t="shared" si="27"/>
        <v>0</v>
      </c>
      <c r="N2103" s="274"/>
    </row>
    <row r="2104" spans="5:14" ht="13.5" customHeight="1">
      <c r="E2104" s="1" t="s">
        <v>181</v>
      </c>
      <c r="F2104" s="1" t="s">
        <v>2613</v>
      </c>
      <c r="G2104" s="413" t="str">
        <f t="shared" si="25"/>
        <v>07-13</v>
      </c>
      <c r="H2104" s="273" t="e">
        <f ca="1">_xludf.IFNA(VLOOKUP(Aragon!E2104,'Kilter Holds'!$P$37:$AB$662,10,0),0)+(2*_xludf.IFNA(VLOOKUP(Aragon!A2104,'Kilter Holds'!$P$37:$AB$662,10,0),0))</f>
        <v>#NAME?</v>
      </c>
      <c r="I2104" s="274"/>
      <c r="J2104" s="274" t="e">
        <f t="shared" ca="1" si="26"/>
        <v>#NAME?</v>
      </c>
      <c r="K2104" s="274">
        <f t="shared" si="27"/>
        <v>0</v>
      </c>
      <c r="N2104" s="274"/>
    </row>
    <row r="2105" spans="5:14" ht="13.5" customHeight="1">
      <c r="E2105" s="1" t="s">
        <v>181</v>
      </c>
      <c r="F2105" s="1" t="s">
        <v>2613</v>
      </c>
      <c r="G2105" s="414" t="str">
        <f t="shared" si="25"/>
        <v>11-26</v>
      </c>
      <c r="H2105" s="273" t="e">
        <f ca="1">_xludf.IFNA(VLOOKUP(Aragon!E2105,'Kilter Holds'!$P$37:$AB$662,11,0),0)+(2*_xludf.IFNA(VLOOKUP(Aragon!A2105,'Kilter Holds'!$P$37:$AB$662,11,0),0))</f>
        <v>#NAME?</v>
      </c>
      <c r="I2105" s="274"/>
      <c r="J2105" s="274" t="e">
        <f t="shared" ca="1" si="26"/>
        <v>#NAME?</v>
      </c>
      <c r="K2105" s="274">
        <f t="shared" si="27"/>
        <v>0</v>
      </c>
      <c r="N2105" s="274"/>
    </row>
    <row r="2106" spans="5:14" ht="13.5" customHeight="1">
      <c r="E2106" s="1" t="s">
        <v>181</v>
      </c>
      <c r="F2106" s="1" t="s">
        <v>2613</v>
      </c>
      <c r="G2106" s="415" t="str">
        <f t="shared" si="25"/>
        <v>18-01</v>
      </c>
      <c r="H2106" s="273" t="e">
        <f ca="1">_xludf.IFNA(VLOOKUP(Aragon!E2106,'Kilter Holds'!$P$37:$AB$662,12,0),0)+(2*_xludf.IFNA(VLOOKUP(Aragon!A2106,'Kilter Holds'!$P$37:$AB$662,12,0),0))</f>
        <v>#NAME?</v>
      </c>
      <c r="I2106" s="274"/>
      <c r="J2106" s="274" t="e">
        <f t="shared" ca="1" si="26"/>
        <v>#NAME?</v>
      </c>
      <c r="K2106" s="274">
        <f t="shared" si="27"/>
        <v>0</v>
      </c>
      <c r="N2106" s="274"/>
    </row>
    <row r="2107" spans="5:14" ht="13.5" customHeight="1">
      <c r="E2107" s="1" t="s">
        <v>181</v>
      </c>
      <c r="F2107" s="1" t="s">
        <v>2613</v>
      </c>
      <c r="G2107" s="416" t="str">
        <f t="shared" si="25"/>
        <v>Color Code</v>
      </c>
      <c r="H2107" s="273" t="e">
        <f ca="1">_xludf.IFNA(VLOOKUP(Aragon!E2107,'Kilter Holds'!$P$37:$AB$662,13,0),0)+(2*_xludf.IFNA(VLOOKUP(Aragon!A2107,'Kilter Holds'!$P$37:$AB$662,13,0),0))</f>
        <v>#NAME?</v>
      </c>
      <c r="I2107" s="274"/>
      <c r="J2107" s="274" t="e">
        <f t="shared" ca="1" si="26"/>
        <v>#NAME?</v>
      </c>
      <c r="K2107" s="274">
        <f t="shared" si="27"/>
        <v>0</v>
      </c>
      <c r="N2107" s="274"/>
    </row>
    <row r="2108" spans="5:14" ht="13.5" customHeight="1">
      <c r="E2108" s="1" t="s">
        <v>211</v>
      </c>
      <c r="F2108" s="1" t="s">
        <v>2614</v>
      </c>
      <c r="G2108" s="406" t="str">
        <f t="shared" si="25"/>
        <v>11-12</v>
      </c>
      <c r="H2108" s="273" t="e">
        <f ca="1">_xludf.IFNA(VLOOKUP(Aragon!E2108,'Kilter Holds'!$P$37:$AB$662,5,0),0)+(2*_xludf.IFNA(VLOOKUP(Aragon!A2108,'Kilter Holds'!$P$37:$AB$662,5,0),0))</f>
        <v>#NAME?</v>
      </c>
      <c r="I2108" s="274"/>
      <c r="J2108" s="274" t="e">
        <f t="shared" ca="1" si="26"/>
        <v>#NAME?</v>
      </c>
      <c r="K2108" s="274">
        <f t="shared" si="27"/>
        <v>0</v>
      </c>
      <c r="N2108" s="274"/>
    </row>
    <row r="2109" spans="5:14" ht="13.5" customHeight="1">
      <c r="E2109" s="1" t="s">
        <v>211</v>
      </c>
      <c r="F2109" s="1" t="s">
        <v>2614</v>
      </c>
      <c r="G2109" s="408" t="str">
        <f t="shared" si="25"/>
        <v>14-01</v>
      </c>
      <c r="H2109" s="273" t="e">
        <f ca="1">_xludf.IFNA(VLOOKUP(Aragon!E2109,'Kilter Holds'!$P$37:$AB$662,6,0),0)+(2*_xludf.IFNA(VLOOKUP(Aragon!A2109,'Kilter Holds'!$P$37:$AB$662,6,0),0))</f>
        <v>#NAME?</v>
      </c>
      <c r="I2109" s="274"/>
      <c r="J2109" s="274" t="e">
        <f t="shared" ca="1" si="26"/>
        <v>#NAME?</v>
      </c>
      <c r="K2109" s="274">
        <f t="shared" si="27"/>
        <v>0</v>
      </c>
      <c r="N2109" s="274"/>
    </row>
    <row r="2110" spans="5:14" ht="13.5" customHeight="1">
      <c r="E2110" s="1" t="s">
        <v>211</v>
      </c>
      <c r="F2110" s="1" t="s">
        <v>2614</v>
      </c>
      <c r="G2110" s="409" t="str">
        <f t="shared" si="25"/>
        <v>15-12</v>
      </c>
      <c r="H2110" s="273" t="e">
        <f ca="1">_xludf.IFNA(VLOOKUP(Aragon!E2110,'Kilter Holds'!$P$37:$AB$662,7,0),0)+(2*_xludf.IFNA(VLOOKUP(Aragon!A2110,'Kilter Holds'!$P$37:$AB$662,7,0),0))</f>
        <v>#NAME?</v>
      </c>
      <c r="I2110" s="274"/>
      <c r="J2110" s="274" t="e">
        <f t="shared" ca="1" si="26"/>
        <v>#NAME?</v>
      </c>
      <c r="K2110" s="274">
        <f t="shared" si="27"/>
        <v>0</v>
      </c>
      <c r="N2110" s="274"/>
    </row>
    <row r="2111" spans="5:14" ht="13.5" customHeight="1">
      <c r="E2111" s="1" t="s">
        <v>211</v>
      </c>
      <c r="F2111" s="1" t="s">
        <v>2614</v>
      </c>
      <c r="G2111" s="410" t="str">
        <f t="shared" si="25"/>
        <v>16-16</v>
      </c>
      <c r="H2111" s="273" t="e">
        <f ca="1">_xludf.IFNA(VLOOKUP(Aragon!E2111,'Kilter Holds'!$P$37:$AB$662,8,0),0)+(2*_xludf.IFNA(VLOOKUP(Aragon!A2111,'Kilter Holds'!$P$37:$AB$662,8,0),0))</f>
        <v>#NAME?</v>
      </c>
      <c r="I2111" s="274"/>
      <c r="J2111" s="274" t="e">
        <f t="shared" ca="1" si="26"/>
        <v>#NAME?</v>
      </c>
      <c r="K2111" s="274">
        <f t="shared" si="27"/>
        <v>0</v>
      </c>
      <c r="N2111" s="274"/>
    </row>
    <row r="2112" spans="5:14" ht="13.5" customHeight="1">
      <c r="E2112" s="1" t="s">
        <v>211</v>
      </c>
      <c r="F2112" s="1" t="s">
        <v>2614</v>
      </c>
      <c r="G2112" s="411" t="str">
        <f t="shared" si="25"/>
        <v>13-01</v>
      </c>
      <c r="H2112" s="273" t="e">
        <f ca="1">_xludf.IFNA(VLOOKUP(Aragon!E2112,'Kilter Holds'!$P$37:$AB$662,9,0),0)+(2*_xludf.IFNA(VLOOKUP(Aragon!A2112,'Kilter Holds'!$P$37:$AB$662,9,0),0))</f>
        <v>#NAME?</v>
      </c>
      <c r="I2112" s="274"/>
      <c r="J2112" s="274" t="e">
        <f t="shared" ca="1" si="26"/>
        <v>#NAME?</v>
      </c>
      <c r="K2112" s="274">
        <f t="shared" si="27"/>
        <v>0</v>
      </c>
      <c r="N2112" s="274"/>
    </row>
    <row r="2113" spans="5:14" ht="13.5" customHeight="1">
      <c r="E2113" s="1" t="s">
        <v>211</v>
      </c>
      <c r="F2113" s="1" t="s">
        <v>2614</v>
      </c>
      <c r="G2113" s="413" t="str">
        <f t="shared" si="25"/>
        <v>07-13</v>
      </c>
      <c r="H2113" s="273" t="e">
        <f ca="1">_xludf.IFNA(VLOOKUP(Aragon!E2113,'Kilter Holds'!$P$37:$AB$662,10,0),0)+(2*_xludf.IFNA(VLOOKUP(Aragon!A2113,'Kilter Holds'!$P$37:$AB$662,10,0),0))</f>
        <v>#NAME?</v>
      </c>
      <c r="I2113" s="274"/>
      <c r="J2113" s="274" t="e">
        <f t="shared" ca="1" si="26"/>
        <v>#NAME?</v>
      </c>
      <c r="K2113" s="274">
        <f t="shared" si="27"/>
        <v>0</v>
      </c>
      <c r="N2113" s="274"/>
    </row>
    <row r="2114" spans="5:14" ht="13.5" customHeight="1">
      <c r="E2114" s="1" t="s">
        <v>211</v>
      </c>
      <c r="F2114" s="1" t="s">
        <v>2614</v>
      </c>
      <c r="G2114" s="414" t="str">
        <f t="shared" si="25"/>
        <v>11-26</v>
      </c>
      <c r="H2114" s="273" t="e">
        <f ca="1">_xludf.IFNA(VLOOKUP(Aragon!E2114,'Kilter Holds'!$P$37:$AB$662,11,0),0)+(2*_xludf.IFNA(VLOOKUP(Aragon!A2114,'Kilter Holds'!$P$37:$AB$662,11,0),0))</f>
        <v>#NAME?</v>
      </c>
      <c r="I2114" s="274"/>
      <c r="J2114" s="274" t="e">
        <f t="shared" ca="1" si="26"/>
        <v>#NAME?</v>
      </c>
      <c r="K2114" s="274">
        <f t="shared" si="27"/>
        <v>0</v>
      </c>
      <c r="N2114" s="274"/>
    </row>
    <row r="2115" spans="5:14" ht="13.5" customHeight="1">
      <c r="E2115" s="1" t="s">
        <v>211</v>
      </c>
      <c r="F2115" s="1" t="s">
        <v>2614</v>
      </c>
      <c r="G2115" s="415" t="str">
        <f t="shared" si="25"/>
        <v>18-01</v>
      </c>
      <c r="H2115" s="273" t="e">
        <f ca="1">_xludf.IFNA(VLOOKUP(Aragon!E2115,'Kilter Holds'!$P$37:$AB$662,12,0),0)+(2*_xludf.IFNA(VLOOKUP(Aragon!A2115,'Kilter Holds'!$P$37:$AB$662,12,0),0))</f>
        <v>#NAME?</v>
      </c>
      <c r="I2115" s="274"/>
      <c r="J2115" s="274" t="e">
        <f t="shared" ca="1" si="26"/>
        <v>#NAME?</v>
      </c>
      <c r="K2115" s="274">
        <f t="shared" si="27"/>
        <v>0</v>
      </c>
      <c r="N2115" s="274"/>
    </row>
    <row r="2116" spans="5:14" ht="13.5" customHeight="1">
      <c r="E2116" s="1" t="s">
        <v>211</v>
      </c>
      <c r="F2116" s="1" t="s">
        <v>2614</v>
      </c>
      <c r="G2116" s="416" t="str">
        <f t="shared" si="25"/>
        <v>Color Code</v>
      </c>
      <c r="H2116" s="273" t="e">
        <f ca="1">_xludf.IFNA(VLOOKUP(Aragon!E2116,'Kilter Holds'!$P$37:$AB$662,13,0),0)+(2*_xludf.IFNA(VLOOKUP(Aragon!A2116,'Kilter Holds'!$P$37:$AB$662,13,0),0))</f>
        <v>#NAME?</v>
      </c>
      <c r="I2116" s="274"/>
      <c r="J2116" s="274" t="e">
        <f t="shared" ca="1" si="26"/>
        <v>#NAME?</v>
      </c>
      <c r="K2116" s="274">
        <f t="shared" si="27"/>
        <v>0</v>
      </c>
      <c r="N2116" s="274"/>
    </row>
    <row r="2117" spans="5:14" ht="13.5" customHeight="1">
      <c r="E2117" s="1" t="s">
        <v>213</v>
      </c>
      <c r="F2117" s="1" t="s">
        <v>2615</v>
      </c>
      <c r="G2117" s="406" t="str">
        <f t="shared" si="25"/>
        <v>11-12</v>
      </c>
      <c r="H2117" s="273" t="e">
        <f ca="1">_xludf.IFNA(VLOOKUP(Aragon!E2117,'Kilter Holds'!$P$37:$AB$662,5,0),0)+(2*_xludf.IFNA(VLOOKUP(Aragon!A2117,'Kilter Holds'!$P$37:$AB$662,5,0),0))</f>
        <v>#NAME?</v>
      </c>
      <c r="I2117" s="274"/>
      <c r="J2117" s="274" t="e">
        <f t="shared" ca="1" si="26"/>
        <v>#NAME?</v>
      </c>
      <c r="K2117" s="274">
        <f t="shared" si="27"/>
        <v>0</v>
      </c>
      <c r="N2117" s="274"/>
    </row>
    <row r="2118" spans="5:14" ht="13.5" customHeight="1">
      <c r="E2118" s="1" t="s">
        <v>213</v>
      </c>
      <c r="F2118" s="1" t="s">
        <v>2615</v>
      </c>
      <c r="G2118" s="408" t="str">
        <f t="shared" si="25"/>
        <v>14-01</v>
      </c>
      <c r="H2118" s="273" t="e">
        <f ca="1">_xludf.IFNA(VLOOKUP(Aragon!E2118,'Kilter Holds'!$P$37:$AB$662,6,0),0)+(2*_xludf.IFNA(VLOOKUP(Aragon!A2118,'Kilter Holds'!$P$37:$AB$662,6,0),0))</f>
        <v>#NAME?</v>
      </c>
      <c r="I2118" s="274"/>
      <c r="J2118" s="274" t="e">
        <f t="shared" ca="1" si="26"/>
        <v>#NAME?</v>
      </c>
      <c r="K2118" s="274">
        <f t="shared" si="27"/>
        <v>0</v>
      </c>
      <c r="N2118" s="274"/>
    </row>
    <row r="2119" spans="5:14" ht="13.5" customHeight="1">
      <c r="E2119" s="1" t="s">
        <v>213</v>
      </c>
      <c r="F2119" s="1" t="s">
        <v>2615</v>
      </c>
      <c r="G2119" s="409" t="str">
        <f t="shared" si="25"/>
        <v>15-12</v>
      </c>
      <c r="H2119" s="273" t="e">
        <f ca="1">_xludf.IFNA(VLOOKUP(Aragon!E2119,'Kilter Holds'!$P$37:$AB$662,7,0),0)+(2*_xludf.IFNA(VLOOKUP(Aragon!A2119,'Kilter Holds'!$P$37:$AB$662,7,0),0))</f>
        <v>#NAME?</v>
      </c>
      <c r="I2119" s="274"/>
      <c r="J2119" s="274" t="e">
        <f t="shared" ca="1" si="26"/>
        <v>#NAME?</v>
      </c>
      <c r="K2119" s="274">
        <f t="shared" si="27"/>
        <v>0</v>
      </c>
      <c r="N2119" s="274"/>
    </row>
    <row r="2120" spans="5:14" ht="13.5" customHeight="1">
      <c r="E2120" s="1" t="s">
        <v>213</v>
      </c>
      <c r="F2120" s="1" t="s">
        <v>2615</v>
      </c>
      <c r="G2120" s="410" t="str">
        <f t="shared" si="25"/>
        <v>16-16</v>
      </c>
      <c r="H2120" s="273" t="e">
        <f ca="1">_xludf.IFNA(VLOOKUP(Aragon!E2120,'Kilter Holds'!$P$37:$AB$662,8,0),0)+(2*_xludf.IFNA(VLOOKUP(Aragon!A2120,'Kilter Holds'!$P$37:$AB$662,8,0),0))</f>
        <v>#NAME?</v>
      </c>
      <c r="I2120" s="274"/>
      <c r="J2120" s="274" t="e">
        <f t="shared" ca="1" si="26"/>
        <v>#NAME?</v>
      </c>
      <c r="K2120" s="274">
        <f t="shared" si="27"/>
        <v>0</v>
      </c>
      <c r="N2120" s="274"/>
    </row>
    <row r="2121" spans="5:14" ht="13.5" customHeight="1">
      <c r="E2121" s="1" t="s">
        <v>213</v>
      </c>
      <c r="F2121" s="1" t="s">
        <v>2615</v>
      </c>
      <c r="G2121" s="411" t="str">
        <f t="shared" si="25"/>
        <v>13-01</v>
      </c>
      <c r="H2121" s="273" t="e">
        <f ca="1">_xludf.IFNA(VLOOKUP(Aragon!E2121,'Kilter Holds'!$P$37:$AB$662,9,0),0)+(2*_xludf.IFNA(VLOOKUP(Aragon!A2121,'Kilter Holds'!$P$37:$AB$662,9,0),0))</f>
        <v>#NAME?</v>
      </c>
      <c r="I2121" s="274"/>
      <c r="J2121" s="274" t="e">
        <f t="shared" ca="1" si="26"/>
        <v>#NAME?</v>
      </c>
      <c r="K2121" s="274">
        <f t="shared" si="27"/>
        <v>0</v>
      </c>
      <c r="N2121" s="274"/>
    </row>
    <row r="2122" spans="5:14" ht="13.5" customHeight="1">
      <c r="E2122" s="1" t="s">
        <v>213</v>
      </c>
      <c r="F2122" s="1" t="s">
        <v>2615</v>
      </c>
      <c r="G2122" s="413" t="str">
        <f t="shared" si="25"/>
        <v>07-13</v>
      </c>
      <c r="H2122" s="273" t="e">
        <f ca="1">_xludf.IFNA(VLOOKUP(Aragon!E2122,'Kilter Holds'!$P$37:$AB$662,10,0),0)+(2*_xludf.IFNA(VLOOKUP(Aragon!A2122,'Kilter Holds'!$P$37:$AB$662,10,0),0))</f>
        <v>#NAME?</v>
      </c>
      <c r="I2122" s="274"/>
      <c r="J2122" s="274" t="e">
        <f t="shared" ca="1" si="26"/>
        <v>#NAME?</v>
      </c>
      <c r="K2122" s="274">
        <f t="shared" si="27"/>
        <v>0</v>
      </c>
      <c r="N2122" s="274"/>
    </row>
    <row r="2123" spans="5:14" ht="13.5" customHeight="1">
      <c r="E2123" s="1" t="s">
        <v>213</v>
      </c>
      <c r="F2123" s="1" t="s">
        <v>2615</v>
      </c>
      <c r="G2123" s="414" t="str">
        <f t="shared" si="25"/>
        <v>11-26</v>
      </c>
      <c r="H2123" s="273" t="e">
        <f ca="1">_xludf.IFNA(VLOOKUP(Aragon!E2123,'Kilter Holds'!$P$37:$AB$662,11,0),0)+(2*_xludf.IFNA(VLOOKUP(Aragon!A2123,'Kilter Holds'!$P$37:$AB$662,11,0),0))</f>
        <v>#NAME?</v>
      </c>
      <c r="I2123" s="274"/>
      <c r="J2123" s="274" t="e">
        <f t="shared" ca="1" si="26"/>
        <v>#NAME?</v>
      </c>
      <c r="K2123" s="274">
        <f t="shared" si="27"/>
        <v>0</v>
      </c>
      <c r="N2123" s="274"/>
    </row>
    <row r="2124" spans="5:14" ht="13.5" customHeight="1">
      <c r="E2124" s="1" t="s">
        <v>213</v>
      </c>
      <c r="F2124" s="1" t="s">
        <v>2615</v>
      </c>
      <c r="G2124" s="415" t="str">
        <f t="shared" si="25"/>
        <v>18-01</v>
      </c>
      <c r="H2124" s="273" t="e">
        <f ca="1">_xludf.IFNA(VLOOKUP(Aragon!E2124,'Kilter Holds'!$P$37:$AB$662,12,0),0)+(2*_xludf.IFNA(VLOOKUP(Aragon!A2124,'Kilter Holds'!$P$37:$AB$662,12,0),0))</f>
        <v>#NAME?</v>
      </c>
      <c r="I2124" s="274"/>
      <c r="J2124" s="274" t="e">
        <f t="shared" ca="1" si="26"/>
        <v>#NAME?</v>
      </c>
      <c r="K2124" s="274">
        <f t="shared" si="27"/>
        <v>0</v>
      </c>
      <c r="N2124" s="274"/>
    </row>
    <row r="2125" spans="5:14" ht="13.5" customHeight="1">
      <c r="E2125" s="1" t="s">
        <v>213</v>
      </c>
      <c r="F2125" s="1" t="s">
        <v>2615</v>
      </c>
      <c r="G2125" s="416" t="str">
        <f t="shared" si="25"/>
        <v>Color Code</v>
      </c>
      <c r="H2125" s="273" t="e">
        <f ca="1">_xludf.IFNA(VLOOKUP(Aragon!E2125,'Kilter Holds'!$P$37:$AB$662,13,0),0)+(2*_xludf.IFNA(VLOOKUP(Aragon!A2125,'Kilter Holds'!$P$37:$AB$662,13,0),0))</f>
        <v>#NAME?</v>
      </c>
      <c r="I2125" s="274"/>
      <c r="J2125" s="274" t="e">
        <f t="shared" ca="1" si="26"/>
        <v>#NAME?</v>
      </c>
      <c r="K2125" s="274">
        <f t="shared" si="27"/>
        <v>0</v>
      </c>
      <c r="N2125" s="274"/>
    </row>
    <row r="2126" spans="5:14" ht="13.5" customHeight="1">
      <c r="E2126" s="1" t="s">
        <v>317</v>
      </c>
      <c r="F2126" s="1" t="s">
        <v>2616</v>
      </c>
      <c r="G2126" s="406" t="str">
        <f t="shared" si="25"/>
        <v>11-12</v>
      </c>
      <c r="H2126" s="273" t="e">
        <f ca="1">_xludf.IFNA(VLOOKUP(Aragon!E2126,'Kilter Holds'!$P$37:$AB$662,5,0),0)+(2*_xludf.IFNA(VLOOKUP(Aragon!A2126,'Kilter Holds'!$P$37:$AB$662,5,0),0))</f>
        <v>#NAME?</v>
      </c>
      <c r="I2126" s="274"/>
      <c r="J2126" s="274" t="e">
        <f t="shared" ca="1" si="26"/>
        <v>#NAME?</v>
      </c>
      <c r="K2126" s="274">
        <f t="shared" si="27"/>
        <v>0</v>
      </c>
      <c r="N2126" s="274"/>
    </row>
    <row r="2127" spans="5:14" ht="13.5" customHeight="1">
      <c r="E2127" s="1" t="s">
        <v>317</v>
      </c>
      <c r="F2127" s="1" t="s">
        <v>2616</v>
      </c>
      <c r="G2127" s="408" t="str">
        <f t="shared" si="25"/>
        <v>14-01</v>
      </c>
      <c r="H2127" s="273" t="e">
        <f ca="1">_xludf.IFNA(VLOOKUP(Aragon!E2127,'Kilter Holds'!$P$37:$AB$662,6,0),0)+(2*_xludf.IFNA(VLOOKUP(Aragon!A2127,'Kilter Holds'!$P$37:$AB$662,6,0),0))</f>
        <v>#NAME?</v>
      </c>
      <c r="I2127" s="274"/>
      <c r="J2127" s="274" t="e">
        <f t="shared" ca="1" si="26"/>
        <v>#NAME?</v>
      </c>
      <c r="K2127" s="274">
        <f t="shared" si="27"/>
        <v>0</v>
      </c>
      <c r="N2127" s="274"/>
    </row>
    <row r="2128" spans="5:14" ht="13.5" customHeight="1">
      <c r="E2128" s="1" t="s">
        <v>317</v>
      </c>
      <c r="F2128" s="1" t="s">
        <v>2616</v>
      </c>
      <c r="G2128" s="409" t="str">
        <f t="shared" si="25"/>
        <v>15-12</v>
      </c>
      <c r="H2128" s="273" t="e">
        <f ca="1">_xludf.IFNA(VLOOKUP(Aragon!E2128,'Kilter Holds'!$P$37:$AB$662,7,0),0)+(2*_xludf.IFNA(VLOOKUP(Aragon!A2128,'Kilter Holds'!$P$37:$AB$662,7,0),0))</f>
        <v>#NAME?</v>
      </c>
      <c r="I2128" s="274"/>
      <c r="J2128" s="274" t="e">
        <f t="shared" ca="1" si="26"/>
        <v>#NAME?</v>
      </c>
      <c r="K2128" s="274">
        <f t="shared" si="27"/>
        <v>0</v>
      </c>
      <c r="N2128" s="274"/>
    </row>
    <row r="2129" spans="5:14" ht="13.5" customHeight="1">
      <c r="E2129" s="1" t="s">
        <v>317</v>
      </c>
      <c r="F2129" s="1" t="s">
        <v>2616</v>
      </c>
      <c r="G2129" s="410" t="str">
        <f t="shared" si="25"/>
        <v>16-16</v>
      </c>
      <c r="H2129" s="273" t="e">
        <f ca="1">_xludf.IFNA(VLOOKUP(Aragon!E2129,'Kilter Holds'!$P$37:$AB$662,8,0),0)+(2*_xludf.IFNA(VLOOKUP(Aragon!A2129,'Kilter Holds'!$P$37:$AB$662,8,0),0))</f>
        <v>#NAME?</v>
      </c>
      <c r="I2129" s="274"/>
      <c r="J2129" s="274" t="e">
        <f t="shared" ca="1" si="26"/>
        <v>#NAME?</v>
      </c>
      <c r="K2129" s="274">
        <f t="shared" si="27"/>
        <v>0</v>
      </c>
      <c r="N2129" s="274"/>
    </row>
    <row r="2130" spans="5:14" ht="13.5" customHeight="1">
      <c r="E2130" s="1" t="s">
        <v>317</v>
      </c>
      <c r="F2130" s="1" t="s">
        <v>2616</v>
      </c>
      <c r="G2130" s="411" t="str">
        <f t="shared" si="25"/>
        <v>13-01</v>
      </c>
      <c r="H2130" s="273" t="e">
        <f ca="1">_xludf.IFNA(VLOOKUP(Aragon!E2130,'Kilter Holds'!$P$37:$AB$662,9,0),0)+(2*_xludf.IFNA(VLOOKUP(Aragon!A2130,'Kilter Holds'!$P$37:$AB$662,9,0),0))</f>
        <v>#NAME?</v>
      </c>
      <c r="I2130" s="274"/>
      <c r="J2130" s="274" t="e">
        <f t="shared" ca="1" si="26"/>
        <v>#NAME?</v>
      </c>
      <c r="K2130" s="274">
        <f t="shared" si="27"/>
        <v>0</v>
      </c>
      <c r="N2130" s="274"/>
    </row>
    <row r="2131" spans="5:14" ht="13.5" customHeight="1">
      <c r="E2131" s="1" t="s">
        <v>317</v>
      </c>
      <c r="F2131" s="1" t="s">
        <v>2616</v>
      </c>
      <c r="G2131" s="413" t="str">
        <f t="shared" si="25"/>
        <v>07-13</v>
      </c>
      <c r="H2131" s="273" t="e">
        <f ca="1">_xludf.IFNA(VLOOKUP(Aragon!E2131,'Kilter Holds'!$P$37:$AB$662,10,0),0)+(2*_xludf.IFNA(VLOOKUP(Aragon!A2131,'Kilter Holds'!$P$37:$AB$662,10,0),0))</f>
        <v>#NAME?</v>
      </c>
      <c r="I2131" s="274"/>
      <c r="J2131" s="274" t="e">
        <f t="shared" ca="1" si="26"/>
        <v>#NAME?</v>
      </c>
      <c r="K2131" s="274">
        <f t="shared" si="27"/>
        <v>0</v>
      </c>
      <c r="N2131" s="274"/>
    </row>
    <row r="2132" spans="5:14" ht="13.5" customHeight="1">
      <c r="E2132" s="1" t="s">
        <v>317</v>
      </c>
      <c r="F2132" s="1" t="s">
        <v>2616</v>
      </c>
      <c r="G2132" s="414" t="str">
        <f t="shared" si="25"/>
        <v>11-26</v>
      </c>
      <c r="H2132" s="273" t="e">
        <f ca="1">_xludf.IFNA(VLOOKUP(Aragon!E2132,'Kilter Holds'!$P$37:$AB$662,11,0),0)+(2*_xludf.IFNA(VLOOKUP(Aragon!A2132,'Kilter Holds'!$P$37:$AB$662,11,0),0))</f>
        <v>#NAME?</v>
      </c>
      <c r="I2132" s="274"/>
      <c r="J2132" s="274" t="e">
        <f t="shared" ca="1" si="26"/>
        <v>#NAME?</v>
      </c>
      <c r="K2132" s="274">
        <f t="shared" si="27"/>
        <v>0</v>
      </c>
      <c r="N2132" s="274"/>
    </row>
    <row r="2133" spans="5:14" ht="13.5" customHeight="1">
      <c r="E2133" s="1" t="s">
        <v>317</v>
      </c>
      <c r="F2133" s="1" t="s">
        <v>2616</v>
      </c>
      <c r="G2133" s="415" t="str">
        <f t="shared" si="25"/>
        <v>18-01</v>
      </c>
      <c r="H2133" s="273" t="e">
        <f ca="1">_xludf.IFNA(VLOOKUP(Aragon!E2133,'Kilter Holds'!$P$37:$AB$662,12,0),0)+(2*_xludf.IFNA(VLOOKUP(Aragon!A2133,'Kilter Holds'!$P$37:$AB$662,12,0),0))</f>
        <v>#NAME?</v>
      </c>
      <c r="I2133" s="274"/>
      <c r="J2133" s="274" t="e">
        <f t="shared" ca="1" si="26"/>
        <v>#NAME?</v>
      </c>
      <c r="K2133" s="274">
        <f t="shared" si="27"/>
        <v>0</v>
      </c>
      <c r="N2133" s="274"/>
    </row>
    <row r="2134" spans="5:14" ht="13.5" customHeight="1">
      <c r="E2134" s="1" t="s">
        <v>317</v>
      </c>
      <c r="F2134" s="1" t="s">
        <v>2616</v>
      </c>
      <c r="G2134" s="416" t="str">
        <f t="shared" si="25"/>
        <v>Color Code</v>
      </c>
      <c r="H2134" s="273" t="e">
        <f ca="1">_xludf.IFNA(VLOOKUP(Aragon!E2134,'Kilter Holds'!$P$37:$AB$662,13,0),0)+(2*_xludf.IFNA(VLOOKUP(Aragon!A2134,'Kilter Holds'!$P$37:$AB$662,13,0),0))</f>
        <v>#NAME?</v>
      </c>
      <c r="I2134" s="274"/>
      <c r="J2134" s="274" t="e">
        <f t="shared" ca="1" si="26"/>
        <v>#NAME?</v>
      </c>
      <c r="K2134" s="274">
        <f t="shared" si="27"/>
        <v>0</v>
      </c>
      <c r="N2134" s="274"/>
    </row>
    <row r="2135" spans="5:14" ht="13.5" customHeight="1">
      <c r="E2135" s="1" t="s">
        <v>373</v>
      </c>
      <c r="F2135" s="1" t="s">
        <v>2617</v>
      </c>
      <c r="G2135" s="406" t="str">
        <f t="shared" si="25"/>
        <v>11-12</v>
      </c>
      <c r="H2135" s="273" t="e">
        <f ca="1">_xludf.IFNA(VLOOKUP(Aragon!E2135,'Kilter Holds'!$P$37:$AB$662,5,0),0)+(2*_xludf.IFNA(VLOOKUP(Aragon!A2135,'Kilter Holds'!$P$37:$AB$662,5,0),0))</f>
        <v>#NAME?</v>
      </c>
      <c r="I2135" s="274"/>
      <c r="J2135" s="274" t="e">
        <f t="shared" ca="1" si="26"/>
        <v>#NAME?</v>
      </c>
      <c r="K2135" s="274">
        <f t="shared" si="27"/>
        <v>0</v>
      </c>
      <c r="N2135" s="274"/>
    </row>
    <row r="2136" spans="5:14" ht="13.5" customHeight="1">
      <c r="E2136" s="1" t="s">
        <v>373</v>
      </c>
      <c r="F2136" s="1" t="s">
        <v>2617</v>
      </c>
      <c r="G2136" s="408" t="str">
        <f t="shared" si="25"/>
        <v>14-01</v>
      </c>
      <c r="H2136" s="273" t="e">
        <f ca="1">_xludf.IFNA(VLOOKUP(Aragon!E2136,'Kilter Holds'!$P$37:$AB$662,6,0),0)+(2*_xludf.IFNA(VLOOKUP(Aragon!A2136,'Kilter Holds'!$P$37:$AB$662,6,0),0))</f>
        <v>#NAME?</v>
      </c>
      <c r="I2136" s="274"/>
      <c r="J2136" s="274" t="e">
        <f t="shared" ca="1" si="26"/>
        <v>#NAME?</v>
      </c>
      <c r="K2136" s="274">
        <f t="shared" si="27"/>
        <v>0</v>
      </c>
      <c r="N2136" s="274"/>
    </row>
    <row r="2137" spans="5:14" ht="13.5" customHeight="1">
      <c r="E2137" s="1" t="s">
        <v>373</v>
      </c>
      <c r="F2137" s="1" t="s">
        <v>2617</v>
      </c>
      <c r="G2137" s="409" t="str">
        <f t="shared" si="25"/>
        <v>15-12</v>
      </c>
      <c r="H2137" s="273" t="e">
        <f ca="1">_xludf.IFNA(VLOOKUP(Aragon!E2137,'Kilter Holds'!$P$37:$AB$662,7,0),0)+(2*_xludf.IFNA(VLOOKUP(Aragon!A2137,'Kilter Holds'!$P$37:$AB$662,7,0),0))</f>
        <v>#NAME?</v>
      </c>
      <c r="I2137" s="274"/>
      <c r="J2137" s="274" t="e">
        <f t="shared" ca="1" si="26"/>
        <v>#NAME?</v>
      </c>
      <c r="K2137" s="274">
        <f t="shared" si="27"/>
        <v>0</v>
      </c>
      <c r="N2137" s="274"/>
    </row>
    <row r="2138" spans="5:14" ht="13.5" customHeight="1">
      <c r="E2138" s="1" t="s">
        <v>373</v>
      </c>
      <c r="F2138" s="1" t="s">
        <v>2617</v>
      </c>
      <c r="G2138" s="410" t="str">
        <f t="shared" si="25"/>
        <v>16-16</v>
      </c>
      <c r="H2138" s="273" t="e">
        <f ca="1">_xludf.IFNA(VLOOKUP(Aragon!E2138,'Kilter Holds'!$P$37:$AB$662,8,0),0)+(2*_xludf.IFNA(VLOOKUP(Aragon!A2138,'Kilter Holds'!$P$37:$AB$662,8,0),0))</f>
        <v>#NAME?</v>
      </c>
      <c r="I2138" s="274"/>
      <c r="J2138" s="274" t="e">
        <f t="shared" ca="1" si="26"/>
        <v>#NAME?</v>
      </c>
      <c r="K2138" s="274">
        <f t="shared" si="27"/>
        <v>0</v>
      </c>
      <c r="N2138" s="274"/>
    </row>
    <row r="2139" spans="5:14" ht="13.5" customHeight="1">
      <c r="E2139" s="1" t="s">
        <v>373</v>
      </c>
      <c r="F2139" s="1" t="s">
        <v>2617</v>
      </c>
      <c r="G2139" s="411" t="str">
        <f t="shared" si="25"/>
        <v>13-01</v>
      </c>
      <c r="H2139" s="273" t="e">
        <f ca="1">_xludf.IFNA(VLOOKUP(Aragon!E2139,'Kilter Holds'!$P$37:$AB$662,9,0),0)+(2*_xludf.IFNA(VLOOKUP(Aragon!A2139,'Kilter Holds'!$P$37:$AB$662,9,0),0))</f>
        <v>#NAME?</v>
      </c>
      <c r="I2139" s="274"/>
      <c r="J2139" s="274" t="e">
        <f t="shared" ca="1" si="26"/>
        <v>#NAME?</v>
      </c>
      <c r="K2139" s="274">
        <f t="shared" si="27"/>
        <v>0</v>
      </c>
      <c r="N2139" s="274"/>
    </row>
    <row r="2140" spans="5:14" ht="13.5" customHeight="1">
      <c r="E2140" s="1" t="s">
        <v>373</v>
      </c>
      <c r="F2140" s="1" t="s">
        <v>2617</v>
      </c>
      <c r="G2140" s="413" t="str">
        <f t="shared" si="25"/>
        <v>07-13</v>
      </c>
      <c r="H2140" s="273" t="e">
        <f ca="1">_xludf.IFNA(VLOOKUP(Aragon!E2140,'Kilter Holds'!$P$37:$AB$662,10,0),0)+(2*_xludf.IFNA(VLOOKUP(Aragon!A2140,'Kilter Holds'!$P$37:$AB$662,10,0),0))</f>
        <v>#NAME?</v>
      </c>
      <c r="I2140" s="274"/>
      <c r="J2140" s="274" t="e">
        <f t="shared" ca="1" si="26"/>
        <v>#NAME?</v>
      </c>
      <c r="K2140" s="274">
        <f t="shared" si="27"/>
        <v>0</v>
      </c>
      <c r="N2140" s="274"/>
    </row>
    <row r="2141" spans="5:14" ht="13.5" customHeight="1">
      <c r="E2141" s="1" t="s">
        <v>373</v>
      </c>
      <c r="F2141" s="1" t="s">
        <v>2617</v>
      </c>
      <c r="G2141" s="414" t="str">
        <f t="shared" si="25"/>
        <v>11-26</v>
      </c>
      <c r="H2141" s="273" t="e">
        <f ca="1">_xludf.IFNA(VLOOKUP(Aragon!E2141,'Kilter Holds'!$P$37:$AB$662,11,0),0)+(2*_xludf.IFNA(VLOOKUP(Aragon!A2141,'Kilter Holds'!$P$37:$AB$662,11,0),0))</f>
        <v>#NAME?</v>
      </c>
      <c r="I2141" s="274"/>
      <c r="J2141" s="274" t="e">
        <f t="shared" ca="1" si="26"/>
        <v>#NAME?</v>
      </c>
      <c r="K2141" s="274">
        <f t="shared" si="27"/>
        <v>0</v>
      </c>
      <c r="N2141" s="274"/>
    </row>
    <row r="2142" spans="5:14" ht="13.5" customHeight="1">
      <c r="E2142" s="1" t="s">
        <v>373</v>
      </c>
      <c r="F2142" s="1" t="s">
        <v>2617</v>
      </c>
      <c r="G2142" s="415" t="str">
        <f t="shared" si="25"/>
        <v>18-01</v>
      </c>
      <c r="H2142" s="273" t="e">
        <f ca="1">_xludf.IFNA(VLOOKUP(Aragon!E2142,'Kilter Holds'!$P$37:$AB$662,12,0),0)+(2*_xludf.IFNA(VLOOKUP(Aragon!A2142,'Kilter Holds'!$P$37:$AB$662,12,0),0))</f>
        <v>#NAME?</v>
      </c>
      <c r="I2142" s="274"/>
      <c r="J2142" s="274" t="e">
        <f t="shared" ca="1" si="26"/>
        <v>#NAME?</v>
      </c>
      <c r="K2142" s="274">
        <f t="shared" si="27"/>
        <v>0</v>
      </c>
      <c r="N2142" s="274"/>
    </row>
    <row r="2143" spans="5:14" ht="13.5" customHeight="1">
      <c r="E2143" s="1" t="s">
        <v>373</v>
      </c>
      <c r="F2143" s="1" t="s">
        <v>2617</v>
      </c>
      <c r="G2143" s="416" t="str">
        <f t="shared" si="25"/>
        <v>Color Code</v>
      </c>
      <c r="H2143" s="273" t="e">
        <f ca="1">_xludf.IFNA(VLOOKUP(Aragon!E2143,'Kilter Holds'!$P$37:$AB$662,13,0),0)+(2*_xludf.IFNA(VLOOKUP(Aragon!A2143,'Kilter Holds'!$P$37:$AB$662,13,0),0))</f>
        <v>#NAME?</v>
      </c>
      <c r="I2143" s="274"/>
      <c r="J2143" s="274" t="e">
        <f t="shared" ca="1" si="26"/>
        <v>#NAME?</v>
      </c>
      <c r="K2143" s="274">
        <f t="shared" si="27"/>
        <v>0</v>
      </c>
      <c r="N2143" s="274"/>
    </row>
    <row r="2144" spans="5:14" ht="13.5" customHeight="1">
      <c r="E2144" s="1" t="s">
        <v>319</v>
      </c>
      <c r="F2144" s="1" t="s">
        <v>2618</v>
      </c>
      <c r="G2144" s="406" t="str">
        <f t="shared" si="25"/>
        <v>11-12</v>
      </c>
      <c r="H2144" s="273" t="e">
        <f ca="1">_xludf.IFNA(VLOOKUP(Aragon!E2144,'Kilter Holds'!$P$37:$AB$662,5,0),0)+(2*_xludf.IFNA(VLOOKUP(Aragon!A2144,'Kilter Holds'!$P$37:$AB$662,5,0),0))</f>
        <v>#NAME?</v>
      </c>
      <c r="I2144" s="274"/>
      <c r="J2144" s="274" t="e">
        <f t="shared" ca="1" si="26"/>
        <v>#NAME?</v>
      </c>
      <c r="K2144" s="274">
        <f t="shared" si="27"/>
        <v>0</v>
      </c>
      <c r="N2144" s="274"/>
    </row>
    <row r="2145" spans="5:14" ht="13.5" customHeight="1">
      <c r="E2145" s="1" t="s">
        <v>319</v>
      </c>
      <c r="F2145" s="1" t="s">
        <v>2618</v>
      </c>
      <c r="G2145" s="408" t="str">
        <f t="shared" si="25"/>
        <v>14-01</v>
      </c>
      <c r="H2145" s="273" t="e">
        <f ca="1">_xludf.IFNA(VLOOKUP(Aragon!E2145,'Kilter Holds'!$P$37:$AB$662,6,0),0)+(2*_xludf.IFNA(VLOOKUP(Aragon!A2145,'Kilter Holds'!$P$37:$AB$662,6,0),0))</f>
        <v>#NAME?</v>
      </c>
      <c r="I2145" s="274"/>
      <c r="J2145" s="274" t="e">
        <f t="shared" ca="1" si="26"/>
        <v>#NAME?</v>
      </c>
      <c r="K2145" s="274">
        <f t="shared" si="27"/>
        <v>0</v>
      </c>
      <c r="N2145" s="274"/>
    </row>
    <row r="2146" spans="5:14" ht="13.5" customHeight="1">
      <c r="E2146" s="1" t="s">
        <v>319</v>
      </c>
      <c r="F2146" s="1" t="s">
        <v>2618</v>
      </c>
      <c r="G2146" s="409" t="str">
        <f t="shared" si="25"/>
        <v>15-12</v>
      </c>
      <c r="H2146" s="273" t="e">
        <f ca="1">_xludf.IFNA(VLOOKUP(Aragon!E2146,'Kilter Holds'!$P$37:$AB$662,7,0),0)+(2*_xludf.IFNA(VLOOKUP(Aragon!A2146,'Kilter Holds'!$P$37:$AB$662,7,0),0))</f>
        <v>#NAME?</v>
      </c>
      <c r="I2146" s="274"/>
      <c r="J2146" s="274" t="e">
        <f t="shared" ca="1" si="26"/>
        <v>#NAME?</v>
      </c>
      <c r="K2146" s="274">
        <f t="shared" si="27"/>
        <v>0</v>
      </c>
      <c r="N2146" s="274"/>
    </row>
    <row r="2147" spans="5:14" ht="13.5" customHeight="1">
      <c r="E2147" s="1" t="s">
        <v>319</v>
      </c>
      <c r="F2147" s="1" t="s">
        <v>2618</v>
      </c>
      <c r="G2147" s="410" t="str">
        <f t="shared" si="25"/>
        <v>16-16</v>
      </c>
      <c r="H2147" s="273" t="e">
        <f ca="1">_xludf.IFNA(VLOOKUP(Aragon!E2147,'Kilter Holds'!$P$37:$AB$662,8,0),0)+(2*_xludf.IFNA(VLOOKUP(Aragon!A2147,'Kilter Holds'!$P$37:$AB$662,8,0),0))</f>
        <v>#NAME?</v>
      </c>
      <c r="I2147" s="274"/>
      <c r="J2147" s="274" t="e">
        <f t="shared" ca="1" si="26"/>
        <v>#NAME?</v>
      </c>
      <c r="K2147" s="274">
        <f t="shared" si="27"/>
        <v>0</v>
      </c>
      <c r="N2147" s="274"/>
    </row>
    <row r="2148" spans="5:14" ht="13.5" customHeight="1">
      <c r="E2148" s="1" t="s">
        <v>319</v>
      </c>
      <c r="F2148" s="1" t="s">
        <v>2618</v>
      </c>
      <c r="G2148" s="411" t="str">
        <f t="shared" si="25"/>
        <v>13-01</v>
      </c>
      <c r="H2148" s="273" t="e">
        <f ca="1">_xludf.IFNA(VLOOKUP(Aragon!E2148,'Kilter Holds'!$P$37:$AB$662,9,0),0)+(2*_xludf.IFNA(VLOOKUP(Aragon!A2148,'Kilter Holds'!$P$37:$AB$662,9,0),0))</f>
        <v>#NAME?</v>
      </c>
      <c r="I2148" s="274"/>
      <c r="J2148" s="274" t="e">
        <f t="shared" ca="1" si="26"/>
        <v>#NAME?</v>
      </c>
      <c r="K2148" s="274">
        <f t="shared" si="27"/>
        <v>0</v>
      </c>
      <c r="N2148" s="274"/>
    </row>
    <row r="2149" spans="5:14" ht="13.5" customHeight="1">
      <c r="E2149" s="1" t="s">
        <v>319</v>
      </c>
      <c r="F2149" s="1" t="s">
        <v>2618</v>
      </c>
      <c r="G2149" s="413" t="str">
        <f t="shared" si="25"/>
        <v>07-13</v>
      </c>
      <c r="H2149" s="273" t="e">
        <f ca="1">_xludf.IFNA(VLOOKUP(Aragon!E2149,'Kilter Holds'!$P$37:$AB$662,10,0),0)+(2*_xludf.IFNA(VLOOKUP(Aragon!A2149,'Kilter Holds'!$P$37:$AB$662,10,0),0))</f>
        <v>#NAME?</v>
      </c>
      <c r="I2149" s="274"/>
      <c r="J2149" s="274" t="e">
        <f t="shared" ca="1" si="26"/>
        <v>#NAME?</v>
      </c>
      <c r="K2149" s="274">
        <f t="shared" si="27"/>
        <v>0</v>
      </c>
      <c r="N2149" s="274"/>
    </row>
    <row r="2150" spans="5:14" ht="13.5" customHeight="1">
      <c r="E2150" s="1" t="s">
        <v>319</v>
      </c>
      <c r="F2150" s="1" t="s">
        <v>2618</v>
      </c>
      <c r="G2150" s="414" t="str">
        <f t="shared" si="25"/>
        <v>11-26</v>
      </c>
      <c r="H2150" s="273" t="e">
        <f ca="1">_xludf.IFNA(VLOOKUP(Aragon!E2150,'Kilter Holds'!$P$37:$AB$662,11,0),0)+(2*_xludf.IFNA(VLOOKUP(Aragon!A2150,'Kilter Holds'!$P$37:$AB$662,11,0),0))</f>
        <v>#NAME?</v>
      </c>
      <c r="I2150" s="274"/>
      <c r="J2150" s="274" t="e">
        <f t="shared" ca="1" si="26"/>
        <v>#NAME?</v>
      </c>
      <c r="K2150" s="274">
        <f t="shared" si="27"/>
        <v>0</v>
      </c>
      <c r="N2150" s="274"/>
    </row>
    <row r="2151" spans="5:14" ht="13.5" customHeight="1">
      <c r="E2151" s="1" t="s">
        <v>319</v>
      </c>
      <c r="F2151" s="1" t="s">
        <v>2618</v>
      </c>
      <c r="G2151" s="415" t="str">
        <f t="shared" si="25"/>
        <v>18-01</v>
      </c>
      <c r="H2151" s="273" t="e">
        <f ca="1">_xludf.IFNA(VLOOKUP(Aragon!E2151,'Kilter Holds'!$P$37:$AB$662,12,0),0)+(2*_xludf.IFNA(VLOOKUP(Aragon!A2151,'Kilter Holds'!$P$37:$AB$662,12,0),0))</f>
        <v>#NAME?</v>
      </c>
      <c r="I2151" s="274"/>
      <c r="J2151" s="274" t="e">
        <f t="shared" ca="1" si="26"/>
        <v>#NAME?</v>
      </c>
      <c r="K2151" s="274">
        <f t="shared" si="27"/>
        <v>0</v>
      </c>
      <c r="N2151" s="274"/>
    </row>
    <row r="2152" spans="5:14" ht="13.5" customHeight="1">
      <c r="E2152" s="1" t="s">
        <v>319</v>
      </c>
      <c r="F2152" s="1" t="s">
        <v>2618</v>
      </c>
      <c r="G2152" s="416" t="str">
        <f t="shared" si="25"/>
        <v>Color Code</v>
      </c>
      <c r="H2152" s="273" t="e">
        <f ca="1">_xludf.IFNA(VLOOKUP(Aragon!E2152,'Kilter Holds'!$P$37:$AB$662,13,0),0)+(2*_xludf.IFNA(VLOOKUP(Aragon!A2152,'Kilter Holds'!$P$37:$AB$662,13,0),0))</f>
        <v>#NAME?</v>
      </c>
      <c r="I2152" s="274"/>
      <c r="J2152" s="274" t="e">
        <f t="shared" ca="1" si="26"/>
        <v>#NAME?</v>
      </c>
      <c r="K2152" s="274">
        <f t="shared" si="27"/>
        <v>0</v>
      </c>
      <c r="N2152" s="274"/>
    </row>
    <row r="2153" spans="5:14" ht="13.5" customHeight="1">
      <c r="E2153" s="1" t="s">
        <v>247</v>
      </c>
      <c r="F2153" s="1" t="s">
        <v>2619</v>
      </c>
      <c r="G2153" s="406" t="str">
        <f t="shared" si="25"/>
        <v>11-12</v>
      </c>
      <c r="H2153" s="273" t="e">
        <f ca="1">_xludf.IFNA(VLOOKUP(Aragon!E2153,'Kilter Holds'!$P$37:$AB$662,5,0),0)+(2*_xludf.IFNA(VLOOKUP(Aragon!A2153,'Kilter Holds'!$P$37:$AB$662,5,0),0))</f>
        <v>#NAME?</v>
      </c>
      <c r="I2153" s="274"/>
      <c r="J2153" s="274" t="e">
        <f t="shared" ca="1" si="26"/>
        <v>#NAME?</v>
      </c>
      <c r="K2153" s="274">
        <f t="shared" si="27"/>
        <v>0</v>
      </c>
      <c r="N2153" s="274"/>
    </row>
    <row r="2154" spans="5:14" ht="13.5" customHeight="1">
      <c r="E2154" s="1" t="s">
        <v>247</v>
      </c>
      <c r="F2154" s="1" t="s">
        <v>2619</v>
      </c>
      <c r="G2154" s="408" t="str">
        <f t="shared" si="25"/>
        <v>14-01</v>
      </c>
      <c r="H2154" s="273" t="e">
        <f ca="1">_xludf.IFNA(VLOOKUP(Aragon!E2154,'Kilter Holds'!$P$37:$AB$662,6,0),0)+(2*_xludf.IFNA(VLOOKUP(Aragon!A2154,'Kilter Holds'!$P$37:$AB$662,6,0),0))</f>
        <v>#NAME?</v>
      </c>
      <c r="I2154" s="274"/>
      <c r="J2154" s="274" t="e">
        <f t="shared" ca="1" si="26"/>
        <v>#NAME?</v>
      </c>
      <c r="K2154" s="274">
        <f t="shared" si="27"/>
        <v>0</v>
      </c>
      <c r="N2154" s="274"/>
    </row>
    <row r="2155" spans="5:14" ht="13.5" customHeight="1">
      <c r="E2155" s="1" t="s">
        <v>247</v>
      </c>
      <c r="F2155" s="1" t="s">
        <v>2619</v>
      </c>
      <c r="G2155" s="409" t="str">
        <f t="shared" si="25"/>
        <v>15-12</v>
      </c>
      <c r="H2155" s="273" t="e">
        <f ca="1">_xludf.IFNA(VLOOKUP(Aragon!E2155,'Kilter Holds'!$P$37:$AB$662,7,0),0)+(2*_xludf.IFNA(VLOOKUP(Aragon!A2155,'Kilter Holds'!$P$37:$AB$662,7,0),0))</f>
        <v>#NAME?</v>
      </c>
      <c r="I2155" s="274"/>
      <c r="J2155" s="274" t="e">
        <f t="shared" ca="1" si="26"/>
        <v>#NAME?</v>
      </c>
      <c r="K2155" s="274">
        <f t="shared" si="27"/>
        <v>0</v>
      </c>
      <c r="N2155" s="274"/>
    </row>
    <row r="2156" spans="5:14" ht="13.5" customHeight="1">
      <c r="E2156" s="1" t="s">
        <v>247</v>
      </c>
      <c r="F2156" s="1" t="s">
        <v>2619</v>
      </c>
      <c r="G2156" s="410" t="str">
        <f t="shared" si="25"/>
        <v>16-16</v>
      </c>
      <c r="H2156" s="273" t="e">
        <f ca="1">_xludf.IFNA(VLOOKUP(Aragon!E2156,'Kilter Holds'!$P$37:$AB$662,8,0),0)+(2*_xludf.IFNA(VLOOKUP(Aragon!A2156,'Kilter Holds'!$P$37:$AB$662,8,0),0))</f>
        <v>#NAME?</v>
      </c>
      <c r="I2156" s="274"/>
      <c r="J2156" s="274" t="e">
        <f t="shared" ca="1" si="26"/>
        <v>#NAME?</v>
      </c>
      <c r="K2156" s="274">
        <f t="shared" si="27"/>
        <v>0</v>
      </c>
      <c r="N2156" s="274"/>
    </row>
    <row r="2157" spans="5:14" ht="13.5" customHeight="1">
      <c r="E2157" s="1" t="s">
        <v>247</v>
      </c>
      <c r="F2157" s="1" t="s">
        <v>2619</v>
      </c>
      <c r="G2157" s="411" t="str">
        <f t="shared" si="25"/>
        <v>13-01</v>
      </c>
      <c r="H2157" s="273" t="e">
        <f ca="1">_xludf.IFNA(VLOOKUP(Aragon!E2157,'Kilter Holds'!$P$37:$AB$662,9,0),0)+(2*_xludf.IFNA(VLOOKUP(Aragon!A2157,'Kilter Holds'!$P$37:$AB$662,9,0),0))</f>
        <v>#NAME?</v>
      </c>
      <c r="I2157" s="274"/>
      <c r="J2157" s="274" t="e">
        <f t="shared" ca="1" si="26"/>
        <v>#NAME?</v>
      </c>
      <c r="K2157" s="274">
        <f t="shared" si="27"/>
        <v>0</v>
      </c>
      <c r="N2157" s="274"/>
    </row>
    <row r="2158" spans="5:14" ht="13.5" customHeight="1">
      <c r="E2158" s="1" t="s">
        <v>247</v>
      </c>
      <c r="F2158" s="1" t="s">
        <v>2619</v>
      </c>
      <c r="G2158" s="413" t="str">
        <f t="shared" si="25"/>
        <v>07-13</v>
      </c>
      <c r="H2158" s="273" t="e">
        <f ca="1">_xludf.IFNA(VLOOKUP(Aragon!E2158,'Kilter Holds'!$P$37:$AB$662,10,0),0)+(2*_xludf.IFNA(VLOOKUP(Aragon!A2158,'Kilter Holds'!$P$37:$AB$662,10,0),0))</f>
        <v>#NAME?</v>
      </c>
      <c r="I2158" s="274"/>
      <c r="J2158" s="274" t="e">
        <f t="shared" ca="1" si="26"/>
        <v>#NAME?</v>
      </c>
      <c r="K2158" s="274">
        <f t="shared" si="27"/>
        <v>0</v>
      </c>
      <c r="N2158" s="274"/>
    </row>
    <row r="2159" spans="5:14" ht="13.5" customHeight="1">
      <c r="E2159" s="1" t="s">
        <v>247</v>
      </c>
      <c r="F2159" s="1" t="s">
        <v>2619</v>
      </c>
      <c r="G2159" s="414" t="str">
        <f t="shared" si="25"/>
        <v>11-26</v>
      </c>
      <c r="H2159" s="273" t="e">
        <f ca="1">_xludf.IFNA(VLOOKUP(Aragon!E2159,'Kilter Holds'!$P$37:$AB$662,11,0),0)+(2*_xludf.IFNA(VLOOKUP(Aragon!A2159,'Kilter Holds'!$P$37:$AB$662,11,0),0))</f>
        <v>#NAME?</v>
      </c>
      <c r="I2159" s="274"/>
      <c r="J2159" s="274" t="e">
        <f t="shared" ca="1" si="26"/>
        <v>#NAME?</v>
      </c>
      <c r="K2159" s="274">
        <f t="shared" si="27"/>
        <v>0</v>
      </c>
      <c r="N2159" s="274"/>
    </row>
    <row r="2160" spans="5:14" ht="13.5" customHeight="1">
      <c r="E2160" s="1" t="s">
        <v>247</v>
      </c>
      <c r="F2160" s="1" t="s">
        <v>2619</v>
      </c>
      <c r="G2160" s="415" t="str">
        <f t="shared" si="25"/>
        <v>18-01</v>
      </c>
      <c r="H2160" s="273" t="e">
        <f ca="1">_xludf.IFNA(VLOOKUP(Aragon!E2160,'Kilter Holds'!$P$37:$AB$662,12,0),0)+(2*_xludf.IFNA(VLOOKUP(Aragon!A2160,'Kilter Holds'!$P$37:$AB$662,12,0),0))</f>
        <v>#NAME?</v>
      </c>
      <c r="I2160" s="274"/>
      <c r="J2160" s="274" t="e">
        <f t="shared" ca="1" si="26"/>
        <v>#NAME?</v>
      </c>
      <c r="K2160" s="274">
        <f t="shared" si="27"/>
        <v>0</v>
      </c>
      <c r="N2160" s="274"/>
    </row>
    <row r="2161" spans="5:14" ht="13.5" customHeight="1">
      <c r="E2161" s="1" t="s">
        <v>247</v>
      </c>
      <c r="F2161" s="1" t="s">
        <v>2619</v>
      </c>
      <c r="G2161" s="416" t="str">
        <f t="shared" si="25"/>
        <v>Color Code</v>
      </c>
      <c r="H2161" s="273" t="e">
        <f ca="1">_xludf.IFNA(VLOOKUP(Aragon!E2161,'Kilter Holds'!$P$37:$AB$662,13,0),0)+(2*_xludf.IFNA(VLOOKUP(Aragon!A2161,'Kilter Holds'!$P$37:$AB$662,13,0),0))</f>
        <v>#NAME?</v>
      </c>
      <c r="I2161" s="274"/>
      <c r="J2161" s="274" t="e">
        <f t="shared" ca="1" si="26"/>
        <v>#NAME?</v>
      </c>
      <c r="K2161" s="274">
        <f t="shared" si="27"/>
        <v>0</v>
      </c>
      <c r="N2161" s="274"/>
    </row>
    <row r="2162" spans="5:14" ht="13.5" customHeight="1">
      <c r="E2162" s="1" t="s">
        <v>215</v>
      </c>
      <c r="F2162" s="1" t="s">
        <v>2620</v>
      </c>
      <c r="G2162" s="406" t="str">
        <f t="shared" ref="G2162:G2179" si="28">G2135</f>
        <v>11-12</v>
      </c>
      <c r="H2162" s="273" t="e">
        <f ca="1">_xludf.IFNA(VLOOKUP(Aragon!E2162,'Kilter Holds'!$P$37:$AB$662,5,0),0)+(2*_xludf.IFNA(VLOOKUP(Aragon!A2162,'Kilter Holds'!$P$37:$AB$662,5,0),0))</f>
        <v>#NAME?</v>
      </c>
      <c r="I2162" s="274"/>
      <c r="J2162" s="274" t="e">
        <f t="shared" ca="1" si="26"/>
        <v>#NAME?</v>
      </c>
      <c r="K2162" s="274">
        <f t="shared" si="27"/>
        <v>0</v>
      </c>
      <c r="N2162" s="274"/>
    </row>
    <row r="2163" spans="5:14" ht="13.5" customHeight="1">
      <c r="E2163" s="1" t="s">
        <v>215</v>
      </c>
      <c r="F2163" s="1" t="s">
        <v>2620</v>
      </c>
      <c r="G2163" s="408" t="str">
        <f t="shared" si="28"/>
        <v>14-01</v>
      </c>
      <c r="H2163" s="273" t="e">
        <f ca="1">_xludf.IFNA(VLOOKUP(Aragon!E2163,'Kilter Holds'!$P$37:$AB$662,6,0),0)+(2*_xludf.IFNA(VLOOKUP(Aragon!A2163,'Kilter Holds'!$P$37:$AB$662,6,0),0))</f>
        <v>#NAME?</v>
      </c>
      <c r="I2163" s="274"/>
      <c r="J2163" s="274" t="e">
        <f t="shared" ca="1" si="26"/>
        <v>#NAME?</v>
      </c>
      <c r="K2163" s="274">
        <f t="shared" si="27"/>
        <v>0</v>
      </c>
      <c r="N2163" s="274"/>
    </row>
    <row r="2164" spans="5:14" ht="13.5" customHeight="1">
      <c r="E2164" s="1" t="s">
        <v>215</v>
      </c>
      <c r="F2164" s="1" t="s">
        <v>2620</v>
      </c>
      <c r="G2164" s="409" t="str">
        <f t="shared" si="28"/>
        <v>15-12</v>
      </c>
      <c r="H2164" s="273" t="e">
        <f ca="1">_xludf.IFNA(VLOOKUP(Aragon!E2164,'Kilter Holds'!$P$37:$AB$662,7,0),0)+(2*_xludf.IFNA(VLOOKUP(Aragon!A2164,'Kilter Holds'!$P$37:$AB$662,7,0),0))</f>
        <v>#NAME?</v>
      </c>
      <c r="I2164" s="274"/>
      <c r="J2164" s="274" t="e">
        <f t="shared" ca="1" si="26"/>
        <v>#NAME?</v>
      </c>
      <c r="K2164" s="274">
        <f t="shared" si="27"/>
        <v>0</v>
      </c>
      <c r="N2164" s="274"/>
    </row>
    <row r="2165" spans="5:14" ht="13.5" customHeight="1">
      <c r="E2165" s="1" t="s">
        <v>215</v>
      </c>
      <c r="F2165" s="1" t="s">
        <v>2620</v>
      </c>
      <c r="G2165" s="410" t="str">
        <f t="shared" si="28"/>
        <v>16-16</v>
      </c>
      <c r="H2165" s="273" t="e">
        <f ca="1">_xludf.IFNA(VLOOKUP(Aragon!E2165,'Kilter Holds'!$P$37:$AB$662,8,0),0)+(2*_xludf.IFNA(VLOOKUP(Aragon!A2165,'Kilter Holds'!$P$37:$AB$662,8,0),0))</f>
        <v>#NAME?</v>
      </c>
      <c r="I2165" s="274"/>
      <c r="J2165" s="274" t="e">
        <f t="shared" ca="1" si="26"/>
        <v>#NAME?</v>
      </c>
      <c r="K2165" s="274">
        <f t="shared" si="27"/>
        <v>0</v>
      </c>
      <c r="N2165" s="274"/>
    </row>
    <row r="2166" spans="5:14" ht="13.5" customHeight="1">
      <c r="E2166" s="1" t="s">
        <v>215</v>
      </c>
      <c r="F2166" s="1" t="s">
        <v>2620</v>
      </c>
      <c r="G2166" s="411" t="str">
        <f t="shared" si="28"/>
        <v>13-01</v>
      </c>
      <c r="H2166" s="273" t="e">
        <f ca="1">_xludf.IFNA(VLOOKUP(Aragon!E2166,'Kilter Holds'!$P$37:$AB$662,9,0),0)+(2*_xludf.IFNA(VLOOKUP(Aragon!A2166,'Kilter Holds'!$P$37:$AB$662,9,0),0))</f>
        <v>#NAME?</v>
      </c>
      <c r="I2166" s="274"/>
      <c r="J2166" s="274" t="e">
        <f t="shared" ca="1" si="26"/>
        <v>#NAME?</v>
      </c>
      <c r="K2166" s="274">
        <f t="shared" si="27"/>
        <v>0</v>
      </c>
      <c r="N2166" s="274"/>
    </row>
    <row r="2167" spans="5:14" ht="13.5" customHeight="1">
      <c r="E2167" s="1" t="s">
        <v>215</v>
      </c>
      <c r="F2167" s="1" t="s">
        <v>2620</v>
      </c>
      <c r="G2167" s="413" t="str">
        <f t="shared" si="28"/>
        <v>07-13</v>
      </c>
      <c r="H2167" s="273" t="e">
        <f ca="1">_xludf.IFNA(VLOOKUP(Aragon!E2167,'Kilter Holds'!$P$37:$AB$662,10,0),0)+(2*_xludf.IFNA(VLOOKUP(Aragon!A2167,'Kilter Holds'!$P$37:$AB$662,10,0),0))</f>
        <v>#NAME?</v>
      </c>
      <c r="I2167" s="274"/>
      <c r="J2167" s="274" t="e">
        <f t="shared" ca="1" si="26"/>
        <v>#NAME?</v>
      </c>
      <c r="K2167" s="274">
        <f t="shared" si="27"/>
        <v>0</v>
      </c>
      <c r="N2167" s="274"/>
    </row>
    <row r="2168" spans="5:14" ht="13.5" customHeight="1">
      <c r="E2168" s="1" t="s">
        <v>215</v>
      </c>
      <c r="F2168" s="1" t="s">
        <v>2620</v>
      </c>
      <c r="G2168" s="414" t="str">
        <f t="shared" si="28"/>
        <v>11-26</v>
      </c>
      <c r="H2168" s="273" t="e">
        <f ca="1">_xludf.IFNA(VLOOKUP(Aragon!E2168,'Kilter Holds'!$P$37:$AB$662,11,0),0)+(2*_xludf.IFNA(VLOOKUP(Aragon!A2168,'Kilter Holds'!$P$37:$AB$662,11,0),0))</f>
        <v>#NAME?</v>
      </c>
      <c r="I2168" s="274"/>
      <c r="J2168" s="274" t="e">
        <f t="shared" ca="1" si="26"/>
        <v>#NAME?</v>
      </c>
      <c r="K2168" s="274">
        <f t="shared" si="27"/>
        <v>0</v>
      </c>
      <c r="N2168" s="274"/>
    </row>
    <row r="2169" spans="5:14" ht="13.5" customHeight="1">
      <c r="E2169" s="1" t="s">
        <v>215</v>
      </c>
      <c r="F2169" s="1" t="s">
        <v>2620</v>
      </c>
      <c r="G2169" s="415" t="str">
        <f t="shared" si="28"/>
        <v>18-01</v>
      </c>
      <c r="H2169" s="273" t="e">
        <f ca="1">_xludf.IFNA(VLOOKUP(Aragon!E2169,'Kilter Holds'!$P$37:$AB$662,12,0),0)+(2*_xludf.IFNA(VLOOKUP(Aragon!A2169,'Kilter Holds'!$P$37:$AB$662,12,0),0))</f>
        <v>#NAME?</v>
      </c>
      <c r="I2169" s="274"/>
      <c r="J2169" s="274" t="e">
        <f t="shared" ca="1" si="26"/>
        <v>#NAME?</v>
      </c>
      <c r="K2169" s="274">
        <f t="shared" si="27"/>
        <v>0</v>
      </c>
      <c r="N2169" s="274"/>
    </row>
    <row r="2170" spans="5:14" ht="13.5" customHeight="1">
      <c r="E2170" s="1" t="s">
        <v>215</v>
      </c>
      <c r="F2170" s="1" t="s">
        <v>2620</v>
      </c>
      <c r="G2170" s="416" t="str">
        <f t="shared" si="28"/>
        <v>Color Code</v>
      </c>
      <c r="H2170" s="273" t="e">
        <f ca="1">_xludf.IFNA(VLOOKUP(Aragon!E2170,'Kilter Holds'!$P$37:$AB$662,13,0),0)+(2*_xludf.IFNA(VLOOKUP(Aragon!A2170,'Kilter Holds'!$P$37:$AB$662,13,0),0))</f>
        <v>#NAME?</v>
      </c>
      <c r="I2170" s="274"/>
      <c r="J2170" s="274" t="e">
        <f t="shared" ca="1" si="26"/>
        <v>#NAME?</v>
      </c>
      <c r="K2170" s="274">
        <f t="shared" si="27"/>
        <v>0</v>
      </c>
      <c r="N2170" s="274"/>
    </row>
    <row r="2171" spans="5:14" ht="13.5" customHeight="1">
      <c r="E2171" s="1" t="s">
        <v>343</v>
      </c>
      <c r="F2171" s="1" t="s">
        <v>2621</v>
      </c>
      <c r="G2171" s="406" t="str">
        <f t="shared" si="28"/>
        <v>11-12</v>
      </c>
      <c r="H2171" s="273" t="e">
        <f ca="1">_xludf.IFNA(VLOOKUP(Aragon!E2171,'Kilter Holds'!$P$37:$AB$662,5,0),0)+(2*_xludf.IFNA(VLOOKUP(Aragon!A2171,'Kilter Holds'!$P$37:$AB$662,5,0),0))</f>
        <v>#NAME?</v>
      </c>
      <c r="I2171" s="274"/>
      <c r="J2171" s="274" t="e">
        <f t="shared" ca="1" si="26"/>
        <v>#NAME?</v>
      </c>
      <c r="K2171" s="274">
        <f t="shared" si="27"/>
        <v>0</v>
      </c>
      <c r="N2171" s="274"/>
    </row>
    <row r="2172" spans="5:14" ht="13.5" customHeight="1">
      <c r="E2172" s="1" t="s">
        <v>343</v>
      </c>
      <c r="F2172" s="1" t="s">
        <v>2621</v>
      </c>
      <c r="G2172" s="408" t="str">
        <f t="shared" si="28"/>
        <v>14-01</v>
      </c>
      <c r="H2172" s="273" t="e">
        <f ca="1">_xludf.IFNA(VLOOKUP(Aragon!E2172,'Kilter Holds'!$P$37:$AB$662,6,0),0)+(2*_xludf.IFNA(VLOOKUP(Aragon!A2172,'Kilter Holds'!$P$37:$AB$662,6,0),0))</f>
        <v>#NAME?</v>
      </c>
      <c r="I2172" s="274"/>
      <c r="J2172" s="274" t="e">
        <f t="shared" ca="1" si="26"/>
        <v>#NAME?</v>
      </c>
      <c r="K2172" s="274">
        <f t="shared" si="27"/>
        <v>0</v>
      </c>
      <c r="N2172" s="274"/>
    </row>
    <row r="2173" spans="5:14" ht="13.5" customHeight="1">
      <c r="E2173" s="1" t="s">
        <v>343</v>
      </c>
      <c r="F2173" s="1" t="s">
        <v>2621</v>
      </c>
      <c r="G2173" s="409" t="str">
        <f t="shared" si="28"/>
        <v>15-12</v>
      </c>
      <c r="H2173" s="273" t="e">
        <f ca="1">_xludf.IFNA(VLOOKUP(Aragon!E2173,'Kilter Holds'!$P$37:$AB$662,7,0),0)+(2*_xludf.IFNA(VLOOKUP(Aragon!A2173,'Kilter Holds'!$P$37:$AB$662,7,0),0))</f>
        <v>#NAME?</v>
      </c>
      <c r="I2173" s="274"/>
      <c r="J2173" s="274" t="e">
        <f t="shared" ca="1" si="26"/>
        <v>#NAME?</v>
      </c>
      <c r="K2173" s="274">
        <f t="shared" si="27"/>
        <v>0</v>
      </c>
      <c r="N2173" s="274"/>
    </row>
    <row r="2174" spans="5:14" ht="13.5" customHeight="1">
      <c r="E2174" s="1" t="s">
        <v>343</v>
      </c>
      <c r="F2174" s="1" t="s">
        <v>2621</v>
      </c>
      <c r="G2174" s="410" t="str">
        <f t="shared" si="28"/>
        <v>16-16</v>
      </c>
      <c r="H2174" s="273" t="e">
        <f ca="1">_xludf.IFNA(VLOOKUP(Aragon!E2174,'Kilter Holds'!$P$37:$AB$662,8,0),0)+(2*_xludf.IFNA(VLOOKUP(Aragon!A2174,'Kilter Holds'!$P$37:$AB$662,8,0),0))</f>
        <v>#NAME?</v>
      </c>
      <c r="I2174" s="274"/>
      <c r="J2174" s="274" t="e">
        <f t="shared" ca="1" si="26"/>
        <v>#NAME?</v>
      </c>
      <c r="K2174" s="274">
        <f t="shared" si="27"/>
        <v>0</v>
      </c>
      <c r="N2174" s="274"/>
    </row>
    <row r="2175" spans="5:14" ht="13.5" customHeight="1">
      <c r="E2175" s="1" t="s">
        <v>343</v>
      </c>
      <c r="F2175" s="1" t="s">
        <v>2621</v>
      </c>
      <c r="G2175" s="411" t="str">
        <f t="shared" si="28"/>
        <v>13-01</v>
      </c>
      <c r="H2175" s="273" t="e">
        <f ca="1">_xludf.IFNA(VLOOKUP(Aragon!E2175,'Kilter Holds'!$P$37:$AB$662,9,0),0)+(2*_xludf.IFNA(VLOOKUP(Aragon!A2175,'Kilter Holds'!$P$37:$AB$662,9,0),0))</f>
        <v>#NAME?</v>
      </c>
      <c r="I2175" s="274"/>
      <c r="J2175" s="274" t="e">
        <f t="shared" ca="1" si="26"/>
        <v>#NAME?</v>
      </c>
      <c r="K2175" s="274">
        <f t="shared" si="27"/>
        <v>0</v>
      </c>
      <c r="N2175" s="274"/>
    </row>
    <row r="2176" spans="5:14" ht="13.5" customHeight="1">
      <c r="E2176" s="1" t="s">
        <v>343</v>
      </c>
      <c r="F2176" s="1" t="s">
        <v>2621</v>
      </c>
      <c r="G2176" s="413" t="str">
        <f t="shared" si="28"/>
        <v>07-13</v>
      </c>
      <c r="H2176" s="273" t="e">
        <f ca="1">_xludf.IFNA(VLOOKUP(Aragon!E2176,'Kilter Holds'!$P$37:$AB$662,10,0),0)+(2*_xludf.IFNA(VLOOKUP(Aragon!A2176,'Kilter Holds'!$P$37:$AB$662,10,0),0))</f>
        <v>#NAME?</v>
      </c>
      <c r="I2176" s="274"/>
      <c r="J2176" s="274" t="e">
        <f t="shared" ca="1" si="26"/>
        <v>#NAME?</v>
      </c>
      <c r="K2176" s="274">
        <f t="shared" si="27"/>
        <v>0</v>
      </c>
      <c r="N2176" s="274"/>
    </row>
    <row r="2177" spans="5:14" ht="13.5" customHeight="1">
      <c r="E2177" s="1" t="s">
        <v>343</v>
      </c>
      <c r="F2177" s="1" t="s">
        <v>2621</v>
      </c>
      <c r="G2177" s="414" t="str">
        <f t="shared" si="28"/>
        <v>11-26</v>
      </c>
      <c r="H2177" s="273" t="e">
        <f ca="1">_xludf.IFNA(VLOOKUP(Aragon!E2177,'Kilter Holds'!$P$37:$AB$662,11,0),0)+(2*_xludf.IFNA(VLOOKUP(Aragon!A2177,'Kilter Holds'!$P$37:$AB$662,11,0),0))</f>
        <v>#NAME?</v>
      </c>
      <c r="I2177" s="274"/>
      <c r="J2177" s="274" t="e">
        <f t="shared" ca="1" si="26"/>
        <v>#NAME?</v>
      </c>
      <c r="K2177" s="274">
        <f t="shared" si="27"/>
        <v>0</v>
      </c>
      <c r="N2177" s="274"/>
    </row>
    <row r="2178" spans="5:14" ht="13.5" customHeight="1">
      <c r="E2178" s="1" t="s">
        <v>343</v>
      </c>
      <c r="F2178" s="1" t="s">
        <v>2621</v>
      </c>
      <c r="G2178" s="415" t="str">
        <f t="shared" si="28"/>
        <v>18-01</v>
      </c>
      <c r="H2178" s="273" t="e">
        <f ca="1">_xludf.IFNA(VLOOKUP(Aragon!E2178,'Kilter Holds'!$P$37:$AB$662,12,0),0)+(2*_xludf.IFNA(VLOOKUP(Aragon!A2178,'Kilter Holds'!$P$37:$AB$662,12,0),0))</f>
        <v>#NAME?</v>
      </c>
      <c r="I2178" s="274"/>
      <c r="J2178" s="274" t="e">
        <f t="shared" ca="1" si="26"/>
        <v>#NAME?</v>
      </c>
      <c r="K2178" s="274">
        <f t="shared" si="27"/>
        <v>0</v>
      </c>
      <c r="N2178" s="274"/>
    </row>
    <row r="2179" spans="5:14" ht="13.5" customHeight="1">
      <c r="E2179" s="1" t="s">
        <v>343</v>
      </c>
      <c r="F2179" s="1" t="s">
        <v>2621</v>
      </c>
      <c r="G2179" s="416" t="str">
        <f t="shared" si="28"/>
        <v>Color Code</v>
      </c>
      <c r="H2179" s="273" t="e">
        <f ca="1">_xludf.IFNA(VLOOKUP(Aragon!E2179,'Kilter Holds'!$P$37:$AB$662,13,0),0)+(2*_xludf.IFNA(VLOOKUP(Aragon!A2179,'Kilter Holds'!$P$37:$AB$662,13,0),0))</f>
        <v>#NAME?</v>
      </c>
      <c r="I2179" s="274"/>
      <c r="J2179" s="274" t="e">
        <f t="shared" ca="1" si="26"/>
        <v>#NAME?</v>
      </c>
      <c r="K2179" s="274">
        <f t="shared" si="27"/>
        <v>0</v>
      </c>
      <c r="N2179" s="274"/>
    </row>
    <row r="2180" spans="5:14" ht="13.5" customHeight="1">
      <c r="E2180" s="1" t="s">
        <v>345</v>
      </c>
      <c r="F2180" s="1" t="s">
        <v>2622</v>
      </c>
      <c r="G2180" s="406" t="str">
        <f t="shared" ref="G2180:G2434" si="29">G2171</f>
        <v>11-12</v>
      </c>
      <c r="H2180" s="273" t="e">
        <f ca="1">_xludf.IFNA(VLOOKUP(Aragon!E2180,'Kilter Holds'!$P$37:$AB$662,5,0),0)+(2*_xludf.IFNA(VLOOKUP(Aragon!A2180,'Kilter Holds'!$P$37:$AB$662,5,0),0))</f>
        <v>#NAME?</v>
      </c>
      <c r="I2180" s="274"/>
      <c r="J2180" s="274" t="e">
        <f t="shared" ca="1" si="26"/>
        <v>#NAME?</v>
      </c>
      <c r="K2180" s="274">
        <f t="shared" si="27"/>
        <v>0</v>
      </c>
      <c r="N2180" s="274"/>
    </row>
    <row r="2181" spans="5:14" ht="13.5" customHeight="1">
      <c r="E2181" s="1" t="s">
        <v>345</v>
      </c>
      <c r="F2181" s="1" t="s">
        <v>2622</v>
      </c>
      <c r="G2181" s="408" t="str">
        <f t="shared" si="29"/>
        <v>14-01</v>
      </c>
      <c r="H2181" s="273" t="e">
        <f ca="1">_xludf.IFNA(VLOOKUP(Aragon!E2181,'Kilter Holds'!$P$37:$AB$662,6,0),0)+(2*_xludf.IFNA(VLOOKUP(Aragon!A2181,'Kilter Holds'!$P$37:$AB$662,6,0),0))</f>
        <v>#NAME?</v>
      </c>
      <c r="I2181" s="274"/>
      <c r="J2181" s="274" t="e">
        <f t="shared" ca="1" si="26"/>
        <v>#NAME?</v>
      </c>
      <c r="K2181" s="274">
        <f t="shared" si="27"/>
        <v>0</v>
      </c>
      <c r="N2181" s="274"/>
    </row>
    <row r="2182" spans="5:14" ht="13.5" customHeight="1">
      <c r="E2182" s="1" t="s">
        <v>345</v>
      </c>
      <c r="F2182" s="1" t="s">
        <v>2622</v>
      </c>
      <c r="G2182" s="409" t="str">
        <f t="shared" si="29"/>
        <v>15-12</v>
      </c>
      <c r="H2182" s="273" t="e">
        <f ca="1">_xludf.IFNA(VLOOKUP(Aragon!E2182,'Kilter Holds'!$P$37:$AB$662,7,0),0)+(2*_xludf.IFNA(VLOOKUP(Aragon!A2182,'Kilter Holds'!$P$37:$AB$662,7,0),0))</f>
        <v>#NAME?</v>
      </c>
      <c r="I2182" s="274"/>
      <c r="J2182" s="274" t="e">
        <f t="shared" ca="1" si="26"/>
        <v>#NAME?</v>
      </c>
      <c r="K2182" s="274">
        <f t="shared" si="27"/>
        <v>0</v>
      </c>
      <c r="N2182" s="274"/>
    </row>
    <row r="2183" spans="5:14" ht="13.5" customHeight="1">
      <c r="E2183" s="1" t="s">
        <v>345</v>
      </c>
      <c r="F2183" s="1" t="s">
        <v>2622</v>
      </c>
      <c r="G2183" s="410" t="str">
        <f t="shared" si="29"/>
        <v>16-16</v>
      </c>
      <c r="H2183" s="273" t="e">
        <f ca="1">_xludf.IFNA(VLOOKUP(Aragon!E2183,'Kilter Holds'!$P$37:$AB$662,8,0),0)+(2*_xludf.IFNA(VLOOKUP(Aragon!A2183,'Kilter Holds'!$P$37:$AB$662,8,0),0))</f>
        <v>#NAME?</v>
      </c>
      <c r="I2183" s="274"/>
      <c r="J2183" s="274" t="e">
        <f t="shared" ca="1" si="26"/>
        <v>#NAME?</v>
      </c>
      <c r="K2183" s="274">
        <f t="shared" si="27"/>
        <v>0</v>
      </c>
      <c r="N2183" s="274"/>
    </row>
    <row r="2184" spans="5:14" ht="13.5" customHeight="1">
      <c r="E2184" s="1" t="s">
        <v>345</v>
      </c>
      <c r="F2184" s="1" t="s">
        <v>2622</v>
      </c>
      <c r="G2184" s="411" t="str">
        <f t="shared" si="29"/>
        <v>13-01</v>
      </c>
      <c r="H2184" s="273" t="e">
        <f ca="1">_xludf.IFNA(VLOOKUP(Aragon!E2184,'Kilter Holds'!$P$37:$AB$662,9,0),0)+(2*_xludf.IFNA(VLOOKUP(Aragon!A2184,'Kilter Holds'!$P$37:$AB$662,9,0),0))</f>
        <v>#NAME?</v>
      </c>
      <c r="I2184" s="274"/>
      <c r="J2184" s="274" t="e">
        <f t="shared" ca="1" si="26"/>
        <v>#NAME?</v>
      </c>
      <c r="K2184" s="274">
        <f t="shared" si="27"/>
        <v>0</v>
      </c>
      <c r="N2184" s="274"/>
    </row>
    <row r="2185" spans="5:14" ht="13.5" customHeight="1">
      <c r="E2185" s="1" t="s">
        <v>345</v>
      </c>
      <c r="F2185" s="1" t="s">
        <v>2622</v>
      </c>
      <c r="G2185" s="413" t="str">
        <f t="shared" si="29"/>
        <v>07-13</v>
      </c>
      <c r="H2185" s="273" t="e">
        <f ca="1">_xludf.IFNA(VLOOKUP(Aragon!E2185,'Kilter Holds'!$P$37:$AB$662,10,0),0)+(2*_xludf.IFNA(VLOOKUP(Aragon!A2185,'Kilter Holds'!$P$37:$AB$662,10,0),0))</f>
        <v>#NAME?</v>
      </c>
      <c r="I2185" s="274"/>
      <c r="J2185" s="274" t="e">
        <f t="shared" ca="1" si="26"/>
        <v>#NAME?</v>
      </c>
      <c r="K2185" s="274">
        <f t="shared" si="27"/>
        <v>0</v>
      </c>
      <c r="N2185" s="274"/>
    </row>
    <row r="2186" spans="5:14" ht="13.5" customHeight="1">
      <c r="E2186" s="1" t="s">
        <v>345</v>
      </c>
      <c r="F2186" s="1" t="s">
        <v>2622</v>
      </c>
      <c r="G2186" s="414" t="str">
        <f t="shared" si="29"/>
        <v>11-26</v>
      </c>
      <c r="H2186" s="273" t="e">
        <f ca="1">_xludf.IFNA(VLOOKUP(Aragon!E2186,'Kilter Holds'!$P$37:$AB$662,11,0),0)+(2*_xludf.IFNA(VLOOKUP(Aragon!A2186,'Kilter Holds'!$P$37:$AB$662,11,0),0))</f>
        <v>#NAME?</v>
      </c>
      <c r="I2186" s="274"/>
      <c r="J2186" s="274" t="e">
        <f t="shared" ca="1" si="26"/>
        <v>#NAME?</v>
      </c>
      <c r="K2186" s="274">
        <f t="shared" si="27"/>
        <v>0</v>
      </c>
      <c r="N2186" s="274"/>
    </row>
    <row r="2187" spans="5:14" ht="13.5" customHeight="1">
      <c r="E2187" s="1" t="s">
        <v>345</v>
      </c>
      <c r="F2187" s="1" t="s">
        <v>2622</v>
      </c>
      <c r="G2187" s="415" t="str">
        <f t="shared" si="29"/>
        <v>18-01</v>
      </c>
      <c r="H2187" s="273" t="e">
        <f ca="1">_xludf.IFNA(VLOOKUP(Aragon!E2187,'Kilter Holds'!$P$37:$AB$662,12,0),0)+(2*_xludf.IFNA(VLOOKUP(Aragon!A2187,'Kilter Holds'!$P$37:$AB$662,12,0),0))</f>
        <v>#NAME?</v>
      </c>
      <c r="I2187" s="274"/>
      <c r="J2187" s="274" t="e">
        <f t="shared" ca="1" si="26"/>
        <v>#NAME?</v>
      </c>
      <c r="K2187" s="274">
        <f t="shared" si="27"/>
        <v>0</v>
      </c>
      <c r="N2187" s="274"/>
    </row>
    <row r="2188" spans="5:14" ht="13.5" customHeight="1">
      <c r="E2188" s="1" t="s">
        <v>345</v>
      </c>
      <c r="F2188" s="1" t="s">
        <v>2622</v>
      </c>
      <c r="G2188" s="416" t="str">
        <f t="shared" si="29"/>
        <v>Color Code</v>
      </c>
      <c r="H2188" s="273" t="e">
        <f ca="1">_xludf.IFNA(VLOOKUP(Aragon!E2188,'Kilter Holds'!$P$37:$AB$662,13,0),0)+(2*_xludf.IFNA(VLOOKUP(Aragon!A2188,'Kilter Holds'!$P$37:$AB$662,13,0),0))</f>
        <v>#NAME?</v>
      </c>
      <c r="I2188" s="274"/>
      <c r="J2188" s="274" t="e">
        <f t="shared" ca="1" si="26"/>
        <v>#NAME?</v>
      </c>
      <c r="K2188" s="274">
        <f t="shared" si="27"/>
        <v>0</v>
      </c>
      <c r="N2188" s="274"/>
    </row>
    <row r="2189" spans="5:14" ht="13.5" customHeight="1">
      <c r="E2189" s="1" t="s">
        <v>497</v>
      </c>
      <c r="F2189" s="1" t="s">
        <v>2623</v>
      </c>
      <c r="G2189" s="406" t="str">
        <f t="shared" si="29"/>
        <v>11-12</v>
      </c>
      <c r="H2189" s="273" t="e">
        <f ca="1">_xludf.IFNA(VLOOKUP(Aragon!E2189,'Kilter Holds'!$P$37:$AB$662,5,0),0)+(2*_xludf.IFNA(VLOOKUP(Aragon!A2189,'Kilter Holds'!$P$37:$AB$662,5,0),0))</f>
        <v>#NAME?</v>
      </c>
      <c r="I2189" s="274"/>
      <c r="J2189" s="274" t="e">
        <f t="shared" ca="1" si="26"/>
        <v>#NAME?</v>
      </c>
      <c r="K2189" s="274">
        <f t="shared" si="27"/>
        <v>0</v>
      </c>
      <c r="N2189" s="274"/>
    </row>
    <row r="2190" spans="5:14" ht="13.5" customHeight="1">
      <c r="E2190" s="1" t="s">
        <v>497</v>
      </c>
      <c r="F2190" s="1" t="s">
        <v>2623</v>
      </c>
      <c r="G2190" s="408" t="str">
        <f t="shared" si="29"/>
        <v>14-01</v>
      </c>
      <c r="H2190" s="273" t="e">
        <f ca="1">_xludf.IFNA(VLOOKUP(Aragon!E2190,'Kilter Holds'!$P$37:$AB$662,6,0),0)+(2*_xludf.IFNA(VLOOKUP(Aragon!A2190,'Kilter Holds'!$P$37:$AB$662,6,0),0))</f>
        <v>#NAME?</v>
      </c>
      <c r="I2190" s="274"/>
      <c r="J2190" s="274" t="e">
        <f t="shared" ca="1" si="26"/>
        <v>#NAME?</v>
      </c>
      <c r="K2190" s="274">
        <f t="shared" si="27"/>
        <v>0</v>
      </c>
      <c r="N2190" s="274"/>
    </row>
    <row r="2191" spans="5:14" ht="13.5" customHeight="1">
      <c r="E2191" s="1" t="s">
        <v>497</v>
      </c>
      <c r="F2191" s="1" t="s">
        <v>2623</v>
      </c>
      <c r="G2191" s="409" t="str">
        <f t="shared" si="29"/>
        <v>15-12</v>
      </c>
      <c r="H2191" s="273" t="e">
        <f ca="1">_xludf.IFNA(VLOOKUP(Aragon!E2191,'Kilter Holds'!$P$37:$AB$662,7,0),0)+(2*_xludf.IFNA(VLOOKUP(Aragon!A2191,'Kilter Holds'!$P$37:$AB$662,7,0),0))</f>
        <v>#NAME?</v>
      </c>
      <c r="I2191" s="274"/>
      <c r="J2191" s="274" t="e">
        <f t="shared" ca="1" si="26"/>
        <v>#NAME?</v>
      </c>
      <c r="K2191" s="274">
        <f t="shared" si="27"/>
        <v>0</v>
      </c>
      <c r="N2191" s="274"/>
    </row>
    <row r="2192" spans="5:14" ht="13.5" customHeight="1">
      <c r="E2192" s="1" t="s">
        <v>497</v>
      </c>
      <c r="F2192" s="1" t="s">
        <v>2623</v>
      </c>
      <c r="G2192" s="410" t="str">
        <f t="shared" si="29"/>
        <v>16-16</v>
      </c>
      <c r="H2192" s="273" t="e">
        <f ca="1">_xludf.IFNA(VLOOKUP(Aragon!E2192,'Kilter Holds'!$P$37:$AB$662,8,0),0)+(2*_xludf.IFNA(VLOOKUP(Aragon!A2192,'Kilter Holds'!$P$37:$AB$662,8,0),0))</f>
        <v>#NAME?</v>
      </c>
      <c r="I2192" s="274"/>
      <c r="J2192" s="274" t="e">
        <f t="shared" ca="1" si="26"/>
        <v>#NAME?</v>
      </c>
      <c r="K2192" s="274">
        <f t="shared" si="27"/>
        <v>0</v>
      </c>
      <c r="N2192" s="274"/>
    </row>
    <row r="2193" spans="5:14" ht="13.5" customHeight="1">
      <c r="E2193" s="1" t="s">
        <v>497</v>
      </c>
      <c r="F2193" s="1" t="s">
        <v>2623</v>
      </c>
      <c r="G2193" s="411" t="str">
        <f t="shared" si="29"/>
        <v>13-01</v>
      </c>
      <c r="H2193" s="273" t="e">
        <f ca="1">_xludf.IFNA(VLOOKUP(Aragon!E2193,'Kilter Holds'!$P$37:$AB$662,9,0),0)+(2*_xludf.IFNA(VLOOKUP(Aragon!A2193,'Kilter Holds'!$P$37:$AB$662,9,0),0))</f>
        <v>#NAME?</v>
      </c>
      <c r="I2193" s="274"/>
      <c r="J2193" s="274" t="e">
        <f t="shared" ca="1" si="26"/>
        <v>#NAME?</v>
      </c>
      <c r="K2193" s="274">
        <f t="shared" si="27"/>
        <v>0</v>
      </c>
      <c r="N2193" s="274"/>
    </row>
    <row r="2194" spans="5:14" ht="13.5" customHeight="1">
      <c r="E2194" s="1" t="s">
        <v>497</v>
      </c>
      <c r="F2194" s="1" t="s">
        <v>2623</v>
      </c>
      <c r="G2194" s="413" t="str">
        <f t="shared" si="29"/>
        <v>07-13</v>
      </c>
      <c r="H2194" s="273" t="e">
        <f ca="1">_xludf.IFNA(VLOOKUP(Aragon!E2194,'Kilter Holds'!$P$37:$AB$662,10,0),0)+(2*_xludf.IFNA(VLOOKUP(Aragon!A2194,'Kilter Holds'!$P$37:$AB$662,10,0),0))</f>
        <v>#NAME?</v>
      </c>
      <c r="I2194" s="274"/>
      <c r="J2194" s="274" t="e">
        <f t="shared" ca="1" si="26"/>
        <v>#NAME?</v>
      </c>
      <c r="K2194" s="274">
        <f t="shared" si="27"/>
        <v>0</v>
      </c>
      <c r="N2194" s="274"/>
    </row>
    <row r="2195" spans="5:14" ht="13.5" customHeight="1">
      <c r="E2195" s="1" t="s">
        <v>497</v>
      </c>
      <c r="F2195" s="1" t="s">
        <v>2623</v>
      </c>
      <c r="G2195" s="414" t="str">
        <f t="shared" si="29"/>
        <v>11-26</v>
      </c>
      <c r="H2195" s="273" t="e">
        <f ca="1">_xludf.IFNA(VLOOKUP(Aragon!E2195,'Kilter Holds'!$P$37:$AB$662,11,0),0)+(2*_xludf.IFNA(VLOOKUP(Aragon!A2195,'Kilter Holds'!$P$37:$AB$662,11,0),0))</f>
        <v>#NAME?</v>
      </c>
      <c r="I2195" s="274"/>
      <c r="J2195" s="274" t="e">
        <f t="shared" ca="1" si="26"/>
        <v>#NAME?</v>
      </c>
      <c r="K2195" s="274">
        <f t="shared" si="27"/>
        <v>0</v>
      </c>
      <c r="N2195" s="274"/>
    </row>
    <row r="2196" spans="5:14" ht="13.5" customHeight="1">
      <c r="E2196" s="1" t="s">
        <v>497</v>
      </c>
      <c r="F2196" s="1" t="s">
        <v>2623</v>
      </c>
      <c r="G2196" s="415" t="str">
        <f t="shared" si="29"/>
        <v>18-01</v>
      </c>
      <c r="H2196" s="273" t="e">
        <f ca="1">_xludf.IFNA(VLOOKUP(Aragon!E2196,'Kilter Holds'!$P$37:$AB$662,12,0),0)+(2*_xludf.IFNA(VLOOKUP(Aragon!A2196,'Kilter Holds'!$P$37:$AB$662,12,0),0))</f>
        <v>#NAME?</v>
      </c>
      <c r="I2196" s="274"/>
      <c r="J2196" s="274" t="e">
        <f t="shared" ca="1" si="26"/>
        <v>#NAME?</v>
      </c>
      <c r="K2196" s="274">
        <f t="shared" si="27"/>
        <v>0</v>
      </c>
      <c r="N2196" s="274"/>
    </row>
    <row r="2197" spans="5:14" ht="13.5" customHeight="1">
      <c r="E2197" s="1" t="s">
        <v>497</v>
      </c>
      <c r="F2197" s="1" t="s">
        <v>2623</v>
      </c>
      <c r="G2197" s="416" t="str">
        <f t="shared" si="29"/>
        <v>Color Code</v>
      </c>
      <c r="H2197" s="273" t="e">
        <f ca="1">_xludf.IFNA(VLOOKUP(Aragon!E2197,'Kilter Holds'!$P$37:$AB$662,13,0),0)+(2*_xludf.IFNA(VLOOKUP(Aragon!A2197,'Kilter Holds'!$P$37:$AB$662,13,0),0))</f>
        <v>#NAME?</v>
      </c>
      <c r="I2197" s="274"/>
      <c r="J2197" s="274" t="e">
        <f t="shared" ca="1" si="26"/>
        <v>#NAME?</v>
      </c>
      <c r="K2197" s="274">
        <f t="shared" si="27"/>
        <v>0</v>
      </c>
      <c r="N2197" s="274"/>
    </row>
    <row r="2198" spans="5:14" ht="13.5" customHeight="1">
      <c r="E2198" s="1" t="s">
        <v>225</v>
      </c>
      <c r="F2198" s="1" t="s">
        <v>2624</v>
      </c>
      <c r="G2198" s="406" t="str">
        <f t="shared" si="29"/>
        <v>11-12</v>
      </c>
      <c r="H2198" s="273" t="e">
        <f ca="1">_xludf.IFNA(VLOOKUP(Aragon!E2198,'Kilter Holds'!$P$37:$AB$662,5,0),0)+(2*_xludf.IFNA(VLOOKUP(Aragon!A2198,'Kilter Holds'!$P$37:$AB$662,5,0),0))</f>
        <v>#NAME?</v>
      </c>
      <c r="I2198" s="274"/>
      <c r="J2198" s="274" t="e">
        <f t="shared" ca="1" si="26"/>
        <v>#NAME?</v>
      </c>
      <c r="K2198" s="274">
        <f t="shared" si="27"/>
        <v>0</v>
      </c>
      <c r="N2198" s="274"/>
    </row>
    <row r="2199" spans="5:14" ht="13.5" customHeight="1">
      <c r="E2199" s="1" t="s">
        <v>225</v>
      </c>
      <c r="F2199" s="1" t="s">
        <v>2624</v>
      </c>
      <c r="G2199" s="408" t="str">
        <f t="shared" si="29"/>
        <v>14-01</v>
      </c>
      <c r="H2199" s="273" t="e">
        <f ca="1">_xludf.IFNA(VLOOKUP(Aragon!E2199,'Kilter Holds'!$P$37:$AB$662,6,0),0)+(2*_xludf.IFNA(VLOOKUP(Aragon!A2199,'Kilter Holds'!$P$37:$AB$662,6,0),0))</f>
        <v>#NAME?</v>
      </c>
      <c r="I2199" s="274"/>
      <c r="J2199" s="274" t="e">
        <f t="shared" ca="1" si="26"/>
        <v>#NAME?</v>
      </c>
      <c r="K2199" s="274">
        <f t="shared" si="27"/>
        <v>0</v>
      </c>
      <c r="N2199" s="274"/>
    </row>
    <row r="2200" spans="5:14" ht="13.5" customHeight="1">
      <c r="E2200" s="1" t="s">
        <v>225</v>
      </c>
      <c r="F2200" s="1" t="s">
        <v>2624</v>
      </c>
      <c r="G2200" s="409" t="str">
        <f t="shared" si="29"/>
        <v>15-12</v>
      </c>
      <c r="H2200" s="273" t="e">
        <f ca="1">_xludf.IFNA(VLOOKUP(Aragon!E2200,'Kilter Holds'!$P$37:$AB$662,7,0),0)+(2*_xludf.IFNA(VLOOKUP(Aragon!A2200,'Kilter Holds'!$P$37:$AB$662,7,0),0))</f>
        <v>#NAME?</v>
      </c>
      <c r="I2200" s="274"/>
      <c r="J2200" s="274" t="e">
        <f t="shared" ca="1" si="26"/>
        <v>#NAME?</v>
      </c>
      <c r="K2200" s="274">
        <f t="shared" si="27"/>
        <v>0</v>
      </c>
      <c r="N2200" s="274"/>
    </row>
    <row r="2201" spans="5:14" ht="13.5" customHeight="1">
      <c r="E2201" s="1" t="s">
        <v>225</v>
      </c>
      <c r="F2201" s="1" t="s">
        <v>2624</v>
      </c>
      <c r="G2201" s="410" t="str">
        <f t="shared" si="29"/>
        <v>16-16</v>
      </c>
      <c r="H2201" s="273" t="e">
        <f ca="1">_xludf.IFNA(VLOOKUP(Aragon!E2201,'Kilter Holds'!$P$37:$AB$662,8,0),0)+(2*_xludf.IFNA(VLOOKUP(Aragon!A2201,'Kilter Holds'!$P$37:$AB$662,8,0),0))</f>
        <v>#NAME?</v>
      </c>
      <c r="I2201" s="274"/>
      <c r="J2201" s="274" t="e">
        <f t="shared" ca="1" si="26"/>
        <v>#NAME?</v>
      </c>
      <c r="K2201" s="274">
        <f t="shared" si="27"/>
        <v>0</v>
      </c>
      <c r="N2201" s="274"/>
    </row>
    <row r="2202" spans="5:14" ht="13.5" customHeight="1">
      <c r="E2202" s="1" t="s">
        <v>225</v>
      </c>
      <c r="F2202" s="1" t="s">
        <v>2624</v>
      </c>
      <c r="G2202" s="411" t="str">
        <f t="shared" si="29"/>
        <v>13-01</v>
      </c>
      <c r="H2202" s="273" t="e">
        <f ca="1">_xludf.IFNA(VLOOKUP(Aragon!E2202,'Kilter Holds'!$P$37:$AB$662,9,0),0)+(2*_xludf.IFNA(VLOOKUP(Aragon!A2202,'Kilter Holds'!$P$37:$AB$662,9,0),0))</f>
        <v>#NAME?</v>
      </c>
      <c r="I2202" s="274"/>
      <c r="J2202" s="274" t="e">
        <f t="shared" ca="1" si="26"/>
        <v>#NAME?</v>
      </c>
      <c r="K2202" s="274">
        <f t="shared" si="27"/>
        <v>0</v>
      </c>
      <c r="N2202" s="274"/>
    </row>
    <row r="2203" spans="5:14" ht="13.5" customHeight="1">
      <c r="E2203" s="1" t="s">
        <v>225</v>
      </c>
      <c r="F2203" s="1" t="s">
        <v>2624</v>
      </c>
      <c r="G2203" s="413" t="str">
        <f t="shared" si="29"/>
        <v>07-13</v>
      </c>
      <c r="H2203" s="273" t="e">
        <f ca="1">_xludf.IFNA(VLOOKUP(Aragon!E2203,'Kilter Holds'!$P$37:$AB$662,10,0),0)+(2*_xludf.IFNA(VLOOKUP(Aragon!A2203,'Kilter Holds'!$P$37:$AB$662,10,0),0))</f>
        <v>#NAME?</v>
      </c>
      <c r="I2203" s="274"/>
      <c r="J2203" s="274" t="e">
        <f t="shared" ca="1" si="26"/>
        <v>#NAME?</v>
      </c>
      <c r="K2203" s="274">
        <f t="shared" si="27"/>
        <v>0</v>
      </c>
      <c r="N2203" s="274"/>
    </row>
    <row r="2204" spans="5:14" ht="13.5" customHeight="1">
      <c r="E2204" s="1" t="s">
        <v>225</v>
      </c>
      <c r="F2204" s="1" t="s">
        <v>2624</v>
      </c>
      <c r="G2204" s="414" t="str">
        <f t="shared" si="29"/>
        <v>11-26</v>
      </c>
      <c r="H2204" s="273" t="e">
        <f ca="1">_xludf.IFNA(VLOOKUP(Aragon!E2204,'Kilter Holds'!$P$37:$AB$662,11,0),0)+(2*_xludf.IFNA(VLOOKUP(Aragon!A2204,'Kilter Holds'!$P$37:$AB$662,11,0),0))</f>
        <v>#NAME?</v>
      </c>
      <c r="I2204" s="274"/>
      <c r="J2204" s="274" t="e">
        <f t="shared" ca="1" si="26"/>
        <v>#NAME?</v>
      </c>
      <c r="K2204" s="274">
        <f t="shared" si="27"/>
        <v>0</v>
      </c>
      <c r="N2204" s="274"/>
    </row>
    <row r="2205" spans="5:14" ht="13.5" customHeight="1">
      <c r="E2205" s="1" t="s">
        <v>225</v>
      </c>
      <c r="F2205" s="1" t="s">
        <v>2624</v>
      </c>
      <c r="G2205" s="415" t="str">
        <f t="shared" si="29"/>
        <v>18-01</v>
      </c>
      <c r="H2205" s="273" t="e">
        <f ca="1">_xludf.IFNA(VLOOKUP(Aragon!E2205,'Kilter Holds'!$P$37:$AB$662,12,0),0)+(2*_xludf.IFNA(VLOOKUP(Aragon!A2205,'Kilter Holds'!$P$37:$AB$662,12,0),0))</f>
        <v>#NAME?</v>
      </c>
      <c r="I2205" s="274"/>
      <c r="J2205" s="274" t="e">
        <f t="shared" ca="1" si="26"/>
        <v>#NAME?</v>
      </c>
      <c r="K2205" s="274">
        <f t="shared" si="27"/>
        <v>0</v>
      </c>
      <c r="N2205" s="274"/>
    </row>
    <row r="2206" spans="5:14" ht="13.5" customHeight="1">
      <c r="E2206" s="1" t="s">
        <v>225</v>
      </c>
      <c r="F2206" s="1" t="s">
        <v>2624</v>
      </c>
      <c r="G2206" s="416" t="str">
        <f t="shared" si="29"/>
        <v>Color Code</v>
      </c>
      <c r="H2206" s="273" t="e">
        <f ca="1">_xludf.IFNA(VLOOKUP(Aragon!E2206,'Kilter Holds'!$P$37:$AB$662,13,0),0)+(2*_xludf.IFNA(VLOOKUP(Aragon!A2206,'Kilter Holds'!$P$37:$AB$662,13,0),0))</f>
        <v>#NAME?</v>
      </c>
      <c r="I2206" s="274"/>
      <c r="J2206" s="274" t="e">
        <f t="shared" ca="1" si="26"/>
        <v>#NAME?</v>
      </c>
      <c r="K2206" s="274">
        <f t="shared" si="27"/>
        <v>0</v>
      </c>
      <c r="N2206" s="274"/>
    </row>
    <row r="2207" spans="5:14" ht="13.5" customHeight="1">
      <c r="E2207" s="1" t="s">
        <v>227</v>
      </c>
      <c r="F2207" s="1" t="s">
        <v>2625</v>
      </c>
      <c r="G2207" s="406" t="str">
        <f t="shared" si="29"/>
        <v>11-12</v>
      </c>
      <c r="H2207" s="273" t="e">
        <f ca="1">_xludf.IFNA(VLOOKUP(Aragon!E2207,'Kilter Holds'!$P$37:$AB$662,5,0),0)+(2*_xludf.IFNA(VLOOKUP(Aragon!A2207,'Kilter Holds'!$P$37:$AB$662,5,0),0))</f>
        <v>#NAME?</v>
      </c>
      <c r="I2207" s="274"/>
      <c r="J2207" s="274" t="e">
        <f t="shared" ca="1" si="26"/>
        <v>#NAME?</v>
      </c>
      <c r="K2207" s="274">
        <f t="shared" si="27"/>
        <v>0</v>
      </c>
      <c r="N2207" s="274"/>
    </row>
    <row r="2208" spans="5:14" ht="13.5" customHeight="1">
      <c r="E2208" s="1" t="s">
        <v>227</v>
      </c>
      <c r="F2208" s="1" t="s">
        <v>2625</v>
      </c>
      <c r="G2208" s="408" t="str">
        <f t="shared" si="29"/>
        <v>14-01</v>
      </c>
      <c r="H2208" s="273" t="e">
        <f ca="1">_xludf.IFNA(VLOOKUP(Aragon!E2208,'Kilter Holds'!$P$37:$AB$662,6,0),0)+(2*_xludf.IFNA(VLOOKUP(Aragon!A2208,'Kilter Holds'!$P$37:$AB$662,6,0),0))</f>
        <v>#NAME?</v>
      </c>
      <c r="I2208" s="274"/>
      <c r="J2208" s="274" t="e">
        <f t="shared" ca="1" si="26"/>
        <v>#NAME?</v>
      </c>
      <c r="K2208" s="274">
        <f t="shared" si="27"/>
        <v>0</v>
      </c>
      <c r="N2208" s="274"/>
    </row>
    <row r="2209" spans="5:14" ht="13.5" customHeight="1">
      <c r="E2209" s="1" t="s">
        <v>227</v>
      </c>
      <c r="F2209" s="1" t="s">
        <v>2625</v>
      </c>
      <c r="G2209" s="409" t="str">
        <f t="shared" si="29"/>
        <v>15-12</v>
      </c>
      <c r="H2209" s="273" t="e">
        <f ca="1">_xludf.IFNA(VLOOKUP(Aragon!E2209,'Kilter Holds'!$P$37:$AB$662,7,0),0)+(2*_xludf.IFNA(VLOOKUP(Aragon!A2209,'Kilter Holds'!$P$37:$AB$662,7,0),0))</f>
        <v>#NAME?</v>
      </c>
      <c r="I2209" s="274"/>
      <c r="J2209" s="274" t="e">
        <f t="shared" ca="1" si="26"/>
        <v>#NAME?</v>
      </c>
      <c r="K2209" s="274">
        <f t="shared" si="27"/>
        <v>0</v>
      </c>
      <c r="N2209" s="274"/>
    </row>
    <row r="2210" spans="5:14" ht="13.5" customHeight="1">
      <c r="E2210" s="1" t="s">
        <v>227</v>
      </c>
      <c r="F2210" s="1" t="s">
        <v>2625</v>
      </c>
      <c r="G2210" s="410" t="str">
        <f t="shared" si="29"/>
        <v>16-16</v>
      </c>
      <c r="H2210" s="273" t="e">
        <f ca="1">_xludf.IFNA(VLOOKUP(Aragon!E2210,'Kilter Holds'!$P$37:$AB$662,8,0),0)+(2*_xludf.IFNA(VLOOKUP(Aragon!A2210,'Kilter Holds'!$P$37:$AB$662,8,0),0))</f>
        <v>#NAME?</v>
      </c>
      <c r="I2210" s="274"/>
      <c r="J2210" s="274" t="e">
        <f t="shared" ca="1" si="26"/>
        <v>#NAME?</v>
      </c>
      <c r="K2210" s="274">
        <f t="shared" si="27"/>
        <v>0</v>
      </c>
      <c r="N2210" s="274"/>
    </row>
    <row r="2211" spans="5:14" ht="13.5" customHeight="1">
      <c r="E2211" s="1" t="s">
        <v>227</v>
      </c>
      <c r="F2211" s="1" t="s">
        <v>2625</v>
      </c>
      <c r="G2211" s="411" t="str">
        <f t="shared" si="29"/>
        <v>13-01</v>
      </c>
      <c r="H2211" s="273" t="e">
        <f ca="1">_xludf.IFNA(VLOOKUP(Aragon!E2211,'Kilter Holds'!$P$37:$AB$662,9,0),0)+(2*_xludf.IFNA(VLOOKUP(Aragon!A2211,'Kilter Holds'!$P$37:$AB$662,9,0),0))</f>
        <v>#NAME?</v>
      </c>
      <c r="I2211" s="274"/>
      <c r="J2211" s="274" t="e">
        <f t="shared" ca="1" si="26"/>
        <v>#NAME?</v>
      </c>
      <c r="K2211" s="274">
        <f t="shared" si="27"/>
        <v>0</v>
      </c>
      <c r="N2211" s="274"/>
    </row>
    <row r="2212" spans="5:14" ht="13.5" customHeight="1">
      <c r="E2212" s="1" t="s">
        <v>227</v>
      </c>
      <c r="F2212" s="1" t="s">
        <v>2625</v>
      </c>
      <c r="G2212" s="413" t="str">
        <f t="shared" si="29"/>
        <v>07-13</v>
      </c>
      <c r="H2212" s="273" t="e">
        <f ca="1">_xludf.IFNA(VLOOKUP(Aragon!E2212,'Kilter Holds'!$P$37:$AB$662,10,0),0)+(2*_xludf.IFNA(VLOOKUP(Aragon!A2212,'Kilter Holds'!$P$37:$AB$662,10,0),0))</f>
        <v>#NAME?</v>
      </c>
      <c r="I2212" s="274"/>
      <c r="J2212" s="274" t="e">
        <f t="shared" ca="1" si="26"/>
        <v>#NAME?</v>
      </c>
      <c r="K2212" s="274">
        <f t="shared" si="27"/>
        <v>0</v>
      </c>
      <c r="N2212" s="274"/>
    </row>
    <row r="2213" spans="5:14" ht="13.5" customHeight="1">
      <c r="E2213" s="1" t="s">
        <v>227</v>
      </c>
      <c r="F2213" s="1" t="s">
        <v>2625</v>
      </c>
      <c r="G2213" s="414" t="str">
        <f t="shared" si="29"/>
        <v>11-26</v>
      </c>
      <c r="H2213" s="273" t="e">
        <f ca="1">_xludf.IFNA(VLOOKUP(Aragon!E2213,'Kilter Holds'!$P$37:$AB$662,11,0),0)+(2*_xludf.IFNA(VLOOKUP(Aragon!A2213,'Kilter Holds'!$P$37:$AB$662,11,0),0))</f>
        <v>#NAME?</v>
      </c>
      <c r="I2213" s="274"/>
      <c r="J2213" s="274" t="e">
        <f t="shared" ca="1" si="26"/>
        <v>#NAME?</v>
      </c>
      <c r="K2213" s="274">
        <f t="shared" si="27"/>
        <v>0</v>
      </c>
      <c r="N2213" s="274"/>
    </row>
    <row r="2214" spans="5:14" ht="13.5" customHeight="1">
      <c r="E2214" s="1" t="s">
        <v>227</v>
      </c>
      <c r="F2214" s="1" t="s">
        <v>2625</v>
      </c>
      <c r="G2214" s="415" t="str">
        <f t="shared" si="29"/>
        <v>18-01</v>
      </c>
      <c r="H2214" s="273" t="e">
        <f ca="1">_xludf.IFNA(VLOOKUP(Aragon!E2214,'Kilter Holds'!$P$37:$AB$662,12,0),0)+(2*_xludf.IFNA(VLOOKUP(Aragon!A2214,'Kilter Holds'!$P$37:$AB$662,12,0),0))</f>
        <v>#NAME?</v>
      </c>
      <c r="I2214" s="274"/>
      <c r="J2214" s="274" t="e">
        <f t="shared" ca="1" si="26"/>
        <v>#NAME?</v>
      </c>
      <c r="K2214" s="274">
        <f t="shared" si="27"/>
        <v>0</v>
      </c>
      <c r="N2214" s="274"/>
    </row>
    <row r="2215" spans="5:14" ht="13.5" customHeight="1">
      <c r="E2215" s="1" t="s">
        <v>227</v>
      </c>
      <c r="F2215" s="1" t="s">
        <v>2625</v>
      </c>
      <c r="G2215" s="416" t="str">
        <f t="shared" si="29"/>
        <v>Color Code</v>
      </c>
      <c r="H2215" s="273" t="e">
        <f ca="1">_xludf.IFNA(VLOOKUP(Aragon!E2215,'Kilter Holds'!$P$37:$AB$662,13,0),0)+(2*_xludf.IFNA(VLOOKUP(Aragon!A2215,'Kilter Holds'!$P$37:$AB$662,13,0),0))</f>
        <v>#NAME?</v>
      </c>
      <c r="I2215" s="274"/>
      <c r="J2215" s="274" t="e">
        <f t="shared" ca="1" si="26"/>
        <v>#NAME?</v>
      </c>
      <c r="K2215" s="274">
        <f t="shared" si="27"/>
        <v>0</v>
      </c>
      <c r="N2215" s="274"/>
    </row>
    <row r="2216" spans="5:14" ht="13.5" customHeight="1">
      <c r="E2216" s="1" t="s">
        <v>161</v>
      </c>
      <c r="F2216" s="1" t="s">
        <v>2626</v>
      </c>
      <c r="G2216" s="406" t="str">
        <f t="shared" si="29"/>
        <v>11-12</v>
      </c>
      <c r="H2216" s="273" t="e">
        <f ca="1">_xludf.IFNA(VLOOKUP(Aragon!E2216,'Kilter Holds'!$P$37:$AB$662,5,0),0)+(2*_xludf.IFNA(VLOOKUP(Aragon!A2216,'Kilter Holds'!$P$37:$AB$662,5,0),0))</f>
        <v>#NAME?</v>
      </c>
      <c r="I2216" s="274"/>
      <c r="J2216" s="274" t="e">
        <f t="shared" ca="1" si="26"/>
        <v>#NAME?</v>
      </c>
      <c r="K2216" s="274">
        <f t="shared" si="27"/>
        <v>0</v>
      </c>
      <c r="N2216" s="274"/>
    </row>
    <row r="2217" spans="5:14" ht="13.5" customHeight="1">
      <c r="E2217" s="1" t="s">
        <v>161</v>
      </c>
      <c r="F2217" s="1" t="s">
        <v>2626</v>
      </c>
      <c r="G2217" s="408" t="str">
        <f t="shared" si="29"/>
        <v>14-01</v>
      </c>
      <c r="H2217" s="273" t="e">
        <f ca="1">_xludf.IFNA(VLOOKUP(Aragon!E2217,'Kilter Holds'!$P$37:$AB$662,6,0),0)+(2*_xludf.IFNA(VLOOKUP(Aragon!A2217,'Kilter Holds'!$P$37:$AB$662,6,0),0))</f>
        <v>#NAME?</v>
      </c>
      <c r="I2217" s="274"/>
      <c r="J2217" s="274" t="e">
        <f t="shared" ca="1" si="26"/>
        <v>#NAME?</v>
      </c>
      <c r="K2217" s="274">
        <f t="shared" si="27"/>
        <v>0</v>
      </c>
      <c r="N2217" s="274"/>
    </row>
    <row r="2218" spans="5:14" ht="13.5" customHeight="1">
      <c r="E2218" s="1" t="s">
        <v>161</v>
      </c>
      <c r="F2218" s="1" t="s">
        <v>2626</v>
      </c>
      <c r="G2218" s="409" t="str">
        <f t="shared" si="29"/>
        <v>15-12</v>
      </c>
      <c r="H2218" s="273" t="e">
        <f ca="1">_xludf.IFNA(VLOOKUP(Aragon!E2218,'Kilter Holds'!$P$37:$AB$662,7,0),0)+(2*_xludf.IFNA(VLOOKUP(Aragon!A2218,'Kilter Holds'!$P$37:$AB$662,7,0),0))</f>
        <v>#NAME?</v>
      </c>
      <c r="I2218" s="274"/>
      <c r="J2218" s="274" t="e">
        <f t="shared" ca="1" si="26"/>
        <v>#NAME?</v>
      </c>
      <c r="K2218" s="274">
        <f t="shared" si="27"/>
        <v>0</v>
      </c>
      <c r="N2218" s="274"/>
    </row>
    <row r="2219" spans="5:14" ht="13.5" customHeight="1">
      <c r="E2219" s="1" t="s">
        <v>161</v>
      </c>
      <c r="F2219" s="1" t="s">
        <v>2626</v>
      </c>
      <c r="G2219" s="410" t="str">
        <f t="shared" si="29"/>
        <v>16-16</v>
      </c>
      <c r="H2219" s="273" t="e">
        <f ca="1">_xludf.IFNA(VLOOKUP(Aragon!E2219,'Kilter Holds'!$P$37:$AB$662,8,0),0)+(2*_xludf.IFNA(VLOOKUP(Aragon!A2219,'Kilter Holds'!$P$37:$AB$662,8,0),0))</f>
        <v>#NAME?</v>
      </c>
      <c r="I2219" s="274"/>
      <c r="J2219" s="274" t="e">
        <f t="shared" ca="1" si="26"/>
        <v>#NAME?</v>
      </c>
      <c r="K2219" s="274">
        <f t="shared" si="27"/>
        <v>0</v>
      </c>
      <c r="N2219" s="274"/>
    </row>
    <row r="2220" spans="5:14" ht="13.5" customHeight="1">
      <c r="E2220" s="1" t="s">
        <v>161</v>
      </c>
      <c r="F2220" s="1" t="s">
        <v>2626</v>
      </c>
      <c r="G2220" s="411" t="str">
        <f t="shared" si="29"/>
        <v>13-01</v>
      </c>
      <c r="H2220" s="273" t="e">
        <f ca="1">_xludf.IFNA(VLOOKUP(Aragon!E2220,'Kilter Holds'!$P$37:$AB$662,9,0),0)+(2*_xludf.IFNA(VLOOKUP(Aragon!A2220,'Kilter Holds'!$P$37:$AB$662,9,0),0))</f>
        <v>#NAME?</v>
      </c>
      <c r="I2220" s="274"/>
      <c r="J2220" s="274" t="e">
        <f t="shared" ca="1" si="26"/>
        <v>#NAME?</v>
      </c>
      <c r="K2220" s="274">
        <f t="shared" si="27"/>
        <v>0</v>
      </c>
      <c r="N2220" s="274"/>
    </row>
    <row r="2221" spans="5:14" ht="13.5" customHeight="1">
      <c r="E2221" s="1" t="s">
        <v>161</v>
      </c>
      <c r="F2221" s="1" t="s">
        <v>2626</v>
      </c>
      <c r="G2221" s="413" t="str">
        <f t="shared" si="29"/>
        <v>07-13</v>
      </c>
      <c r="H2221" s="273" t="e">
        <f ca="1">_xludf.IFNA(VLOOKUP(Aragon!E2221,'Kilter Holds'!$P$37:$AB$662,10,0),0)+(2*_xludf.IFNA(VLOOKUP(Aragon!A2221,'Kilter Holds'!$P$37:$AB$662,10,0),0))</f>
        <v>#NAME?</v>
      </c>
      <c r="I2221" s="274"/>
      <c r="J2221" s="274" t="e">
        <f t="shared" ca="1" si="26"/>
        <v>#NAME?</v>
      </c>
      <c r="K2221" s="274">
        <f t="shared" si="27"/>
        <v>0</v>
      </c>
      <c r="N2221" s="274"/>
    </row>
    <row r="2222" spans="5:14" ht="13.5" customHeight="1">
      <c r="E2222" s="1" t="s">
        <v>161</v>
      </c>
      <c r="F2222" s="1" t="s">
        <v>2626</v>
      </c>
      <c r="G2222" s="414" t="str">
        <f t="shared" si="29"/>
        <v>11-26</v>
      </c>
      <c r="H2222" s="273" t="e">
        <f ca="1">_xludf.IFNA(VLOOKUP(Aragon!E2222,'Kilter Holds'!$P$37:$AB$662,11,0),0)+(2*_xludf.IFNA(VLOOKUP(Aragon!A2222,'Kilter Holds'!$P$37:$AB$662,11,0),0))</f>
        <v>#NAME?</v>
      </c>
      <c r="I2222" s="274"/>
      <c r="J2222" s="274" t="e">
        <f t="shared" ca="1" si="26"/>
        <v>#NAME?</v>
      </c>
      <c r="K2222" s="274">
        <f t="shared" si="27"/>
        <v>0</v>
      </c>
      <c r="N2222" s="274"/>
    </row>
    <row r="2223" spans="5:14" ht="13.5" customHeight="1">
      <c r="E2223" s="1" t="s">
        <v>161</v>
      </c>
      <c r="F2223" s="1" t="s">
        <v>2626</v>
      </c>
      <c r="G2223" s="415" t="str">
        <f t="shared" si="29"/>
        <v>18-01</v>
      </c>
      <c r="H2223" s="273" t="e">
        <f ca="1">_xludf.IFNA(VLOOKUP(Aragon!E2223,'Kilter Holds'!$P$37:$AB$662,12,0),0)+(2*_xludf.IFNA(VLOOKUP(Aragon!A2223,'Kilter Holds'!$P$37:$AB$662,12,0),0))</f>
        <v>#NAME?</v>
      </c>
      <c r="I2223" s="274"/>
      <c r="J2223" s="274" t="e">
        <f t="shared" ca="1" si="26"/>
        <v>#NAME?</v>
      </c>
      <c r="K2223" s="274">
        <f t="shared" si="27"/>
        <v>0</v>
      </c>
      <c r="N2223" s="274"/>
    </row>
    <row r="2224" spans="5:14" ht="13.5" customHeight="1">
      <c r="E2224" s="1" t="s">
        <v>161</v>
      </c>
      <c r="F2224" s="1" t="s">
        <v>2626</v>
      </c>
      <c r="G2224" s="416" t="str">
        <f t="shared" si="29"/>
        <v>Color Code</v>
      </c>
      <c r="H2224" s="273" t="e">
        <f ca="1">_xludf.IFNA(VLOOKUP(Aragon!E2224,'Kilter Holds'!$P$37:$AB$662,13,0),0)+(2*_xludf.IFNA(VLOOKUP(Aragon!A2224,'Kilter Holds'!$P$37:$AB$662,13,0),0))</f>
        <v>#NAME?</v>
      </c>
      <c r="I2224" s="274"/>
      <c r="J2224" s="274" t="e">
        <f t="shared" ca="1" si="26"/>
        <v>#NAME?</v>
      </c>
      <c r="K2224" s="274">
        <f t="shared" si="27"/>
        <v>0</v>
      </c>
      <c r="N2224" s="274"/>
    </row>
    <row r="2225" spans="5:14" ht="13.5" customHeight="1">
      <c r="E2225" s="1" t="s">
        <v>229</v>
      </c>
      <c r="F2225" s="1" t="s">
        <v>2627</v>
      </c>
      <c r="G2225" s="406" t="str">
        <f t="shared" si="29"/>
        <v>11-12</v>
      </c>
      <c r="H2225" s="273" t="e">
        <f ca="1">_xludf.IFNA(VLOOKUP(Aragon!E2225,'Kilter Holds'!$P$37:$AB$662,5,0),0)+(2*_xludf.IFNA(VLOOKUP(Aragon!A2225,'Kilter Holds'!$P$37:$AB$662,5,0),0))</f>
        <v>#NAME?</v>
      </c>
      <c r="I2225" s="274"/>
      <c r="J2225" s="274" t="e">
        <f t="shared" ca="1" si="26"/>
        <v>#NAME?</v>
      </c>
      <c r="K2225" s="274">
        <f t="shared" si="27"/>
        <v>0</v>
      </c>
      <c r="N2225" s="274"/>
    </row>
    <row r="2226" spans="5:14" ht="13.5" customHeight="1">
      <c r="E2226" s="1" t="s">
        <v>229</v>
      </c>
      <c r="F2226" s="1" t="s">
        <v>2627</v>
      </c>
      <c r="G2226" s="408" t="str">
        <f t="shared" si="29"/>
        <v>14-01</v>
      </c>
      <c r="H2226" s="273" t="e">
        <f ca="1">_xludf.IFNA(VLOOKUP(Aragon!E2226,'Kilter Holds'!$P$37:$AB$662,6,0),0)+(2*_xludf.IFNA(VLOOKUP(Aragon!A2226,'Kilter Holds'!$P$37:$AB$662,6,0),0))</f>
        <v>#NAME?</v>
      </c>
      <c r="I2226" s="274"/>
      <c r="J2226" s="274" t="e">
        <f t="shared" ca="1" si="26"/>
        <v>#NAME?</v>
      </c>
      <c r="K2226" s="274">
        <f t="shared" si="27"/>
        <v>0</v>
      </c>
      <c r="N2226" s="274"/>
    </row>
    <row r="2227" spans="5:14" ht="13.5" customHeight="1">
      <c r="E2227" s="1" t="s">
        <v>229</v>
      </c>
      <c r="F2227" s="1" t="s">
        <v>2627</v>
      </c>
      <c r="G2227" s="409" t="str">
        <f t="shared" si="29"/>
        <v>15-12</v>
      </c>
      <c r="H2227" s="273" t="e">
        <f ca="1">_xludf.IFNA(VLOOKUP(Aragon!E2227,'Kilter Holds'!$P$37:$AB$662,7,0),0)+(2*_xludf.IFNA(VLOOKUP(Aragon!A2227,'Kilter Holds'!$P$37:$AB$662,7,0),0))</f>
        <v>#NAME?</v>
      </c>
      <c r="I2227" s="274"/>
      <c r="J2227" s="274" t="e">
        <f t="shared" ca="1" si="26"/>
        <v>#NAME?</v>
      </c>
      <c r="K2227" s="274">
        <f t="shared" si="27"/>
        <v>0</v>
      </c>
      <c r="N2227" s="274"/>
    </row>
    <row r="2228" spans="5:14" ht="13.5" customHeight="1">
      <c r="E2228" s="1" t="s">
        <v>229</v>
      </c>
      <c r="F2228" s="1" t="s">
        <v>2627</v>
      </c>
      <c r="G2228" s="410" t="str">
        <f t="shared" si="29"/>
        <v>16-16</v>
      </c>
      <c r="H2228" s="273" t="e">
        <f ca="1">_xludf.IFNA(VLOOKUP(Aragon!E2228,'Kilter Holds'!$P$37:$AB$662,8,0),0)+(2*_xludf.IFNA(VLOOKUP(Aragon!A2228,'Kilter Holds'!$P$37:$AB$662,8,0),0))</f>
        <v>#NAME?</v>
      </c>
      <c r="I2228" s="274"/>
      <c r="J2228" s="274" t="e">
        <f t="shared" ca="1" si="26"/>
        <v>#NAME?</v>
      </c>
      <c r="K2228" s="274">
        <f t="shared" si="27"/>
        <v>0</v>
      </c>
      <c r="N2228" s="274"/>
    </row>
    <row r="2229" spans="5:14" ht="13.5" customHeight="1">
      <c r="E2229" s="1" t="s">
        <v>229</v>
      </c>
      <c r="F2229" s="1" t="s">
        <v>2627</v>
      </c>
      <c r="G2229" s="411" t="str">
        <f t="shared" si="29"/>
        <v>13-01</v>
      </c>
      <c r="H2229" s="273" t="e">
        <f ca="1">_xludf.IFNA(VLOOKUP(Aragon!E2229,'Kilter Holds'!$P$37:$AB$662,9,0),0)+(2*_xludf.IFNA(VLOOKUP(Aragon!A2229,'Kilter Holds'!$P$37:$AB$662,9,0),0))</f>
        <v>#NAME?</v>
      </c>
      <c r="I2229" s="274"/>
      <c r="J2229" s="274" t="e">
        <f t="shared" ca="1" si="26"/>
        <v>#NAME?</v>
      </c>
      <c r="K2229" s="274">
        <f t="shared" si="27"/>
        <v>0</v>
      </c>
      <c r="N2229" s="274"/>
    </row>
    <row r="2230" spans="5:14" ht="13.5" customHeight="1">
      <c r="E2230" s="1" t="s">
        <v>229</v>
      </c>
      <c r="F2230" s="1" t="s">
        <v>2627</v>
      </c>
      <c r="G2230" s="413" t="str">
        <f t="shared" si="29"/>
        <v>07-13</v>
      </c>
      <c r="H2230" s="273" t="e">
        <f ca="1">_xludf.IFNA(VLOOKUP(Aragon!E2230,'Kilter Holds'!$P$37:$AB$662,10,0),0)+(2*_xludf.IFNA(VLOOKUP(Aragon!A2230,'Kilter Holds'!$P$37:$AB$662,10,0),0))</f>
        <v>#NAME?</v>
      </c>
      <c r="I2230" s="274"/>
      <c r="J2230" s="274" t="e">
        <f t="shared" ca="1" si="26"/>
        <v>#NAME?</v>
      </c>
      <c r="K2230" s="274">
        <f t="shared" si="27"/>
        <v>0</v>
      </c>
      <c r="N2230" s="274"/>
    </row>
    <row r="2231" spans="5:14" ht="13.5" customHeight="1">
      <c r="E2231" s="1" t="s">
        <v>229</v>
      </c>
      <c r="F2231" s="1" t="s">
        <v>2627</v>
      </c>
      <c r="G2231" s="414" t="str">
        <f t="shared" si="29"/>
        <v>11-26</v>
      </c>
      <c r="H2231" s="273" t="e">
        <f ca="1">_xludf.IFNA(VLOOKUP(Aragon!E2231,'Kilter Holds'!$P$37:$AB$662,11,0),0)+(2*_xludf.IFNA(VLOOKUP(Aragon!A2231,'Kilter Holds'!$P$37:$AB$662,11,0),0))</f>
        <v>#NAME?</v>
      </c>
      <c r="I2231" s="274"/>
      <c r="J2231" s="274" t="e">
        <f t="shared" ca="1" si="26"/>
        <v>#NAME?</v>
      </c>
      <c r="K2231" s="274">
        <f t="shared" si="27"/>
        <v>0</v>
      </c>
      <c r="N2231" s="274"/>
    </row>
    <row r="2232" spans="5:14" ht="13.5" customHeight="1">
      <c r="E2232" s="1" t="s">
        <v>229</v>
      </c>
      <c r="F2232" s="1" t="s">
        <v>2627</v>
      </c>
      <c r="G2232" s="415" t="str">
        <f t="shared" si="29"/>
        <v>18-01</v>
      </c>
      <c r="H2232" s="273" t="e">
        <f ca="1">_xludf.IFNA(VLOOKUP(Aragon!E2232,'Kilter Holds'!$P$37:$AB$662,12,0),0)+(2*_xludf.IFNA(VLOOKUP(Aragon!A2232,'Kilter Holds'!$P$37:$AB$662,12,0),0))</f>
        <v>#NAME?</v>
      </c>
      <c r="I2232" s="274"/>
      <c r="J2232" s="274" t="e">
        <f t="shared" ca="1" si="26"/>
        <v>#NAME?</v>
      </c>
      <c r="K2232" s="274">
        <f t="shared" si="27"/>
        <v>0</v>
      </c>
      <c r="N2232" s="274"/>
    </row>
    <row r="2233" spans="5:14" ht="13.5" customHeight="1">
      <c r="E2233" s="1" t="s">
        <v>229</v>
      </c>
      <c r="F2233" s="1" t="s">
        <v>2627</v>
      </c>
      <c r="G2233" s="416" t="str">
        <f t="shared" si="29"/>
        <v>Color Code</v>
      </c>
      <c r="H2233" s="273" t="e">
        <f ca="1">_xludf.IFNA(VLOOKUP(Aragon!E2233,'Kilter Holds'!$P$37:$AB$662,13,0),0)+(2*_xludf.IFNA(VLOOKUP(Aragon!A2233,'Kilter Holds'!$P$37:$AB$662,13,0),0))</f>
        <v>#NAME?</v>
      </c>
      <c r="I2233" s="274"/>
      <c r="J2233" s="274" t="e">
        <f t="shared" ca="1" si="26"/>
        <v>#NAME?</v>
      </c>
      <c r="K2233" s="274">
        <f t="shared" si="27"/>
        <v>0</v>
      </c>
      <c r="N2233" s="274"/>
    </row>
    <row r="2234" spans="5:14" ht="13.5" customHeight="1">
      <c r="E2234" s="1" t="s">
        <v>163</v>
      </c>
      <c r="F2234" s="1" t="s">
        <v>2628</v>
      </c>
      <c r="G2234" s="406" t="str">
        <f t="shared" si="29"/>
        <v>11-12</v>
      </c>
      <c r="H2234" s="273" t="e">
        <f ca="1">_xludf.IFNA(VLOOKUP(Aragon!E2234,'Kilter Holds'!$P$37:$AB$662,5,0),0)+(2*_xludf.IFNA(VLOOKUP(Aragon!A2234,'Kilter Holds'!$P$37:$AB$662,5,0),0))</f>
        <v>#NAME?</v>
      </c>
      <c r="I2234" s="274"/>
      <c r="J2234" s="274" t="e">
        <f t="shared" ca="1" si="26"/>
        <v>#NAME?</v>
      </c>
      <c r="K2234" s="274">
        <f t="shared" si="27"/>
        <v>0</v>
      </c>
      <c r="N2234" s="274"/>
    </row>
    <row r="2235" spans="5:14" ht="13.5" customHeight="1">
      <c r="E2235" s="1" t="s">
        <v>163</v>
      </c>
      <c r="F2235" s="1" t="s">
        <v>2628</v>
      </c>
      <c r="G2235" s="408" t="str">
        <f t="shared" si="29"/>
        <v>14-01</v>
      </c>
      <c r="H2235" s="273" t="e">
        <f ca="1">_xludf.IFNA(VLOOKUP(Aragon!E2235,'Kilter Holds'!$P$37:$AB$662,6,0),0)+(2*_xludf.IFNA(VLOOKUP(Aragon!A2235,'Kilter Holds'!$P$37:$AB$662,6,0),0))</f>
        <v>#NAME?</v>
      </c>
      <c r="I2235" s="274"/>
      <c r="J2235" s="274" t="e">
        <f t="shared" ca="1" si="26"/>
        <v>#NAME?</v>
      </c>
      <c r="K2235" s="274">
        <f t="shared" si="27"/>
        <v>0</v>
      </c>
      <c r="N2235" s="274"/>
    </row>
    <row r="2236" spans="5:14" ht="13.5" customHeight="1">
      <c r="E2236" s="1" t="s">
        <v>163</v>
      </c>
      <c r="F2236" s="1" t="s">
        <v>2628</v>
      </c>
      <c r="G2236" s="409" t="str">
        <f t="shared" si="29"/>
        <v>15-12</v>
      </c>
      <c r="H2236" s="273" t="e">
        <f ca="1">_xludf.IFNA(VLOOKUP(Aragon!E2236,'Kilter Holds'!$P$37:$AB$662,7,0),0)+(2*_xludf.IFNA(VLOOKUP(Aragon!A2236,'Kilter Holds'!$P$37:$AB$662,7,0),0))</f>
        <v>#NAME?</v>
      </c>
      <c r="I2236" s="274"/>
      <c r="J2236" s="274" t="e">
        <f t="shared" ca="1" si="26"/>
        <v>#NAME?</v>
      </c>
      <c r="K2236" s="274">
        <f t="shared" si="27"/>
        <v>0</v>
      </c>
      <c r="N2236" s="274"/>
    </row>
    <row r="2237" spans="5:14" ht="13.5" customHeight="1">
      <c r="E2237" s="1" t="s">
        <v>163</v>
      </c>
      <c r="F2237" s="1" t="s">
        <v>2628</v>
      </c>
      <c r="G2237" s="410" t="str">
        <f t="shared" si="29"/>
        <v>16-16</v>
      </c>
      <c r="H2237" s="273" t="e">
        <f ca="1">_xludf.IFNA(VLOOKUP(Aragon!E2237,'Kilter Holds'!$P$37:$AB$662,8,0),0)+(2*_xludf.IFNA(VLOOKUP(Aragon!A2237,'Kilter Holds'!$P$37:$AB$662,8,0),0))</f>
        <v>#NAME?</v>
      </c>
      <c r="I2237" s="274"/>
      <c r="J2237" s="274" t="e">
        <f t="shared" ca="1" si="26"/>
        <v>#NAME?</v>
      </c>
      <c r="K2237" s="274">
        <f t="shared" si="27"/>
        <v>0</v>
      </c>
      <c r="N2237" s="274"/>
    </row>
    <row r="2238" spans="5:14" ht="13.5" customHeight="1">
      <c r="E2238" s="1" t="s">
        <v>163</v>
      </c>
      <c r="F2238" s="1" t="s">
        <v>2628</v>
      </c>
      <c r="G2238" s="411" t="str">
        <f t="shared" si="29"/>
        <v>13-01</v>
      </c>
      <c r="H2238" s="273" t="e">
        <f ca="1">_xludf.IFNA(VLOOKUP(Aragon!E2238,'Kilter Holds'!$P$37:$AB$662,9,0),0)+(2*_xludf.IFNA(VLOOKUP(Aragon!A2238,'Kilter Holds'!$P$37:$AB$662,9,0),0))</f>
        <v>#NAME?</v>
      </c>
      <c r="I2238" s="274"/>
      <c r="J2238" s="274" t="e">
        <f t="shared" ca="1" si="26"/>
        <v>#NAME?</v>
      </c>
      <c r="K2238" s="274">
        <f t="shared" si="27"/>
        <v>0</v>
      </c>
      <c r="N2238" s="274"/>
    </row>
    <row r="2239" spans="5:14" ht="13.5" customHeight="1">
      <c r="E2239" s="1" t="s">
        <v>163</v>
      </c>
      <c r="F2239" s="1" t="s">
        <v>2628</v>
      </c>
      <c r="G2239" s="413" t="str">
        <f t="shared" si="29"/>
        <v>07-13</v>
      </c>
      <c r="H2239" s="273" t="e">
        <f ca="1">_xludf.IFNA(VLOOKUP(Aragon!E2239,'Kilter Holds'!$P$37:$AB$662,10,0),0)+(2*_xludf.IFNA(VLOOKUP(Aragon!A2239,'Kilter Holds'!$P$37:$AB$662,10,0),0))</f>
        <v>#NAME?</v>
      </c>
      <c r="I2239" s="274"/>
      <c r="J2239" s="274" t="e">
        <f t="shared" ca="1" si="26"/>
        <v>#NAME?</v>
      </c>
      <c r="K2239" s="274">
        <f t="shared" si="27"/>
        <v>0</v>
      </c>
      <c r="N2239" s="274"/>
    </row>
    <row r="2240" spans="5:14" ht="13.5" customHeight="1">
      <c r="E2240" s="1" t="s">
        <v>163</v>
      </c>
      <c r="F2240" s="1" t="s">
        <v>2628</v>
      </c>
      <c r="G2240" s="414" t="str">
        <f t="shared" si="29"/>
        <v>11-26</v>
      </c>
      <c r="H2240" s="273" t="e">
        <f ca="1">_xludf.IFNA(VLOOKUP(Aragon!E2240,'Kilter Holds'!$P$37:$AB$662,11,0),0)+(2*_xludf.IFNA(VLOOKUP(Aragon!A2240,'Kilter Holds'!$P$37:$AB$662,11,0),0))</f>
        <v>#NAME?</v>
      </c>
      <c r="I2240" s="274"/>
      <c r="J2240" s="274" t="e">
        <f t="shared" ca="1" si="26"/>
        <v>#NAME?</v>
      </c>
      <c r="K2240" s="274">
        <f t="shared" si="27"/>
        <v>0</v>
      </c>
      <c r="N2240" s="274"/>
    </row>
    <row r="2241" spans="5:14" ht="13.5" customHeight="1">
      <c r="E2241" s="1" t="s">
        <v>163</v>
      </c>
      <c r="F2241" s="1" t="s">
        <v>2628</v>
      </c>
      <c r="G2241" s="415" t="str">
        <f t="shared" si="29"/>
        <v>18-01</v>
      </c>
      <c r="H2241" s="273" t="e">
        <f ca="1">_xludf.IFNA(VLOOKUP(Aragon!E2241,'Kilter Holds'!$P$37:$AB$662,12,0),0)+(2*_xludf.IFNA(VLOOKUP(Aragon!A2241,'Kilter Holds'!$P$37:$AB$662,12,0),0))</f>
        <v>#NAME?</v>
      </c>
      <c r="I2241" s="274"/>
      <c r="J2241" s="274" t="e">
        <f t="shared" ca="1" si="26"/>
        <v>#NAME?</v>
      </c>
      <c r="K2241" s="274">
        <f t="shared" si="27"/>
        <v>0</v>
      </c>
      <c r="N2241" s="274"/>
    </row>
    <row r="2242" spans="5:14" ht="13.5" customHeight="1">
      <c r="E2242" s="1" t="s">
        <v>163</v>
      </c>
      <c r="F2242" s="1" t="s">
        <v>2628</v>
      </c>
      <c r="G2242" s="416" t="str">
        <f t="shared" si="29"/>
        <v>Color Code</v>
      </c>
      <c r="H2242" s="273" t="e">
        <f ca="1">_xludf.IFNA(VLOOKUP(Aragon!E2242,'Kilter Holds'!$P$37:$AB$662,13,0),0)+(2*_xludf.IFNA(VLOOKUP(Aragon!A2242,'Kilter Holds'!$P$37:$AB$662,13,0),0))</f>
        <v>#NAME?</v>
      </c>
      <c r="I2242" s="274"/>
      <c r="J2242" s="274" t="e">
        <f t="shared" ca="1" si="26"/>
        <v>#NAME?</v>
      </c>
      <c r="K2242" s="274">
        <f t="shared" si="27"/>
        <v>0</v>
      </c>
      <c r="N2242" s="274"/>
    </row>
    <row r="2243" spans="5:14" ht="13.5" customHeight="1">
      <c r="E2243" s="1" t="s">
        <v>183</v>
      </c>
      <c r="F2243" s="1" t="s">
        <v>2629</v>
      </c>
      <c r="G2243" s="406" t="str">
        <f t="shared" si="29"/>
        <v>11-12</v>
      </c>
      <c r="H2243" s="273" t="e">
        <f ca="1">_xludf.IFNA(VLOOKUP(Aragon!E2243,'Kilter Holds'!$P$37:$AB$662,5,0),0)+(2*_xludf.IFNA(VLOOKUP(Aragon!A2243,'Kilter Holds'!$P$37:$AB$662,5,0),0))</f>
        <v>#NAME?</v>
      </c>
      <c r="I2243" s="274"/>
      <c r="J2243" s="274" t="e">
        <f t="shared" ca="1" si="26"/>
        <v>#NAME?</v>
      </c>
      <c r="K2243" s="274">
        <f t="shared" si="27"/>
        <v>0</v>
      </c>
      <c r="N2243" s="274"/>
    </row>
    <row r="2244" spans="5:14" ht="13.5" customHeight="1">
      <c r="E2244" s="1" t="s">
        <v>183</v>
      </c>
      <c r="F2244" s="1" t="s">
        <v>2629</v>
      </c>
      <c r="G2244" s="408" t="str">
        <f t="shared" si="29"/>
        <v>14-01</v>
      </c>
      <c r="H2244" s="273" t="e">
        <f ca="1">_xludf.IFNA(VLOOKUP(Aragon!E2244,'Kilter Holds'!$P$37:$AB$662,6,0),0)+(2*_xludf.IFNA(VLOOKUP(Aragon!A2244,'Kilter Holds'!$P$37:$AB$662,6,0),0))</f>
        <v>#NAME?</v>
      </c>
      <c r="I2244" s="274"/>
      <c r="J2244" s="274" t="e">
        <f t="shared" ca="1" si="26"/>
        <v>#NAME?</v>
      </c>
      <c r="K2244" s="274">
        <f t="shared" si="27"/>
        <v>0</v>
      </c>
      <c r="N2244" s="274"/>
    </row>
    <row r="2245" spans="5:14" ht="13.5" customHeight="1">
      <c r="E2245" s="1" t="s">
        <v>183</v>
      </c>
      <c r="F2245" s="1" t="s">
        <v>2629</v>
      </c>
      <c r="G2245" s="409" t="str">
        <f t="shared" si="29"/>
        <v>15-12</v>
      </c>
      <c r="H2245" s="273" t="e">
        <f ca="1">_xludf.IFNA(VLOOKUP(Aragon!E2245,'Kilter Holds'!$P$37:$AB$662,7,0),0)+(2*_xludf.IFNA(VLOOKUP(Aragon!A2245,'Kilter Holds'!$P$37:$AB$662,7,0),0))</f>
        <v>#NAME?</v>
      </c>
      <c r="I2245" s="274"/>
      <c r="J2245" s="274" t="e">
        <f t="shared" ca="1" si="26"/>
        <v>#NAME?</v>
      </c>
      <c r="K2245" s="274">
        <f t="shared" si="27"/>
        <v>0</v>
      </c>
      <c r="N2245" s="274"/>
    </row>
    <row r="2246" spans="5:14" ht="13.5" customHeight="1">
      <c r="E2246" s="1" t="s">
        <v>183</v>
      </c>
      <c r="F2246" s="1" t="s">
        <v>2629</v>
      </c>
      <c r="G2246" s="410" t="str">
        <f t="shared" si="29"/>
        <v>16-16</v>
      </c>
      <c r="H2246" s="273" t="e">
        <f ca="1">_xludf.IFNA(VLOOKUP(Aragon!E2246,'Kilter Holds'!$P$37:$AB$662,8,0),0)+(2*_xludf.IFNA(VLOOKUP(Aragon!A2246,'Kilter Holds'!$P$37:$AB$662,8,0),0))</f>
        <v>#NAME?</v>
      </c>
      <c r="I2246" s="274"/>
      <c r="J2246" s="274" t="e">
        <f t="shared" ca="1" si="26"/>
        <v>#NAME?</v>
      </c>
      <c r="K2246" s="274">
        <f t="shared" si="27"/>
        <v>0</v>
      </c>
      <c r="N2246" s="274"/>
    </row>
    <row r="2247" spans="5:14" ht="13.5" customHeight="1">
      <c r="E2247" s="1" t="s">
        <v>183</v>
      </c>
      <c r="F2247" s="1" t="s">
        <v>2629</v>
      </c>
      <c r="G2247" s="411" t="str">
        <f t="shared" si="29"/>
        <v>13-01</v>
      </c>
      <c r="H2247" s="273" t="e">
        <f ca="1">_xludf.IFNA(VLOOKUP(Aragon!E2247,'Kilter Holds'!$P$37:$AB$662,9,0),0)+(2*_xludf.IFNA(VLOOKUP(Aragon!A2247,'Kilter Holds'!$P$37:$AB$662,9,0),0))</f>
        <v>#NAME?</v>
      </c>
      <c r="I2247" s="274"/>
      <c r="J2247" s="274" t="e">
        <f t="shared" ca="1" si="26"/>
        <v>#NAME?</v>
      </c>
      <c r="K2247" s="274">
        <f t="shared" si="27"/>
        <v>0</v>
      </c>
      <c r="N2247" s="274"/>
    </row>
    <row r="2248" spans="5:14" ht="13.5" customHeight="1">
      <c r="E2248" s="1" t="s">
        <v>183</v>
      </c>
      <c r="F2248" s="1" t="s">
        <v>2629</v>
      </c>
      <c r="G2248" s="413" t="str">
        <f t="shared" si="29"/>
        <v>07-13</v>
      </c>
      <c r="H2248" s="273" t="e">
        <f ca="1">_xludf.IFNA(VLOOKUP(Aragon!E2248,'Kilter Holds'!$P$37:$AB$662,10,0),0)+(2*_xludf.IFNA(VLOOKUP(Aragon!A2248,'Kilter Holds'!$P$37:$AB$662,10,0),0))</f>
        <v>#NAME?</v>
      </c>
      <c r="I2248" s="274"/>
      <c r="J2248" s="274" t="e">
        <f t="shared" ca="1" si="26"/>
        <v>#NAME?</v>
      </c>
      <c r="K2248" s="274">
        <f t="shared" si="27"/>
        <v>0</v>
      </c>
      <c r="N2248" s="274"/>
    </row>
    <row r="2249" spans="5:14" ht="13.5" customHeight="1">
      <c r="E2249" s="1" t="s">
        <v>183</v>
      </c>
      <c r="F2249" s="1" t="s">
        <v>2629</v>
      </c>
      <c r="G2249" s="414" t="str">
        <f t="shared" si="29"/>
        <v>11-26</v>
      </c>
      <c r="H2249" s="273" t="e">
        <f ca="1">_xludf.IFNA(VLOOKUP(Aragon!E2249,'Kilter Holds'!$P$37:$AB$662,11,0),0)+(2*_xludf.IFNA(VLOOKUP(Aragon!A2249,'Kilter Holds'!$P$37:$AB$662,11,0),0))</f>
        <v>#NAME?</v>
      </c>
      <c r="I2249" s="274"/>
      <c r="J2249" s="274" t="e">
        <f t="shared" ca="1" si="26"/>
        <v>#NAME?</v>
      </c>
      <c r="K2249" s="274">
        <f t="shared" si="27"/>
        <v>0</v>
      </c>
      <c r="N2249" s="274"/>
    </row>
    <row r="2250" spans="5:14" ht="13.5" customHeight="1">
      <c r="E2250" s="1" t="s">
        <v>183</v>
      </c>
      <c r="F2250" s="1" t="s">
        <v>2629</v>
      </c>
      <c r="G2250" s="415" t="str">
        <f t="shared" si="29"/>
        <v>18-01</v>
      </c>
      <c r="H2250" s="273" t="e">
        <f ca="1">_xludf.IFNA(VLOOKUP(Aragon!E2250,'Kilter Holds'!$P$37:$AB$662,12,0),0)+(2*_xludf.IFNA(VLOOKUP(Aragon!A2250,'Kilter Holds'!$P$37:$AB$662,12,0),0))</f>
        <v>#NAME?</v>
      </c>
      <c r="I2250" s="274"/>
      <c r="J2250" s="274" t="e">
        <f t="shared" ca="1" si="26"/>
        <v>#NAME?</v>
      </c>
      <c r="K2250" s="274">
        <f t="shared" si="27"/>
        <v>0</v>
      </c>
      <c r="N2250" s="274"/>
    </row>
    <row r="2251" spans="5:14" ht="13.5" customHeight="1">
      <c r="E2251" s="1" t="s">
        <v>183</v>
      </c>
      <c r="F2251" s="1" t="s">
        <v>2629</v>
      </c>
      <c r="G2251" s="416" t="str">
        <f t="shared" si="29"/>
        <v>Color Code</v>
      </c>
      <c r="H2251" s="273" t="e">
        <f ca="1">_xludf.IFNA(VLOOKUP(Aragon!E2251,'Kilter Holds'!$P$37:$AB$662,13,0),0)+(2*_xludf.IFNA(VLOOKUP(Aragon!A2251,'Kilter Holds'!$P$37:$AB$662,13,0),0))</f>
        <v>#NAME?</v>
      </c>
      <c r="I2251" s="274"/>
      <c r="J2251" s="274" t="e">
        <f t="shared" ca="1" si="26"/>
        <v>#NAME?</v>
      </c>
      <c r="K2251" s="274">
        <f t="shared" si="27"/>
        <v>0</v>
      </c>
      <c r="N2251" s="274"/>
    </row>
    <row r="2252" spans="5:14" ht="13.5" customHeight="1">
      <c r="E2252" s="1" t="s">
        <v>159</v>
      </c>
      <c r="F2252" s="1" t="s">
        <v>2630</v>
      </c>
      <c r="G2252" s="406" t="str">
        <f t="shared" si="29"/>
        <v>11-12</v>
      </c>
      <c r="H2252" s="273" t="e">
        <f ca="1">_xludf.IFNA(VLOOKUP(Aragon!E2252,'Kilter Holds'!$P$37:$AB$662,5,0),0)+(2*_xludf.IFNA(VLOOKUP(Aragon!A2252,'Kilter Holds'!$P$37:$AB$662,5,0),0))</f>
        <v>#NAME?</v>
      </c>
      <c r="I2252" s="274"/>
      <c r="J2252" s="274" t="e">
        <f t="shared" ca="1" si="26"/>
        <v>#NAME?</v>
      </c>
      <c r="K2252" s="274">
        <f t="shared" si="27"/>
        <v>0</v>
      </c>
      <c r="N2252" s="274"/>
    </row>
    <row r="2253" spans="5:14" ht="13.5" customHeight="1">
      <c r="E2253" s="1" t="s">
        <v>159</v>
      </c>
      <c r="F2253" s="1" t="s">
        <v>2630</v>
      </c>
      <c r="G2253" s="408" t="str">
        <f t="shared" si="29"/>
        <v>14-01</v>
      </c>
      <c r="H2253" s="273" t="e">
        <f ca="1">_xludf.IFNA(VLOOKUP(Aragon!E2253,'Kilter Holds'!$P$37:$AB$662,6,0),0)+(2*_xludf.IFNA(VLOOKUP(Aragon!A2253,'Kilter Holds'!$P$37:$AB$662,6,0),0))</f>
        <v>#NAME?</v>
      </c>
      <c r="I2253" s="274"/>
      <c r="J2253" s="274" t="e">
        <f t="shared" ca="1" si="26"/>
        <v>#NAME?</v>
      </c>
      <c r="K2253" s="274">
        <f t="shared" si="27"/>
        <v>0</v>
      </c>
      <c r="N2253" s="274"/>
    </row>
    <row r="2254" spans="5:14" ht="13.5" customHeight="1">
      <c r="E2254" s="1" t="s">
        <v>159</v>
      </c>
      <c r="F2254" s="1" t="s">
        <v>2630</v>
      </c>
      <c r="G2254" s="409" t="str">
        <f t="shared" si="29"/>
        <v>15-12</v>
      </c>
      <c r="H2254" s="273" t="e">
        <f ca="1">_xludf.IFNA(VLOOKUP(Aragon!E2254,'Kilter Holds'!$P$37:$AB$662,7,0),0)+(2*_xludf.IFNA(VLOOKUP(Aragon!A2254,'Kilter Holds'!$P$37:$AB$662,7,0),0))</f>
        <v>#NAME?</v>
      </c>
      <c r="I2254" s="274"/>
      <c r="J2254" s="274" t="e">
        <f t="shared" ca="1" si="26"/>
        <v>#NAME?</v>
      </c>
      <c r="K2254" s="274">
        <f t="shared" si="27"/>
        <v>0</v>
      </c>
      <c r="N2254" s="274"/>
    </row>
    <row r="2255" spans="5:14" ht="13.5" customHeight="1">
      <c r="E2255" s="1" t="s">
        <v>159</v>
      </c>
      <c r="F2255" s="1" t="s">
        <v>2630</v>
      </c>
      <c r="G2255" s="410" t="str">
        <f t="shared" si="29"/>
        <v>16-16</v>
      </c>
      <c r="H2255" s="273" t="e">
        <f ca="1">_xludf.IFNA(VLOOKUP(Aragon!E2255,'Kilter Holds'!$P$37:$AB$662,8,0),0)+(2*_xludf.IFNA(VLOOKUP(Aragon!A2255,'Kilter Holds'!$P$37:$AB$662,8,0),0))</f>
        <v>#NAME?</v>
      </c>
      <c r="I2255" s="274"/>
      <c r="J2255" s="274" t="e">
        <f t="shared" ca="1" si="26"/>
        <v>#NAME?</v>
      </c>
      <c r="K2255" s="274">
        <f t="shared" si="27"/>
        <v>0</v>
      </c>
      <c r="N2255" s="274"/>
    </row>
    <row r="2256" spans="5:14" ht="13.5" customHeight="1">
      <c r="E2256" s="1" t="s">
        <v>159</v>
      </c>
      <c r="F2256" s="1" t="s">
        <v>2630</v>
      </c>
      <c r="G2256" s="411" t="str">
        <f t="shared" si="29"/>
        <v>13-01</v>
      </c>
      <c r="H2256" s="273" t="e">
        <f ca="1">_xludf.IFNA(VLOOKUP(Aragon!E2256,'Kilter Holds'!$P$37:$AB$662,9,0),0)+(2*_xludf.IFNA(VLOOKUP(Aragon!A2256,'Kilter Holds'!$P$37:$AB$662,9,0),0))</f>
        <v>#NAME?</v>
      </c>
      <c r="I2256" s="274"/>
      <c r="J2256" s="274" t="e">
        <f t="shared" ca="1" si="26"/>
        <v>#NAME?</v>
      </c>
      <c r="K2256" s="274">
        <f t="shared" si="27"/>
        <v>0</v>
      </c>
      <c r="N2256" s="274"/>
    </row>
    <row r="2257" spans="5:14" ht="13.5" customHeight="1">
      <c r="E2257" s="1" t="s">
        <v>159</v>
      </c>
      <c r="F2257" s="1" t="s">
        <v>2630</v>
      </c>
      <c r="G2257" s="413" t="str">
        <f t="shared" si="29"/>
        <v>07-13</v>
      </c>
      <c r="H2257" s="273" t="e">
        <f ca="1">_xludf.IFNA(VLOOKUP(Aragon!E2257,'Kilter Holds'!$P$37:$AB$662,10,0),0)+(2*_xludf.IFNA(VLOOKUP(Aragon!A2257,'Kilter Holds'!$P$37:$AB$662,10,0),0))</f>
        <v>#NAME?</v>
      </c>
      <c r="I2257" s="274"/>
      <c r="J2257" s="274" t="e">
        <f t="shared" ca="1" si="26"/>
        <v>#NAME?</v>
      </c>
      <c r="K2257" s="274">
        <f t="shared" si="27"/>
        <v>0</v>
      </c>
      <c r="N2257" s="274"/>
    </row>
    <row r="2258" spans="5:14" ht="13.5" customHeight="1">
      <c r="E2258" s="1" t="s">
        <v>159</v>
      </c>
      <c r="F2258" s="1" t="s">
        <v>2630</v>
      </c>
      <c r="G2258" s="414" t="str">
        <f t="shared" si="29"/>
        <v>11-26</v>
      </c>
      <c r="H2258" s="273" t="e">
        <f ca="1">_xludf.IFNA(VLOOKUP(Aragon!E2258,'Kilter Holds'!$P$37:$AB$662,11,0),0)+(2*_xludf.IFNA(VLOOKUP(Aragon!A2258,'Kilter Holds'!$P$37:$AB$662,11,0),0))</f>
        <v>#NAME?</v>
      </c>
      <c r="I2258" s="274"/>
      <c r="J2258" s="274" t="e">
        <f t="shared" ca="1" si="26"/>
        <v>#NAME?</v>
      </c>
      <c r="K2258" s="274">
        <f t="shared" si="27"/>
        <v>0</v>
      </c>
      <c r="N2258" s="274"/>
    </row>
    <row r="2259" spans="5:14" ht="13.5" customHeight="1">
      <c r="E2259" s="1" t="s">
        <v>159</v>
      </c>
      <c r="F2259" s="1" t="s">
        <v>2630</v>
      </c>
      <c r="G2259" s="415" t="str">
        <f t="shared" si="29"/>
        <v>18-01</v>
      </c>
      <c r="H2259" s="273" t="e">
        <f ca="1">_xludf.IFNA(VLOOKUP(Aragon!E2259,'Kilter Holds'!$P$37:$AB$662,12,0),0)+(2*_xludf.IFNA(VLOOKUP(Aragon!A2259,'Kilter Holds'!$P$37:$AB$662,12,0),0))</f>
        <v>#NAME?</v>
      </c>
      <c r="I2259" s="274"/>
      <c r="J2259" s="274" t="e">
        <f t="shared" ca="1" si="26"/>
        <v>#NAME?</v>
      </c>
      <c r="K2259" s="274">
        <f t="shared" si="27"/>
        <v>0</v>
      </c>
      <c r="N2259" s="274"/>
    </row>
    <row r="2260" spans="5:14" ht="13.5" customHeight="1">
      <c r="E2260" s="1" t="s">
        <v>159</v>
      </c>
      <c r="F2260" s="1" t="s">
        <v>2630</v>
      </c>
      <c r="G2260" s="416" t="str">
        <f t="shared" si="29"/>
        <v>Color Code</v>
      </c>
      <c r="H2260" s="273" t="e">
        <f ca="1">_xludf.IFNA(VLOOKUP(Aragon!E2260,'Kilter Holds'!$P$37:$AB$662,13,0),0)+(2*_xludf.IFNA(VLOOKUP(Aragon!A2260,'Kilter Holds'!$P$37:$AB$662,13,0),0))</f>
        <v>#NAME?</v>
      </c>
      <c r="I2260" s="274"/>
      <c r="J2260" s="274" t="e">
        <f t="shared" ca="1" si="26"/>
        <v>#NAME?</v>
      </c>
      <c r="K2260" s="274">
        <f t="shared" si="27"/>
        <v>0</v>
      </c>
      <c r="N2260" s="274"/>
    </row>
    <row r="2261" spans="5:14" ht="13.5" customHeight="1">
      <c r="E2261" s="1" t="s">
        <v>185</v>
      </c>
      <c r="F2261" s="1" t="s">
        <v>2631</v>
      </c>
      <c r="G2261" s="406" t="str">
        <f t="shared" si="29"/>
        <v>11-12</v>
      </c>
      <c r="H2261" s="273" t="e">
        <f ca="1">_xludf.IFNA(VLOOKUP(Aragon!E2261,'Kilter Holds'!$P$37:$AB$662,5,0),0)+(2*_xludf.IFNA(VLOOKUP(Aragon!A2261,'Kilter Holds'!$P$37:$AB$662,5,0),0))</f>
        <v>#NAME?</v>
      </c>
      <c r="I2261" s="274"/>
      <c r="J2261" s="274" t="e">
        <f t="shared" ca="1" si="26"/>
        <v>#NAME?</v>
      </c>
      <c r="K2261" s="274">
        <f t="shared" si="27"/>
        <v>0</v>
      </c>
      <c r="N2261" s="274"/>
    </row>
    <row r="2262" spans="5:14" ht="13.5" customHeight="1">
      <c r="E2262" s="1" t="s">
        <v>185</v>
      </c>
      <c r="F2262" s="1" t="s">
        <v>2631</v>
      </c>
      <c r="G2262" s="408" t="str">
        <f t="shared" si="29"/>
        <v>14-01</v>
      </c>
      <c r="H2262" s="273" t="e">
        <f ca="1">_xludf.IFNA(VLOOKUP(Aragon!E2262,'Kilter Holds'!$P$37:$AB$662,6,0),0)+(2*_xludf.IFNA(VLOOKUP(Aragon!A2262,'Kilter Holds'!$P$37:$AB$662,6,0),0))</f>
        <v>#NAME?</v>
      </c>
      <c r="I2262" s="274"/>
      <c r="J2262" s="274" t="e">
        <f t="shared" ca="1" si="26"/>
        <v>#NAME?</v>
      </c>
      <c r="K2262" s="274">
        <f t="shared" si="27"/>
        <v>0</v>
      </c>
      <c r="N2262" s="274"/>
    </row>
    <row r="2263" spans="5:14" ht="13.5" customHeight="1">
      <c r="E2263" s="1" t="s">
        <v>185</v>
      </c>
      <c r="F2263" s="1" t="s">
        <v>2631</v>
      </c>
      <c r="G2263" s="409" t="str">
        <f t="shared" si="29"/>
        <v>15-12</v>
      </c>
      <c r="H2263" s="273" t="e">
        <f ca="1">_xludf.IFNA(VLOOKUP(Aragon!E2263,'Kilter Holds'!$P$37:$AB$662,7,0),0)+(2*_xludf.IFNA(VLOOKUP(Aragon!A2263,'Kilter Holds'!$P$37:$AB$662,7,0),0))</f>
        <v>#NAME?</v>
      </c>
      <c r="I2263" s="274"/>
      <c r="J2263" s="274" t="e">
        <f t="shared" ca="1" si="26"/>
        <v>#NAME?</v>
      </c>
      <c r="K2263" s="274">
        <f t="shared" si="27"/>
        <v>0</v>
      </c>
      <c r="N2263" s="274"/>
    </row>
    <row r="2264" spans="5:14" ht="13.5" customHeight="1">
      <c r="E2264" s="1" t="s">
        <v>185</v>
      </c>
      <c r="F2264" s="1" t="s">
        <v>2631</v>
      </c>
      <c r="G2264" s="410" t="str">
        <f t="shared" si="29"/>
        <v>16-16</v>
      </c>
      <c r="H2264" s="273" t="e">
        <f ca="1">_xludf.IFNA(VLOOKUP(Aragon!E2264,'Kilter Holds'!$P$37:$AB$662,8,0),0)+(2*_xludf.IFNA(VLOOKUP(Aragon!A2264,'Kilter Holds'!$P$37:$AB$662,8,0),0))</f>
        <v>#NAME?</v>
      </c>
      <c r="I2264" s="274"/>
      <c r="J2264" s="274" t="e">
        <f t="shared" ca="1" si="26"/>
        <v>#NAME?</v>
      </c>
      <c r="K2264" s="274">
        <f t="shared" si="27"/>
        <v>0</v>
      </c>
      <c r="N2264" s="274"/>
    </row>
    <row r="2265" spans="5:14" ht="13.5" customHeight="1">
      <c r="E2265" s="1" t="s">
        <v>185</v>
      </c>
      <c r="F2265" s="1" t="s">
        <v>2631</v>
      </c>
      <c r="G2265" s="411" t="str">
        <f t="shared" si="29"/>
        <v>13-01</v>
      </c>
      <c r="H2265" s="273" t="e">
        <f ca="1">_xludf.IFNA(VLOOKUP(Aragon!E2265,'Kilter Holds'!$P$37:$AB$662,9,0),0)+(2*_xludf.IFNA(VLOOKUP(Aragon!A2265,'Kilter Holds'!$P$37:$AB$662,9,0),0))</f>
        <v>#NAME?</v>
      </c>
      <c r="I2265" s="274"/>
      <c r="J2265" s="274" t="e">
        <f t="shared" ca="1" si="26"/>
        <v>#NAME?</v>
      </c>
      <c r="K2265" s="274">
        <f t="shared" si="27"/>
        <v>0</v>
      </c>
      <c r="N2265" s="274"/>
    </row>
    <row r="2266" spans="5:14" ht="13.5" customHeight="1">
      <c r="E2266" s="1" t="s">
        <v>185</v>
      </c>
      <c r="F2266" s="1" t="s">
        <v>2631</v>
      </c>
      <c r="G2266" s="413" t="str">
        <f t="shared" si="29"/>
        <v>07-13</v>
      </c>
      <c r="H2266" s="273" t="e">
        <f ca="1">_xludf.IFNA(VLOOKUP(Aragon!E2266,'Kilter Holds'!$P$37:$AB$662,10,0),0)+(2*_xludf.IFNA(VLOOKUP(Aragon!A2266,'Kilter Holds'!$P$37:$AB$662,10,0),0))</f>
        <v>#NAME?</v>
      </c>
      <c r="I2266" s="274"/>
      <c r="J2266" s="274" t="e">
        <f t="shared" ca="1" si="26"/>
        <v>#NAME?</v>
      </c>
      <c r="K2266" s="274">
        <f t="shared" si="27"/>
        <v>0</v>
      </c>
      <c r="N2266" s="274"/>
    </row>
    <row r="2267" spans="5:14" ht="13.5" customHeight="1">
      <c r="E2267" s="1" t="s">
        <v>185</v>
      </c>
      <c r="F2267" s="1" t="s">
        <v>2631</v>
      </c>
      <c r="G2267" s="414" t="str">
        <f t="shared" si="29"/>
        <v>11-26</v>
      </c>
      <c r="H2267" s="273" t="e">
        <f ca="1">_xludf.IFNA(VLOOKUP(Aragon!E2267,'Kilter Holds'!$P$37:$AB$662,11,0),0)+(2*_xludf.IFNA(VLOOKUP(Aragon!A2267,'Kilter Holds'!$P$37:$AB$662,11,0),0))</f>
        <v>#NAME?</v>
      </c>
      <c r="I2267" s="274"/>
      <c r="J2267" s="274" t="e">
        <f t="shared" ca="1" si="26"/>
        <v>#NAME?</v>
      </c>
      <c r="K2267" s="274">
        <f t="shared" si="27"/>
        <v>0</v>
      </c>
      <c r="N2267" s="274"/>
    </row>
    <row r="2268" spans="5:14" ht="13.5" customHeight="1">
      <c r="E2268" s="1" t="s">
        <v>185</v>
      </c>
      <c r="F2268" s="1" t="s">
        <v>2631</v>
      </c>
      <c r="G2268" s="415" t="str">
        <f t="shared" si="29"/>
        <v>18-01</v>
      </c>
      <c r="H2268" s="273" t="e">
        <f ca="1">_xludf.IFNA(VLOOKUP(Aragon!E2268,'Kilter Holds'!$P$37:$AB$662,12,0),0)+(2*_xludf.IFNA(VLOOKUP(Aragon!A2268,'Kilter Holds'!$P$37:$AB$662,12,0),0))</f>
        <v>#NAME?</v>
      </c>
      <c r="I2268" s="274"/>
      <c r="J2268" s="274" t="e">
        <f t="shared" ca="1" si="26"/>
        <v>#NAME?</v>
      </c>
      <c r="K2268" s="274">
        <f t="shared" si="27"/>
        <v>0</v>
      </c>
      <c r="N2268" s="274"/>
    </row>
    <row r="2269" spans="5:14" ht="13.5" customHeight="1">
      <c r="E2269" s="1" t="s">
        <v>185</v>
      </c>
      <c r="F2269" s="1" t="s">
        <v>2631</v>
      </c>
      <c r="G2269" s="416" t="str">
        <f t="shared" si="29"/>
        <v>Color Code</v>
      </c>
      <c r="H2269" s="273" t="e">
        <f ca="1">_xludf.IFNA(VLOOKUP(Aragon!E2269,'Kilter Holds'!$P$37:$AB$662,13,0),0)+(2*_xludf.IFNA(VLOOKUP(Aragon!A2269,'Kilter Holds'!$P$37:$AB$662,13,0),0))</f>
        <v>#NAME?</v>
      </c>
      <c r="I2269" s="274"/>
      <c r="J2269" s="274" t="e">
        <f t="shared" ca="1" si="26"/>
        <v>#NAME?</v>
      </c>
      <c r="K2269" s="274">
        <f t="shared" si="27"/>
        <v>0</v>
      </c>
      <c r="N2269" s="274"/>
    </row>
    <row r="2270" spans="5:14" ht="13.5" customHeight="1">
      <c r="E2270" s="1" t="s">
        <v>187</v>
      </c>
      <c r="F2270" s="1" t="s">
        <v>2632</v>
      </c>
      <c r="G2270" s="406" t="str">
        <f t="shared" si="29"/>
        <v>11-12</v>
      </c>
      <c r="H2270" s="273" t="e">
        <f ca="1">_xludf.IFNA(VLOOKUP(Aragon!E2270,'Kilter Holds'!$P$37:$AB$662,5,0),0)+(2*_xludf.IFNA(VLOOKUP(Aragon!A2270,'Kilter Holds'!$P$37:$AB$662,5,0),0))</f>
        <v>#NAME?</v>
      </c>
      <c r="I2270" s="274"/>
      <c r="J2270" s="274" t="e">
        <f t="shared" ca="1" si="26"/>
        <v>#NAME?</v>
      </c>
      <c r="K2270" s="274">
        <f t="shared" si="27"/>
        <v>0</v>
      </c>
      <c r="N2270" s="274"/>
    </row>
    <row r="2271" spans="5:14" ht="13.5" customHeight="1">
      <c r="E2271" s="1" t="s">
        <v>187</v>
      </c>
      <c r="F2271" s="1" t="s">
        <v>2632</v>
      </c>
      <c r="G2271" s="408" t="str">
        <f t="shared" si="29"/>
        <v>14-01</v>
      </c>
      <c r="H2271" s="273" t="e">
        <f ca="1">_xludf.IFNA(VLOOKUP(Aragon!E2271,'Kilter Holds'!$P$37:$AB$662,6,0),0)+(2*_xludf.IFNA(VLOOKUP(Aragon!A2271,'Kilter Holds'!$P$37:$AB$662,6,0),0))</f>
        <v>#NAME?</v>
      </c>
      <c r="I2271" s="274"/>
      <c r="J2271" s="274" t="e">
        <f t="shared" ca="1" si="26"/>
        <v>#NAME?</v>
      </c>
      <c r="K2271" s="274">
        <f t="shared" si="27"/>
        <v>0</v>
      </c>
      <c r="N2271" s="274"/>
    </row>
    <row r="2272" spans="5:14" ht="13.5" customHeight="1">
      <c r="E2272" s="1" t="s">
        <v>187</v>
      </c>
      <c r="F2272" s="1" t="s">
        <v>2632</v>
      </c>
      <c r="G2272" s="409" t="str">
        <f t="shared" si="29"/>
        <v>15-12</v>
      </c>
      <c r="H2272" s="273" t="e">
        <f ca="1">_xludf.IFNA(VLOOKUP(Aragon!E2272,'Kilter Holds'!$P$37:$AB$662,7,0),0)+(2*_xludf.IFNA(VLOOKUP(Aragon!A2272,'Kilter Holds'!$P$37:$AB$662,7,0),0))</f>
        <v>#NAME?</v>
      </c>
      <c r="I2272" s="274"/>
      <c r="J2272" s="274" t="e">
        <f t="shared" ca="1" si="26"/>
        <v>#NAME?</v>
      </c>
      <c r="K2272" s="274">
        <f t="shared" si="27"/>
        <v>0</v>
      </c>
      <c r="N2272" s="274"/>
    </row>
    <row r="2273" spans="1:14" ht="13.5" customHeight="1">
      <c r="E2273" s="1" t="s">
        <v>187</v>
      </c>
      <c r="F2273" s="1" t="s">
        <v>2632</v>
      </c>
      <c r="G2273" s="410" t="str">
        <f t="shared" si="29"/>
        <v>16-16</v>
      </c>
      <c r="H2273" s="273" t="e">
        <f ca="1">_xludf.IFNA(VLOOKUP(Aragon!E2273,'Kilter Holds'!$P$37:$AB$662,8,0),0)+(2*_xludf.IFNA(VLOOKUP(Aragon!A2273,'Kilter Holds'!$P$37:$AB$662,8,0),0))</f>
        <v>#NAME?</v>
      </c>
      <c r="I2273" s="274"/>
      <c r="J2273" s="274" t="e">
        <f t="shared" ca="1" si="26"/>
        <v>#NAME?</v>
      </c>
      <c r="K2273" s="274">
        <f t="shared" si="27"/>
        <v>0</v>
      </c>
      <c r="N2273" s="274"/>
    </row>
    <row r="2274" spans="1:14" ht="13.5" customHeight="1">
      <c r="E2274" s="1" t="s">
        <v>187</v>
      </c>
      <c r="F2274" s="1" t="s">
        <v>2632</v>
      </c>
      <c r="G2274" s="411" t="str">
        <f t="shared" si="29"/>
        <v>13-01</v>
      </c>
      <c r="H2274" s="273" t="e">
        <f ca="1">_xludf.IFNA(VLOOKUP(Aragon!E2274,'Kilter Holds'!$P$37:$AB$662,9,0),0)+(2*_xludf.IFNA(VLOOKUP(Aragon!A2274,'Kilter Holds'!$P$37:$AB$662,9,0),0))</f>
        <v>#NAME?</v>
      </c>
      <c r="I2274" s="274"/>
      <c r="J2274" s="274" t="e">
        <f t="shared" ca="1" si="26"/>
        <v>#NAME?</v>
      </c>
      <c r="K2274" s="274">
        <f t="shared" si="27"/>
        <v>0</v>
      </c>
      <c r="N2274" s="274"/>
    </row>
    <row r="2275" spans="1:14" ht="13.5" customHeight="1">
      <c r="E2275" s="1" t="s">
        <v>187</v>
      </c>
      <c r="F2275" s="1" t="s">
        <v>2632</v>
      </c>
      <c r="G2275" s="413" t="str">
        <f t="shared" si="29"/>
        <v>07-13</v>
      </c>
      <c r="H2275" s="273" t="e">
        <f ca="1">_xludf.IFNA(VLOOKUP(Aragon!E2275,'Kilter Holds'!$P$37:$AB$662,10,0),0)+(2*_xludf.IFNA(VLOOKUP(Aragon!A2275,'Kilter Holds'!$P$37:$AB$662,10,0),0))</f>
        <v>#NAME?</v>
      </c>
      <c r="I2275" s="274"/>
      <c r="J2275" s="274" t="e">
        <f t="shared" ca="1" si="26"/>
        <v>#NAME?</v>
      </c>
      <c r="K2275" s="274">
        <f t="shared" si="27"/>
        <v>0</v>
      </c>
      <c r="N2275" s="274"/>
    </row>
    <row r="2276" spans="1:14" ht="13.5" customHeight="1">
      <c r="E2276" s="1" t="s">
        <v>187</v>
      </c>
      <c r="F2276" s="1" t="s">
        <v>2632</v>
      </c>
      <c r="G2276" s="414" t="str">
        <f t="shared" si="29"/>
        <v>11-26</v>
      </c>
      <c r="H2276" s="273" t="e">
        <f ca="1">_xludf.IFNA(VLOOKUP(Aragon!E2276,'Kilter Holds'!$P$37:$AB$662,11,0),0)+(2*_xludf.IFNA(VLOOKUP(Aragon!A2276,'Kilter Holds'!$P$37:$AB$662,11,0),0))</f>
        <v>#NAME?</v>
      </c>
      <c r="I2276" s="274"/>
      <c r="J2276" s="274" t="e">
        <f t="shared" ca="1" si="26"/>
        <v>#NAME?</v>
      </c>
      <c r="K2276" s="274">
        <f t="shared" si="27"/>
        <v>0</v>
      </c>
      <c r="N2276" s="274"/>
    </row>
    <row r="2277" spans="1:14" ht="13.5" customHeight="1">
      <c r="E2277" s="1" t="s">
        <v>187</v>
      </c>
      <c r="F2277" s="1" t="s">
        <v>2632</v>
      </c>
      <c r="G2277" s="415" t="str">
        <f t="shared" si="29"/>
        <v>18-01</v>
      </c>
      <c r="H2277" s="273" t="e">
        <f ca="1">_xludf.IFNA(VLOOKUP(Aragon!E2277,'Kilter Holds'!$P$37:$AB$662,12,0),0)+(2*_xludf.IFNA(VLOOKUP(Aragon!A2277,'Kilter Holds'!$P$37:$AB$662,12,0),0))</f>
        <v>#NAME?</v>
      </c>
      <c r="I2277" s="274"/>
      <c r="J2277" s="274" t="e">
        <f t="shared" ca="1" si="26"/>
        <v>#NAME?</v>
      </c>
      <c r="K2277" s="274">
        <f t="shared" si="27"/>
        <v>0</v>
      </c>
      <c r="N2277" s="274"/>
    </row>
    <row r="2278" spans="1:14" ht="13.5" customHeight="1">
      <c r="E2278" s="1" t="s">
        <v>187</v>
      </c>
      <c r="F2278" s="1" t="s">
        <v>2632</v>
      </c>
      <c r="G2278" s="416" t="str">
        <f t="shared" si="29"/>
        <v>Color Code</v>
      </c>
      <c r="H2278" s="273" t="e">
        <f ca="1">_xludf.IFNA(VLOOKUP(Aragon!E2278,'Kilter Holds'!$P$37:$AB$662,13,0),0)+(2*_xludf.IFNA(VLOOKUP(Aragon!A2278,'Kilter Holds'!$P$37:$AB$662,13,0),0))</f>
        <v>#NAME?</v>
      </c>
      <c r="I2278" s="274"/>
      <c r="J2278" s="274" t="e">
        <f t="shared" ca="1" si="26"/>
        <v>#NAME?</v>
      </c>
      <c r="K2278" s="274">
        <f t="shared" si="27"/>
        <v>0</v>
      </c>
      <c r="N2278" s="274"/>
    </row>
    <row r="2279" spans="1:14" ht="13.5" customHeight="1">
      <c r="E2279" s="1" t="s">
        <v>655</v>
      </c>
      <c r="F2279" s="1" t="s">
        <v>2633</v>
      </c>
      <c r="G2279" s="406" t="str">
        <f t="shared" si="29"/>
        <v>11-12</v>
      </c>
      <c r="H2279" s="273" t="e">
        <f ca="1">_xludf.IFNA(VLOOKUP(Aragon!E2279,'Kilter Holds'!$P$37:$AB$662,5,0),0)+(2*_xludf.IFNA(VLOOKUP(Aragon!A2279,'Kilter Holds'!$P$37:$AB$662,5,0),0))</f>
        <v>#NAME?</v>
      </c>
      <c r="I2279" s="274"/>
      <c r="J2279" s="274" t="e">
        <f t="shared" ca="1" si="26"/>
        <v>#NAME?</v>
      </c>
      <c r="K2279" s="274">
        <f t="shared" si="27"/>
        <v>0</v>
      </c>
      <c r="N2279" s="274"/>
    </row>
    <row r="2280" spans="1:14" ht="13.5" customHeight="1">
      <c r="E2280" s="1" t="s">
        <v>655</v>
      </c>
      <c r="F2280" s="1" t="s">
        <v>2633</v>
      </c>
      <c r="G2280" s="408" t="str">
        <f t="shared" si="29"/>
        <v>14-01</v>
      </c>
      <c r="H2280" s="273" t="e">
        <f ca="1">_xludf.IFNA(VLOOKUP(Aragon!E2280,'Kilter Holds'!$P$37:$AB$662,6,0),0)+(2*_xludf.IFNA(VLOOKUP(Aragon!A2280,'Kilter Holds'!$P$37:$AB$662,6,0),0))</f>
        <v>#NAME?</v>
      </c>
      <c r="I2280" s="274"/>
      <c r="J2280" s="274" t="e">
        <f t="shared" ca="1" si="26"/>
        <v>#NAME?</v>
      </c>
      <c r="K2280" s="274">
        <f t="shared" si="27"/>
        <v>0</v>
      </c>
      <c r="N2280" s="274"/>
    </row>
    <row r="2281" spans="1:14" ht="13.5" customHeight="1">
      <c r="E2281" s="1" t="s">
        <v>655</v>
      </c>
      <c r="F2281" s="1" t="s">
        <v>2633</v>
      </c>
      <c r="G2281" s="409" t="str">
        <f t="shared" si="29"/>
        <v>15-12</v>
      </c>
      <c r="H2281" s="273" t="e">
        <f ca="1">_xludf.IFNA(VLOOKUP(Aragon!E2281,'Kilter Holds'!$P$37:$AB$662,7,0),0)+(2*_xludf.IFNA(VLOOKUP(Aragon!A2281,'Kilter Holds'!$P$37:$AB$662,7,0),0))</f>
        <v>#NAME?</v>
      </c>
      <c r="I2281" s="274"/>
      <c r="J2281" s="274" t="e">
        <f t="shared" ca="1" si="26"/>
        <v>#NAME?</v>
      </c>
      <c r="K2281" s="274">
        <f t="shared" si="27"/>
        <v>0</v>
      </c>
      <c r="N2281" s="274"/>
    </row>
    <row r="2282" spans="1:14" ht="13.5" customHeight="1">
      <c r="E2282" s="1" t="s">
        <v>655</v>
      </c>
      <c r="F2282" s="1" t="s">
        <v>2633</v>
      </c>
      <c r="G2282" s="410" t="str">
        <f t="shared" si="29"/>
        <v>16-16</v>
      </c>
      <c r="H2282" s="273" t="e">
        <f ca="1">_xludf.IFNA(VLOOKUP(Aragon!E2282,'Kilter Holds'!$P$37:$AB$662,8,0),0)+(2*_xludf.IFNA(VLOOKUP(Aragon!A2282,'Kilter Holds'!$P$37:$AB$662,8,0),0))</f>
        <v>#NAME?</v>
      </c>
      <c r="I2282" s="274"/>
      <c r="J2282" s="274" t="e">
        <f t="shared" ca="1" si="26"/>
        <v>#NAME?</v>
      </c>
      <c r="K2282" s="274">
        <f t="shared" si="27"/>
        <v>0</v>
      </c>
      <c r="N2282" s="274"/>
    </row>
    <row r="2283" spans="1:14" ht="13.5" customHeight="1">
      <c r="E2283" s="1" t="s">
        <v>655</v>
      </c>
      <c r="F2283" s="1" t="s">
        <v>2633</v>
      </c>
      <c r="G2283" s="411" t="str">
        <f t="shared" si="29"/>
        <v>13-01</v>
      </c>
      <c r="H2283" s="273" t="e">
        <f ca="1">_xludf.IFNA(VLOOKUP(Aragon!E2283,'Kilter Holds'!$P$37:$AB$662,9,0),0)+(2*_xludf.IFNA(VLOOKUP(Aragon!A2283,'Kilter Holds'!$P$37:$AB$662,9,0),0))</f>
        <v>#NAME?</v>
      </c>
      <c r="I2283" s="274"/>
      <c r="J2283" s="274" t="e">
        <f t="shared" ca="1" si="26"/>
        <v>#NAME?</v>
      </c>
      <c r="K2283" s="274">
        <f t="shared" si="27"/>
        <v>0</v>
      </c>
      <c r="N2283" s="274"/>
    </row>
    <row r="2284" spans="1:14" ht="13.5" customHeight="1">
      <c r="E2284" s="1" t="s">
        <v>655</v>
      </c>
      <c r="F2284" s="1" t="s">
        <v>2633</v>
      </c>
      <c r="G2284" s="413" t="str">
        <f t="shared" si="29"/>
        <v>07-13</v>
      </c>
      <c r="H2284" s="273" t="e">
        <f ca="1">_xludf.IFNA(VLOOKUP(Aragon!E2284,'Kilter Holds'!$P$37:$AB$662,10,0),0)+(2*_xludf.IFNA(VLOOKUP(Aragon!A2284,'Kilter Holds'!$P$37:$AB$662,10,0),0))</f>
        <v>#NAME?</v>
      </c>
      <c r="I2284" s="274"/>
      <c r="J2284" s="274" t="e">
        <f t="shared" ca="1" si="26"/>
        <v>#NAME?</v>
      </c>
      <c r="K2284" s="274">
        <f t="shared" si="27"/>
        <v>0</v>
      </c>
      <c r="N2284" s="274"/>
    </row>
    <row r="2285" spans="1:14" ht="13.5" customHeight="1">
      <c r="E2285" s="1" t="s">
        <v>655</v>
      </c>
      <c r="F2285" s="1" t="s">
        <v>2633</v>
      </c>
      <c r="G2285" s="414" t="str">
        <f t="shared" si="29"/>
        <v>11-26</v>
      </c>
      <c r="H2285" s="273" t="e">
        <f ca="1">_xludf.IFNA(VLOOKUP(Aragon!E2285,'Kilter Holds'!$P$37:$AB$662,11,0),0)+(2*_xludf.IFNA(VLOOKUP(Aragon!A2285,'Kilter Holds'!$P$37:$AB$662,11,0),0))</f>
        <v>#NAME?</v>
      </c>
      <c r="I2285" s="274"/>
      <c r="J2285" s="274" t="e">
        <f t="shared" ca="1" si="26"/>
        <v>#NAME?</v>
      </c>
      <c r="K2285" s="274">
        <f t="shared" si="27"/>
        <v>0</v>
      </c>
      <c r="N2285" s="274"/>
    </row>
    <row r="2286" spans="1:14" ht="13.5" customHeight="1">
      <c r="E2286" s="1" t="s">
        <v>655</v>
      </c>
      <c r="F2286" s="1" t="s">
        <v>2633</v>
      </c>
      <c r="G2286" s="415" t="str">
        <f t="shared" si="29"/>
        <v>18-01</v>
      </c>
      <c r="H2286" s="273" t="e">
        <f ca="1">_xludf.IFNA(VLOOKUP(Aragon!E2286,'Kilter Holds'!$P$37:$AB$662,12,0),0)+(2*_xludf.IFNA(VLOOKUP(Aragon!A2286,'Kilter Holds'!$P$37:$AB$662,12,0),0))</f>
        <v>#NAME?</v>
      </c>
      <c r="I2286" s="274"/>
      <c r="J2286" s="274" t="e">
        <f t="shared" ca="1" si="26"/>
        <v>#NAME?</v>
      </c>
      <c r="K2286" s="274">
        <f t="shared" si="27"/>
        <v>0</v>
      </c>
      <c r="N2286" s="274"/>
    </row>
    <row r="2287" spans="1:14" ht="13.5" customHeight="1">
      <c r="E2287" s="1" t="s">
        <v>655</v>
      </c>
      <c r="F2287" s="1" t="s">
        <v>2633</v>
      </c>
      <c r="G2287" s="416" t="str">
        <f t="shared" si="29"/>
        <v>Color Code</v>
      </c>
      <c r="H2287" s="273" t="e">
        <f ca="1">_xludf.IFNA(VLOOKUP(Aragon!E2287,'Kilter Holds'!$P$37:$AB$662,13,0),0)+(2*_xludf.IFNA(VLOOKUP(Aragon!A2287,'Kilter Holds'!$P$37:$AB$662,13,0),0))</f>
        <v>#NAME?</v>
      </c>
      <c r="I2287" s="274"/>
      <c r="J2287" s="274" t="e">
        <f t="shared" ca="1" si="26"/>
        <v>#NAME?</v>
      </c>
      <c r="K2287" s="274">
        <f t="shared" si="27"/>
        <v>0</v>
      </c>
      <c r="N2287" s="274"/>
    </row>
    <row r="2288" spans="1:14" ht="13.5" customHeight="1">
      <c r="A2288" s="1" t="s">
        <v>167</v>
      </c>
      <c r="E2288" s="1" t="s">
        <v>169</v>
      </c>
      <c r="F2288" s="1" t="s">
        <v>2634</v>
      </c>
      <c r="G2288" s="406" t="str">
        <f t="shared" si="29"/>
        <v>11-12</v>
      </c>
      <c r="H2288" s="273" t="e">
        <f ca="1">_xludf.IFNA(VLOOKUP(Aragon!E2288,'Kilter Holds'!$P$37:$AB$662,5,0),0)+_xludf.IFNA(VLOOKUP(A2288,'Kilter Holds'!$P$37:$AB$662,5,0),0)</f>
        <v>#NAME?</v>
      </c>
      <c r="I2288" s="274"/>
      <c r="J2288" s="274" t="e">
        <f t="shared" ca="1" si="26"/>
        <v>#NAME?</v>
      </c>
      <c r="K2288" s="274">
        <f t="shared" si="27"/>
        <v>0</v>
      </c>
      <c r="N2288" s="274"/>
    </row>
    <row r="2289" spans="1:14" ht="13.5" customHeight="1">
      <c r="A2289" s="1" t="s">
        <v>167</v>
      </c>
      <c r="E2289" s="1" t="s">
        <v>169</v>
      </c>
      <c r="F2289" s="1" t="s">
        <v>2634</v>
      </c>
      <c r="G2289" s="408" t="str">
        <f t="shared" si="29"/>
        <v>14-01</v>
      </c>
      <c r="H2289" s="273" t="e">
        <f ca="1">_xludf.IFNA(VLOOKUP(Aragon!E2289,'Kilter Holds'!$P$37:$AB$662,6,0),0)+_xludf.IFNA(VLOOKUP(A2289,'Kilter Holds'!$P$37:$AB$662,6,0),0)</f>
        <v>#NAME?</v>
      </c>
      <c r="I2289" s="274"/>
      <c r="J2289" s="274" t="e">
        <f t="shared" ca="1" si="26"/>
        <v>#NAME?</v>
      </c>
      <c r="K2289" s="274">
        <f t="shared" si="27"/>
        <v>0</v>
      </c>
      <c r="N2289" s="274"/>
    </row>
    <row r="2290" spans="1:14" ht="13.5" customHeight="1">
      <c r="A2290" s="1" t="s">
        <v>167</v>
      </c>
      <c r="E2290" s="1" t="s">
        <v>169</v>
      </c>
      <c r="F2290" s="1" t="s">
        <v>2634</v>
      </c>
      <c r="G2290" s="409" t="str">
        <f t="shared" si="29"/>
        <v>15-12</v>
      </c>
      <c r="H2290" s="273" t="e">
        <f ca="1">_xludf.IFNA(VLOOKUP(Aragon!E2290,'Kilter Holds'!$P$37:$AB$662,7,0),0)+_xludf.IFNA(VLOOKUP(A2290,'Kilter Holds'!$P$37:$AB$662,7,0),0)</f>
        <v>#NAME?</v>
      </c>
      <c r="I2290" s="274"/>
      <c r="J2290" s="274" t="e">
        <f t="shared" ca="1" si="26"/>
        <v>#NAME?</v>
      </c>
      <c r="K2290" s="274">
        <f t="shared" si="27"/>
        <v>0</v>
      </c>
      <c r="N2290" s="274"/>
    </row>
    <row r="2291" spans="1:14" ht="13.5" customHeight="1">
      <c r="A2291" s="1" t="s">
        <v>167</v>
      </c>
      <c r="E2291" s="1" t="s">
        <v>169</v>
      </c>
      <c r="F2291" s="1" t="s">
        <v>2634</v>
      </c>
      <c r="G2291" s="410" t="str">
        <f t="shared" si="29"/>
        <v>16-16</v>
      </c>
      <c r="H2291" s="273" t="e">
        <f ca="1">_xludf.IFNA(VLOOKUP(Aragon!E2291,'Kilter Holds'!$P$37:$AB$662,8,0),0)+_xludf.IFNA(VLOOKUP(A2291,'Kilter Holds'!$P$37:$AB$662,8,0),0)</f>
        <v>#NAME?</v>
      </c>
      <c r="I2291" s="274"/>
      <c r="J2291" s="274" t="e">
        <f t="shared" ca="1" si="26"/>
        <v>#NAME?</v>
      </c>
      <c r="K2291" s="274">
        <f t="shared" si="27"/>
        <v>0</v>
      </c>
      <c r="N2291" s="274"/>
    </row>
    <row r="2292" spans="1:14" ht="13.5" customHeight="1">
      <c r="A2292" s="1" t="s">
        <v>167</v>
      </c>
      <c r="E2292" s="1" t="s">
        <v>169</v>
      </c>
      <c r="F2292" s="1" t="s">
        <v>2634</v>
      </c>
      <c r="G2292" s="411" t="str">
        <f t="shared" si="29"/>
        <v>13-01</v>
      </c>
      <c r="H2292" s="273" t="e">
        <f ca="1">_xludf.IFNA(VLOOKUP(Aragon!E2292,'Kilter Holds'!$P$37:$AB$662,9,0),0)+_xludf.IFNA(VLOOKUP(A2292,'Kilter Holds'!$P$37:$AB$662,9,0),0)</f>
        <v>#NAME?</v>
      </c>
      <c r="I2292" s="274"/>
      <c r="J2292" s="274" t="e">
        <f t="shared" ca="1" si="26"/>
        <v>#NAME?</v>
      </c>
      <c r="K2292" s="274">
        <f t="shared" si="27"/>
        <v>0</v>
      </c>
      <c r="N2292" s="274"/>
    </row>
    <row r="2293" spans="1:14" ht="13.5" customHeight="1">
      <c r="A2293" s="1" t="s">
        <v>167</v>
      </c>
      <c r="E2293" s="1" t="s">
        <v>169</v>
      </c>
      <c r="F2293" s="1" t="s">
        <v>2634</v>
      </c>
      <c r="G2293" s="413" t="str">
        <f t="shared" si="29"/>
        <v>07-13</v>
      </c>
      <c r="H2293" s="273" t="e">
        <f ca="1">_xludf.IFNA(VLOOKUP(Aragon!E2293,'Kilter Holds'!$P$37:$AB$662,10,0),0)+_xludf.IFNA(VLOOKUP(A2293,'Kilter Holds'!$P$37:$AB$662,10,0),0)</f>
        <v>#NAME?</v>
      </c>
      <c r="I2293" s="274"/>
      <c r="J2293" s="274" t="e">
        <f t="shared" ca="1" si="26"/>
        <v>#NAME?</v>
      </c>
      <c r="K2293" s="274">
        <f t="shared" si="27"/>
        <v>0</v>
      </c>
      <c r="N2293" s="274"/>
    </row>
    <row r="2294" spans="1:14" ht="13.5" customHeight="1">
      <c r="A2294" s="1" t="s">
        <v>167</v>
      </c>
      <c r="E2294" s="1" t="s">
        <v>169</v>
      </c>
      <c r="F2294" s="1" t="s">
        <v>2634</v>
      </c>
      <c r="G2294" s="414" t="str">
        <f t="shared" si="29"/>
        <v>11-26</v>
      </c>
      <c r="H2294" s="273" t="e">
        <f ca="1">_xludf.IFNA(VLOOKUP(Aragon!E2294,'Kilter Holds'!$P$37:$AB$662,11,0),0)+_xludf.IFNA(VLOOKUP(A2294,'Kilter Holds'!$P$37:$AB$662,11,0),0)</f>
        <v>#NAME?</v>
      </c>
      <c r="I2294" s="274"/>
      <c r="J2294" s="274" t="e">
        <f t="shared" ca="1" si="26"/>
        <v>#NAME?</v>
      </c>
      <c r="K2294" s="274">
        <f t="shared" si="27"/>
        <v>0</v>
      </c>
      <c r="N2294" s="274"/>
    </row>
    <row r="2295" spans="1:14" ht="13.5" customHeight="1">
      <c r="A2295" s="1" t="s">
        <v>167</v>
      </c>
      <c r="E2295" s="1" t="s">
        <v>169</v>
      </c>
      <c r="F2295" s="1" t="s">
        <v>2634</v>
      </c>
      <c r="G2295" s="415" t="str">
        <f t="shared" si="29"/>
        <v>18-01</v>
      </c>
      <c r="H2295" s="273" t="e">
        <f ca="1">_xludf.IFNA(VLOOKUP(Aragon!E2295,'Kilter Holds'!$P$37:$AB$662,12,0),0)+_xludf.IFNA(VLOOKUP(A2295,'Kilter Holds'!$P$37:$AB$662,12,0),0)</f>
        <v>#NAME?</v>
      </c>
      <c r="I2295" s="274"/>
      <c r="J2295" s="274" t="e">
        <f t="shared" ca="1" si="26"/>
        <v>#NAME?</v>
      </c>
      <c r="K2295" s="274">
        <f t="shared" si="27"/>
        <v>0</v>
      </c>
      <c r="N2295" s="274"/>
    </row>
    <row r="2296" spans="1:14" ht="13.5" customHeight="1">
      <c r="A2296" s="1" t="s">
        <v>167</v>
      </c>
      <c r="E2296" s="1" t="s">
        <v>169</v>
      </c>
      <c r="F2296" s="1" t="s">
        <v>2634</v>
      </c>
      <c r="G2296" s="416" t="str">
        <f t="shared" si="29"/>
        <v>Color Code</v>
      </c>
      <c r="H2296" s="273" t="e">
        <f ca="1">_xludf.IFNA(VLOOKUP(Aragon!E2296,'Kilter Holds'!$P$37:$AB$662,13,0),0)+_xludf.IFNA(VLOOKUP(A2296,'Kilter Holds'!$P$37:$AB$662,13,0),0)</f>
        <v>#NAME?</v>
      </c>
      <c r="I2296" s="274"/>
      <c r="J2296" s="274" t="e">
        <f t="shared" ca="1" si="26"/>
        <v>#NAME?</v>
      </c>
      <c r="K2296" s="274">
        <f t="shared" si="27"/>
        <v>0</v>
      </c>
      <c r="N2296" s="274"/>
    </row>
    <row r="2297" spans="1:14" ht="13.5" customHeight="1">
      <c r="A2297" s="1" t="s">
        <v>173</v>
      </c>
      <c r="E2297" s="1" t="s">
        <v>175</v>
      </c>
      <c r="F2297" s="1" t="s">
        <v>2635</v>
      </c>
      <c r="G2297" s="406" t="str">
        <f t="shared" si="29"/>
        <v>11-12</v>
      </c>
      <c r="H2297" s="273" t="e">
        <f ca="1">_xludf.IFNA(VLOOKUP(Aragon!E2297,'Kilter Holds'!$P$37:$AB$662,5,0),0)+_xludf.IFNA(VLOOKUP(A2297,'Kilter Holds'!$P$37:$AB$662,5,0),0)</f>
        <v>#NAME?</v>
      </c>
      <c r="I2297" s="274"/>
      <c r="J2297" s="274" t="e">
        <f t="shared" ref="J2297:J2551" ca="1" si="30">H2297*I2297</f>
        <v>#NAME?</v>
      </c>
      <c r="K2297" s="274">
        <f t="shared" ref="K2297:K2551" si="31">IF($V$11="Y",J2297*0.05,0)</f>
        <v>0</v>
      </c>
      <c r="N2297" s="274"/>
    </row>
    <row r="2298" spans="1:14" ht="13.5" customHeight="1">
      <c r="A2298" s="1" t="s">
        <v>173</v>
      </c>
      <c r="E2298" s="1" t="s">
        <v>175</v>
      </c>
      <c r="F2298" s="1" t="s">
        <v>2635</v>
      </c>
      <c r="G2298" s="408" t="str">
        <f t="shared" si="29"/>
        <v>14-01</v>
      </c>
      <c r="H2298" s="273" t="e">
        <f ca="1">_xludf.IFNA(VLOOKUP(Aragon!E2298,'Kilter Holds'!$P$37:$AB$662,6,0),0)+_xludf.IFNA(VLOOKUP(A2298,'Kilter Holds'!$P$37:$AB$662,6,0),0)</f>
        <v>#NAME?</v>
      </c>
      <c r="I2298" s="274"/>
      <c r="J2298" s="274" t="e">
        <f t="shared" ca="1" si="30"/>
        <v>#NAME?</v>
      </c>
      <c r="K2298" s="274">
        <f t="shared" si="31"/>
        <v>0</v>
      </c>
      <c r="N2298" s="274"/>
    </row>
    <row r="2299" spans="1:14" ht="13.5" customHeight="1">
      <c r="A2299" s="1" t="s">
        <v>173</v>
      </c>
      <c r="E2299" s="1" t="s">
        <v>175</v>
      </c>
      <c r="F2299" s="1" t="s">
        <v>2635</v>
      </c>
      <c r="G2299" s="409" t="str">
        <f t="shared" si="29"/>
        <v>15-12</v>
      </c>
      <c r="H2299" s="273" t="e">
        <f ca="1">_xludf.IFNA(VLOOKUP(Aragon!E2299,'Kilter Holds'!$P$37:$AB$662,7,0),0)+_xludf.IFNA(VLOOKUP(A2299,'Kilter Holds'!$P$37:$AB$662,7,0),0)</f>
        <v>#NAME?</v>
      </c>
      <c r="I2299" s="274"/>
      <c r="J2299" s="274" t="e">
        <f t="shared" ca="1" si="30"/>
        <v>#NAME?</v>
      </c>
      <c r="K2299" s="274">
        <f t="shared" si="31"/>
        <v>0</v>
      </c>
      <c r="N2299" s="274"/>
    </row>
    <row r="2300" spans="1:14" ht="13.5" customHeight="1">
      <c r="A2300" s="1" t="s">
        <v>173</v>
      </c>
      <c r="E2300" s="1" t="s">
        <v>175</v>
      </c>
      <c r="F2300" s="1" t="s">
        <v>2635</v>
      </c>
      <c r="G2300" s="410" t="str">
        <f t="shared" si="29"/>
        <v>16-16</v>
      </c>
      <c r="H2300" s="273" t="e">
        <f ca="1">_xludf.IFNA(VLOOKUP(Aragon!E2300,'Kilter Holds'!$P$37:$AB$662,8,0),0)+_xludf.IFNA(VLOOKUP(A2300,'Kilter Holds'!$P$37:$AB$662,8,0),0)</f>
        <v>#NAME?</v>
      </c>
      <c r="I2300" s="274"/>
      <c r="J2300" s="274" t="e">
        <f t="shared" ca="1" si="30"/>
        <v>#NAME?</v>
      </c>
      <c r="K2300" s="274">
        <f t="shared" si="31"/>
        <v>0</v>
      </c>
      <c r="N2300" s="274"/>
    </row>
    <row r="2301" spans="1:14" ht="13.5" customHeight="1">
      <c r="A2301" s="1" t="s">
        <v>173</v>
      </c>
      <c r="E2301" s="1" t="s">
        <v>175</v>
      </c>
      <c r="F2301" s="1" t="s">
        <v>2635</v>
      </c>
      <c r="G2301" s="411" t="str">
        <f t="shared" si="29"/>
        <v>13-01</v>
      </c>
      <c r="H2301" s="273" t="e">
        <f ca="1">_xludf.IFNA(VLOOKUP(Aragon!E2301,'Kilter Holds'!$P$37:$AB$662,9,0),0)+_xludf.IFNA(VLOOKUP(A2301,'Kilter Holds'!$P$37:$AB$662,9,0),0)</f>
        <v>#NAME?</v>
      </c>
      <c r="I2301" s="274"/>
      <c r="J2301" s="274" t="e">
        <f t="shared" ca="1" si="30"/>
        <v>#NAME?</v>
      </c>
      <c r="K2301" s="274">
        <f t="shared" si="31"/>
        <v>0</v>
      </c>
      <c r="N2301" s="274"/>
    </row>
    <row r="2302" spans="1:14" ht="13.5" customHeight="1">
      <c r="A2302" s="1" t="s">
        <v>173</v>
      </c>
      <c r="E2302" s="1" t="s">
        <v>175</v>
      </c>
      <c r="F2302" s="1" t="s">
        <v>2635</v>
      </c>
      <c r="G2302" s="413" t="str">
        <f t="shared" si="29"/>
        <v>07-13</v>
      </c>
      <c r="H2302" s="273" t="e">
        <f ca="1">_xludf.IFNA(VLOOKUP(Aragon!E2302,'Kilter Holds'!$P$37:$AB$662,10,0),0)+_xludf.IFNA(VLOOKUP(A2302,'Kilter Holds'!$P$37:$AB$662,10,0),0)</f>
        <v>#NAME?</v>
      </c>
      <c r="I2302" s="274"/>
      <c r="J2302" s="274" t="e">
        <f t="shared" ca="1" si="30"/>
        <v>#NAME?</v>
      </c>
      <c r="K2302" s="274">
        <f t="shared" si="31"/>
        <v>0</v>
      </c>
      <c r="N2302" s="274"/>
    </row>
    <row r="2303" spans="1:14" ht="13.5" customHeight="1">
      <c r="A2303" s="1" t="s">
        <v>173</v>
      </c>
      <c r="E2303" s="1" t="s">
        <v>175</v>
      </c>
      <c r="F2303" s="1" t="s">
        <v>2635</v>
      </c>
      <c r="G2303" s="414" t="str">
        <f t="shared" si="29"/>
        <v>11-26</v>
      </c>
      <c r="H2303" s="273" t="e">
        <f ca="1">_xludf.IFNA(VLOOKUP(Aragon!E2303,'Kilter Holds'!$P$37:$AB$662,11,0),0)+_xludf.IFNA(VLOOKUP(A2303,'Kilter Holds'!$P$37:$AB$662,11,0),0)</f>
        <v>#NAME?</v>
      </c>
      <c r="I2303" s="274"/>
      <c r="J2303" s="274" t="e">
        <f t="shared" ca="1" si="30"/>
        <v>#NAME?</v>
      </c>
      <c r="K2303" s="274">
        <f t="shared" si="31"/>
        <v>0</v>
      </c>
      <c r="N2303" s="274"/>
    </row>
    <row r="2304" spans="1:14" ht="13.5" customHeight="1">
      <c r="A2304" s="1" t="s">
        <v>173</v>
      </c>
      <c r="E2304" s="1" t="s">
        <v>175</v>
      </c>
      <c r="F2304" s="1" t="s">
        <v>2635</v>
      </c>
      <c r="G2304" s="415" t="str">
        <f t="shared" si="29"/>
        <v>18-01</v>
      </c>
      <c r="H2304" s="273" t="e">
        <f ca="1">_xludf.IFNA(VLOOKUP(Aragon!E2304,'Kilter Holds'!$P$37:$AB$662,12,0),0)+_xludf.IFNA(VLOOKUP(A2304,'Kilter Holds'!$P$37:$AB$662,12,0),0)</f>
        <v>#NAME?</v>
      </c>
      <c r="I2304" s="274"/>
      <c r="J2304" s="274" t="e">
        <f t="shared" ca="1" si="30"/>
        <v>#NAME?</v>
      </c>
      <c r="K2304" s="274">
        <f t="shared" si="31"/>
        <v>0</v>
      </c>
      <c r="N2304" s="274"/>
    </row>
    <row r="2305" spans="1:14" ht="13.5" customHeight="1">
      <c r="A2305" s="1" t="s">
        <v>173</v>
      </c>
      <c r="E2305" s="1" t="s">
        <v>175</v>
      </c>
      <c r="F2305" s="1" t="s">
        <v>2635</v>
      </c>
      <c r="G2305" s="416" t="str">
        <f t="shared" si="29"/>
        <v>Color Code</v>
      </c>
      <c r="H2305" s="273" t="e">
        <f ca="1">_xludf.IFNA(VLOOKUP(Aragon!E2305,'Kilter Holds'!$P$37:$AB$662,13,0),0)+_xludf.IFNA(VLOOKUP(A2305,'Kilter Holds'!$P$37:$AB$662,13,0),0)</f>
        <v>#NAME?</v>
      </c>
      <c r="I2305" s="274"/>
      <c r="J2305" s="274" t="e">
        <f t="shared" ca="1" si="30"/>
        <v>#NAME?</v>
      </c>
      <c r="K2305" s="274">
        <f t="shared" si="31"/>
        <v>0</v>
      </c>
      <c r="N2305" s="274"/>
    </row>
    <row r="2306" spans="1:14" ht="13.5" customHeight="1">
      <c r="A2306" s="1" t="s">
        <v>173</v>
      </c>
      <c r="E2306" s="1" t="s">
        <v>177</v>
      </c>
      <c r="F2306" s="1" t="s">
        <v>2636</v>
      </c>
      <c r="G2306" s="406" t="str">
        <f t="shared" si="29"/>
        <v>11-12</v>
      </c>
      <c r="H2306" s="273" t="e">
        <f ca="1">_xludf.IFNA(VLOOKUP(Aragon!E2306,'Kilter Holds'!$P$37:$AB$662,5,0),0)+_xludf.IFNA(VLOOKUP(A2306,'Kilter Holds'!$P$37:$AB$662,5,0),0)</f>
        <v>#NAME?</v>
      </c>
      <c r="I2306" s="274"/>
      <c r="J2306" s="274" t="e">
        <f t="shared" ca="1" si="30"/>
        <v>#NAME?</v>
      </c>
      <c r="K2306" s="274">
        <f t="shared" si="31"/>
        <v>0</v>
      </c>
      <c r="N2306" s="274"/>
    </row>
    <row r="2307" spans="1:14" ht="13.5" customHeight="1">
      <c r="A2307" s="1" t="s">
        <v>173</v>
      </c>
      <c r="E2307" s="1" t="s">
        <v>177</v>
      </c>
      <c r="F2307" s="1" t="s">
        <v>2636</v>
      </c>
      <c r="G2307" s="408" t="str">
        <f t="shared" si="29"/>
        <v>14-01</v>
      </c>
      <c r="H2307" s="273" t="e">
        <f ca="1">_xludf.IFNA(VLOOKUP(Aragon!E2307,'Kilter Holds'!$P$37:$AB$662,6,0),0)+_xludf.IFNA(VLOOKUP(A2307,'Kilter Holds'!$P$37:$AB$662,6,0),0)</f>
        <v>#NAME?</v>
      </c>
      <c r="I2307" s="274"/>
      <c r="J2307" s="274" t="e">
        <f t="shared" ca="1" si="30"/>
        <v>#NAME?</v>
      </c>
      <c r="K2307" s="274">
        <f t="shared" si="31"/>
        <v>0</v>
      </c>
      <c r="N2307" s="274"/>
    </row>
    <row r="2308" spans="1:14" ht="13.5" customHeight="1">
      <c r="A2308" s="1" t="s">
        <v>173</v>
      </c>
      <c r="E2308" s="1" t="s">
        <v>177</v>
      </c>
      <c r="F2308" s="1" t="s">
        <v>2636</v>
      </c>
      <c r="G2308" s="409" t="str">
        <f t="shared" si="29"/>
        <v>15-12</v>
      </c>
      <c r="H2308" s="273" t="e">
        <f ca="1">_xludf.IFNA(VLOOKUP(Aragon!E2308,'Kilter Holds'!$P$37:$AB$662,7,0),0)+_xludf.IFNA(VLOOKUP(A2308,'Kilter Holds'!$P$37:$AB$662,7,0),0)</f>
        <v>#NAME?</v>
      </c>
      <c r="I2308" s="274"/>
      <c r="J2308" s="274" t="e">
        <f t="shared" ca="1" si="30"/>
        <v>#NAME?</v>
      </c>
      <c r="K2308" s="274">
        <f t="shared" si="31"/>
        <v>0</v>
      </c>
      <c r="N2308" s="274"/>
    </row>
    <row r="2309" spans="1:14" ht="13.5" customHeight="1">
      <c r="A2309" s="1" t="s">
        <v>173</v>
      </c>
      <c r="E2309" s="1" t="s">
        <v>177</v>
      </c>
      <c r="F2309" s="1" t="s">
        <v>2636</v>
      </c>
      <c r="G2309" s="410" t="str">
        <f t="shared" si="29"/>
        <v>16-16</v>
      </c>
      <c r="H2309" s="273" t="e">
        <f ca="1">_xludf.IFNA(VLOOKUP(Aragon!E2309,'Kilter Holds'!$P$37:$AB$662,8,0),0)+_xludf.IFNA(VLOOKUP(A2309,'Kilter Holds'!$P$37:$AB$662,8,0),0)</f>
        <v>#NAME?</v>
      </c>
      <c r="I2309" s="274"/>
      <c r="J2309" s="274" t="e">
        <f t="shared" ca="1" si="30"/>
        <v>#NAME?</v>
      </c>
      <c r="K2309" s="274">
        <f t="shared" si="31"/>
        <v>0</v>
      </c>
      <c r="N2309" s="274"/>
    </row>
    <row r="2310" spans="1:14" ht="13.5" customHeight="1">
      <c r="A2310" s="1" t="s">
        <v>173</v>
      </c>
      <c r="E2310" s="1" t="s">
        <v>177</v>
      </c>
      <c r="F2310" s="1" t="s">
        <v>2636</v>
      </c>
      <c r="G2310" s="411" t="str">
        <f t="shared" si="29"/>
        <v>13-01</v>
      </c>
      <c r="H2310" s="273" t="e">
        <f ca="1">_xludf.IFNA(VLOOKUP(Aragon!E2310,'Kilter Holds'!$P$37:$AB$662,9,0),0)+_xludf.IFNA(VLOOKUP(A2310,'Kilter Holds'!$P$37:$AB$662,9,0),0)</f>
        <v>#NAME?</v>
      </c>
      <c r="I2310" s="274"/>
      <c r="J2310" s="274" t="e">
        <f t="shared" ca="1" si="30"/>
        <v>#NAME?</v>
      </c>
      <c r="K2310" s="274">
        <f t="shared" si="31"/>
        <v>0</v>
      </c>
      <c r="N2310" s="274"/>
    </row>
    <row r="2311" spans="1:14" ht="13.5" customHeight="1">
      <c r="A2311" s="1" t="s">
        <v>173</v>
      </c>
      <c r="E2311" s="1" t="s">
        <v>177</v>
      </c>
      <c r="F2311" s="1" t="s">
        <v>2636</v>
      </c>
      <c r="G2311" s="413" t="str">
        <f t="shared" si="29"/>
        <v>07-13</v>
      </c>
      <c r="H2311" s="273" t="e">
        <f ca="1">_xludf.IFNA(VLOOKUP(Aragon!E2311,'Kilter Holds'!$P$37:$AB$662,10,0),0)+_xludf.IFNA(VLOOKUP(A2311,'Kilter Holds'!$P$37:$AB$662,10,0),0)</f>
        <v>#NAME?</v>
      </c>
      <c r="I2311" s="274"/>
      <c r="J2311" s="274" t="e">
        <f t="shared" ca="1" si="30"/>
        <v>#NAME?</v>
      </c>
      <c r="K2311" s="274">
        <f t="shared" si="31"/>
        <v>0</v>
      </c>
      <c r="N2311" s="274"/>
    </row>
    <row r="2312" spans="1:14" ht="13.5" customHeight="1">
      <c r="A2312" s="1" t="s">
        <v>173</v>
      </c>
      <c r="E2312" s="1" t="s">
        <v>177</v>
      </c>
      <c r="F2312" s="1" t="s">
        <v>2636</v>
      </c>
      <c r="G2312" s="414" t="str">
        <f t="shared" si="29"/>
        <v>11-26</v>
      </c>
      <c r="H2312" s="273" t="e">
        <f ca="1">_xludf.IFNA(VLOOKUP(Aragon!E2312,'Kilter Holds'!$P$37:$AB$662,11,0),0)+_xludf.IFNA(VLOOKUP(A2312,'Kilter Holds'!$P$37:$AB$662,11,0),0)</f>
        <v>#NAME?</v>
      </c>
      <c r="I2312" s="274"/>
      <c r="J2312" s="274" t="e">
        <f t="shared" ca="1" si="30"/>
        <v>#NAME?</v>
      </c>
      <c r="K2312" s="274">
        <f t="shared" si="31"/>
        <v>0</v>
      </c>
      <c r="N2312" s="274"/>
    </row>
    <row r="2313" spans="1:14" ht="13.5" customHeight="1">
      <c r="A2313" s="1" t="s">
        <v>173</v>
      </c>
      <c r="E2313" s="1" t="s">
        <v>177</v>
      </c>
      <c r="F2313" s="1" t="s">
        <v>2636</v>
      </c>
      <c r="G2313" s="415" t="str">
        <f t="shared" si="29"/>
        <v>18-01</v>
      </c>
      <c r="H2313" s="273" t="e">
        <f ca="1">_xludf.IFNA(VLOOKUP(Aragon!E2313,'Kilter Holds'!$P$37:$AB$662,12,0),0)+_xludf.IFNA(VLOOKUP(A2313,'Kilter Holds'!$P$37:$AB$662,12,0),0)</f>
        <v>#NAME?</v>
      </c>
      <c r="I2313" s="274"/>
      <c r="J2313" s="274" t="e">
        <f t="shared" ca="1" si="30"/>
        <v>#NAME?</v>
      </c>
      <c r="K2313" s="274">
        <f t="shared" si="31"/>
        <v>0</v>
      </c>
      <c r="N2313" s="274"/>
    </row>
    <row r="2314" spans="1:14" ht="13.5" customHeight="1">
      <c r="A2314" s="1" t="s">
        <v>173</v>
      </c>
      <c r="E2314" s="1" t="s">
        <v>177</v>
      </c>
      <c r="F2314" s="1" t="s">
        <v>2636</v>
      </c>
      <c r="G2314" s="416" t="str">
        <f t="shared" si="29"/>
        <v>Color Code</v>
      </c>
      <c r="H2314" s="273" t="e">
        <f ca="1">_xludf.IFNA(VLOOKUP(Aragon!E2314,'Kilter Holds'!$P$37:$AB$662,13,0),0)+_xludf.IFNA(VLOOKUP(A2314,'Kilter Holds'!$P$37:$AB$662,13,0),0)</f>
        <v>#NAME?</v>
      </c>
      <c r="I2314" s="274"/>
      <c r="J2314" s="274" t="e">
        <f t="shared" ca="1" si="30"/>
        <v>#NAME?</v>
      </c>
      <c r="K2314" s="274">
        <f t="shared" si="31"/>
        <v>0</v>
      </c>
      <c r="N2314" s="274"/>
    </row>
    <row r="2315" spans="1:14" ht="13.5" customHeight="1">
      <c r="A2315" s="1" t="s">
        <v>167</v>
      </c>
      <c r="E2315" s="1" t="s">
        <v>171</v>
      </c>
      <c r="F2315" s="1" t="s">
        <v>2637</v>
      </c>
      <c r="G2315" s="406" t="str">
        <f t="shared" si="29"/>
        <v>11-12</v>
      </c>
      <c r="H2315" s="273" t="e">
        <f ca="1">_xludf.IFNA(VLOOKUP(Aragon!E2315,'Kilter Holds'!$P$37:$AB$662,5,0),0)+_xludf.IFNA(VLOOKUP(A2315,'Kilter Holds'!$P$37:$AB$662,5,0),0)</f>
        <v>#NAME?</v>
      </c>
      <c r="I2315" s="274"/>
      <c r="J2315" s="274" t="e">
        <f t="shared" ca="1" si="30"/>
        <v>#NAME?</v>
      </c>
      <c r="K2315" s="274">
        <f t="shared" si="31"/>
        <v>0</v>
      </c>
      <c r="N2315" s="274"/>
    </row>
    <row r="2316" spans="1:14" ht="13.5" customHeight="1">
      <c r="A2316" s="1" t="s">
        <v>167</v>
      </c>
      <c r="E2316" s="1" t="s">
        <v>171</v>
      </c>
      <c r="F2316" s="1" t="s">
        <v>2637</v>
      </c>
      <c r="G2316" s="408" t="str">
        <f t="shared" si="29"/>
        <v>14-01</v>
      </c>
      <c r="H2316" s="273" t="e">
        <f ca="1">_xludf.IFNA(VLOOKUP(Aragon!E2316,'Kilter Holds'!$P$37:$AB$662,6,0),0)+_xludf.IFNA(VLOOKUP(A2316,'Kilter Holds'!$P$37:$AB$662,6,0),0)</f>
        <v>#NAME?</v>
      </c>
      <c r="I2316" s="274"/>
      <c r="J2316" s="274" t="e">
        <f t="shared" ca="1" si="30"/>
        <v>#NAME?</v>
      </c>
      <c r="K2316" s="274">
        <f t="shared" si="31"/>
        <v>0</v>
      </c>
      <c r="N2316" s="274"/>
    </row>
    <row r="2317" spans="1:14" ht="13.5" customHeight="1">
      <c r="A2317" s="1" t="s">
        <v>167</v>
      </c>
      <c r="E2317" s="1" t="s">
        <v>171</v>
      </c>
      <c r="F2317" s="1" t="s">
        <v>2637</v>
      </c>
      <c r="G2317" s="409" t="str">
        <f t="shared" si="29"/>
        <v>15-12</v>
      </c>
      <c r="H2317" s="273" t="e">
        <f ca="1">_xludf.IFNA(VLOOKUP(Aragon!E2317,'Kilter Holds'!$P$37:$AB$662,7,0),0)+_xludf.IFNA(VLOOKUP(A2317,'Kilter Holds'!$P$37:$AB$662,7,0),0)</f>
        <v>#NAME?</v>
      </c>
      <c r="I2317" s="274"/>
      <c r="J2317" s="274" t="e">
        <f t="shared" ca="1" si="30"/>
        <v>#NAME?</v>
      </c>
      <c r="K2317" s="274">
        <f t="shared" si="31"/>
        <v>0</v>
      </c>
      <c r="N2317" s="274"/>
    </row>
    <row r="2318" spans="1:14" ht="13.5" customHeight="1">
      <c r="A2318" s="1" t="s">
        <v>167</v>
      </c>
      <c r="E2318" s="1" t="s">
        <v>171</v>
      </c>
      <c r="F2318" s="1" t="s">
        <v>2637</v>
      </c>
      <c r="G2318" s="410" t="str">
        <f t="shared" si="29"/>
        <v>16-16</v>
      </c>
      <c r="H2318" s="273" t="e">
        <f ca="1">_xludf.IFNA(VLOOKUP(Aragon!E2318,'Kilter Holds'!$P$37:$AB$662,8,0),0)+_xludf.IFNA(VLOOKUP(A2318,'Kilter Holds'!$P$37:$AB$662,8,0),0)</f>
        <v>#NAME?</v>
      </c>
      <c r="I2318" s="274"/>
      <c r="J2318" s="274" t="e">
        <f t="shared" ca="1" si="30"/>
        <v>#NAME?</v>
      </c>
      <c r="K2318" s="274">
        <f t="shared" si="31"/>
        <v>0</v>
      </c>
      <c r="N2318" s="274"/>
    </row>
    <row r="2319" spans="1:14" ht="13.5" customHeight="1">
      <c r="A2319" s="1" t="s">
        <v>167</v>
      </c>
      <c r="E2319" s="1" t="s">
        <v>171</v>
      </c>
      <c r="F2319" s="1" t="s">
        <v>2637</v>
      </c>
      <c r="G2319" s="411" t="str">
        <f t="shared" si="29"/>
        <v>13-01</v>
      </c>
      <c r="H2319" s="273" t="e">
        <f ca="1">_xludf.IFNA(VLOOKUP(Aragon!E2319,'Kilter Holds'!$P$37:$AB$662,9,0),0)+_xludf.IFNA(VLOOKUP(A2319,'Kilter Holds'!$P$37:$AB$662,9,0),0)</f>
        <v>#NAME?</v>
      </c>
      <c r="I2319" s="274"/>
      <c r="J2319" s="274" t="e">
        <f t="shared" ca="1" si="30"/>
        <v>#NAME?</v>
      </c>
      <c r="K2319" s="274">
        <f t="shared" si="31"/>
        <v>0</v>
      </c>
      <c r="N2319" s="274"/>
    </row>
    <row r="2320" spans="1:14" ht="13.5" customHeight="1">
      <c r="A2320" s="1" t="s">
        <v>167</v>
      </c>
      <c r="E2320" s="1" t="s">
        <v>171</v>
      </c>
      <c r="F2320" s="1" t="s">
        <v>2637</v>
      </c>
      <c r="G2320" s="413" t="str">
        <f t="shared" si="29"/>
        <v>07-13</v>
      </c>
      <c r="H2320" s="273" t="e">
        <f ca="1">_xludf.IFNA(VLOOKUP(Aragon!E2320,'Kilter Holds'!$P$37:$AB$662,10,0),0)+_xludf.IFNA(VLOOKUP(A2320,'Kilter Holds'!$P$37:$AB$662,10,0),0)</f>
        <v>#NAME?</v>
      </c>
      <c r="I2320" s="274"/>
      <c r="J2320" s="274" t="e">
        <f t="shared" ca="1" si="30"/>
        <v>#NAME?</v>
      </c>
      <c r="K2320" s="274">
        <f t="shared" si="31"/>
        <v>0</v>
      </c>
      <c r="N2320" s="274"/>
    </row>
    <row r="2321" spans="1:14" ht="13.5" customHeight="1">
      <c r="A2321" s="1" t="s">
        <v>167</v>
      </c>
      <c r="E2321" s="1" t="s">
        <v>171</v>
      </c>
      <c r="F2321" s="1" t="s">
        <v>2637</v>
      </c>
      <c r="G2321" s="414" t="str">
        <f t="shared" si="29"/>
        <v>11-26</v>
      </c>
      <c r="H2321" s="273" t="e">
        <f ca="1">_xludf.IFNA(VLOOKUP(Aragon!E2321,'Kilter Holds'!$P$37:$AB$662,11,0),0)+_xludf.IFNA(VLOOKUP(A2321,'Kilter Holds'!$P$37:$AB$662,11,0),0)</f>
        <v>#NAME?</v>
      </c>
      <c r="I2321" s="274"/>
      <c r="J2321" s="274" t="e">
        <f t="shared" ca="1" si="30"/>
        <v>#NAME?</v>
      </c>
      <c r="K2321" s="274">
        <f t="shared" si="31"/>
        <v>0</v>
      </c>
      <c r="N2321" s="274"/>
    </row>
    <row r="2322" spans="1:14" ht="13.5" customHeight="1">
      <c r="A2322" s="1" t="s">
        <v>167</v>
      </c>
      <c r="E2322" s="1" t="s">
        <v>171</v>
      </c>
      <c r="F2322" s="1" t="s">
        <v>2637</v>
      </c>
      <c r="G2322" s="415" t="str">
        <f t="shared" si="29"/>
        <v>18-01</v>
      </c>
      <c r="H2322" s="273" t="e">
        <f ca="1">_xludf.IFNA(VLOOKUP(Aragon!E2322,'Kilter Holds'!$P$37:$AB$662,12,0),0)+_xludf.IFNA(VLOOKUP(A2322,'Kilter Holds'!$P$37:$AB$662,12,0),0)</f>
        <v>#NAME?</v>
      </c>
      <c r="I2322" s="274"/>
      <c r="J2322" s="274" t="e">
        <f t="shared" ca="1" si="30"/>
        <v>#NAME?</v>
      </c>
      <c r="K2322" s="274">
        <f t="shared" si="31"/>
        <v>0</v>
      </c>
      <c r="N2322" s="274"/>
    </row>
    <row r="2323" spans="1:14" ht="13.5" customHeight="1">
      <c r="A2323" s="1" t="s">
        <v>167</v>
      </c>
      <c r="E2323" s="1" t="s">
        <v>171</v>
      </c>
      <c r="F2323" s="1" t="s">
        <v>2637</v>
      </c>
      <c r="G2323" s="416" t="str">
        <f t="shared" si="29"/>
        <v>Color Code</v>
      </c>
      <c r="H2323" s="273" t="e">
        <f ca="1">_xludf.IFNA(VLOOKUP(Aragon!E2323,'Kilter Holds'!$P$37:$AB$662,13,0),0)+_xludf.IFNA(VLOOKUP(A2323,'Kilter Holds'!$P$37:$AB$662,13,0),0)</f>
        <v>#NAME?</v>
      </c>
      <c r="I2323" s="274"/>
      <c r="J2323" s="274" t="e">
        <f t="shared" ca="1" si="30"/>
        <v>#NAME?</v>
      </c>
      <c r="K2323" s="274">
        <f t="shared" si="31"/>
        <v>0</v>
      </c>
      <c r="N2323" s="274"/>
    </row>
    <row r="2324" spans="1:14" ht="13.5" customHeight="1">
      <c r="A2324" s="1"/>
      <c r="E2324" s="1" t="s">
        <v>249</v>
      </c>
      <c r="F2324" s="1" t="s">
        <v>2638</v>
      </c>
      <c r="G2324" s="406" t="str">
        <f t="shared" si="29"/>
        <v>11-12</v>
      </c>
      <c r="H2324" s="273" t="e">
        <f ca="1">_xludf.IFNA(VLOOKUP(Aragon!E2324,'Kilter Holds'!$P$37:$AB$662,5,0),0)+_xludf.IFNA(VLOOKUP(A2324,'Kilter Holds'!$P$37:$AB$662,5,0),0)</f>
        <v>#NAME?</v>
      </c>
      <c r="I2324" s="274"/>
      <c r="J2324" s="274" t="e">
        <f t="shared" ca="1" si="30"/>
        <v>#NAME?</v>
      </c>
      <c r="K2324" s="274">
        <f t="shared" si="31"/>
        <v>0</v>
      </c>
      <c r="N2324" s="274"/>
    </row>
    <row r="2325" spans="1:14" ht="13.5" customHeight="1">
      <c r="A2325" s="1"/>
      <c r="E2325" s="1" t="s">
        <v>249</v>
      </c>
      <c r="F2325" s="1" t="s">
        <v>2638</v>
      </c>
      <c r="G2325" s="408" t="str">
        <f t="shared" si="29"/>
        <v>14-01</v>
      </c>
      <c r="H2325" s="273" t="e">
        <f ca="1">_xludf.IFNA(VLOOKUP(Aragon!E2325,'Kilter Holds'!$P$37:$AB$662,6,0),0)+_xludf.IFNA(VLOOKUP(A2325,'Kilter Holds'!$P$37:$AB$662,6,0),0)</f>
        <v>#NAME?</v>
      </c>
      <c r="I2325" s="274"/>
      <c r="J2325" s="274" t="e">
        <f t="shared" ca="1" si="30"/>
        <v>#NAME?</v>
      </c>
      <c r="K2325" s="274">
        <f t="shared" si="31"/>
        <v>0</v>
      </c>
      <c r="N2325" s="274"/>
    </row>
    <row r="2326" spans="1:14" ht="13.5" customHeight="1">
      <c r="A2326" s="1"/>
      <c r="E2326" s="1" t="s">
        <v>249</v>
      </c>
      <c r="F2326" s="1" t="s">
        <v>2638</v>
      </c>
      <c r="G2326" s="409" t="str">
        <f t="shared" si="29"/>
        <v>15-12</v>
      </c>
      <c r="H2326" s="273" t="e">
        <f ca="1">_xludf.IFNA(VLOOKUP(Aragon!E2326,'Kilter Holds'!$P$37:$AB$662,7,0),0)+_xludf.IFNA(VLOOKUP(A2326,'Kilter Holds'!$P$37:$AB$662,7,0),0)</f>
        <v>#NAME?</v>
      </c>
      <c r="I2326" s="274"/>
      <c r="J2326" s="274" t="e">
        <f t="shared" ca="1" si="30"/>
        <v>#NAME?</v>
      </c>
      <c r="K2326" s="274">
        <f t="shared" si="31"/>
        <v>0</v>
      </c>
      <c r="N2326" s="274"/>
    </row>
    <row r="2327" spans="1:14" ht="13.5" customHeight="1">
      <c r="A2327" s="1"/>
      <c r="E2327" s="1" t="s">
        <v>249</v>
      </c>
      <c r="F2327" s="1" t="s">
        <v>2638</v>
      </c>
      <c r="G2327" s="410" t="str">
        <f t="shared" si="29"/>
        <v>16-16</v>
      </c>
      <c r="H2327" s="273" t="e">
        <f ca="1">_xludf.IFNA(VLOOKUP(Aragon!E2327,'Kilter Holds'!$P$37:$AB$662,8,0),0)+_xludf.IFNA(VLOOKUP(A2327,'Kilter Holds'!$P$37:$AB$662,8,0),0)</f>
        <v>#NAME?</v>
      </c>
      <c r="I2327" s="274"/>
      <c r="J2327" s="274" t="e">
        <f t="shared" ca="1" si="30"/>
        <v>#NAME?</v>
      </c>
      <c r="K2327" s="274">
        <f t="shared" si="31"/>
        <v>0</v>
      </c>
      <c r="N2327" s="274"/>
    </row>
    <row r="2328" spans="1:14" ht="13.5" customHeight="1">
      <c r="A2328" s="1"/>
      <c r="E2328" s="1" t="s">
        <v>249</v>
      </c>
      <c r="F2328" s="1" t="s">
        <v>2638</v>
      </c>
      <c r="G2328" s="411" t="str">
        <f t="shared" si="29"/>
        <v>13-01</v>
      </c>
      <c r="H2328" s="273" t="e">
        <f ca="1">_xludf.IFNA(VLOOKUP(Aragon!E2328,'Kilter Holds'!$P$37:$AB$662,9,0),0)+_xludf.IFNA(VLOOKUP(A2328,'Kilter Holds'!$P$37:$AB$662,9,0),0)</f>
        <v>#NAME?</v>
      </c>
      <c r="I2328" s="274"/>
      <c r="J2328" s="274" t="e">
        <f t="shared" ca="1" si="30"/>
        <v>#NAME?</v>
      </c>
      <c r="K2328" s="274">
        <f t="shared" si="31"/>
        <v>0</v>
      </c>
      <c r="N2328" s="274"/>
    </row>
    <row r="2329" spans="1:14" ht="13.5" customHeight="1">
      <c r="A2329" s="1"/>
      <c r="E2329" s="1" t="s">
        <v>249</v>
      </c>
      <c r="F2329" s="1" t="s">
        <v>2638</v>
      </c>
      <c r="G2329" s="413" t="str">
        <f t="shared" si="29"/>
        <v>07-13</v>
      </c>
      <c r="H2329" s="273" t="e">
        <f ca="1">_xludf.IFNA(VLOOKUP(Aragon!E2329,'Kilter Holds'!$P$37:$AB$662,10,0),0)+_xludf.IFNA(VLOOKUP(A2329,'Kilter Holds'!$P$37:$AB$662,10,0),0)</f>
        <v>#NAME?</v>
      </c>
      <c r="I2329" s="274"/>
      <c r="J2329" s="274" t="e">
        <f t="shared" ca="1" si="30"/>
        <v>#NAME?</v>
      </c>
      <c r="K2329" s="274">
        <f t="shared" si="31"/>
        <v>0</v>
      </c>
      <c r="N2329" s="274"/>
    </row>
    <row r="2330" spans="1:14" ht="13.5" customHeight="1">
      <c r="A2330" s="1"/>
      <c r="E2330" s="1" t="s">
        <v>249</v>
      </c>
      <c r="F2330" s="1" t="s">
        <v>2638</v>
      </c>
      <c r="G2330" s="414" t="str">
        <f t="shared" si="29"/>
        <v>11-26</v>
      </c>
      <c r="H2330" s="273" t="e">
        <f ca="1">_xludf.IFNA(VLOOKUP(Aragon!E2330,'Kilter Holds'!$P$37:$AB$662,11,0),0)+_xludf.IFNA(VLOOKUP(A2330,'Kilter Holds'!$P$37:$AB$662,11,0),0)</f>
        <v>#NAME?</v>
      </c>
      <c r="I2330" s="274"/>
      <c r="J2330" s="274" t="e">
        <f t="shared" ca="1" si="30"/>
        <v>#NAME?</v>
      </c>
      <c r="K2330" s="274">
        <f t="shared" si="31"/>
        <v>0</v>
      </c>
      <c r="N2330" s="274"/>
    </row>
    <row r="2331" spans="1:14" ht="13.5" customHeight="1">
      <c r="A2331" s="1"/>
      <c r="E2331" s="1" t="s">
        <v>249</v>
      </c>
      <c r="F2331" s="1" t="s">
        <v>2638</v>
      </c>
      <c r="G2331" s="415" t="str">
        <f t="shared" si="29"/>
        <v>18-01</v>
      </c>
      <c r="H2331" s="273" t="e">
        <f ca="1">_xludf.IFNA(VLOOKUP(Aragon!E2331,'Kilter Holds'!$P$37:$AB$662,12,0),0)+_xludf.IFNA(VLOOKUP(A2331,'Kilter Holds'!$P$37:$AB$662,12,0),0)</f>
        <v>#NAME?</v>
      </c>
      <c r="I2331" s="274"/>
      <c r="J2331" s="274" t="e">
        <f t="shared" ca="1" si="30"/>
        <v>#NAME?</v>
      </c>
      <c r="K2331" s="274">
        <f t="shared" si="31"/>
        <v>0</v>
      </c>
      <c r="N2331" s="274"/>
    </row>
    <row r="2332" spans="1:14" ht="13.5" customHeight="1">
      <c r="A2332" s="1"/>
      <c r="E2332" s="1" t="s">
        <v>249</v>
      </c>
      <c r="F2332" s="1" t="s">
        <v>2638</v>
      </c>
      <c r="G2332" s="416" t="str">
        <f t="shared" si="29"/>
        <v>Color Code</v>
      </c>
      <c r="H2332" s="273" t="e">
        <f ca="1">_xludf.IFNA(VLOOKUP(Aragon!E2332,'Kilter Holds'!$P$37:$AB$662,13,0),0)+_xludf.IFNA(VLOOKUP(A2332,'Kilter Holds'!$P$37:$AB$662,13,0),0)</f>
        <v>#NAME?</v>
      </c>
      <c r="I2332" s="274"/>
      <c r="J2332" s="274" t="e">
        <f t="shared" ca="1" si="30"/>
        <v>#NAME?</v>
      </c>
      <c r="K2332" s="274">
        <f t="shared" si="31"/>
        <v>0</v>
      </c>
      <c r="N2332" s="274"/>
    </row>
    <row r="2333" spans="1:14" ht="13.5" customHeight="1">
      <c r="A2333" s="1"/>
      <c r="E2333" s="1" t="s">
        <v>645</v>
      </c>
      <c r="F2333" s="1" t="s">
        <v>2639</v>
      </c>
      <c r="G2333" s="406" t="str">
        <f t="shared" si="29"/>
        <v>11-12</v>
      </c>
      <c r="H2333" s="273" t="e">
        <f ca="1">_xludf.IFNA(VLOOKUP(Aragon!E2333,'Kilter Holds'!$P$37:$AB$662,5,0),0)+_xludf.IFNA(VLOOKUP(A2333,'Kilter Holds'!$P$37:$AB$662,5,0),0)</f>
        <v>#NAME?</v>
      </c>
      <c r="I2333" s="274"/>
      <c r="J2333" s="274" t="e">
        <f t="shared" ca="1" si="30"/>
        <v>#NAME?</v>
      </c>
      <c r="K2333" s="274">
        <f t="shared" si="31"/>
        <v>0</v>
      </c>
      <c r="N2333" s="274"/>
    </row>
    <row r="2334" spans="1:14" ht="13.5" customHeight="1">
      <c r="A2334" s="1"/>
      <c r="E2334" s="1" t="s">
        <v>645</v>
      </c>
      <c r="F2334" s="1" t="s">
        <v>2639</v>
      </c>
      <c r="G2334" s="408" t="str">
        <f t="shared" si="29"/>
        <v>14-01</v>
      </c>
      <c r="H2334" s="273" t="e">
        <f ca="1">_xludf.IFNA(VLOOKUP(Aragon!E2334,'Kilter Holds'!$P$37:$AB$662,6,0),0)+_xludf.IFNA(VLOOKUP(A2334,'Kilter Holds'!$P$37:$AB$662,6,0),0)</f>
        <v>#NAME?</v>
      </c>
      <c r="I2334" s="274"/>
      <c r="J2334" s="274" t="e">
        <f t="shared" ca="1" si="30"/>
        <v>#NAME?</v>
      </c>
      <c r="K2334" s="274">
        <f t="shared" si="31"/>
        <v>0</v>
      </c>
      <c r="N2334" s="274"/>
    </row>
    <row r="2335" spans="1:14" ht="13.5" customHeight="1">
      <c r="A2335" s="1"/>
      <c r="E2335" s="1" t="s">
        <v>645</v>
      </c>
      <c r="F2335" s="1" t="s">
        <v>2639</v>
      </c>
      <c r="G2335" s="409" t="str">
        <f t="shared" si="29"/>
        <v>15-12</v>
      </c>
      <c r="H2335" s="273" t="e">
        <f ca="1">_xludf.IFNA(VLOOKUP(Aragon!E2335,'Kilter Holds'!$P$37:$AB$662,7,0),0)+_xludf.IFNA(VLOOKUP(A2335,'Kilter Holds'!$P$37:$AB$662,7,0),0)</f>
        <v>#NAME?</v>
      </c>
      <c r="I2335" s="274"/>
      <c r="J2335" s="274" t="e">
        <f t="shared" ca="1" si="30"/>
        <v>#NAME?</v>
      </c>
      <c r="K2335" s="274">
        <f t="shared" si="31"/>
        <v>0</v>
      </c>
      <c r="N2335" s="274"/>
    </row>
    <row r="2336" spans="1:14" ht="13.5" customHeight="1">
      <c r="A2336" s="1"/>
      <c r="E2336" s="1" t="s">
        <v>645</v>
      </c>
      <c r="F2336" s="1" t="s">
        <v>2639</v>
      </c>
      <c r="G2336" s="410" t="str">
        <f t="shared" si="29"/>
        <v>16-16</v>
      </c>
      <c r="H2336" s="273" t="e">
        <f ca="1">_xludf.IFNA(VLOOKUP(Aragon!E2336,'Kilter Holds'!$P$37:$AB$662,8,0),0)+_xludf.IFNA(VLOOKUP(A2336,'Kilter Holds'!$P$37:$AB$662,8,0),0)</f>
        <v>#NAME?</v>
      </c>
      <c r="I2336" s="274"/>
      <c r="J2336" s="274" t="e">
        <f t="shared" ca="1" si="30"/>
        <v>#NAME?</v>
      </c>
      <c r="K2336" s="274">
        <f t="shared" si="31"/>
        <v>0</v>
      </c>
      <c r="N2336" s="274"/>
    </row>
    <row r="2337" spans="1:14" ht="13.5" customHeight="1">
      <c r="A2337" s="1"/>
      <c r="E2337" s="1" t="s">
        <v>645</v>
      </c>
      <c r="F2337" s="1" t="s">
        <v>2639</v>
      </c>
      <c r="G2337" s="411" t="str">
        <f t="shared" si="29"/>
        <v>13-01</v>
      </c>
      <c r="H2337" s="273" t="e">
        <f ca="1">_xludf.IFNA(VLOOKUP(Aragon!E2337,'Kilter Holds'!$P$37:$AB$662,9,0),0)+_xludf.IFNA(VLOOKUP(A2337,'Kilter Holds'!$P$37:$AB$662,9,0),0)</f>
        <v>#NAME?</v>
      </c>
      <c r="I2337" s="274"/>
      <c r="J2337" s="274" t="e">
        <f t="shared" ca="1" si="30"/>
        <v>#NAME?</v>
      </c>
      <c r="K2337" s="274">
        <f t="shared" si="31"/>
        <v>0</v>
      </c>
      <c r="N2337" s="274"/>
    </row>
    <row r="2338" spans="1:14" ht="13.5" customHeight="1">
      <c r="A2338" s="1"/>
      <c r="E2338" s="1" t="s">
        <v>645</v>
      </c>
      <c r="F2338" s="1" t="s">
        <v>2639</v>
      </c>
      <c r="G2338" s="413" t="str">
        <f t="shared" si="29"/>
        <v>07-13</v>
      </c>
      <c r="H2338" s="273" t="e">
        <f ca="1">_xludf.IFNA(VLOOKUP(Aragon!E2338,'Kilter Holds'!$P$37:$AB$662,10,0),0)+_xludf.IFNA(VLOOKUP(A2338,'Kilter Holds'!$P$37:$AB$662,10,0),0)</f>
        <v>#NAME?</v>
      </c>
      <c r="I2338" s="274"/>
      <c r="J2338" s="274" t="e">
        <f t="shared" ca="1" si="30"/>
        <v>#NAME?</v>
      </c>
      <c r="K2338" s="274">
        <f t="shared" si="31"/>
        <v>0</v>
      </c>
      <c r="N2338" s="274"/>
    </row>
    <row r="2339" spans="1:14" ht="13.5" customHeight="1">
      <c r="A2339" s="1"/>
      <c r="E2339" s="1" t="s">
        <v>645</v>
      </c>
      <c r="F2339" s="1" t="s">
        <v>2639</v>
      </c>
      <c r="G2339" s="414" t="str">
        <f t="shared" si="29"/>
        <v>11-26</v>
      </c>
      <c r="H2339" s="273" t="e">
        <f ca="1">_xludf.IFNA(VLOOKUP(Aragon!E2339,'Kilter Holds'!$P$37:$AB$662,11,0),0)+_xludf.IFNA(VLOOKUP(A2339,'Kilter Holds'!$P$37:$AB$662,11,0),0)</f>
        <v>#NAME?</v>
      </c>
      <c r="I2339" s="274"/>
      <c r="J2339" s="274" t="e">
        <f t="shared" ca="1" si="30"/>
        <v>#NAME?</v>
      </c>
      <c r="K2339" s="274">
        <f t="shared" si="31"/>
        <v>0</v>
      </c>
      <c r="N2339" s="274"/>
    </row>
    <row r="2340" spans="1:14" ht="13.5" customHeight="1">
      <c r="A2340" s="1"/>
      <c r="E2340" s="1" t="s">
        <v>645</v>
      </c>
      <c r="F2340" s="1" t="s">
        <v>2639</v>
      </c>
      <c r="G2340" s="415" t="str">
        <f t="shared" si="29"/>
        <v>18-01</v>
      </c>
      <c r="H2340" s="273" t="e">
        <f ca="1">_xludf.IFNA(VLOOKUP(Aragon!E2340,'Kilter Holds'!$P$37:$AB$662,12,0),0)+_xludf.IFNA(VLOOKUP(A2340,'Kilter Holds'!$P$37:$AB$662,12,0),0)</f>
        <v>#NAME?</v>
      </c>
      <c r="I2340" s="274"/>
      <c r="J2340" s="274" t="e">
        <f t="shared" ca="1" si="30"/>
        <v>#NAME?</v>
      </c>
      <c r="K2340" s="274">
        <f t="shared" si="31"/>
        <v>0</v>
      </c>
      <c r="N2340" s="274"/>
    </row>
    <row r="2341" spans="1:14" ht="13.5" customHeight="1">
      <c r="A2341" s="1"/>
      <c r="E2341" s="1" t="s">
        <v>645</v>
      </c>
      <c r="F2341" s="1" t="s">
        <v>2639</v>
      </c>
      <c r="G2341" s="416" t="str">
        <f t="shared" si="29"/>
        <v>Color Code</v>
      </c>
      <c r="H2341" s="273" t="e">
        <f ca="1">_xludf.IFNA(VLOOKUP(Aragon!E2341,'Kilter Holds'!$P$37:$AB$662,13,0),0)+_xludf.IFNA(VLOOKUP(A2341,'Kilter Holds'!$P$37:$AB$662,13,0),0)</f>
        <v>#NAME?</v>
      </c>
      <c r="I2341" s="274"/>
      <c r="J2341" s="274" t="e">
        <f t="shared" ca="1" si="30"/>
        <v>#NAME?</v>
      </c>
      <c r="K2341" s="274">
        <f t="shared" si="31"/>
        <v>0</v>
      </c>
      <c r="N2341" s="274"/>
    </row>
    <row r="2342" spans="1:14" ht="13.5" customHeight="1">
      <c r="A2342" s="1"/>
      <c r="E2342" s="1" t="s">
        <v>657</v>
      </c>
      <c r="F2342" s="1" t="s">
        <v>2640</v>
      </c>
      <c r="G2342" s="406" t="str">
        <f t="shared" si="29"/>
        <v>11-12</v>
      </c>
      <c r="H2342" s="273" t="e">
        <f ca="1">_xludf.IFNA(VLOOKUP(Aragon!E2342,'Kilter Holds'!$P$37:$AB$662,5,0),0)+_xludf.IFNA(VLOOKUP(A2342,'Kilter Holds'!$P$37:$AB$662,5,0),0)</f>
        <v>#NAME?</v>
      </c>
      <c r="I2342" s="274"/>
      <c r="J2342" s="274" t="e">
        <f t="shared" ca="1" si="30"/>
        <v>#NAME?</v>
      </c>
      <c r="K2342" s="274">
        <f t="shared" si="31"/>
        <v>0</v>
      </c>
      <c r="N2342" s="274"/>
    </row>
    <row r="2343" spans="1:14" ht="13.5" customHeight="1">
      <c r="A2343" s="1"/>
      <c r="E2343" s="1" t="s">
        <v>657</v>
      </c>
      <c r="F2343" s="1" t="s">
        <v>2640</v>
      </c>
      <c r="G2343" s="408" t="str">
        <f t="shared" si="29"/>
        <v>14-01</v>
      </c>
      <c r="H2343" s="273" t="e">
        <f ca="1">_xludf.IFNA(VLOOKUP(Aragon!E2343,'Kilter Holds'!$P$37:$AB$662,6,0),0)+_xludf.IFNA(VLOOKUP(A2343,'Kilter Holds'!$P$37:$AB$662,6,0),0)</f>
        <v>#NAME?</v>
      </c>
      <c r="I2343" s="274"/>
      <c r="J2343" s="274" t="e">
        <f t="shared" ca="1" si="30"/>
        <v>#NAME?</v>
      </c>
      <c r="K2343" s="274">
        <f t="shared" si="31"/>
        <v>0</v>
      </c>
      <c r="N2343" s="274"/>
    </row>
    <row r="2344" spans="1:14" ht="13.5" customHeight="1">
      <c r="A2344" s="1"/>
      <c r="E2344" s="1" t="s">
        <v>657</v>
      </c>
      <c r="F2344" s="1" t="s">
        <v>2640</v>
      </c>
      <c r="G2344" s="409" t="str">
        <f t="shared" si="29"/>
        <v>15-12</v>
      </c>
      <c r="H2344" s="273" t="e">
        <f ca="1">_xludf.IFNA(VLOOKUP(Aragon!E2344,'Kilter Holds'!$P$37:$AB$662,7,0),0)+_xludf.IFNA(VLOOKUP(A2344,'Kilter Holds'!$P$37:$AB$662,7,0),0)</f>
        <v>#NAME?</v>
      </c>
      <c r="I2344" s="274"/>
      <c r="J2344" s="274" t="e">
        <f t="shared" ca="1" si="30"/>
        <v>#NAME?</v>
      </c>
      <c r="K2344" s="274">
        <f t="shared" si="31"/>
        <v>0</v>
      </c>
      <c r="N2344" s="274"/>
    </row>
    <row r="2345" spans="1:14" ht="13.5" customHeight="1">
      <c r="A2345" s="1"/>
      <c r="E2345" s="1" t="s">
        <v>657</v>
      </c>
      <c r="F2345" s="1" t="s">
        <v>2640</v>
      </c>
      <c r="G2345" s="410" t="str">
        <f t="shared" si="29"/>
        <v>16-16</v>
      </c>
      <c r="H2345" s="273" t="e">
        <f ca="1">_xludf.IFNA(VLOOKUP(Aragon!E2345,'Kilter Holds'!$P$37:$AB$662,8,0),0)+_xludf.IFNA(VLOOKUP(A2345,'Kilter Holds'!$P$37:$AB$662,8,0),0)</f>
        <v>#NAME?</v>
      </c>
      <c r="I2345" s="274"/>
      <c r="J2345" s="274" t="e">
        <f t="shared" ca="1" si="30"/>
        <v>#NAME?</v>
      </c>
      <c r="K2345" s="274">
        <f t="shared" si="31"/>
        <v>0</v>
      </c>
      <c r="N2345" s="274"/>
    </row>
    <row r="2346" spans="1:14" ht="13.5" customHeight="1">
      <c r="A2346" s="1"/>
      <c r="E2346" s="1" t="s">
        <v>657</v>
      </c>
      <c r="F2346" s="1" t="s">
        <v>2640</v>
      </c>
      <c r="G2346" s="411" t="str">
        <f t="shared" si="29"/>
        <v>13-01</v>
      </c>
      <c r="H2346" s="273" t="e">
        <f ca="1">_xludf.IFNA(VLOOKUP(Aragon!E2346,'Kilter Holds'!$P$37:$AB$662,9,0),0)+_xludf.IFNA(VLOOKUP(A2346,'Kilter Holds'!$P$37:$AB$662,9,0),0)</f>
        <v>#NAME?</v>
      </c>
      <c r="I2346" s="274"/>
      <c r="J2346" s="274" t="e">
        <f t="shared" ca="1" si="30"/>
        <v>#NAME?</v>
      </c>
      <c r="K2346" s="274">
        <f t="shared" si="31"/>
        <v>0</v>
      </c>
      <c r="N2346" s="274"/>
    </row>
    <row r="2347" spans="1:14" ht="13.5" customHeight="1">
      <c r="A2347" s="1"/>
      <c r="E2347" s="1" t="s">
        <v>657</v>
      </c>
      <c r="F2347" s="1" t="s">
        <v>2640</v>
      </c>
      <c r="G2347" s="413" t="str">
        <f t="shared" si="29"/>
        <v>07-13</v>
      </c>
      <c r="H2347" s="273" t="e">
        <f ca="1">_xludf.IFNA(VLOOKUP(Aragon!E2347,'Kilter Holds'!$P$37:$AB$662,10,0),0)+_xludf.IFNA(VLOOKUP(A2347,'Kilter Holds'!$P$37:$AB$662,10,0),0)</f>
        <v>#NAME?</v>
      </c>
      <c r="I2347" s="274"/>
      <c r="J2347" s="274" t="e">
        <f t="shared" ca="1" si="30"/>
        <v>#NAME?</v>
      </c>
      <c r="K2347" s="274">
        <f t="shared" si="31"/>
        <v>0</v>
      </c>
      <c r="N2347" s="274"/>
    </row>
    <row r="2348" spans="1:14" ht="13.5" customHeight="1">
      <c r="A2348" s="1"/>
      <c r="E2348" s="1" t="s">
        <v>657</v>
      </c>
      <c r="F2348" s="1" t="s">
        <v>2640</v>
      </c>
      <c r="G2348" s="414" t="str">
        <f t="shared" si="29"/>
        <v>11-26</v>
      </c>
      <c r="H2348" s="273" t="e">
        <f ca="1">_xludf.IFNA(VLOOKUP(Aragon!E2348,'Kilter Holds'!$P$37:$AB$662,11,0),0)+_xludf.IFNA(VLOOKUP(A2348,'Kilter Holds'!$P$37:$AB$662,11,0),0)</f>
        <v>#NAME?</v>
      </c>
      <c r="I2348" s="274"/>
      <c r="J2348" s="274" t="e">
        <f t="shared" ca="1" si="30"/>
        <v>#NAME?</v>
      </c>
      <c r="K2348" s="274">
        <f t="shared" si="31"/>
        <v>0</v>
      </c>
      <c r="N2348" s="274"/>
    </row>
    <row r="2349" spans="1:14" ht="13.5" customHeight="1">
      <c r="A2349" s="1"/>
      <c r="E2349" s="1" t="s">
        <v>657</v>
      </c>
      <c r="F2349" s="1" t="s">
        <v>2640</v>
      </c>
      <c r="G2349" s="415" t="str">
        <f t="shared" si="29"/>
        <v>18-01</v>
      </c>
      <c r="H2349" s="273" t="e">
        <f ca="1">_xludf.IFNA(VLOOKUP(Aragon!E2349,'Kilter Holds'!$P$37:$AB$662,12,0),0)+_xludf.IFNA(VLOOKUP(A2349,'Kilter Holds'!$P$37:$AB$662,12,0),0)</f>
        <v>#NAME?</v>
      </c>
      <c r="I2349" s="274"/>
      <c r="J2349" s="274" t="e">
        <f t="shared" ca="1" si="30"/>
        <v>#NAME?</v>
      </c>
      <c r="K2349" s="274">
        <f t="shared" si="31"/>
        <v>0</v>
      </c>
      <c r="N2349" s="274"/>
    </row>
    <row r="2350" spans="1:14" ht="13.5" customHeight="1">
      <c r="A2350" s="1"/>
      <c r="E2350" s="1" t="s">
        <v>657</v>
      </c>
      <c r="F2350" s="1" t="s">
        <v>2640</v>
      </c>
      <c r="G2350" s="416" t="str">
        <f t="shared" si="29"/>
        <v>Color Code</v>
      </c>
      <c r="H2350" s="273" t="e">
        <f ca="1">_xludf.IFNA(VLOOKUP(Aragon!E2350,'Kilter Holds'!$P$37:$AB$662,13,0),0)+_xludf.IFNA(VLOOKUP(A2350,'Kilter Holds'!$P$37:$AB$662,13,0),0)</f>
        <v>#NAME?</v>
      </c>
      <c r="I2350" s="274"/>
      <c r="J2350" s="274" t="e">
        <f t="shared" ca="1" si="30"/>
        <v>#NAME?</v>
      </c>
      <c r="K2350" s="274">
        <f t="shared" si="31"/>
        <v>0</v>
      </c>
      <c r="N2350" s="274"/>
    </row>
    <row r="2351" spans="1:14" ht="13.5" customHeight="1">
      <c r="A2351" s="1"/>
      <c r="E2351" s="1" t="s">
        <v>165</v>
      </c>
      <c r="F2351" s="1" t="s">
        <v>2641</v>
      </c>
      <c r="G2351" s="406" t="str">
        <f t="shared" si="29"/>
        <v>11-12</v>
      </c>
      <c r="H2351" s="273" t="e">
        <f ca="1">_xludf.IFNA(VLOOKUP(Aragon!E2351,'Kilter Holds'!$P$37:$AB$662,5,0),0)+_xludf.IFNA(VLOOKUP(A2351,'Kilter Holds'!$P$37:$AB$662,5,0),0)</f>
        <v>#NAME?</v>
      </c>
      <c r="I2351" s="274"/>
      <c r="J2351" s="274" t="e">
        <f t="shared" ca="1" si="30"/>
        <v>#NAME?</v>
      </c>
      <c r="K2351" s="274">
        <f t="shared" si="31"/>
        <v>0</v>
      </c>
      <c r="N2351" s="274"/>
    </row>
    <row r="2352" spans="1:14" ht="13.5" customHeight="1">
      <c r="A2352" s="1"/>
      <c r="E2352" s="1" t="s">
        <v>165</v>
      </c>
      <c r="F2352" s="1" t="s">
        <v>2641</v>
      </c>
      <c r="G2352" s="408" t="str">
        <f t="shared" si="29"/>
        <v>14-01</v>
      </c>
      <c r="H2352" s="273" t="e">
        <f ca="1">_xludf.IFNA(VLOOKUP(Aragon!E2352,'Kilter Holds'!$P$37:$AB$662,6,0),0)+_xludf.IFNA(VLOOKUP(A2352,'Kilter Holds'!$P$37:$AB$662,6,0),0)</f>
        <v>#NAME?</v>
      </c>
      <c r="I2352" s="274"/>
      <c r="J2352" s="274" t="e">
        <f t="shared" ca="1" si="30"/>
        <v>#NAME?</v>
      </c>
      <c r="K2352" s="274">
        <f t="shared" si="31"/>
        <v>0</v>
      </c>
      <c r="N2352" s="274"/>
    </row>
    <row r="2353" spans="1:14" ht="13.5" customHeight="1">
      <c r="A2353" s="1"/>
      <c r="E2353" s="1" t="s">
        <v>165</v>
      </c>
      <c r="F2353" s="1" t="s">
        <v>2641</v>
      </c>
      <c r="G2353" s="409" t="str">
        <f t="shared" si="29"/>
        <v>15-12</v>
      </c>
      <c r="H2353" s="273" t="e">
        <f ca="1">_xludf.IFNA(VLOOKUP(Aragon!E2353,'Kilter Holds'!$P$37:$AB$662,7,0),0)+_xludf.IFNA(VLOOKUP(A2353,'Kilter Holds'!$P$37:$AB$662,7,0),0)</f>
        <v>#NAME?</v>
      </c>
      <c r="I2353" s="274"/>
      <c r="J2353" s="274" t="e">
        <f t="shared" ca="1" si="30"/>
        <v>#NAME?</v>
      </c>
      <c r="K2353" s="274">
        <f t="shared" si="31"/>
        <v>0</v>
      </c>
      <c r="N2353" s="274"/>
    </row>
    <row r="2354" spans="1:14" ht="13.5" customHeight="1">
      <c r="A2354" s="1"/>
      <c r="E2354" s="1" t="s">
        <v>165</v>
      </c>
      <c r="F2354" s="1" t="s">
        <v>2641</v>
      </c>
      <c r="G2354" s="410" t="str">
        <f t="shared" si="29"/>
        <v>16-16</v>
      </c>
      <c r="H2354" s="273" t="e">
        <f ca="1">_xludf.IFNA(VLOOKUP(Aragon!E2354,'Kilter Holds'!$P$37:$AB$662,8,0),0)+_xludf.IFNA(VLOOKUP(A2354,'Kilter Holds'!$P$37:$AB$662,8,0),0)</f>
        <v>#NAME?</v>
      </c>
      <c r="I2354" s="274"/>
      <c r="J2354" s="274" t="e">
        <f t="shared" ca="1" si="30"/>
        <v>#NAME?</v>
      </c>
      <c r="K2354" s="274">
        <f t="shared" si="31"/>
        <v>0</v>
      </c>
      <c r="N2354" s="274"/>
    </row>
    <row r="2355" spans="1:14" ht="13.5" customHeight="1">
      <c r="A2355" s="1"/>
      <c r="E2355" s="1" t="s">
        <v>165</v>
      </c>
      <c r="F2355" s="1" t="s">
        <v>2641</v>
      </c>
      <c r="G2355" s="411" t="str">
        <f t="shared" si="29"/>
        <v>13-01</v>
      </c>
      <c r="H2355" s="273" t="e">
        <f ca="1">_xludf.IFNA(VLOOKUP(Aragon!E2355,'Kilter Holds'!$P$37:$AB$662,9,0),0)+_xludf.IFNA(VLOOKUP(A2355,'Kilter Holds'!$P$37:$AB$662,9,0),0)</f>
        <v>#NAME?</v>
      </c>
      <c r="I2355" s="274"/>
      <c r="J2355" s="274" t="e">
        <f t="shared" ca="1" si="30"/>
        <v>#NAME?</v>
      </c>
      <c r="K2355" s="274">
        <f t="shared" si="31"/>
        <v>0</v>
      </c>
      <c r="N2355" s="274"/>
    </row>
    <row r="2356" spans="1:14" ht="13.5" customHeight="1">
      <c r="A2356" s="1"/>
      <c r="E2356" s="1" t="s">
        <v>165</v>
      </c>
      <c r="F2356" s="1" t="s">
        <v>2641</v>
      </c>
      <c r="G2356" s="413" t="str">
        <f t="shared" si="29"/>
        <v>07-13</v>
      </c>
      <c r="H2356" s="273" t="e">
        <f ca="1">_xludf.IFNA(VLOOKUP(Aragon!E2356,'Kilter Holds'!$P$37:$AB$662,10,0),0)+_xludf.IFNA(VLOOKUP(A2356,'Kilter Holds'!$P$37:$AB$662,10,0),0)</f>
        <v>#NAME?</v>
      </c>
      <c r="I2356" s="274"/>
      <c r="J2356" s="274" t="e">
        <f t="shared" ca="1" si="30"/>
        <v>#NAME?</v>
      </c>
      <c r="K2356" s="274">
        <f t="shared" si="31"/>
        <v>0</v>
      </c>
      <c r="N2356" s="274"/>
    </row>
    <row r="2357" spans="1:14" ht="13.5" customHeight="1">
      <c r="A2357" s="1"/>
      <c r="E2357" s="1" t="s">
        <v>165</v>
      </c>
      <c r="F2357" s="1" t="s">
        <v>2641</v>
      </c>
      <c r="G2357" s="414" t="str">
        <f t="shared" si="29"/>
        <v>11-26</v>
      </c>
      <c r="H2357" s="273" t="e">
        <f ca="1">_xludf.IFNA(VLOOKUP(Aragon!E2357,'Kilter Holds'!$P$37:$AB$662,11,0),0)+_xludf.IFNA(VLOOKUP(A2357,'Kilter Holds'!$P$37:$AB$662,11,0),0)</f>
        <v>#NAME?</v>
      </c>
      <c r="I2357" s="274"/>
      <c r="J2357" s="274" t="e">
        <f t="shared" ca="1" si="30"/>
        <v>#NAME?</v>
      </c>
      <c r="K2357" s="274">
        <f t="shared" si="31"/>
        <v>0</v>
      </c>
      <c r="N2357" s="274"/>
    </row>
    <row r="2358" spans="1:14" ht="13.5" customHeight="1">
      <c r="A2358" s="1"/>
      <c r="E2358" s="1" t="s">
        <v>165</v>
      </c>
      <c r="F2358" s="1" t="s">
        <v>2641</v>
      </c>
      <c r="G2358" s="415" t="str">
        <f t="shared" si="29"/>
        <v>18-01</v>
      </c>
      <c r="H2358" s="273" t="e">
        <f ca="1">_xludf.IFNA(VLOOKUP(Aragon!E2358,'Kilter Holds'!$P$37:$AB$662,12,0),0)+_xludf.IFNA(VLOOKUP(A2358,'Kilter Holds'!$P$37:$AB$662,12,0),0)</f>
        <v>#NAME?</v>
      </c>
      <c r="I2358" s="274"/>
      <c r="J2358" s="274" t="e">
        <f t="shared" ca="1" si="30"/>
        <v>#NAME?</v>
      </c>
      <c r="K2358" s="274">
        <f t="shared" si="31"/>
        <v>0</v>
      </c>
      <c r="N2358" s="274"/>
    </row>
    <row r="2359" spans="1:14" ht="13.5" customHeight="1">
      <c r="A2359" s="1"/>
      <c r="E2359" s="1" t="s">
        <v>165</v>
      </c>
      <c r="F2359" s="1" t="s">
        <v>2641</v>
      </c>
      <c r="G2359" s="416" t="str">
        <f t="shared" si="29"/>
        <v>Color Code</v>
      </c>
      <c r="H2359" s="273" t="e">
        <f ca="1">_xludf.IFNA(VLOOKUP(Aragon!E2359,'Kilter Holds'!$P$37:$AB$662,13,0),0)+_xludf.IFNA(VLOOKUP(A2359,'Kilter Holds'!$P$37:$AB$662,13,0),0)</f>
        <v>#NAME?</v>
      </c>
      <c r="I2359" s="274"/>
      <c r="J2359" s="274" t="e">
        <f t="shared" ca="1" si="30"/>
        <v>#NAME?</v>
      </c>
      <c r="K2359" s="274">
        <f t="shared" si="31"/>
        <v>0</v>
      </c>
      <c r="N2359" s="274"/>
    </row>
    <row r="2360" spans="1:14" ht="13.5" customHeight="1">
      <c r="A2360" s="1"/>
      <c r="E2360" s="1" t="s">
        <v>251</v>
      </c>
      <c r="F2360" s="1" t="s">
        <v>2642</v>
      </c>
      <c r="G2360" s="406" t="str">
        <f t="shared" si="29"/>
        <v>11-12</v>
      </c>
      <c r="H2360" s="273" t="e">
        <f ca="1">_xludf.IFNA(VLOOKUP(Aragon!E2360,'Kilter Holds'!$P$37:$AB$662,5,0),0)+_xludf.IFNA(VLOOKUP(A2360,'Kilter Holds'!$P$37:$AB$662,5,0),0)</f>
        <v>#NAME?</v>
      </c>
      <c r="I2360" s="274"/>
      <c r="J2360" s="274" t="e">
        <f t="shared" ca="1" si="30"/>
        <v>#NAME?</v>
      </c>
      <c r="K2360" s="274">
        <f t="shared" si="31"/>
        <v>0</v>
      </c>
      <c r="N2360" s="274"/>
    </row>
    <row r="2361" spans="1:14" ht="13.5" customHeight="1">
      <c r="A2361" s="1"/>
      <c r="E2361" s="1" t="s">
        <v>251</v>
      </c>
      <c r="F2361" s="1" t="s">
        <v>2642</v>
      </c>
      <c r="G2361" s="408" t="str">
        <f t="shared" si="29"/>
        <v>14-01</v>
      </c>
      <c r="H2361" s="273" t="e">
        <f ca="1">_xludf.IFNA(VLOOKUP(Aragon!E2361,'Kilter Holds'!$P$37:$AB$662,6,0),0)+_xludf.IFNA(VLOOKUP(A2361,'Kilter Holds'!$P$37:$AB$662,6,0),0)</f>
        <v>#NAME?</v>
      </c>
      <c r="I2361" s="274"/>
      <c r="J2361" s="274" t="e">
        <f t="shared" ca="1" si="30"/>
        <v>#NAME?</v>
      </c>
      <c r="K2361" s="274">
        <f t="shared" si="31"/>
        <v>0</v>
      </c>
      <c r="N2361" s="274"/>
    </row>
    <row r="2362" spans="1:14" ht="13.5" customHeight="1">
      <c r="A2362" s="1"/>
      <c r="E2362" s="1" t="s">
        <v>251</v>
      </c>
      <c r="F2362" s="1" t="s">
        <v>2642</v>
      </c>
      <c r="G2362" s="409" t="str">
        <f t="shared" si="29"/>
        <v>15-12</v>
      </c>
      <c r="H2362" s="273" t="e">
        <f ca="1">_xludf.IFNA(VLOOKUP(Aragon!E2362,'Kilter Holds'!$P$37:$AB$662,7,0),0)+_xludf.IFNA(VLOOKUP(A2362,'Kilter Holds'!$P$37:$AB$662,7,0),0)</f>
        <v>#NAME?</v>
      </c>
      <c r="I2362" s="274"/>
      <c r="J2362" s="274" t="e">
        <f t="shared" ca="1" si="30"/>
        <v>#NAME?</v>
      </c>
      <c r="K2362" s="274">
        <f t="shared" si="31"/>
        <v>0</v>
      </c>
      <c r="N2362" s="274"/>
    </row>
    <row r="2363" spans="1:14" ht="13.5" customHeight="1">
      <c r="A2363" s="1"/>
      <c r="E2363" s="1" t="s">
        <v>251</v>
      </c>
      <c r="F2363" s="1" t="s">
        <v>2642</v>
      </c>
      <c r="G2363" s="410" t="str">
        <f t="shared" si="29"/>
        <v>16-16</v>
      </c>
      <c r="H2363" s="273" t="e">
        <f ca="1">_xludf.IFNA(VLOOKUP(Aragon!E2363,'Kilter Holds'!$P$37:$AB$662,8,0),0)+_xludf.IFNA(VLOOKUP(A2363,'Kilter Holds'!$P$37:$AB$662,8,0),0)</f>
        <v>#NAME?</v>
      </c>
      <c r="I2363" s="274"/>
      <c r="J2363" s="274" t="e">
        <f t="shared" ca="1" si="30"/>
        <v>#NAME?</v>
      </c>
      <c r="K2363" s="274">
        <f t="shared" si="31"/>
        <v>0</v>
      </c>
      <c r="N2363" s="274"/>
    </row>
    <row r="2364" spans="1:14" ht="13.5" customHeight="1">
      <c r="A2364" s="1"/>
      <c r="E2364" s="1" t="s">
        <v>251</v>
      </c>
      <c r="F2364" s="1" t="s">
        <v>2642</v>
      </c>
      <c r="G2364" s="411" t="str">
        <f t="shared" si="29"/>
        <v>13-01</v>
      </c>
      <c r="H2364" s="273" t="e">
        <f ca="1">_xludf.IFNA(VLOOKUP(Aragon!E2364,'Kilter Holds'!$P$37:$AB$662,9,0),0)+_xludf.IFNA(VLOOKUP(A2364,'Kilter Holds'!$P$37:$AB$662,9,0),0)</f>
        <v>#NAME?</v>
      </c>
      <c r="I2364" s="274"/>
      <c r="J2364" s="274" t="e">
        <f t="shared" ca="1" si="30"/>
        <v>#NAME?</v>
      </c>
      <c r="K2364" s="274">
        <f t="shared" si="31"/>
        <v>0</v>
      </c>
      <c r="N2364" s="274"/>
    </row>
    <row r="2365" spans="1:14" ht="13.5" customHeight="1">
      <c r="A2365" s="1"/>
      <c r="E2365" s="1" t="s">
        <v>251</v>
      </c>
      <c r="F2365" s="1" t="s">
        <v>2642</v>
      </c>
      <c r="G2365" s="413" t="str">
        <f t="shared" si="29"/>
        <v>07-13</v>
      </c>
      <c r="H2365" s="273" t="e">
        <f ca="1">_xludf.IFNA(VLOOKUP(Aragon!E2365,'Kilter Holds'!$P$37:$AB$662,10,0),0)+_xludf.IFNA(VLOOKUP(A2365,'Kilter Holds'!$P$37:$AB$662,10,0),0)</f>
        <v>#NAME?</v>
      </c>
      <c r="I2365" s="274"/>
      <c r="J2365" s="274" t="e">
        <f t="shared" ca="1" si="30"/>
        <v>#NAME?</v>
      </c>
      <c r="K2365" s="274">
        <f t="shared" si="31"/>
        <v>0</v>
      </c>
      <c r="N2365" s="274"/>
    </row>
    <row r="2366" spans="1:14" ht="13.5" customHeight="1">
      <c r="A2366" s="1"/>
      <c r="E2366" s="1" t="s">
        <v>251</v>
      </c>
      <c r="F2366" s="1" t="s">
        <v>2642</v>
      </c>
      <c r="G2366" s="414" t="str">
        <f t="shared" si="29"/>
        <v>11-26</v>
      </c>
      <c r="H2366" s="273" t="e">
        <f ca="1">_xludf.IFNA(VLOOKUP(Aragon!E2366,'Kilter Holds'!$P$37:$AB$662,11,0),0)+_xludf.IFNA(VLOOKUP(A2366,'Kilter Holds'!$P$37:$AB$662,11,0),0)</f>
        <v>#NAME?</v>
      </c>
      <c r="I2366" s="274"/>
      <c r="J2366" s="274" t="e">
        <f t="shared" ca="1" si="30"/>
        <v>#NAME?</v>
      </c>
      <c r="K2366" s="274">
        <f t="shared" si="31"/>
        <v>0</v>
      </c>
      <c r="N2366" s="274"/>
    </row>
    <row r="2367" spans="1:14" ht="13.5" customHeight="1">
      <c r="A2367" s="1"/>
      <c r="E2367" s="1" t="s">
        <v>251</v>
      </c>
      <c r="F2367" s="1" t="s">
        <v>2642</v>
      </c>
      <c r="G2367" s="415" t="str">
        <f t="shared" si="29"/>
        <v>18-01</v>
      </c>
      <c r="H2367" s="273" t="e">
        <f ca="1">_xludf.IFNA(VLOOKUP(Aragon!E2367,'Kilter Holds'!$P$37:$AB$662,12,0),0)+_xludf.IFNA(VLOOKUP(A2367,'Kilter Holds'!$P$37:$AB$662,12,0),0)</f>
        <v>#NAME?</v>
      </c>
      <c r="I2367" s="274"/>
      <c r="J2367" s="274" t="e">
        <f t="shared" ca="1" si="30"/>
        <v>#NAME?</v>
      </c>
      <c r="K2367" s="274">
        <f t="shared" si="31"/>
        <v>0</v>
      </c>
      <c r="N2367" s="274"/>
    </row>
    <row r="2368" spans="1:14" ht="13.5" customHeight="1">
      <c r="A2368" s="1"/>
      <c r="E2368" s="1" t="s">
        <v>251</v>
      </c>
      <c r="F2368" s="1" t="s">
        <v>2642</v>
      </c>
      <c r="G2368" s="416" t="str">
        <f t="shared" si="29"/>
        <v>Color Code</v>
      </c>
      <c r="H2368" s="273" t="e">
        <f ca="1">_xludf.IFNA(VLOOKUP(Aragon!E2368,'Kilter Holds'!$P$37:$AB$662,13,0),0)+_xludf.IFNA(VLOOKUP(A2368,'Kilter Holds'!$P$37:$AB$662,13,0),0)</f>
        <v>#NAME?</v>
      </c>
      <c r="I2368" s="274"/>
      <c r="J2368" s="274" t="e">
        <f t="shared" ca="1" si="30"/>
        <v>#NAME?</v>
      </c>
      <c r="K2368" s="274">
        <f t="shared" si="31"/>
        <v>0</v>
      </c>
      <c r="N2368" s="274"/>
    </row>
    <row r="2369" spans="1:14" ht="13.5" customHeight="1">
      <c r="A2369" s="1"/>
      <c r="E2369" s="1" t="s">
        <v>253</v>
      </c>
      <c r="F2369" s="1" t="s">
        <v>2643</v>
      </c>
      <c r="G2369" s="406" t="str">
        <f t="shared" si="29"/>
        <v>11-12</v>
      </c>
      <c r="H2369" s="273" t="e">
        <f ca="1">_xludf.IFNA(VLOOKUP(Aragon!E2369,'Kilter Holds'!$P$37:$AB$662,5,0),0)+_xludf.IFNA(VLOOKUP(A2369,'Kilter Holds'!$P$37:$AB$662,5,0),0)</f>
        <v>#NAME?</v>
      </c>
      <c r="I2369" s="274"/>
      <c r="J2369" s="274" t="e">
        <f t="shared" ca="1" si="30"/>
        <v>#NAME?</v>
      </c>
      <c r="K2369" s="274">
        <f t="shared" si="31"/>
        <v>0</v>
      </c>
      <c r="N2369" s="274"/>
    </row>
    <row r="2370" spans="1:14" ht="13.5" customHeight="1">
      <c r="A2370" s="1"/>
      <c r="E2370" s="1" t="s">
        <v>253</v>
      </c>
      <c r="F2370" s="1" t="s">
        <v>2643</v>
      </c>
      <c r="G2370" s="408" t="str">
        <f t="shared" si="29"/>
        <v>14-01</v>
      </c>
      <c r="H2370" s="273" t="e">
        <f ca="1">_xludf.IFNA(VLOOKUP(Aragon!E2370,'Kilter Holds'!$P$37:$AB$662,6,0),0)+_xludf.IFNA(VLOOKUP(A2370,'Kilter Holds'!$P$37:$AB$662,6,0),0)</f>
        <v>#NAME?</v>
      </c>
      <c r="I2370" s="274"/>
      <c r="J2370" s="274" t="e">
        <f t="shared" ca="1" si="30"/>
        <v>#NAME?</v>
      </c>
      <c r="K2370" s="274">
        <f t="shared" si="31"/>
        <v>0</v>
      </c>
      <c r="N2370" s="274"/>
    </row>
    <row r="2371" spans="1:14" ht="13.5" customHeight="1">
      <c r="A2371" s="1"/>
      <c r="E2371" s="1" t="s">
        <v>253</v>
      </c>
      <c r="F2371" s="1" t="s">
        <v>2643</v>
      </c>
      <c r="G2371" s="409" t="str">
        <f t="shared" si="29"/>
        <v>15-12</v>
      </c>
      <c r="H2371" s="273" t="e">
        <f ca="1">_xludf.IFNA(VLOOKUP(Aragon!E2371,'Kilter Holds'!$P$37:$AB$662,7,0),0)+_xludf.IFNA(VLOOKUP(A2371,'Kilter Holds'!$P$37:$AB$662,7,0),0)</f>
        <v>#NAME?</v>
      </c>
      <c r="I2371" s="274"/>
      <c r="J2371" s="274" t="e">
        <f t="shared" ca="1" si="30"/>
        <v>#NAME?</v>
      </c>
      <c r="K2371" s="274">
        <f t="shared" si="31"/>
        <v>0</v>
      </c>
      <c r="N2371" s="274"/>
    </row>
    <row r="2372" spans="1:14" ht="13.5" customHeight="1">
      <c r="A2372" s="1"/>
      <c r="E2372" s="1" t="s">
        <v>253</v>
      </c>
      <c r="F2372" s="1" t="s">
        <v>2643</v>
      </c>
      <c r="G2372" s="410" t="str">
        <f t="shared" si="29"/>
        <v>16-16</v>
      </c>
      <c r="H2372" s="273" t="e">
        <f ca="1">_xludf.IFNA(VLOOKUP(Aragon!E2372,'Kilter Holds'!$P$37:$AB$662,8,0),0)+_xludf.IFNA(VLOOKUP(A2372,'Kilter Holds'!$P$37:$AB$662,8,0),0)</f>
        <v>#NAME?</v>
      </c>
      <c r="I2372" s="274"/>
      <c r="J2372" s="274" t="e">
        <f t="shared" ca="1" si="30"/>
        <v>#NAME?</v>
      </c>
      <c r="K2372" s="274">
        <f t="shared" si="31"/>
        <v>0</v>
      </c>
      <c r="N2372" s="274"/>
    </row>
    <row r="2373" spans="1:14" ht="13.5" customHeight="1">
      <c r="A2373" s="1"/>
      <c r="E2373" s="1" t="s">
        <v>253</v>
      </c>
      <c r="F2373" s="1" t="s">
        <v>2643</v>
      </c>
      <c r="G2373" s="411" t="str">
        <f t="shared" si="29"/>
        <v>13-01</v>
      </c>
      <c r="H2373" s="273" t="e">
        <f ca="1">_xludf.IFNA(VLOOKUP(Aragon!E2373,'Kilter Holds'!$P$37:$AB$662,9,0),0)+_xludf.IFNA(VLOOKUP(A2373,'Kilter Holds'!$P$37:$AB$662,9,0),0)</f>
        <v>#NAME?</v>
      </c>
      <c r="I2373" s="274"/>
      <c r="J2373" s="274" t="e">
        <f t="shared" ca="1" si="30"/>
        <v>#NAME?</v>
      </c>
      <c r="K2373" s="274">
        <f t="shared" si="31"/>
        <v>0</v>
      </c>
      <c r="N2373" s="274"/>
    </row>
    <row r="2374" spans="1:14" ht="13.5" customHeight="1">
      <c r="A2374" s="1"/>
      <c r="E2374" s="1" t="s">
        <v>253</v>
      </c>
      <c r="F2374" s="1" t="s">
        <v>2643</v>
      </c>
      <c r="G2374" s="413" t="str">
        <f t="shared" si="29"/>
        <v>07-13</v>
      </c>
      <c r="H2374" s="273" t="e">
        <f ca="1">_xludf.IFNA(VLOOKUP(Aragon!E2374,'Kilter Holds'!$P$37:$AB$662,10,0),0)+_xludf.IFNA(VLOOKUP(A2374,'Kilter Holds'!$P$37:$AB$662,10,0),0)</f>
        <v>#NAME?</v>
      </c>
      <c r="I2374" s="274"/>
      <c r="J2374" s="274" t="e">
        <f t="shared" ca="1" si="30"/>
        <v>#NAME?</v>
      </c>
      <c r="K2374" s="274">
        <f t="shared" si="31"/>
        <v>0</v>
      </c>
      <c r="N2374" s="274"/>
    </row>
    <row r="2375" spans="1:14" ht="13.5" customHeight="1">
      <c r="A2375" s="1"/>
      <c r="E2375" s="1" t="s">
        <v>253</v>
      </c>
      <c r="F2375" s="1" t="s">
        <v>2643</v>
      </c>
      <c r="G2375" s="414" t="str">
        <f t="shared" si="29"/>
        <v>11-26</v>
      </c>
      <c r="H2375" s="273" t="e">
        <f ca="1">_xludf.IFNA(VLOOKUP(Aragon!E2375,'Kilter Holds'!$P$37:$AB$662,11,0),0)+_xludf.IFNA(VLOOKUP(A2375,'Kilter Holds'!$P$37:$AB$662,11,0),0)</f>
        <v>#NAME?</v>
      </c>
      <c r="I2375" s="274"/>
      <c r="J2375" s="274" t="e">
        <f t="shared" ca="1" si="30"/>
        <v>#NAME?</v>
      </c>
      <c r="K2375" s="274">
        <f t="shared" si="31"/>
        <v>0</v>
      </c>
      <c r="N2375" s="274"/>
    </row>
    <row r="2376" spans="1:14" ht="13.5" customHeight="1">
      <c r="A2376" s="1"/>
      <c r="E2376" s="1" t="s">
        <v>253</v>
      </c>
      <c r="F2376" s="1" t="s">
        <v>2643</v>
      </c>
      <c r="G2376" s="415" t="str">
        <f t="shared" si="29"/>
        <v>18-01</v>
      </c>
      <c r="H2376" s="273" t="e">
        <f ca="1">_xludf.IFNA(VLOOKUP(Aragon!E2376,'Kilter Holds'!$P$37:$AB$662,12,0),0)+_xludf.IFNA(VLOOKUP(A2376,'Kilter Holds'!$P$37:$AB$662,12,0),0)</f>
        <v>#NAME?</v>
      </c>
      <c r="I2376" s="274"/>
      <c r="J2376" s="274" t="e">
        <f t="shared" ca="1" si="30"/>
        <v>#NAME?</v>
      </c>
      <c r="K2376" s="274">
        <f t="shared" si="31"/>
        <v>0</v>
      </c>
      <c r="N2376" s="274"/>
    </row>
    <row r="2377" spans="1:14" ht="13.5" customHeight="1">
      <c r="A2377" s="1"/>
      <c r="E2377" s="1" t="s">
        <v>253</v>
      </c>
      <c r="F2377" s="1" t="s">
        <v>2643</v>
      </c>
      <c r="G2377" s="416" t="str">
        <f t="shared" si="29"/>
        <v>Color Code</v>
      </c>
      <c r="H2377" s="273" t="e">
        <f ca="1">_xludf.IFNA(VLOOKUP(Aragon!E2377,'Kilter Holds'!$P$37:$AB$662,13,0),0)+_xludf.IFNA(VLOOKUP(A2377,'Kilter Holds'!$P$37:$AB$662,13,0),0)</f>
        <v>#NAME?</v>
      </c>
      <c r="I2377" s="274"/>
      <c r="J2377" s="274" t="e">
        <f t="shared" ca="1" si="30"/>
        <v>#NAME?</v>
      </c>
      <c r="K2377" s="274">
        <f t="shared" si="31"/>
        <v>0</v>
      </c>
      <c r="N2377" s="274"/>
    </row>
    <row r="2378" spans="1:14" ht="13.5" customHeight="1">
      <c r="A2378" s="1"/>
      <c r="E2378" s="1" t="s">
        <v>155</v>
      </c>
      <c r="F2378" s="1" t="s">
        <v>2644</v>
      </c>
      <c r="G2378" s="406" t="str">
        <f t="shared" si="29"/>
        <v>11-12</v>
      </c>
      <c r="H2378" s="273" t="e">
        <f ca="1">_xludf.IFNA(VLOOKUP(Aragon!E2378,'Kilter Holds'!$P$37:$AB$662,5,0),0)+_xludf.IFNA(VLOOKUP(A2378,'Kilter Holds'!$P$37:$AB$662,5,0),0)</f>
        <v>#NAME?</v>
      </c>
      <c r="I2378" s="274"/>
      <c r="J2378" s="274" t="e">
        <f t="shared" ca="1" si="30"/>
        <v>#NAME?</v>
      </c>
      <c r="K2378" s="274">
        <f t="shared" si="31"/>
        <v>0</v>
      </c>
      <c r="N2378" s="274"/>
    </row>
    <row r="2379" spans="1:14" ht="13.5" customHeight="1">
      <c r="A2379" s="1"/>
      <c r="E2379" s="1" t="s">
        <v>155</v>
      </c>
      <c r="F2379" s="1" t="s">
        <v>2644</v>
      </c>
      <c r="G2379" s="408" t="str">
        <f t="shared" si="29"/>
        <v>14-01</v>
      </c>
      <c r="H2379" s="273" t="e">
        <f ca="1">_xludf.IFNA(VLOOKUP(Aragon!E2379,'Kilter Holds'!$P$37:$AB$662,6,0),0)+_xludf.IFNA(VLOOKUP(A2379,'Kilter Holds'!$P$37:$AB$662,6,0),0)</f>
        <v>#NAME?</v>
      </c>
      <c r="I2379" s="274"/>
      <c r="J2379" s="274" t="e">
        <f t="shared" ca="1" si="30"/>
        <v>#NAME?</v>
      </c>
      <c r="K2379" s="274">
        <f t="shared" si="31"/>
        <v>0</v>
      </c>
      <c r="N2379" s="274"/>
    </row>
    <row r="2380" spans="1:14" ht="13.5" customHeight="1">
      <c r="A2380" s="1"/>
      <c r="E2380" s="1" t="s">
        <v>155</v>
      </c>
      <c r="F2380" s="1" t="s">
        <v>2644</v>
      </c>
      <c r="G2380" s="409" t="str">
        <f t="shared" si="29"/>
        <v>15-12</v>
      </c>
      <c r="H2380" s="273" t="e">
        <f ca="1">_xludf.IFNA(VLOOKUP(Aragon!E2380,'Kilter Holds'!$P$37:$AB$662,7,0),0)+_xludf.IFNA(VLOOKUP(A2380,'Kilter Holds'!$P$37:$AB$662,7,0),0)</f>
        <v>#NAME?</v>
      </c>
      <c r="I2380" s="274"/>
      <c r="J2380" s="274" t="e">
        <f t="shared" ca="1" si="30"/>
        <v>#NAME?</v>
      </c>
      <c r="K2380" s="274">
        <f t="shared" si="31"/>
        <v>0</v>
      </c>
      <c r="N2380" s="274"/>
    </row>
    <row r="2381" spans="1:14" ht="13.5" customHeight="1">
      <c r="A2381" s="1"/>
      <c r="E2381" s="1" t="s">
        <v>155</v>
      </c>
      <c r="F2381" s="1" t="s">
        <v>2644</v>
      </c>
      <c r="G2381" s="410" t="str">
        <f t="shared" si="29"/>
        <v>16-16</v>
      </c>
      <c r="H2381" s="273" t="e">
        <f ca="1">_xludf.IFNA(VLOOKUP(Aragon!E2381,'Kilter Holds'!$P$37:$AB$662,8,0),0)+_xludf.IFNA(VLOOKUP(A2381,'Kilter Holds'!$P$37:$AB$662,8,0),0)</f>
        <v>#NAME?</v>
      </c>
      <c r="I2381" s="274"/>
      <c r="J2381" s="274" t="e">
        <f t="shared" ca="1" si="30"/>
        <v>#NAME?</v>
      </c>
      <c r="K2381" s="274">
        <f t="shared" si="31"/>
        <v>0</v>
      </c>
      <c r="N2381" s="274"/>
    </row>
    <row r="2382" spans="1:14" ht="13.5" customHeight="1">
      <c r="A2382" s="1"/>
      <c r="E2382" s="1" t="s">
        <v>155</v>
      </c>
      <c r="F2382" s="1" t="s">
        <v>2644</v>
      </c>
      <c r="G2382" s="411" t="str">
        <f t="shared" si="29"/>
        <v>13-01</v>
      </c>
      <c r="H2382" s="273" t="e">
        <f ca="1">_xludf.IFNA(VLOOKUP(Aragon!E2382,'Kilter Holds'!$P$37:$AB$662,9,0),0)+_xludf.IFNA(VLOOKUP(A2382,'Kilter Holds'!$P$37:$AB$662,9,0),0)</f>
        <v>#NAME?</v>
      </c>
      <c r="I2382" s="274"/>
      <c r="J2382" s="274" t="e">
        <f t="shared" ca="1" si="30"/>
        <v>#NAME?</v>
      </c>
      <c r="K2382" s="274">
        <f t="shared" si="31"/>
        <v>0</v>
      </c>
      <c r="N2382" s="274"/>
    </row>
    <row r="2383" spans="1:14" ht="13.5" customHeight="1">
      <c r="A2383" s="1"/>
      <c r="E2383" s="1" t="s">
        <v>155</v>
      </c>
      <c r="F2383" s="1" t="s">
        <v>2644</v>
      </c>
      <c r="G2383" s="413" t="str">
        <f t="shared" si="29"/>
        <v>07-13</v>
      </c>
      <c r="H2383" s="273" t="e">
        <f ca="1">_xludf.IFNA(VLOOKUP(Aragon!E2383,'Kilter Holds'!$P$37:$AB$662,10,0),0)+_xludf.IFNA(VLOOKUP(A2383,'Kilter Holds'!$P$37:$AB$662,10,0),0)</f>
        <v>#NAME?</v>
      </c>
      <c r="I2383" s="274"/>
      <c r="J2383" s="274" t="e">
        <f t="shared" ca="1" si="30"/>
        <v>#NAME?</v>
      </c>
      <c r="K2383" s="274">
        <f t="shared" si="31"/>
        <v>0</v>
      </c>
      <c r="N2383" s="274"/>
    </row>
    <row r="2384" spans="1:14" ht="13.5" customHeight="1">
      <c r="A2384" s="1"/>
      <c r="E2384" s="1" t="s">
        <v>155</v>
      </c>
      <c r="F2384" s="1" t="s">
        <v>2644</v>
      </c>
      <c r="G2384" s="414" t="str">
        <f t="shared" si="29"/>
        <v>11-26</v>
      </c>
      <c r="H2384" s="273" t="e">
        <f ca="1">_xludf.IFNA(VLOOKUP(Aragon!E2384,'Kilter Holds'!$P$37:$AB$662,11,0),0)+_xludf.IFNA(VLOOKUP(A2384,'Kilter Holds'!$P$37:$AB$662,11,0),0)</f>
        <v>#NAME?</v>
      </c>
      <c r="I2384" s="274"/>
      <c r="J2384" s="274" t="e">
        <f t="shared" ca="1" si="30"/>
        <v>#NAME?</v>
      </c>
      <c r="K2384" s="274">
        <f t="shared" si="31"/>
        <v>0</v>
      </c>
      <c r="N2384" s="274"/>
    </row>
    <row r="2385" spans="1:14" ht="13.5" customHeight="1">
      <c r="A2385" s="1"/>
      <c r="E2385" s="1" t="s">
        <v>155</v>
      </c>
      <c r="F2385" s="1" t="s">
        <v>2644</v>
      </c>
      <c r="G2385" s="415" t="str">
        <f t="shared" si="29"/>
        <v>18-01</v>
      </c>
      <c r="H2385" s="273" t="e">
        <f ca="1">_xludf.IFNA(VLOOKUP(Aragon!E2385,'Kilter Holds'!$P$37:$AB$662,12,0),0)+_xludf.IFNA(VLOOKUP(A2385,'Kilter Holds'!$P$37:$AB$662,12,0),0)</f>
        <v>#NAME?</v>
      </c>
      <c r="I2385" s="274"/>
      <c r="J2385" s="274" t="e">
        <f t="shared" ca="1" si="30"/>
        <v>#NAME?</v>
      </c>
      <c r="K2385" s="274">
        <f t="shared" si="31"/>
        <v>0</v>
      </c>
      <c r="N2385" s="274"/>
    </row>
    <row r="2386" spans="1:14" ht="13.5" customHeight="1">
      <c r="A2386" s="1"/>
      <c r="E2386" s="1" t="s">
        <v>155</v>
      </c>
      <c r="F2386" s="1" t="s">
        <v>2644</v>
      </c>
      <c r="G2386" s="416" t="str">
        <f t="shared" si="29"/>
        <v>Color Code</v>
      </c>
      <c r="H2386" s="273" t="e">
        <f ca="1">_xludf.IFNA(VLOOKUP(Aragon!E2386,'Kilter Holds'!$P$37:$AB$662,13,0),0)+_xludf.IFNA(VLOOKUP(A2386,'Kilter Holds'!$P$37:$AB$662,13,0),0)</f>
        <v>#NAME?</v>
      </c>
      <c r="I2386" s="274"/>
      <c r="J2386" s="274" t="e">
        <f t="shared" ca="1" si="30"/>
        <v>#NAME?</v>
      </c>
      <c r="K2386" s="274">
        <f t="shared" si="31"/>
        <v>0</v>
      </c>
      <c r="N2386" s="274"/>
    </row>
    <row r="2387" spans="1:14" ht="13.5" customHeight="1">
      <c r="A2387" s="1"/>
      <c r="E2387" s="1" t="s">
        <v>255</v>
      </c>
      <c r="F2387" s="1" t="s">
        <v>2645</v>
      </c>
      <c r="G2387" s="406" t="str">
        <f t="shared" si="29"/>
        <v>11-12</v>
      </c>
      <c r="H2387" s="273" t="e">
        <f ca="1">_xludf.IFNA(VLOOKUP(Aragon!E2387,'Kilter Holds'!$P$37:$AB$662,5,0),0)+_xludf.IFNA(VLOOKUP(A2387,'Kilter Holds'!$P$37:$AB$662,5,0),0)</f>
        <v>#NAME?</v>
      </c>
      <c r="I2387" s="274"/>
      <c r="J2387" s="274" t="e">
        <f t="shared" ca="1" si="30"/>
        <v>#NAME?</v>
      </c>
      <c r="K2387" s="274">
        <f t="shared" si="31"/>
        <v>0</v>
      </c>
      <c r="N2387" s="274"/>
    </row>
    <row r="2388" spans="1:14" ht="13.5" customHeight="1">
      <c r="A2388" s="1"/>
      <c r="E2388" s="1" t="s">
        <v>255</v>
      </c>
      <c r="F2388" s="1" t="s">
        <v>2645</v>
      </c>
      <c r="G2388" s="408" t="str">
        <f t="shared" si="29"/>
        <v>14-01</v>
      </c>
      <c r="H2388" s="273" t="e">
        <f ca="1">_xludf.IFNA(VLOOKUP(Aragon!E2388,'Kilter Holds'!$P$37:$AB$662,6,0),0)+_xludf.IFNA(VLOOKUP(A2388,'Kilter Holds'!$P$37:$AB$662,6,0),0)</f>
        <v>#NAME?</v>
      </c>
      <c r="I2388" s="274"/>
      <c r="J2388" s="274" t="e">
        <f t="shared" ca="1" si="30"/>
        <v>#NAME?</v>
      </c>
      <c r="K2388" s="274">
        <f t="shared" si="31"/>
        <v>0</v>
      </c>
      <c r="N2388" s="274"/>
    </row>
    <row r="2389" spans="1:14" ht="13.5" customHeight="1">
      <c r="A2389" s="1"/>
      <c r="E2389" s="1" t="s">
        <v>255</v>
      </c>
      <c r="F2389" s="1" t="s">
        <v>2645</v>
      </c>
      <c r="G2389" s="409" t="str">
        <f t="shared" si="29"/>
        <v>15-12</v>
      </c>
      <c r="H2389" s="273" t="e">
        <f ca="1">_xludf.IFNA(VLOOKUP(Aragon!E2389,'Kilter Holds'!$P$37:$AB$662,7,0),0)+_xludf.IFNA(VLOOKUP(A2389,'Kilter Holds'!$P$37:$AB$662,7,0),0)</f>
        <v>#NAME?</v>
      </c>
      <c r="I2389" s="274"/>
      <c r="J2389" s="274" t="e">
        <f t="shared" ca="1" si="30"/>
        <v>#NAME?</v>
      </c>
      <c r="K2389" s="274">
        <f t="shared" si="31"/>
        <v>0</v>
      </c>
      <c r="N2389" s="274"/>
    </row>
    <row r="2390" spans="1:14" ht="13.5" customHeight="1">
      <c r="A2390" s="1"/>
      <c r="E2390" s="1" t="s">
        <v>255</v>
      </c>
      <c r="F2390" s="1" t="s">
        <v>2645</v>
      </c>
      <c r="G2390" s="410" t="str">
        <f t="shared" si="29"/>
        <v>16-16</v>
      </c>
      <c r="H2390" s="273" t="e">
        <f ca="1">_xludf.IFNA(VLOOKUP(Aragon!E2390,'Kilter Holds'!$P$37:$AB$662,8,0),0)+_xludf.IFNA(VLOOKUP(A2390,'Kilter Holds'!$P$37:$AB$662,8,0),0)</f>
        <v>#NAME?</v>
      </c>
      <c r="I2390" s="274"/>
      <c r="J2390" s="274" t="e">
        <f t="shared" ca="1" si="30"/>
        <v>#NAME?</v>
      </c>
      <c r="K2390" s="274">
        <f t="shared" si="31"/>
        <v>0</v>
      </c>
      <c r="N2390" s="274"/>
    </row>
    <row r="2391" spans="1:14" ht="13.5" customHeight="1">
      <c r="A2391" s="1"/>
      <c r="E2391" s="1" t="s">
        <v>255</v>
      </c>
      <c r="F2391" s="1" t="s">
        <v>2645</v>
      </c>
      <c r="G2391" s="411" t="str">
        <f t="shared" si="29"/>
        <v>13-01</v>
      </c>
      <c r="H2391" s="273" t="e">
        <f ca="1">_xludf.IFNA(VLOOKUP(Aragon!E2391,'Kilter Holds'!$P$37:$AB$662,9,0),0)+_xludf.IFNA(VLOOKUP(A2391,'Kilter Holds'!$P$37:$AB$662,9,0),0)</f>
        <v>#NAME?</v>
      </c>
      <c r="I2391" s="274"/>
      <c r="J2391" s="274" t="e">
        <f t="shared" ca="1" si="30"/>
        <v>#NAME?</v>
      </c>
      <c r="K2391" s="274">
        <f t="shared" si="31"/>
        <v>0</v>
      </c>
      <c r="N2391" s="274"/>
    </row>
    <row r="2392" spans="1:14" ht="13.5" customHeight="1">
      <c r="A2392" s="1"/>
      <c r="E2392" s="1" t="s">
        <v>255</v>
      </c>
      <c r="F2392" s="1" t="s">
        <v>2645</v>
      </c>
      <c r="G2392" s="413" t="str">
        <f t="shared" si="29"/>
        <v>07-13</v>
      </c>
      <c r="H2392" s="273" t="e">
        <f ca="1">_xludf.IFNA(VLOOKUP(Aragon!E2392,'Kilter Holds'!$P$37:$AB$662,10,0),0)+_xludf.IFNA(VLOOKUP(A2392,'Kilter Holds'!$P$37:$AB$662,10,0),0)</f>
        <v>#NAME?</v>
      </c>
      <c r="I2392" s="274"/>
      <c r="J2392" s="274" t="e">
        <f t="shared" ca="1" si="30"/>
        <v>#NAME?</v>
      </c>
      <c r="K2392" s="274">
        <f t="shared" si="31"/>
        <v>0</v>
      </c>
      <c r="N2392" s="274"/>
    </row>
    <row r="2393" spans="1:14" ht="13.5" customHeight="1">
      <c r="A2393" s="1"/>
      <c r="E2393" s="1" t="s">
        <v>255</v>
      </c>
      <c r="F2393" s="1" t="s">
        <v>2645</v>
      </c>
      <c r="G2393" s="414" t="str">
        <f t="shared" si="29"/>
        <v>11-26</v>
      </c>
      <c r="H2393" s="273" t="e">
        <f ca="1">_xludf.IFNA(VLOOKUP(Aragon!E2393,'Kilter Holds'!$P$37:$AB$662,11,0),0)+_xludf.IFNA(VLOOKUP(A2393,'Kilter Holds'!$P$37:$AB$662,11,0),0)</f>
        <v>#NAME?</v>
      </c>
      <c r="I2393" s="274"/>
      <c r="J2393" s="274" t="e">
        <f t="shared" ca="1" si="30"/>
        <v>#NAME?</v>
      </c>
      <c r="K2393" s="274">
        <f t="shared" si="31"/>
        <v>0</v>
      </c>
      <c r="N2393" s="274"/>
    </row>
    <row r="2394" spans="1:14" ht="13.5" customHeight="1">
      <c r="A2394" s="1"/>
      <c r="E2394" s="1" t="s">
        <v>255</v>
      </c>
      <c r="F2394" s="1" t="s">
        <v>2645</v>
      </c>
      <c r="G2394" s="415" t="str">
        <f t="shared" si="29"/>
        <v>18-01</v>
      </c>
      <c r="H2394" s="273" t="e">
        <f ca="1">_xludf.IFNA(VLOOKUP(Aragon!E2394,'Kilter Holds'!$P$37:$AB$662,12,0),0)+_xludf.IFNA(VLOOKUP(A2394,'Kilter Holds'!$P$37:$AB$662,12,0),0)</f>
        <v>#NAME?</v>
      </c>
      <c r="I2394" s="274"/>
      <c r="J2394" s="274" t="e">
        <f t="shared" ca="1" si="30"/>
        <v>#NAME?</v>
      </c>
      <c r="K2394" s="274">
        <f t="shared" si="31"/>
        <v>0</v>
      </c>
      <c r="N2394" s="274"/>
    </row>
    <row r="2395" spans="1:14" ht="13.5" customHeight="1">
      <c r="A2395" s="1"/>
      <c r="E2395" s="1" t="s">
        <v>255</v>
      </c>
      <c r="F2395" s="1" t="s">
        <v>2645</v>
      </c>
      <c r="G2395" s="416" t="str">
        <f t="shared" si="29"/>
        <v>Color Code</v>
      </c>
      <c r="H2395" s="273" t="e">
        <f ca="1">_xludf.IFNA(VLOOKUP(Aragon!E2395,'Kilter Holds'!$P$37:$AB$662,13,0),0)+_xludf.IFNA(VLOOKUP(A2395,'Kilter Holds'!$P$37:$AB$662,13,0),0)</f>
        <v>#NAME?</v>
      </c>
      <c r="I2395" s="274"/>
      <c r="J2395" s="274" t="e">
        <f t="shared" ca="1" si="30"/>
        <v>#NAME?</v>
      </c>
      <c r="K2395" s="274">
        <f t="shared" si="31"/>
        <v>0</v>
      </c>
      <c r="N2395" s="274"/>
    </row>
    <row r="2396" spans="1:14" ht="13.5" customHeight="1">
      <c r="A2396" s="1"/>
      <c r="E2396" s="1" t="s">
        <v>347</v>
      </c>
      <c r="F2396" s="1" t="s">
        <v>2646</v>
      </c>
      <c r="G2396" s="406" t="str">
        <f t="shared" si="29"/>
        <v>11-12</v>
      </c>
      <c r="H2396" s="273" t="e">
        <f ca="1">_xludf.IFNA(VLOOKUP(Aragon!E2396,'Kilter Holds'!$P$37:$AB$662,5,0),0)+_xludf.IFNA(VLOOKUP(A2396,'Kilter Holds'!$P$37:$AB$662,5,0),0)</f>
        <v>#NAME?</v>
      </c>
      <c r="I2396" s="274"/>
      <c r="J2396" s="274" t="e">
        <f t="shared" ca="1" si="30"/>
        <v>#NAME?</v>
      </c>
      <c r="K2396" s="274">
        <f t="shared" si="31"/>
        <v>0</v>
      </c>
      <c r="N2396" s="274"/>
    </row>
    <row r="2397" spans="1:14" ht="13.5" customHeight="1">
      <c r="A2397" s="1"/>
      <c r="E2397" s="1" t="s">
        <v>347</v>
      </c>
      <c r="F2397" s="1" t="s">
        <v>2646</v>
      </c>
      <c r="G2397" s="408" t="str">
        <f t="shared" si="29"/>
        <v>14-01</v>
      </c>
      <c r="H2397" s="273" t="e">
        <f ca="1">_xludf.IFNA(VLOOKUP(Aragon!E2397,'Kilter Holds'!$P$37:$AB$662,6,0),0)+_xludf.IFNA(VLOOKUP(A2397,'Kilter Holds'!$P$37:$AB$662,6,0),0)</f>
        <v>#NAME?</v>
      </c>
      <c r="I2397" s="274"/>
      <c r="J2397" s="274" t="e">
        <f t="shared" ca="1" si="30"/>
        <v>#NAME?</v>
      </c>
      <c r="K2397" s="274">
        <f t="shared" si="31"/>
        <v>0</v>
      </c>
      <c r="N2397" s="274"/>
    </row>
    <row r="2398" spans="1:14" ht="13.5" customHeight="1">
      <c r="A2398" s="1"/>
      <c r="E2398" s="1" t="s">
        <v>347</v>
      </c>
      <c r="F2398" s="1" t="s">
        <v>2646</v>
      </c>
      <c r="G2398" s="409" t="str">
        <f t="shared" si="29"/>
        <v>15-12</v>
      </c>
      <c r="H2398" s="273" t="e">
        <f ca="1">_xludf.IFNA(VLOOKUP(Aragon!E2398,'Kilter Holds'!$P$37:$AB$662,7,0),0)+_xludf.IFNA(VLOOKUP(A2398,'Kilter Holds'!$P$37:$AB$662,7,0),0)</f>
        <v>#NAME?</v>
      </c>
      <c r="I2398" s="274"/>
      <c r="J2398" s="274" t="e">
        <f t="shared" ca="1" si="30"/>
        <v>#NAME?</v>
      </c>
      <c r="K2398" s="274">
        <f t="shared" si="31"/>
        <v>0</v>
      </c>
      <c r="N2398" s="274"/>
    </row>
    <row r="2399" spans="1:14" ht="13.5" customHeight="1">
      <c r="A2399" s="1"/>
      <c r="E2399" s="1" t="s">
        <v>347</v>
      </c>
      <c r="F2399" s="1" t="s">
        <v>2646</v>
      </c>
      <c r="G2399" s="410" t="str">
        <f t="shared" si="29"/>
        <v>16-16</v>
      </c>
      <c r="H2399" s="273" t="e">
        <f ca="1">_xludf.IFNA(VLOOKUP(Aragon!E2399,'Kilter Holds'!$P$37:$AB$662,8,0),0)+_xludf.IFNA(VLOOKUP(A2399,'Kilter Holds'!$P$37:$AB$662,8,0),0)</f>
        <v>#NAME?</v>
      </c>
      <c r="I2399" s="274"/>
      <c r="J2399" s="274" t="e">
        <f t="shared" ca="1" si="30"/>
        <v>#NAME?</v>
      </c>
      <c r="K2399" s="274">
        <f t="shared" si="31"/>
        <v>0</v>
      </c>
      <c r="N2399" s="274"/>
    </row>
    <row r="2400" spans="1:14" ht="13.5" customHeight="1">
      <c r="A2400" s="1"/>
      <c r="E2400" s="1" t="s">
        <v>347</v>
      </c>
      <c r="F2400" s="1" t="s">
        <v>2646</v>
      </c>
      <c r="G2400" s="411" t="str">
        <f t="shared" si="29"/>
        <v>13-01</v>
      </c>
      <c r="H2400" s="273" t="e">
        <f ca="1">_xludf.IFNA(VLOOKUP(Aragon!E2400,'Kilter Holds'!$P$37:$AB$662,9,0),0)+_xludf.IFNA(VLOOKUP(A2400,'Kilter Holds'!$P$37:$AB$662,9,0),0)</f>
        <v>#NAME?</v>
      </c>
      <c r="I2400" s="274"/>
      <c r="J2400" s="274" t="e">
        <f t="shared" ca="1" si="30"/>
        <v>#NAME?</v>
      </c>
      <c r="K2400" s="274">
        <f t="shared" si="31"/>
        <v>0</v>
      </c>
      <c r="N2400" s="274"/>
    </row>
    <row r="2401" spans="1:14" ht="13.5" customHeight="1">
      <c r="A2401" s="1"/>
      <c r="E2401" s="1" t="s">
        <v>347</v>
      </c>
      <c r="F2401" s="1" t="s">
        <v>2646</v>
      </c>
      <c r="G2401" s="413" t="str">
        <f t="shared" si="29"/>
        <v>07-13</v>
      </c>
      <c r="H2401" s="273" t="e">
        <f ca="1">_xludf.IFNA(VLOOKUP(Aragon!E2401,'Kilter Holds'!$P$37:$AB$662,10,0),0)+_xludf.IFNA(VLOOKUP(A2401,'Kilter Holds'!$P$37:$AB$662,10,0),0)</f>
        <v>#NAME?</v>
      </c>
      <c r="I2401" s="274"/>
      <c r="J2401" s="274" t="e">
        <f t="shared" ca="1" si="30"/>
        <v>#NAME?</v>
      </c>
      <c r="K2401" s="274">
        <f t="shared" si="31"/>
        <v>0</v>
      </c>
      <c r="N2401" s="274"/>
    </row>
    <row r="2402" spans="1:14" ht="13.5" customHeight="1">
      <c r="A2402" s="1"/>
      <c r="E2402" s="1" t="s">
        <v>347</v>
      </c>
      <c r="F2402" s="1" t="s">
        <v>2646</v>
      </c>
      <c r="G2402" s="414" t="str">
        <f t="shared" si="29"/>
        <v>11-26</v>
      </c>
      <c r="H2402" s="273" t="e">
        <f ca="1">_xludf.IFNA(VLOOKUP(Aragon!E2402,'Kilter Holds'!$P$37:$AB$662,11,0),0)+_xludf.IFNA(VLOOKUP(A2402,'Kilter Holds'!$P$37:$AB$662,11,0),0)</f>
        <v>#NAME?</v>
      </c>
      <c r="I2402" s="274"/>
      <c r="J2402" s="274" t="e">
        <f t="shared" ca="1" si="30"/>
        <v>#NAME?</v>
      </c>
      <c r="K2402" s="274">
        <f t="shared" si="31"/>
        <v>0</v>
      </c>
      <c r="N2402" s="274"/>
    </row>
    <row r="2403" spans="1:14" ht="13.5" customHeight="1">
      <c r="A2403" s="1"/>
      <c r="E2403" s="1" t="s">
        <v>347</v>
      </c>
      <c r="F2403" s="1" t="s">
        <v>2646</v>
      </c>
      <c r="G2403" s="415" t="str">
        <f t="shared" si="29"/>
        <v>18-01</v>
      </c>
      <c r="H2403" s="273" t="e">
        <f ca="1">_xludf.IFNA(VLOOKUP(Aragon!E2403,'Kilter Holds'!$P$37:$AB$662,12,0),0)+_xludf.IFNA(VLOOKUP(A2403,'Kilter Holds'!$P$37:$AB$662,12,0),0)</f>
        <v>#NAME?</v>
      </c>
      <c r="I2403" s="274"/>
      <c r="J2403" s="274" t="e">
        <f t="shared" ca="1" si="30"/>
        <v>#NAME?</v>
      </c>
      <c r="K2403" s="274">
        <f t="shared" si="31"/>
        <v>0</v>
      </c>
      <c r="N2403" s="274"/>
    </row>
    <row r="2404" spans="1:14" ht="13.5" customHeight="1">
      <c r="A2404" s="1"/>
      <c r="E2404" s="1" t="s">
        <v>347</v>
      </c>
      <c r="F2404" s="1" t="s">
        <v>2646</v>
      </c>
      <c r="G2404" s="416" t="str">
        <f t="shared" si="29"/>
        <v>Color Code</v>
      </c>
      <c r="H2404" s="273" t="e">
        <f ca="1">_xludf.IFNA(VLOOKUP(Aragon!E2404,'Kilter Holds'!$P$37:$AB$662,13,0),0)+_xludf.IFNA(VLOOKUP(A2404,'Kilter Holds'!$P$37:$AB$662,13,0),0)</f>
        <v>#NAME?</v>
      </c>
      <c r="I2404" s="274"/>
      <c r="J2404" s="274" t="e">
        <f t="shared" ca="1" si="30"/>
        <v>#NAME?</v>
      </c>
      <c r="K2404" s="274">
        <f t="shared" si="31"/>
        <v>0</v>
      </c>
      <c r="N2404" s="274"/>
    </row>
    <row r="2405" spans="1:14" ht="13.5" customHeight="1">
      <c r="A2405" s="1"/>
      <c r="E2405" s="1" t="s">
        <v>284</v>
      </c>
      <c r="F2405" s="1" t="s">
        <v>2647</v>
      </c>
      <c r="G2405" s="406" t="str">
        <f t="shared" si="29"/>
        <v>11-12</v>
      </c>
      <c r="H2405" s="273" t="e">
        <f ca="1">_xludf.IFNA(VLOOKUP(Aragon!E2405,'Kilter Holds'!$P$37:$AB$662,5,0),0)+_xludf.IFNA(VLOOKUP(A2405,'Kilter Holds'!$P$37:$AB$662,5,0),0)</f>
        <v>#NAME?</v>
      </c>
      <c r="I2405" s="274"/>
      <c r="J2405" s="274" t="e">
        <f t="shared" ca="1" si="30"/>
        <v>#NAME?</v>
      </c>
      <c r="K2405" s="274">
        <f t="shared" si="31"/>
        <v>0</v>
      </c>
      <c r="N2405" s="274"/>
    </row>
    <row r="2406" spans="1:14" ht="13.5" customHeight="1">
      <c r="A2406" s="1"/>
      <c r="E2406" s="1" t="s">
        <v>284</v>
      </c>
      <c r="F2406" s="1" t="s">
        <v>2647</v>
      </c>
      <c r="G2406" s="408" t="str">
        <f t="shared" si="29"/>
        <v>14-01</v>
      </c>
      <c r="H2406" s="273" t="e">
        <f ca="1">_xludf.IFNA(VLOOKUP(Aragon!E2406,'Kilter Holds'!$P$37:$AB$662,6,0),0)+_xludf.IFNA(VLOOKUP(A2406,'Kilter Holds'!$P$37:$AB$662,6,0),0)</f>
        <v>#NAME?</v>
      </c>
      <c r="I2406" s="274"/>
      <c r="J2406" s="274" t="e">
        <f t="shared" ca="1" si="30"/>
        <v>#NAME?</v>
      </c>
      <c r="K2406" s="274">
        <f t="shared" si="31"/>
        <v>0</v>
      </c>
      <c r="N2406" s="274"/>
    </row>
    <row r="2407" spans="1:14" ht="13.5" customHeight="1">
      <c r="A2407" s="1"/>
      <c r="E2407" s="1" t="s">
        <v>284</v>
      </c>
      <c r="F2407" s="1" t="s">
        <v>2647</v>
      </c>
      <c r="G2407" s="409" t="str">
        <f t="shared" si="29"/>
        <v>15-12</v>
      </c>
      <c r="H2407" s="273" t="e">
        <f ca="1">_xludf.IFNA(VLOOKUP(Aragon!E2407,'Kilter Holds'!$P$37:$AB$662,7,0),0)+_xludf.IFNA(VLOOKUP(A2407,'Kilter Holds'!$P$37:$AB$662,7,0),0)</f>
        <v>#NAME?</v>
      </c>
      <c r="I2407" s="274"/>
      <c r="J2407" s="274" t="e">
        <f t="shared" ca="1" si="30"/>
        <v>#NAME?</v>
      </c>
      <c r="K2407" s="274">
        <f t="shared" si="31"/>
        <v>0</v>
      </c>
      <c r="N2407" s="274"/>
    </row>
    <row r="2408" spans="1:14" ht="13.5" customHeight="1">
      <c r="A2408" s="1"/>
      <c r="E2408" s="1" t="s">
        <v>284</v>
      </c>
      <c r="F2408" s="1" t="s">
        <v>2647</v>
      </c>
      <c r="G2408" s="410" t="str">
        <f t="shared" si="29"/>
        <v>16-16</v>
      </c>
      <c r="H2408" s="273" t="e">
        <f ca="1">_xludf.IFNA(VLOOKUP(Aragon!E2408,'Kilter Holds'!$P$37:$AB$662,8,0),0)+_xludf.IFNA(VLOOKUP(A2408,'Kilter Holds'!$P$37:$AB$662,8,0),0)</f>
        <v>#NAME?</v>
      </c>
      <c r="I2408" s="274"/>
      <c r="J2408" s="274" t="e">
        <f t="shared" ca="1" si="30"/>
        <v>#NAME?</v>
      </c>
      <c r="K2408" s="274">
        <f t="shared" si="31"/>
        <v>0</v>
      </c>
      <c r="N2408" s="274"/>
    </row>
    <row r="2409" spans="1:14" ht="13.5" customHeight="1">
      <c r="A2409" s="1"/>
      <c r="E2409" s="1" t="s">
        <v>284</v>
      </c>
      <c r="F2409" s="1" t="s">
        <v>2647</v>
      </c>
      <c r="G2409" s="411" t="str">
        <f t="shared" si="29"/>
        <v>13-01</v>
      </c>
      <c r="H2409" s="273" t="e">
        <f ca="1">_xludf.IFNA(VLOOKUP(Aragon!E2409,'Kilter Holds'!$P$37:$AB$662,9,0),0)+_xludf.IFNA(VLOOKUP(A2409,'Kilter Holds'!$P$37:$AB$662,9,0),0)</f>
        <v>#NAME?</v>
      </c>
      <c r="I2409" s="274"/>
      <c r="J2409" s="274" t="e">
        <f t="shared" ca="1" si="30"/>
        <v>#NAME?</v>
      </c>
      <c r="K2409" s="274">
        <f t="shared" si="31"/>
        <v>0</v>
      </c>
      <c r="N2409" s="274"/>
    </row>
    <row r="2410" spans="1:14" ht="13.5" customHeight="1">
      <c r="A2410" s="1"/>
      <c r="E2410" s="1" t="s">
        <v>284</v>
      </c>
      <c r="F2410" s="1" t="s">
        <v>2647</v>
      </c>
      <c r="G2410" s="413" t="str">
        <f t="shared" si="29"/>
        <v>07-13</v>
      </c>
      <c r="H2410" s="273" t="e">
        <f ca="1">_xludf.IFNA(VLOOKUP(Aragon!E2410,'Kilter Holds'!$P$37:$AB$662,10,0),0)+_xludf.IFNA(VLOOKUP(A2410,'Kilter Holds'!$P$37:$AB$662,10,0),0)</f>
        <v>#NAME?</v>
      </c>
      <c r="I2410" s="274"/>
      <c r="J2410" s="274" t="e">
        <f t="shared" ca="1" si="30"/>
        <v>#NAME?</v>
      </c>
      <c r="K2410" s="274">
        <f t="shared" si="31"/>
        <v>0</v>
      </c>
      <c r="N2410" s="274"/>
    </row>
    <row r="2411" spans="1:14" ht="13.5" customHeight="1">
      <c r="A2411" s="1"/>
      <c r="E2411" s="1" t="s">
        <v>284</v>
      </c>
      <c r="F2411" s="1" t="s">
        <v>2647</v>
      </c>
      <c r="G2411" s="414" t="str">
        <f t="shared" si="29"/>
        <v>11-26</v>
      </c>
      <c r="H2411" s="273" t="e">
        <f ca="1">_xludf.IFNA(VLOOKUP(Aragon!E2411,'Kilter Holds'!$P$37:$AB$662,11,0),0)+_xludf.IFNA(VLOOKUP(A2411,'Kilter Holds'!$P$37:$AB$662,11,0),0)</f>
        <v>#NAME?</v>
      </c>
      <c r="I2411" s="274"/>
      <c r="J2411" s="274" t="e">
        <f t="shared" ca="1" si="30"/>
        <v>#NAME?</v>
      </c>
      <c r="K2411" s="274">
        <f t="shared" si="31"/>
        <v>0</v>
      </c>
      <c r="N2411" s="274"/>
    </row>
    <row r="2412" spans="1:14" ht="13.5" customHeight="1">
      <c r="A2412" s="1"/>
      <c r="E2412" s="1" t="s">
        <v>284</v>
      </c>
      <c r="F2412" s="1" t="s">
        <v>2647</v>
      </c>
      <c r="G2412" s="415" t="str">
        <f t="shared" si="29"/>
        <v>18-01</v>
      </c>
      <c r="H2412" s="273" t="e">
        <f ca="1">_xludf.IFNA(VLOOKUP(Aragon!E2412,'Kilter Holds'!$P$37:$AB$662,12,0),0)+_xludf.IFNA(VLOOKUP(A2412,'Kilter Holds'!$P$37:$AB$662,12,0),0)</f>
        <v>#NAME?</v>
      </c>
      <c r="I2412" s="274"/>
      <c r="J2412" s="274" t="e">
        <f t="shared" ca="1" si="30"/>
        <v>#NAME?</v>
      </c>
      <c r="K2412" s="274">
        <f t="shared" si="31"/>
        <v>0</v>
      </c>
      <c r="N2412" s="274"/>
    </row>
    <row r="2413" spans="1:14" ht="13.5" customHeight="1">
      <c r="A2413" s="1"/>
      <c r="E2413" s="1" t="s">
        <v>284</v>
      </c>
      <c r="F2413" s="1" t="s">
        <v>2647</v>
      </c>
      <c r="G2413" s="416" t="str">
        <f t="shared" si="29"/>
        <v>Color Code</v>
      </c>
      <c r="H2413" s="273" t="e">
        <f ca="1">_xludf.IFNA(VLOOKUP(Aragon!E2413,'Kilter Holds'!$P$37:$AB$662,13,0),0)+_xludf.IFNA(VLOOKUP(A2413,'Kilter Holds'!$P$37:$AB$662,13,0),0)</f>
        <v>#NAME?</v>
      </c>
      <c r="I2413" s="274"/>
      <c r="J2413" s="274" t="e">
        <f t="shared" ca="1" si="30"/>
        <v>#NAME?</v>
      </c>
      <c r="K2413" s="274">
        <f t="shared" si="31"/>
        <v>0</v>
      </c>
      <c r="N2413" s="274"/>
    </row>
    <row r="2414" spans="1:14" ht="13.5" customHeight="1">
      <c r="A2414" s="1"/>
      <c r="E2414" s="1" t="s">
        <v>231</v>
      </c>
      <c r="F2414" s="1" t="s">
        <v>2648</v>
      </c>
      <c r="G2414" s="406" t="str">
        <f t="shared" si="29"/>
        <v>11-12</v>
      </c>
      <c r="H2414" s="273" t="e">
        <f ca="1">_xludf.IFNA(VLOOKUP(Aragon!E2414,'Kilter Holds'!$P$37:$AB$662,5,0),0)+_xludf.IFNA(VLOOKUP(A2414,'Kilter Holds'!$P$37:$AB$662,5,0),0)</f>
        <v>#NAME?</v>
      </c>
      <c r="I2414" s="274"/>
      <c r="J2414" s="274" t="e">
        <f t="shared" ca="1" si="30"/>
        <v>#NAME?</v>
      </c>
      <c r="K2414" s="274">
        <f t="shared" si="31"/>
        <v>0</v>
      </c>
      <c r="N2414" s="274"/>
    </row>
    <row r="2415" spans="1:14" ht="13.5" customHeight="1">
      <c r="A2415" s="1"/>
      <c r="E2415" s="1" t="s">
        <v>231</v>
      </c>
      <c r="F2415" s="1" t="s">
        <v>2648</v>
      </c>
      <c r="G2415" s="408" t="str">
        <f t="shared" si="29"/>
        <v>14-01</v>
      </c>
      <c r="H2415" s="273" t="e">
        <f ca="1">_xludf.IFNA(VLOOKUP(Aragon!E2415,'Kilter Holds'!$P$37:$AB$662,6,0),0)+_xludf.IFNA(VLOOKUP(A2415,'Kilter Holds'!$P$37:$AB$662,6,0),0)</f>
        <v>#NAME?</v>
      </c>
      <c r="I2415" s="274"/>
      <c r="J2415" s="274" t="e">
        <f t="shared" ca="1" si="30"/>
        <v>#NAME?</v>
      </c>
      <c r="K2415" s="274">
        <f t="shared" si="31"/>
        <v>0</v>
      </c>
      <c r="N2415" s="274"/>
    </row>
    <row r="2416" spans="1:14" ht="13.5" customHeight="1">
      <c r="A2416" s="1"/>
      <c r="E2416" s="1" t="s">
        <v>231</v>
      </c>
      <c r="F2416" s="1" t="s">
        <v>2648</v>
      </c>
      <c r="G2416" s="409" t="str">
        <f t="shared" si="29"/>
        <v>15-12</v>
      </c>
      <c r="H2416" s="273" t="e">
        <f ca="1">_xludf.IFNA(VLOOKUP(Aragon!E2416,'Kilter Holds'!$P$37:$AB$662,7,0),0)+_xludf.IFNA(VLOOKUP(A2416,'Kilter Holds'!$P$37:$AB$662,7,0),0)</f>
        <v>#NAME?</v>
      </c>
      <c r="I2416" s="274"/>
      <c r="J2416" s="274" t="e">
        <f t="shared" ca="1" si="30"/>
        <v>#NAME?</v>
      </c>
      <c r="K2416" s="274">
        <f t="shared" si="31"/>
        <v>0</v>
      </c>
      <c r="N2416" s="274"/>
    </row>
    <row r="2417" spans="1:14" ht="13.5" customHeight="1">
      <c r="A2417" s="1"/>
      <c r="E2417" s="1" t="s">
        <v>231</v>
      </c>
      <c r="F2417" s="1" t="s">
        <v>2648</v>
      </c>
      <c r="G2417" s="410" t="str">
        <f t="shared" si="29"/>
        <v>16-16</v>
      </c>
      <c r="H2417" s="273" t="e">
        <f ca="1">_xludf.IFNA(VLOOKUP(Aragon!E2417,'Kilter Holds'!$P$37:$AB$662,8,0),0)+_xludf.IFNA(VLOOKUP(A2417,'Kilter Holds'!$P$37:$AB$662,8,0),0)</f>
        <v>#NAME?</v>
      </c>
      <c r="I2417" s="274"/>
      <c r="J2417" s="274" t="e">
        <f t="shared" ca="1" si="30"/>
        <v>#NAME?</v>
      </c>
      <c r="K2417" s="274">
        <f t="shared" si="31"/>
        <v>0</v>
      </c>
      <c r="N2417" s="274"/>
    </row>
    <row r="2418" spans="1:14" ht="13.5" customHeight="1">
      <c r="A2418" s="1"/>
      <c r="E2418" s="1" t="s">
        <v>231</v>
      </c>
      <c r="F2418" s="1" t="s">
        <v>2648</v>
      </c>
      <c r="G2418" s="411" t="str">
        <f t="shared" si="29"/>
        <v>13-01</v>
      </c>
      <c r="H2418" s="273" t="e">
        <f ca="1">_xludf.IFNA(VLOOKUP(Aragon!E2418,'Kilter Holds'!$P$37:$AB$662,9,0),0)+_xludf.IFNA(VLOOKUP(A2418,'Kilter Holds'!$P$37:$AB$662,9,0),0)</f>
        <v>#NAME?</v>
      </c>
      <c r="I2418" s="274"/>
      <c r="J2418" s="274" t="e">
        <f t="shared" ca="1" si="30"/>
        <v>#NAME?</v>
      </c>
      <c r="K2418" s="274">
        <f t="shared" si="31"/>
        <v>0</v>
      </c>
      <c r="N2418" s="274"/>
    </row>
    <row r="2419" spans="1:14" ht="13.5" customHeight="1">
      <c r="A2419" s="1"/>
      <c r="E2419" s="1" t="s">
        <v>231</v>
      </c>
      <c r="F2419" s="1" t="s">
        <v>2648</v>
      </c>
      <c r="G2419" s="413" t="str">
        <f t="shared" si="29"/>
        <v>07-13</v>
      </c>
      <c r="H2419" s="273" t="e">
        <f ca="1">_xludf.IFNA(VLOOKUP(Aragon!E2419,'Kilter Holds'!$P$37:$AB$662,10,0),0)+_xludf.IFNA(VLOOKUP(A2419,'Kilter Holds'!$P$37:$AB$662,10,0),0)</f>
        <v>#NAME?</v>
      </c>
      <c r="I2419" s="274"/>
      <c r="J2419" s="274" t="e">
        <f t="shared" ca="1" si="30"/>
        <v>#NAME?</v>
      </c>
      <c r="K2419" s="274">
        <f t="shared" si="31"/>
        <v>0</v>
      </c>
      <c r="N2419" s="274"/>
    </row>
    <row r="2420" spans="1:14" ht="13.5" customHeight="1">
      <c r="A2420" s="1"/>
      <c r="E2420" s="1" t="s">
        <v>231</v>
      </c>
      <c r="F2420" s="1" t="s">
        <v>2648</v>
      </c>
      <c r="G2420" s="414" t="str">
        <f t="shared" si="29"/>
        <v>11-26</v>
      </c>
      <c r="H2420" s="273" t="e">
        <f ca="1">_xludf.IFNA(VLOOKUP(Aragon!E2420,'Kilter Holds'!$P$37:$AB$662,11,0),0)+_xludf.IFNA(VLOOKUP(A2420,'Kilter Holds'!$P$37:$AB$662,11,0),0)</f>
        <v>#NAME?</v>
      </c>
      <c r="I2420" s="274"/>
      <c r="J2420" s="274" t="e">
        <f t="shared" ca="1" si="30"/>
        <v>#NAME?</v>
      </c>
      <c r="K2420" s="274">
        <f t="shared" si="31"/>
        <v>0</v>
      </c>
      <c r="N2420" s="274"/>
    </row>
    <row r="2421" spans="1:14" ht="13.5" customHeight="1">
      <c r="A2421" s="1"/>
      <c r="E2421" s="1" t="s">
        <v>231</v>
      </c>
      <c r="F2421" s="1" t="s">
        <v>2648</v>
      </c>
      <c r="G2421" s="415" t="str">
        <f t="shared" si="29"/>
        <v>18-01</v>
      </c>
      <c r="H2421" s="273" t="e">
        <f ca="1">_xludf.IFNA(VLOOKUP(Aragon!E2421,'Kilter Holds'!$P$37:$AB$662,12,0),0)+_xludf.IFNA(VLOOKUP(A2421,'Kilter Holds'!$P$37:$AB$662,12,0),0)</f>
        <v>#NAME?</v>
      </c>
      <c r="I2421" s="274"/>
      <c r="J2421" s="274" t="e">
        <f t="shared" ca="1" si="30"/>
        <v>#NAME?</v>
      </c>
      <c r="K2421" s="274">
        <f t="shared" si="31"/>
        <v>0</v>
      </c>
      <c r="N2421" s="274"/>
    </row>
    <row r="2422" spans="1:14" ht="13.5" customHeight="1">
      <c r="A2422" s="1"/>
      <c r="E2422" s="1" t="s">
        <v>231</v>
      </c>
      <c r="F2422" s="1" t="s">
        <v>2648</v>
      </c>
      <c r="G2422" s="416" t="str">
        <f t="shared" si="29"/>
        <v>Color Code</v>
      </c>
      <c r="H2422" s="273" t="e">
        <f ca="1">_xludf.IFNA(VLOOKUP(Aragon!E2422,'Kilter Holds'!$P$37:$AB$662,13,0),0)+_xludf.IFNA(VLOOKUP(A2422,'Kilter Holds'!$P$37:$AB$662,13,0),0)</f>
        <v>#NAME?</v>
      </c>
      <c r="I2422" s="274"/>
      <c r="J2422" s="274" t="e">
        <f t="shared" ca="1" si="30"/>
        <v>#NAME?</v>
      </c>
      <c r="K2422" s="274">
        <f t="shared" si="31"/>
        <v>0</v>
      </c>
      <c r="N2422" s="274"/>
    </row>
    <row r="2423" spans="1:14" ht="13.5" customHeight="1">
      <c r="A2423" s="1"/>
      <c r="E2423" s="1" t="s">
        <v>1018</v>
      </c>
      <c r="F2423" s="1" t="s">
        <v>2649</v>
      </c>
      <c r="G2423" s="406" t="str">
        <f t="shared" si="29"/>
        <v>11-12</v>
      </c>
      <c r="H2423" s="273" t="e">
        <f ca="1">_xludf.IFNA(VLOOKUP(Aragon!E2423,'Kilter Holds'!$P$37:$AB$662,5,0),0)+_xludf.IFNA(VLOOKUP(A2423,'Kilter Holds'!$P$37:$AB$662,5,0),0)</f>
        <v>#NAME?</v>
      </c>
      <c r="I2423" s="274"/>
      <c r="J2423" s="274" t="e">
        <f t="shared" ca="1" si="30"/>
        <v>#NAME?</v>
      </c>
      <c r="K2423" s="274">
        <f t="shared" si="31"/>
        <v>0</v>
      </c>
      <c r="N2423" s="274"/>
    </row>
    <row r="2424" spans="1:14" ht="13.5" customHeight="1">
      <c r="A2424" s="1"/>
      <c r="E2424" s="1" t="s">
        <v>1018</v>
      </c>
      <c r="F2424" s="1" t="s">
        <v>2649</v>
      </c>
      <c r="G2424" s="408" t="str">
        <f t="shared" si="29"/>
        <v>14-01</v>
      </c>
      <c r="H2424" s="273" t="e">
        <f ca="1">_xludf.IFNA(VLOOKUP(Aragon!E2424,'Kilter Holds'!$P$37:$AB$662,6,0),0)+_xludf.IFNA(VLOOKUP(A2424,'Kilter Holds'!$P$37:$AB$662,6,0),0)</f>
        <v>#NAME?</v>
      </c>
      <c r="I2424" s="274"/>
      <c r="J2424" s="274" t="e">
        <f t="shared" ca="1" si="30"/>
        <v>#NAME?</v>
      </c>
      <c r="K2424" s="274">
        <f t="shared" si="31"/>
        <v>0</v>
      </c>
      <c r="N2424" s="274"/>
    </row>
    <row r="2425" spans="1:14" ht="13.5" customHeight="1">
      <c r="A2425" s="1"/>
      <c r="E2425" s="1" t="s">
        <v>1018</v>
      </c>
      <c r="F2425" s="1" t="s">
        <v>2649</v>
      </c>
      <c r="G2425" s="409" t="str">
        <f t="shared" si="29"/>
        <v>15-12</v>
      </c>
      <c r="H2425" s="273" t="e">
        <f ca="1">_xludf.IFNA(VLOOKUP(Aragon!E2425,'Kilter Holds'!$P$37:$AB$662,7,0),0)+_xludf.IFNA(VLOOKUP(A2425,'Kilter Holds'!$P$37:$AB$662,7,0),0)</f>
        <v>#NAME?</v>
      </c>
      <c r="I2425" s="274"/>
      <c r="J2425" s="274" t="e">
        <f t="shared" ca="1" si="30"/>
        <v>#NAME?</v>
      </c>
      <c r="K2425" s="274">
        <f t="shared" si="31"/>
        <v>0</v>
      </c>
      <c r="N2425" s="274"/>
    </row>
    <row r="2426" spans="1:14" ht="13.5" customHeight="1">
      <c r="A2426" s="1"/>
      <c r="E2426" s="1" t="s">
        <v>1018</v>
      </c>
      <c r="F2426" s="1" t="s">
        <v>2649</v>
      </c>
      <c r="G2426" s="410" t="str">
        <f t="shared" si="29"/>
        <v>16-16</v>
      </c>
      <c r="H2426" s="273" t="e">
        <f ca="1">_xludf.IFNA(VLOOKUP(Aragon!E2426,'Kilter Holds'!$P$37:$AB$662,8,0),0)+_xludf.IFNA(VLOOKUP(A2426,'Kilter Holds'!$P$37:$AB$662,8,0),0)</f>
        <v>#NAME?</v>
      </c>
      <c r="I2426" s="274"/>
      <c r="J2426" s="274" t="e">
        <f t="shared" ca="1" si="30"/>
        <v>#NAME?</v>
      </c>
      <c r="K2426" s="274">
        <f t="shared" si="31"/>
        <v>0</v>
      </c>
      <c r="N2426" s="274"/>
    </row>
    <row r="2427" spans="1:14" ht="13.5" customHeight="1">
      <c r="A2427" s="1"/>
      <c r="E2427" s="1" t="s">
        <v>1018</v>
      </c>
      <c r="F2427" s="1" t="s">
        <v>2649</v>
      </c>
      <c r="G2427" s="411" t="str">
        <f t="shared" si="29"/>
        <v>13-01</v>
      </c>
      <c r="H2427" s="273" t="e">
        <f ca="1">_xludf.IFNA(VLOOKUP(Aragon!E2427,'Kilter Holds'!$P$37:$AB$662,9,0),0)+_xludf.IFNA(VLOOKUP(A2427,'Kilter Holds'!$P$37:$AB$662,9,0),0)</f>
        <v>#NAME?</v>
      </c>
      <c r="I2427" s="274"/>
      <c r="J2427" s="274" t="e">
        <f t="shared" ca="1" si="30"/>
        <v>#NAME?</v>
      </c>
      <c r="K2427" s="274">
        <f t="shared" si="31"/>
        <v>0</v>
      </c>
      <c r="N2427" s="274"/>
    </row>
    <row r="2428" spans="1:14" ht="13.5" customHeight="1">
      <c r="A2428" s="1"/>
      <c r="E2428" s="1" t="s">
        <v>1018</v>
      </c>
      <c r="F2428" s="1" t="s">
        <v>2649</v>
      </c>
      <c r="G2428" s="413" t="str">
        <f t="shared" si="29"/>
        <v>07-13</v>
      </c>
      <c r="H2428" s="273" t="e">
        <f ca="1">_xludf.IFNA(VLOOKUP(Aragon!E2428,'Kilter Holds'!$P$37:$AB$662,10,0),0)+_xludf.IFNA(VLOOKUP(A2428,'Kilter Holds'!$P$37:$AB$662,10,0),0)</f>
        <v>#NAME?</v>
      </c>
      <c r="I2428" s="274"/>
      <c r="J2428" s="274" t="e">
        <f t="shared" ca="1" si="30"/>
        <v>#NAME?</v>
      </c>
      <c r="K2428" s="274">
        <f t="shared" si="31"/>
        <v>0</v>
      </c>
      <c r="N2428" s="274"/>
    </row>
    <row r="2429" spans="1:14" ht="13.5" customHeight="1">
      <c r="A2429" s="1"/>
      <c r="E2429" s="1" t="s">
        <v>1018</v>
      </c>
      <c r="F2429" s="1" t="s">
        <v>2649</v>
      </c>
      <c r="G2429" s="414" t="str">
        <f t="shared" si="29"/>
        <v>11-26</v>
      </c>
      <c r="H2429" s="273" t="e">
        <f ca="1">_xludf.IFNA(VLOOKUP(Aragon!E2429,'Kilter Holds'!$P$37:$AB$662,11,0),0)+_xludf.IFNA(VLOOKUP(A2429,'Kilter Holds'!$P$37:$AB$662,11,0),0)</f>
        <v>#NAME?</v>
      </c>
      <c r="I2429" s="274"/>
      <c r="J2429" s="274" t="e">
        <f t="shared" ca="1" si="30"/>
        <v>#NAME?</v>
      </c>
      <c r="K2429" s="274">
        <f t="shared" si="31"/>
        <v>0</v>
      </c>
      <c r="N2429" s="274"/>
    </row>
    <row r="2430" spans="1:14" ht="13.5" customHeight="1">
      <c r="A2430" s="1"/>
      <c r="E2430" s="1" t="s">
        <v>1018</v>
      </c>
      <c r="F2430" s="1" t="s">
        <v>2649</v>
      </c>
      <c r="G2430" s="415" t="str">
        <f t="shared" si="29"/>
        <v>18-01</v>
      </c>
      <c r="H2430" s="273" t="e">
        <f ca="1">_xludf.IFNA(VLOOKUP(Aragon!E2430,'Kilter Holds'!$P$37:$AB$662,12,0),0)+_xludf.IFNA(VLOOKUP(A2430,'Kilter Holds'!$P$37:$AB$662,12,0),0)</f>
        <v>#NAME?</v>
      </c>
      <c r="I2430" s="274"/>
      <c r="J2430" s="274" t="e">
        <f t="shared" ca="1" si="30"/>
        <v>#NAME?</v>
      </c>
      <c r="K2430" s="274">
        <f t="shared" si="31"/>
        <v>0</v>
      </c>
      <c r="N2430" s="274"/>
    </row>
    <row r="2431" spans="1:14" ht="13.5" customHeight="1">
      <c r="A2431" s="1"/>
      <c r="E2431" s="1" t="s">
        <v>1018</v>
      </c>
      <c r="F2431" s="1" t="s">
        <v>2649</v>
      </c>
      <c r="G2431" s="416" t="str">
        <f t="shared" si="29"/>
        <v>Color Code</v>
      </c>
      <c r="H2431" s="273" t="e">
        <f ca="1">_xludf.IFNA(VLOOKUP(Aragon!E2431,'Kilter Holds'!$P$37:$AB$662,13,0),0)+_xludf.IFNA(VLOOKUP(A2431,'Kilter Holds'!$P$37:$AB$662,13,0),0)</f>
        <v>#NAME?</v>
      </c>
      <c r="I2431" s="274"/>
      <c r="J2431" s="274" t="e">
        <f t="shared" ca="1" si="30"/>
        <v>#NAME?</v>
      </c>
      <c r="K2431" s="274">
        <f t="shared" si="31"/>
        <v>0</v>
      </c>
      <c r="N2431" s="274"/>
    </row>
    <row r="2432" spans="1:14" ht="13.5" customHeight="1">
      <c r="A2432" s="1"/>
      <c r="E2432" s="1" t="s">
        <v>1036</v>
      </c>
      <c r="F2432" s="1" t="s">
        <v>2650</v>
      </c>
      <c r="G2432" s="406" t="str">
        <f t="shared" si="29"/>
        <v>11-12</v>
      </c>
      <c r="H2432" s="273" t="e">
        <f ca="1">_xludf.IFNA(VLOOKUP(Aragon!E2432,'Kilter Holds'!$P$37:$AB$662,5,0),0)+_xludf.IFNA(VLOOKUP(A2432,'Kilter Holds'!$P$37:$AB$662,5,0),0)</f>
        <v>#NAME?</v>
      </c>
      <c r="I2432" s="274"/>
      <c r="J2432" s="274" t="e">
        <f t="shared" ca="1" si="30"/>
        <v>#NAME?</v>
      </c>
      <c r="K2432" s="274">
        <f t="shared" si="31"/>
        <v>0</v>
      </c>
      <c r="N2432" s="274"/>
    </row>
    <row r="2433" spans="1:14" ht="13.5" customHeight="1">
      <c r="A2433" s="1"/>
      <c r="E2433" s="1" t="s">
        <v>1036</v>
      </c>
      <c r="F2433" s="1" t="s">
        <v>2650</v>
      </c>
      <c r="G2433" s="408" t="str">
        <f t="shared" si="29"/>
        <v>14-01</v>
      </c>
      <c r="H2433" s="273" t="e">
        <f ca="1">_xludf.IFNA(VLOOKUP(Aragon!E2433,'Kilter Holds'!$P$37:$AB$662,6,0),0)+_xludf.IFNA(VLOOKUP(A2433,'Kilter Holds'!$P$37:$AB$662,6,0),0)</f>
        <v>#NAME?</v>
      </c>
      <c r="I2433" s="274"/>
      <c r="J2433" s="274" t="e">
        <f t="shared" ca="1" si="30"/>
        <v>#NAME?</v>
      </c>
      <c r="K2433" s="274">
        <f t="shared" si="31"/>
        <v>0</v>
      </c>
      <c r="N2433" s="274"/>
    </row>
    <row r="2434" spans="1:14" ht="13.5" customHeight="1">
      <c r="A2434" s="1"/>
      <c r="E2434" s="1" t="s">
        <v>1036</v>
      </c>
      <c r="F2434" s="1" t="s">
        <v>2650</v>
      </c>
      <c r="G2434" s="409" t="str">
        <f t="shared" si="29"/>
        <v>15-12</v>
      </c>
      <c r="H2434" s="273" t="e">
        <f ca="1">_xludf.IFNA(VLOOKUP(Aragon!E2434,'Kilter Holds'!$P$37:$AB$662,7,0),0)+_xludf.IFNA(VLOOKUP(A2434,'Kilter Holds'!$P$37:$AB$662,7,0),0)</f>
        <v>#NAME?</v>
      </c>
      <c r="I2434" s="274"/>
      <c r="J2434" s="274" t="e">
        <f t="shared" ca="1" si="30"/>
        <v>#NAME?</v>
      </c>
      <c r="K2434" s="274">
        <f t="shared" si="31"/>
        <v>0</v>
      </c>
      <c r="N2434" s="274"/>
    </row>
    <row r="2435" spans="1:14" ht="13.5" customHeight="1">
      <c r="A2435" s="1"/>
      <c r="E2435" s="1" t="s">
        <v>1036</v>
      </c>
      <c r="F2435" s="1" t="s">
        <v>2650</v>
      </c>
      <c r="G2435" s="410" t="str">
        <f t="shared" ref="G2435:G2593" si="32">G2426</f>
        <v>16-16</v>
      </c>
      <c r="H2435" s="273" t="e">
        <f ca="1">_xludf.IFNA(VLOOKUP(Aragon!E2435,'Kilter Holds'!$P$37:$AB$662,8,0),0)+_xludf.IFNA(VLOOKUP(A2435,'Kilter Holds'!$P$37:$AB$662,8,0),0)</f>
        <v>#NAME?</v>
      </c>
      <c r="I2435" s="274"/>
      <c r="J2435" s="274" t="e">
        <f t="shared" ca="1" si="30"/>
        <v>#NAME?</v>
      </c>
      <c r="K2435" s="274">
        <f t="shared" si="31"/>
        <v>0</v>
      </c>
      <c r="N2435" s="274"/>
    </row>
    <row r="2436" spans="1:14" ht="13.5" customHeight="1">
      <c r="A2436" s="1"/>
      <c r="E2436" s="1" t="s">
        <v>1036</v>
      </c>
      <c r="F2436" s="1" t="s">
        <v>2650</v>
      </c>
      <c r="G2436" s="411" t="str">
        <f t="shared" si="32"/>
        <v>13-01</v>
      </c>
      <c r="H2436" s="273" t="e">
        <f ca="1">_xludf.IFNA(VLOOKUP(Aragon!E2436,'Kilter Holds'!$P$37:$AB$662,9,0),0)+_xludf.IFNA(VLOOKUP(A2436,'Kilter Holds'!$P$37:$AB$662,9,0),0)</f>
        <v>#NAME?</v>
      </c>
      <c r="I2436" s="274"/>
      <c r="J2436" s="274" t="e">
        <f t="shared" ca="1" si="30"/>
        <v>#NAME?</v>
      </c>
      <c r="K2436" s="274">
        <f t="shared" si="31"/>
        <v>0</v>
      </c>
      <c r="N2436" s="274"/>
    </row>
    <row r="2437" spans="1:14" ht="13.5" customHeight="1">
      <c r="A2437" s="1"/>
      <c r="E2437" s="1" t="s">
        <v>1036</v>
      </c>
      <c r="F2437" s="1" t="s">
        <v>2650</v>
      </c>
      <c r="G2437" s="413" t="str">
        <f t="shared" si="32"/>
        <v>07-13</v>
      </c>
      <c r="H2437" s="273" t="e">
        <f ca="1">_xludf.IFNA(VLOOKUP(Aragon!E2437,'Kilter Holds'!$P$37:$AB$662,10,0),0)+_xludf.IFNA(VLOOKUP(A2437,'Kilter Holds'!$P$37:$AB$662,10,0),0)</f>
        <v>#NAME?</v>
      </c>
      <c r="I2437" s="274"/>
      <c r="J2437" s="274" t="e">
        <f t="shared" ca="1" si="30"/>
        <v>#NAME?</v>
      </c>
      <c r="K2437" s="274">
        <f t="shared" si="31"/>
        <v>0</v>
      </c>
      <c r="N2437" s="274"/>
    </row>
    <row r="2438" spans="1:14" ht="13.5" customHeight="1">
      <c r="A2438" s="1"/>
      <c r="E2438" s="1" t="s">
        <v>1036</v>
      </c>
      <c r="F2438" s="1" t="s">
        <v>2650</v>
      </c>
      <c r="G2438" s="414" t="str">
        <f t="shared" si="32"/>
        <v>11-26</v>
      </c>
      <c r="H2438" s="273" t="e">
        <f ca="1">_xludf.IFNA(VLOOKUP(Aragon!E2438,'Kilter Holds'!$P$37:$AB$662,11,0),0)+_xludf.IFNA(VLOOKUP(A2438,'Kilter Holds'!$P$37:$AB$662,11,0),0)</f>
        <v>#NAME?</v>
      </c>
      <c r="I2438" s="274"/>
      <c r="J2438" s="274" t="e">
        <f t="shared" ca="1" si="30"/>
        <v>#NAME?</v>
      </c>
      <c r="K2438" s="274">
        <f t="shared" si="31"/>
        <v>0</v>
      </c>
      <c r="N2438" s="274"/>
    </row>
    <row r="2439" spans="1:14" ht="13.5" customHeight="1">
      <c r="A2439" s="1"/>
      <c r="E2439" s="1" t="s">
        <v>1036</v>
      </c>
      <c r="F2439" s="1" t="s">
        <v>2650</v>
      </c>
      <c r="G2439" s="415" t="str">
        <f t="shared" si="32"/>
        <v>18-01</v>
      </c>
      <c r="H2439" s="273" t="e">
        <f ca="1">_xludf.IFNA(VLOOKUP(Aragon!E2439,'Kilter Holds'!$P$37:$AB$662,12,0),0)+_xludf.IFNA(VLOOKUP(A2439,'Kilter Holds'!$P$37:$AB$662,12,0),0)</f>
        <v>#NAME?</v>
      </c>
      <c r="I2439" s="274"/>
      <c r="J2439" s="274" t="e">
        <f t="shared" ca="1" si="30"/>
        <v>#NAME?</v>
      </c>
      <c r="K2439" s="274">
        <f t="shared" si="31"/>
        <v>0</v>
      </c>
      <c r="N2439" s="274"/>
    </row>
    <row r="2440" spans="1:14" ht="13.5" customHeight="1">
      <c r="A2440" s="1"/>
      <c r="E2440" s="1" t="s">
        <v>1036</v>
      </c>
      <c r="F2440" s="1" t="s">
        <v>2650</v>
      </c>
      <c r="G2440" s="416" t="str">
        <f t="shared" si="32"/>
        <v>Color Code</v>
      </c>
      <c r="H2440" s="273" t="e">
        <f ca="1">_xludf.IFNA(VLOOKUP(Aragon!E2440,'Kilter Holds'!$P$37:$AB$662,13,0),0)+_xludf.IFNA(VLOOKUP(A2440,'Kilter Holds'!$P$37:$AB$662,13,0),0)</f>
        <v>#NAME?</v>
      </c>
      <c r="I2440" s="274"/>
      <c r="J2440" s="274" t="e">
        <f t="shared" ca="1" si="30"/>
        <v>#NAME?</v>
      </c>
      <c r="K2440" s="274">
        <f t="shared" si="31"/>
        <v>0</v>
      </c>
      <c r="N2440" s="274"/>
    </row>
    <row r="2441" spans="1:14" ht="13.5" customHeight="1">
      <c r="A2441" s="1"/>
      <c r="E2441" s="1" t="s">
        <v>1038</v>
      </c>
      <c r="F2441" s="1" t="s">
        <v>2651</v>
      </c>
      <c r="G2441" s="406" t="str">
        <f t="shared" si="32"/>
        <v>11-12</v>
      </c>
      <c r="H2441" s="273" t="e">
        <f ca="1">_xludf.IFNA(VLOOKUP(Aragon!E2441,'Kilter Holds'!$P$37:$AB$662,5,0),0)+_xludf.IFNA(VLOOKUP(A2441,'Kilter Holds'!$P$37:$AB$662,5,0),0)</f>
        <v>#NAME?</v>
      </c>
      <c r="I2441" s="274"/>
      <c r="J2441" s="274" t="e">
        <f t="shared" ca="1" si="30"/>
        <v>#NAME?</v>
      </c>
      <c r="K2441" s="274">
        <f t="shared" si="31"/>
        <v>0</v>
      </c>
      <c r="N2441" s="274"/>
    </row>
    <row r="2442" spans="1:14" ht="13.5" customHeight="1">
      <c r="A2442" s="1"/>
      <c r="E2442" s="1" t="s">
        <v>1038</v>
      </c>
      <c r="F2442" s="1" t="s">
        <v>2651</v>
      </c>
      <c r="G2442" s="408" t="str">
        <f t="shared" si="32"/>
        <v>14-01</v>
      </c>
      <c r="H2442" s="273" t="e">
        <f ca="1">_xludf.IFNA(VLOOKUP(Aragon!E2442,'Kilter Holds'!$P$37:$AB$662,6,0),0)+_xludf.IFNA(VLOOKUP(A2442,'Kilter Holds'!$P$37:$AB$662,6,0),0)</f>
        <v>#NAME?</v>
      </c>
      <c r="I2442" s="274"/>
      <c r="J2442" s="274" t="e">
        <f t="shared" ca="1" si="30"/>
        <v>#NAME?</v>
      </c>
      <c r="K2442" s="274">
        <f t="shared" si="31"/>
        <v>0</v>
      </c>
      <c r="N2442" s="274"/>
    </row>
    <row r="2443" spans="1:14" ht="13.5" customHeight="1">
      <c r="A2443" s="1"/>
      <c r="E2443" s="1" t="s">
        <v>1038</v>
      </c>
      <c r="F2443" s="1" t="s">
        <v>2651</v>
      </c>
      <c r="G2443" s="409" t="str">
        <f t="shared" si="32"/>
        <v>15-12</v>
      </c>
      <c r="H2443" s="273" t="e">
        <f ca="1">_xludf.IFNA(VLOOKUP(Aragon!E2443,'Kilter Holds'!$P$37:$AB$662,7,0),0)+_xludf.IFNA(VLOOKUP(A2443,'Kilter Holds'!$P$37:$AB$662,7,0),0)</f>
        <v>#NAME?</v>
      </c>
      <c r="I2443" s="274"/>
      <c r="J2443" s="274" t="e">
        <f t="shared" ca="1" si="30"/>
        <v>#NAME?</v>
      </c>
      <c r="K2443" s="274">
        <f t="shared" si="31"/>
        <v>0</v>
      </c>
      <c r="N2443" s="274"/>
    </row>
    <row r="2444" spans="1:14" ht="13.5" customHeight="1">
      <c r="A2444" s="1"/>
      <c r="E2444" s="1" t="s">
        <v>1038</v>
      </c>
      <c r="F2444" s="1" t="s">
        <v>2651</v>
      </c>
      <c r="G2444" s="410" t="str">
        <f t="shared" si="32"/>
        <v>16-16</v>
      </c>
      <c r="H2444" s="273" t="e">
        <f ca="1">_xludf.IFNA(VLOOKUP(Aragon!E2444,'Kilter Holds'!$P$37:$AB$662,8,0),0)+_xludf.IFNA(VLOOKUP(A2444,'Kilter Holds'!$P$37:$AB$662,8,0),0)</f>
        <v>#NAME?</v>
      </c>
      <c r="I2444" s="274"/>
      <c r="J2444" s="274" t="e">
        <f t="shared" ca="1" si="30"/>
        <v>#NAME?</v>
      </c>
      <c r="K2444" s="274">
        <f t="shared" si="31"/>
        <v>0</v>
      </c>
      <c r="N2444" s="274"/>
    </row>
    <row r="2445" spans="1:14" ht="13.5" customHeight="1">
      <c r="A2445" s="1"/>
      <c r="E2445" s="1" t="s">
        <v>1038</v>
      </c>
      <c r="F2445" s="1" t="s">
        <v>2651</v>
      </c>
      <c r="G2445" s="411" t="str">
        <f t="shared" si="32"/>
        <v>13-01</v>
      </c>
      <c r="H2445" s="273" t="e">
        <f ca="1">_xludf.IFNA(VLOOKUP(Aragon!E2445,'Kilter Holds'!$P$37:$AB$662,9,0),0)+_xludf.IFNA(VLOOKUP(A2445,'Kilter Holds'!$P$37:$AB$662,9,0),0)</f>
        <v>#NAME?</v>
      </c>
      <c r="I2445" s="274"/>
      <c r="J2445" s="274" t="e">
        <f t="shared" ca="1" si="30"/>
        <v>#NAME?</v>
      </c>
      <c r="K2445" s="274">
        <f t="shared" si="31"/>
        <v>0</v>
      </c>
      <c r="N2445" s="274"/>
    </row>
    <row r="2446" spans="1:14" ht="13.5" customHeight="1">
      <c r="A2446" s="1"/>
      <c r="E2446" s="1" t="s">
        <v>1038</v>
      </c>
      <c r="F2446" s="1" t="s">
        <v>2651</v>
      </c>
      <c r="G2446" s="413" t="str">
        <f t="shared" si="32"/>
        <v>07-13</v>
      </c>
      <c r="H2446" s="273" t="e">
        <f ca="1">_xludf.IFNA(VLOOKUP(Aragon!E2446,'Kilter Holds'!$P$37:$AB$662,10,0),0)+_xludf.IFNA(VLOOKUP(A2446,'Kilter Holds'!$P$37:$AB$662,10,0),0)</f>
        <v>#NAME?</v>
      </c>
      <c r="I2446" s="274"/>
      <c r="J2446" s="274" t="e">
        <f t="shared" ca="1" si="30"/>
        <v>#NAME?</v>
      </c>
      <c r="K2446" s="274">
        <f t="shared" si="31"/>
        <v>0</v>
      </c>
      <c r="N2446" s="274"/>
    </row>
    <row r="2447" spans="1:14" ht="13.5" customHeight="1">
      <c r="A2447" s="1"/>
      <c r="E2447" s="1" t="s">
        <v>1038</v>
      </c>
      <c r="F2447" s="1" t="s">
        <v>2651</v>
      </c>
      <c r="G2447" s="414" t="str">
        <f t="shared" si="32"/>
        <v>11-26</v>
      </c>
      <c r="H2447" s="273" t="e">
        <f ca="1">_xludf.IFNA(VLOOKUP(Aragon!E2447,'Kilter Holds'!$P$37:$AB$662,11,0),0)+_xludf.IFNA(VLOOKUP(A2447,'Kilter Holds'!$P$37:$AB$662,11,0),0)</f>
        <v>#NAME?</v>
      </c>
      <c r="I2447" s="274"/>
      <c r="J2447" s="274" t="e">
        <f t="shared" ca="1" si="30"/>
        <v>#NAME?</v>
      </c>
      <c r="K2447" s="274">
        <f t="shared" si="31"/>
        <v>0</v>
      </c>
      <c r="N2447" s="274"/>
    </row>
    <row r="2448" spans="1:14" ht="13.5" customHeight="1">
      <c r="A2448" s="1"/>
      <c r="E2448" s="1" t="s">
        <v>1038</v>
      </c>
      <c r="F2448" s="1" t="s">
        <v>2651</v>
      </c>
      <c r="G2448" s="415" t="str">
        <f t="shared" si="32"/>
        <v>18-01</v>
      </c>
      <c r="H2448" s="273" t="e">
        <f ca="1">_xludf.IFNA(VLOOKUP(Aragon!E2448,'Kilter Holds'!$P$37:$AB$662,12,0),0)+_xludf.IFNA(VLOOKUP(A2448,'Kilter Holds'!$P$37:$AB$662,12,0),0)</f>
        <v>#NAME?</v>
      </c>
      <c r="I2448" s="274"/>
      <c r="J2448" s="274" t="e">
        <f t="shared" ca="1" si="30"/>
        <v>#NAME?</v>
      </c>
      <c r="K2448" s="274">
        <f t="shared" si="31"/>
        <v>0</v>
      </c>
      <c r="N2448" s="274"/>
    </row>
    <row r="2449" spans="1:14" ht="13.5" customHeight="1">
      <c r="A2449" s="1"/>
      <c r="E2449" s="1" t="s">
        <v>1038</v>
      </c>
      <c r="F2449" s="1" t="s">
        <v>2651</v>
      </c>
      <c r="G2449" s="416" t="str">
        <f t="shared" si="32"/>
        <v>Color Code</v>
      </c>
      <c r="H2449" s="273" t="e">
        <f ca="1">_xludf.IFNA(VLOOKUP(Aragon!E2449,'Kilter Holds'!$P$37:$AB$662,13,0),0)+_xludf.IFNA(VLOOKUP(A2449,'Kilter Holds'!$P$37:$AB$662,13,0),0)</f>
        <v>#NAME?</v>
      </c>
      <c r="I2449" s="274"/>
      <c r="J2449" s="274" t="e">
        <f t="shared" ca="1" si="30"/>
        <v>#NAME?</v>
      </c>
      <c r="K2449" s="274">
        <f t="shared" si="31"/>
        <v>0</v>
      </c>
      <c r="N2449" s="274"/>
    </row>
    <row r="2450" spans="1:14" ht="13.5" customHeight="1">
      <c r="A2450" s="1"/>
      <c r="E2450" s="1" t="s">
        <v>1040</v>
      </c>
      <c r="F2450" s="1" t="s">
        <v>2652</v>
      </c>
      <c r="G2450" s="406" t="str">
        <f t="shared" si="32"/>
        <v>11-12</v>
      </c>
      <c r="H2450" s="273" t="e">
        <f ca="1">_xludf.IFNA(VLOOKUP(Aragon!E2450,'Kilter Holds'!$P$37:$AB$662,5,0),0)+_xludf.IFNA(VLOOKUP(A2450,'Kilter Holds'!$P$37:$AB$662,5,0),0)</f>
        <v>#NAME?</v>
      </c>
      <c r="I2450" s="274"/>
      <c r="J2450" s="274" t="e">
        <f t="shared" ca="1" si="30"/>
        <v>#NAME?</v>
      </c>
      <c r="K2450" s="274">
        <f t="shared" si="31"/>
        <v>0</v>
      </c>
      <c r="N2450" s="274"/>
    </row>
    <row r="2451" spans="1:14" ht="13.5" customHeight="1">
      <c r="A2451" s="1"/>
      <c r="E2451" s="1" t="s">
        <v>1040</v>
      </c>
      <c r="F2451" s="1" t="s">
        <v>2652</v>
      </c>
      <c r="G2451" s="408" t="str">
        <f t="shared" si="32"/>
        <v>14-01</v>
      </c>
      <c r="H2451" s="273" t="e">
        <f ca="1">_xludf.IFNA(VLOOKUP(Aragon!E2451,'Kilter Holds'!$P$37:$AB$662,6,0),0)+_xludf.IFNA(VLOOKUP(A2451,'Kilter Holds'!$P$37:$AB$662,6,0),0)</f>
        <v>#NAME?</v>
      </c>
      <c r="I2451" s="274"/>
      <c r="J2451" s="274" t="e">
        <f t="shared" ca="1" si="30"/>
        <v>#NAME?</v>
      </c>
      <c r="K2451" s="274">
        <f t="shared" si="31"/>
        <v>0</v>
      </c>
      <c r="N2451" s="274"/>
    </row>
    <row r="2452" spans="1:14" ht="13.5" customHeight="1">
      <c r="A2452" s="1"/>
      <c r="E2452" s="1" t="s">
        <v>1040</v>
      </c>
      <c r="F2452" s="1" t="s">
        <v>2652</v>
      </c>
      <c r="G2452" s="409" t="str">
        <f t="shared" si="32"/>
        <v>15-12</v>
      </c>
      <c r="H2452" s="273" t="e">
        <f ca="1">_xludf.IFNA(VLOOKUP(Aragon!E2452,'Kilter Holds'!$P$37:$AB$662,7,0),0)+_xludf.IFNA(VLOOKUP(A2452,'Kilter Holds'!$P$37:$AB$662,7,0),0)</f>
        <v>#NAME?</v>
      </c>
      <c r="I2452" s="274"/>
      <c r="J2452" s="274" t="e">
        <f t="shared" ca="1" si="30"/>
        <v>#NAME?</v>
      </c>
      <c r="K2452" s="274">
        <f t="shared" si="31"/>
        <v>0</v>
      </c>
      <c r="N2452" s="274"/>
    </row>
    <row r="2453" spans="1:14" ht="13.5" customHeight="1">
      <c r="A2453" s="1"/>
      <c r="E2453" s="1" t="s">
        <v>1040</v>
      </c>
      <c r="F2453" s="1" t="s">
        <v>2652</v>
      </c>
      <c r="G2453" s="410" t="str">
        <f t="shared" si="32"/>
        <v>16-16</v>
      </c>
      <c r="H2453" s="273" t="e">
        <f ca="1">_xludf.IFNA(VLOOKUP(Aragon!E2453,'Kilter Holds'!$P$37:$AB$662,8,0),0)+_xludf.IFNA(VLOOKUP(A2453,'Kilter Holds'!$P$37:$AB$662,8,0),0)</f>
        <v>#NAME?</v>
      </c>
      <c r="I2453" s="274"/>
      <c r="J2453" s="274" t="e">
        <f t="shared" ca="1" si="30"/>
        <v>#NAME?</v>
      </c>
      <c r="K2453" s="274">
        <f t="shared" si="31"/>
        <v>0</v>
      </c>
      <c r="N2453" s="274"/>
    </row>
    <row r="2454" spans="1:14" ht="13.5" customHeight="1">
      <c r="A2454" s="1"/>
      <c r="E2454" s="1" t="s">
        <v>1040</v>
      </c>
      <c r="F2454" s="1" t="s">
        <v>2652</v>
      </c>
      <c r="G2454" s="411" t="str">
        <f t="shared" si="32"/>
        <v>13-01</v>
      </c>
      <c r="H2454" s="273" t="e">
        <f ca="1">_xludf.IFNA(VLOOKUP(Aragon!E2454,'Kilter Holds'!$P$37:$AB$662,9,0),0)+_xludf.IFNA(VLOOKUP(A2454,'Kilter Holds'!$P$37:$AB$662,9,0),0)</f>
        <v>#NAME?</v>
      </c>
      <c r="I2454" s="274"/>
      <c r="J2454" s="274" t="e">
        <f t="shared" ca="1" si="30"/>
        <v>#NAME?</v>
      </c>
      <c r="K2454" s="274">
        <f t="shared" si="31"/>
        <v>0</v>
      </c>
      <c r="N2454" s="274"/>
    </row>
    <row r="2455" spans="1:14" ht="13.5" customHeight="1">
      <c r="A2455" s="1"/>
      <c r="E2455" s="1" t="s">
        <v>1040</v>
      </c>
      <c r="F2455" s="1" t="s">
        <v>2652</v>
      </c>
      <c r="G2455" s="413" t="str">
        <f t="shared" si="32"/>
        <v>07-13</v>
      </c>
      <c r="H2455" s="273" t="e">
        <f ca="1">_xludf.IFNA(VLOOKUP(Aragon!E2455,'Kilter Holds'!$P$37:$AB$662,10,0),0)+_xludf.IFNA(VLOOKUP(A2455,'Kilter Holds'!$P$37:$AB$662,10,0),0)</f>
        <v>#NAME?</v>
      </c>
      <c r="I2455" s="274"/>
      <c r="J2455" s="274" t="e">
        <f t="shared" ca="1" si="30"/>
        <v>#NAME?</v>
      </c>
      <c r="K2455" s="274">
        <f t="shared" si="31"/>
        <v>0</v>
      </c>
      <c r="N2455" s="274"/>
    </row>
    <row r="2456" spans="1:14" ht="13.5" customHeight="1">
      <c r="A2456" s="1"/>
      <c r="E2456" s="1" t="s">
        <v>1040</v>
      </c>
      <c r="F2456" s="1" t="s">
        <v>2652</v>
      </c>
      <c r="G2456" s="414" t="str">
        <f t="shared" si="32"/>
        <v>11-26</v>
      </c>
      <c r="H2456" s="273" t="e">
        <f ca="1">_xludf.IFNA(VLOOKUP(Aragon!E2456,'Kilter Holds'!$P$37:$AB$662,11,0),0)+_xludf.IFNA(VLOOKUP(A2456,'Kilter Holds'!$P$37:$AB$662,11,0),0)</f>
        <v>#NAME?</v>
      </c>
      <c r="I2456" s="274"/>
      <c r="J2456" s="274" t="e">
        <f t="shared" ca="1" si="30"/>
        <v>#NAME?</v>
      </c>
      <c r="K2456" s="274">
        <f t="shared" si="31"/>
        <v>0</v>
      </c>
      <c r="N2456" s="274"/>
    </row>
    <row r="2457" spans="1:14" ht="13.5" customHeight="1">
      <c r="A2457" s="1"/>
      <c r="E2457" s="1" t="s">
        <v>1040</v>
      </c>
      <c r="F2457" s="1" t="s">
        <v>2652</v>
      </c>
      <c r="G2457" s="415" t="str">
        <f t="shared" si="32"/>
        <v>18-01</v>
      </c>
      <c r="H2457" s="273" t="e">
        <f ca="1">_xludf.IFNA(VLOOKUP(Aragon!E2457,'Kilter Holds'!$P$37:$AB$662,12,0),0)+_xludf.IFNA(VLOOKUP(A2457,'Kilter Holds'!$P$37:$AB$662,12,0),0)</f>
        <v>#NAME?</v>
      </c>
      <c r="I2457" s="274"/>
      <c r="J2457" s="274" t="e">
        <f t="shared" ca="1" si="30"/>
        <v>#NAME?</v>
      </c>
      <c r="K2457" s="274">
        <f t="shared" si="31"/>
        <v>0</v>
      </c>
      <c r="N2457" s="274"/>
    </row>
    <row r="2458" spans="1:14" ht="13.5" customHeight="1">
      <c r="A2458" s="1"/>
      <c r="E2458" s="1" t="s">
        <v>1040</v>
      </c>
      <c r="F2458" s="1" t="s">
        <v>2652</v>
      </c>
      <c r="G2458" s="416" t="str">
        <f t="shared" si="32"/>
        <v>Color Code</v>
      </c>
      <c r="H2458" s="273" t="e">
        <f ca="1">_xludf.IFNA(VLOOKUP(Aragon!E2458,'Kilter Holds'!$P$37:$AB$662,13,0),0)+_xludf.IFNA(VLOOKUP(A2458,'Kilter Holds'!$P$37:$AB$662,13,0),0)</f>
        <v>#NAME?</v>
      </c>
      <c r="I2458" s="274"/>
      <c r="J2458" s="274" t="e">
        <f t="shared" ca="1" si="30"/>
        <v>#NAME?</v>
      </c>
      <c r="K2458" s="274">
        <f t="shared" si="31"/>
        <v>0</v>
      </c>
      <c r="N2458" s="274"/>
    </row>
    <row r="2459" spans="1:14" ht="13.5" customHeight="1">
      <c r="A2459" s="1"/>
      <c r="E2459" s="1" t="s">
        <v>321</v>
      </c>
      <c r="F2459" s="1" t="s">
        <v>2653</v>
      </c>
      <c r="G2459" s="406" t="str">
        <f t="shared" si="32"/>
        <v>11-12</v>
      </c>
      <c r="H2459" s="273" t="e">
        <f ca="1">_xludf.IFNA(VLOOKUP(Aragon!E2459,'Kilter Holds'!$P$37:$AB$662,5,0),0)+_xludf.IFNA(VLOOKUP(A2459,'Kilter Holds'!$P$37:$AB$662,5,0),0)</f>
        <v>#NAME?</v>
      </c>
      <c r="I2459" s="274"/>
      <c r="J2459" s="274" t="e">
        <f t="shared" ca="1" si="30"/>
        <v>#NAME?</v>
      </c>
      <c r="K2459" s="274">
        <f t="shared" si="31"/>
        <v>0</v>
      </c>
      <c r="N2459" s="274"/>
    </row>
    <row r="2460" spans="1:14" ht="13.5" customHeight="1">
      <c r="A2460" s="1"/>
      <c r="E2460" s="1" t="s">
        <v>321</v>
      </c>
      <c r="F2460" s="1" t="s">
        <v>2653</v>
      </c>
      <c r="G2460" s="408" t="str">
        <f t="shared" si="32"/>
        <v>14-01</v>
      </c>
      <c r="H2460" s="273" t="e">
        <f ca="1">_xludf.IFNA(VLOOKUP(Aragon!E2460,'Kilter Holds'!$P$37:$AB$662,6,0),0)+_xludf.IFNA(VLOOKUP(A2460,'Kilter Holds'!$P$37:$AB$662,6,0),0)</f>
        <v>#NAME?</v>
      </c>
      <c r="I2460" s="274"/>
      <c r="J2460" s="274" t="e">
        <f t="shared" ca="1" si="30"/>
        <v>#NAME?</v>
      </c>
      <c r="K2460" s="274">
        <f t="shared" si="31"/>
        <v>0</v>
      </c>
      <c r="N2460" s="274"/>
    </row>
    <row r="2461" spans="1:14" ht="13.5" customHeight="1">
      <c r="A2461" s="1"/>
      <c r="E2461" s="1" t="s">
        <v>321</v>
      </c>
      <c r="F2461" s="1" t="s">
        <v>2653</v>
      </c>
      <c r="G2461" s="409" t="str">
        <f t="shared" si="32"/>
        <v>15-12</v>
      </c>
      <c r="H2461" s="273" t="e">
        <f ca="1">_xludf.IFNA(VLOOKUP(Aragon!E2461,'Kilter Holds'!$P$37:$AB$662,7,0),0)+_xludf.IFNA(VLOOKUP(A2461,'Kilter Holds'!$P$37:$AB$662,7,0),0)</f>
        <v>#NAME?</v>
      </c>
      <c r="I2461" s="274"/>
      <c r="J2461" s="274" t="e">
        <f t="shared" ca="1" si="30"/>
        <v>#NAME?</v>
      </c>
      <c r="K2461" s="274">
        <f t="shared" si="31"/>
        <v>0</v>
      </c>
      <c r="N2461" s="274"/>
    </row>
    <row r="2462" spans="1:14" ht="13.5" customHeight="1">
      <c r="A2462" s="1"/>
      <c r="E2462" s="1" t="s">
        <v>321</v>
      </c>
      <c r="F2462" s="1" t="s">
        <v>2653</v>
      </c>
      <c r="G2462" s="410" t="str">
        <f t="shared" si="32"/>
        <v>16-16</v>
      </c>
      <c r="H2462" s="273" t="e">
        <f ca="1">_xludf.IFNA(VLOOKUP(Aragon!E2462,'Kilter Holds'!$P$37:$AB$662,8,0),0)+_xludf.IFNA(VLOOKUP(A2462,'Kilter Holds'!$P$37:$AB$662,8,0),0)</f>
        <v>#NAME?</v>
      </c>
      <c r="I2462" s="274"/>
      <c r="J2462" s="274" t="e">
        <f t="shared" ca="1" si="30"/>
        <v>#NAME?</v>
      </c>
      <c r="K2462" s="274">
        <f t="shared" si="31"/>
        <v>0</v>
      </c>
      <c r="N2462" s="274"/>
    </row>
    <row r="2463" spans="1:14" ht="13.5" customHeight="1">
      <c r="A2463" s="1"/>
      <c r="E2463" s="1" t="s">
        <v>321</v>
      </c>
      <c r="F2463" s="1" t="s">
        <v>2653</v>
      </c>
      <c r="G2463" s="411" t="str">
        <f t="shared" si="32"/>
        <v>13-01</v>
      </c>
      <c r="H2463" s="273" t="e">
        <f ca="1">_xludf.IFNA(VLOOKUP(Aragon!E2463,'Kilter Holds'!$P$37:$AB$662,9,0),0)+_xludf.IFNA(VLOOKUP(A2463,'Kilter Holds'!$P$37:$AB$662,9,0),0)</f>
        <v>#NAME?</v>
      </c>
      <c r="I2463" s="274"/>
      <c r="J2463" s="274" t="e">
        <f t="shared" ca="1" si="30"/>
        <v>#NAME?</v>
      </c>
      <c r="K2463" s="274">
        <f t="shared" si="31"/>
        <v>0</v>
      </c>
      <c r="N2463" s="274"/>
    </row>
    <row r="2464" spans="1:14" ht="13.5" customHeight="1">
      <c r="A2464" s="1"/>
      <c r="E2464" s="1" t="s">
        <v>321</v>
      </c>
      <c r="F2464" s="1" t="s">
        <v>2653</v>
      </c>
      <c r="G2464" s="413" t="str">
        <f t="shared" si="32"/>
        <v>07-13</v>
      </c>
      <c r="H2464" s="273" t="e">
        <f ca="1">_xludf.IFNA(VLOOKUP(Aragon!E2464,'Kilter Holds'!$P$37:$AB$662,10,0),0)+_xludf.IFNA(VLOOKUP(A2464,'Kilter Holds'!$P$37:$AB$662,10,0),0)</f>
        <v>#NAME?</v>
      </c>
      <c r="I2464" s="274"/>
      <c r="J2464" s="274" t="e">
        <f t="shared" ca="1" si="30"/>
        <v>#NAME?</v>
      </c>
      <c r="K2464" s="274">
        <f t="shared" si="31"/>
        <v>0</v>
      </c>
      <c r="N2464" s="274"/>
    </row>
    <row r="2465" spans="1:14" ht="13.5" customHeight="1">
      <c r="A2465" s="1"/>
      <c r="E2465" s="1" t="s">
        <v>321</v>
      </c>
      <c r="F2465" s="1" t="s">
        <v>2653</v>
      </c>
      <c r="G2465" s="414" t="str">
        <f t="shared" si="32"/>
        <v>11-26</v>
      </c>
      <c r="H2465" s="273" t="e">
        <f ca="1">_xludf.IFNA(VLOOKUP(Aragon!E2465,'Kilter Holds'!$P$37:$AB$662,11,0),0)+_xludf.IFNA(VLOOKUP(A2465,'Kilter Holds'!$P$37:$AB$662,11,0),0)</f>
        <v>#NAME?</v>
      </c>
      <c r="I2465" s="274"/>
      <c r="J2465" s="274" t="e">
        <f t="shared" ca="1" si="30"/>
        <v>#NAME?</v>
      </c>
      <c r="K2465" s="274">
        <f t="shared" si="31"/>
        <v>0</v>
      </c>
      <c r="N2465" s="274"/>
    </row>
    <row r="2466" spans="1:14" ht="13.5" customHeight="1">
      <c r="A2466" s="1"/>
      <c r="E2466" s="1" t="s">
        <v>321</v>
      </c>
      <c r="F2466" s="1" t="s">
        <v>2653</v>
      </c>
      <c r="G2466" s="415" t="str">
        <f t="shared" si="32"/>
        <v>18-01</v>
      </c>
      <c r="H2466" s="273" t="e">
        <f ca="1">_xludf.IFNA(VLOOKUP(Aragon!E2466,'Kilter Holds'!$P$37:$AB$662,12,0),0)+_xludf.IFNA(VLOOKUP(A2466,'Kilter Holds'!$P$37:$AB$662,12,0),0)</f>
        <v>#NAME?</v>
      </c>
      <c r="I2466" s="274"/>
      <c r="J2466" s="274" t="e">
        <f t="shared" ca="1" si="30"/>
        <v>#NAME?</v>
      </c>
      <c r="K2466" s="274">
        <f t="shared" si="31"/>
        <v>0</v>
      </c>
      <c r="N2466" s="274"/>
    </row>
    <row r="2467" spans="1:14" ht="13.5" customHeight="1">
      <c r="A2467" s="1"/>
      <c r="E2467" s="1" t="s">
        <v>321</v>
      </c>
      <c r="F2467" s="1" t="s">
        <v>2653</v>
      </c>
      <c r="G2467" s="416" t="str">
        <f t="shared" si="32"/>
        <v>Color Code</v>
      </c>
      <c r="H2467" s="273" t="e">
        <f ca="1">_xludf.IFNA(VLOOKUP(Aragon!E2467,'Kilter Holds'!$P$37:$AB$662,13,0),0)+_xludf.IFNA(VLOOKUP(A2467,'Kilter Holds'!$P$37:$AB$662,13,0),0)</f>
        <v>#NAME?</v>
      </c>
      <c r="I2467" s="274"/>
      <c r="J2467" s="274" t="e">
        <f t="shared" ca="1" si="30"/>
        <v>#NAME?</v>
      </c>
      <c r="K2467" s="274">
        <f t="shared" si="31"/>
        <v>0</v>
      </c>
      <c r="N2467" s="274"/>
    </row>
    <row r="2468" spans="1:14" ht="13.5" customHeight="1">
      <c r="A2468" s="1"/>
      <c r="E2468" s="1" t="s">
        <v>323</v>
      </c>
      <c r="F2468" s="1" t="s">
        <v>2654</v>
      </c>
      <c r="G2468" s="406" t="str">
        <f t="shared" si="32"/>
        <v>11-12</v>
      </c>
      <c r="H2468" s="273" t="e">
        <f ca="1">_xludf.IFNA(VLOOKUP(Aragon!E2468,'Kilter Holds'!$P$37:$AB$662,5,0),0)+_xludf.IFNA(VLOOKUP(A2468,'Kilter Holds'!$P$37:$AB$662,5,0),0)</f>
        <v>#NAME?</v>
      </c>
      <c r="I2468" s="274"/>
      <c r="J2468" s="274" t="e">
        <f t="shared" ca="1" si="30"/>
        <v>#NAME?</v>
      </c>
      <c r="K2468" s="274">
        <f t="shared" si="31"/>
        <v>0</v>
      </c>
      <c r="N2468" s="274"/>
    </row>
    <row r="2469" spans="1:14" ht="13.5" customHeight="1">
      <c r="A2469" s="1"/>
      <c r="E2469" s="1" t="s">
        <v>323</v>
      </c>
      <c r="F2469" s="1" t="s">
        <v>2654</v>
      </c>
      <c r="G2469" s="408" t="str">
        <f t="shared" si="32"/>
        <v>14-01</v>
      </c>
      <c r="H2469" s="273" t="e">
        <f ca="1">_xludf.IFNA(VLOOKUP(Aragon!E2469,'Kilter Holds'!$P$37:$AB$662,6,0),0)+_xludf.IFNA(VLOOKUP(A2469,'Kilter Holds'!$P$37:$AB$662,6,0),0)</f>
        <v>#NAME?</v>
      </c>
      <c r="I2469" s="274"/>
      <c r="J2469" s="274" t="e">
        <f t="shared" ca="1" si="30"/>
        <v>#NAME?</v>
      </c>
      <c r="K2469" s="274">
        <f t="shared" si="31"/>
        <v>0</v>
      </c>
      <c r="N2469" s="274"/>
    </row>
    <row r="2470" spans="1:14" ht="13.5" customHeight="1">
      <c r="A2470" s="1"/>
      <c r="E2470" s="1" t="s">
        <v>323</v>
      </c>
      <c r="F2470" s="1" t="s">
        <v>2654</v>
      </c>
      <c r="G2470" s="409" t="str">
        <f t="shared" si="32"/>
        <v>15-12</v>
      </c>
      <c r="H2470" s="273" t="e">
        <f ca="1">_xludf.IFNA(VLOOKUP(Aragon!E2470,'Kilter Holds'!$P$37:$AB$662,7,0),0)+_xludf.IFNA(VLOOKUP(A2470,'Kilter Holds'!$P$37:$AB$662,7,0),0)</f>
        <v>#NAME?</v>
      </c>
      <c r="I2470" s="274"/>
      <c r="J2470" s="274" t="e">
        <f t="shared" ca="1" si="30"/>
        <v>#NAME?</v>
      </c>
      <c r="K2470" s="274">
        <f t="shared" si="31"/>
        <v>0</v>
      </c>
      <c r="N2470" s="274"/>
    </row>
    <row r="2471" spans="1:14" ht="13.5" customHeight="1">
      <c r="A2471" s="1"/>
      <c r="E2471" s="1" t="s">
        <v>323</v>
      </c>
      <c r="F2471" s="1" t="s">
        <v>2654</v>
      </c>
      <c r="G2471" s="410" t="str">
        <f t="shared" si="32"/>
        <v>16-16</v>
      </c>
      <c r="H2471" s="273" t="e">
        <f ca="1">_xludf.IFNA(VLOOKUP(Aragon!E2471,'Kilter Holds'!$P$37:$AB$662,8,0),0)+_xludf.IFNA(VLOOKUP(A2471,'Kilter Holds'!$P$37:$AB$662,8,0),0)</f>
        <v>#NAME?</v>
      </c>
      <c r="I2471" s="274"/>
      <c r="J2471" s="274" t="e">
        <f t="shared" ca="1" si="30"/>
        <v>#NAME?</v>
      </c>
      <c r="K2471" s="274">
        <f t="shared" si="31"/>
        <v>0</v>
      </c>
      <c r="N2471" s="274"/>
    </row>
    <row r="2472" spans="1:14" ht="13.5" customHeight="1">
      <c r="A2472" s="1"/>
      <c r="E2472" s="1" t="s">
        <v>323</v>
      </c>
      <c r="F2472" s="1" t="s">
        <v>2654</v>
      </c>
      <c r="G2472" s="411" t="str">
        <f t="shared" si="32"/>
        <v>13-01</v>
      </c>
      <c r="H2472" s="273" t="e">
        <f ca="1">_xludf.IFNA(VLOOKUP(Aragon!E2472,'Kilter Holds'!$P$37:$AB$662,9,0),0)+_xludf.IFNA(VLOOKUP(A2472,'Kilter Holds'!$P$37:$AB$662,9,0),0)</f>
        <v>#NAME?</v>
      </c>
      <c r="I2472" s="274"/>
      <c r="J2472" s="274" t="e">
        <f t="shared" ca="1" si="30"/>
        <v>#NAME?</v>
      </c>
      <c r="K2472" s="274">
        <f t="shared" si="31"/>
        <v>0</v>
      </c>
      <c r="N2472" s="274"/>
    </row>
    <row r="2473" spans="1:14" ht="13.5" customHeight="1">
      <c r="A2473" s="1"/>
      <c r="E2473" s="1" t="s">
        <v>323</v>
      </c>
      <c r="F2473" s="1" t="s">
        <v>2654</v>
      </c>
      <c r="G2473" s="413" t="str">
        <f t="shared" si="32"/>
        <v>07-13</v>
      </c>
      <c r="H2473" s="273" t="e">
        <f ca="1">_xludf.IFNA(VLOOKUP(Aragon!E2473,'Kilter Holds'!$P$37:$AB$662,10,0),0)+_xludf.IFNA(VLOOKUP(A2473,'Kilter Holds'!$P$37:$AB$662,10,0),0)</f>
        <v>#NAME?</v>
      </c>
      <c r="I2473" s="274"/>
      <c r="J2473" s="274" t="e">
        <f t="shared" ca="1" si="30"/>
        <v>#NAME?</v>
      </c>
      <c r="K2473" s="274">
        <f t="shared" si="31"/>
        <v>0</v>
      </c>
      <c r="N2473" s="274"/>
    </row>
    <row r="2474" spans="1:14" ht="13.5" customHeight="1">
      <c r="A2474" s="1"/>
      <c r="E2474" s="1" t="s">
        <v>323</v>
      </c>
      <c r="F2474" s="1" t="s">
        <v>2654</v>
      </c>
      <c r="G2474" s="414" t="str">
        <f t="shared" si="32"/>
        <v>11-26</v>
      </c>
      <c r="H2474" s="273" t="e">
        <f ca="1">_xludf.IFNA(VLOOKUP(Aragon!E2474,'Kilter Holds'!$P$37:$AB$662,11,0),0)+_xludf.IFNA(VLOOKUP(A2474,'Kilter Holds'!$P$37:$AB$662,11,0),0)</f>
        <v>#NAME?</v>
      </c>
      <c r="I2474" s="274"/>
      <c r="J2474" s="274" t="e">
        <f t="shared" ca="1" si="30"/>
        <v>#NAME?</v>
      </c>
      <c r="K2474" s="274">
        <f t="shared" si="31"/>
        <v>0</v>
      </c>
      <c r="N2474" s="274"/>
    </row>
    <row r="2475" spans="1:14" ht="13.5" customHeight="1">
      <c r="A2475" s="1"/>
      <c r="E2475" s="1" t="s">
        <v>323</v>
      </c>
      <c r="F2475" s="1" t="s">
        <v>2654</v>
      </c>
      <c r="G2475" s="415" t="str">
        <f t="shared" si="32"/>
        <v>18-01</v>
      </c>
      <c r="H2475" s="273" t="e">
        <f ca="1">_xludf.IFNA(VLOOKUP(Aragon!E2475,'Kilter Holds'!$P$37:$AB$662,12,0),0)+_xludf.IFNA(VLOOKUP(A2475,'Kilter Holds'!$P$37:$AB$662,12,0),0)</f>
        <v>#NAME?</v>
      </c>
      <c r="I2475" s="274"/>
      <c r="J2475" s="274" t="e">
        <f t="shared" ca="1" si="30"/>
        <v>#NAME?</v>
      </c>
      <c r="K2475" s="274">
        <f t="shared" si="31"/>
        <v>0</v>
      </c>
      <c r="N2475" s="274"/>
    </row>
    <row r="2476" spans="1:14" ht="13.5" customHeight="1">
      <c r="A2476" s="1"/>
      <c r="E2476" s="1" t="s">
        <v>323</v>
      </c>
      <c r="F2476" s="1" t="s">
        <v>2654</v>
      </c>
      <c r="G2476" s="416" t="str">
        <f t="shared" si="32"/>
        <v>Color Code</v>
      </c>
      <c r="H2476" s="273" t="e">
        <f ca="1">_xludf.IFNA(VLOOKUP(Aragon!E2476,'Kilter Holds'!$P$37:$AB$662,13,0),0)+_xludf.IFNA(VLOOKUP(A2476,'Kilter Holds'!$P$37:$AB$662,13,0),0)</f>
        <v>#NAME?</v>
      </c>
      <c r="I2476" s="274"/>
      <c r="J2476" s="274" t="e">
        <f t="shared" ca="1" si="30"/>
        <v>#NAME?</v>
      </c>
      <c r="K2476" s="274">
        <f t="shared" si="31"/>
        <v>0</v>
      </c>
      <c r="N2476" s="274"/>
    </row>
    <row r="2477" spans="1:14" ht="13.5" customHeight="1">
      <c r="A2477" s="1"/>
      <c r="E2477" s="1" t="s">
        <v>1042</v>
      </c>
      <c r="F2477" s="1" t="s">
        <v>2655</v>
      </c>
      <c r="G2477" s="406" t="str">
        <f t="shared" si="32"/>
        <v>11-12</v>
      </c>
      <c r="H2477" s="273" t="e">
        <f ca="1">_xludf.IFNA(VLOOKUP(Aragon!E2477,'Kilter Holds'!$P$37:$AB$662,5,0),0)+_xludf.IFNA(VLOOKUP(A2477,'Kilter Holds'!$P$37:$AB$662,5,0),0)</f>
        <v>#NAME?</v>
      </c>
      <c r="I2477" s="274"/>
      <c r="J2477" s="274" t="e">
        <f t="shared" ca="1" si="30"/>
        <v>#NAME?</v>
      </c>
      <c r="K2477" s="274">
        <f t="shared" si="31"/>
        <v>0</v>
      </c>
      <c r="N2477" s="274"/>
    </row>
    <row r="2478" spans="1:14" ht="13.5" customHeight="1">
      <c r="A2478" s="1"/>
      <c r="E2478" s="1" t="s">
        <v>1042</v>
      </c>
      <c r="F2478" s="1" t="s">
        <v>2655</v>
      </c>
      <c r="G2478" s="408" t="str">
        <f t="shared" si="32"/>
        <v>14-01</v>
      </c>
      <c r="H2478" s="273" t="e">
        <f ca="1">_xludf.IFNA(VLOOKUP(Aragon!E2478,'Kilter Holds'!$P$37:$AB$662,6,0),0)+_xludf.IFNA(VLOOKUP(A2478,'Kilter Holds'!$P$37:$AB$662,6,0),0)</f>
        <v>#NAME?</v>
      </c>
      <c r="I2478" s="274"/>
      <c r="J2478" s="274" t="e">
        <f t="shared" ca="1" si="30"/>
        <v>#NAME?</v>
      </c>
      <c r="K2478" s="274">
        <f t="shared" si="31"/>
        <v>0</v>
      </c>
      <c r="N2478" s="274"/>
    </row>
    <row r="2479" spans="1:14" ht="13.5" customHeight="1">
      <c r="A2479" s="1"/>
      <c r="E2479" s="1" t="s">
        <v>1042</v>
      </c>
      <c r="F2479" s="1" t="s">
        <v>2655</v>
      </c>
      <c r="G2479" s="409" t="str">
        <f t="shared" si="32"/>
        <v>15-12</v>
      </c>
      <c r="H2479" s="273" t="e">
        <f ca="1">_xludf.IFNA(VLOOKUP(Aragon!E2479,'Kilter Holds'!$P$37:$AB$662,7,0),0)+_xludf.IFNA(VLOOKUP(A2479,'Kilter Holds'!$P$37:$AB$662,7,0),0)</f>
        <v>#NAME?</v>
      </c>
      <c r="I2479" s="274"/>
      <c r="J2479" s="274" t="e">
        <f t="shared" ca="1" si="30"/>
        <v>#NAME?</v>
      </c>
      <c r="K2479" s="274">
        <f t="shared" si="31"/>
        <v>0</v>
      </c>
      <c r="N2479" s="274"/>
    </row>
    <row r="2480" spans="1:14" ht="13.5" customHeight="1">
      <c r="A2480" s="1"/>
      <c r="E2480" s="1" t="s">
        <v>1042</v>
      </c>
      <c r="F2480" s="1" t="s">
        <v>2655</v>
      </c>
      <c r="G2480" s="410" t="str">
        <f t="shared" si="32"/>
        <v>16-16</v>
      </c>
      <c r="H2480" s="273" t="e">
        <f ca="1">_xludf.IFNA(VLOOKUP(Aragon!E2480,'Kilter Holds'!$P$37:$AB$662,8,0),0)+_xludf.IFNA(VLOOKUP(A2480,'Kilter Holds'!$P$37:$AB$662,8,0),0)</f>
        <v>#NAME?</v>
      </c>
      <c r="I2480" s="274"/>
      <c r="J2480" s="274" t="e">
        <f t="shared" ca="1" si="30"/>
        <v>#NAME?</v>
      </c>
      <c r="K2480" s="274">
        <f t="shared" si="31"/>
        <v>0</v>
      </c>
      <c r="N2480" s="274"/>
    </row>
    <row r="2481" spans="1:14" ht="13.5" customHeight="1">
      <c r="A2481" s="1"/>
      <c r="E2481" s="1" t="s">
        <v>1042</v>
      </c>
      <c r="F2481" s="1" t="s">
        <v>2655</v>
      </c>
      <c r="G2481" s="411" t="str">
        <f t="shared" si="32"/>
        <v>13-01</v>
      </c>
      <c r="H2481" s="273" t="e">
        <f ca="1">_xludf.IFNA(VLOOKUP(Aragon!E2481,'Kilter Holds'!$P$37:$AB$662,9,0),0)+_xludf.IFNA(VLOOKUP(A2481,'Kilter Holds'!$P$37:$AB$662,9,0),0)</f>
        <v>#NAME?</v>
      </c>
      <c r="I2481" s="274"/>
      <c r="J2481" s="274" t="e">
        <f t="shared" ca="1" si="30"/>
        <v>#NAME?</v>
      </c>
      <c r="K2481" s="274">
        <f t="shared" si="31"/>
        <v>0</v>
      </c>
      <c r="N2481" s="274"/>
    </row>
    <row r="2482" spans="1:14" ht="13.5" customHeight="1">
      <c r="A2482" s="1"/>
      <c r="E2482" s="1" t="s">
        <v>1042</v>
      </c>
      <c r="F2482" s="1" t="s">
        <v>2655</v>
      </c>
      <c r="G2482" s="413" t="str">
        <f t="shared" si="32"/>
        <v>07-13</v>
      </c>
      <c r="H2482" s="273" t="e">
        <f ca="1">_xludf.IFNA(VLOOKUP(Aragon!E2482,'Kilter Holds'!$P$37:$AB$662,10,0),0)+_xludf.IFNA(VLOOKUP(A2482,'Kilter Holds'!$P$37:$AB$662,10,0),0)</f>
        <v>#NAME?</v>
      </c>
      <c r="I2482" s="274"/>
      <c r="J2482" s="274" t="e">
        <f t="shared" ca="1" si="30"/>
        <v>#NAME?</v>
      </c>
      <c r="K2482" s="274">
        <f t="shared" si="31"/>
        <v>0</v>
      </c>
      <c r="N2482" s="274"/>
    </row>
    <row r="2483" spans="1:14" ht="13.5" customHeight="1">
      <c r="A2483" s="1"/>
      <c r="E2483" s="1" t="s">
        <v>1042</v>
      </c>
      <c r="F2483" s="1" t="s">
        <v>2655</v>
      </c>
      <c r="G2483" s="414" t="str">
        <f t="shared" si="32"/>
        <v>11-26</v>
      </c>
      <c r="H2483" s="273" t="e">
        <f ca="1">_xludf.IFNA(VLOOKUP(Aragon!E2483,'Kilter Holds'!$P$37:$AB$662,11,0),0)+_xludf.IFNA(VLOOKUP(A2483,'Kilter Holds'!$P$37:$AB$662,11,0),0)</f>
        <v>#NAME?</v>
      </c>
      <c r="I2483" s="274"/>
      <c r="J2483" s="274" t="e">
        <f t="shared" ca="1" si="30"/>
        <v>#NAME?</v>
      </c>
      <c r="K2483" s="274">
        <f t="shared" si="31"/>
        <v>0</v>
      </c>
      <c r="N2483" s="274"/>
    </row>
    <row r="2484" spans="1:14" ht="13.5" customHeight="1">
      <c r="A2484" s="1"/>
      <c r="E2484" s="1" t="s">
        <v>1042</v>
      </c>
      <c r="F2484" s="1" t="s">
        <v>2655</v>
      </c>
      <c r="G2484" s="415" t="str">
        <f t="shared" si="32"/>
        <v>18-01</v>
      </c>
      <c r="H2484" s="273" t="e">
        <f ca="1">_xludf.IFNA(VLOOKUP(Aragon!E2484,'Kilter Holds'!$P$37:$AB$662,12,0),0)+_xludf.IFNA(VLOOKUP(A2484,'Kilter Holds'!$P$37:$AB$662,12,0),0)</f>
        <v>#NAME?</v>
      </c>
      <c r="I2484" s="274"/>
      <c r="J2484" s="274" t="e">
        <f t="shared" ca="1" si="30"/>
        <v>#NAME?</v>
      </c>
      <c r="K2484" s="274">
        <f t="shared" si="31"/>
        <v>0</v>
      </c>
      <c r="N2484" s="274"/>
    </row>
    <row r="2485" spans="1:14" ht="13.5" customHeight="1">
      <c r="A2485" s="1"/>
      <c r="E2485" s="1" t="s">
        <v>1042</v>
      </c>
      <c r="F2485" s="1" t="s">
        <v>2655</v>
      </c>
      <c r="G2485" s="416" t="str">
        <f t="shared" si="32"/>
        <v>Color Code</v>
      </c>
      <c r="H2485" s="273" t="e">
        <f ca="1">_xludf.IFNA(VLOOKUP(Aragon!E2485,'Kilter Holds'!$P$37:$AB$662,13,0),0)+_xludf.IFNA(VLOOKUP(A2485,'Kilter Holds'!$P$37:$AB$662,13,0),0)</f>
        <v>#NAME?</v>
      </c>
      <c r="I2485" s="274"/>
      <c r="J2485" s="274" t="e">
        <f t="shared" ca="1" si="30"/>
        <v>#NAME?</v>
      </c>
      <c r="K2485" s="274">
        <f t="shared" si="31"/>
        <v>0</v>
      </c>
      <c r="N2485" s="274"/>
    </row>
    <row r="2486" spans="1:14" ht="13.5" customHeight="1">
      <c r="A2486" s="1"/>
      <c r="E2486" s="1" t="s">
        <v>325</v>
      </c>
      <c r="F2486" s="1" t="s">
        <v>2656</v>
      </c>
      <c r="G2486" s="406" t="str">
        <f t="shared" si="32"/>
        <v>11-12</v>
      </c>
      <c r="H2486" s="273" t="e">
        <f ca="1">_xludf.IFNA(VLOOKUP(Aragon!E2486,'Kilter Holds'!$P$37:$AB$662,5,0),0)+_xludf.IFNA(VLOOKUP(A2486,'Kilter Holds'!$P$37:$AB$662,5,0),0)</f>
        <v>#NAME?</v>
      </c>
      <c r="I2486" s="274"/>
      <c r="J2486" s="274" t="e">
        <f t="shared" ca="1" si="30"/>
        <v>#NAME?</v>
      </c>
      <c r="K2486" s="274">
        <f t="shared" si="31"/>
        <v>0</v>
      </c>
      <c r="N2486" s="274"/>
    </row>
    <row r="2487" spans="1:14" ht="13.5" customHeight="1">
      <c r="A2487" s="1"/>
      <c r="E2487" s="1" t="s">
        <v>325</v>
      </c>
      <c r="F2487" s="1" t="s">
        <v>2656</v>
      </c>
      <c r="G2487" s="408" t="str">
        <f t="shared" si="32"/>
        <v>14-01</v>
      </c>
      <c r="H2487" s="273" t="e">
        <f ca="1">_xludf.IFNA(VLOOKUP(Aragon!E2487,'Kilter Holds'!$P$37:$AB$662,6,0),0)+_xludf.IFNA(VLOOKUP(A2487,'Kilter Holds'!$P$37:$AB$662,6,0),0)</f>
        <v>#NAME?</v>
      </c>
      <c r="I2487" s="274"/>
      <c r="J2487" s="274" t="e">
        <f t="shared" ca="1" si="30"/>
        <v>#NAME?</v>
      </c>
      <c r="K2487" s="274">
        <f t="shared" si="31"/>
        <v>0</v>
      </c>
      <c r="N2487" s="274"/>
    </row>
    <row r="2488" spans="1:14" ht="13.5" customHeight="1">
      <c r="A2488" s="1"/>
      <c r="E2488" s="1" t="s">
        <v>325</v>
      </c>
      <c r="F2488" s="1" t="s">
        <v>2656</v>
      </c>
      <c r="G2488" s="409" t="str">
        <f t="shared" si="32"/>
        <v>15-12</v>
      </c>
      <c r="H2488" s="273" t="e">
        <f ca="1">_xludf.IFNA(VLOOKUP(Aragon!E2488,'Kilter Holds'!$P$37:$AB$662,7,0),0)+_xludf.IFNA(VLOOKUP(A2488,'Kilter Holds'!$P$37:$AB$662,7,0),0)</f>
        <v>#NAME?</v>
      </c>
      <c r="I2488" s="274"/>
      <c r="J2488" s="274" t="e">
        <f t="shared" ca="1" si="30"/>
        <v>#NAME?</v>
      </c>
      <c r="K2488" s="274">
        <f t="shared" si="31"/>
        <v>0</v>
      </c>
      <c r="N2488" s="274"/>
    </row>
    <row r="2489" spans="1:14" ht="13.5" customHeight="1">
      <c r="A2489" s="1"/>
      <c r="E2489" s="1" t="s">
        <v>325</v>
      </c>
      <c r="F2489" s="1" t="s">
        <v>2656</v>
      </c>
      <c r="G2489" s="410" t="str">
        <f t="shared" si="32"/>
        <v>16-16</v>
      </c>
      <c r="H2489" s="273" t="e">
        <f ca="1">_xludf.IFNA(VLOOKUP(Aragon!E2489,'Kilter Holds'!$P$37:$AB$662,8,0),0)+_xludf.IFNA(VLOOKUP(A2489,'Kilter Holds'!$P$37:$AB$662,8,0),0)</f>
        <v>#NAME?</v>
      </c>
      <c r="I2489" s="274"/>
      <c r="J2489" s="274" t="e">
        <f t="shared" ca="1" si="30"/>
        <v>#NAME?</v>
      </c>
      <c r="K2489" s="274">
        <f t="shared" si="31"/>
        <v>0</v>
      </c>
      <c r="N2489" s="274"/>
    </row>
    <row r="2490" spans="1:14" ht="13.5" customHeight="1">
      <c r="A2490" s="1"/>
      <c r="E2490" s="1" t="s">
        <v>325</v>
      </c>
      <c r="F2490" s="1" t="s">
        <v>2656</v>
      </c>
      <c r="G2490" s="411" t="str">
        <f t="shared" si="32"/>
        <v>13-01</v>
      </c>
      <c r="H2490" s="273" t="e">
        <f ca="1">_xludf.IFNA(VLOOKUP(Aragon!E2490,'Kilter Holds'!$P$37:$AB$662,9,0),0)+_xludf.IFNA(VLOOKUP(A2490,'Kilter Holds'!$P$37:$AB$662,9,0),0)</f>
        <v>#NAME?</v>
      </c>
      <c r="I2490" s="274"/>
      <c r="J2490" s="274" t="e">
        <f t="shared" ca="1" si="30"/>
        <v>#NAME?</v>
      </c>
      <c r="K2490" s="274">
        <f t="shared" si="31"/>
        <v>0</v>
      </c>
      <c r="N2490" s="274"/>
    </row>
    <row r="2491" spans="1:14" ht="13.5" customHeight="1">
      <c r="A2491" s="1"/>
      <c r="E2491" s="1" t="s">
        <v>325</v>
      </c>
      <c r="F2491" s="1" t="s">
        <v>2656</v>
      </c>
      <c r="G2491" s="413" t="str">
        <f t="shared" si="32"/>
        <v>07-13</v>
      </c>
      <c r="H2491" s="273" t="e">
        <f ca="1">_xludf.IFNA(VLOOKUP(Aragon!E2491,'Kilter Holds'!$P$37:$AB$662,10,0),0)+_xludf.IFNA(VLOOKUP(A2491,'Kilter Holds'!$P$37:$AB$662,10,0),0)</f>
        <v>#NAME?</v>
      </c>
      <c r="I2491" s="274"/>
      <c r="J2491" s="274" t="e">
        <f t="shared" ca="1" si="30"/>
        <v>#NAME?</v>
      </c>
      <c r="K2491" s="274">
        <f t="shared" si="31"/>
        <v>0</v>
      </c>
      <c r="N2491" s="274"/>
    </row>
    <row r="2492" spans="1:14" ht="13.5" customHeight="1">
      <c r="A2492" s="1"/>
      <c r="E2492" s="1" t="s">
        <v>325</v>
      </c>
      <c r="F2492" s="1" t="s">
        <v>2656</v>
      </c>
      <c r="G2492" s="414" t="str">
        <f t="shared" si="32"/>
        <v>11-26</v>
      </c>
      <c r="H2492" s="273" t="e">
        <f ca="1">_xludf.IFNA(VLOOKUP(Aragon!E2492,'Kilter Holds'!$P$37:$AB$662,11,0),0)+_xludf.IFNA(VLOOKUP(A2492,'Kilter Holds'!$P$37:$AB$662,11,0),0)</f>
        <v>#NAME?</v>
      </c>
      <c r="I2492" s="274"/>
      <c r="J2492" s="274" t="e">
        <f t="shared" ca="1" si="30"/>
        <v>#NAME?</v>
      </c>
      <c r="K2492" s="274">
        <f t="shared" si="31"/>
        <v>0</v>
      </c>
      <c r="N2492" s="274"/>
    </row>
    <row r="2493" spans="1:14" ht="13.5" customHeight="1">
      <c r="A2493" s="1"/>
      <c r="E2493" s="1" t="s">
        <v>325</v>
      </c>
      <c r="F2493" s="1" t="s">
        <v>2656</v>
      </c>
      <c r="G2493" s="415" t="str">
        <f t="shared" si="32"/>
        <v>18-01</v>
      </c>
      <c r="H2493" s="273" t="e">
        <f ca="1">_xludf.IFNA(VLOOKUP(Aragon!E2493,'Kilter Holds'!$P$37:$AB$662,12,0),0)+_xludf.IFNA(VLOOKUP(A2493,'Kilter Holds'!$P$37:$AB$662,12,0),0)</f>
        <v>#NAME?</v>
      </c>
      <c r="I2493" s="274"/>
      <c r="J2493" s="274" t="e">
        <f t="shared" ca="1" si="30"/>
        <v>#NAME?</v>
      </c>
      <c r="K2493" s="274">
        <f t="shared" si="31"/>
        <v>0</v>
      </c>
      <c r="N2493" s="274"/>
    </row>
    <row r="2494" spans="1:14" ht="13.5" customHeight="1">
      <c r="A2494" s="1"/>
      <c r="E2494" s="1" t="s">
        <v>325</v>
      </c>
      <c r="F2494" s="1" t="s">
        <v>2656</v>
      </c>
      <c r="G2494" s="416" t="str">
        <f t="shared" si="32"/>
        <v>Color Code</v>
      </c>
      <c r="H2494" s="273" t="e">
        <f ca="1">_xludf.IFNA(VLOOKUP(Aragon!E2494,'Kilter Holds'!$P$37:$AB$662,13,0),0)+_xludf.IFNA(VLOOKUP(A2494,'Kilter Holds'!$P$37:$AB$662,13,0),0)</f>
        <v>#NAME?</v>
      </c>
      <c r="I2494" s="274"/>
      <c r="J2494" s="274" t="e">
        <f t="shared" ca="1" si="30"/>
        <v>#NAME?</v>
      </c>
      <c r="K2494" s="274">
        <f t="shared" si="31"/>
        <v>0</v>
      </c>
      <c r="N2494" s="274"/>
    </row>
    <row r="2495" spans="1:14" ht="13.5" customHeight="1">
      <c r="A2495" s="1"/>
      <c r="E2495" s="1" t="s">
        <v>327</v>
      </c>
      <c r="F2495" s="1" t="s">
        <v>2657</v>
      </c>
      <c r="G2495" s="406" t="str">
        <f t="shared" si="32"/>
        <v>11-12</v>
      </c>
      <c r="H2495" s="273" t="e">
        <f ca="1">_xludf.IFNA(VLOOKUP(Aragon!E2495,'Kilter Holds'!$P$37:$AB$662,5,0),0)+_xludf.IFNA(VLOOKUP(A2495,'Kilter Holds'!$P$37:$AB$662,5,0),0)</f>
        <v>#NAME?</v>
      </c>
      <c r="I2495" s="274"/>
      <c r="J2495" s="274" t="e">
        <f t="shared" ca="1" si="30"/>
        <v>#NAME?</v>
      </c>
      <c r="K2495" s="274">
        <f t="shared" si="31"/>
        <v>0</v>
      </c>
      <c r="N2495" s="274"/>
    </row>
    <row r="2496" spans="1:14" ht="13.5" customHeight="1">
      <c r="A2496" s="1"/>
      <c r="E2496" s="1" t="s">
        <v>327</v>
      </c>
      <c r="F2496" s="1" t="s">
        <v>2657</v>
      </c>
      <c r="G2496" s="408" t="str">
        <f t="shared" si="32"/>
        <v>14-01</v>
      </c>
      <c r="H2496" s="273" t="e">
        <f ca="1">_xludf.IFNA(VLOOKUP(Aragon!E2496,'Kilter Holds'!$P$37:$AB$662,6,0),0)+_xludf.IFNA(VLOOKUP(A2496,'Kilter Holds'!$P$37:$AB$662,6,0),0)</f>
        <v>#NAME?</v>
      </c>
      <c r="I2496" s="274"/>
      <c r="J2496" s="274" t="e">
        <f t="shared" ca="1" si="30"/>
        <v>#NAME?</v>
      </c>
      <c r="K2496" s="274">
        <f t="shared" si="31"/>
        <v>0</v>
      </c>
      <c r="N2496" s="274"/>
    </row>
    <row r="2497" spans="1:14" ht="13.5" customHeight="1">
      <c r="A2497" s="1"/>
      <c r="E2497" s="1" t="s">
        <v>327</v>
      </c>
      <c r="F2497" s="1" t="s">
        <v>2657</v>
      </c>
      <c r="G2497" s="409" t="str">
        <f t="shared" si="32"/>
        <v>15-12</v>
      </c>
      <c r="H2497" s="273" t="e">
        <f ca="1">_xludf.IFNA(VLOOKUP(Aragon!E2497,'Kilter Holds'!$P$37:$AB$662,7,0),0)+_xludf.IFNA(VLOOKUP(A2497,'Kilter Holds'!$P$37:$AB$662,7,0),0)</f>
        <v>#NAME?</v>
      </c>
      <c r="I2497" s="274"/>
      <c r="J2497" s="274" t="e">
        <f t="shared" ca="1" si="30"/>
        <v>#NAME?</v>
      </c>
      <c r="K2497" s="274">
        <f t="shared" si="31"/>
        <v>0</v>
      </c>
      <c r="N2497" s="274"/>
    </row>
    <row r="2498" spans="1:14" ht="13.5" customHeight="1">
      <c r="A2498" s="1"/>
      <c r="E2498" s="1" t="s">
        <v>327</v>
      </c>
      <c r="F2498" s="1" t="s">
        <v>2657</v>
      </c>
      <c r="G2498" s="410" t="str">
        <f t="shared" si="32"/>
        <v>16-16</v>
      </c>
      <c r="H2498" s="273" t="e">
        <f ca="1">_xludf.IFNA(VLOOKUP(Aragon!E2498,'Kilter Holds'!$P$37:$AB$662,8,0),0)+_xludf.IFNA(VLOOKUP(A2498,'Kilter Holds'!$P$37:$AB$662,8,0),0)</f>
        <v>#NAME?</v>
      </c>
      <c r="I2498" s="274"/>
      <c r="J2498" s="274" t="e">
        <f t="shared" ca="1" si="30"/>
        <v>#NAME?</v>
      </c>
      <c r="K2498" s="274">
        <f t="shared" si="31"/>
        <v>0</v>
      </c>
      <c r="N2498" s="274"/>
    </row>
    <row r="2499" spans="1:14" ht="13.5" customHeight="1">
      <c r="A2499" s="1"/>
      <c r="E2499" s="1" t="s">
        <v>327</v>
      </c>
      <c r="F2499" s="1" t="s">
        <v>2657</v>
      </c>
      <c r="G2499" s="411" t="str">
        <f t="shared" si="32"/>
        <v>13-01</v>
      </c>
      <c r="H2499" s="273" t="e">
        <f ca="1">_xludf.IFNA(VLOOKUP(Aragon!E2499,'Kilter Holds'!$P$37:$AB$662,9,0),0)+_xludf.IFNA(VLOOKUP(A2499,'Kilter Holds'!$P$37:$AB$662,9,0),0)</f>
        <v>#NAME?</v>
      </c>
      <c r="I2499" s="274"/>
      <c r="J2499" s="274" t="e">
        <f t="shared" ca="1" si="30"/>
        <v>#NAME?</v>
      </c>
      <c r="K2499" s="274">
        <f t="shared" si="31"/>
        <v>0</v>
      </c>
      <c r="N2499" s="274"/>
    </row>
    <row r="2500" spans="1:14" ht="13.5" customHeight="1">
      <c r="A2500" s="1"/>
      <c r="E2500" s="1" t="s">
        <v>327</v>
      </c>
      <c r="F2500" s="1" t="s">
        <v>2657</v>
      </c>
      <c r="G2500" s="413" t="str">
        <f t="shared" si="32"/>
        <v>07-13</v>
      </c>
      <c r="H2500" s="273" t="e">
        <f ca="1">_xludf.IFNA(VLOOKUP(Aragon!E2500,'Kilter Holds'!$P$37:$AB$662,10,0),0)+_xludf.IFNA(VLOOKUP(A2500,'Kilter Holds'!$P$37:$AB$662,10,0),0)</f>
        <v>#NAME?</v>
      </c>
      <c r="I2500" s="274"/>
      <c r="J2500" s="274" t="e">
        <f t="shared" ca="1" si="30"/>
        <v>#NAME?</v>
      </c>
      <c r="K2500" s="274">
        <f t="shared" si="31"/>
        <v>0</v>
      </c>
      <c r="N2500" s="274"/>
    </row>
    <row r="2501" spans="1:14" ht="13.5" customHeight="1">
      <c r="A2501" s="1"/>
      <c r="E2501" s="1" t="s">
        <v>327</v>
      </c>
      <c r="F2501" s="1" t="s">
        <v>2657</v>
      </c>
      <c r="G2501" s="414" t="str">
        <f t="shared" si="32"/>
        <v>11-26</v>
      </c>
      <c r="H2501" s="273" t="e">
        <f ca="1">_xludf.IFNA(VLOOKUP(Aragon!E2501,'Kilter Holds'!$P$37:$AB$662,11,0),0)+_xludf.IFNA(VLOOKUP(A2501,'Kilter Holds'!$P$37:$AB$662,11,0),0)</f>
        <v>#NAME?</v>
      </c>
      <c r="I2501" s="274"/>
      <c r="J2501" s="274" t="e">
        <f t="shared" ca="1" si="30"/>
        <v>#NAME?</v>
      </c>
      <c r="K2501" s="274">
        <f t="shared" si="31"/>
        <v>0</v>
      </c>
      <c r="N2501" s="274"/>
    </row>
    <row r="2502" spans="1:14" ht="13.5" customHeight="1">
      <c r="A2502" s="1"/>
      <c r="E2502" s="1" t="s">
        <v>327</v>
      </c>
      <c r="F2502" s="1" t="s">
        <v>2657</v>
      </c>
      <c r="G2502" s="415" t="str">
        <f t="shared" si="32"/>
        <v>18-01</v>
      </c>
      <c r="H2502" s="273" t="e">
        <f ca="1">_xludf.IFNA(VLOOKUP(Aragon!E2502,'Kilter Holds'!$P$37:$AB$662,12,0),0)+_xludf.IFNA(VLOOKUP(A2502,'Kilter Holds'!$P$37:$AB$662,12,0),0)</f>
        <v>#NAME?</v>
      </c>
      <c r="I2502" s="274"/>
      <c r="J2502" s="274" t="e">
        <f t="shared" ca="1" si="30"/>
        <v>#NAME?</v>
      </c>
      <c r="K2502" s="274">
        <f t="shared" si="31"/>
        <v>0</v>
      </c>
      <c r="N2502" s="274"/>
    </row>
    <row r="2503" spans="1:14" ht="13.5" customHeight="1">
      <c r="A2503" s="1"/>
      <c r="E2503" s="1" t="s">
        <v>327</v>
      </c>
      <c r="F2503" s="1" t="s">
        <v>2657</v>
      </c>
      <c r="G2503" s="416" t="str">
        <f t="shared" si="32"/>
        <v>Color Code</v>
      </c>
      <c r="H2503" s="273" t="e">
        <f ca="1">_xludf.IFNA(VLOOKUP(Aragon!E2503,'Kilter Holds'!$P$37:$AB$662,13,0),0)+_xludf.IFNA(VLOOKUP(A2503,'Kilter Holds'!$P$37:$AB$662,13,0),0)</f>
        <v>#NAME?</v>
      </c>
      <c r="I2503" s="274"/>
      <c r="J2503" s="274" t="e">
        <f t="shared" ca="1" si="30"/>
        <v>#NAME?</v>
      </c>
      <c r="K2503" s="274">
        <f t="shared" si="31"/>
        <v>0</v>
      </c>
      <c r="N2503" s="274"/>
    </row>
    <row r="2504" spans="1:14" ht="13.5" customHeight="1">
      <c r="A2504" s="1"/>
      <c r="E2504" s="1" t="s">
        <v>329</v>
      </c>
      <c r="F2504" s="1" t="s">
        <v>2658</v>
      </c>
      <c r="G2504" s="406" t="str">
        <f t="shared" si="32"/>
        <v>11-12</v>
      </c>
      <c r="H2504" s="273" t="e">
        <f ca="1">_xludf.IFNA(VLOOKUP(Aragon!E2504,'Kilter Holds'!$P$37:$AB$662,5,0),0)+_xludf.IFNA(VLOOKUP(A2504,'Kilter Holds'!$P$37:$AB$662,5,0),0)</f>
        <v>#NAME?</v>
      </c>
      <c r="I2504" s="274"/>
      <c r="J2504" s="274" t="e">
        <f t="shared" ca="1" si="30"/>
        <v>#NAME?</v>
      </c>
      <c r="K2504" s="274">
        <f t="shared" si="31"/>
        <v>0</v>
      </c>
      <c r="N2504" s="274"/>
    </row>
    <row r="2505" spans="1:14" ht="13.5" customHeight="1">
      <c r="A2505" s="1"/>
      <c r="E2505" s="1" t="s">
        <v>329</v>
      </c>
      <c r="F2505" s="1" t="s">
        <v>2658</v>
      </c>
      <c r="G2505" s="408" t="str">
        <f t="shared" si="32"/>
        <v>14-01</v>
      </c>
      <c r="H2505" s="273" t="e">
        <f ca="1">_xludf.IFNA(VLOOKUP(Aragon!E2505,'Kilter Holds'!$P$37:$AB$662,6,0),0)+_xludf.IFNA(VLOOKUP(A2505,'Kilter Holds'!$P$37:$AB$662,6,0),0)</f>
        <v>#NAME?</v>
      </c>
      <c r="I2505" s="274"/>
      <c r="J2505" s="274" t="e">
        <f t="shared" ca="1" si="30"/>
        <v>#NAME?</v>
      </c>
      <c r="K2505" s="274">
        <f t="shared" si="31"/>
        <v>0</v>
      </c>
      <c r="N2505" s="274"/>
    </row>
    <row r="2506" spans="1:14" ht="13.5" customHeight="1">
      <c r="A2506" s="1"/>
      <c r="E2506" s="1" t="s">
        <v>329</v>
      </c>
      <c r="F2506" s="1" t="s">
        <v>2658</v>
      </c>
      <c r="G2506" s="409" t="str">
        <f t="shared" si="32"/>
        <v>15-12</v>
      </c>
      <c r="H2506" s="273" t="e">
        <f ca="1">_xludf.IFNA(VLOOKUP(Aragon!E2506,'Kilter Holds'!$P$37:$AB$662,7,0),0)+_xludf.IFNA(VLOOKUP(A2506,'Kilter Holds'!$P$37:$AB$662,7,0),0)</f>
        <v>#NAME?</v>
      </c>
      <c r="I2506" s="274"/>
      <c r="J2506" s="274" t="e">
        <f t="shared" ca="1" si="30"/>
        <v>#NAME?</v>
      </c>
      <c r="K2506" s="274">
        <f t="shared" si="31"/>
        <v>0</v>
      </c>
      <c r="N2506" s="274"/>
    </row>
    <row r="2507" spans="1:14" ht="13.5" customHeight="1">
      <c r="A2507" s="1"/>
      <c r="E2507" s="1" t="s">
        <v>329</v>
      </c>
      <c r="F2507" s="1" t="s">
        <v>2658</v>
      </c>
      <c r="G2507" s="410" t="str">
        <f t="shared" si="32"/>
        <v>16-16</v>
      </c>
      <c r="H2507" s="273" t="e">
        <f ca="1">_xludf.IFNA(VLOOKUP(Aragon!E2507,'Kilter Holds'!$P$37:$AB$662,8,0),0)+_xludf.IFNA(VLOOKUP(A2507,'Kilter Holds'!$P$37:$AB$662,8,0),0)</f>
        <v>#NAME?</v>
      </c>
      <c r="I2507" s="274"/>
      <c r="J2507" s="274" t="e">
        <f t="shared" ca="1" si="30"/>
        <v>#NAME?</v>
      </c>
      <c r="K2507" s="274">
        <f t="shared" si="31"/>
        <v>0</v>
      </c>
      <c r="N2507" s="274"/>
    </row>
    <row r="2508" spans="1:14" ht="13.5" customHeight="1">
      <c r="A2508" s="1"/>
      <c r="E2508" s="1" t="s">
        <v>329</v>
      </c>
      <c r="F2508" s="1" t="s">
        <v>2658</v>
      </c>
      <c r="G2508" s="411" t="str">
        <f t="shared" si="32"/>
        <v>13-01</v>
      </c>
      <c r="H2508" s="273" t="e">
        <f ca="1">_xludf.IFNA(VLOOKUP(Aragon!E2508,'Kilter Holds'!$P$37:$AB$662,9,0),0)+_xludf.IFNA(VLOOKUP(A2508,'Kilter Holds'!$P$37:$AB$662,9,0),0)</f>
        <v>#NAME?</v>
      </c>
      <c r="I2508" s="274"/>
      <c r="J2508" s="274" t="e">
        <f t="shared" ca="1" si="30"/>
        <v>#NAME?</v>
      </c>
      <c r="K2508" s="274">
        <f t="shared" si="31"/>
        <v>0</v>
      </c>
      <c r="N2508" s="274"/>
    </row>
    <row r="2509" spans="1:14" ht="13.5" customHeight="1">
      <c r="A2509" s="1"/>
      <c r="E2509" s="1" t="s">
        <v>329</v>
      </c>
      <c r="F2509" s="1" t="s">
        <v>2658</v>
      </c>
      <c r="G2509" s="413" t="str">
        <f t="shared" si="32"/>
        <v>07-13</v>
      </c>
      <c r="H2509" s="273" t="e">
        <f ca="1">_xludf.IFNA(VLOOKUP(Aragon!E2509,'Kilter Holds'!$P$37:$AB$662,10,0),0)+_xludf.IFNA(VLOOKUP(A2509,'Kilter Holds'!$P$37:$AB$662,10,0),0)</f>
        <v>#NAME?</v>
      </c>
      <c r="I2509" s="274"/>
      <c r="J2509" s="274" t="e">
        <f t="shared" ca="1" si="30"/>
        <v>#NAME?</v>
      </c>
      <c r="K2509" s="274">
        <f t="shared" si="31"/>
        <v>0</v>
      </c>
      <c r="N2509" s="274"/>
    </row>
    <row r="2510" spans="1:14" ht="13.5" customHeight="1">
      <c r="A2510" s="1"/>
      <c r="E2510" s="1" t="s">
        <v>329</v>
      </c>
      <c r="F2510" s="1" t="s">
        <v>2658</v>
      </c>
      <c r="G2510" s="414" t="str">
        <f t="shared" si="32"/>
        <v>11-26</v>
      </c>
      <c r="H2510" s="273" t="e">
        <f ca="1">_xludf.IFNA(VLOOKUP(Aragon!E2510,'Kilter Holds'!$P$37:$AB$662,11,0),0)+_xludf.IFNA(VLOOKUP(A2510,'Kilter Holds'!$P$37:$AB$662,11,0),0)</f>
        <v>#NAME?</v>
      </c>
      <c r="I2510" s="274"/>
      <c r="J2510" s="274" t="e">
        <f t="shared" ca="1" si="30"/>
        <v>#NAME?</v>
      </c>
      <c r="K2510" s="274">
        <f t="shared" si="31"/>
        <v>0</v>
      </c>
      <c r="N2510" s="274"/>
    </row>
    <row r="2511" spans="1:14" ht="13.5" customHeight="1">
      <c r="A2511" s="1"/>
      <c r="E2511" s="1" t="s">
        <v>329</v>
      </c>
      <c r="F2511" s="1" t="s">
        <v>2658</v>
      </c>
      <c r="G2511" s="415" t="str">
        <f t="shared" si="32"/>
        <v>18-01</v>
      </c>
      <c r="H2511" s="273" t="e">
        <f ca="1">_xludf.IFNA(VLOOKUP(Aragon!E2511,'Kilter Holds'!$P$37:$AB$662,12,0),0)+_xludf.IFNA(VLOOKUP(A2511,'Kilter Holds'!$P$37:$AB$662,12,0),0)</f>
        <v>#NAME?</v>
      </c>
      <c r="I2511" s="274"/>
      <c r="J2511" s="274" t="e">
        <f t="shared" ca="1" si="30"/>
        <v>#NAME?</v>
      </c>
      <c r="K2511" s="274">
        <f t="shared" si="31"/>
        <v>0</v>
      </c>
      <c r="N2511" s="274"/>
    </row>
    <row r="2512" spans="1:14" ht="13.5" customHeight="1">
      <c r="A2512" s="1"/>
      <c r="E2512" s="1" t="s">
        <v>329</v>
      </c>
      <c r="F2512" s="1" t="s">
        <v>2658</v>
      </c>
      <c r="G2512" s="416" t="str">
        <f t="shared" si="32"/>
        <v>Color Code</v>
      </c>
      <c r="H2512" s="273" t="e">
        <f ca="1">_xludf.IFNA(VLOOKUP(Aragon!E2512,'Kilter Holds'!$P$37:$AB$662,13,0),0)+_xludf.IFNA(VLOOKUP(A2512,'Kilter Holds'!$P$37:$AB$662,13,0),0)</f>
        <v>#NAME?</v>
      </c>
      <c r="I2512" s="274"/>
      <c r="J2512" s="274" t="e">
        <f t="shared" ca="1" si="30"/>
        <v>#NAME?</v>
      </c>
      <c r="K2512" s="274">
        <f t="shared" si="31"/>
        <v>0</v>
      </c>
      <c r="N2512" s="274"/>
    </row>
    <row r="2513" spans="1:14" ht="13.5" customHeight="1">
      <c r="A2513" s="1"/>
      <c r="E2513" s="1" t="s">
        <v>349</v>
      </c>
      <c r="F2513" s="1" t="s">
        <v>2659</v>
      </c>
      <c r="G2513" s="406" t="str">
        <f t="shared" si="32"/>
        <v>11-12</v>
      </c>
      <c r="H2513" s="273" t="e">
        <f ca="1">_xludf.IFNA(VLOOKUP(Aragon!E2513,'Kilter Holds'!$P$37:$AB$662,5,0),0)+_xludf.IFNA(VLOOKUP(A2513,'Kilter Holds'!$P$37:$AB$662,5,0),0)</f>
        <v>#NAME?</v>
      </c>
      <c r="I2513" s="274"/>
      <c r="J2513" s="274" t="e">
        <f t="shared" ca="1" si="30"/>
        <v>#NAME?</v>
      </c>
      <c r="K2513" s="274">
        <f t="shared" si="31"/>
        <v>0</v>
      </c>
      <c r="N2513" s="274"/>
    </row>
    <row r="2514" spans="1:14" ht="13.5" customHeight="1">
      <c r="A2514" s="1"/>
      <c r="E2514" s="1" t="s">
        <v>349</v>
      </c>
      <c r="F2514" s="1" t="s">
        <v>2659</v>
      </c>
      <c r="G2514" s="408" t="str">
        <f t="shared" si="32"/>
        <v>14-01</v>
      </c>
      <c r="H2514" s="273" t="e">
        <f ca="1">_xludf.IFNA(VLOOKUP(Aragon!E2514,'Kilter Holds'!$P$37:$AB$662,6,0),0)+_xludf.IFNA(VLOOKUP(A2514,'Kilter Holds'!$P$37:$AB$662,6,0),0)</f>
        <v>#NAME?</v>
      </c>
      <c r="I2514" s="274"/>
      <c r="J2514" s="274" t="e">
        <f t="shared" ca="1" si="30"/>
        <v>#NAME?</v>
      </c>
      <c r="K2514" s="274">
        <f t="shared" si="31"/>
        <v>0</v>
      </c>
      <c r="N2514" s="274"/>
    </row>
    <row r="2515" spans="1:14" ht="13.5" customHeight="1">
      <c r="A2515" s="1"/>
      <c r="E2515" s="1" t="s">
        <v>349</v>
      </c>
      <c r="F2515" s="1" t="s">
        <v>2659</v>
      </c>
      <c r="G2515" s="409" t="str">
        <f t="shared" si="32"/>
        <v>15-12</v>
      </c>
      <c r="H2515" s="273" t="e">
        <f ca="1">_xludf.IFNA(VLOOKUP(Aragon!E2515,'Kilter Holds'!$P$37:$AB$662,7,0),0)+_xludf.IFNA(VLOOKUP(A2515,'Kilter Holds'!$P$37:$AB$662,7,0),0)</f>
        <v>#NAME?</v>
      </c>
      <c r="I2515" s="274"/>
      <c r="J2515" s="274" t="e">
        <f t="shared" ca="1" si="30"/>
        <v>#NAME?</v>
      </c>
      <c r="K2515" s="274">
        <f t="shared" si="31"/>
        <v>0</v>
      </c>
      <c r="N2515" s="274"/>
    </row>
    <row r="2516" spans="1:14" ht="13.5" customHeight="1">
      <c r="A2516" s="1"/>
      <c r="E2516" s="1" t="s">
        <v>349</v>
      </c>
      <c r="F2516" s="1" t="s">
        <v>2659</v>
      </c>
      <c r="G2516" s="410" t="str">
        <f t="shared" si="32"/>
        <v>16-16</v>
      </c>
      <c r="H2516" s="273" t="e">
        <f ca="1">_xludf.IFNA(VLOOKUP(Aragon!E2516,'Kilter Holds'!$P$37:$AB$662,8,0),0)+_xludf.IFNA(VLOOKUP(A2516,'Kilter Holds'!$P$37:$AB$662,8,0),0)</f>
        <v>#NAME?</v>
      </c>
      <c r="I2516" s="274"/>
      <c r="J2516" s="274" t="e">
        <f t="shared" ca="1" si="30"/>
        <v>#NAME?</v>
      </c>
      <c r="K2516" s="274">
        <f t="shared" si="31"/>
        <v>0</v>
      </c>
      <c r="N2516" s="274"/>
    </row>
    <row r="2517" spans="1:14" ht="13.5" customHeight="1">
      <c r="A2517" s="1"/>
      <c r="E2517" s="1" t="s">
        <v>349</v>
      </c>
      <c r="F2517" s="1" t="s">
        <v>2659</v>
      </c>
      <c r="G2517" s="411" t="str">
        <f t="shared" si="32"/>
        <v>13-01</v>
      </c>
      <c r="H2517" s="273" t="e">
        <f ca="1">_xludf.IFNA(VLOOKUP(Aragon!E2517,'Kilter Holds'!$P$37:$AB$662,9,0),0)+_xludf.IFNA(VLOOKUP(A2517,'Kilter Holds'!$P$37:$AB$662,9,0),0)</f>
        <v>#NAME?</v>
      </c>
      <c r="I2517" s="274"/>
      <c r="J2517" s="274" t="e">
        <f t="shared" ca="1" si="30"/>
        <v>#NAME?</v>
      </c>
      <c r="K2517" s="274">
        <f t="shared" si="31"/>
        <v>0</v>
      </c>
      <c r="N2517" s="274"/>
    </row>
    <row r="2518" spans="1:14" ht="13.5" customHeight="1">
      <c r="A2518" s="1"/>
      <c r="E2518" s="1" t="s">
        <v>349</v>
      </c>
      <c r="F2518" s="1" t="s">
        <v>2659</v>
      </c>
      <c r="G2518" s="413" t="str">
        <f t="shared" si="32"/>
        <v>07-13</v>
      </c>
      <c r="H2518" s="273" t="e">
        <f ca="1">_xludf.IFNA(VLOOKUP(Aragon!E2518,'Kilter Holds'!$P$37:$AB$662,10,0),0)+_xludf.IFNA(VLOOKUP(A2518,'Kilter Holds'!$P$37:$AB$662,10,0),0)</f>
        <v>#NAME?</v>
      </c>
      <c r="I2518" s="274"/>
      <c r="J2518" s="274" t="e">
        <f t="shared" ca="1" si="30"/>
        <v>#NAME?</v>
      </c>
      <c r="K2518" s="274">
        <f t="shared" si="31"/>
        <v>0</v>
      </c>
      <c r="N2518" s="274"/>
    </row>
    <row r="2519" spans="1:14" ht="13.5" customHeight="1">
      <c r="A2519" s="1"/>
      <c r="E2519" s="1" t="s">
        <v>349</v>
      </c>
      <c r="F2519" s="1" t="s">
        <v>2659</v>
      </c>
      <c r="G2519" s="414" t="str">
        <f t="shared" si="32"/>
        <v>11-26</v>
      </c>
      <c r="H2519" s="273" t="e">
        <f ca="1">_xludf.IFNA(VLOOKUP(Aragon!E2519,'Kilter Holds'!$P$37:$AB$662,11,0),0)+_xludf.IFNA(VLOOKUP(A2519,'Kilter Holds'!$P$37:$AB$662,11,0),0)</f>
        <v>#NAME?</v>
      </c>
      <c r="I2519" s="274"/>
      <c r="J2519" s="274" t="e">
        <f t="shared" ca="1" si="30"/>
        <v>#NAME?</v>
      </c>
      <c r="K2519" s="274">
        <f t="shared" si="31"/>
        <v>0</v>
      </c>
      <c r="N2519" s="274"/>
    </row>
    <row r="2520" spans="1:14" ht="13.5" customHeight="1">
      <c r="A2520" s="1"/>
      <c r="E2520" s="1" t="s">
        <v>349</v>
      </c>
      <c r="F2520" s="1" t="s">
        <v>2659</v>
      </c>
      <c r="G2520" s="415" t="str">
        <f t="shared" si="32"/>
        <v>18-01</v>
      </c>
      <c r="H2520" s="273" t="e">
        <f ca="1">_xludf.IFNA(VLOOKUP(Aragon!E2520,'Kilter Holds'!$P$37:$AB$662,12,0),0)+_xludf.IFNA(VLOOKUP(A2520,'Kilter Holds'!$P$37:$AB$662,12,0),0)</f>
        <v>#NAME?</v>
      </c>
      <c r="I2520" s="274"/>
      <c r="J2520" s="274" t="e">
        <f t="shared" ca="1" si="30"/>
        <v>#NAME?</v>
      </c>
      <c r="K2520" s="274">
        <f t="shared" si="31"/>
        <v>0</v>
      </c>
      <c r="N2520" s="274"/>
    </row>
    <row r="2521" spans="1:14" ht="13.5" customHeight="1">
      <c r="A2521" s="1"/>
      <c r="E2521" s="1" t="s">
        <v>349</v>
      </c>
      <c r="F2521" s="1" t="s">
        <v>2659</v>
      </c>
      <c r="G2521" s="416" t="str">
        <f t="shared" si="32"/>
        <v>Color Code</v>
      </c>
      <c r="H2521" s="273" t="e">
        <f ca="1">_xludf.IFNA(VLOOKUP(Aragon!E2521,'Kilter Holds'!$P$37:$AB$662,13,0),0)+_xludf.IFNA(VLOOKUP(A2521,'Kilter Holds'!$P$37:$AB$662,13,0),0)</f>
        <v>#NAME?</v>
      </c>
      <c r="I2521" s="274"/>
      <c r="J2521" s="274" t="e">
        <f t="shared" ca="1" si="30"/>
        <v>#NAME?</v>
      </c>
      <c r="K2521" s="274">
        <f t="shared" si="31"/>
        <v>0</v>
      </c>
      <c r="N2521" s="274"/>
    </row>
    <row r="2522" spans="1:14" ht="13.5" customHeight="1">
      <c r="A2522" s="1"/>
      <c r="E2522" s="1" t="s">
        <v>351</v>
      </c>
      <c r="F2522" s="1" t="s">
        <v>2660</v>
      </c>
      <c r="G2522" s="406" t="str">
        <f t="shared" si="32"/>
        <v>11-12</v>
      </c>
      <c r="H2522" s="273" t="e">
        <f ca="1">_xludf.IFNA(VLOOKUP(Aragon!E2522,'Kilter Holds'!$P$37:$AB$662,5,0),0)+_xludf.IFNA(VLOOKUP(A2522,'Kilter Holds'!$P$37:$AB$662,5,0),0)</f>
        <v>#NAME?</v>
      </c>
      <c r="I2522" s="274"/>
      <c r="J2522" s="274" t="e">
        <f t="shared" ca="1" si="30"/>
        <v>#NAME?</v>
      </c>
      <c r="K2522" s="274">
        <f t="shared" si="31"/>
        <v>0</v>
      </c>
      <c r="N2522" s="274"/>
    </row>
    <row r="2523" spans="1:14" ht="13.5" customHeight="1">
      <c r="A2523" s="1"/>
      <c r="E2523" s="1" t="s">
        <v>351</v>
      </c>
      <c r="F2523" s="1" t="s">
        <v>2660</v>
      </c>
      <c r="G2523" s="408" t="str">
        <f t="shared" si="32"/>
        <v>14-01</v>
      </c>
      <c r="H2523" s="273" t="e">
        <f ca="1">_xludf.IFNA(VLOOKUP(Aragon!E2523,'Kilter Holds'!$P$37:$AB$662,6,0),0)+_xludf.IFNA(VLOOKUP(A2523,'Kilter Holds'!$P$37:$AB$662,6,0),0)</f>
        <v>#NAME?</v>
      </c>
      <c r="I2523" s="274"/>
      <c r="J2523" s="274" t="e">
        <f t="shared" ca="1" si="30"/>
        <v>#NAME?</v>
      </c>
      <c r="K2523" s="274">
        <f t="shared" si="31"/>
        <v>0</v>
      </c>
      <c r="N2523" s="274"/>
    </row>
    <row r="2524" spans="1:14" ht="13.5" customHeight="1">
      <c r="A2524" s="1"/>
      <c r="E2524" s="1" t="s">
        <v>351</v>
      </c>
      <c r="F2524" s="1" t="s">
        <v>2660</v>
      </c>
      <c r="G2524" s="409" t="str">
        <f t="shared" si="32"/>
        <v>15-12</v>
      </c>
      <c r="H2524" s="273" t="e">
        <f ca="1">_xludf.IFNA(VLOOKUP(Aragon!E2524,'Kilter Holds'!$P$37:$AB$662,7,0),0)+_xludf.IFNA(VLOOKUP(A2524,'Kilter Holds'!$P$37:$AB$662,7,0),0)</f>
        <v>#NAME?</v>
      </c>
      <c r="I2524" s="274"/>
      <c r="J2524" s="274" t="e">
        <f t="shared" ca="1" si="30"/>
        <v>#NAME?</v>
      </c>
      <c r="K2524" s="274">
        <f t="shared" si="31"/>
        <v>0</v>
      </c>
      <c r="N2524" s="274"/>
    </row>
    <row r="2525" spans="1:14" ht="13.5" customHeight="1">
      <c r="A2525" s="1"/>
      <c r="E2525" s="1" t="s">
        <v>351</v>
      </c>
      <c r="F2525" s="1" t="s">
        <v>2660</v>
      </c>
      <c r="G2525" s="410" t="str">
        <f t="shared" si="32"/>
        <v>16-16</v>
      </c>
      <c r="H2525" s="273" t="e">
        <f ca="1">_xludf.IFNA(VLOOKUP(Aragon!E2525,'Kilter Holds'!$P$37:$AB$662,8,0),0)+_xludf.IFNA(VLOOKUP(A2525,'Kilter Holds'!$P$37:$AB$662,8,0),0)</f>
        <v>#NAME?</v>
      </c>
      <c r="I2525" s="274"/>
      <c r="J2525" s="274" t="e">
        <f t="shared" ca="1" si="30"/>
        <v>#NAME?</v>
      </c>
      <c r="K2525" s="274">
        <f t="shared" si="31"/>
        <v>0</v>
      </c>
      <c r="N2525" s="274"/>
    </row>
    <row r="2526" spans="1:14" ht="13.5" customHeight="1">
      <c r="A2526" s="1"/>
      <c r="E2526" s="1" t="s">
        <v>351</v>
      </c>
      <c r="F2526" s="1" t="s">
        <v>2660</v>
      </c>
      <c r="G2526" s="411" t="str">
        <f t="shared" si="32"/>
        <v>13-01</v>
      </c>
      <c r="H2526" s="273" t="e">
        <f ca="1">_xludf.IFNA(VLOOKUP(Aragon!E2526,'Kilter Holds'!$P$37:$AB$662,9,0),0)+_xludf.IFNA(VLOOKUP(A2526,'Kilter Holds'!$P$37:$AB$662,9,0),0)</f>
        <v>#NAME?</v>
      </c>
      <c r="I2526" s="274"/>
      <c r="J2526" s="274" t="e">
        <f t="shared" ca="1" si="30"/>
        <v>#NAME?</v>
      </c>
      <c r="K2526" s="274">
        <f t="shared" si="31"/>
        <v>0</v>
      </c>
      <c r="N2526" s="274"/>
    </row>
    <row r="2527" spans="1:14" ht="13.5" customHeight="1">
      <c r="A2527" s="1"/>
      <c r="E2527" s="1" t="s">
        <v>351</v>
      </c>
      <c r="F2527" s="1" t="s">
        <v>2660</v>
      </c>
      <c r="G2527" s="413" t="str">
        <f t="shared" si="32"/>
        <v>07-13</v>
      </c>
      <c r="H2527" s="273" t="e">
        <f ca="1">_xludf.IFNA(VLOOKUP(Aragon!E2527,'Kilter Holds'!$P$37:$AB$662,10,0),0)+_xludf.IFNA(VLOOKUP(A2527,'Kilter Holds'!$P$37:$AB$662,10,0),0)</f>
        <v>#NAME?</v>
      </c>
      <c r="I2527" s="274"/>
      <c r="J2527" s="274" t="e">
        <f t="shared" ca="1" si="30"/>
        <v>#NAME?</v>
      </c>
      <c r="K2527" s="274">
        <f t="shared" si="31"/>
        <v>0</v>
      </c>
      <c r="N2527" s="274"/>
    </row>
    <row r="2528" spans="1:14" ht="13.5" customHeight="1">
      <c r="A2528" s="1"/>
      <c r="E2528" s="1" t="s">
        <v>351</v>
      </c>
      <c r="F2528" s="1" t="s">
        <v>2660</v>
      </c>
      <c r="G2528" s="414" t="str">
        <f t="shared" si="32"/>
        <v>11-26</v>
      </c>
      <c r="H2528" s="273" t="e">
        <f ca="1">_xludf.IFNA(VLOOKUP(Aragon!E2528,'Kilter Holds'!$P$37:$AB$662,11,0),0)+_xludf.IFNA(VLOOKUP(A2528,'Kilter Holds'!$P$37:$AB$662,11,0),0)</f>
        <v>#NAME?</v>
      </c>
      <c r="I2528" s="274"/>
      <c r="J2528" s="274" t="e">
        <f t="shared" ca="1" si="30"/>
        <v>#NAME?</v>
      </c>
      <c r="K2528" s="274">
        <f t="shared" si="31"/>
        <v>0</v>
      </c>
      <c r="N2528" s="274"/>
    </row>
    <row r="2529" spans="1:14" ht="13.5" customHeight="1">
      <c r="A2529" s="1"/>
      <c r="E2529" s="1" t="s">
        <v>351</v>
      </c>
      <c r="F2529" s="1" t="s">
        <v>2660</v>
      </c>
      <c r="G2529" s="415" t="str">
        <f t="shared" si="32"/>
        <v>18-01</v>
      </c>
      <c r="H2529" s="273" t="e">
        <f ca="1">_xludf.IFNA(VLOOKUP(Aragon!E2529,'Kilter Holds'!$P$37:$AB$662,12,0),0)+_xludf.IFNA(VLOOKUP(A2529,'Kilter Holds'!$P$37:$AB$662,12,0),0)</f>
        <v>#NAME?</v>
      </c>
      <c r="I2529" s="274"/>
      <c r="J2529" s="274" t="e">
        <f t="shared" ca="1" si="30"/>
        <v>#NAME?</v>
      </c>
      <c r="K2529" s="274">
        <f t="shared" si="31"/>
        <v>0</v>
      </c>
      <c r="N2529" s="274"/>
    </row>
    <row r="2530" spans="1:14" ht="13.5" customHeight="1">
      <c r="A2530" s="1"/>
      <c r="E2530" s="1" t="s">
        <v>351</v>
      </c>
      <c r="F2530" s="1" t="s">
        <v>2660</v>
      </c>
      <c r="G2530" s="416" t="str">
        <f t="shared" si="32"/>
        <v>Color Code</v>
      </c>
      <c r="H2530" s="273" t="e">
        <f ca="1">_xludf.IFNA(VLOOKUP(Aragon!E2530,'Kilter Holds'!$P$37:$AB$662,13,0),0)+_xludf.IFNA(VLOOKUP(A2530,'Kilter Holds'!$P$37:$AB$662,13,0),0)</f>
        <v>#NAME?</v>
      </c>
      <c r="I2530" s="274"/>
      <c r="J2530" s="274" t="e">
        <f t="shared" ca="1" si="30"/>
        <v>#NAME?</v>
      </c>
      <c r="K2530" s="274">
        <f t="shared" si="31"/>
        <v>0</v>
      </c>
      <c r="N2530" s="274"/>
    </row>
    <row r="2531" spans="1:14" ht="13.5" customHeight="1">
      <c r="A2531" s="1"/>
      <c r="E2531" s="1" t="s">
        <v>353</v>
      </c>
      <c r="F2531" s="1" t="s">
        <v>2661</v>
      </c>
      <c r="G2531" s="406" t="str">
        <f t="shared" si="32"/>
        <v>11-12</v>
      </c>
      <c r="H2531" s="273" t="e">
        <f ca="1">_xludf.IFNA(VLOOKUP(Aragon!E2531,'Kilter Holds'!$P$37:$AB$662,5,0),0)+_xludf.IFNA(VLOOKUP(A2531,'Kilter Holds'!$P$37:$AB$662,5,0),0)</f>
        <v>#NAME?</v>
      </c>
      <c r="I2531" s="274"/>
      <c r="J2531" s="274" t="e">
        <f t="shared" ca="1" si="30"/>
        <v>#NAME?</v>
      </c>
      <c r="K2531" s="274">
        <f t="shared" si="31"/>
        <v>0</v>
      </c>
      <c r="N2531" s="274"/>
    </row>
    <row r="2532" spans="1:14" ht="13.5" customHeight="1">
      <c r="A2532" s="1"/>
      <c r="E2532" s="1" t="s">
        <v>353</v>
      </c>
      <c r="F2532" s="1" t="s">
        <v>2661</v>
      </c>
      <c r="G2532" s="408" t="str">
        <f t="shared" si="32"/>
        <v>14-01</v>
      </c>
      <c r="H2532" s="273" t="e">
        <f ca="1">_xludf.IFNA(VLOOKUP(Aragon!E2532,'Kilter Holds'!$P$37:$AB$662,6,0),0)+_xludf.IFNA(VLOOKUP(A2532,'Kilter Holds'!$P$37:$AB$662,6,0),0)</f>
        <v>#NAME?</v>
      </c>
      <c r="I2532" s="274"/>
      <c r="J2532" s="274" t="e">
        <f t="shared" ca="1" si="30"/>
        <v>#NAME?</v>
      </c>
      <c r="K2532" s="274">
        <f t="shared" si="31"/>
        <v>0</v>
      </c>
      <c r="N2532" s="274"/>
    </row>
    <row r="2533" spans="1:14" ht="13.5" customHeight="1">
      <c r="A2533" s="1"/>
      <c r="E2533" s="1" t="s">
        <v>353</v>
      </c>
      <c r="F2533" s="1" t="s">
        <v>2661</v>
      </c>
      <c r="G2533" s="409" t="str">
        <f t="shared" si="32"/>
        <v>15-12</v>
      </c>
      <c r="H2533" s="273" t="e">
        <f ca="1">_xludf.IFNA(VLOOKUP(Aragon!E2533,'Kilter Holds'!$P$37:$AB$662,7,0),0)+_xludf.IFNA(VLOOKUP(A2533,'Kilter Holds'!$P$37:$AB$662,7,0),0)</f>
        <v>#NAME?</v>
      </c>
      <c r="I2533" s="274"/>
      <c r="J2533" s="274" t="e">
        <f t="shared" ca="1" si="30"/>
        <v>#NAME?</v>
      </c>
      <c r="K2533" s="274">
        <f t="shared" si="31"/>
        <v>0</v>
      </c>
      <c r="N2533" s="274"/>
    </row>
    <row r="2534" spans="1:14" ht="13.5" customHeight="1">
      <c r="A2534" s="1"/>
      <c r="E2534" s="1" t="s">
        <v>353</v>
      </c>
      <c r="F2534" s="1" t="s">
        <v>2661</v>
      </c>
      <c r="G2534" s="410" t="str">
        <f t="shared" si="32"/>
        <v>16-16</v>
      </c>
      <c r="H2534" s="273" t="e">
        <f ca="1">_xludf.IFNA(VLOOKUP(Aragon!E2534,'Kilter Holds'!$P$37:$AB$662,8,0),0)+_xludf.IFNA(VLOOKUP(A2534,'Kilter Holds'!$P$37:$AB$662,8,0),0)</f>
        <v>#NAME?</v>
      </c>
      <c r="I2534" s="274"/>
      <c r="J2534" s="274" t="e">
        <f t="shared" ca="1" si="30"/>
        <v>#NAME?</v>
      </c>
      <c r="K2534" s="274">
        <f t="shared" si="31"/>
        <v>0</v>
      </c>
      <c r="N2534" s="274"/>
    </row>
    <row r="2535" spans="1:14" ht="13.5" customHeight="1">
      <c r="A2535" s="1"/>
      <c r="E2535" s="1" t="s">
        <v>353</v>
      </c>
      <c r="F2535" s="1" t="s">
        <v>2661</v>
      </c>
      <c r="G2535" s="411" t="str">
        <f t="shared" si="32"/>
        <v>13-01</v>
      </c>
      <c r="H2535" s="273" t="e">
        <f ca="1">_xludf.IFNA(VLOOKUP(Aragon!E2535,'Kilter Holds'!$P$37:$AB$662,9,0),0)+_xludf.IFNA(VLOOKUP(A2535,'Kilter Holds'!$P$37:$AB$662,9,0),0)</f>
        <v>#NAME?</v>
      </c>
      <c r="I2535" s="274"/>
      <c r="J2535" s="274" t="e">
        <f t="shared" ca="1" si="30"/>
        <v>#NAME?</v>
      </c>
      <c r="K2535" s="274">
        <f t="shared" si="31"/>
        <v>0</v>
      </c>
      <c r="N2535" s="274"/>
    </row>
    <row r="2536" spans="1:14" ht="13.5" customHeight="1">
      <c r="A2536" s="1"/>
      <c r="E2536" s="1" t="s">
        <v>353</v>
      </c>
      <c r="F2536" s="1" t="s">
        <v>2661</v>
      </c>
      <c r="G2536" s="413" t="str">
        <f t="shared" si="32"/>
        <v>07-13</v>
      </c>
      <c r="H2536" s="273" t="e">
        <f ca="1">_xludf.IFNA(VLOOKUP(Aragon!E2536,'Kilter Holds'!$P$37:$AB$662,10,0),0)+_xludf.IFNA(VLOOKUP(A2536,'Kilter Holds'!$P$37:$AB$662,10,0),0)</f>
        <v>#NAME?</v>
      </c>
      <c r="I2536" s="274"/>
      <c r="J2536" s="274" t="e">
        <f t="shared" ca="1" si="30"/>
        <v>#NAME?</v>
      </c>
      <c r="K2536" s="274">
        <f t="shared" si="31"/>
        <v>0</v>
      </c>
      <c r="N2536" s="274"/>
    </row>
    <row r="2537" spans="1:14" ht="13.5" customHeight="1">
      <c r="A2537" s="1"/>
      <c r="E2537" s="1" t="s">
        <v>353</v>
      </c>
      <c r="F2537" s="1" t="s">
        <v>2661</v>
      </c>
      <c r="G2537" s="414" t="str">
        <f t="shared" si="32"/>
        <v>11-26</v>
      </c>
      <c r="H2537" s="273" t="e">
        <f ca="1">_xludf.IFNA(VLOOKUP(Aragon!E2537,'Kilter Holds'!$P$37:$AB$662,11,0),0)+_xludf.IFNA(VLOOKUP(A2537,'Kilter Holds'!$P$37:$AB$662,11,0),0)</f>
        <v>#NAME?</v>
      </c>
      <c r="I2537" s="274"/>
      <c r="J2537" s="274" t="e">
        <f t="shared" ca="1" si="30"/>
        <v>#NAME?</v>
      </c>
      <c r="K2537" s="274">
        <f t="shared" si="31"/>
        <v>0</v>
      </c>
      <c r="N2537" s="274"/>
    </row>
    <row r="2538" spans="1:14" ht="13.5" customHeight="1">
      <c r="A2538" s="1"/>
      <c r="E2538" s="1" t="s">
        <v>353</v>
      </c>
      <c r="F2538" s="1" t="s">
        <v>2661</v>
      </c>
      <c r="G2538" s="415" t="str">
        <f t="shared" si="32"/>
        <v>18-01</v>
      </c>
      <c r="H2538" s="273" t="e">
        <f ca="1">_xludf.IFNA(VLOOKUP(Aragon!E2538,'Kilter Holds'!$P$37:$AB$662,12,0),0)+_xludf.IFNA(VLOOKUP(A2538,'Kilter Holds'!$P$37:$AB$662,12,0),0)</f>
        <v>#NAME?</v>
      </c>
      <c r="I2538" s="274"/>
      <c r="J2538" s="274" t="e">
        <f t="shared" ca="1" si="30"/>
        <v>#NAME?</v>
      </c>
      <c r="K2538" s="274">
        <f t="shared" si="31"/>
        <v>0</v>
      </c>
      <c r="N2538" s="274"/>
    </row>
    <row r="2539" spans="1:14" ht="13.5" customHeight="1">
      <c r="A2539" s="1"/>
      <c r="E2539" s="1" t="s">
        <v>353</v>
      </c>
      <c r="F2539" s="1" t="s">
        <v>2661</v>
      </c>
      <c r="G2539" s="416" t="str">
        <f t="shared" si="32"/>
        <v>Color Code</v>
      </c>
      <c r="H2539" s="273" t="e">
        <f ca="1">_xludf.IFNA(VLOOKUP(Aragon!E2539,'Kilter Holds'!$P$37:$AB$662,13,0),0)+_xludf.IFNA(VLOOKUP(A2539,'Kilter Holds'!$P$37:$AB$662,13,0),0)</f>
        <v>#NAME?</v>
      </c>
      <c r="I2539" s="274"/>
      <c r="J2539" s="274" t="e">
        <f t="shared" ca="1" si="30"/>
        <v>#NAME?</v>
      </c>
      <c r="K2539" s="274">
        <f t="shared" si="31"/>
        <v>0</v>
      </c>
      <c r="N2539" s="274"/>
    </row>
    <row r="2540" spans="1:14" ht="13.5" customHeight="1">
      <c r="A2540" s="1"/>
      <c r="E2540" s="1" t="s">
        <v>1044</v>
      </c>
      <c r="F2540" s="1" t="s">
        <v>2662</v>
      </c>
      <c r="G2540" s="406" t="str">
        <f t="shared" si="32"/>
        <v>11-12</v>
      </c>
      <c r="H2540" s="273" t="e">
        <f ca="1">_xludf.IFNA(VLOOKUP(Aragon!E2540,'Kilter Holds'!$P$37:$AB$662,5,0),0)+_xludf.IFNA(VLOOKUP(A2540,'Kilter Holds'!$P$37:$AB$662,5,0),0)</f>
        <v>#NAME?</v>
      </c>
      <c r="I2540" s="274"/>
      <c r="J2540" s="274" t="e">
        <f t="shared" ca="1" si="30"/>
        <v>#NAME?</v>
      </c>
      <c r="K2540" s="274">
        <f t="shared" si="31"/>
        <v>0</v>
      </c>
      <c r="N2540" s="274"/>
    </row>
    <row r="2541" spans="1:14" ht="13.5" customHeight="1">
      <c r="A2541" s="1"/>
      <c r="E2541" s="1" t="s">
        <v>1044</v>
      </c>
      <c r="F2541" s="1" t="s">
        <v>2662</v>
      </c>
      <c r="G2541" s="408" t="str">
        <f t="shared" si="32"/>
        <v>14-01</v>
      </c>
      <c r="H2541" s="273" t="e">
        <f ca="1">_xludf.IFNA(VLOOKUP(Aragon!E2541,'Kilter Holds'!$P$37:$AB$662,6,0),0)+_xludf.IFNA(VLOOKUP(A2541,'Kilter Holds'!$P$37:$AB$662,6,0),0)</f>
        <v>#NAME?</v>
      </c>
      <c r="I2541" s="274"/>
      <c r="J2541" s="274" t="e">
        <f t="shared" ca="1" si="30"/>
        <v>#NAME?</v>
      </c>
      <c r="K2541" s="274">
        <f t="shared" si="31"/>
        <v>0</v>
      </c>
      <c r="N2541" s="274"/>
    </row>
    <row r="2542" spans="1:14" ht="13.5" customHeight="1">
      <c r="A2542" s="1"/>
      <c r="E2542" s="1" t="s">
        <v>1044</v>
      </c>
      <c r="F2542" s="1" t="s">
        <v>2662</v>
      </c>
      <c r="G2542" s="409" t="str">
        <f t="shared" si="32"/>
        <v>15-12</v>
      </c>
      <c r="H2542" s="273" t="e">
        <f ca="1">_xludf.IFNA(VLOOKUP(Aragon!E2542,'Kilter Holds'!$P$37:$AB$662,7,0),0)+_xludf.IFNA(VLOOKUP(A2542,'Kilter Holds'!$P$37:$AB$662,7,0),0)</f>
        <v>#NAME?</v>
      </c>
      <c r="I2542" s="274"/>
      <c r="J2542" s="274" t="e">
        <f t="shared" ca="1" si="30"/>
        <v>#NAME?</v>
      </c>
      <c r="K2542" s="274">
        <f t="shared" si="31"/>
        <v>0</v>
      </c>
      <c r="N2542" s="274"/>
    </row>
    <row r="2543" spans="1:14" ht="13.5" customHeight="1">
      <c r="A2543" s="1"/>
      <c r="E2543" s="1" t="s">
        <v>1044</v>
      </c>
      <c r="F2543" s="1" t="s">
        <v>2662</v>
      </c>
      <c r="G2543" s="410" t="str">
        <f t="shared" si="32"/>
        <v>16-16</v>
      </c>
      <c r="H2543" s="273" t="e">
        <f ca="1">_xludf.IFNA(VLOOKUP(Aragon!E2543,'Kilter Holds'!$P$37:$AB$662,8,0),0)+_xludf.IFNA(VLOOKUP(A2543,'Kilter Holds'!$P$37:$AB$662,8,0),0)</f>
        <v>#NAME?</v>
      </c>
      <c r="I2543" s="274"/>
      <c r="J2543" s="274" t="e">
        <f t="shared" ca="1" si="30"/>
        <v>#NAME?</v>
      </c>
      <c r="K2543" s="274">
        <f t="shared" si="31"/>
        <v>0</v>
      </c>
      <c r="N2543" s="274"/>
    </row>
    <row r="2544" spans="1:14" ht="13.5" customHeight="1">
      <c r="A2544" s="1"/>
      <c r="E2544" s="1" t="s">
        <v>1044</v>
      </c>
      <c r="F2544" s="1" t="s">
        <v>2662</v>
      </c>
      <c r="G2544" s="411" t="str">
        <f t="shared" si="32"/>
        <v>13-01</v>
      </c>
      <c r="H2544" s="273" t="e">
        <f ca="1">_xludf.IFNA(VLOOKUP(Aragon!E2544,'Kilter Holds'!$P$37:$AB$662,9,0),0)+_xludf.IFNA(VLOOKUP(A2544,'Kilter Holds'!$P$37:$AB$662,9,0),0)</f>
        <v>#NAME?</v>
      </c>
      <c r="I2544" s="274"/>
      <c r="J2544" s="274" t="e">
        <f t="shared" ca="1" si="30"/>
        <v>#NAME?</v>
      </c>
      <c r="K2544" s="274">
        <f t="shared" si="31"/>
        <v>0</v>
      </c>
      <c r="N2544" s="274"/>
    </row>
    <row r="2545" spans="1:14" ht="13.5" customHeight="1">
      <c r="A2545" s="1"/>
      <c r="E2545" s="1" t="s">
        <v>1044</v>
      </c>
      <c r="F2545" s="1" t="s">
        <v>2662</v>
      </c>
      <c r="G2545" s="413" t="str">
        <f t="shared" si="32"/>
        <v>07-13</v>
      </c>
      <c r="H2545" s="273" t="e">
        <f ca="1">_xludf.IFNA(VLOOKUP(Aragon!E2545,'Kilter Holds'!$P$37:$AB$662,10,0),0)+_xludf.IFNA(VLOOKUP(A2545,'Kilter Holds'!$P$37:$AB$662,10,0),0)</f>
        <v>#NAME?</v>
      </c>
      <c r="I2545" s="274"/>
      <c r="J2545" s="274" t="e">
        <f t="shared" ca="1" si="30"/>
        <v>#NAME?</v>
      </c>
      <c r="K2545" s="274">
        <f t="shared" si="31"/>
        <v>0</v>
      </c>
      <c r="N2545" s="274"/>
    </row>
    <row r="2546" spans="1:14" ht="13.5" customHeight="1">
      <c r="A2546" s="1"/>
      <c r="E2546" s="1" t="s">
        <v>1044</v>
      </c>
      <c r="F2546" s="1" t="s">
        <v>2662</v>
      </c>
      <c r="G2546" s="414" t="str">
        <f t="shared" si="32"/>
        <v>11-26</v>
      </c>
      <c r="H2546" s="273" t="e">
        <f ca="1">_xludf.IFNA(VLOOKUP(Aragon!E2546,'Kilter Holds'!$P$37:$AB$662,11,0),0)+_xludf.IFNA(VLOOKUP(A2546,'Kilter Holds'!$P$37:$AB$662,11,0),0)</f>
        <v>#NAME?</v>
      </c>
      <c r="I2546" s="274"/>
      <c r="J2546" s="274" t="e">
        <f t="shared" ca="1" si="30"/>
        <v>#NAME?</v>
      </c>
      <c r="K2546" s="274">
        <f t="shared" si="31"/>
        <v>0</v>
      </c>
      <c r="N2546" s="274"/>
    </row>
    <row r="2547" spans="1:14" ht="13.5" customHeight="1">
      <c r="A2547" s="1"/>
      <c r="E2547" s="1" t="s">
        <v>1044</v>
      </c>
      <c r="F2547" s="1" t="s">
        <v>2662</v>
      </c>
      <c r="G2547" s="415" t="str">
        <f t="shared" si="32"/>
        <v>18-01</v>
      </c>
      <c r="H2547" s="273" t="e">
        <f ca="1">_xludf.IFNA(VLOOKUP(Aragon!E2547,'Kilter Holds'!$P$37:$AB$662,12,0),0)+_xludf.IFNA(VLOOKUP(A2547,'Kilter Holds'!$P$37:$AB$662,12,0),0)</f>
        <v>#NAME?</v>
      </c>
      <c r="I2547" s="274"/>
      <c r="J2547" s="274" t="e">
        <f t="shared" ca="1" si="30"/>
        <v>#NAME?</v>
      </c>
      <c r="K2547" s="274">
        <f t="shared" si="31"/>
        <v>0</v>
      </c>
      <c r="N2547" s="274"/>
    </row>
    <row r="2548" spans="1:14" ht="13.5" customHeight="1">
      <c r="A2548" s="1"/>
      <c r="E2548" s="1" t="s">
        <v>1044</v>
      </c>
      <c r="F2548" s="1" t="s">
        <v>2662</v>
      </c>
      <c r="G2548" s="416" t="str">
        <f t="shared" si="32"/>
        <v>Color Code</v>
      </c>
      <c r="H2548" s="273" t="e">
        <f ca="1">_xludf.IFNA(VLOOKUP(Aragon!E2548,'Kilter Holds'!$P$37:$AB$662,13,0),0)+_xludf.IFNA(VLOOKUP(A2548,'Kilter Holds'!$P$37:$AB$662,13,0),0)</f>
        <v>#NAME?</v>
      </c>
      <c r="I2548" s="274"/>
      <c r="J2548" s="274" t="e">
        <f t="shared" ca="1" si="30"/>
        <v>#NAME?</v>
      </c>
      <c r="K2548" s="274">
        <f t="shared" si="31"/>
        <v>0</v>
      </c>
      <c r="N2548" s="274"/>
    </row>
    <row r="2549" spans="1:14" ht="13.5" customHeight="1">
      <c r="A2549" s="1"/>
      <c r="E2549" s="1" t="s">
        <v>355</v>
      </c>
      <c r="F2549" s="1" t="s">
        <v>2663</v>
      </c>
      <c r="G2549" s="406" t="str">
        <f t="shared" si="32"/>
        <v>11-12</v>
      </c>
      <c r="H2549" s="273" t="e">
        <f ca="1">_xludf.IFNA(VLOOKUP(Aragon!E2549,'Kilter Holds'!$P$37:$AB$662,5,0),0)+_xludf.IFNA(VLOOKUP(A2549,'Kilter Holds'!$P$37:$AB$662,5,0),0)</f>
        <v>#NAME?</v>
      </c>
      <c r="I2549" s="274"/>
      <c r="J2549" s="274" t="e">
        <f t="shared" ca="1" si="30"/>
        <v>#NAME?</v>
      </c>
      <c r="K2549" s="274">
        <f t="shared" si="31"/>
        <v>0</v>
      </c>
      <c r="N2549" s="274"/>
    </row>
    <row r="2550" spans="1:14" ht="13.5" customHeight="1">
      <c r="A2550" s="1"/>
      <c r="E2550" s="1" t="s">
        <v>355</v>
      </c>
      <c r="F2550" s="1" t="s">
        <v>2663</v>
      </c>
      <c r="G2550" s="408" t="str">
        <f t="shared" si="32"/>
        <v>14-01</v>
      </c>
      <c r="H2550" s="273" t="e">
        <f ca="1">_xludf.IFNA(VLOOKUP(Aragon!E2550,'Kilter Holds'!$P$37:$AB$662,6,0),0)+_xludf.IFNA(VLOOKUP(A2550,'Kilter Holds'!$P$37:$AB$662,6,0),0)</f>
        <v>#NAME?</v>
      </c>
      <c r="I2550" s="274"/>
      <c r="J2550" s="274" t="e">
        <f t="shared" ca="1" si="30"/>
        <v>#NAME?</v>
      </c>
      <c r="K2550" s="274">
        <f t="shared" si="31"/>
        <v>0</v>
      </c>
      <c r="N2550" s="274"/>
    </row>
    <row r="2551" spans="1:14" ht="13.5" customHeight="1">
      <c r="A2551" s="1"/>
      <c r="E2551" s="1" t="s">
        <v>355</v>
      </c>
      <c r="F2551" s="1" t="s">
        <v>2663</v>
      </c>
      <c r="G2551" s="409" t="str">
        <f t="shared" si="32"/>
        <v>15-12</v>
      </c>
      <c r="H2551" s="273" t="e">
        <f ca="1">_xludf.IFNA(VLOOKUP(Aragon!E2551,'Kilter Holds'!$P$37:$AB$662,7,0),0)+_xludf.IFNA(VLOOKUP(A2551,'Kilter Holds'!$P$37:$AB$662,7,0),0)</f>
        <v>#NAME?</v>
      </c>
      <c r="I2551" s="274"/>
      <c r="J2551" s="274" t="e">
        <f t="shared" ca="1" si="30"/>
        <v>#NAME?</v>
      </c>
      <c r="K2551" s="274">
        <f t="shared" si="31"/>
        <v>0</v>
      </c>
      <c r="N2551" s="274"/>
    </row>
    <row r="2552" spans="1:14" ht="13.5" customHeight="1">
      <c r="A2552" s="1"/>
      <c r="E2552" s="1" t="s">
        <v>355</v>
      </c>
      <c r="F2552" s="1" t="s">
        <v>2663</v>
      </c>
      <c r="G2552" s="410" t="str">
        <f t="shared" si="32"/>
        <v>16-16</v>
      </c>
      <c r="H2552" s="273" t="e">
        <f ca="1">_xludf.IFNA(VLOOKUP(Aragon!E2552,'Kilter Holds'!$P$37:$AB$662,8,0),0)+_xludf.IFNA(VLOOKUP(A2552,'Kilter Holds'!$P$37:$AB$662,8,0),0)</f>
        <v>#NAME?</v>
      </c>
      <c r="I2552" s="274"/>
      <c r="J2552" s="274" t="e">
        <f t="shared" ref="J2552:J2806" ca="1" si="33">H2552*I2552</f>
        <v>#NAME?</v>
      </c>
      <c r="K2552" s="274">
        <f t="shared" ref="K2552:K2806" si="34">IF($V$11="Y",J2552*0.05,0)</f>
        <v>0</v>
      </c>
      <c r="N2552" s="274"/>
    </row>
    <row r="2553" spans="1:14" ht="13.5" customHeight="1">
      <c r="A2553" s="1"/>
      <c r="E2553" s="1" t="s">
        <v>355</v>
      </c>
      <c r="F2553" s="1" t="s">
        <v>2663</v>
      </c>
      <c r="G2553" s="411" t="str">
        <f t="shared" si="32"/>
        <v>13-01</v>
      </c>
      <c r="H2553" s="273" t="e">
        <f ca="1">_xludf.IFNA(VLOOKUP(Aragon!E2553,'Kilter Holds'!$P$37:$AB$662,9,0),0)+_xludf.IFNA(VLOOKUP(A2553,'Kilter Holds'!$P$37:$AB$662,9,0),0)</f>
        <v>#NAME?</v>
      </c>
      <c r="I2553" s="274"/>
      <c r="J2553" s="274" t="e">
        <f t="shared" ca="1" si="33"/>
        <v>#NAME?</v>
      </c>
      <c r="K2553" s="274">
        <f t="shared" si="34"/>
        <v>0</v>
      </c>
      <c r="N2553" s="274"/>
    </row>
    <row r="2554" spans="1:14" ht="13.5" customHeight="1">
      <c r="A2554" s="1"/>
      <c r="E2554" s="1" t="s">
        <v>355</v>
      </c>
      <c r="F2554" s="1" t="s">
        <v>2663</v>
      </c>
      <c r="G2554" s="413" t="str">
        <f t="shared" si="32"/>
        <v>07-13</v>
      </c>
      <c r="H2554" s="273" t="e">
        <f ca="1">_xludf.IFNA(VLOOKUP(Aragon!E2554,'Kilter Holds'!$P$37:$AB$662,10,0),0)+_xludf.IFNA(VLOOKUP(A2554,'Kilter Holds'!$P$37:$AB$662,10,0),0)</f>
        <v>#NAME?</v>
      </c>
      <c r="I2554" s="274"/>
      <c r="J2554" s="274" t="e">
        <f t="shared" ca="1" si="33"/>
        <v>#NAME?</v>
      </c>
      <c r="K2554" s="274">
        <f t="shared" si="34"/>
        <v>0</v>
      </c>
      <c r="N2554" s="274"/>
    </row>
    <row r="2555" spans="1:14" ht="13.5" customHeight="1">
      <c r="A2555" s="1"/>
      <c r="E2555" s="1" t="s">
        <v>355</v>
      </c>
      <c r="F2555" s="1" t="s">
        <v>2663</v>
      </c>
      <c r="G2555" s="414" t="str">
        <f t="shared" si="32"/>
        <v>11-26</v>
      </c>
      <c r="H2555" s="273" t="e">
        <f ca="1">_xludf.IFNA(VLOOKUP(Aragon!E2555,'Kilter Holds'!$P$37:$AB$662,11,0),0)+_xludf.IFNA(VLOOKUP(A2555,'Kilter Holds'!$P$37:$AB$662,11,0),0)</f>
        <v>#NAME?</v>
      </c>
      <c r="I2555" s="274"/>
      <c r="J2555" s="274" t="e">
        <f t="shared" ca="1" si="33"/>
        <v>#NAME?</v>
      </c>
      <c r="K2555" s="274">
        <f t="shared" si="34"/>
        <v>0</v>
      </c>
      <c r="N2555" s="274"/>
    </row>
    <row r="2556" spans="1:14" ht="13.5" customHeight="1">
      <c r="A2556" s="1"/>
      <c r="E2556" s="1" t="s">
        <v>355</v>
      </c>
      <c r="F2556" s="1" t="s">
        <v>2663</v>
      </c>
      <c r="G2556" s="415" t="str">
        <f t="shared" si="32"/>
        <v>18-01</v>
      </c>
      <c r="H2556" s="273" t="e">
        <f ca="1">_xludf.IFNA(VLOOKUP(Aragon!E2556,'Kilter Holds'!$P$37:$AB$662,12,0),0)+_xludf.IFNA(VLOOKUP(A2556,'Kilter Holds'!$P$37:$AB$662,12,0),0)</f>
        <v>#NAME?</v>
      </c>
      <c r="I2556" s="274"/>
      <c r="J2556" s="274" t="e">
        <f t="shared" ca="1" si="33"/>
        <v>#NAME?</v>
      </c>
      <c r="K2556" s="274">
        <f t="shared" si="34"/>
        <v>0</v>
      </c>
      <c r="N2556" s="274"/>
    </row>
    <row r="2557" spans="1:14" ht="13.5" customHeight="1">
      <c r="A2557" s="1"/>
      <c r="E2557" s="1" t="s">
        <v>355</v>
      </c>
      <c r="F2557" s="1" t="s">
        <v>2663</v>
      </c>
      <c r="G2557" s="416" t="str">
        <f t="shared" si="32"/>
        <v>Color Code</v>
      </c>
      <c r="H2557" s="273" t="e">
        <f ca="1">_xludf.IFNA(VLOOKUP(Aragon!E2557,'Kilter Holds'!$P$37:$AB$662,13,0),0)+_xludf.IFNA(VLOOKUP(A2557,'Kilter Holds'!$P$37:$AB$662,13,0),0)</f>
        <v>#NAME?</v>
      </c>
      <c r="I2557" s="274"/>
      <c r="J2557" s="274" t="e">
        <f t="shared" ca="1" si="33"/>
        <v>#NAME?</v>
      </c>
      <c r="K2557" s="274">
        <f t="shared" si="34"/>
        <v>0</v>
      </c>
      <c r="N2557" s="274"/>
    </row>
    <row r="2558" spans="1:14" ht="13.5" customHeight="1">
      <c r="A2558" s="1"/>
      <c r="E2558" s="1" t="s">
        <v>1054</v>
      </c>
      <c r="F2558" s="1" t="s">
        <v>2664</v>
      </c>
      <c r="G2558" s="406" t="str">
        <f t="shared" si="32"/>
        <v>11-12</v>
      </c>
      <c r="H2558" s="273" t="e">
        <f ca="1">_xludf.IFNA(VLOOKUP(Aragon!E2558,'Kilter Holds'!$P$37:$AB$662,5,0),0)+_xludf.IFNA(VLOOKUP(A2558,'Kilter Holds'!$P$37:$AB$662,5,0),0)</f>
        <v>#NAME?</v>
      </c>
      <c r="I2558" s="274"/>
      <c r="J2558" s="274" t="e">
        <f t="shared" ca="1" si="33"/>
        <v>#NAME?</v>
      </c>
      <c r="K2558" s="274">
        <f t="shared" si="34"/>
        <v>0</v>
      </c>
      <c r="N2558" s="274"/>
    </row>
    <row r="2559" spans="1:14" ht="13.5" customHeight="1">
      <c r="A2559" s="1"/>
      <c r="E2559" s="1" t="s">
        <v>1054</v>
      </c>
      <c r="F2559" s="1" t="s">
        <v>2664</v>
      </c>
      <c r="G2559" s="408" t="str">
        <f t="shared" si="32"/>
        <v>14-01</v>
      </c>
      <c r="H2559" s="273" t="e">
        <f ca="1">_xludf.IFNA(VLOOKUP(Aragon!E2559,'Kilter Holds'!$P$37:$AB$662,6,0),0)+_xludf.IFNA(VLOOKUP(A2559,'Kilter Holds'!$P$37:$AB$662,6,0),0)</f>
        <v>#NAME?</v>
      </c>
      <c r="I2559" s="274"/>
      <c r="J2559" s="274" t="e">
        <f t="shared" ca="1" si="33"/>
        <v>#NAME?</v>
      </c>
      <c r="K2559" s="274">
        <f t="shared" si="34"/>
        <v>0</v>
      </c>
      <c r="N2559" s="274"/>
    </row>
    <row r="2560" spans="1:14" ht="13.5" customHeight="1">
      <c r="A2560" s="1"/>
      <c r="E2560" s="1" t="s">
        <v>1054</v>
      </c>
      <c r="F2560" s="1" t="s">
        <v>2664</v>
      </c>
      <c r="G2560" s="409" t="str">
        <f t="shared" si="32"/>
        <v>15-12</v>
      </c>
      <c r="H2560" s="273" t="e">
        <f ca="1">_xludf.IFNA(VLOOKUP(Aragon!E2560,'Kilter Holds'!$P$37:$AB$662,7,0),0)+_xludf.IFNA(VLOOKUP(A2560,'Kilter Holds'!$P$37:$AB$662,7,0),0)</f>
        <v>#NAME?</v>
      </c>
      <c r="I2560" s="274"/>
      <c r="J2560" s="274" t="e">
        <f t="shared" ca="1" si="33"/>
        <v>#NAME?</v>
      </c>
      <c r="K2560" s="274">
        <f t="shared" si="34"/>
        <v>0</v>
      </c>
      <c r="N2560" s="274"/>
    </row>
    <row r="2561" spans="1:14" ht="13.5" customHeight="1">
      <c r="A2561" s="1"/>
      <c r="E2561" s="1" t="s">
        <v>1054</v>
      </c>
      <c r="F2561" s="1" t="s">
        <v>2664</v>
      </c>
      <c r="G2561" s="410" t="str">
        <f t="shared" si="32"/>
        <v>16-16</v>
      </c>
      <c r="H2561" s="273" t="e">
        <f ca="1">_xludf.IFNA(VLOOKUP(Aragon!E2561,'Kilter Holds'!$P$37:$AB$662,8,0),0)+_xludf.IFNA(VLOOKUP(A2561,'Kilter Holds'!$P$37:$AB$662,8,0),0)</f>
        <v>#NAME?</v>
      </c>
      <c r="I2561" s="274"/>
      <c r="J2561" s="274" t="e">
        <f t="shared" ca="1" si="33"/>
        <v>#NAME?</v>
      </c>
      <c r="K2561" s="274">
        <f t="shared" si="34"/>
        <v>0</v>
      </c>
      <c r="N2561" s="274"/>
    </row>
    <row r="2562" spans="1:14" ht="13.5" customHeight="1">
      <c r="A2562" s="1"/>
      <c r="E2562" s="1" t="s">
        <v>1054</v>
      </c>
      <c r="F2562" s="1" t="s">
        <v>2664</v>
      </c>
      <c r="G2562" s="411" t="str">
        <f t="shared" si="32"/>
        <v>13-01</v>
      </c>
      <c r="H2562" s="273" t="e">
        <f ca="1">_xludf.IFNA(VLOOKUP(Aragon!E2562,'Kilter Holds'!$P$37:$AB$662,9,0),0)+_xludf.IFNA(VLOOKUP(A2562,'Kilter Holds'!$P$37:$AB$662,9,0),0)</f>
        <v>#NAME?</v>
      </c>
      <c r="I2562" s="274"/>
      <c r="J2562" s="274" t="e">
        <f t="shared" ca="1" si="33"/>
        <v>#NAME?</v>
      </c>
      <c r="K2562" s="274">
        <f t="shared" si="34"/>
        <v>0</v>
      </c>
      <c r="N2562" s="274"/>
    </row>
    <row r="2563" spans="1:14" ht="13.5" customHeight="1">
      <c r="A2563" s="1"/>
      <c r="E2563" s="1" t="s">
        <v>1054</v>
      </c>
      <c r="F2563" s="1" t="s">
        <v>2664</v>
      </c>
      <c r="G2563" s="413" t="str">
        <f t="shared" si="32"/>
        <v>07-13</v>
      </c>
      <c r="H2563" s="273" t="e">
        <f ca="1">_xludf.IFNA(VLOOKUP(Aragon!E2563,'Kilter Holds'!$P$37:$AB$662,10,0),0)+_xludf.IFNA(VLOOKUP(A2563,'Kilter Holds'!$P$37:$AB$662,10,0),0)</f>
        <v>#NAME?</v>
      </c>
      <c r="I2563" s="274"/>
      <c r="J2563" s="274" t="e">
        <f t="shared" ca="1" si="33"/>
        <v>#NAME?</v>
      </c>
      <c r="K2563" s="274">
        <f t="shared" si="34"/>
        <v>0</v>
      </c>
      <c r="N2563" s="274"/>
    </row>
    <row r="2564" spans="1:14" ht="13.5" customHeight="1">
      <c r="A2564" s="1"/>
      <c r="E2564" s="1" t="s">
        <v>1054</v>
      </c>
      <c r="F2564" s="1" t="s">
        <v>2664</v>
      </c>
      <c r="G2564" s="414" t="str">
        <f t="shared" si="32"/>
        <v>11-26</v>
      </c>
      <c r="H2564" s="273" t="e">
        <f ca="1">_xludf.IFNA(VLOOKUP(Aragon!E2564,'Kilter Holds'!$P$37:$AB$662,11,0),0)+_xludf.IFNA(VLOOKUP(A2564,'Kilter Holds'!$P$37:$AB$662,11,0),0)</f>
        <v>#NAME?</v>
      </c>
      <c r="I2564" s="274"/>
      <c r="J2564" s="274" t="e">
        <f t="shared" ca="1" si="33"/>
        <v>#NAME?</v>
      </c>
      <c r="K2564" s="274">
        <f t="shared" si="34"/>
        <v>0</v>
      </c>
      <c r="N2564" s="274"/>
    </row>
    <row r="2565" spans="1:14" ht="13.5" customHeight="1">
      <c r="A2565" s="1"/>
      <c r="E2565" s="1" t="s">
        <v>1054</v>
      </c>
      <c r="F2565" s="1" t="s">
        <v>2664</v>
      </c>
      <c r="G2565" s="415" t="str">
        <f t="shared" si="32"/>
        <v>18-01</v>
      </c>
      <c r="H2565" s="273" t="e">
        <f ca="1">_xludf.IFNA(VLOOKUP(Aragon!E2565,'Kilter Holds'!$P$37:$AB$662,12,0),0)+_xludf.IFNA(VLOOKUP(A2565,'Kilter Holds'!$P$37:$AB$662,12,0),0)</f>
        <v>#NAME?</v>
      </c>
      <c r="I2565" s="274"/>
      <c r="J2565" s="274" t="e">
        <f t="shared" ca="1" si="33"/>
        <v>#NAME?</v>
      </c>
      <c r="K2565" s="274">
        <f t="shared" si="34"/>
        <v>0</v>
      </c>
      <c r="N2565" s="274"/>
    </row>
    <row r="2566" spans="1:14" ht="13.5" customHeight="1">
      <c r="A2566" s="1"/>
      <c r="E2566" s="1" t="s">
        <v>1054</v>
      </c>
      <c r="F2566" s="1" t="s">
        <v>2664</v>
      </c>
      <c r="G2566" s="416" t="str">
        <f t="shared" si="32"/>
        <v>Color Code</v>
      </c>
      <c r="H2566" s="273" t="e">
        <f ca="1">_xludf.IFNA(VLOOKUP(Aragon!E2566,'Kilter Holds'!$P$37:$AB$662,13,0),0)+_xludf.IFNA(VLOOKUP(A2566,'Kilter Holds'!$P$37:$AB$662,13,0),0)</f>
        <v>#NAME?</v>
      </c>
      <c r="I2566" s="274"/>
      <c r="J2566" s="274" t="e">
        <f t="shared" ca="1" si="33"/>
        <v>#NAME?</v>
      </c>
      <c r="K2566" s="274">
        <f t="shared" si="34"/>
        <v>0</v>
      </c>
      <c r="N2566" s="274"/>
    </row>
    <row r="2567" spans="1:14" ht="13.5" customHeight="1">
      <c r="A2567" s="1"/>
      <c r="E2567" s="1" t="s">
        <v>1046</v>
      </c>
      <c r="F2567" s="1" t="s">
        <v>2665</v>
      </c>
      <c r="G2567" s="406" t="str">
        <f t="shared" si="32"/>
        <v>11-12</v>
      </c>
      <c r="H2567" s="273" t="e">
        <f ca="1">_xludf.IFNA(VLOOKUP(Aragon!E2567,'Kilter Holds'!$P$37:$AB$662,5,0),0)+_xludf.IFNA(VLOOKUP(A2567,'Kilter Holds'!$P$37:$AB$662,5,0),0)</f>
        <v>#NAME?</v>
      </c>
      <c r="I2567" s="274"/>
      <c r="J2567" s="274" t="e">
        <f t="shared" ca="1" si="33"/>
        <v>#NAME?</v>
      </c>
      <c r="K2567" s="274">
        <f t="shared" si="34"/>
        <v>0</v>
      </c>
      <c r="N2567" s="274"/>
    </row>
    <row r="2568" spans="1:14" ht="13.5" customHeight="1">
      <c r="A2568" s="1"/>
      <c r="E2568" s="1" t="s">
        <v>1046</v>
      </c>
      <c r="F2568" s="1" t="s">
        <v>2665</v>
      </c>
      <c r="G2568" s="408" t="str">
        <f t="shared" si="32"/>
        <v>14-01</v>
      </c>
      <c r="H2568" s="273" t="e">
        <f ca="1">_xludf.IFNA(VLOOKUP(Aragon!E2568,'Kilter Holds'!$P$37:$AB$662,6,0),0)+_xludf.IFNA(VLOOKUP(A2568,'Kilter Holds'!$P$37:$AB$662,6,0),0)</f>
        <v>#NAME?</v>
      </c>
      <c r="I2568" s="274"/>
      <c r="J2568" s="274" t="e">
        <f t="shared" ca="1" si="33"/>
        <v>#NAME?</v>
      </c>
      <c r="K2568" s="274">
        <f t="shared" si="34"/>
        <v>0</v>
      </c>
      <c r="N2568" s="274"/>
    </row>
    <row r="2569" spans="1:14" ht="13.5" customHeight="1">
      <c r="A2569" s="1"/>
      <c r="E2569" s="1" t="s">
        <v>1046</v>
      </c>
      <c r="F2569" s="1" t="s">
        <v>2665</v>
      </c>
      <c r="G2569" s="409" t="str">
        <f t="shared" si="32"/>
        <v>15-12</v>
      </c>
      <c r="H2569" s="273" t="e">
        <f ca="1">_xludf.IFNA(VLOOKUP(Aragon!E2569,'Kilter Holds'!$P$37:$AB$662,7,0),0)+_xludf.IFNA(VLOOKUP(A2569,'Kilter Holds'!$P$37:$AB$662,7,0),0)</f>
        <v>#NAME?</v>
      </c>
      <c r="I2569" s="274"/>
      <c r="J2569" s="274" t="e">
        <f t="shared" ca="1" si="33"/>
        <v>#NAME?</v>
      </c>
      <c r="K2569" s="274">
        <f t="shared" si="34"/>
        <v>0</v>
      </c>
      <c r="N2569" s="274"/>
    </row>
    <row r="2570" spans="1:14" ht="13.5" customHeight="1">
      <c r="A2570" s="1"/>
      <c r="E2570" s="1" t="s">
        <v>1046</v>
      </c>
      <c r="F2570" s="1" t="s">
        <v>2665</v>
      </c>
      <c r="G2570" s="410" t="str">
        <f t="shared" si="32"/>
        <v>16-16</v>
      </c>
      <c r="H2570" s="273" t="e">
        <f ca="1">_xludf.IFNA(VLOOKUP(Aragon!E2570,'Kilter Holds'!$P$37:$AB$662,8,0),0)+_xludf.IFNA(VLOOKUP(A2570,'Kilter Holds'!$P$37:$AB$662,8,0),0)</f>
        <v>#NAME?</v>
      </c>
      <c r="I2570" s="274"/>
      <c r="J2570" s="274" t="e">
        <f t="shared" ca="1" si="33"/>
        <v>#NAME?</v>
      </c>
      <c r="K2570" s="274">
        <f t="shared" si="34"/>
        <v>0</v>
      </c>
      <c r="N2570" s="274"/>
    </row>
    <row r="2571" spans="1:14" ht="13.5" customHeight="1">
      <c r="A2571" s="1"/>
      <c r="E2571" s="1" t="s">
        <v>1046</v>
      </c>
      <c r="F2571" s="1" t="s">
        <v>2665</v>
      </c>
      <c r="G2571" s="411" t="str">
        <f t="shared" si="32"/>
        <v>13-01</v>
      </c>
      <c r="H2571" s="273" t="e">
        <f ca="1">_xludf.IFNA(VLOOKUP(Aragon!E2571,'Kilter Holds'!$P$37:$AB$662,9,0),0)+_xludf.IFNA(VLOOKUP(A2571,'Kilter Holds'!$P$37:$AB$662,9,0),0)</f>
        <v>#NAME?</v>
      </c>
      <c r="I2571" s="274"/>
      <c r="J2571" s="274" t="e">
        <f t="shared" ca="1" si="33"/>
        <v>#NAME?</v>
      </c>
      <c r="K2571" s="274">
        <f t="shared" si="34"/>
        <v>0</v>
      </c>
      <c r="N2571" s="274"/>
    </row>
    <row r="2572" spans="1:14" ht="13.5" customHeight="1">
      <c r="A2572" s="1"/>
      <c r="E2572" s="1" t="s">
        <v>1046</v>
      </c>
      <c r="F2572" s="1" t="s">
        <v>2665</v>
      </c>
      <c r="G2572" s="413" t="str">
        <f t="shared" si="32"/>
        <v>07-13</v>
      </c>
      <c r="H2572" s="273" t="e">
        <f ca="1">_xludf.IFNA(VLOOKUP(Aragon!E2572,'Kilter Holds'!$P$37:$AB$662,10,0),0)+_xludf.IFNA(VLOOKUP(A2572,'Kilter Holds'!$P$37:$AB$662,10,0),0)</f>
        <v>#NAME?</v>
      </c>
      <c r="I2572" s="274"/>
      <c r="J2572" s="274" t="e">
        <f t="shared" ca="1" si="33"/>
        <v>#NAME?</v>
      </c>
      <c r="K2572" s="274">
        <f t="shared" si="34"/>
        <v>0</v>
      </c>
      <c r="N2572" s="274"/>
    </row>
    <row r="2573" spans="1:14" ht="13.5" customHeight="1">
      <c r="A2573" s="1"/>
      <c r="E2573" s="1" t="s">
        <v>1046</v>
      </c>
      <c r="F2573" s="1" t="s">
        <v>2665</v>
      </c>
      <c r="G2573" s="414" t="str">
        <f t="shared" si="32"/>
        <v>11-26</v>
      </c>
      <c r="H2573" s="273" t="e">
        <f ca="1">_xludf.IFNA(VLOOKUP(Aragon!E2573,'Kilter Holds'!$P$37:$AB$662,11,0),0)+_xludf.IFNA(VLOOKUP(A2573,'Kilter Holds'!$P$37:$AB$662,11,0),0)</f>
        <v>#NAME?</v>
      </c>
      <c r="I2573" s="274"/>
      <c r="J2573" s="274" t="e">
        <f t="shared" ca="1" si="33"/>
        <v>#NAME?</v>
      </c>
      <c r="K2573" s="274">
        <f t="shared" si="34"/>
        <v>0</v>
      </c>
      <c r="N2573" s="274"/>
    </row>
    <row r="2574" spans="1:14" ht="13.5" customHeight="1">
      <c r="A2574" s="1"/>
      <c r="E2574" s="1" t="s">
        <v>1046</v>
      </c>
      <c r="F2574" s="1" t="s">
        <v>2665</v>
      </c>
      <c r="G2574" s="415" t="str">
        <f t="shared" si="32"/>
        <v>18-01</v>
      </c>
      <c r="H2574" s="273" t="e">
        <f ca="1">_xludf.IFNA(VLOOKUP(Aragon!E2574,'Kilter Holds'!$P$37:$AB$662,12,0),0)+_xludf.IFNA(VLOOKUP(A2574,'Kilter Holds'!$P$37:$AB$662,12,0),0)</f>
        <v>#NAME?</v>
      </c>
      <c r="I2574" s="274"/>
      <c r="J2574" s="274" t="e">
        <f t="shared" ca="1" si="33"/>
        <v>#NAME?</v>
      </c>
      <c r="K2574" s="274">
        <f t="shared" si="34"/>
        <v>0</v>
      </c>
      <c r="N2574" s="274"/>
    </row>
    <row r="2575" spans="1:14" ht="13.5" customHeight="1">
      <c r="A2575" s="1"/>
      <c r="E2575" s="1" t="s">
        <v>1046</v>
      </c>
      <c r="F2575" s="1" t="s">
        <v>2665</v>
      </c>
      <c r="G2575" s="416" t="str">
        <f t="shared" si="32"/>
        <v>Color Code</v>
      </c>
      <c r="H2575" s="273" t="e">
        <f ca="1">_xludf.IFNA(VLOOKUP(Aragon!E2575,'Kilter Holds'!$P$37:$AB$662,13,0),0)+_xludf.IFNA(VLOOKUP(A2575,'Kilter Holds'!$P$37:$AB$662,13,0),0)</f>
        <v>#NAME?</v>
      </c>
      <c r="I2575" s="274"/>
      <c r="J2575" s="274" t="e">
        <f t="shared" ca="1" si="33"/>
        <v>#NAME?</v>
      </c>
      <c r="K2575" s="274">
        <f t="shared" si="34"/>
        <v>0</v>
      </c>
      <c r="N2575" s="274"/>
    </row>
    <row r="2576" spans="1:14" ht="13.5" customHeight="1">
      <c r="A2576" s="1"/>
      <c r="E2576" s="1" t="s">
        <v>1056</v>
      </c>
      <c r="F2576" s="1" t="s">
        <v>2666</v>
      </c>
      <c r="G2576" s="406" t="str">
        <f t="shared" si="32"/>
        <v>11-12</v>
      </c>
      <c r="H2576" s="273" t="e">
        <f ca="1">_xludf.IFNA(VLOOKUP(Aragon!E2576,'Kilter Holds'!$P$37:$AB$662,5,0),0)+_xludf.IFNA(VLOOKUP(A2576,'Kilter Holds'!$P$37:$AB$662,5,0),0)</f>
        <v>#NAME?</v>
      </c>
      <c r="I2576" s="274"/>
      <c r="J2576" s="274" t="e">
        <f t="shared" ca="1" si="33"/>
        <v>#NAME?</v>
      </c>
      <c r="K2576" s="274">
        <f t="shared" si="34"/>
        <v>0</v>
      </c>
      <c r="N2576" s="274"/>
    </row>
    <row r="2577" spans="1:14" ht="13.5" customHeight="1">
      <c r="A2577" s="1"/>
      <c r="E2577" s="1" t="s">
        <v>1056</v>
      </c>
      <c r="F2577" s="1" t="s">
        <v>2666</v>
      </c>
      <c r="G2577" s="408" t="str">
        <f t="shared" si="32"/>
        <v>14-01</v>
      </c>
      <c r="H2577" s="273" t="e">
        <f ca="1">_xludf.IFNA(VLOOKUP(Aragon!E2577,'Kilter Holds'!$P$37:$AB$662,6,0),0)+_xludf.IFNA(VLOOKUP(A2577,'Kilter Holds'!$P$37:$AB$662,6,0),0)</f>
        <v>#NAME?</v>
      </c>
      <c r="I2577" s="274"/>
      <c r="J2577" s="274" t="e">
        <f t="shared" ca="1" si="33"/>
        <v>#NAME?</v>
      </c>
      <c r="K2577" s="274">
        <f t="shared" si="34"/>
        <v>0</v>
      </c>
      <c r="N2577" s="274"/>
    </row>
    <row r="2578" spans="1:14" ht="13.5" customHeight="1">
      <c r="A2578" s="1"/>
      <c r="E2578" s="1" t="s">
        <v>1056</v>
      </c>
      <c r="F2578" s="1" t="s">
        <v>2666</v>
      </c>
      <c r="G2578" s="409" t="str">
        <f t="shared" si="32"/>
        <v>15-12</v>
      </c>
      <c r="H2578" s="273" t="e">
        <f ca="1">_xludf.IFNA(VLOOKUP(Aragon!E2578,'Kilter Holds'!$P$37:$AB$662,7,0),0)+_xludf.IFNA(VLOOKUP(A2578,'Kilter Holds'!$P$37:$AB$662,7,0),0)</f>
        <v>#NAME?</v>
      </c>
      <c r="I2578" s="274"/>
      <c r="J2578" s="274" t="e">
        <f t="shared" ca="1" si="33"/>
        <v>#NAME?</v>
      </c>
      <c r="K2578" s="274">
        <f t="shared" si="34"/>
        <v>0</v>
      </c>
      <c r="N2578" s="274"/>
    </row>
    <row r="2579" spans="1:14" ht="13.5" customHeight="1">
      <c r="A2579" s="1"/>
      <c r="E2579" s="1" t="s">
        <v>1056</v>
      </c>
      <c r="F2579" s="1" t="s">
        <v>2666</v>
      </c>
      <c r="G2579" s="410" t="str">
        <f t="shared" si="32"/>
        <v>16-16</v>
      </c>
      <c r="H2579" s="273" t="e">
        <f ca="1">_xludf.IFNA(VLOOKUP(Aragon!E2579,'Kilter Holds'!$P$37:$AB$662,8,0),0)+_xludf.IFNA(VLOOKUP(A2579,'Kilter Holds'!$P$37:$AB$662,8,0),0)</f>
        <v>#NAME?</v>
      </c>
      <c r="I2579" s="274"/>
      <c r="J2579" s="274" t="e">
        <f t="shared" ca="1" si="33"/>
        <v>#NAME?</v>
      </c>
      <c r="K2579" s="274">
        <f t="shared" si="34"/>
        <v>0</v>
      </c>
      <c r="N2579" s="274"/>
    </row>
    <row r="2580" spans="1:14" ht="13.5" customHeight="1">
      <c r="A2580" s="1"/>
      <c r="E2580" s="1" t="s">
        <v>1056</v>
      </c>
      <c r="F2580" s="1" t="s">
        <v>2666</v>
      </c>
      <c r="G2580" s="411" t="str">
        <f t="shared" si="32"/>
        <v>13-01</v>
      </c>
      <c r="H2580" s="273" t="e">
        <f ca="1">_xludf.IFNA(VLOOKUP(Aragon!E2580,'Kilter Holds'!$P$37:$AB$662,9,0),0)+_xludf.IFNA(VLOOKUP(A2580,'Kilter Holds'!$P$37:$AB$662,9,0),0)</f>
        <v>#NAME?</v>
      </c>
      <c r="I2580" s="274"/>
      <c r="J2580" s="274" t="e">
        <f t="shared" ca="1" si="33"/>
        <v>#NAME?</v>
      </c>
      <c r="K2580" s="274">
        <f t="shared" si="34"/>
        <v>0</v>
      </c>
      <c r="N2580" s="274"/>
    </row>
    <row r="2581" spans="1:14" ht="13.5" customHeight="1">
      <c r="A2581" s="1"/>
      <c r="E2581" s="1" t="s">
        <v>1056</v>
      </c>
      <c r="F2581" s="1" t="s">
        <v>2666</v>
      </c>
      <c r="G2581" s="413" t="str">
        <f t="shared" si="32"/>
        <v>07-13</v>
      </c>
      <c r="H2581" s="273" t="e">
        <f ca="1">_xludf.IFNA(VLOOKUP(Aragon!E2581,'Kilter Holds'!$P$37:$AB$662,10,0),0)+_xludf.IFNA(VLOOKUP(A2581,'Kilter Holds'!$P$37:$AB$662,10,0),0)</f>
        <v>#NAME?</v>
      </c>
      <c r="I2581" s="274"/>
      <c r="J2581" s="274" t="e">
        <f t="shared" ca="1" si="33"/>
        <v>#NAME?</v>
      </c>
      <c r="K2581" s="274">
        <f t="shared" si="34"/>
        <v>0</v>
      </c>
      <c r="N2581" s="274"/>
    </row>
    <row r="2582" spans="1:14" ht="13.5" customHeight="1">
      <c r="A2582" s="1"/>
      <c r="E2582" s="1" t="s">
        <v>1056</v>
      </c>
      <c r="F2582" s="1" t="s">
        <v>2666</v>
      </c>
      <c r="G2582" s="414" t="str">
        <f t="shared" si="32"/>
        <v>11-26</v>
      </c>
      <c r="H2582" s="273" t="e">
        <f ca="1">_xludf.IFNA(VLOOKUP(Aragon!E2582,'Kilter Holds'!$P$37:$AB$662,11,0),0)+_xludf.IFNA(VLOOKUP(A2582,'Kilter Holds'!$P$37:$AB$662,11,0),0)</f>
        <v>#NAME?</v>
      </c>
      <c r="I2582" s="274"/>
      <c r="J2582" s="274" t="e">
        <f t="shared" ca="1" si="33"/>
        <v>#NAME?</v>
      </c>
      <c r="K2582" s="274">
        <f t="shared" si="34"/>
        <v>0</v>
      </c>
      <c r="N2582" s="274"/>
    </row>
    <row r="2583" spans="1:14" ht="13.5" customHeight="1">
      <c r="A2583" s="1"/>
      <c r="E2583" s="1" t="s">
        <v>1056</v>
      </c>
      <c r="F2583" s="1" t="s">
        <v>2666</v>
      </c>
      <c r="G2583" s="415" t="str">
        <f t="shared" si="32"/>
        <v>18-01</v>
      </c>
      <c r="H2583" s="273" t="e">
        <f ca="1">_xludf.IFNA(VLOOKUP(Aragon!E2583,'Kilter Holds'!$P$37:$AB$662,12,0),0)+_xludf.IFNA(VLOOKUP(A2583,'Kilter Holds'!$P$37:$AB$662,12,0),0)</f>
        <v>#NAME?</v>
      </c>
      <c r="I2583" s="274"/>
      <c r="J2583" s="274" t="e">
        <f t="shared" ca="1" si="33"/>
        <v>#NAME?</v>
      </c>
      <c r="K2583" s="274">
        <f t="shared" si="34"/>
        <v>0</v>
      </c>
      <c r="N2583" s="274"/>
    </row>
    <row r="2584" spans="1:14" ht="13.5" customHeight="1">
      <c r="A2584" s="1"/>
      <c r="E2584" s="1" t="s">
        <v>1056</v>
      </c>
      <c r="F2584" s="1" t="s">
        <v>2666</v>
      </c>
      <c r="G2584" s="416" t="str">
        <f t="shared" si="32"/>
        <v>Color Code</v>
      </c>
      <c r="H2584" s="273" t="e">
        <f ca="1">_xludf.IFNA(VLOOKUP(Aragon!E2584,'Kilter Holds'!$P$37:$AB$662,13,0),0)+_xludf.IFNA(VLOOKUP(A2584,'Kilter Holds'!$P$37:$AB$662,13,0),0)</f>
        <v>#NAME?</v>
      </c>
      <c r="I2584" s="274"/>
      <c r="J2584" s="274" t="e">
        <f t="shared" ca="1" si="33"/>
        <v>#NAME?</v>
      </c>
      <c r="K2584" s="274">
        <f t="shared" si="34"/>
        <v>0</v>
      </c>
      <c r="N2584" s="274"/>
    </row>
    <row r="2585" spans="1:14" ht="13.5" customHeight="1">
      <c r="A2585" s="1"/>
      <c r="E2585" s="1" t="s">
        <v>661</v>
      </c>
      <c r="F2585" s="1" t="s">
        <v>2667</v>
      </c>
      <c r="G2585" s="406" t="str">
        <f t="shared" si="32"/>
        <v>11-12</v>
      </c>
      <c r="H2585" s="273" t="e">
        <f ca="1">_xludf.IFNA(VLOOKUP(Aragon!E2585,'Kilter Holds'!$P$37:$AB$662,5,0),0)+_xludf.IFNA(VLOOKUP(A2585,'Kilter Holds'!$P$37:$AB$662,5,0),0)</f>
        <v>#NAME?</v>
      </c>
      <c r="I2585" s="274"/>
      <c r="J2585" s="274" t="e">
        <f t="shared" ca="1" si="33"/>
        <v>#NAME?</v>
      </c>
      <c r="K2585" s="274">
        <f t="shared" si="34"/>
        <v>0</v>
      </c>
      <c r="N2585" s="274"/>
    </row>
    <row r="2586" spans="1:14" ht="13.5" customHeight="1">
      <c r="A2586" s="1"/>
      <c r="E2586" s="1" t="s">
        <v>661</v>
      </c>
      <c r="F2586" s="1" t="s">
        <v>2667</v>
      </c>
      <c r="G2586" s="408" t="str">
        <f t="shared" si="32"/>
        <v>14-01</v>
      </c>
      <c r="H2586" s="273" t="e">
        <f ca="1">_xludf.IFNA(VLOOKUP(Aragon!E2586,'Kilter Holds'!$P$37:$AB$662,6,0),0)+_xludf.IFNA(VLOOKUP(A2586,'Kilter Holds'!$P$37:$AB$662,6,0),0)</f>
        <v>#NAME?</v>
      </c>
      <c r="I2586" s="274"/>
      <c r="J2586" s="274" t="e">
        <f t="shared" ca="1" si="33"/>
        <v>#NAME?</v>
      </c>
      <c r="K2586" s="274">
        <f t="shared" si="34"/>
        <v>0</v>
      </c>
      <c r="N2586" s="274"/>
    </row>
    <row r="2587" spans="1:14" ht="13.5" customHeight="1">
      <c r="A2587" s="1"/>
      <c r="E2587" s="1" t="s">
        <v>661</v>
      </c>
      <c r="F2587" s="1" t="s">
        <v>2667</v>
      </c>
      <c r="G2587" s="409" t="str">
        <f t="shared" si="32"/>
        <v>15-12</v>
      </c>
      <c r="H2587" s="273" t="e">
        <f ca="1">_xludf.IFNA(VLOOKUP(Aragon!E2587,'Kilter Holds'!$P$37:$AB$662,7,0),0)+_xludf.IFNA(VLOOKUP(A2587,'Kilter Holds'!$P$37:$AB$662,7,0),0)</f>
        <v>#NAME?</v>
      </c>
      <c r="I2587" s="274"/>
      <c r="J2587" s="274" t="e">
        <f t="shared" ca="1" si="33"/>
        <v>#NAME?</v>
      </c>
      <c r="K2587" s="274">
        <f t="shared" si="34"/>
        <v>0</v>
      </c>
      <c r="N2587" s="274"/>
    </row>
    <row r="2588" spans="1:14" ht="13.5" customHeight="1">
      <c r="A2588" s="1"/>
      <c r="E2588" s="1" t="s">
        <v>661</v>
      </c>
      <c r="F2588" s="1" t="s">
        <v>2667</v>
      </c>
      <c r="G2588" s="410" t="str">
        <f t="shared" si="32"/>
        <v>16-16</v>
      </c>
      <c r="H2588" s="273" t="e">
        <f ca="1">_xludf.IFNA(VLOOKUP(Aragon!E2588,'Kilter Holds'!$P$37:$AB$662,8,0),0)+_xludf.IFNA(VLOOKUP(A2588,'Kilter Holds'!$P$37:$AB$662,8,0),0)</f>
        <v>#NAME?</v>
      </c>
      <c r="I2588" s="274"/>
      <c r="J2588" s="274" t="e">
        <f t="shared" ca="1" si="33"/>
        <v>#NAME?</v>
      </c>
      <c r="K2588" s="274">
        <f t="shared" si="34"/>
        <v>0</v>
      </c>
      <c r="N2588" s="274"/>
    </row>
    <row r="2589" spans="1:14" ht="13.5" customHeight="1">
      <c r="A2589" s="1"/>
      <c r="E2589" s="1" t="s">
        <v>661</v>
      </c>
      <c r="F2589" s="1" t="s">
        <v>2667</v>
      </c>
      <c r="G2589" s="411" t="str">
        <f t="shared" si="32"/>
        <v>13-01</v>
      </c>
      <c r="H2589" s="273" t="e">
        <f ca="1">_xludf.IFNA(VLOOKUP(Aragon!E2589,'Kilter Holds'!$P$37:$AB$662,9,0),0)+_xludf.IFNA(VLOOKUP(A2589,'Kilter Holds'!$P$37:$AB$662,9,0),0)</f>
        <v>#NAME?</v>
      </c>
      <c r="I2589" s="274"/>
      <c r="J2589" s="274" t="e">
        <f t="shared" ca="1" si="33"/>
        <v>#NAME?</v>
      </c>
      <c r="K2589" s="274">
        <f t="shared" si="34"/>
        <v>0</v>
      </c>
      <c r="N2589" s="274"/>
    </row>
    <row r="2590" spans="1:14" ht="13.5" customHeight="1">
      <c r="A2590" s="1"/>
      <c r="E2590" s="1" t="s">
        <v>661</v>
      </c>
      <c r="F2590" s="1" t="s">
        <v>2667</v>
      </c>
      <c r="G2590" s="413" t="str">
        <f t="shared" si="32"/>
        <v>07-13</v>
      </c>
      <c r="H2590" s="273" t="e">
        <f ca="1">_xludf.IFNA(VLOOKUP(Aragon!E2590,'Kilter Holds'!$P$37:$AB$662,10,0),0)+_xludf.IFNA(VLOOKUP(A2590,'Kilter Holds'!$P$37:$AB$662,10,0),0)</f>
        <v>#NAME?</v>
      </c>
      <c r="I2590" s="274"/>
      <c r="J2590" s="274" t="e">
        <f t="shared" ca="1" si="33"/>
        <v>#NAME?</v>
      </c>
      <c r="K2590" s="274">
        <f t="shared" si="34"/>
        <v>0</v>
      </c>
      <c r="N2590" s="274"/>
    </row>
    <row r="2591" spans="1:14" ht="13.5" customHeight="1">
      <c r="A2591" s="1"/>
      <c r="E2591" s="1" t="s">
        <v>661</v>
      </c>
      <c r="F2591" s="1" t="s">
        <v>2667</v>
      </c>
      <c r="G2591" s="414" t="str">
        <f t="shared" si="32"/>
        <v>11-26</v>
      </c>
      <c r="H2591" s="273" t="e">
        <f ca="1">_xludf.IFNA(VLOOKUP(Aragon!E2591,'Kilter Holds'!$P$37:$AB$662,11,0),0)+_xludf.IFNA(VLOOKUP(A2591,'Kilter Holds'!$P$37:$AB$662,11,0),0)</f>
        <v>#NAME?</v>
      </c>
      <c r="I2591" s="274"/>
      <c r="J2591" s="274" t="e">
        <f t="shared" ca="1" si="33"/>
        <v>#NAME?</v>
      </c>
      <c r="K2591" s="274">
        <f t="shared" si="34"/>
        <v>0</v>
      </c>
      <c r="N2591" s="274"/>
    </row>
    <row r="2592" spans="1:14" ht="13.5" customHeight="1">
      <c r="A2592" s="1"/>
      <c r="E2592" s="1" t="s">
        <v>661</v>
      </c>
      <c r="F2592" s="1" t="s">
        <v>2667</v>
      </c>
      <c r="G2592" s="415" t="str">
        <f t="shared" si="32"/>
        <v>18-01</v>
      </c>
      <c r="H2592" s="273" t="e">
        <f ca="1">_xludf.IFNA(VLOOKUP(Aragon!E2592,'Kilter Holds'!$P$37:$AB$662,12,0),0)+_xludf.IFNA(VLOOKUP(A2592,'Kilter Holds'!$P$37:$AB$662,12,0),0)</f>
        <v>#NAME?</v>
      </c>
      <c r="I2592" s="274"/>
      <c r="J2592" s="274" t="e">
        <f t="shared" ca="1" si="33"/>
        <v>#NAME?</v>
      </c>
      <c r="K2592" s="274">
        <f t="shared" si="34"/>
        <v>0</v>
      </c>
      <c r="N2592" s="274"/>
    </row>
    <row r="2593" spans="1:14" ht="13.5" customHeight="1">
      <c r="A2593" s="1"/>
      <c r="E2593" s="1" t="s">
        <v>661</v>
      </c>
      <c r="F2593" s="1" t="s">
        <v>2667</v>
      </c>
      <c r="G2593" s="416" t="str">
        <f t="shared" si="32"/>
        <v>Color Code</v>
      </c>
      <c r="H2593" s="273" t="e">
        <f ca="1">_xludf.IFNA(VLOOKUP(Aragon!E2593,'Kilter Holds'!$P$37:$AB$662,13,0),0)+_xludf.IFNA(VLOOKUP(A2593,'Kilter Holds'!$P$37:$AB$662,13,0),0)</f>
        <v>#NAME?</v>
      </c>
      <c r="I2593" s="274"/>
      <c r="J2593" s="274" t="e">
        <f t="shared" ca="1" si="33"/>
        <v>#NAME?</v>
      </c>
      <c r="K2593" s="274">
        <f t="shared" si="34"/>
        <v>0</v>
      </c>
      <c r="N2593" s="274"/>
    </row>
    <row r="2594" spans="1:14" ht="13.5" customHeight="1">
      <c r="E2594" s="209" t="s">
        <v>429</v>
      </c>
      <c r="F2594" s="209" t="s">
        <v>2668</v>
      </c>
      <c r="G2594" s="406" t="str">
        <f t="shared" ref="G2594:G2602" si="35">G1973</f>
        <v>11-12</v>
      </c>
      <c r="H2594" s="273" t="e">
        <f ca="1">_xludf.IFNA(VLOOKUP(Aragon!E2594,'Kilter Holds'!$P$37:$AB$662,5,0),0)</f>
        <v>#NAME?</v>
      </c>
      <c r="I2594" s="274"/>
      <c r="J2594" s="274" t="e">
        <f t="shared" ca="1" si="33"/>
        <v>#NAME?</v>
      </c>
      <c r="K2594" s="274">
        <f t="shared" si="34"/>
        <v>0</v>
      </c>
      <c r="N2594" s="274"/>
    </row>
    <row r="2595" spans="1:14" ht="13.5" customHeight="1">
      <c r="E2595" s="209" t="s">
        <v>429</v>
      </c>
      <c r="F2595" s="209" t="s">
        <v>2668</v>
      </c>
      <c r="G2595" s="408" t="str">
        <f t="shared" si="35"/>
        <v>14-01</v>
      </c>
      <c r="H2595" s="273" t="e">
        <f ca="1">_xludf.IFNA(VLOOKUP(Aragon!E2595,'Kilter Holds'!$P$37:$AB$662,6,0),0)</f>
        <v>#NAME?</v>
      </c>
      <c r="I2595" s="274"/>
      <c r="J2595" s="274" t="e">
        <f t="shared" ca="1" si="33"/>
        <v>#NAME?</v>
      </c>
      <c r="K2595" s="274">
        <f t="shared" si="34"/>
        <v>0</v>
      </c>
      <c r="N2595" s="274"/>
    </row>
    <row r="2596" spans="1:14" ht="13.5" customHeight="1">
      <c r="E2596" s="209" t="s">
        <v>429</v>
      </c>
      <c r="F2596" s="209" t="s">
        <v>2668</v>
      </c>
      <c r="G2596" s="409" t="str">
        <f t="shared" si="35"/>
        <v>15-12</v>
      </c>
      <c r="H2596" s="273" t="e">
        <f ca="1">_xludf.IFNA(VLOOKUP(Aragon!E2596,'Kilter Holds'!$P$37:$AB$662,7,0),0)</f>
        <v>#NAME?</v>
      </c>
      <c r="I2596" s="274"/>
      <c r="J2596" s="274" t="e">
        <f t="shared" ca="1" si="33"/>
        <v>#NAME?</v>
      </c>
      <c r="K2596" s="274">
        <f t="shared" si="34"/>
        <v>0</v>
      </c>
      <c r="N2596" s="274"/>
    </row>
    <row r="2597" spans="1:14" ht="13.5" customHeight="1">
      <c r="E2597" s="209" t="s">
        <v>429</v>
      </c>
      <c r="F2597" s="209" t="s">
        <v>2668</v>
      </c>
      <c r="G2597" s="410" t="str">
        <f t="shared" si="35"/>
        <v>16-16</v>
      </c>
      <c r="H2597" s="273" t="e">
        <f ca="1">_xludf.IFNA(VLOOKUP(Aragon!E2597,'Kilter Holds'!$P$37:$AB$662,8,0),0)</f>
        <v>#NAME?</v>
      </c>
      <c r="I2597" s="274"/>
      <c r="J2597" s="274" t="e">
        <f t="shared" ca="1" si="33"/>
        <v>#NAME?</v>
      </c>
      <c r="K2597" s="274">
        <f t="shared" si="34"/>
        <v>0</v>
      </c>
      <c r="N2597" s="274"/>
    </row>
    <row r="2598" spans="1:14" ht="13.5" customHeight="1">
      <c r="E2598" s="209" t="s">
        <v>429</v>
      </c>
      <c r="F2598" s="209" t="s">
        <v>2668</v>
      </c>
      <c r="G2598" s="411" t="str">
        <f t="shared" si="35"/>
        <v>13-01</v>
      </c>
      <c r="H2598" s="273" t="e">
        <f ca="1">_xludf.IFNA(VLOOKUP(Aragon!E2598,'Kilter Holds'!$P$37:$AB$662,9,0),0)</f>
        <v>#NAME?</v>
      </c>
      <c r="I2598" s="274"/>
      <c r="J2598" s="274" t="e">
        <f t="shared" ca="1" si="33"/>
        <v>#NAME?</v>
      </c>
      <c r="K2598" s="274">
        <f t="shared" si="34"/>
        <v>0</v>
      </c>
      <c r="N2598" s="274"/>
    </row>
    <row r="2599" spans="1:14" ht="13.5" customHeight="1">
      <c r="E2599" s="209" t="s">
        <v>429</v>
      </c>
      <c r="F2599" s="209" t="s">
        <v>2668</v>
      </c>
      <c r="G2599" s="413" t="str">
        <f t="shared" si="35"/>
        <v>07-13</v>
      </c>
      <c r="H2599" s="273" t="e">
        <f ca="1">_xludf.IFNA(VLOOKUP(Aragon!E2599,'Kilter Holds'!$P$37:$AB$662,10,0),0)</f>
        <v>#NAME?</v>
      </c>
      <c r="I2599" s="274"/>
      <c r="J2599" s="274" t="e">
        <f t="shared" ca="1" si="33"/>
        <v>#NAME?</v>
      </c>
      <c r="K2599" s="274">
        <f t="shared" si="34"/>
        <v>0</v>
      </c>
      <c r="N2599" s="274"/>
    </row>
    <row r="2600" spans="1:14" ht="13.5" customHeight="1">
      <c r="E2600" s="209" t="s">
        <v>429</v>
      </c>
      <c r="F2600" s="209" t="s">
        <v>2668</v>
      </c>
      <c r="G2600" s="414" t="str">
        <f t="shared" si="35"/>
        <v>11-26</v>
      </c>
      <c r="H2600" s="273" t="e">
        <f ca="1">_xludf.IFNA(VLOOKUP(Aragon!E2600,'Kilter Holds'!$P$37:$AB$662,11,0),0)</f>
        <v>#NAME?</v>
      </c>
      <c r="I2600" s="274"/>
      <c r="J2600" s="274" t="e">
        <f t="shared" ca="1" si="33"/>
        <v>#NAME?</v>
      </c>
      <c r="K2600" s="274">
        <f t="shared" si="34"/>
        <v>0</v>
      </c>
      <c r="N2600" s="274"/>
    </row>
    <row r="2601" spans="1:14" ht="13.5" customHeight="1">
      <c r="E2601" s="209" t="s">
        <v>429</v>
      </c>
      <c r="F2601" s="209" t="s">
        <v>2668</v>
      </c>
      <c r="G2601" s="415" t="str">
        <f t="shared" si="35"/>
        <v>18-01</v>
      </c>
      <c r="H2601" s="273" t="e">
        <f ca="1">_xludf.IFNA(VLOOKUP(Aragon!E2601,'Kilter Holds'!$P$37:$AB$662,12,0),0)</f>
        <v>#NAME?</v>
      </c>
      <c r="I2601" s="274"/>
      <c r="J2601" s="274" t="e">
        <f t="shared" ca="1" si="33"/>
        <v>#NAME?</v>
      </c>
      <c r="K2601" s="274">
        <f t="shared" si="34"/>
        <v>0</v>
      </c>
      <c r="N2601" s="274"/>
    </row>
    <row r="2602" spans="1:14" ht="13.5" customHeight="1">
      <c r="E2602" s="209" t="s">
        <v>429</v>
      </c>
      <c r="F2602" s="209" t="s">
        <v>2668</v>
      </c>
      <c r="G2602" s="416" t="str">
        <f t="shared" si="35"/>
        <v>Color Code</v>
      </c>
      <c r="H2602" s="273" t="e">
        <f ca="1">_xludf.IFNA(VLOOKUP(Aragon!E2602,'Kilter Holds'!$P$37:$AB$662,13,0),0)</f>
        <v>#NAME?</v>
      </c>
      <c r="I2602" s="274"/>
      <c r="J2602" s="274" t="e">
        <f t="shared" ca="1" si="33"/>
        <v>#NAME?</v>
      </c>
      <c r="K2602" s="274">
        <f t="shared" si="34"/>
        <v>0</v>
      </c>
      <c r="N2602" s="274"/>
    </row>
    <row r="2603" spans="1:14" ht="13.5" customHeight="1">
      <c r="E2603" s="209" t="s">
        <v>415</v>
      </c>
      <c r="F2603" s="209" t="s">
        <v>2669</v>
      </c>
      <c r="G2603" s="406" t="str">
        <f t="shared" ref="G2603:G2857" si="36">G2594</f>
        <v>11-12</v>
      </c>
      <c r="H2603" s="273" t="e">
        <f ca="1">_xludf.IFNA(VLOOKUP(Aragon!E2603,'Kilter Holds'!$P$37:$AB$662,5,0),0)</f>
        <v>#NAME?</v>
      </c>
      <c r="I2603" s="274"/>
      <c r="J2603" s="274" t="e">
        <f t="shared" ca="1" si="33"/>
        <v>#NAME?</v>
      </c>
      <c r="K2603" s="274">
        <f t="shared" si="34"/>
        <v>0</v>
      </c>
      <c r="N2603" s="274"/>
    </row>
    <row r="2604" spans="1:14" ht="13.5" customHeight="1">
      <c r="E2604" s="209" t="s">
        <v>415</v>
      </c>
      <c r="F2604" s="209" t="s">
        <v>2669</v>
      </c>
      <c r="G2604" s="408" t="str">
        <f t="shared" si="36"/>
        <v>14-01</v>
      </c>
      <c r="H2604" s="273" t="e">
        <f ca="1">_xludf.IFNA(VLOOKUP(Aragon!E2604,'Kilter Holds'!$P$37:$AB$662,6,0),0)</f>
        <v>#NAME?</v>
      </c>
      <c r="I2604" s="274"/>
      <c r="J2604" s="274" t="e">
        <f t="shared" ca="1" si="33"/>
        <v>#NAME?</v>
      </c>
      <c r="K2604" s="274">
        <f t="shared" si="34"/>
        <v>0</v>
      </c>
      <c r="N2604" s="274"/>
    </row>
    <row r="2605" spans="1:14" ht="13.5" customHeight="1">
      <c r="E2605" s="209" t="s">
        <v>415</v>
      </c>
      <c r="F2605" s="209" t="s">
        <v>2669</v>
      </c>
      <c r="G2605" s="409" t="str">
        <f t="shared" si="36"/>
        <v>15-12</v>
      </c>
      <c r="H2605" s="273" t="e">
        <f ca="1">_xludf.IFNA(VLOOKUP(Aragon!E2605,'Kilter Holds'!$P$37:$AB$662,7,0),0)</f>
        <v>#NAME?</v>
      </c>
      <c r="I2605" s="274"/>
      <c r="J2605" s="274" t="e">
        <f t="shared" ca="1" si="33"/>
        <v>#NAME?</v>
      </c>
      <c r="K2605" s="274">
        <f t="shared" si="34"/>
        <v>0</v>
      </c>
      <c r="N2605" s="274"/>
    </row>
    <row r="2606" spans="1:14" ht="13.5" customHeight="1">
      <c r="E2606" s="209" t="s">
        <v>415</v>
      </c>
      <c r="F2606" s="209" t="s">
        <v>2669</v>
      </c>
      <c r="G2606" s="410" t="str">
        <f t="shared" si="36"/>
        <v>16-16</v>
      </c>
      <c r="H2606" s="273" t="e">
        <f ca="1">_xludf.IFNA(VLOOKUP(Aragon!E2606,'Kilter Holds'!$P$37:$AB$662,8,0),0)</f>
        <v>#NAME?</v>
      </c>
      <c r="I2606" s="274"/>
      <c r="J2606" s="274" t="e">
        <f t="shared" ca="1" si="33"/>
        <v>#NAME?</v>
      </c>
      <c r="K2606" s="274">
        <f t="shared" si="34"/>
        <v>0</v>
      </c>
      <c r="N2606" s="274"/>
    </row>
    <row r="2607" spans="1:14" ht="13.5" customHeight="1">
      <c r="E2607" s="209" t="s">
        <v>415</v>
      </c>
      <c r="F2607" s="209" t="s">
        <v>2669</v>
      </c>
      <c r="G2607" s="411" t="str">
        <f t="shared" si="36"/>
        <v>13-01</v>
      </c>
      <c r="H2607" s="273" t="e">
        <f ca="1">_xludf.IFNA(VLOOKUP(Aragon!E2607,'Kilter Holds'!$P$37:$AB$662,9,0),0)</f>
        <v>#NAME?</v>
      </c>
      <c r="I2607" s="274"/>
      <c r="J2607" s="274" t="e">
        <f t="shared" ca="1" si="33"/>
        <v>#NAME?</v>
      </c>
      <c r="K2607" s="274">
        <f t="shared" si="34"/>
        <v>0</v>
      </c>
      <c r="N2607" s="274"/>
    </row>
    <row r="2608" spans="1:14" ht="13.5" customHeight="1">
      <c r="E2608" s="209" t="s">
        <v>415</v>
      </c>
      <c r="F2608" s="209" t="s">
        <v>2669</v>
      </c>
      <c r="G2608" s="413" t="str">
        <f t="shared" si="36"/>
        <v>07-13</v>
      </c>
      <c r="H2608" s="273" t="e">
        <f ca="1">_xludf.IFNA(VLOOKUP(Aragon!E2608,'Kilter Holds'!$P$37:$AB$662,10,0),0)</f>
        <v>#NAME?</v>
      </c>
      <c r="I2608" s="274"/>
      <c r="J2608" s="274" t="e">
        <f t="shared" ca="1" si="33"/>
        <v>#NAME?</v>
      </c>
      <c r="K2608" s="274">
        <f t="shared" si="34"/>
        <v>0</v>
      </c>
      <c r="N2608" s="274"/>
    </row>
    <row r="2609" spans="5:14" ht="13.5" customHeight="1">
      <c r="E2609" s="209" t="s">
        <v>415</v>
      </c>
      <c r="F2609" s="209" t="s">
        <v>2669</v>
      </c>
      <c r="G2609" s="414" t="str">
        <f t="shared" si="36"/>
        <v>11-26</v>
      </c>
      <c r="H2609" s="273" t="e">
        <f ca="1">_xludf.IFNA(VLOOKUP(Aragon!E2609,'Kilter Holds'!$P$37:$AB$662,11,0),0)</f>
        <v>#NAME?</v>
      </c>
      <c r="I2609" s="274"/>
      <c r="J2609" s="274" t="e">
        <f t="shared" ca="1" si="33"/>
        <v>#NAME?</v>
      </c>
      <c r="K2609" s="274">
        <f t="shared" si="34"/>
        <v>0</v>
      </c>
      <c r="N2609" s="274"/>
    </row>
    <row r="2610" spans="5:14" ht="13.5" customHeight="1">
      <c r="E2610" s="209" t="s">
        <v>415</v>
      </c>
      <c r="F2610" s="209" t="s">
        <v>2669</v>
      </c>
      <c r="G2610" s="415" t="str">
        <f t="shared" si="36"/>
        <v>18-01</v>
      </c>
      <c r="H2610" s="273" t="e">
        <f ca="1">_xludf.IFNA(VLOOKUP(Aragon!E2610,'Kilter Holds'!$P$37:$AB$662,12,0),0)</f>
        <v>#NAME?</v>
      </c>
      <c r="I2610" s="274"/>
      <c r="J2610" s="274" t="e">
        <f t="shared" ca="1" si="33"/>
        <v>#NAME?</v>
      </c>
      <c r="K2610" s="274">
        <f t="shared" si="34"/>
        <v>0</v>
      </c>
      <c r="N2610" s="274"/>
    </row>
    <row r="2611" spans="5:14" ht="13.5" customHeight="1">
      <c r="E2611" s="209" t="s">
        <v>415</v>
      </c>
      <c r="F2611" s="209" t="s">
        <v>2669</v>
      </c>
      <c r="G2611" s="416" t="str">
        <f t="shared" si="36"/>
        <v>Color Code</v>
      </c>
      <c r="H2611" s="273" t="e">
        <f ca="1">_xludf.IFNA(VLOOKUP(Aragon!E2611,'Kilter Holds'!$P$37:$AB$662,13,0),0)</f>
        <v>#NAME?</v>
      </c>
      <c r="I2611" s="274"/>
      <c r="J2611" s="274" t="e">
        <f t="shared" ca="1" si="33"/>
        <v>#NAME?</v>
      </c>
      <c r="K2611" s="274">
        <f t="shared" si="34"/>
        <v>0</v>
      </c>
      <c r="N2611" s="274"/>
    </row>
    <row r="2612" spans="5:14" ht="13.5" customHeight="1">
      <c r="E2612" s="209" t="s">
        <v>417</v>
      </c>
      <c r="F2612" s="209" t="s">
        <v>2670</v>
      </c>
      <c r="G2612" s="406" t="str">
        <f t="shared" si="36"/>
        <v>11-12</v>
      </c>
      <c r="H2612" s="273" t="e">
        <f ca="1">_xludf.IFNA(VLOOKUP(Aragon!E2612,'Kilter Holds'!$P$37:$AB$662,5,0),0)</f>
        <v>#NAME?</v>
      </c>
      <c r="I2612" s="274"/>
      <c r="J2612" s="274" t="e">
        <f t="shared" ca="1" si="33"/>
        <v>#NAME?</v>
      </c>
      <c r="K2612" s="274">
        <f t="shared" si="34"/>
        <v>0</v>
      </c>
      <c r="N2612" s="274"/>
    </row>
    <row r="2613" spans="5:14" ht="13.5" customHeight="1">
      <c r="E2613" s="209" t="s">
        <v>417</v>
      </c>
      <c r="F2613" s="209" t="s">
        <v>2670</v>
      </c>
      <c r="G2613" s="408" t="str">
        <f t="shared" si="36"/>
        <v>14-01</v>
      </c>
      <c r="H2613" s="273" t="e">
        <f ca="1">_xludf.IFNA(VLOOKUP(Aragon!E2613,'Kilter Holds'!$P$37:$AB$662,6,0),0)</f>
        <v>#NAME?</v>
      </c>
      <c r="I2613" s="274"/>
      <c r="J2613" s="274" t="e">
        <f t="shared" ca="1" si="33"/>
        <v>#NAME?</v>
      </c>
      <c r="K2613" s="274">
        <f t="shared" si="34"/>
        <v>0</v>
      </c>
      <c r="N2613" s="274"/>
    </row>
    <row r="2614" spans="5:14" ht="13.5" customHeight="1">
      <c r="E2614" s="209" t="s">
        <v>417</v>
      </c>
      <c r="F2614" s="209" t="s">
        <v>2670</v>
      </c>
      <c r="G2614" s="409" t="str">
        <f t="shared" si="36"/>
        <v>15-12</v>
      </c>
      <c r="H2614" s="273" t="e">
        <f ca="1">_xludf.IFNA(VLOOKUP(Aragon!E2614,'Kilter Holds'!$P$37:$AB$662,7,0),0)</f>
        <v>#NAME?</v>
      </c>
      <c r="I2614" s="274"/>
      <c r="J2614" s="274" t="e">
        <f t="shared" ca="1" si="33"/>
        <v>#NAME?</v>
      </c>
      <c r="K2614" s="274">
        <f t="shared" si="34"/>
        <v>0</v>
      </c>
      <c r="N2614" s="274"/>
    </row>
    <row r="2615" spans="5:14" ht="13.5" customHeight="1">
      <c r="E2615" s="209" t="s">
        <v>417</v>
      </c>
      <c r="F2615" s="209" t="s">
        <v>2670</v>
      </c>
      <c r="G2615" s="410" t="str">
        <f t="shared" si="36"/>
        <v>16-16</v>
      </c>
      <c r="H2615" s="273" t="e">
        <f ca="1">_xludf.IFNA(VLOOKUP(Aragon!E2615,'Kilter Holds'!$P$37:$AB$662,8,0),0)</f>
        <v>#NAME?</v>
      </c>
      <c r="I2615" s="274"/>
      <c r="J2615" s="274" t="e">
        <f t="shared" ca="1" si="33"/>
        <v>#NAME?</v>
      </c>
      <c r="K2615" s="274">
        <f t="shared" si="34"/>
        <v>0</v>
      </c>
      <c r="N2615" s="274"/>
    </row>
    <row r="2616" spans="5:14" ht="13.5" customHeight="1">
      <c r="E2616" s="209" t="s">
        <v>417</v>
      </c>
      <c r="F2616" s="209" t="s">
        <v>2670</v>
      </c>
      <c r="G2616" s="411" t="str">
        <f t="shared" si="36"/>
        <v>13-01</v>
      </c>
      <c r="H2616" s="273" t="e">
        <f ca="1">_xludf.IFNA(VLOOKUP(Aragon!E2616,'Kilter Holds'!$P$37:$AB$662,9,0),0)</f>
        <v>#NAME?</v>
      </c>
      <c r="I2616" s="274"/>
      <c r="J2616" s="274" t="e">
        <f t="shared" ca="1" si="33"/>
        <v>#NAME?</v>
      </c>
      <c r="K2616" s="274">
        <f t="shared" si="34"/>
        <v>0</v>
      </c>
      <c r="N2616" s="274"/>
    </row>
    <row r="2617" spans="5:14" ht="13.5" customHeight="1">
      <c r="E2617" s="209" t="s">
        <v>417</v>
      </c>
      <c r="F2617" s="209" t="s">
        <v>2670</v>
      </c>
      <c r="G2617" s="413" t="str">
        <f t="shared" si="36"/>
        <v>07-13</v>
      </c>
      <c r="H2617" s="273" t="e">
        <f ca="1">_xludf.IFNA(VLOOKUP(Aragon!E2617,'Kilter Holds'!$P$37:$AB$662,10,0),0)</f>
        <v>#NAME?</v>
      </c>
      <c r="I2617" s="274"/>
      <c r="J2617" s="274" t="e">
        <f t="shared" ca="1" si="33"/>
        <v>#NAME?</v>
      </c>
      <c r="K2617" s="274">
        <f t="shared" si="34"/>
        <v>0</v>
      </c>
      <c r="N2617" s="274"/>
    </row>
    <row r="2618" spans="5:14" ht="13.5" customHeight="1">
      <c r="E2618" s="209" t="s">
        <v>417</v>
      </c>
      <c r="F2618" s="209" t="s">
        <v>2670</v>
      </c>
      <c r="G2618" s="414" t="str">
        <f t="shared" si="36"/>
        <v>11-26</v>
      </c>
      <c r="H2618" s="273" t="e">
        <f ca="1">_xludf.IFNA(VLOOKUP(Aragon!E2618,'Kilter Holds'!$P$37:$AB$662,11,0),0)</f>
        <v>#NAME?</v>
      </c>
      <c r="I2618" s="274"/>
      <c r="J2618" s="274" t="e">
        <f t="shared" ca="1" si="33"/>
        <v>#NAME?</v>
      </c>
      <c r="K2618" s="274">
        <f t="shared" si="34"/>
        <v>0</v>
      </c>
      <c r="N2618" s="274"/>
    </row>
    <row r="2619" spans="5:14" ht="13.5" customHeight="1">
      <c r="E2619" s="209" t="s">
        <v>417</v>
      </c>
      <c r="F2619" s="209" t="s">
        <v>2670</v>
      </c>
      <c r="G2619" s="415" t="str">
        <f t="shared" si="36"/>
        <v>18-01</v>
      </c>
      <c r="H2619" s="273" t="e">
        <f ca="1">_xludf.IFNA(VLOOKUP(Aragon!E2619,'Kilter Holds'!$P$37:$AB$662,12,0),0)</f>
        <v>#NAME?</v>
      </c>
      <c r="I2619" s="274"/>
      <c r="J2619" s="274" t="e">
        <f t="shared" ca="1" si="33"/>
        <v>#NAME?</v>
      </c>
      <c r="K2619" s="274">
        <f t="shared" si="34"/>
        <v>0</v>
      </c>
      <c r="N2619" s="274"/>
    </row>
    <row r="2620" spans="5:14" ht="13.5" customHeight="1">
      <c r="E2620" s="209" t="s">
        <v>417</v>
      </c>
      <c r="F2620" s="209" t="s">
        <v>2670</v>
      </c>
      <c r="G2620" s="416" t="str">
        <f t="shared" si="36"/>
        <v>Color Code</v>
      </c>
      <c r="H2620" s="273" t="e">
        <f ca="1">_xludf.IFNA(VLOOKUP(Aragon!E2620,'Kilter Holds'!$P$37:$AB$662,13,0),0)</f>
        <v>#NAME?</v>
      </c>
      <c r="I2620" s="274"/>
      <c r="J2620" s="274" t="e">
        <f t="shared" ca="1" si="33"/>
        <v>#NAME?</v>
      </c>
      <c r="K2620" s="274">
        <f t="shared" si="34"/>
        <v>0</v>
      </c>
      <c r="N2620" s="274"/>
    </row>
    <row r="2621" spans="5:14" ht="13.5" customHeight="1">
      <c r="E2621" s="209" t="s">
        <v>437</v>
      </c>
      <c r="F2621" s="209" t="s">
        <v>2671</v>
      </c>
      <c r="G2621" s="406" t="str">
        <f t="shared" si="36"/>
        <v>11-12</v>
      </c>
      <c r="H2621" s="273" t="e">
        <f ca="1">_xludf.IFNA(VLOOKUP(Aragon!E2621,'Kilter Holds'!$P$37:$AB$662,5,0),0)</f>
        <v>#NAME?</v>
      </c>
      <c r="I2621" s="274"/>
      <c r="J2621" s="274" t="e">
        <f t="shared" ca="1" si="33"/>
        <v>#NAME?</v>
      </c>
      <c r="K2621" s="274">
        <f t="shared" si="34"/>
        <v>0</v>
      </c>
      <c r="N2621" s="274"/>
    </row>
    <row r="2622" spans="5:14" ht="13.5" customHeight="1">
      <c r="E2622" s="209" t="s">
        <v>437</v>
      </c>
      <c r="F2622" s="209" t="s">
        <v>2671</v>
      </c>
      <c r="G2622" s="408" t="str">
        <f t="shared" si="36"/>
        <v>14-01</v>
      </c>
      <c r="H2622" s="273" t="e">
        <f ca="1">_xludf.IFNA(VLOOKUP(Aragon!E2622,'Kilter Holds'!$P$37:$AB$662,6,0),0)</f>
        <v>#NAME?</v>
      </c>
      <c r="I2622" s="274"/>
      <c r="J2622" s="274" t="e">
        <f t="shared" ca="1" si="33"/>
        <v>#NAME?</v>
      </c>
      <c r="K2622" s="274">
        <f t="shared" si="34"/>
        <v>0</v>
      </c>
      <c r="N2622" s="274"/>
    </row>
    <row r="2623" spans="5:14" ht="13.5" customHeight="1">
      <c r="E2623" s="209" t="s">
        <v>437</v>
      </c>
      <c r="F2623" s="209" t="s">
        <v>2671</v>
      </c>
      <c r="G2623" s="409" t="str">
        <f t="shared" si="36"/>
        <v>15-12</v>
      </c>
      <c r="H2623" s="273" t="e">
        <f ca="1">_xludf.IFNA(VLOOKUP(Aragon!E2623,'Kilter Holds'!$P$37:$AB$662,7,0),0)</f>
        <v>#NAME?</v>
      </c>
      <c r="I2623" s="274"/>
      <c r="J2623" s="274" t="e">
        <f t="shared" ca="1" si="33"/>
        <v>#NAME?</v>
      </c>
      <c r="K2623" s="274">
        <f t="shared" si="34"/>
        <v>0</v>
      </c>
      <c r="N2623" s="274"/>
    </row>
    <row r="2624" spans="5:14" ht="13.5" customHeight="1">
      <c r="E2624" s="209" t="s">
        <v>437</v>
      </c>
      <c r="F2624" s="209" t="s">
        <v>2671</v>
      </c>
      <c r="G2624" s="410" t="str">
        <f t="shared" si="36"/>
        <v>16-16</v>
      </c>
      <c r="H2624" s="273" t="e">
        <f ca="1">_xludf.IFNA(VLOOKUP(Aragon!E2624,'Kilter Holds'!$P$37:$AB$662,8,0),0)</f>
        <v>#NAME?</v>
      </c>
      <c r="I2624" s="274"/>
      <c r="J2624" s="274" t="e">
        <f t="shared" ca="1" si="33"/>
        <v>#NAME?</v>
      </c>
      <c r="K2624" s="274">
        <f t="shared" si="34"/>
        <v>0</v>
      </c>
      <c r="N2624" s="274"/>
    </row>
    <row r="2625" spans="5:14" ht="13.5" customHeight="1">
      <c r="E2625" s="209" t="s">
        <v>437</v>
      </c>
      <c r="F2625" s="209" t="s">
        <v>2671</v>
      </c>
      <c r="G2625" s="411" t="str">
        <f t="shared" si="36"/>
        <v>13-01</v>
      </c>
      <c r="H2625" s="273" t="e">
        <f ca="1">_xludf.IFNA(VLOOKUP(Aragon!E2625,'Kilter Holds'!$P$37:$AB$662,9,0),0)</f>
        <v>#NAME?</v>
      </c>
      <c r="I2625" s="274"/>
      <c r="J2625" s="274" t="e">
        <f t="shared" ca="1" si="33"/>
        <v>#NAME?</v>
      </c>
      <c r="K2625" s="274">
        <f t="shared" si="34"/>
        <v>0</v>
      </c>
      <c r="N2625" s="274"/>
    </row>
    <row r="2626" spans="5:14" ht="13.5" customHeight="1">
      <c r="E2626" s="209" t="s">
        <v>437</v>
      </c>
      <c r="F2626" s="209" t="s">
        <v>2671</v>
      </c>
      <c r="G2626" s="413" t="str">
        <f t="shared" si="36"/>
        <v>07-13</v>
      </c>
      <c r="H2626" s="273" t="e">
        <f ca="1">_xludf.IFNA(VLOOKUP(Aragon!E2626,'Kilter Holds'!$P$37:$AB$662,10,0),0)</f>
        <v>#NAME?</v>
      </c>
      <c r="I2626" s="274"/>
      <c r="J2626" s="274" t="e">
        <f t="shared" ca="1" si="33"/>
        <v>#NAME?</v>
      </c>
      <c r="K2626" s="274">
        <f t="shared" si="34"/>
        <v>0</v>
      </c>
      <c r="N2626" s="274"/>
    </row>
    <row r="2627" spans="5:14" ht="13.5" customHeight="1">
      <c r="E2627" s="209" t="s">
        <v>437</v>
      </c>
      <c r="F2627" s="209" t="s">
        <v>2671</v>
      </c>
      <c r="G2627" s="414" t="str">
        <f t="shared" si="36"/>
        <v>11-26</v>
      </c>
      <c r="H2627" s="273" t="e">
        <f ca="1">_xludf.IFNA(VLOOKUP(Aragon!E2627,'Kilter Holds'!$P$37:$AB$662,11,0),0)</f>
        <v>#NAME?</v>
      </c>
      <c r="I2627" s="274"/>
      <c r="J2627" s="274" t="e">
        <f t="shared" ca="1" si="33"/>
        <v>#NAME?</v>
      </c>
      <c r="K2627" s="274">
        <f t="shared" si="34"/>
        <v>0</v>
      </c>
      <c r="N2627" s="274"/>
    </row>
    <row r="2628" spans="5:14" ht="13.5" customHeight="1">
      <c r="E2628" s="209" t="s">
        <v>437</v>
      </c>
      <c r="F2628" s="209" t="s">
        <v>2671</v>
      </c>
      <c r="G2628" s="415" t="str">
        <f t="shared" si="36"/>
        <v>18-01</v>
      </c>
      <c r="H2628" s="273" t="e">
        <f ca="1">_xludf.IFNA(VLOOKUP(Aragon!E2628,'Kilter Holds'!$P$37:$AB$662,12,0),0)</f>
        <v>#NAME?</v>
      </c>
      <c r="I2628" s="274"/>
      <c r="J2628" s="274" t="e">
        <f t="shared" ca="1" si="33"/>
        <v>#NAME?</v>
      </c>
      <c r="K2628" s="274">
        <f t="shared" si="34"/>
        <v>0</v>
      </c>
      <c r="N2628" s="274"/>
    </row>
    <row r="2629" spans="5:14" ht="13.5" customHeight="1">
      <c r="E2629" s="209" t="s">
        <v>437</v>
      </c>
      <c r="F2629" s="209" t="s">
        <v>2671</v>
      </c>
      <c r="G2629" s="416" t="str">
        <f t="shared" si="36"/>
        <v>Color Code</v>
      </c>
      <c r="H2629" s="273" t="e">
        <f ca="1">_xludf.IFNA(VLOOKUP(Aragon!E2629,'Kilter Holds'!$P$37:$AB$662,13,0),0)</f>
        <v>#NAME?</v>
      </c>
      <c r="I2629" s="274"/>
      <c r="J2629" s="274" t="e">
        <f t="shared" ca="1" si="33"/>
        <v>#NAME?</v>
      </c>
      <c r="K2629" s="274">
        <f t="shared" si="34"/>
        <v>0</v>
      </c>
      <c r="N2629" s="274"/>
    </row>
    <row r="2630" spans="5:14" ht="13.5" customHeight="1">
      <c r="E2630" s="209" t="s">
        <v>397</v>
      </c>
      <c r="F2630" s="209" t="s">
        <v>2672</v>
      </c>
      <c r="G2630" s="406" t="str">
        <f t="shared" si="36"/>
        <v>11-12</v>
      </c>
      <c r="H2630" s="273" t="e">
        <f ca="1">_xludf.IFNA(VLOOKUP(Aragon!E2630,'Kilter Holds'!$P$37:$AB$662,5,0),0)</f>
        <v>#NAME?</v>
      </c>
      <c r="I2630" s="274"/>
      <c r="J2630" s="274" t="e">
        <f t="shared" ca="1" si="33"/>
        <v>#NAME?</v>
      </c>
      <c r="K2630" s="274">
        <f t="shared" si="34"/>
        <v>0</v>
      </c>
      <c r="N2630" s="274"/>
    </row>
    <row r="2631" spans="5:14" ht="13.5" customHeight="1">
      <c r="E2631" s="209" t="s">
        <v>397</v>
      </c>
      <c r="F2631" s="209" t="s">
        <v>2672</v>
      </c>
      <c r="G2631" s="408" t="str">
        <f t="shared" si="36"/>
        <v>14-01</v>
      </c>
      <c r="H2631" s="273" t="e">
        <f ca="1">_xludf.IFNA(VLOOKUP(Aragon!E2631,'Kilter Holds'!$P$37:$AB$662,6,0),0)</f>
        <v>#NAME?</v>
      </c>
      <c r="I2631" s="274"/>
      <c r="J2631" s="274" t="e">
        <f t="shared" ca="1" si="33"/>
        <v>#NAME?</v>
      </c>
      <c r="K2631" s="274">
        <f t="shared" si="34"/>
        <v>0</v>
      </c>
      <c r="N2631" s="274"/>
    </row>
    <row r="2632" spans="5:14" ht="13.5" customHeight="1">
      <c r="E2632" s="209" t="s">
        <v>397</v>
      </c>
      <c r="F2632" s="209" t="s">
        <v>2672</v>
      </c>
      <c r="G2632" s="409" t="str">
        <f t="shared" si="36"/>
        <v>15-12</v>
      </c>
      <c r="H2632" s="273" t="e">
        <f ca="1">_xludf.IFNA(VLOOKUP(Aragon!E2632,'Kilter Holds'!$P$37:$AB$662,7,0),0)</f>
        <v>#NAME?</v>
      </c>
      <c r="I2632" s="274"/>
      <c r="J2632" s="274" t="e">
        <f t="shared" ca="1" si="33"/>
        <v>#NAME?</v>
      </c>
      <c r="K2632" s="274">
        <f t="shared" si="34"/>
        <v>0</v>
      </c>
      <c r="N2632" s="274"/>
    </row>
    <row r="2633" spans="5:14" ht="13.5" customHeight="1">
      <c r="E2633" s="209" t="s">
        <v>397</v>
      </c>
      <c r="F2633" s="209" t="s">
        <v>2672</v>
      </c>
      <c r="G2633" s="410" t="str">
        <f t="shared" si="36"/>
        <v>16-16</v>
      </c>
      <c r="H2633" s="273" t="e">
        <f ca="1">_xludf.IFNA(VLOOKUP(Aragon!E2633,'Kilter Holds'!$P$37:$AB$662,8,0),0)</f>
        <v>#NAME?</v>
      </c>
      <c r="I2633" s="274"/>
      <c r="J2633" s="274" t="e">
        <f t="shared" ca="1" si="33"/>
        <v>#NAME?</v>
      </c>
      <c r="K2633" s="274">
        <f t="shared" si="34"/>
        <v>0</v>
      </c>
      <c r="N2633" s="274"/>
    </row>
    <row r="2634" spans="5:14" ht="13.5" customHeight="1">
      <c r="E2634" s="209" t="s">
        <v>397</v>
      </c>
      <c r="F2634" s="209" t="s">
        <v>2672</v>
      </c>
      <c r="G2634" s="411" t="str">
        <f t="shared" si="36"/>
        <v>13-01</v>
      </c>
      <c r="H2634" s="273" t="e">
        <f ca="1">_xludf.IFNA(VLOOKUP(Aragon!E2634,'Kilter Holds'!$P$37:$AB$662,9,0),0)</f>
        <v>#NAME?</v>
      </c>
      <c r="I2634" s="274"/>
      <c r="J2634" s="274" t="e">
        <f t="shared" ca="1" si="33"/>
        <v>#NAME?</v>
      </c>
      <c r="K2634" s="274">
        <f t="shared" si="34"/>
        <v>0</v>
      </c>
      <c r="N2634" s="274"/>
    </row>
    <row r="2635" spans="5:14" ht="13.5" customHeight="1">
      <c r="E2635" s="209" t="s">
        <v>397</v>
      </c>
      <c r="F2635" s="209" t="s">
        <v>2672</v>
      </c>
      <c r="G2635" s="413" t="str">
        <f t="shared" si="36"/>
        <v>07-13</v>
      </c>
      <c r="H2635" s="273" t="e">
        <f ca="1">_xludf.IFNA(VLOOKUP(Aragon!E2635,'Kilter Holds'!$P$37:$AB$662,10,0),0)</f>
        <v>#NAME?</v>
      </c>
      <c r="I2635" s="274"/>
      <c r="J2635" s="274" t="e">
        <f t="shared" ca="1" si="33"/>
        <v>#NAME?</v>
      </c>
      <c r="K2635" s="274">
        <f t="shared" si="34"/>
        <v>0</v>
      </c>
      <c r="N2635" s="274"/>
    </row>
    <row r="2636" spans="5:14" ht="13.5" customHeight="1">
      <c r="E2636" s="209" t="s">
        <v>397</v>
      </c>
      <c r="F2636" s="209" t="s">
        <v>2672</v>
      </c>
      <c r="G2636" s="414" t="str">
        <f t="shared" si="36"/>
        <v>11-26</v>
      </c>
      <c r="H2636" s="273" t="e">
        <f ca="1">_xludf.IFNA(VLOOKUP(Aragon!E2636,'Kilter Holds'!$P$37:$AB$662,11,0),0)</f>
        <v>#NAME?</v>
      </c>
      <c r="I2636" s="274"/>
      <c r="J2636" s="274" t="e">
        <f t="shared" ca="1" si="33"/>
        <v>#NAME?</v>
      </c>
      <c r="K2636" s="274">
        <f t="shared" si="34"/>
        <v>0</v>
      </c>
      <c r="N2636" s="274"/>
    </row>
    <row r="2637" spans="5:14" ht="13.5" customHeight="1">
      <c r="E2637" s="209" t="s">
        <v>397</v>
      </c>
      <c r="F2637" s="209" t="s">
        <v>2672</v>
      </c>
      <c r="G2637" s="415" t="str">
        <f t="shared" si="36"/>
        <v>18-01</v>
      </c>
      <c r="H2637" s="273" t="e">
        <f ca="1">_xludf.IFNA(VLOOKUP(Aragon!E2637,'Kilter Holds'!$P$37:$AB$662,12,0),0)</f>
        <v>#NAME?</v>
      </c>
      <c r="I2637" s="274"/>
      <c r="J2637" s="274" t="e">
        <f t="shared" ca="1" si="33"/>
        <v>#NAME?</v>
      </c>
      <c r="K2637" s="274">
        <f t="shared" si="34"/>
        <v>0</v>
      </c>
      <c r="N2637" s="274"/>
    </row>
    <row r="2638" spans="5:14" ht="13.5" customHeight="1">
      <c r="E2638" s="209" t="s">
        <v>397</v>
      </c>
      <c r="F2638" s="209" t="s">
        <v>2672</v>
      </c>
      <c r="G2638" s="416" t="str">
        <f t="shared" si="36"/>
        <v>Color Code</v>
      </c>
      <c r="H2638" s="273" t="e">
        <f ca="1">_xludf.IFNA(VLOOKUP(Aragon!E2638,'Kilter Holds'!$P$37:$AB$662,13,0),0)</f>
        <v>#NAME?</v>
      </c>
      <c r="I2638" s="274"/>
      <c r="J2638" s="274" t="e">
        <f t="shared" ca="1" si="33"/>
        <v>#NAME?</v>
      </c>
      <c r="K2638" s="274">
        <f t="shared" si="34"/>
        <v>0</v>
      </c>
      <c r="N2638" s="274"/>
    </row>
    <row r="2639" spans="5:14" ht="13.5" customHeight="1">
      <c r="E2639" s="209" t="s">
        <v>399</v>
      </c>
      <c r="F2639" s="209" t="s">
        <v>2673</v>
      </c>
      <c r="G2639" s="406" t="str">
        <f t="shared" si="36"/>
        <v>11-12</v>
      </c>
      <c r="H2639" s="273" t="e">
        <f ca="1">_xludf.IFNA(VLOOKUP(Aragon!E2639,'Kilter Holds'!$P$37:$AB$662,5,0),0)</f>
        <v>#NAME?</v>
      </c>
      <c r="I2639" s="274"/>
      <c r="J2639" s="274" t="e">
        <f t="shared" ca="1" si="33"/>
        <v>#NAME?</v>
      </c>
      <c r="K2639" s="274">
        <f t="shared" si="34"/>
        <v>0</v>
      </c>
      <c r="N2639" s="274"/>
    </row>
    <row r="2640" spans="5:14" ht="13.5" customHeight="1">
      <c r="E2640" s="209" t="s">
        <v>399</v>
      </c>
      <c r="F2640" s="209" t="s">
        <v>2673</v>
      </c>
      <c r="G2640" s="408" t="str">
        <f t="shared" si="36"/>
        <v>14-01</v>
      </c>
      <c r="H2640" s="273" t="e">
        <f ca="1">_xludf.IFNA(VLOOKUP(Aragon!E2640,'Kilter Holds'!$P$37:$AB$662,6,0),0)</f>
        <v>#NAME?</v>
      </c>
      <c r="I2640" s="274"/>
      <c r="J2640" s="274" t="e">
        <f t="shared" ca="1" si="33"/>
        <v>#NAME?</v>
      </c>
      <c r="K2640" s="274">
        <f t="shared" si="34"/>
        <v>0</v>
      </c>
      <c r="N2640" s="274"/>
    </row>
    <row r="2641" spans="5:14" ht="13.5" customHeight="1">
      <c r="E2641" s="209" t="s">
        <v>399</v>
      </c>
      <c r="F2641" s="209" t="s">
        <v>2673</v>
      </c>
      <c r="G2641" s="409" t="str">
        <f t="shared" si="36"/>
        <v>15-12</v>
      </c>
      <c r="H2641" s="273" t="e">
        <f ca="1">_xludf.IFNA(VLOOKUP(Aragon!E2641,'Kilter Holds'!$P$37:$AB$662,7,0),0)</f>
        <v>#NAME?</v>
      </c>
      <c r="I2641" s="274"/>
      <c r="J2641" s="274" t="e">
        <f t="shared" ca="1" si="33"/>
        <v>#NAME?</v>
      </c>
      <c r="K2641" s="274">
        <f t="shared" si="34"/>
        <v>0</v>
      </c>
      <c r="N2641" s="274"/>
    </row>
    <row r="2642" spans="5:14" ht="13.5" customHeight="1">
      <c r="E2642" s="209" t="s">
        <v>399</v>
      </c>
      <c r="F2642" s="209" t="s">
        <v>2673</v>
      </c>
      <c r="G2642" s="410" t="str">
        <f t="shared" si="36"/>
        <v>16-16</v>
      </c>
      <c r="H2642" s="273" t="e">
        <f ca="1">_xludf.IFNA(VLOOKUP(Aragon!E2642,'Kilter Holds'!$P$37:$AB$662,8,0),0)</f>
        <v>#NAME?</v>
      </c>
      <c r="I2642" s="274"/>
      <c r="J2642" s="274" t="e">
        <f t="shared" ca="1" si="33"/>
        <v>#NAME?</v>
      </c>
      <c r="K2642" s="274">
        <f t="shared" si="34"/>
        <v>0</v>
      </c>
      <c r="N2642" s="274"/>
    </row>
    <row r="2643" spans="5:14" ht="13.5" customHeight="1">
      <c r="E2643" s="209" t="s">
        <v>399</v>
      </c>
      <c r="F2643" s="209" t="s">
        <v>2673</v>
      </c>
      <c r="G2643" s="411" t="str">
        <f t="shared" si="36"/>
        <v>13-01</v>
      </c>
      <c r="H2643" s="273" t="e">
        <f ca="1">_xludf.IFNA(VLOOKUP(Aragon!E2643,'Kilter Holds'!$P$37:$AB$662,9,0),0)</f>
        <v>#NAME?</v>
      </c>
      <c r="I2643" s="274"/>
      <c r="J2643" s="274" t="e">
        <f t="shared" ca="1" si="33"/>
        <v>#NAME?</v>
      </c>
      <c r="K2643" s="274">
        <f t="shared" si="34"/>
        <v>0</v>
      </c>
      <c r="N2643" s="274"/>
    </row>
    <row r="2644" spans="5:14" ht="13.5" customHeight="1">
      <c r="E2644" s="209" t="s">
        <v>399</v>
      </c>
      <c r="F2644" s="209" t="s">
        <v>2673</v>
      </c>
      <c r="G2644" s="413" t="str">
        <f t="shared" si="36"/>
        <v>07-13</v>
      </c>
      <c r="H2644" s="273" t="e">
        <f ca="1">_xludf.IFNA(VLOOKUP(Aragon!E2644,'Kilter Holds'!$P$37:$AB$662,10,0),0)</f>
        <v>#NAME?</v>
      </c>
      <c r="I2644" s="274"/>
      <c r="J2644" s="274" t="e">
        <f t="shared" ca="1" si="33"/>
        <v>#NAME?</v>
      </c>
      <c r="K2644" s="274">
        <f t="shared" si="34"/>
        <v>0</v>
      </c>
      <c r="N2644" s="274"/>
    </row>
    <row r="2645" spans="5:14" ht="13.5" customHeight="1">
      <c r="E2645" s="209" t="s">
        <v>399</v>
      </c>
      <c r="F2645" s="209" t="s">
        <v>2673</v>
      </c>
      <c r="G2645" s="414" t="str">
        <f t="shared" si="36"/>
        <v>11-26</v>
      </c>
      <c r="H2645" s="273" t="e">
        <f ca="1">_xludf.IFNA(VLOOKUP(Aragon!E2645,'Kilter Holds'!$P$37:$AB$662,11,0),0)</f>
        <v>#NAME?</v>
      </c>
      <c r="I2645" s="274"/>
      <c r="J2645" s="274" t="e">
        <f t="shared" ca="1" si="33"/>
        <v>#NAME?</v>
      </c>
      <c r="K2645" s="274">
        <f t="shared" si="34"/>
        <v>0</v>
      </c>
      <c r="N2645" s="274"/>
    </row>
    <row r="2646" spans="5:14" ht="13.5" customHeight="1">
      <c r="E2646" s="209" t="s">
        <v>399</v>
      </c>
      <c r="F2646" s="209" t="s">
        <v>2673</v>
      </c>
      <c r="G2646" s="415" t="str">
        <f t="shared" si="36"/>
        <v>18-01</v>
      </c>
      <c r="H2646" s="273" t="e">
        <f ca="1">_xludf.IFNA(VLOOKUP(Aragon!E2646,'Kilter Holds'!$P$37:$AB$662,12,0),0)</f>
        <v>#NAME?</v>
      </c>
      <c r="I2646" s="274"/>
      <c r="J2646" s="274" t="e">
        <f t="shared" ca="1" si="33"/>
        <v>#NAME?</v>
      </c>
      <c r="K2646" s="274">
        <f t="shared" si="34"/>
        <v>0</v>
      </c>
      <c r="N2646" s="274"/>
    </row>
    <row r="2647" spans="5:14" ht="13.5" customHeight="1">
      <c r="E2647" s="209" t="s">
        <v>399</v>
      </c>
      <c r="F2647" s="209" t="s">
        <v>2673</v>
      </c>
      <c r="G2647" s="416" t="str">
        <f t="shared" si="36"/>
        <v>Color Code</v>
      </c>
      <c r="H2647" s="273" t="e">
        <f ca="1">_xludf.IFNA(VLOOKUP(Aragon!E2647,'Kilter Holds'!$P$37:$AB$662,13,0),0)</f>
        <v>#NAME?</v>
      </c>
      <c r="I2647" s="274"/>
      <c r="J2647" s="274" t="e">
        <f t="shared" ca="1" si="33"/>
        <v>#NAME?</v>
      </c>
      <c r="K2647" s="274">
        <f t="shared" si="34"/>
        <v>0</v>
      </c>
      <c r="N2647" s="274"/>
    </row>
    <row r="2648" spans="5:14" ht="13.5" customHeight="1">
      <c r="E2648" s="209" t="s">
        <v>401</v>
      </c>
      <c r="F2648" s="209" t="s">
        <v>2674</v>
      </c>
      <c r="G2648" s="406" t="str">
        <f t="shared" si="36"/>
        <v>11-12</v>
      </c>
      <c r="H2648" s="273" t="e">
        <f ca="1">_xludf.IFNA(VLOOKUP(Aragon!E2648,'Kilter Holds'!$P$37:$AB$662,5,0),0)</f>
        <v>#NAME?</v>
      </c>
      <c r="I2648" s="274"/>
      <c r="J2648" s="274" t="e">
        <f t="shared" ca="1" si="33"/>
        <v>#NAME?</v>
      </c>
      <c r="K2648" s="274">
        <f t="shared" si="34"/>
        <v>0</v>
      </c>
      <c r="N2648" s="274"/>
    </row>
    <row r="2649" spans="5:14" ht="13.5" customHeight="1">
      <c r="E2649" s="209" t="s">
        <v>401</v>
      </c>
      <c r="F2649" s="209" t="s">
        <v>2674</v>
      </c>
      <c r="G2649" s="408" t="str">
        <f t="shared" si="36"/>
        <v>14-01</v>
      </c>
      <c r="H2649" s="273" t="e">
        <f ca="1">_xludf.IFNA(VLOOKUP(Aragon!E2649,'Kilter Holds'!$P$37:$AB$662,6,0),0)</f>
        <v>#NAME?</v>
      </c>
      <c r="I2649" s="274"/>
      <c r="J2649" s="274" t="e">
        <f t="shared" ca="1" si="33"/>
        <v>#NAME?</v>
      </c>
      <c r="K2649" s="274">
        <f t="shared" si="34"/>
        <v>0</v>
      </c>
      <c r="N2649" s="274"/>
    </row>
    <row r="2650" spans="5:14" ht="13.5" customHeight="1">
      <c r="E2650" s="209" t="s">
        <v>401</v>
      </c>
      <c r="F2650" s="209" t="s">
        <v>2674</v>
      </c>
      <c r="G2650" s="409" t="str">
        <f t="shared" si="36"/>
        <v>15-12</v>
      </c>
      <c r="H2650" s="273" t="e">
        <f ca="1">_xludf.IFNA(VLOOKUP(Aragon!E2650,'Kilter Holds'!$P$37:$AB$662,7,0),0)</f>
        <v>#NAME?</v>
      </c>
      <c r="I2650" s="274"/>
      <c r="J2650" s="274" t="e">
        <f t="shared" ca="1" si="33"/>
        <v>#NAME?</v>
      </c>
      <c r="K2650" s="274">
        <f t="shared" si="34"/>
        <v>0</v>
      </c>
      <c r="N2650" s="274"/>
    </row>
    <row r="2651" spans="5:14" ht="13.5" customHeight="1">
      <c r="E2651" s="209" t="s">
        <v>401</v>
      </c>
      <c r="F2651" s="209" t="s">
        <v>2674</v>
      </c>
      <c r="G2651" s="410" t="str">
        <f t="shared" si="36"/>
        <v>16-16</v>
      </c>
      <c r="H2651" s="273" t="e">
        <f ca="1">_xludf.IFNA(VLOOKUP(Aragon!E2651,'Kilter Holds'!$P$37:$AB$662,8,0),0)</f>
        <v>#NAME?</v>
      </c>
      <c r="I2651" s="274"/>
      <c r="J2651" s="274" t="e">
        <f t="shared" ca="1" si="33"/>
        <v>#NAME?</v>
      </c>
      <c r="K2651" s="274">
        <f t="shared" si="34"/>
        <v>0</v>
      </c>
      <c r="N2651" s="274"/>
    </row>
    <row r="2652" spans="5:14" ht="13.5" customHeight="1">
      <c r="E2652" s="209" t="s">
        <v>401</v>
      </c>
      <c r="F2652" s="209" t="s">
        <v>2674</v>
      </c>
      <c r="G2652" s="411" t="str">
        <f t="shared" si="36"/>
        <v>13-01</v>
      </c>
      <c r="H2652" s="273" t="e">
        <f ca="1">_xludf.IFNA(VLOOKUP(Aragon!E2652,'Kilter Holds'!$P$37:$AB$662,9,0),0)</f>
        <v>#NAME?</v>
      </c>
      <c r="I2652" s="274"/>
      <c r="J2652" s="274" t="e">
        <f t="shared" ca="1" si="33"/>
        <v>#NAME?</v>
      </c>
      <c r="K2652" s="274">
        <f t="shared" si="34"/>
        <v>0</v>
      </c>
      <c r="N2652" s="274"/>
    </row>
    <row r="2653" spans="5:14" ht="13.5" customHeight="1">
      <c r="E2653" s="209" t="s">
        <v>401</v>
      </c>
      <c r="F2653" s="209" t="s">
        <v>2674</v>
      </c>
      <c r="G2653" s="413" t="str">
        <f t="shared" si="36"/>
        <v>07-13</v>
      </c>
      <c r="H2653" s="273" t="e">
        <f ca="1">_xludf.IFNA(VLOOKUP(Aragon!E2653,'Kilter Holds'!$P$37:$AB$662,10,0),0)</f>
        <v>#NAME?</v>
      </c>
      <c r="I2653" s="274"/>
      <c r="J2653" s="274" t="e">
        <f t="shared" ca="1" si="33"/>
        <v>#NAME?</v>
      </c>
      <c r="K2653" s="274">
        <f t="shared" si="34"/>
        <v>0</v>
      </c>
      <c r="N2653" s="274"/>
    </row>
    <row r="2654" spans="5:14" ht="13.5" customHeight="1">
      <c r="E2654" s="209" t="s">
        <v>401</v>
      </c>
      <c r="F2654" s="209" t="s">
        <v>2674</v>
      </c>
      <c r="G2654" s="414" t="str">
        <f t="shared" si="36"/>
        <v>11-26</v>
      </c>
      <c r="H2654" s="273" t="e">
        <f ca="1">_xludf.IFNA(VLOOKUP(Aragon!E2654,'Kilter Holds'!$P$37:$AB$662,11,0),0)</f>
        <v>#NAME?</v>
      </c>
      <c r="I2654" s="274"/>
      <c r="J2654" s="274" t="e">
        <f t="shared" ca="1" si="33"/>
        <v>#NAME?</v>
      </c>
      <c r="K2654" s="274">
        <f t="shared" si="34"/>
        <v>0</v>
      </c>
      <c r="N2654" s="274"/>
    </row>
    <row r="2655" spans="5:14" ht="13.5" customHeight="1">
      <c r="E2655" s="209" t="s">
        <v>401</v>
      </c>
      <c r="F2655" s="209" t="s">
        <v>2674</v>
      </c>
      <c r="G2655" s="415" t="str">
        <f t="shared" si="36"/>
        <v>18-01</v>
      </c>
      <c r="H2655" s="273" t="e">
        <f ca="1">_xludf.IFNA(VLOOKUP(Aragon!E2655,'Kilter Holds'!$P$37:$AB$662,12,0),0)</f>
        <v>#NAME?</v>
      </c>
      <c r="I2655" s="274"/>
      <c r="J2655" s="274" t="e">
        <f t="shared" ca="1" si="33"/>
        <v>#NAME?</v>
      </c>
      <c r="K2655" s="274">
        <f t="shared" si="34"/>
        <v>0</v>
      </c>
      <c r="N2655" s="274"/>
    </row>
    <row r="2656" spans="5:14" ht="13.5" customHeight="1">
      <c r="E2656" s="209" t="s">
        <v>401</v>
      </c>
      <c r="F2656" s="209" t="s">
        <v>2674</v>
      </c>
      <c r="G2656" s="416" t="str">
        <f t="shared" si="36"/>
        <v>Color Code</v>
      </c>
      <c r="H2656" s="273" t="e">
        <f ca="1">_xludf.IFNA(VLOOKUP(Aragon!E2656,'Kilter Holds'!$P$37:$AB$662,13,0),0)</f>
        <v>#NAME?</v>
      </c>
      <c r="I2656" s="274"/>
      <c r="J2656" s="274" t="e">
        <f t="shared" ca="1" si="33"/>
        <v>#NAME?</v>
      </c>
      <c r="K2656" s="274">
        <f t="shared" si="34"/>
        <v>0</v>
      </c>
      <c r="N2656" s="274"/>
    </row>
    <row r="2657" spans="5:14" ht="13.5" customHeight="1">
      <c r="E2657" s="209" t="s">
        <v>403</v>
      </c>
      <c r="F2657" s="209" t="s">
        <v>2675</v>
      </c>
      <c r="G2657" s="406" t="str">
        <f t="shared" si="36"/>
        <v>11-12</v>
      </c>
      <c r="H2657" s="273" t="e">
        <f ca="1">_xludf.IFNA(VLOOKUP(Aragon!E2657,'Kilter Holds'!$P$37:$AB$662,5,0),0)</f>
        <v>#NAME?</v>
      </c>
      <c r="I2657" s="274"/>
      <c r="J2657" s="274" t="e">
        <f t="shared" ca="1" si="33"/>
        <v>#NAME?</v>
      </c>
      <c r="K2657" s="274">
        <f t="shared" si="34"/>
        <v>0</v>
      </c>
      <c r="N2657" s="274"/>
    </row>
    <row r="2658" spans="5:14" ht="13.5" customHeight="1">
      <c r="E2658" s="209" t="s">
        <v>403</v>
      </c>
      <c r="F2658" s="209" t="s">
        <v>2675</v>
      </c>
      <c r="G2658" s="408" t="str">
        <f t="shared" si="36"/>
        <v>14-01</v>
      </c>
      <c r="H2658" s="273" t="e">
        <f ca="1">_xludf.IFNA(VLOOKUP(Aragon!E2658,'Kilter Holds'!$P$37:$AB$662,6,0),0)</f>
        <v>#NAME?</v>
      </c>
      <c r="I2658" s="274"/>
      <c r="J2658" s="274" t="e">
        <f t="shared" ca="1" si="33"/>
        <v>#NAME?</v>
      </c>
      <c r="K2658" s="274">
        <f t="shared" si="34"/>
        <v>0</v>
      </c>
      <c r="N2658" s="274"/>
    </row>
    <row r="2659" spans="5:14" ht="13.5" customHeight="1">
      <c r="E2659" s="209" t="s">
        <v>403</v>
      </c>
      <c r="F2659" s="209" t="s">
        <v>2675</v>
      </c>
      <c r="G2659" s="409" t="str">
        <f t="shared" si="36"/>
        <v>15-12</v>
      </c>
      <c r="H2659" s="273" t="e">
        <f ca="1">_xludf.IFNA(VLOOKUP(Aragon!E2659,'Kilter Holds'!$P$37:$AB$662,7,0),0)</f>
        <v>#NAME?</v>
      </c>
      <c r="I2659" s="274"/>
      <c r="J2659" s="274" t="e">
        <f t="shared" ca="1" si="33"/>
        <v>#NAME?</v>
      </c>
      <c r="K2659" s="274">
        <f t="shared" si="34"/>
        <v>0</v>
      </c>
      <c r="N2659" s="274"/>
    </row>
    <row r="2660" spans="5:14" ht="13.5" customHeight="1">
      <c r="E2660" s="209" t="s">
        <v>403</v>
      </c>
      <c r="F2660" s="209" t="s">
        <v>2675</v>
      </c>
      <c r="G2660" s="410" t="str">
        <f t="shared" si="36"/>
        <v>16-16</v>
      </c>
      <c r="H2660" s="273" t="e">
        <f ca="1">_xludf.IFNA(VLOOKUP(Aragon!E2660,'Kilter Holds'!$P$37:$AB$662,8,0),0)</f>
        <v>#NAME?</v>
      </c>
      <c r="I2660" s="274"/>
      <c r="J2660" s="274" t="e">
        <f t="shared" ca="1" si="33"/>
        <v>#NAME?</v>
      </c>
      <c r="K2660" s="274">
        <f t="shared" si="34"/>
        <v>0</v>
      </c>
      <c r="N2660" s="274"/>
    </row>
    <row r="2661" spans="5:14" ht="13.5" customHeight="1">
      <c r="E2661" s="209" t="s">
        <v>403</v>
      </c>
      <c r="F2661" s="209" t="s">
        <v>2675</v>
      </c>
      <c r="G2661" s="411" t="str">
        <f t="shared" si="36"/>
        <v>13-01</v>
      </c>
      <c r="H2661" s="273" t="e">
        <f ca="1">_xludf.IFNA(VLOOKUP(Aragon!E2661,'Kilter Holds'!$P$37:$AB$662,9,0),0)</f>
        <v>#NAME?</v>
      </c>
      <c r="I2661" s="274"/>
      <c r="J2661" s="274" t="e">
        <f t="shared" ca="1" si="33"/>
        <v>#NAME?</v>
      </c>
      <c r="K2661" s="274">
        <f t="shared" si="34"/>
        <v>0</v>
      </c>
      <c r="N2661" s="274"/>
    </row>
    <row r="2662" spans="5:14" ht="13.5" customHeight="1">
      <c r="E2662" s="209" t="s">
        <v>403</v>
      </c>
      <c r="F2662" s="209" t="s">
        <v>2675</v>
      </c>
      <c r="G2662" s="413" t="str">
        <f t="shared" si="36"/>
        <v>07-13</v>
      </c>
      <c r="H2662" s="273" t="e">
        <f ca="1">_xludf.IFNA(VLOOKUP(Aragon!E2662,'Kilter Holds'!$P$37:$AB$662,10,0),0)</f>
        <v>#NAME?</v>
      </c>
      <c r="I2662" s="274"/>
      <c r="J2662" s="274" t="e">
        <f t="shared" ca="1" si="33"/>
        <v>#NAME?</v>
      </c>
      <c r="K2662" s="274">
        <f t="shared" si="34"/>
        <v>0</v>
      </c>
      <c r="N2662" s="274"/>
    </row>
    <row r="2663" spans="5:14" ht="13.5" customHeight="1">
      <c r="E2663" s="209" t="s">
        <v>403</v>
      </c>
      <c r="F2663" s="209" t="s">
        <v>2675</v>
      </c>
      <c r="G2663" s="414" t="str">
        <f t="shared" si="36"/>
        <v>11-26</v>
      </c>
      <c r="H2663" s="273" t="e">
        <f ca="1">_xludf.IFNA(VLOOKUP(Aragon!E2663,'Kilter Holds'!$P$37:$AB$662,11,0),0)</f>
        <v>#NAME?</v>
      </c>
      <c r="I2663" s="274"/>
      <c r="J2663" s="274" t="e">
        <f t="shared" ca="1" si="33"/>
        <v>#NAME?</v>
      </c>
      <c r="K2663" s="274">
        <f t="shared" si="34"/>
        <v>0</v>
      </c>
      <c r="N2663" s="274"/>
    </row>
    <row r="2664" spans="5:14" ht="13.5" customHeight="1">
      <c r="E2664" s="209" t="s">
        <v>403</v>
      </c>
      <c r="F2664" s="209" t="s">
        <v>2675</v>
      </c>
      <c r="G2664" s="415" t="str">
        <f t="shared" si="36"/>
        <v>18-01</v>
      </c>
      <c r="H2664" s="273" t="e">
        <f ca="1">_xludf.IFNA(VLOOKUP(Aragon!E2664,'Kilter Holds'!$P$37:$AB$662,12,0),0)</f>
        <v>#NAME?</v>
      </c>
      <c r="I2664" s="274"/>
      <c r="J2664" s="274" t="e">
        <f t="shared" ca="1" si="33"/>
        <v>#NAME?</v>
      </c>
      <c r="K2664" s="274">
        <f t="shared" si="34"/>
        <v>0</v>
      </c>
      <c r="N2664" s="274"/>
    </row>
    <row r="2665" spans="5:14" ht="13.5" customHeight="1">
      <c r="E2665" s="209" t="s">
        <v>403</v>
      </c>
      <c r="F2665" s="209" t="s">
        <v>2675</v>
      </c>
      <c r="G2665" s="416" t="str">
        <f t="shared" si="36"/>
        <v>Color Code</v>
      </c>
      <c r="H2665" s="273" t="e">
        <f ca="1">_xludf.IFNA(VLOOKUP(Aragon!E2665,'Kilter Holds'!$P$37:$AB$662,13,0),0)</f>
        <v>#NAME?</v>
      </c>
      <c r="I2665" s="274"/>
      <c r="J2665" s="274" t="e">
        <f t="shared" ca="1" si="33"/>
        <v>#NAME?</v>
      </c>
      <c r="K2665" s="274">
        <f t="shared" si="34"/>
        <v>0</v>
      </c>
      <c r="N2665" s="274"/>
    </row>
    <row r="2666" spans="5:14" ht="13.5" customHeight="1">
      <c r="E2666" s="209" t="s">
        <v>431</v>
      </c>
      <c r="F2666" s="209" t="s">
        <v>2676</v>
      </c>
      <c r="G2666" s="406" t="str">
        <f t="shared" si="36"/>
        <v>11-12</v>
      </c>
      <c r="H2666" s="273" t="e">
        <f ca="1">_xludf.IFNA(VLOOKUP(Aragon!E2666,'Kilter Holds'!$P$37:$AB$662,5,0),0)</f>
        <v>#NAME?</v>
      </c>
      <c r="I2666" s="274"/>
      <c r="J2666" s="274" t="e">
        <f t="shared" ca="1" si="33"/>
        <v>#NAME?</v>
      </c>
      <c r="K2666" s="274">
        <f t="shared" si="34"/>
        <v>0</v>
      </c>
      <c r="N2666" s="274"/>
    </row>
    <row r="2667" spans="5:14" ht="13.5" customHeight="1">
      <c r="E2667" s="209" t="s">
        <v>431</v>
      </c>
      <c r="F2667" s="209" t="s">
        <v>2676</v>
      </c>
      <c r="G2667" s="408" t="str">
        <f t="shared" si="36"/>
        <v>14-01</v>
      </c>
      <c r="H2667" s="273" t="e">
        <f ca="1">_xludf.IFNA(VLOOKUP(Aragon!E2667,'Kilter Holds'!$P$37:$AB$662,6,0),0)</f>
        <v>#NAME?</v>
      </c>
      <c r="I2667" s="274"/>
      <c r="J2667" s="274" t="e">
        <f t="shared" ca="1" si="33"/>
        <v>#NAME?</v>
      </c>
      <c r="K2667" s="274">
        <f t="shared" si="34"/>
        <v>0</v>
      </c>
      <c r="N2667" s="274"/>
    </row>
    <row r="2668" spans="5:14" ht="13.5" customHeight="1">
      <c r="E2668" s="209" t="s">
        <v>431</v>
      </c>
      <c r="F2668" s="209" t="s">
        <v>2676</v>
      </c>
      <c r="G2668" s="409" t="str">
        <f t="shared" si="36"/>
        <v>15-12</v>
      </c>
      <c r="H2668" s="273" t="e">
        <f ca="1">_xludf.IFNA(VLOOKUP(Aragon!E2668,'Kilter Holds'!$P$37:$AB$662,7,0),0)</f>
        <v>#NAME?</v>
      </c>
      <c r="I2668" s="274"/>
      <c r="J2668" s="274" t="e">
        <f t="shared" ca="1" si="33"/>
        <v>#NAME?</v>
      </c>
      <c r="K2668" s="274">
        <f t="shared" si="34"/>
        <v>0</v>
      </c>
      <c r="N2668" s="274"/>
    </row>
    <row r="2669" spans="5:14" ht="13.5" customHeight="1">
      <c r="E2669" s="209" t="s">
        <v>431</v>
      </c>
      <c r="F2669" s="209" t="s">
        <v>2676</v>
      </c>
      <c r="G2669" s="410" t="str">
        <f t="shared" si="36"/>
        <v>16-16</v>
      </c>
      <c r="H2669" s="273" t="e">
        <f ca="1">_xludf.IFNA(VLOOKUP(Aragon!E2669,'Kilter Holds'!$P$37:$AB$662,8,0),0)</f>
        <v>#NAME?</v>
      </c>
      <c r="I2669" s="274"/>
      <c r="J2669" s="274" t="e">
        <f t="shared" ca="1" si="33"/>
        <v>#NAME?</v>
      </c>
      <c r="K2669" s="274">
        <f t="shared" si="34"/>
        <v>0</v>
      </c>
      <c r="N2669" s="274"/>
    </row>
    <row r="2670" spans="5:14" ht="13.5" customHeight="1">
      <c r="E2670" s="209" t="s">
        <v>431</v>
      </c>
      <c r="F2670" s="209" t="s">
        <v>2676</v>
      </c>
      <c r="G2670" s="411" t="str">
        <f t="shared" si="36"/>
        <v>13-01</v>
      </c>
      <c r="H2670" s="273" t="e">
        <f ca="1">_xludf.IFNA(VLOOKUP(Aragon!E2670,'Kilter Holds'!$P$37:$AB$662,9,0),0)</f>
        <v>#NAME?</v>
      </c>
      <c r="I2670" s="274"/>
      <c r="J2670" s="274" t="e">
        <f t="shared" ca="1" si="33"/>
        <v>#NAME?</v>
      </c>
      <c r="K2670" s="274">
        <f t="shared" si="34"/>
        <v>0</v>
      </c>
      <c r="N2670" s="274"/>
    </row>
    <row r="2671" spans="5:14" ht="13.5" customHeight="1">
      <c r="E2671" s="209" t="s">
        <v>431</v>
      </c>
      <c r="F2671" s="209" t="s">
        <v>2676</v>
      </c>
      <c r="G2671" s="413" t="str">
        <f t="shared" si="36"/>
        <v>07-13</v>
      </c>
      <c r="H2671" s="273" t="e">
        <f ca="1">_xludf.IFNA(VLOOKUP(Aragon!E2671,'Kilter Holds'!$P$37:$AB$662,10,0),0)</f>
        <v>#NAME?</v>
      </c>
      <c r="I2671" s="274"/>
      <c r="J2671" s="274" t="e">
        <f t="shared" ca="1" si="33"/>
        <v>#NAME?</v>
      </c>
      <c r="K2671" s="274">
        <f t="shared" si="34"/>
        <v>0</v>
      </c>
      <c r="N2671" s="274"/>
    </row>
    <row r="2672" spans="5:14" ht="13.5" customHeight="1">
      <c r="E2672" s="209" t="s">
        <v>431</v>
      </c>
      <c r="F2672" s="209" t="s">
        <v>2676</v>
      </c>
      <c r="G2672" s="414" t="str">
        <f t="shared" si="36"/>
        <v>11-26</v>
      </c>
      <c r="H2672" s="273" t="e">
        <f ca="1">_xludf.IFNA(VLOOKUP(Aragon!E2672,'Kilter Holds'!$P$37:$AB$662,11,0),0)</f>
        <v>#NAME?</v>
      </c>
      <c r="I2672" s="274"/>
      <c r="J2672" s="274" t="e">
        <f t="shared" ca="1" si="33"/>
        <v>#NAME?</v>
      </c>
      <c r="K2672" s="274">
        <f t="shared" si="34"/>
        <v>0</v>
      </c>
      <c r="N2672" s="274"/>
    </row>
    <row r="2673" spans="5:14" ht="13.5" customHeight="1">
      <c r="E2673" s="209" t="s">
        <v>431</v>
      </c>
      <c r="F2673" s="209" t="s">
        <v>2676</v>
      </c>
      <c r="G2673" s="415" t="str">
        <f t="shared" si="36"/>
        <v>18-01</v>
      </c>
      <c r="H2673" s="273" t="e">
        <f ca="1">_xludf.IFNA(VLOOKUP(Aragon!E2673,'Kilter Holds'!$P$37:$AB$662,12,0),0)</f>
        <v>#NAME?</v>
      </c>
      <c r="I2673" s="274"/>
      <c r="J2673" s="274" t="e">
        <f t="shared" ca="1" si="33"/>
        <v>#NAME?</v>
      </c>
      <c r="K2673" s="274">
        <f t="shared" si="34"/>
        <v>0</v>
      </c>
      <c r="N2673" s="274"/>
    </row>
    <row r="2674" spans="5:14" ht="13.5" customHeight="1">
      <c r="E2674" s="209" t="s">
        <v>431</v>
      </c>
      <c r="F2674" s="209" t="s">
        <v>2676</v>
      </c>
      <c r="G2674" s="416" t="str">
        <f t="shared" si="36"/>
        <v>Color Code</v>
      </c>
      <c r="H2674" s="273" t="e">
        <f ca="1">_xludf.IFNA(VLOOKUP(Aragon!E2674,'Kilter Holds'!$P$37:$AB$662,13,0),0)</f>
        <v>#NAME?</v>
      </c>
      <c r="I2674" s="274"/>
      <c r="J2674" s="274" t="e">
        <f t="shared" ca="1" si="33"/>
        <v>#NAME?</v>
      </c>
      <c r="K2674" s="274">
        <f t="shared" si="34"/>
        <v>0</v>
      </c>
      <c r="N2674" s="274"/>
    </row>
    <row r="2675" spans="5:14" ht="13.5" customHeight="1">
      <c r="E2675" s="209" t="s">
        <v>405</v>
      </c>
      <c r="F2675" s="209" t="s">
        <v>2677</v>
      </c>
      <c r="G2675" s="406" t="str">
        <f t="shared" si="36"/>
        <v>11-12</v>
      </c>
      <c r="H2675" s="273" t="e">
        <f ca="1">_xludf.IFNA(VLOOKUP(Aragon!E2675,'Kilter Holds'!$P$37:$AB$662,5,0),0)</f>
        <v>#NAME?</v>
      </c>
      <c r="I2675" s="274"/>
      <c r="J2675" s="274" t="e">
        <f t="shared" ca="1" si="33"/>
        <v>#NAME?</v>
      </c>
      <c r="K2675" s="274">
        <f t="shared" si="34"/>
        <v>0</v>
      </c>
      <c r="N2675" s="274"/>
    </row>
    <row r="2676" spans="5:14" ht="13.5" customHeight="1">
      <c r="E2676" s="209" t="s">
        <v>405</v>
      </c>
      <c r="F2676" s="209" t="s">
        <v>2677</v>
      </c>
      <c r="G2676" s="408" t="str">
        <f t="shared" si="36"/>
        <v>14-01</v>
      </c>
      <c r="H2676" s="273" t="e">
        <f ca="1">_xludf.IFNA(VLOOKUP(Aragon!E2676,'Kilter Holds'!$P$37:$AB$662,6,0),0)</f>
        <v>#NAME?</v>
      </c>
      <c r="I2676" s="274"/>
      <c r="J2676" s="274" t="e">
        <f t="shared" ca="1" si="33"/>
        <v>#NAME?</v>
      </c>
      <c r="K2676" s="274">
        <f t="shared" si="34"/>
        <v>0</v>
      </c>
      <c r="N2676" s="274"/>
    </row>
    <row r="2677" spans="5:14" ht="13.5" customHeight="1">
      <c r="E2677" s="209" t="s">
        <v>405</v>
      </c>
      <c r="F2677" s="209" t="s">
        <v>2677</v>
      </c>
      <c r="G2677" s="409" t="str">
        <f t="shared" si="36"/>
        <v>15-12</v>
      </c>
      <c r="H2677" s="273" t="e">
        <f ca="1">_xludf.IFNA(VLOOKUP(Aragon!E2677,'Kilter Holds'!$P$37:$AB$662,7,0),0)</f>
        <v>#NAME?</v>
      </c>
      <c r="I2677" s="274"/>
      <c r="J2677" s="274" t="e">
        <f t="shared" ca="1" si="33"/>
        <v>#NAME?</v>
      </c>
      <c r="K2677" s="274">
        <f t="shared" si="34"/>
        <v>0</v>
      </c>
      <c r="N2677" s="274"/>
    </row>
    <row r="2678" spans="5:14" ht="13.5" customHeight="1">
      <c r="E2678" s="209" t="s">
        <v>405</v>
      </c>
      <c r="F2678" s="209" t="s">
        <v>2677</v>
      </c>
      <c r="G2678" s="410" t="str">
        <f t="shared" si="36"/>
        <v>16-16</v>
      </c>
      <c r="H2678" s="273" t="e">
        <f ca="1">_xludf.IFNA(VLOOKUP(Aragon!E2678,'Kilter Holds'!$P$37:$AB$662,8,0),0)</f>
        <v>#NAME?</v>
      </c>
      <c r="I2678" s="274"/>
      <c r="J2678" s="274" t="e">
        <f t="shared" ca="1" si="33"/>
        <v>#NAME?</v>
      </c>
      <c r="K2678" s="274">
        <f t="shared" si="34"/>
        <v>0</v>
      </c>
      <c r="N2678" s="274"/>
    </row>
    <row r="2679" spans="5:14" ht="13.5" customHeight="1">
      <c r="E2679" s="209" t="s">
        <v>405</v>
      </c>
      <c r="F2679" s="209" t="s">
        <v>2677</v>
      </c>
      <c r="G2679" s="411" t="str">
        <f t="shared" si="36"/>
        <v>13-01</v>
      </c>
      <c r="H2679" s="273" t="e">
        <f ca="1">_xludf.IFNA(VLOOKUP(Aragon!E2679,'Kilter Holds'!$P$37:$AB$662,9,0),0)</f>
        <v>#NAME?</v>
      </c>
      <c r="I2679" s="274"/>
      <c r="J2679" s="274" t="e">
        <f t="shared" ca="1" si="33"/>
        <v>#NAME?</v>
      </c>
      <c r="K2679" s="274">
        <f t="shared" si="34"/>
        <v>0</v>
      </c>
      <c r="N2679" s="274"/>
    </row>
    <row r="2680" spans="5:14" ht="13.5" customHeight="1">
      <c r="E2680" s="209" t="s">
        <v>405</v>
      </c>
      <c r="F2680" s="209" t="s">
        <v>2677</v>
      </c>
      <c r="G2680" s="413" t="str">
        <f t="shared" si="36"/>
        <v>07-13</v>
      </c>
      <c r="H2680" s="273" t="e">
        <f ca="1">_xludf.IFNA(VLOOKUP(Aragon!E2680,'Kilter Holds'!$P$37:$AB$662,10,0),0)</f>
        <v>#NAME?</v>
      </c>
      <c r="I2680" s="274"/>
      <c r="J2680" s="274" t="e">
        <f t="shared" ca="1" si="33"/>
        <v>#NAME?</v>
      </c>
      <c r="K2680" s="274">
        <f t="shared" si="34"/>
        <v>0</v>
      </c>
      <c r="N2680" s="274"/>
    </row>
    <row r="2681" spans="5:14" ht="13.5" customHeight="1">
      <c r="E2681" s="209" t="s">
        <v>405</v>
      </c>
      <c r="F2681" s="209" t="s">
        <v>2677</v>
      </c>
      <c r="G2681" s="414" t="str">
        <f t="shared" si="36"/>
        <v>11-26</v>
      </c>
      <c r="H2681" s="273" t="e">
        <f ca="1">_xludf.IFNA(VLOOKUP(Aragon!E2681,'Kilter Holds'!$P$37:$AB$662,11,0),0)</f>
        <v>#NAME?</v>
      </c>
      <c r="I2681" s="274"/>
      <c r="J2681" s="274" t="e">
        <f t="shared" ca="1" si="33"/>
        <v>#NAME?</v>
      </c>
      <c r="K2681" s="274">
        <f t="shared" si="34"/>
        <v>0</v>
      </c>
      <c r="N2681" s="274"/>
    </row>
    <row r="2682" spans="5:14" ht="13.5" customHeight="1">
      <c r="E2682" s="209" t="s">
        <v>405</v>
      </c>
      <c r="F2682" s="209" t="s">
        <v>2677</v>
      </c>
      <c r="G2682" s="415" t="str">
        <f t="shared" si="36"/>
        <v>18-01</v>
      </c>
      <c r="H2682" s="273" t="e">
        <f ca="1">_xludf.IFNA(VLOOKUP(Aragon!E2682,'Kilter Holds'!$P$37:$AB$662,12,0),0)</f>
        <v>#NAME?</v>
      </c>
      <c r="I2682" s="274"/>
      <c r="J2682" s="274" t="e">
        <f t="shared" ca="1" si="33"/>
        <v>#NAME?</v>
      </c>
      <c r="K2682" s="274">
        <f t="shared" si="34"/>
        <v>0</v>
      </c>
      <c r="N2682" s="274"/>
    </row>
    <row r="2683" spans="5:14" ht="13.5" customHeight="1">
      <c r="E2683" s="209" t="s">
        <v>405</v>
      </c>
      <c r="F2683" s="209" t="s">
        <v>2677</v>
      </c>
      <c r="G2683" s="416" t="str">
        <f t="shared" si="36"/>
        <v>Color Code</v>
      </c>
      <c r="H2683" s="273" t="e">
        <f ca="1">_xludf.IFNA(VLOOKUP(Aragon!E2683,'Kilter Holds'!$P$37:$AB$662,13,0),0)</f>
        <v>#NAME?</v>
      </c>
      <c r="I2683" s="274"/>
      <c r="J2683" s="274" t="e">
        <f t="shared" ca="1" si="33"/>
        <v>#NAME?</v>
      </c>
      <c r="K2683" s="274">
        <f t="shared" si="34"/>
        <v>0</v>
      </c>
      <c r="N2683" s="274"/>
    </row>
    <row r="2684" spans="5:14" ht="13.5" customHeight="1">
      <c r="E2684" s="209" t="s">
        <v>407</v>
      </c>
      <c r="F2684" s="209" t="s">
        <v>2678</v>
      </c>
      <c r="G2684" s="406" t="str">
        <f t="shared" si="36"/>
        <v>11-12</v>
      </c>
      <c r="H2684" s="273" t="e">
        <f ca="1">_xludf.IFNA(VLOOKUP(Aragon!E2684,'Kilter Holds'!$P$37:$AB$662,5,0),0)</f>
        <v>#NAME?</v>
      </c>
      <c r="I2684" s="274"/>
      <c r="J2684" s="274" t="e">
        <f t="shared" ca="1" si="33"/>
        <v>#NAME?</v>
      </c>
      <c r="K2684" s="274">
        <f t="shared" si="34"/>
        <v>0</v>
      </c>
      <c r="N2684" s="274"/>
    </row>
    <row r="2685" spans="5:14" ht="13.5" customHeight="1">
      <c r="E2685" s="209" t="s">
        <v>407</v>
      </c>
      <c r="F2685" s="209" t="s">
        <v>2678</v>
      </c>
      <c r="G2685" s="408" t="str">
        <f t="shared" si="36"/>
        <v>14-01</v>
      </c>
      <c r="H2685" s="273" t="e">
        <f ca="1">_xludf.IFNA(VLOOKUP(Aragon!E2685,'Kilter Holds'!$P$37:$AB$662,6,0),0)</f>
        <v>#NAME?</v>
      </c>
      <c r="I2685" s="274"/>
      <c r="J2685" s="274" t="e">
        <f t="shared" ca="1" si="33"/>
        <v>#NAME?</v>
      </c>
      <c r="K2685" s="274">
        <f t="shared" si="34"/>
        <v>0</v>
      </c>
      <c r="N2685" s="274"/>
    </row>
    <row r="2686" spans="5:14" ht="13.5" customHeight="1">
      <c r="E2686" s="209" t="s">
        <v>407</v>
      </c>
      <c r="F2686" s="209" t="s">
        <v>2678</v>
      </c>
      <c r="G2686" s="409" t="str">
        <f t="shared" si="36"/>
        <v>15-12</v>
      </c>
      <c r="H2686" s="273" t="e">
        <f ca="1">_xludf.IFNA(VLOOKUP(Aragon!E2686,'Kilter Holds'!$P$37:$AB$662,7,0),0)</f>
        <v>#NAME?</v>
      </c>
      <c r="I2686" s="274"/>
      <c r="J2686" s="274" t="e">
        <f t="shared" ca="1" si="33"/>
        <v>#NAME?</v>
      </c>
      <c r="K2686" s="274">
        <f t="shared" si="34"/>
        <v>0</v>
      </c>
      <c r="N2686" s="274"/>
    </row>
    <row r="2687" spans="5:14" ht="13.5" customHeight="1">
      <c r="E2687" s="209" t="s">
        <v>407</v>
      </c>
      <c r="F2687" s="209" t="s">
        <v>2678</v>
      </c>
      <c r="G2687" s="410" t="str">
        <f t="shared" si="36"/>
        <v>16-16</v>
      </c>
      <c r="H2687" s="273" t="e">
        <f ca="1">_xludf.IFNA(VLOOKUP(Aragon!E2687,'Kilter Holds'!$P$37:$AB$662,8,0),0)</f>
        <v>#NAME?</v>
      </c>
      <c r="I2687" s="274"/>
      <c r="J2687" s="274" t="e">
        <f t="shared" ca="1" si="33"/>
        <v>#NAME?</v>
      </c>
      <c r="K2687" s="274">
        <f t="shared" si="34"/>
        <v>0</v>
      </c>
      <c r="N2687" s="274"/>
    </row>
    <row r="2688" spans="5:14" ht="13.5" customHeight="1">
      <c r="E2688" s="209" t="s">
        <v>407</v>
      </c>
      <c r="F2688" s="209" t="s">
        <v>2678</v>
      </c>
      <c r="G2688" s="411" t="str">
        <f t="shared" si="36"/>
        <v>13-01</v>
      </c>
      <c r="H2688" s="273" t="e">
        <f ca="1">_xludf.IFNA(VLOOKUP(Aragon!E2688,'Kilter Holds'!$P$37:$AB$662,9,0),0)</f>
        <v>#NAME?</v>
      </c>
      <c r="I2688" s="274"/>
      <c r="J2688" s="274" t="e">
        <f t="shared" ca="1" si="33"/>
        <v>#NAME?</v>
      </c>
      <c r="K2688" s="274">
        <f t="shared" si="34"/>
        <v>0</v>
      </c>
      <c r="N2688" s="274"/>
    </row>
    <row r="2689" spans="5:14" ht="13.5" customHeight="1">
      <c r="E2689" s="209" t="s">
        <v>407</v>
      </c>
      <c r="F2689" s="209" t="s">
        <v>2678</v>
      </c>
      <c r="G2689" s="413" t="str">
        <f t="shared" si="36"/>
        <v>07-13</v>
      </c>
      <c r="H2689" s="273" t="e">
        <f ca="1">_xludf.IFNA(VLOOKUP(Aragon!E2689,'Kilter Holds'!$P$37:$AB$662,10,0),0)</f>
        <v>#NAME?</v>
      </c>
      <c r="I2689" s="274"/>
      <c r="J2689" s="274" t="e">
        <f t="shared" ca="1" si="33"/>
        <v>#NAME?</v>
      </c>
      <c r="K2689" s="274">
        <f t="shared" si="34"/>
        <v>0</v>
      </c>
      <c r="N2689" s="274"/>
    </row>
    <row r="2690" spans="5:14" ht="13.5" customHeight="1">
      <c r="E2690" s="209" t="s">
        <v>407</v>
      </c>
      <c r="F2690" s="209" t="s">
        <v>2678</v>
      </c>
      <c r="G2690" s="414" t="str">
        <f t="shared" si="36"/>
        <v>11-26</v>
      </c>
      <c r="H2690" s="273" t="e">
        <f ca="1">_xludf.IFNA(VLOOKUP(Aragon!E2690,'Kilter Holds'!$P$37:$AB$662,11,0),0)</f>
        <v>#NAME?</v>
      </c>
      <c r="I2690" s="274"/>
      <c r="J2690" s="274" t="e">
        <f t="shared" ca="1" si="33"/>
        <v>#NAME?</v>
      </c>
      <c r="K2690" s="274">
        <f t="shared" si="34"/>
        <v>0</v>
      </c>
      <c r="N2690" s="274"/>
    </row>
    <row r="2691" spans="5:14" ht="13.5" customHeight="1">
      <c r="E2691" s="209" t="s">
        <v>407</v>
      </c>
      <c r="F2691" s="209" t="s">
        <v>2678</v>
      </c>
      <c r="G2691" s="415" t="str">
        <f t="shared" si="36"/>
        <v>18-01</v>
      </c>
      <c r="H2691" s="273" t="e">
        <f ca="1">_xludf.IFNA(VLOOKUP(Aragon!E2691,'Kilter Holds'!$P$37:$AB$662,12,0),0)</f>
        <v>#NAME?</v>
      </c>
      <c r="I2691" s="274"/>
      <c r="J2691" s="274" t="e">
        <f t="shared" ca="1" si="33"/>
        <v>#NAME?</v>
      </c>
      <c r="K2691" s="274">
        <f t="shared" si="34"/>
        <v>0</v>
      </c>
      <c r="N2691" s="274"/>
    </row>
    <row r="2692" spans="5:14" ht="13.5" customHeight="1">
      <c r="E2692" s="209" t="s">
        <v>407</v>
      </c>
      <c r="F2692" s="209" t="s">
        <v>2678</v>
      </c>
      <c r="G2692" s="416" t="str">
        <f t="shared" si="36"/>
        <v>Color Code</v>
      </c>
      <c r="H2692" s="273" t="e">
        <f ca="1">_xludf.IFNA(VLOOKUP(Aragon!E2692,'Kilter Holds'!$P$37:$AB$662,13,0),0)</f>
        <v>#NAME?</v>
      </c>
      <c r="I2692" s="274"/>
      <c r="J2692" s="274" t="e">
        <f t="shared" ca="1" si="33"/>
        <v>#NAME?</v>
      </c>
      <c r="K2692" s="274">
        <f t="shared" si="34"/>
        <v>0</v>
      </c>
      <c r="N2692" s="274"/>
    </row>
    <row r="2693" spans="5:14" ht="13.5" customHeight="1">
      <c r="E2693" s="209" t="s">
        <v>439</v>
      </c>
      <c r="F2693" s="209" t="s">
        <v>2679</v>
      </c>
      <c r="G2693" s="406" t="str">
        <f t="shared" si="36"/>
        <v>11-12</v>
      </c>
      <c r="H2693" s="273" t="e">
        <f ca="1">_xludf.IFNA(VLOOKUP(Aragon!E2693,'Kilter Holds'!$P$37:$AB$662,5,0),0)</f>
        <v>#NAME?</v>
      </c>
      <c r="I2693" s="274"/>
      <c r="J2693" s="274" t="e">
        <f t="shared" ca="1" si="33"/>
        <v>#NAME?</v>
      </c>
      <c r="K2693" s="274">
        <f t="shared" si="34"/>
        <v>0</v>
      </c>
      <c r="N2693" s="274"/>
    </row>
    <row r="2694" spans="5:14" ht="13.5" customHeight="1">
      <c r="E2694" s="209" t="s">
        <v>439</v>
      </c>
      <c r="F2694" s="209" t="s">
        <v>2679</v>
      </c>
      <c r="G2694" s="408" t="str">
        <f t="shared" si="36"/>
        <v>14-01</v>
      </c>
      <c r="H2694" s="273" t="e">
        <f ca="1">_xludf.IFNA(VLOOKUP(Aragon!E2694,'Kilter Holds'!$P$37:$AB$662,6,0),0)</f>
        <v>#NAME?</v>
      </c>
      <c r="I2694" s="274"/>
      <c r="J2694" s="274" t="e">
        <f t="shared" ca="1" si="33"/>
        <v>#NAME?</v>
      </c>
      <c r="K2694" s="274">
        <f t="shared" si="34"/>
        <v>0</v>
      </c>
      <c r="N2694" s="274"/>
    </row>
    <row r="2695" spans="5:14" ht="13.5" customHeight="1">
      <c r="E2695" s="209" t="s">
        <v>439</v>
      </c>
      <c r="F2695" s="209" t="s">
        <v>2679</v>
      </c>
      <c r="G2695" s="409" t="str">
        <f t="shared" si="36"/>
        <v>15-12</v>
      </c>
      <c r="H2695" s="273" t="e">
        <f ca="1">_xludf.IFNA(VLOOKUP(Aragon!E2695,'Kilter Holds'!$P$37:$AB$662,7,0),0)</f>
        <v>#NAME?</v>
      </c>
      <c r="I2695" s="274"/>
      <c r="J2695" s="274" t="e">
        <f t="shared" ca="1" si="33"/>
        <v>#NAME?</v>
      </c>
      <c r="K2695" s="274">
        <f t="shared" si="34"/>
        <v>0</v>
      </c>
      <c r="N2695" s="274"/>
    </row>
    <row r="2696" spans="5:14" ht="13.5" customHeight="1">
      <c r="E2696" s="209" t="s">
        <v>439</v>
      </c>
      <c r="F2696" s="209" t="s">
        <v>2679</v>
      </c>
      <c r="G2696" s="410" t="str">
        <f t="shared" si="36"/>
        <v>16-16</v>
      </c>
      <c r="H2696" s="273" t="e">
        <f ca="1">_xludf.IFNA(VLOOKUP(Aragon!E2696,'Kilter Holds'!$P$37:$AB$662,8,0),0)</f>
        <v>#NAME?</v>
      </c>
      <c r="I2696" s="274"/>
      <c r="J2696" s="274" t="e">
        <f t="shared" ca="1" si="33"/>
        <v>#NAME?</v>
      </c>
      <c r="K2696" s="274">
        <f t="shared" si="34"/>
        <v>0</v>
      </c>
      <c r="N2696" s="274"/>
    </row>
    <row r="2697" spans="5:14" ht="13.5" customHeight="1">
      <c r="E2697" s="209" t="s">
        <v>439</v>
      </c>
      <c r="F2697" s="209" t="s">
        <v>2679</v>
      </c>
      <c r="G2697" s="411" t="str">
        <f t="shared" si="36"/>
        <v>13-01</v>
      </c>
      <c r="H2697" s="273" t="e">
        <f ca="1">_xludf.IFNA(VLOOKUP(Aragon!E2697,'Kilter Holds'!$P$37:$AB$662,9,0),0)</f>
        <v>#NAME?</v>
      </c>
      <c r="I2697" s="274"/>
      <c r="J2697" s="274" t="e">
        <f t="shared" ca="1" si="33"/>
        <v>#NAME?</v>
      </c>
      <c r="K2697" s="274">
        <f t="shared" si="34"/>
        <v>0</v>
      </c>
      <c r="N2697" s="274"/>
    </row>
    <row r="2698" spans="5:14" ht="13.5" customHeight="1">
      <c r="E2698" s="209" t="s">
        <v>439</v>
      </c>
      <c r="F2698" s="209" t="s">
        <v>2679</v>
      </c>
      <c r="G2698" s="413" t="str">
        <f t="shared" si="36"/>
        <v>07-13</v>
      </c>
      <c r="H2698" s="273" t="e">
        <f ca="1">_xludf.IFNA(VLOOKUP(Aragon!E2698,'Kilter Holds'!$P$37:$AB$662,10,0),0)</f>
        <v>#NAME?</v>
      </c>
      <c r="I2698" s="274"/>
      <c r="J2698" s="274" t="e">
        <f t="shared" ca="1" si="33"/>
        <v>#NAME?</v>
      </c>
      <c r="K2698" s="274">
        <f t="shared" si="34"/>
        <v>0</v>
      </c>
      <c r="N2698" s="274"/>
    </row>
    <row r="2699" spans="5:14" ht="13.5" customHeight="1">
      <c r="E2699" s="209" t="s">
        <v>439</v>
      </c>
      <c r="F2699" s="209" t="s">
        <v>2679</v>
      </c>
      <c r="G2699" s="414" t="str">
        <f t="shared" si="36"/>
        <v>11-26</v>
      </c>
      <c r="H2699" s="273" t="e">
        <f ca="1">_xludf.IFNA(VLOOKUP(Aragon!E2699,'Kilter Holds'!$P$37:$AB$662,11,0),0)</f>
        <v>#NAME?</v>
      </c>
      <c r="I2699" s="274"/>
      <c r="J2699" s="274" t="e">
        <f t="shared" ca="1" si="33"/>
        <v>#NAME?</v>
      </c>
      <c r="K2699" s="274">
        <f t="shared" si="34"/>
        <v>0</v>
      </c>
      <c r="N2699" s="274"/>
    </row>
    <row r="2700" spans="5:14" ht="13.5" customHeight="1">
      <c r="E2700" s="209" t="s">
        <v>439</v>
      </c>
      <c r="F2700" s="209" t="s">
        <v>2679</v>
      </c>
      <c r="G2700" s="415" t="str">
        <f t="shared" si="36"/>
        <v>18-01</v>
      </c>
      <c r="H2700" s="273" t="e">
        <f ca="1">_xludf.IFNA(VLOOKUP(Aragon!E2700,'Kilter Holds'!$P$37:$AB$662,12,0),0)</f>
        <v>#NAME?</v>
      </c>
      <c r="I2700" s="274"/>
      <c r="J2700" s="274" t="e">
        <f t="shared" ca="1" si="33"/>
        <v>#NAME?</v>
      </c>
      <c r="K2700" s="274">
        <f t="shared" si="34"/>
        <v>0</v>
      </c>
      <c r="N2700" s="274"/>
    </row>
    <row r="2701" spans="5:14" ht="13.5" customHeight="1">
      <c r="E2701" s="209" t="s">
        <v>439</v>
      </c>
      <c r="F2701" s="209" t="s">
        <v>2679</v>
      </c>
      <c r="G2701" s="416" t="str">
        <f t="shared" si="36"/>
        <v>Color Code</v>
      </c>
      <c r="H2701" s="273" t="e">
        <f ca="1">_xludf.IFNA(VLOOKUP(Aragon!E2701,'Kilter Holds'!$P$37:$AB$662,13,0),0)</f>
        <v>#NAME?</v>
      </c>
      <c r="I2701" s="274"/>
      <c r="J2701" s="274" t="e">
        <f t="shared" ca="1" si="33"/>
        <v>#NAME?</v>
      </c>
      <c r="K2701" s="274">
        <f t="shared" si="34"/>
        <v>0</v>
      </c>
      <c r="N2701" s="274"/>
    </row>
    <row r="2702" spans="5:14" ht="13.5" customHeight="1">
      <c r="E2702" s="209" t="s">
        <v>441</v>
      </c>
      <c r="F2702" s="209" t="s">
        <v>2680</v>
      </c>
      <c r="G2702" s="406" t="str">
        <f t="shared" si="36"/>
        <v>11-12</v>
      </c>
      <c r="H2702" s="273" t="e">
        <f ca="1">_xludf.IFNA(VLOOKUP(Aragon!E2702,'Kilter Holds'!$P$37:$AB$662,5,0),0)</f>
        <v>#NAME?</v>
      </c>
      <c r="I2702" s="274"/>
      <c r="J2702" s="274" t="e">
        <f t="shared" ca="1" si="33"/>
        <v>#NAME?</v>
      </c>
      <c r="K2702" s="274">
        <f t="shared" si="34"/>
        <v>0</v>
      </c>
      <c r="N2702" s="274"/>
    </row>
    <row r="2703" spans="5:14" ht="13.5" customHeight="1">
      <c r="E2703" s="209" t="s">
        <v>441</v>
      </c>
      <c r="F2703" s="209" t="s">
        <v>2680</v>
      </c>
      <c r="G2703" s="408" t="str">
        <f t="shared" si="36"/>
        <v>14-01</v>
      </c>
      <c r="H2703" s="273" t="e">
        <f ca="1">_xludf.IFNA(VLOOKUP(Aragon!E2703,'Kilter Holds'!$P$37:$AB$662,6,0),0)</f>
        <v>#NAME?</v>
      </c>
      <c r="I2703" s="274"/>
      <c r="J2703" s="274" t="e">
        <f t="shared" ca="1" si="33"/>
        <v>#NAME?</v>
      </c>
      <c r="K2703" s="274">
        <f t="shared" si="34"/>
        <v>0</v>
      </c>
      <c r="N2703" s="274"/>
    </row>
    <row r="2704" spans="5:14" ht="13.5" customHeight="1">
      <c r="E2704" s="209" t="s">
        <v>441</v>
      </c>
      <c r="F2704" s="209" t="s">
        <v>2680</v>
      </c>
      <c r="G2704" s="409" t="str">
        <f t="shared" si="36"/>
        <v>15-12</v>
      </c>
      <c r="H2704" s="273" t="e">
        <f ca="1">_xludf.IFNA(VLOOKUP(Aragon!E2704,'Kilter Holds'!$P$37:$AB$662,7,0),0)</f>
        <v>#NAME?</v>
      </c>
      <c r="I2704" s="274"/>
      <c r="J2704" s="274" t="e">
        <f t="shared" ca="1" si="33"/>
        <v>#NAME?</v>
      </c>
      <c r="K2704" s="274">
        <f t="shared" si="34"/>
        <v>0</v>
      </c>
      <c r="N2704" s="274"/>
    </row>
    <row r="2705" spans="5:14" ht="13.5" customHeight="1">
      <c r="E2705" s="209" t="s">
        <v>441</v>
      </c>
      <c r="F2705" s="209" t="s">
        <v>2680</v>
      </c>
      <c r="G2705" s="410" t="str">
        <f t="shared" si="36"/>
        <v>16-16</v>
      </c>
      <c r="H2705" s="273" t="e">
        <f ca="1">_xludf.IFNA(VLOOKUP(Aragon!E2705,'Kilter Holds'!$P$37:$AB$662,8,0),0)</f>
        <v>#NAME?</v>
      </c>
      <c r="I2705" s="274"/>
      <c r="J2705" s="274" t="e">
        <f t="shared" ca="1" si="33"/>
        <v>#NAME?</v>
      </c>
      <c r="K2705" s="274">
        <f t="shared" si="34"/>
        <v>0</v>
      </c>
      <c r="N2705" s="274"/>
    </row>
    <row r="2706" spans="5:14" ht="13.5" customHeight="1">
      <c r="E2706" s="209" t="s">
        <v>441</v>
      </c>
      <c r="F2706" s="209" t="s">
        <v>2680</v>
      </c>
      <c r="G2706" s="411" t="str">
        <f t="shared" si="36"/>
        <v>13-01</v>
      </c>
      <c r="H2706" s="273" t="e">
        <f ca="1">_xludf.IFNA(VLOOKUP(Aragon!E2706,'Kilter Holds'!$P$37:$AB$662,9,0),0)</f>
        <v>#NAME?</v>
      </c>
      <c r="I2706" s="274"/>
      <c r="J2706" s="274" t="e">
        <f t="shared" ca="1" si="33"/>
        <v>#NAME?</v>
      </c>
      <c r="K2706" s="274">
        <f t="shared" si="34"/>
        <v>0</v>
      </c>
      <c r="N2706" s="274"/>
    </row>
    <row r="2707" spans="5:14" ht="13.5" customHeight="1">
      <c r="E2707" s="209" t="s">
        <v>441</v>
      </c>
      <c r="F2707" s="209" t="s">
        <v>2680</v>
      </c>
      <c r="G2707" s="413" t="str">
        <f t="shared" si="36"/>
        <v>07-13</v>
      </c>
      <c r="H2707" s="273" t="e">
        <f ca="1">_xludf.IFNA(VLOOKUP(Aragon!E2707,'Kilter Holds'!$P$37:$AB$662,10,0),0)</f>
        <v>#NAME?</v>
      </c>
      <c r="I2707" s="274"/>
      <c r="J2707" s="274" t="e">
        <f t="shared" ca="1" si="33"/>
        <v>#NAME?</v>
      </c>
      <c r="K2707" s="274">
        <f t="shared" si="34"/>
        <v>0</v>
      </c>
      <c r="N2707" s="274"/>
    </row>
    <row r="2708" spans="5:14" ht="13.5" customHeight="1">
      <c r="E2708" s="209" t="s">
        <v>441</v>
      </c>
      <c r="F2708" s="209" t="s">
        <v>2680</v>
      </c>
      <c r="G2708" s="414" t="str">
        <f t="shared" si="36"/>
        <v>11-26</v>
      </c>
      <c r="H2708" s="273" t="e">
        <f ca="1">_xludf.IFNA(VLOOKUP(Aragon!E2708,'Kilter Holds'!$P$37:$AB$662,11,0),0)</f>
        <v>#NAME?</v>
      </c>
      <c r="I2708" s="274"/>
      <c r="J2708" s="274" t="e">
        <f t="shared" ca="1" si="33"/>
        <v>#NAME?</v>
      </c>
      <c r="K2708" s="274">
        <f t="shared" si="34"/>
        <v>0</v>
      </c>
      <c r="N2708" s="274"/>
    </row>
    <row r="2709" spans="5:14" ht="13.5" customHeight="1">
      <c r="E2709" s="209" t="s">
        <v>441</v>
      </c>
      <c r="F2709" s="209" t="s">
        <v>2680</v>
      </c>
      <c r="G2709" s="415" t="str">
        <f t="shared" si="36"/>
        <v>18-01</v>
      </c>
      <c r="H2709" s="273" t="e">
        <f ca="1">_xludf.IFNA(VLOOKUP(Aragon!E2709,'Kilter Holds'!$P$37:$AB$662,12,0),0)</f>
        <v>#NAME?</v>
      </c>
      <c r="I2709" s="274"/>
      <c r="J2709" s="274" t="e">
        <f t="shared" ca="1" si="33"/>
        <v>#NAME?</v>
      </c>
      <c r="K2709" s="274">
        <f t="shared" si="34"/>
        <v>0</v>
      </c>
      <c r="N2709" s="274"/>
    </row>
    <row r="2710" spans="5:14" ht="13.5" customHeight="1">
      <c r="E2710" s="209" t="s">
        <v>441</v>
      </c>
      <c r="F2710" s="209" t="s">
        <v>2680</v>
      </c>
      <c r="G2710" s="416" t="str">
        <f t="shared" si="36"/>
        <v>Color Code</v>
      </c>
      <c r="H2710" s="273" t="e">
        <f ca="1">_xludf.IFNA(VLOOKUP(Aragon!E2710,'Kilter Holds'!$P$37:$AB$662,13,0),0)</f>
        <v>#NAME?</v>
      </c>
      <c r="I2710" s="274"/>
      <c r="J2710" s="274" t="e">
        <f t="shared" ca="1" si="33"/>
        <v>#NAME?</v>
      </c>
      <c r="K2710" s="274">
        <f t="shared" si="34"/>
        <v>0</v>
      </c>
      <c r="N2710" s="274"/>
    </row>
    <row r="2711" spans="5:14" ht="13.5" customHeight="1">
      <c r="E2711" s="209" t="s">
        <v>419</v>
      </c>
      <c r="F2711" s="209" t="s">
        <v>2681</v>
      </c>
      <c r="G2711" s="406" t="str">
        <f t="shared" si="36"/>
        <v>11-12</v>
      </c>
      <c r="H2711" s="273" t="e">
        <f ca="1">_xludf.IFNA(VLOOKUP(Aragon!E2711,'Kilter Holds'!$P$37:$AB$662,5,0),0)</f>
        <v>#NAME?</v>
      </c>
      <c r="I2711" s="274"/>
      <c r="J2711" s="274" t="e">
        <f t="shared" ca="1" si="33"/>
        <v>#NAME?</v>
      </c>
      <c r="K2711" s="274">
        <f t="shared" si="34"/>
        <v>0</v>
      </c>
      <c r="N2711" s="274"/>
    </row>
    <row r="2712" spans="5:14" ht="13.5" customHeight="1">
      <c r="E2712" s="209" t="s">
        <v>419</v>
      </c>
      <c r="F2712" s="209" t="s">
        <v>2681</v>
      </c>
      <c r="G2712" s="408" t="str">
        <f t="shared" si="36"/>
        <v>14-01</v>
      </c>
      <c r="H2712" s="273" t="e">
        <f ca="1">_xludf.IFNA(VLOOKUP(Aragon!E2712,'Kilter Holds'!$P$37:$AB$662,6,0),0)</f>
        <v>#NAME?</v>
      </c>
      <c r="I2712" s="274"/>
      <c r="J2712" s="274" t="e">
        <f t="shared" ca="1" si="33"/>
        <v>#NAME?</v>
      </c>
      <c r="K2712" s="274">
        <f t="shared" si="34"/>
        <v>0</v>
      </c>
      <c r="N2712" s="274"/>
    </row>
    <row r="2713" spans="5:14" ht="13.5" customHeight="1">
      <c r="E2713" s="209" t="s">
        <v>419</v>
      </c>
      <c r="F2713" s="209" t="s">
        <v>2681</v>
      </c>
      <c r="G2713" s="409" t="str">
        <f t="shared" si="36"/>
        <v>15-12</v>
      </c>
      <c r="H2713" s="273" t="e">
        <f ca="1">_xludf.IFNA(VLOOKUP(Aragon!E2713,'Kilter Holds'!$P$37:$AB$662,7,0),0)</f>
        <v>#NAME?</v>
      </c>
      <c r="I2713" s="274"/>
      <c r="J2713" s="274" t="e">
        <f t="shared" ca="1" si="33"/>
        <v>#NAME?</v>
      </c>
      <c r="K2713" s="274">
        <f t="shared" si="34"/>
        <v>0</v>
      </c>
      <c r="N2713" s="274"/>
    </row>
    <row r="2714" spans="5:14" ht="13.5" customHeight="1">
      <c r="E2714" s="209" t="s">
        <v>419</v>
      </c>
      <c r="F2714" s="209" t="s">
        <v>2681</v>
      </c>
      <c r="G2714" s="410" t="str">
        <f t="shared" si="36"/>
        <v>16-16</v>
      </c>
      <c r="H2714" s="273" t="e">
        <f ca="1">_xludf.IFNA(VLOOKUP(Aragon!E2714,'Kilter Holds'!$P$37:$AB$662,8,0),0)</f>
        <v>#NAME?</v>
      </c>
      <c r="I2714" s="274"/>
      <c r="J2714" s="274" t="e">
        <f t="shared" ca="1" si="33"/>
        <v>#NAME?</v>
      </c>
      <c r="K2714" s="274">
        <f t="shared" si="34"/>
        <v>0</v>
      </c>
      <c r="N2714" s="274"/>
    </row>
    <row r="2715" spans="5:14" ht="13.5" customHeight="1">
      <c r="E2715" s="209" t="s">
        <v>419</v>
      </c>
      <c r="F2715" s="209" t="s">
        <v>2681</v>
      </c>
      <c r="G2715" s="411" t="str">
        <f t="shared" si="36"/>
        <v>13-01</v>
      </c>
      <c r="H2715" s="273" t="e">
        <f ca="1">_xludf.IFNA(VLOOKUP(Aragon!E2715,'Kilter Holds'!$P$37:$AB$662,9,0),0)</f>
        <v>#NAME?</v>
      </c>
      <c r="I2715" s="274"/>
      <c r="J2715" s="274" t="e">
        <f t="shared" ca="1" si="33"/>
        <v>#NAME?</v>
      </c>
      <c r="K2715" s="274">
        <f t="shared" si="34"/>
        <v>0</v>
      </c>
      <c r="N2715" s="274"/>
    </row>
    <row r="2716" spans="5:14" ht="13.5" customHeight="1">
      <c r="E2716" s="209" t="s">
        <v>419</v>
      </c>
      <c r="F2716" s="209" t="s">
        <v>2681</v>
      </c>
      <c r="G2716" s="413" t="str">
        <f t="shared" si="36"/>
        <v>07-13</v>
      </c>
      <c r="H2716" s="273" t="e">
        <f ca="1">_xludf.IFNA(VLOOKUP(Aragon!E2716,'Kilter Holds'!$P$37:$AB$662,10,0),0)</f>
        <v>#NAME?</v>
      </c>
      <c r="I2716" s="274"/>
      <c r="J2716" s="274" t="e">
        <f t="shared" ca="1" si="33"/>
        <v>#NAME?</v>
      </c>
      <c r="K2716" s="274">
        <f t="shared" si="34"/>
        <v>0</v>
      </c>
      <c r="N2716" s="274"/>
    </row>
    <row r="2717" spans="5:14" ht="13.5" customHeight="1">
      <c r="E2717" s="209" t="s">
        <v>419</v>
      </c>
      <c r="F2717" s="209" t="s">
        <v>2681</v>
      </c>
      <c r="G2717" s="414" t="str">
        <f t="shared" si="36"/>
        <v>11-26</v>
      </c>
      <c r="H2717" s="273" t="e">
        <f ca="1">_xludf.IFNA(VLOOKUP(Aragon!E2717,'Kilter Holds'!$P$37:$AB$662,11,0),0)</f>
        <v>#NAME?</v>
      </c>
      <c r="I2717" s="274"/>
      <c r="J2717" s="274" t="e">
        <f t="shared" ca="1" si="33"/>
        <v>#NAME?</v>
      </c>
      <c r="K2717" s="274">
        <f t="shared" si="34"/>
        <v>0</v>
      </c>
      <c r="N2717" s="274"/>
    </row>
    <row r="2718" spans="5:14" ht="13.5" customHeight="1">
      <c r="E2718" s="209" t="s">
        <v>419</v>
      </c>
      <c r="F2718" s="209" t="s">
        <v>2681</v>
      </c>
      <c r="G2718" s="415" t="str">
        <f t="shared" si="36"/>
        <v>18-01</v>
      </c>
      <c r="H2718" s="273" t="e">
        <f ca="1">_xludf.IFNA(VLOOKUP(Aragon!E2718,'Kilter Holds'!$P$37:$AB$662,12,0),0)</f>
        <v>#NAME?</v>
      </c>
      <c r="I2718" s="274"/>
      <c r="J2718" s="274" t="e">
        <f t="shared" ca="1" si="33"/>
        <v>#NAME?</v>
      </c>
      <c r="K2718" s="274">
        <f t="shared" si="34"/>
        <v>0</v>
      </c>
      <c r="N2718" s="274"/>
    </row>
    <row r="2719" spans="5:14" ht="13.5" customHeight="1">
      <c r="E2719" s="209" t="s">
        <v>419</v>
      </c>
      <c r="F2719" s="209" t="s">
        <v>2681</v>
      </c>
      <c r="G2719" s="416" t="str">
        <f t="shared" si="36"/>
        <v>Color Code</v>
      </c>
      <c r="H2719" s="273" t="e">
        <f ca="1">_xludf.IFNA(VLOOKUP(Aragon!E2719,'Kilter Holds'!$P$37:$AB$662,13,0),0)</f>
        <v>#NAME?</v>
      </c>
      <c r="I2719" s="274"/>
      <c r="J2719" s="274" t="e">
        <f t="shared" ca="1" si="33"/>
        <v>#NAME?</v>
      </c>
      <c r="K2719" s="274">
        <f t="shared" si="34"/>
        <v>0</v>
      </c>
      <c r="N2719" s="274"/>
    </row>
    <row r="2720" spans="5:14" ht="13.5" customHeight="1">
      <c r="E2720" s="209" t="s">
        <v>421</v>
      </c>
      <c r="F2720" s="209" t="s">
        <v>2682</v>
      </c>
      <c r="G2720" s="406" t="str">
        <f t="shared" si="36"/>
        <v>11-12</v>
      </c>
      <c r="H2720" s="273" t="e">
        <f ca="1">_xludf.IFNA(VLOOKUP(Aragon!E2720,'Kilter Holds'!$P$37:$AB$662,5,0),0)</f>
        <v>#NAME?</v>
      </c>
      <c r="I2720" s="274"/>
      <c r="J2720" s="274" t="e">
        <f t="shared" ca="1" si="33"/>
        <v>#NAME?</v>
      </c>
      <c r="K2720" s="274">
        <f t="shared" si="34"/>
        <v>0</v>
      </c>
      <c r="N2720" s="274"/>
    </row>
    <row r="2721" spans="5:14" ht="13.5" customHeight="1">
      <c r="E2721" s="209" t="s">
        <v>421</v>
      </c>
      <c r="F2721" s="209" t="s">
        <v>2682</v>
      </c>
      <c r="G2721" s="408" t="str">
        <f t="shared" si="36"/>
        <v>14-01</v>
      </c>
      <c r="H2721" s="273" t="e">
        <f ca="1">_xludf.IFNA(VLOOKUP(Aragon!E2721,'Kilter Holds'!$P$37:$AB$662,6,0),0)</f>
        <v>#NAME?</v>
      </c>
      <c r="I2721" s="274"/>
      <c r="J2721" s="274" t="e">
        <f t="shared" ca="1" si="33"/>
        <v>#NAME?</v>
      </c>
      <c r="K2721" s="274">
        <f t="shared" si="34"/>
        <v>0</v>
      </c>
      <c r="N2721" s="274"/>
    </row>
    <row r="2722" spans="5:14" ht="13.5" customHeight="1">
      <c r="E2722" s="209" t="s">
        <v>421</v>
      </c>
      <c r="F2722" s="209" t="s">
        <v>2682</v>
      </c>
      <c r="G2722" s="409" t="str">
        <f t="shared" si="36"/>
        <v>15-12</v>
      </c>
      <c r="H2722" s="273" t="e">
        <f ca="1">_xludf.IFNA(VLOOKUP(Aragon!E2722,'Kilter Holds'!$P$37:$AB$662,7,0),0)</f>
        <v>#NAME?</v>
      </c>
      <c r="I2722" s="274"/>
      <c r="J2722" s="274" t="e">
        <f t="shared" ca="1" si="33"/>
        <v>#NAME?</v>
      </c>
      <c r="K2722" s="274">
        <f t="shared" si="34"/>
        <v>0</v>
      </c>
      <c r="N2722" s="274"/>
    </row>
    <row r="2723" spans="5:14" ht="13.5" customHeight="1">
      <c r="E2723" s="209" t="s">
        <v>421</v>
      </c>
      <c r="F2723" s="209" t="s">
        <v>2682</v>
      </c>
      <c r="G2723" s="410" t="str">
        <f t="shared" si="36"/>
        <v>16-16</v>
      </c>
      <c r="H2723" s="273" t="e">
        <f ca="1">_xludf.IFNA(VLOOKUP(Aragon!E2723,'Kilter Holds'!$P$37:$AB$662,8,0),0)</f>
        <v>#NAME?</v>
      </c>
      <c r="I2723" s="274"/>
      <c r="J2723" s="274" t="e">
        <f t="shared" ca="1" si="33"/>
        <v>#NAME?</v>
      </c>
      <c r="K2723" s="274">
        <f t="shared" si="34"/>
        <v>0</v>
      </c>
      <c r="N2723" s="274"/>
    </row>
    <row r="2724" spans="5:14" ht="13.5" customHeight="1">
      <c r="E2724" s="209" t="s">
        <v>421</v>
      </c>
      <c r="F2724" s="209" t="s">
        <v>2682</v>
      </c>
      <c r="G2724" s="411" t="str">
        <f t="shared" si="36"/>
        <v>13-01</v>
      </c>
      <c r="H2724" s="273" t="e">
        <f ca="1">_xludf.IFNA(VLOOKUP(Aragon!E2724,'Kilter Holds'!$P$37:$AB$662,9,0),0)</f>
        <v>#NAME?</v>
      </c>
      <c r="I2724" s="274"/>
      <c r="J2724" s="274" t="e">
        <f t="shared" ca="1" si="33"/>
        <v>#NAME?</v>
      </c>
      <c r="K2724" s="274">
        <f t="shared" si="34"/>
        <v>0</v>
      </c>
      <c r="N2724" s="274"/>
    </row>
    <row r="2725" spans="5:14" ht="13.5" customHeight="1">
      <c r="E2725" s="209" t="s">
        <v>421</v>
      </c>
      <c r="F2725" s="209" t="s">
        <v>2682</v>
      </c>
      <c r="G2725" s="413" t="str">
        <f t="shared" si="36"/>
        <v>07-13</v>
      </c>
      <c r="H2725" s="273" t="e">
        <f ca="1">_xludf.IFNA(VLOOKUP(Aragon!E2725,'Kilter Holds'!$P$37:$AB$662,10,0),0)</f>
        <v>#NAME?</v>
      </c>
      <c r="I2725" s="274"/>
      <c r="J2725" s="274" t="e">
        <f t="shared" ca="1" si="33"/>
        <v>#NAME?</v>
      </c>
      <c r="K2725" s="274">
        <f t="shared" si="34"/>
        <v>0</v>
      </c>
      <c r="N2725" s="274"/>
    </row>
    <row r="2726" spans="5:14" ht="13.5" customHeight="1">
      <c r="E2726" s="209" t="s">
        <v>421</v>
      </c>
      <c r="F2726" s="209" t="s">
        <v>2682</v>
      </c>
      <c r="G2726" s="414" t="str">
        <f t="shared" si="36"/>
        <v>11-26</v>
      </c>
      <c r="H2726" s="273" t="e">
        <f ca="1">_xludf.IFNA(VLOOKUP(Aragon!E2726,'Kilter Holds'!$P$37:$AB$662,11,0),0)</f>
        <v>#NAME?</v>
      </c>
      <c r="I2726" s="274"/>
      <c r="J2726" s="274" t="e">
        <f t="shared" ca="1" si="33"/>
        <v>#NAME?</v>
      </c>
      <c r="K2726" s="274">
        <f t="shared" si="34"/>
        <v>0</v>
      </c>
      <c r="N2726" s="274"/>
    </row>
    <row r="2727" spans="5:14" ht="13.5" customHeight="1">
      <c r="E2727" s="209" t="s">
        <v>421</v>
      </c>
      <c r="F2727" s="209" t="s">
        <v>2682</v>
      </c>
      <c r="G2727" s="415" t="str">
        <f t="shared" si="36"/>
        <v>18-01</v>
      </c>
      <c r="H2727" s="273" t="e">
        <f ca="1">_xludf.IFNA(VLOOKUP(Aragon!E2727,'Kilter Holds'!$P$37:$AB$662,12,0),0)</f>
        <v>#NAME?</v>
      </c>
      <c r="I2727" s="274"/>
      <c r="J2727" s="274" t="e">
        <f t="shared" ca="1" si="33"/>
        <v>#NAME?</v>
      </c>
      <c r="K2727" s="274">
        <f t="shared" si="34"/>
        <v>0</v>
      </c>
      <c r="N2727" s="274"/>
    </row>
    <row r="2728" spans="5:14" ht="13.5" customHeight="1">
      <c r="E2728" s="209" t="s">
        <v>421</v>
      </c>
      <c r="F2728" s="209" t="s">
        <v>2682</v>
      </c>
      <c r="G2728" s="416" t="str">
        <f t="shared" si="36"/>
        <v>Color Code</v>
      </c>
      <c r="H2728" s="273" t="e">
        <f ca="1">_xludf.IFNA(VLOOKUP(Aragon!E2728,'Kilter Holds'!$P$37:$AB$662,13,0),0)</f>
        <v>#NAME?</v>
      </c>
      <c r="I2728" s="274"/>
      <c r="J2728" s="274" t="e">
        <f t="shared" ca="1" si="33"/>
        <v>#NAME?</v>
      </c>
      <c r="K2728" s="274">
        <f t="shared" si="34"/>
        <v>0</v>
      </c>
      <c r="N2728" s="274"/>
    </row>
    <row r="2729" spans="5:14" ht="13.5" customHeight="1">
      <c r="E2729" s="209" t="s">
        <v>423</v>
      </c>
      <c r="F2729" s="209" t="s">
        <v>2683</v>
      </c>
      <c r="G2729" s="406" t="str">
        <f t="shared" si="36"/>
        <v>11-12</v>
      </c>
      <c r="H2729" s="273" t="e">
        <f ca="1">_xludf.IFNA(VLOOKUP(Aragon!E2729,'Kilter Holds'!$P$37:$AB$662,5,0),0)</f>
        <v>#NAME?</v>
      </c>
      <c r="I2729" s="274"/>
      <c r="J2729" s="274" t="e">
        <f t="shared" ca="1" si="33"/>
        <v>#NAME?</v>
      </c>
      <c r="K2729" s="274">
        <f t="shared" si="34"/>
        <v>0</v>
      </c>
      <c r="N2729" s="274"/>
    </row>
    <row r="2730" spans="5:14" ht="13.5" customHeight="1">
      <c r="E2730" s="209" t="s">
        <v>423</v>
      </c>
      <c r="F2730" s="209" t="s">
        <v>2683</v>
      </c>
      <c r="G2730" s="408" t="str">
        <f t="shared" si="36"/>
        <v>14-01</v>
      </c>
      <c r="H2730" s="273" t="e">
        <f ca="1">_xludf.IFNA(VLOOKUP(Aragon!E2730,'Kilter Holds'!$P$37:$AB$662,6,0),0)</f>
        <v>#NAME?</v>
      </c>
      <c r="I2730" s="274"/>
      <c r="J2730" s="274" t="e">
        <f t="shared" ca="1" si="33"/>
        <v>#NAME?</v>
      </c>
      <c r="K2730" s="274">
        <f t="shared" si="34"/>
        <v>0</v>
      </c>
      <c r="N2730" s="274"/>
    </row>
    <row r="2731" spans="5:14" ht="13.5" customHeight="1">
      <c r="E2731" s="209" t="s">
        <v>423</v>
      </c>
      <c r="F2731" s="209" t="s">
        <v>2683</v>
      </c>
      <c r="G2731" s="409" t="str">
        <f t="shared" si="36"/>
        <v>15-12</v>
      </c>
      <c r="H2731" s="273" t="e">
        <f ca="1">_xludf.IFNA(VLOOKUP(Aragon!E2731,'Kilter Holds'!$P$37:$AB$662,7,0),0)</f>
        <v>#NAME?</v>
      </c>
      <c r="I2731" s="274"/>
      <c r="J2731" s="274" t="e">
        <f t="shared" ca="1" si="33"/>
        <v>#NAME?</v>
      </c>
      <c r="K2731" s="274">
        <f t="shared" si="34"/>
        <v>0</v>
      </c>
      <c r="N2731" s="274"/>
    </row>
    <row r="2732" spans="5:14" ht="13.5" customHeight="1">
      <c r="E2732" s="209" t="s">
        <v>423</v>
      </c>
      <c r="F2732" s="209" t="s">
        <v>2683</v>
      </c>
      <c r="G2732" s="410" t="str">
        <f t="shared" si="36"/>
        <v>16-16</v>
      </c>
      <c r="H2732" s="273" t="e">
        <f ca="1">_xludf.IFNA(VLOOKUP(Aragon!E2732,'Kilter Holds'!$P$37:$AB$662,8,0),0)</f>
        <v>#NAME?</v>
      </c>
      <c r="I2732" s="274"/>
      <c r="J2732" s="274" t="e">
        <f t="shared" ca="1" si="33"/>
        <v>#NAME?</v>
      </c>
      <c r="K2732" s="274">
        <f t="shared" si="34"/>
        <v>0</v>
      </c>
      <c r="N2732" s="274"/>
    </row>
    <row r="2733" spans="5:14" ht="13.5" customHeight="1">
      <c r="E2733" s="209" t="s">
        <v>423</v>
      </c>
      <c r="F2733" s="209" t="s">
        <v>2683</v>
      </c>
      <c r="G2733" s="411" t="str">
        <f t="shared" si="36"/>
        <v>13-01</v>
      </c>
      <c r="H2733" s="273" t="e">
        <f ca="1">_xludf.IFNA(VLOOKUP(Aragon!E2733,'Kilter Holds'!$P$37:$AB$662,9,0),0)</f>
        <v>#NAME?</v>
      </c>
      <c r="I2733" s="274"/>
      <c r="J2733" s="274" t="e">
        <f t="shared" ca="1" si="33"/>
        <v>#NAME?</v>
      </c>
      <c r="K2733" s="274">
        <f t="shared" si="34"/>
        <v>0</v>
      </c>
      <c r="N2733" s="274"/>
    </row>
    <row r="2734" spans="5:14" ht="13.5" customHeight="1">
      <c r="E2734" s="209" t="s">
        <v>423</v>
      </c>
      <c r="F2734" s="209" t="s">
        <v>2683</v>
      </c>
      <c r="G2734" s="413" t="str">
        <f t="shared" si="36"/>
        <v>07-13</v>
      </c>
      <c r="H2734" s="273" t="e">
        <f ca="1">_xludf.IFNA(VLOOKUP(Aragon!E2734,'Kilter Holds'!$P$37:$AB$662,10,0),0)</f>
        <v>#NAME?</v>
      </c>
      <c r="I2734" s="274"/>
      <c r="J2734" s="274" t="e">
        <f t="shared" ca="1" si="33"/>
        <v>#NAME?</v>
      </c>
      <c r="K2734" s="274">
        <f t="shared" si="34"/>
        <v>0</v>
      </c>
      <c r="N2734" s="274"/>
    </row>
    <row r="2735" spans="5:14" ht="13.5" customHeight="1">
      <c r="E2735" s="209" t="s">
        <v>423</v>
      </c>
      <c r="F2735" s="209" t="s">
        <v>2683</v>
      </c>
      <c r="G2735" s="414" t="str">
        <f t="shared" si="36"/>
        <v>11-26</v>
      </c>
      <c r="H2735" s="273" t="e">
        <f ca="1">_xludf.IFNA(VLOOKUP(Aragon!E2735,'Kilter Holds'!$P$37:$AB$662,11,0),0)</f>
        <v>#NAME?</v>
      </c>
      <c r="I2735" s="274"/>
      <c r="J2735" s="274" t="e">
        <f t="shared" ca="1" si="33"/>
        <v>#NAME?</v>
      </c>
      <c r="K2735" s="274">
        <f t="shared" si="34"/>
        <v>0</v>
      </c>
      <c r="N2735" s="274"/>
    </row>
    <row r="2736" spans="5:14" ht="13.5" customHeight="1">
      <c r="E2736" s="209" t="s">
        <v>423</v>
      </c>
      <c r="F2736" s="209" t="s">
        <v>2683</v>
      </c>
      <c r="G2736" s="415" t="str">
        <f t="shared" si="36"/>
        <v>18-01</v>
      </c>
      <c r="H2736" s="273" t="e">
        <f ca="1">_xludf.IFNA(VLOOKUP(Aragon!E2736,'Kilter Holds'!$P$37:$AB$662,12,0),0)</f>
        <v>#NAME?</v>
      </c>
      <c r="I2736" s="274"/>
      <c r="J2736" s="274" t="e">
        <f t="shared" ca="1" si="33"/>
        <v>#NAME?</v>
      </c>
      <c r="K2736" s="274">
        <f t="shared" si="34"/>
        <v>0</v>
      </c>
      <c r="N2736" s="274"/>
    </row>
    <row r="2737" spans="5:14" ht="13.5" customHeight="1">
      <c r="E2737" s="209" t="s">
        <v>423</v>
      </c>
      <c r="F2737" s="209" t="s">
        <v>2683</v>
      </c>
      <c r="G2737" s="416" t="str">
        <f t="shared" si="36"/>
        <v>Color Code</v>
      </c>
      <c r="H2737" s="273" t="e">
        <f ca="1">_xludf.IFNA(VLOOKUP(Aragon!E2737,'Kilter Holds'!$P$37:$AB$662,13,0),0)</f>
        <v>#NAME?</v>
      </c>
      <c r="I2737" s="274"/>
      <c r="J2737" s="274" t="e">
        <f t="shared" ca="1" si="33"/>
        <v>#NAME?</v>
      </c>
      <c r="K2737" s="274">
        <f t="shared" si="34"/>
        <v>0</v>
      </c>
      <c r="N2737" s="274"/>
    </row>
    <row r="2738" spans="5:14" ht="13.5" customHeight="1">
      <c r="E2738" s="209" t="s">
        <v>425</v>
      </c>
      <c r="F2738" s="209" t="s">
        <v>2684</v>
      </c>
      <c r="G2738" s="406" t="str">
        <f t="shared" si="36"/>
        <v>11-12</v>
      </c>
      <c r="H2738" s="273" t="e">
        <f ca="1">_xludf.IFNA(VLOOKUP(Aragon!E2738,'Kilter Holds'!$P$37:$AB$662,5,0),0)</f>
        <v>#NAME?</v>
      </c>
      <c r="I2738" s="274"/>
      <c r="J2738" s="274" t="e">
        <f t="shared" ca="1" si="33"/>
        <v>#NAME?</v>
      </c>
      <c r="K2738" s="274">
        <f t="shared" si="34"/>
        <v>0</v>
      </c>
      <c r="N2738" s="274"/>
    </row>
    <row r="2739" spans="5:14" ht="13.5" customHeight="1">
      <c r="E2739" s="209" t="s">
        <v>425</v>
      </c>
      <c r="F2739" s="209" t="s">
        <v>2684</v>
      </c>
      <c r="G2739" s="408" t="str">
        <f t="shared" si="36"/>
        <v>14-01</v>
      </c>
      <c r="H2739" s="273" t="e">
        <f ca="1">_xludf.IFNA(VLOOKUP(Aragon!E2739,'Kilter Holds'!$P$37:$AB$662,6,0),0)</f>
        <v>#NAME?</v>
      </c>
      <c r="I2739" s="274"/>
      <c r="J2739" s="274" t="e">
        <f t="shared" ca="1" si="33"/>
        <v>#NAME?</v>
      </c>
      <c r="K2739" s="274">
        <f t="shared" si="34"/>
        <v>0</v>
      </c>
      <c r="N2739" s="274"/>
    </row>
    <row r="2740" spans="5:14" ht="13.5" customHeight="1">
      <c r="E2740" s="209" t="s">
        <v>425</v>
      </c>
      <c r="F2740" s="209" t="s">
        <v>2684</v>
      </c>
      <c r="G2740" s="409" t="str">
        <f t="shared" si="36"/>
        <v>15-12</v>
      </c>
      <c r="H2740" s="273" t="e">
        <f ca="1">_xludf.IFNA(VLOOKUP(Aragon!E2740,'Kilter Holds'!$P$37:$AB$662,7,0),0)</f>
        <v>#NAME?</v>
      </c>
      <c r="I2740" s="274"/>
      <c r="J2740" s="274" t="e">
        <f t="shared" ca="1" si="33"/>
        <v>#NAME?</v>
      </c>
      <c r="K2740" s="274">
        <f t="shared" si="34"/>
        <v>0</v>
      </c>
      <c r="N2740" s="274"/>
    </row>
    <row r="2741" spans="5:14" ht="13.5" customHeight="1">
      <c r="E2741" s="209" t="s">
        <v>425</v>
      </c>
      <c r="F2741" s="209" t="s">
        <v>2684</v>
      </c>
      <c r="G2741" s="410" t="str">
        <f t="shared" si="36"/>
        <v>16-16</v>
      </c>
      <c r="H2741" s="273" t="e">
        <f ca="1">_xludf.IFNA(VLOOKUP(Aragon!E2741,'Kilter Holds'!$P$37:$AB$662,8,0),0)</f>
        <v>#NAME?</v>
      </c>
      <c r="I2741" s="274"/>
      <c r="J2741" s="274" t="e">
        <f t="shared" ca="1" si="33"/>
        <v>#NAME?</v>
      </c>
      <c r="K2741" s="274">
        <f t="shared" si="34"/>
        <v>0</v>
      </c>
      <c r="N2741" s="274"/>
    </row>
    <row r="2742" spans="5:14" ht="13.5" customHeight="1">
      <c r="E2742" s="209" t="s">
        <v>425</v>
      </c>
      <c r="F2742" s="209" t="s">
        <v>2684</v>
      </c>
      <c r="G2742" s="411" t="str">
        <f t="shared" si="36"/>
        <v>13-01</v>
      </c>
      <c r="H2742" s="273" t="e">
        <f ca="1">_xludf.IFNA(VLOOKUP(Aragon!E2742,'Kilter Holds'!$P$37:$AB$662,9,0),0)</f>
        <v>#NAME?</v>
      </c>
      <c r="I2742" s="274"/>
      <c r="J2742" s="274" t="e">
        <f t="shared" ca="1" si="33"/>
        <v>#NAME?</v>
      </c>
      <c r="K2742" s="274">
        <f t="shared" si="34"/>
        <v>0</v>
      </c>
      <c r="N2742" s="274"/>
    </row>
    <row r="2743" spans="5:14" ht="13.5" customHeight="1">
      <c r="E2743" s="209" t="s">
        <v>425</v>
      </c>
      <c r="F2743" s="209" t="s">
        <v>2684</v>
      </c>
      <c r="G2743" s="413" t="str">
        <f t="shared" si="36"/>
        <v>07-13</v>
      </c>
      <c r="H2743" s="273" t="e">
        <f ca="1">_xludf.IFNA(VLOOKUP(Aragon!E2743,'Kilter Holds'!$P$37:$AB$662,10,0),0)</f>
        <v>#NAME?</v>
      </c>
      <c r="I2743" s="274"/>
      <c r="J2743" s="274" t="e">
        <f t="shared" ca="1" si="33"/>
        <v>#NAME?</v>
      </c>
      <c r="K2743" s="274">
        <f t="shared" si="34"/>
        <v>0</v>
      </c>
      <c r="N2743" s="274"/>
    </row>
    <row r="2744" spans="5:14" ht="13.5" customHeight="1">
      <c r="E2744" s="209" t="s">
        <v>425</v>
      </c>
      <c r="F2744" s="209" t="s">
        <v>2684</v>
      </c>
      <c r="G2744" s="414" t="str">
        <f t="shared" si="36"/>
        <v>11-26</v>
      </c>
      <c r="H2744" s="273" t="e">
        <f ca="1">_xludf.IFNA(VLOOKUP(Aragon!E2744,'Kilter Holds'!$P$37:$AB$662,11,0),0)</f>
        <v>#NAME?</v>
      </c>
      <c r="I2744" s="274"/>
      <c r="J2744" s="274" t="e">
        <f t="shared" ca="1" si="33"/>
        <v>#NAME?</v>
      </c>
      <c r="K2744" s="274">
        <f t="shared" si="34"/>
        <v>0</v>
      </c>
      <c r="N2744" s="274"/>
    </row>
    <row r="2745" spans="5:14" ht="13.5" customHeight="1">
      <c r="E2745" s="209" t="s">
        <v>425</v>
      </c>
      <c r="F2745" s="209" t="s">
        <v>2684</v>
      </c>
      <c r="G2745" s="415" t="str">
        <f t="shared" si="36"/>
        <v>18-01</v>
      </c>
      <c r="H2745" s="273" t="e">
        <f ca="1">_xludf.IFNA(VLOOKUP(Aragon!E2745,'Kilter Holds'!$P$37:$AB$662,12,0),0)</f>
        <v>#NAME?</v>
      </c>
      <c r="I2745" s="274"/>
      <c r="J2745" s="274" t="e">
        <f t="shared" ca="1" si="33"/>
        <v>#NAME?</v>
      </c>
      <c r="K2745" s="274">
        <f t="shared" si="34"/>
        <v>0</v>
      </c>
      <c r="N2745" s="274"/>
    </row>
    <row r="2746" spans="5:14" ht="13.5" customHeight="1">
      <c r="E2746" s="209" t="s">
        <v>425</v>
      </c>
      <c r="F2746" s="209" t="s">
        <v>2684</v>
      </c>
      <c r="G2746" s="416" t="str">
        <f t="shared" si="36"/>
        <v>Color Code</v>
      </c>
      <c r="H2746" s="273" t="e">
        <f ca="1">_xludf.IFNA(VLOOKUP(Aragon!E2746,'Kilter Holds'!$P$37:$AB$662,13,0),0)</f>
        <v>#NAME?</v>
      </c>
      <c r="I2746" s="274"/>
      <c r="J2746" s="274" t="e">
        <f t="shared" ca="1" si="33"/>
        <v>#NAME?</v>
      </c>
      <c r="K2746" s="274">
        <f t="shared" si="34"/>
        <v>0</v>
      </c>
      <c r="N2746" s="274"/>
    </row>
    <row r="2747" spans="5:14" ht="13.5" customHeight="1">
      <c r="E2747" s="209" t="s">
        <v>433</v>
      </c>
      <c r="F2747" s="209" t="s">
        <v>2685</v>
      </c>
      <c r="G2747" s="406" t="str">
        <f t="shared" si="36"/>
        <v>11-12</v>
      </c>
      <c r="H2747" s="273" t="e">
        <f ca="1">_xludf.IFNA(VLOOKUP(Aragon!E2747,'Kilter Holds'!$P$37:$AB$662,5,0),0)</f>
        <v>#NAME?</v>
      </c>
      <c r="I2747" s="274"/>
      <c r="J2747" s="274" t="e">
        <f t="shared" ca="1" si="33"/>
        <v>#NAME?</v>
      </c>
      <c r="K2747" s="274">
        <f t="shared" si="34"/>
        <v>0</v>
      </c>
      <c r="N2747" s="274"/>
    </row>
    <row r="2748" spans="5:14" ht="13.5" customHeight="1">
      <c r="E2748" s="209" t="s">
        <v>433</v>
      </c>
      <c r="F2748" s="209" t="s">
        <v>2685</v>
      </c>
      <c r="G2748" s="408" t="str">
        <f t="shared" si="36"/>
        <v>14-01</v>
      </c>
      <c r="H2748" s="273" t="e">
        <f ca="1">_xludf.IFNA(VLOOKUP(Aragon!E2748,'Kilter Holds'!$P$37:$AB$662,6,0),0)</f>
        <v>#NAME?</v>
      </c>
      <c r="I2748" s="274"/>
      <c r="J2748" s="274" t="e">
        <f t="shared" ca="1" si="33"/>
        <v>#NAME?</v>
      </c>
      <c r="K2748" s="274">
        <f t="shared" si="34"/>
        <v>0</v>
      </c>
      <c r="N2748" s="274"/>
    </row>
    <row r="2749" spans="5:14" ht="13.5" customHeight="1">
      <c r="E2749" s="209" t="s">
        <v>433</v>
      </c>
      <c r="F2749" s="209" t="s">
        <v>2685</v>
      </c>
      <c r="G2749" s="409" t="str">
        <f t="shared" si="36"/>
        <v>15-12</v>
      </c>
      <c r="H2749" s="273" t="e">
        <f ca="1">_xludf.IFNA(VLOOKUP(Aragon!E2749,'Kilter Holds'!$P$37:$AB$662,7,0),0)</f>
        <v>#NAME?</v>
      </c>
      <c r="I2749" s="274"/>
      <c r="J2749" s="274" t="e">
        <f t="shared" ca="1" si="33"/>
        <v>#NAME?</v>
      </c>
      <c r="K2749" s="274">
        <f t="shared" si="34"/>
        <v>0</v>
      </c>
      <c r="N2749" s="274"/>
    </row>
    <row r="2750" spans="5:14" ht="13.5" customHeight="1">
      <c r="E2750" s="209" t="s">
        <v>433</v>
      </c>
      <c r="F2750" s="209" t="s">
        <v>2685</v>
      </c>
      <c r="G2750" s="410" t="str">
        <f t="shared" si="36"/>
        <v>16-16</v>
      </c>
      <c r="H2750" s="273" t="e">
        <f ca="1">_xludf.IFNA(VLOOKUP(Aragon!E2750,'Kilter Holds'!$P$37:$AB$662,8,0),0)</f>
        <v>#NAME?</v>
      </c>
      <c r="I2750" s="274"/>
      <c r="J2750" s="274" t="e">
        <f t="shared" ca="1" si="33"/>
        <v>#NAME?</v>
      </c>
      <c r="K2750" s="274">
        <f t="shared" si="34"/>
        <v>0</v>
      </c>
      <c r="N2750" s="274"/>
    </row>
    <row r="2751" spans="5:14" ht="13.5" customHeight="1">
      <c r="E2751" s="209" t="s">
        <v>433</v>
      </c>
      <c r="F2751" s="209" t="s">
        <v>2685</v>
      </c>
      <c r="G2751" s="411" t="str">
        <f t="shared" si="36"/>
        <v>13-01</v>
      </c>
      <c r="H2751" s="273" t="e">
        <f ca="1">_xludf.IFNA(VLOOKUP(Aragon!E2751,'Kilter Holds'!$P$37:$AB$662,9,0),0)</f>
        <v>#NAME?</v>
      </c>
      <c r="I2751" s="274"/>
      <c r="J2751" s="274" t="e">
        <f t="shared" ca="1" si="33"/>
        <v>#NAME?</v>
      </c>
      <c r="K2751" s="274">
        <f t="shared" si="34"/>
        <v>0</v>
      </c>
      <c r="N2751" s="274"/>
    </row>
    <row r="2752" spans="5:14" ht="13.5" customHeight="1">
      <c r="E2752" s="209" t="s">
        <v>433</v>
      </c>
      <c r="F2752" s="209" t="s">
        <v>2685</v>
      </c>
      <c r="G2752" s="413" t="str">
        <f t="shared" si="36"/>
        <v>07-13</v>
      </c>
      <c r="H2752" s="273" t="e">
        <f ca="1">_xludf.IFNA(VLOOKUP(Aragon!E2752,'Kilter Holds'!$P$37:$AB$662,10,0),0)</f>
        <v>#NAME?</v>
      </c>
      <c r="I2752" s="274"/>
      <c r="J2752" s="274" t="e">
        <f t="shared" ca="1" si="33"/>
        <v>#NAME?</v>
      </c>
      <c r="K2752" s="274">
        <f t="shared" si="34"/>
        <v>0</v>
      </c>
      <c r="N2752" s="274"/>
    </row>
    <row r="2753" spans="5:14" ht="13.5" customHeight="1">
      <c r="E2753" s="209" t="s">
        <v>433</v>
      </c>
      <c r="F2753" s="209" t="s">
        <v>2685</v>
      </c>
      <c r="G2753" s="414" t="str">
        <f t="shared" si="36"/>
        <v>11-26</v>
      </c>
      <c r="H2753" s="273" t="e">
        <f ca="1">_xludf.IFNA(VLOOKUP(Aragon!E2753,'Kilter Holds'!$P$37:$AB$662,11,0),0)</f>
        <v>#NAME?</v>
      </c>
      <c r="I2753" s="274"/>
      <c r="J2753" s="274" t="e">
        <f t="shared" ca="1" si="33"/>
        <v>#NAME?</v>
      </c>
      <c r="K2753" s="274">
        <f t="shared" si="34"/>
        <v>0</v>
      </c>
      <c r="N2753" s="274"/>
    </row>
    <row r="2754" spans="5:14" ht="13.5" customHeight="1">
      <c r="E2754" s="209" t="s">
        <v>433</v>
      </c>
      <c r="F2754" s="209" t="s">
        <v>2685</v>
      </c>
      <c r="G2754" s="415" t="str">
        <f t="shared" si="36"/>
        <v>18-01</v>
      </c>
      <c r="H2754" s="273" t="e">
        <f ca="1">_xludf.IFNA(VLOOKUP(Aragon!E2754,'Kilter Holds'!$P$37:$AB$662,12,0),0)</f>
        <v>#NAME?</v>
      </c>
      <c r="I2754" s="274"/>
      <c r="J2754" s="274" t="e">
        <f t="shared" ca="1" si="33"/>
        <v>#NAME?</v>
      </c>
      <c r="K2754" s="274">
        <f t="shared" si="34"/>
        <v>0</v>
      </c>
      <c r="N2754" s="274"/>
    </row>
    <row r="2755" spans="5:14" ht="13.5" customHeight="1">
      <c r="E2755" s="209" t="s">
        <v>433</v>
      </c>
      <c r="F2755" s="209" t="s">
        <v>2685</v>
      </c>
      <c r="G2755" s="416" t="str">
        <f t="shared" si="36"/>
        <v>Color Code</v>
      </c>
      <c r="H2755" s="273" t="e">
        <f ca="1">_xludf.IFNA(VLOOKUP(Aragon!E2755,'Kilter Holds'!$P$37:$AB$662,13,0),0)</f>
        <v>#NAME?</v>
      </c>
      <c r="I2755" s="274"/>
      <c r="J2755" s="274" t="e">
        <f t="shared" ca="1" si="33"/>
        <v>#NAME?</v>
      </c>
      <c r="K2755" s="274">
        <f t="shared" si="34"/>
        <v>0</v>
      </c>
      <c r="N2755" s="274"/>
    </row>
    <row r="2756" spans="5:14" ht="13.5" customHeight="1">
      <c r="E2756" s="209" t="s">
        <v>395</v>
      </c>
      <c r="F2756" s="209" t="s">
        <v>2686</v>
      </c>
      <c r="G2756" s="406" t="str">
        <f t="shared" si="36"/>
        <v>11-12</v>
      </c>
      <c r="H2756" s="273" t="e">
        <f ca="1">_xludf.IFNA(VLOOKUP(Aragon!E2756,'Kilter Holds'!$P$37:$AB$662,5,0),0)</f>
        <v>#NAME?</v>
      </c>
      <c r="I2756" s="274"/>
      <c r="J2756" s="274" t="e">
        <f t="shared" ca="1" si="33"/>
        <v>#NAME?</v>
      </c>
      <c r="K2756" s="274">
        <f t="shared" si="34"/>
        <v>0</v>
      </c>
      <c r="N2756" s="274"/>
    </row>
    <row r="2757" spans="5:14" ht="13.5" customHeight="1">
      <c r="E2757" s="209" t="s">
        <v>395</v>
      </c>
      <c r="F2757" s="209" t="s">
        <v>2686</v>
      </c>
      <c r="G2757" s="408" t="str">
        <f t="shared" si="36"/>
        <v>14-01</v>
      </c>
      <c r="H2757" s="273" t="e">
        <f ca="1">_xludf.IFNA(VLOOKUP(Aragon!E2757,'Kilter Holds'!$P$37:$AB$662,6,0),0)</f>
        <v>#NAME?</v>
      </c>
      <c r="I2757" s="274"/>
      <c r="J2757" s="274" t="e">
        <f t="shared" ca="1" si="33"/>
        <v>#NAME?</v>
      </c>
      <c r="K2757" s="274">
        <f t="shared" si="34"/>
        <v>0</v>
      </c>
      <c r="N2757" s="274"/>
    </row>
    <row r="2758" spans="5:14" ht="13.5" customHeight="1">
      <c r="E2758" s="209" t="s">
        <v>395</v>
      </c>
      <c r="F2758" s="209" t="s">
        <v>2686</v>
      </c>
      <c r="G2758" s="409" t="str">
        <f t="shared" si="36"/>
        <v>15-12</v>
      </c>
      <c r="H2758" s="273" t="e">
        <f ca="1">_xludf.IFNA(VLOOKUP(Aragon!E2758,'Kilter Holds'!$P$37:$AB$662,7,0),0)</f>
        <v>#NAME?</v>
      </c>
      <c r="I2758" s="274"/>
      <c r="J2758" s="274" t="e">
        <f t="shared" ca="1" si="33"/>
        <v>#NAME?</v>
      </c>
      <c r="K2758" s="274">
        <f t="shared" si="34"/>
        <v>0</v>
      </c>
      <c r="N2758" s="274"/>
    </row>
    <row r="2759" spans="5:14" ht="13.5" customHeight="1">
      <c r="E2759" s="209" t="s">
        <v>395</v>
      </c>
      <c r="F2759" s="209" t="s">
        <v>2686</v>
      </c>
      <c r="G2759" s="410" t="str">
        <f t="shared" si="36"/>
        <v>16-16</v>
      </c>
      <c r="H2759" s="273" t="e">
        <f ca="1">_xludf.IFNA(VLOOKUP(Aragon!E2759,'Kilter Holds'!$P$37:$AB$662,8,0),0)</f>
        <v>#NAME?</v>
      </c>
      <c r="I2759" s="274"/>
      <c r="J2759" s="274" t="e">
        <f t="shared" ca="1" si="33"/>
        <v>#NAME?</v>
      </c>
      <c r="K2759" s="274">
        <f t="shared" si="34"/>
        <v>0</v>
      </c>
      <c r="N2759" s="274"/>
    </row>
    <row r="2760" spans="5:14" ht="13.5" customHeight="1">
      <c r="E2760" s="209" t="s">
        <v>395</v>
      </c>
      <c r="F2760" s="209" t="s">
        <v>2686</v>
      </c>
      <c r="G2760" s="411" t="str">
        <f t="shared" si="36"/>
        <v>13-01</v>
      </c>
      <c r="H2760" s="273" t="e">
        <f ca="1">_xludf.IFNA(VLOOKUP(Aragon!E2760,'Kilter Holds'!$P$37:$AB$662,9,0),0)</f>
        <v>#NAME?</v>
      </c>
      <c r="I2760" s="274"/>
      <c r="J2760" s="274" t="e">
        <f t="shared" ca="1" si="33"/>
        <v>#NAME?</v>
      </c>
      <c r="K2760" s="274">
        <f t="shared" si="34"/>
        <v>0</v>
      </c>
      <c r="N2760" s="274"/>
    </row>
    <row r="2761" spans="5:14" ht="13.5" customHeight="1">
      <c r="E2761" s="209" t="s">
        <v>395</v>
      </c>
      <c r="F2761" s="209" t="s">
        <v>2686</v>
      </c>
      <c r="G2761" s="413" t="str">
        <f t="shared" si="36"/>
        <v>07-13</v>
      </c>
      <c r="H2761" s="273" t="e">
        <f ca="1">_xludf.IFNA(VLOOKUP(Aragon!E2761,'Kilter Holds'!$P$37:$AB$662,10,0),0)</f>
        <v>#NAME?</v>
      </c>
      <c r="I2761" s="274"/>
      <c r="J2761" s="274" t="e">
        <f t="shared" ca="1" si="33"/>
        <v>#NAME?</v>
      </c>
      <c r="K2761" s="274">
        <f t="shared" si="34"/>
        <v>0</v>
      </c>
      <c r="N2761" s="274"/>
    </row>
    <row r="2762" spans="5:14" ht="13.5" customHeight="1">
      <c r="E2762" s="209" t="s">
        <v>395</v>
      </c>
      <c r="F2762" s="209" t="s">
        <v>2686</v>
      </c>
      <c r="G2762" s="414" t="str">
        <f t="shared" si="36"/>
        <v>11-26</v>
      </c>
      <c r="H2762" s="273" t="e">
        <f ca="1">_xludf.IFNA(VLOOKUP(Aragon!E2762,'Kilter Holds'!$P$37:$AB$662,11,0),0)</f>
        <v>#NAME?</v>
      </c>
      <c r="I2762" s="274"/>
      <c r="J2762" s="274" t="e">
        <f t="shared" ca="1" si="33"/>
        <v>#NAME?</v>
      </c>
      <c r="K2762" s="274">
        <f t="shared" si="34"/>
        <v>0</v>
      </c>
      <c r="N2762" s="274"/>
    </row>
    <row r="2763" spans="5:14" ht="13.5" customHeight="1">
      <c r="E2763" s="209" t="s">
        <v>395</v>
      </c>
      <c r="F2763" s="209" t="s">
        <v>2686</v>
      </c>
      <c r="G2763" s="415" t="str">
        <f t="shared" si="36"/>
        <v>18-01</v>
      </c>
      <c r="H2763" s="273" t="e">
        <f ca="1">_xludf.IFNA(VLOOKUP(Aragon!E2763,'Kilter Holds'!$P$37:$AB$662,12,0),0)</f>
        <v>#NAME?</v>
      </c>
      <c r="I2763" s="274"/>
      <c r="J2763" s="274" t="e">
        <f t="shared" ca="1" si="33"/>
        <v>#NAME?</v>
      </c>
      <c r="K2763" s="274">
        <f t="shared" si="34"/>
        <v>0</v>
      </c>
      <c r="N2763" s="274"/>
    </row>
    <row r="2764" spans="5:14" ht="13.5" customHeight="1">
      <c r="E2764" s="209" t="s">
        <v>395</v>
      </c>
      <c r="F2764" s="209" t="s">
        <v>2686</v>
      </c>
      <c r="G2764" s="416" t="str">
        <f t="shared" si="36"/>
        <v>Color Code</v>
      </c>
      <c r="H2764" s="273" t="e">
        <f ca="1">_xludf.IFNA(VLOOKUP(Aragon!E2764,'Kilter Holds'!$P$37:$AB$662,13,0),0)</f>
        <v>#NAME?</v>
      </c>
      <c r="I2764" s="274"/>
      <c r="J2764" s="274" t="e">
        <f t="shared" ca="1" si="33"/>
        <v>#NAME?</v>
      </c>
      <c r="K2764" s="274">
        <f t="shared" si="34"/>
        <v>0</v>
      </c>
      <c r="N2764" s="274"/>
    </row>
    <row r="2765" spans="5:14" ht="13.5" customHeight="1">
      <c r="E2765" s="209" t="s">
        <v>409</v>
      </c>
      <c r="F2765" s="209" t="s">
        <v>2687</v>
      </c>
      <c r="G2765" s="406" t="str">
        <f t="shared" si="36"/>
        <v>11-12</v>
      </c>
      <c r="H2765" s="273" t="e">
        <f ca="1">_xludf.IFNA(VLOOKUP(Aragon!E2765,'Kilter Holds'!$P$37:$AB$662,5,0),0)</f>
        <v>#NAME?</v>
      </c>
      <c r="I2765" s="274"/>
      <c r="J2765" s="274" t="e">
        <f t="shared" ca="1" si="33"/>
        <v>#NAME?</v>
      </c>
      <c r="K2765" s="274">
        <f t="shared" si="34"/>
        <v>0</v>
      </c>
      <c r="N2765" s="274"/>
    </row>
    <row r="2766" spans="5:14" ht="13.5" customHeight="1">
      <c r="E2766" s="209" t="s">
        <v>409</v>
      </c>
      <c r="F2766" s="209" t="s">
        <v>2687</v>
      </c>
      <c r="G2766" s="408" t="str">
        <f t="shared" si="36"/>
        <v>14-01</v>
      </c>
      <c r="H2766" s="273" t="e">
        <f ca="1">_xludf.IFNA(VLOOKUP(Aragon!E2766,'Kilter Holds'!$P$37:$AB$662,6,0),0)</f>
        <v>#NAME?</v>
      </c>
      <c r="I2766" s="274"/>
      <c r="J2766" s="274" t="e">
        <f t="shared" ca="1" si="33"/>
        <v>#NAME?</v>
      </c>
      <c r="K2766" s="274">
        <f t="shared" si="34"/>
        <v>0</v>
      </c>
      <c r="N2766" s="274"/>
    </row>
    <row r="2767" spans="5:14" ht="13.5" customHeight="1">
      <c r="E2767" s="209" t="s">
        <v>409</v>
      </c>
      <c r="F2767" s="209" t="s">
        <v>2687</v>
      </c>
      <c r="G2767" s="409" t="str">
        <f t="shared" si="36"/>
        <v>15-12</v>
      </c>
      <c r="H2767" s="273" t="e">
        <f ca="1">_xludf.IFNA(VLOOKUP(Aragon!E2767,'Kilter Holds'!$P$37:$AB$662,7,0),0)</f>
        <v>#NAME?</v>
      </c>
      <c r="I2767" s="274"/>
      <c r="J2767" s="274" t="e">
        <f t="shared" ca="1" si="33"/>
        <v>#NAME?</v>
      </c>
      <c r="K2767" s="274">
        <f t="shared" si="34"/>
        <v>0</v>
      </c>
      <c r="N2767" s="274"/>
    </row>
    <row r="2768" spans="5:14" ht="13.5" customHeight="1">
      <c r="E2768" s="209" t="s">
        <v>409</v>
      </c>
      <c r="F2768" s="209" t="s">
        <v>2687</v>
      </c>
      <c r="G2768" s="410" t="str">
        <f t="shared" si="36"/>
        <v>16-16</v>
      </c>
      <c r="H2768" s="273" t="e">
        <f ca="1">_xludf.IFNA(VLOOKUP(Aragon!E2768,'Kilter Holds'!$P$37:$AB$662,8,0),0)</f>
        <v>#NAME?</v>
      </c>
      <c r="I2768" s="274"/>
      <c r="J2768" s="274" t="e">
        <f t="shared" ca="1" si="33"/>
        <v>#NAME?</v>
      </c>
      <c r="K2768" s="274">
        <f t="shared" si="34"/>
        <v>0</v>
      </c>
      <c r="N2768" s="274"/>
    </row>
    <row r="2769" spans="5:14" ht="13.5" customHeight="1">
      <c r="E2769" s="209" t="s">
        <v>409</v>
      </c>
      <c r="F2769" s="209" t="s">
        <v>2687</v>
      </c>
      <c r="G2769" s="411" t="str">
        <f t="shared" si="36"/>
        <v>13-01</v>
      </c>
      <c r="H2769" s="273" t="e">
        <f ca="1">_xludf.IFNA(VLOOKUP(Aragon!E2769,'Kilter Holds'!$P$37:$AB$662,9,0),0)</f>
        <v>#NAME?</v>
      </c>
      <c r="I2769" s="274"/>
      <c r="J2769" s="274" t="e">
        <f t="shared" ca="1" si="33"/>
        <v>#NAME?</v>
      </c>
      <c r="K2769" s="274">
        <f t="shared" si="34"/>
        <v>0</v>
      </c>
      <c r="N2769" s="274"/>
    </row>
    <row r="2770" spans="5:14" ht="13.5" customHeight="1">
      <c r="E2770" s="209" t="s">
        <v>409</v>
      </c>
      <c r="F2770" s="209" t="s">
        <v>2687</v>
      </c>
      <c r="G2770" s="413" t="str">
        <f t="shared" si="36"/>
        <v>07-13</v>
      </c>
      <c r="H2770" s="273" t="e">
        <f ca="1">_xludf.IFNA(VLOOKUP(Aragon!E2770,'Kilter Holds'!$P$37:$AB$662,10,0),0)</f>
        <v>#NAME?</v>
      </c>
      <c r="I2770" s="274"/>
      <c r="J2770" s="274" t="e">
        <f t="shared" ca="1" si="33"/>
        <v>#NAME?</v>
      </c>
      <c r="K2770" s="274">
        <f t="shared" si="34"/>
        <v>0</v>
      </c>
      <c r="N2770" s="274"/>
    </row>
    <row r="2771" spans="5:14" ht="13.5" customHeight="1">
      <c r="E2771" s="209" t="s">
        <v>409</v>
      </c>
      <c r="F2771" s="209" t="s">
        <v>2687</v>
      </c>
      <c r="G2771" s="414" t="str">
        <f t="shared" si="36"/>
        <v>11-26</v>
      </c>
      <c r="H2771" s="273" t="e">
        <f ca="1">_xludf.IFNA(VLOOKUP(Aragon!E2771,'Kilter Holds'!$P$37:$AB$662,11,0),0)</f>
        <v>#NAME?</v>
      </c>
      <c r="I2771" s="274"/>
      <c r="J2771" s="274" t="e">
        <f t="shared" ca="1" si="33"/>
        <v>#NAME?</v>
      </c>
      <c r="K2771" s="274">
        <f t="shared" si="34"/>
        <v>0</v>
      </c>
      <c r="N2771" s="274"/>
    </row>
    <row r="2772" spans="5:14" ht="13.5" customHeight="1">
      <c r="E2772" s="209" t="s">
        <v>409</v>
      </c>
      <c r="F2772" s="209" t="s">
        <v>2687</v>
      </c>
      <c r="G2772" s="415" t="str">
        <f t="shared" si="36"/>
        <v>18-01</v>
      </c>
      <c r="H2772" s="273" t="e">
        <f ca="1">_xludf.IFNA(VLOOKUP(Aragon!E2772,'Kilter Holds'!$P$37:$AB$662,12,0),0)</f>
        <v>#NAME?</v>
      </c>
      <c r="I2772" s="274"/>
      <c r="J2772" s="274" t="e">
        <f t="shared" ca="1" si="33"/>
        <v>#NAME?</v>
      </c>
      <c r="K2772" s="274">
        <f t="shared" si="34"/>
        <v>0</v>
      </c>
      <c r="N2772" s="274"/>
    </row>
    <row r="2773" spans="5:14" ht="13.5" customHeight="1">
      <c r="E2773" s="209" t="s">
        <v>409</v>
      </c>
      <c r="F2773" s="209" t="s">
        <v>2687</v>
      </c>
      <c r="G2773" s="416" t="str">
        <f t="shared" si="36"/>
        <v>Color Code</v>
      </c>
      <c r="H2773" s="273" t="e">
        <f ca="1">_xludf.IFNA(VLOOKUP(Aragon!E2773,'Kilter Holds'!$P$37:$AB$662,13,0),0)</f>
        <v>#NAME?</v>
      </c>
      <c r="I2773" s="274"/>
      <c r="J2773" s="274" t="e">
        <f t="shared" ca="1" si="33"/>
        <v>#NAME?</v>
      </c>
      <c r="K2773" s="274">
        <f t="shared" si="34"/>
        <v>0</v>
      </c>
      <c r="N2773" s="274"/>
    </row>
    <row r="2774" spans="5:14" ht="13.5" customHeight="1">
      <c r="E2774" s="209" t="s">
        <v>435</v>
      </c>
      <c r="F2774" s="209" t="s">
        <v>2688</v>
      </c>
      <c r="G2774" s="406" t="str">
        <f t="shared" si="36"/>
        <v>11-12</v>
      </c>
      <c r="H2774" s="273" t="e">
        <f ca="1">_xludf.IFNA(VLOOKUP(Aragon!E2774,'Kilter Holds'!$P$37:$AB$662,5,0),0)</f>
        <v>#NAME?</v>
      </c>
      <c r="I2774" s="274"/>
      <c r="J2774" s="274" t="e">
        <f t="shared" ca="1" si="33"/>
        <v>#NAME?</v>
      </c>
      <c r="K2774" s="274">
        <f t="shared" si="34"/>
        <v>0</v>
      </c>
      <c r="N2774" s="274"/>
    </row>
    <row r="2775" spans="5:14" ht="13.5" customHeight="1">
      <c r="E2775" s="209" t="s">
        <v>435</v>
      </c>
      <c r="F2775" s="209" t="s">
        <v>2688</v>
      </c>
      <c r="G2775" s="408" t="str">
        <f t="shared" si="36"/>
        <v>14-01</v>
      </c>
      <c r="H2775" s="273" t="e">
        <f ca="1">_xludf.IFNA(VLOOKUP(Aragon!E2775,'Kilter Holds'!$P$37:$AB$662,6,0),0)</f>
        <v>#NAME?</v>
      </c>
      <c r="I2775" s="274"/>
      <c r="J2775" s="274" t="e">
        <f t="shared" ca="1" si="33"/>
        <v>#NAME?</v>
      </c>
      <c r="K2775" s="274">
        <f t="shared" si="34"/>
        <v>0</v>
      </c>
      <c r="N2775" s="274"/>
    </row>
    <row r="2776" spans="5:14" ht="13.5" customHeight="1">
      <c r="E2776" s="209" t="s">
        <v>435</v>
      </c>
      <c r="F2776" s="209" t="s">
        <v>2688</v>
      </c>
      <c r="G2776" s="409" t="str">
        <f t="shared" si="36"/>
        <v>15-12</v>
      </c>
      <c r="H2776" s="273" t="e">
        <f ca="1">_xludf.IFNA(VLOOKUP(Aragon!E2776,'Kilter Holds'!$P$37:$AB$662,7,0),0)</f>
        <v>#NAME?</v>
      </c>
      <c r="I2776" s="274"/>
      <c r="J2776" s="274" t="e">
        <f t="shared" ca="1" si="33"/>
        <v>#NAME?</v>
      </c>
      <c r="K2776" s="274">
        <f t="shared" si="34"/>
        <v>0</v>
      </c>
      <c r="N2776" s="274"/>
    </row>
    <row r="2777" spans="5:14" ht="13.5" customHeight="1">
      <c r="E2777" s="209" t="s">
        <v>435</v>
      </c>
      <c r="F2777" s="209" t="s">
        <v>2688</v>
      </c>
      <c r="G2777" s="410" t="str">
        <f t="shared" si="36"/>
        <v>16-16</v>
      </c>
      <c r="H2777" s="273" t="e">
        <f ca="1">_xludf.IFNA(VLOOKUP(Aragon!E2777,'Kilter Holds'!$P$37:$AB$662,8,0),0)</f>
        <v>#NAME?</v>
      </c>
      <c r="I2777" s="274"/>
      <c r="J2777" s="274" t="e">
        <f t="shared" ca="1" si="33"/>
        <v>#NAME?</v>
      </c>
      <c r="K2777" s="274">
        <f t="shared" si="34"/>
        <v>0</v>
      </c>
      <c r="N2777" s="274"/>
    </row>
    <row r="2778" spans="5:14" ht="13.5" customHeight="1">
      <c r="E2778" s="209" t="s">
        <v>435</v>
      </c>
      <c r="F2778" s="209" t="s">
        <v>2688</v>
      </c>
      <c r="G2778" s="411" t="str">
        <f t="shared" si="36"/>
        <v>13-01</v>
      </c>
      <c r="H2778" s="273" t="e">
        <f ca="1">_xludf.IFNA(VLOOKUP(Aragon!E2778,'Kilter Holds'!$P$37:$AB$662,9,0),0)</f>
        <v>#NAME?</v>
      </c>
      <c r="I2778" s="274"/>
      <c r="J2778" s="274" t="e">
        <f t="shared" ca="1" si="33"/>
        <v>#NAME?</v>
      </c>
      <c r="K2778" s="274">
        <f t="shared" si="34"/>
        <v>0</v>
      </c>
      <c r="N2778" s="274"/>
    </row>
    <row r="2779" spans="5:14" ht="13.5" customHeight="1">
      <c r="E2779" s="209" t="s">
        <v>435</v>
      </c>
      <c r="F2779" s="209" t="s">
        <v>2688</v>
      </c>
      <c r="G2779" s="413" t="str">
        <f t="shared" si="36"/>
        <v>07-13</v>
      </c>
      <c r="H2779" s="273" t="e">
        <f ca="1">_xludf.IFNA(VLOOKUP(Aragon!E2779,'Kilter Holds'!$P$37:$AB$662,10,0),0)</f>
        <v>#NAME?</v>
      </c>
      <c r="I2779" s="274"/>
      <c r="J2779" s="274" t="e">
        <f t="shared" ca="1" si="33"/>
        <v>#NAME?</v>
      </c>
      <c r="K2779" s="274">
        <f t="shared" si="34"/>
        <v>0</v>
      </c>
      <c r="N2779" s="274"/>
    </row>
    <row r="2780" spans="5:14" ht="13.5" customHeight="1">
      <c r="E2780" s="209" t="s">
        <v>435</v>
      </c>
      <c r="F2780" s="209" t="s">
        <v>2688</v>
      </c>
      <c r="G2780" s="414" t="str">
        <f t="shared" si="36"/>
        <v>11-26</v>
      </c>
      <c r="H2780" s="273" t="e">
        <f ca="1">_xludf.IFNA(VLOOKUP(Aragon!E2780,'Kilter Holds'!$P$37:$AB$662,11,0),0)</f>
        <v>#NAME?</v>
      </c>
      <c r="I2780" s="274"/>
      <c r="J2780" s="274" t="e">
        <f t="shared" ca="1" si="33"/>
        <v>#NAME?</v>
      </c>
      <c r="K2780" s="274">
        <f t="shared" si="34"/>
        <v>0</v>
      </c>
      <c r="N2780" s="274"/>
    </row>
    <row r="2781" spans="5:14" ht="13.5" customHeight="1">
      <c r="E2781" s="209" t="s">
        <v>435</v>
      </c>
      <c r="F2781" s="209" t="s">
        <v>2688</v>
      </c>
      <c r="G2781" s="415" t="str">
        <f t="shared" si="36"/>
        <v>18-01</v>
      </c>
      <c r="H2781" s="273" t="e">
        <f ca="1">_xludf.IFNA(VLOOKUP(Aragon!E2781,'Kilter Holds'!$P$37:$AB$662,12,0),0)</f>
        <v>#NAME?</v>
      </c>
      <c r="I2781" s="274"/>
      <c r="J2781" s="274" t="e">
        <f t="shared" ca="1" si="33"/>
        <v>#NAME?</v>
      </c>
      <c r="K2781" s="274">
        <f t="shared" si="34"/>
        <v>0</v>
      </c>
      <c r="N2781" s="274"/>
    </row>
    <row r="2782" spans="5:14" ht="13.5" customHeight="1">
      <c r="E2782" s="209" t="s">
        <v>435</v>
      </c>
      <c r="F2782" s="209" t="s">
        <v>2688</v>
      </c>
      <c r="G2782" s="416" t="str">
        <f t="shared" si="36"/>
        <v>Color Code</v>
      </c>
      <c r="H2782" s="273" t="e">
        <f ca="1">_xludf.IFNA(VLOOKUP(Aragon!E2782,'Kilter Holds'!$P$37:$AB$662,13,0),0)</f>
        <v>#NAME?</v>
      </c>
      <c r="I2782" s="274"/>
      <c r="J2782" s="274" t="e">
        <f t="shared" ca="1" si="33"/>
        <v>#NAME?</v>
      </c>
      <c r="K2782" s="274">
        <f t="shared" si="34"/>
        <v>0</v>
      </c>
      <c r="N2782" s="274"/>
    </row>
    <row r="2783" spans="5:14" ht="13.5" customHeight="1">
      <c r="E2783" s="209" t="s">
        <v>411</v>
      </c>
      <c r="F2783" s="209" t="s">
        <v>2689</v>
      </c>
      <c r="G2783" s="406" t="str">
        <f t="shared" si="36"/>
        <v>11-12</v>
      </c>
      <c r="H2783" s="273" t="e">
        <f ca="1">_xludf.IFNA(VLOOKUP(Aragon!E2783,'Kilter Holds'!$P$37:$AB$662,5,0),0)</f>
        <v>#NAME?</v>
      </c>
      <c r="I2783" s="274"/>
      <c r="J2783" s="274" t="e">
        <f t="shared" ca="1" si="33"/>
        <v>#NAME?</v>
      </c>
      <c r="K2783" s="274">
        <f t="shared" si="34"/>
        <v>0</v>
      </c>
      <c r="N2783" s="274"/>
    </row>
    <row r="2784" spans="5:14" ht="13.5" customHeight="1">
      <c r="E2784" s="209" t="s">
        <v>411</v>
      </c>
      <c r="F2784" s="209" t="s">
        <v>2689</v>
      </c>
      <c r="G2784" s="408" t="str">
        <f t="shared" si="36"/>
        <v>14-01</v>
      </c>
      <c r="H2784" s="273" t="e">
        <f ca="1">_xludf.IFNA(VLOOKUP(Aragon!E2784,'Kilter Holds'!$P$37:$AB$662,6,0),0)</f>
        <v>#NAME?</v>
      </c>
      <c r="I2784" s="274"/>
      <c r="J2784" s="274" t="e">
        <f t="shared" ca="1" si="33"/>
        <v>#NAME?</v>
      </c>
      <c r="K2784" s="274">
        <f t="shared" si="34"/>
        <v>0</v>
      </c>
      <c r="N2784" s="274"/>
    </row>
    <row r="2785" spans="5:14" ht="13.5" customHeight="1">
      <c r="E2785" s="209" t="s">
        <v>411</v>
      </c>
      <c r="F2785" s="209" t="s">
        <v>2689</v>
      </c>
      <c r="G2785" s="409" t="str">
        <f t="shared" si="36"/>
        <v>15-12</v>
      </c>
      <c r="H2785" s="273" t="e">
        <f ca="1">_xludf.IFNA(VLOOKUP(Aragon!E2785,'Kilter Holds'!$P$37:$AB$662,7,0),0)</f>
        <v>#NAME?</v>
      </c>
      <c r="I2785" s="274"/>
      <c r="J2785" s="274" t="e">
        <f t="shared" ca="1" si="33"/>
        <v>#NAME?</v>
      </c>
      <c r="K2785" s="274">
        <f t="shared" si="34"/>
        <v>0</v>
      </c>
      <c r="N2785" s="274"/>
    </row>
    <row r="2786" spans="5:14" ht="13.5" customHeight="1">
      <c r="E2786" s="209" t="s">
        <v>411</v>
      </c>
      <c r="F2786" s="209" t="s">
        <v>2689</v>
      </c>
      <c r="G2786" s="410" t="str">
        <f t="shared" si="36"/>
        <v>16-16</v>
      </c>
      <c r="H2786" s="273" t="e">
        <f ca="1">_xludf.IFNA(VLOOKUP(Aragon!E2786,'Kilter Holds'!$P$37:$AB$662,8,0),0)</f>
        <v>#NAME?</v>
      </c>
      <c r="I2786" s="274"/>
      <c r="J2786" s="274" t="e">
        <f t="shared" ca="1" si="33"/>
        <v>#NAME?</v>
      </c>
      <c r="K2786" s="274">
        <f t="shared" si="34"/>
        <v>0</v>
      </c>
      <c r="N2786" s="274"/>
    </row>
    <row r="2787" spans="5:14" ht="13.5" customHeight="1">
      <c r="E2787" s="209" t="s">
        <v>411</v>
      </c>
      <c r="F2787" s="209" t="s">
        <v>2689</v>
      </c>
      <c r="G2787" s="411" t="str">
        <f t="shared" si="36"/>
        <v>13-01</v>
      </c>
      <c r="H2787" s="273" t="e">
        <f ca="1">_xludf.IFNA(VLOOKUP(Aragon!E2787,'Kilter Holds'!$P$37:$AB$662,9,0),0)</f>
        <v>#NAME?</v>
      </c>
      <c r="I2787" s="274"/>
      <c r="J2787" s="274" t="e">
        <f t="shared" ca="1" si="33"/>
        <v>#NAME?</v>
      </c>
      <c r="K2787" s="274">
        <f t="shared" si="34"/>
        <v>0</v>
      </c>
      <c r="N2787" s="274"/>
    </row>
    <row r="2788" spans="5:14" ht="13.5" customHeight="1">
      <c r="E2788" s="209" t="s">
        <v>411</v>
      </c>
      <c r="F2788" s="209" t="s">
        <v>2689</v>
      </c>
      <c r="G2788" s="413" t="str">
        <f t="shared" si="36"/>
        <v>07-13</v>
      </c>
      <c r="H2788" s="273" t="e">
        <f ca="1">_xludf.IFNA(VLOOKUP(Aragon!E2788,'Kilter Holds'!$P$37:$AB$662,10,0),0)</f>
        <v>#NAME?</v>
      </c>
      <c r="I2788" s="274"/>
      <c r="J2788" s="274" t="e">
        <f t="shared" ca="1" si="33"/>
        <v>#NAME?</v>
      </c>
      <c r="K2788" s="274">
        <f t="shared" si="34"/>
        <v>0</v>
      </c>
      <c r="N2788" s="274"/>
    </row>
    <row r="2789" spans="5:14" ht="13.5" customHeight="1">
      <c r="E2789" s="209" t="s">
        <v>411</v>
      </c>
      <c r="F2789" s="209" t="s">
        <v>2689</v>
      </c>
      <c r="G2789" s="414" t="str">
        <f t="shared" si="36"/>
        <v>11-26</v>
      </c>
      <c r="H2789" s="273" t="e">
        <f ca="1">_xludf.IFNA(VLOOKUP(Aragon!E2789,'Kilter Holds'!$P$37:$AB$662,11,0),0)</f>
        <v>#NAME?</v>
      </c>
      <c r="I2789" s="274"/>
      <c r="J2789" s="274" t="e">
        <f t="shared" ca="1" si="33"/>
        <v>#NAME?</v>
      </c>
      <c r="K2789" s="274">
        <f t="shared" si="34"/>
        <v>0</v>
      </c>
      <c r="N2789" s="274"/>
    </row>
    <row r="2790" spans="5:14" ht="13.5" customHeight="1">
      <c r="E2790" s="209" t="s">
        <v>411</v>
      </c>
      <c r="F2790" s="209" t="s">
        <v>2689</v>
      </c>
      <c r="G2790" s="415" t="str">
        <f t="shared" si="36"/>
        <v>18-01</v>
      </c>
      <c r="H2790" s="273" t="e">
        <f ca="1">_xludf.IFNA(VLOOKUP(Aragon!E2790,'Kilter Holds'!$P$37:$AB$662,12,0),0)</f>
        <v>#NAME?</v>
      </c>
      <c r="I2790" s="274"/>
      <c r="J2790" s="274" t="e">
        <f t="shared" ca="1" si="33"/>
        <v>#NAME?</v>
      </c>
      <c r="K2790" s="274">
        <f t="shared" si="34"/>
        <v>0</v>
      </c>
      <c r="N2790" s="274"/>
    </row>
    <row r="2791" spans="5:14" ht="13.5" customHeight="1">
      <c r="E2791" s="209" t="s">
        <v>411</v>
      </c>
      <c r="F2791" s="209" t="s">
        <v>2689</v>
      </c>
      <c r="G2791" s="416" t="str">
        <f t="shared" si="36"/>
        <v>Color Code</v>
      </c>
      <c r="H2791" s="273" t="e">
        <f ca="1">_xludf.IFNA(VLOOKUP(Aragon!E2791,'Kilter Holds'!$P$37:$AB$662,13,0),0)</f>
        <v>#NAME?</v>
      </c>
      <c r="I2791" s="274"/>
      <c r="J2791" s="274" t="e">
        <f t="shared" ca="1" si="33"/>
        <v>#NAME?</v>
      </c>
      <c r="K2791" s="274">
        <f t="shared" si="34"/>
        <v>0</v>
      </c>
      <c r="N2791" s="274"/>
    </row>
    <row r="2792" spans="5:14" ht="13.5" customHeight="1">
      <c r="E2792" s="209" t="s">
        <v>427</v>
      </c>
      <c r="F2792" s="209" t="s">
        <v>2690</v>
      </c>
      <c r="G2792" s="406" t="str">
        <f t="shared" si="36"/>
        <v>11-12</v>
      </c>
      <c r="H2792" s="273" t="e">
        <f ca="1">_xludf.IFNA(VLOOKUP(Aragon!E2792,'Kilter Holds'!$P$37:$AB$662,5,0),0)</f>
        <v>#NAME?</v>
      </c>
      <c r="I2792" s="274"/>
      <c r="J2792" s="274" t="e">
        <f t="shared" ca="1" si="33"/>
        <v>#NAME?</v>
      </c>
      <c r="K2792" s="274">
        <f t="shared" si="34"/>
        <v>0</v>
      </c>
      <c r="N2792" s="274"/>
    </row>
    <row r="2793" spans="5:14" ht="13.5" customHeight="1">
      <c r="E2793" s="209" t="s">
        <v>427</v>
      </c>
      <c r="F2793" s="209" t="s">
        <v>2690</v>
      </c>
      <c r="G2793" s="408" t="str">
        <f t="shared" si="36"/>
        <v>14-01</v>
      </c>
      <c r="H2793" s="273" t="e">
        <f ca="1">_xludf.IFNA(VLOOKUP(Aragon!E2793,'Kilter Holds'!$P$37:$AB$662,6,0),0)</f>
        <v>#NAME?</v>
      </c>
      <c r="I2793" s="274"/>
      <c r="J2793" s="274" t="e">
        <f t="shared" ca="1" si="33"/>
        <v>#NAME?</v>
      </c>
      <c r="K2793" s="274">
        <f t="shared" si="34"/>
        <v>0</v>
      </c>
      <c r="N2793" s="274"/>
    </row>
    <row r="2794" spans="5:14" ht="13.5" customHeight="1">
      <c r="E2794" s="209" t="s">
        <v>427</v>
      </c>
      <c r="F2794" s="209" t="s">
        <v>2690</v>
      </c>
      <c r="G2794" s="409" t="str">
        <f t="shared" si="36"/>
        <v>15-12</v>
      </c>
      <c r="H2794" s="273" t="e">
        <f ca="1">_xludf.IFNA(VLOOKUP(Aragon!E2794,'Kilter Holds'!$P$37:$AB$662,7,0),0)</f>
        <v>#NAME?</v>
      </c>
      <c r="I2794" s="274"/>
      <c r="J2794" s="274" t="e">
        <f t="shared" ca="1" si="33"/>
        <v>#NAME?</v>
      </c>
      <c r="K2794" s="274">
        <f t="shared" si="34"/>
        <v>0</v>
      </c>
      <c r="N2794" s="274"/>
    </row>
    <row r="2795" spans="5:14" ht="13.5" customHeight="1">
      <c r="E2795" s="209" t="s">
        <v>427</v>
      </c>
      <c r="F2795" s="209" t="s">
        <v>2690</v>
      </c>
      <c r="G2795" s="410" t="str">
        <f t="shared" si="36"/>
        <v>16-16</v>
      </c>
      <c r="H2795" s="273" t="e">
        <f ca="1">_xludf.IFNA(VLOOKUP(Aragon!E2795,'Kilter Holds'!$P$37:$AB$662,8,0),0)</f>
        <v>#NAME?</v>
      </c>
      <c r="I2795" s="274"/>
      <c r="J2795" s="274" t="e">
        <f t="shared" ca="1" si="33"/>
        <v>#NAME?</v>
      </c>
      <c r="K2795" s="274">
        <f t="shared" si="34"/>
        <v>0</v>
      </c>
      <c r="N2795" s="274"/>
    </row>
    <row r="2796" spans="5:14" ht="13.5" customHeight="1">
      <c r="E2796" s="209" t="s">
        <v>427</v>
      </c>
      <c r="F2796" s="209" t="s">
        <v>2690</v>
      </c>
      <c r="G2796" s="411" t="str">
        <f t="shared" si="36"/>
        <v>13-01</v>
      </c>
      <c r="H2796" s="273" t="e">
        <f ca="1">_xludf.IFNA(VLOOKUP(Aragon!E2796,'Kilter Holds'!$P$37:$AB$662,9,0),0)</f>
        <v>#NAME?</v>
      </c>
      <c r="I2796" s="274"/>
      <c r="J2796" s="274" t="e">
        <f t="shared" ca="1" si="33"/>
        <v>#NAME?</v>
      </c>
      <c r="K2796" s="274">
        <f t="shared" si="34"/>
        <v>0</v>
      </c>
      <c r="N2796" s="274"/>
    </row>
    <row r="2797" spans="5:14" ht="13.5" customHeight="1">
      <c r="E2797" s="209" t="s">
        <v>427</v>
      </c>
      <c r="F2797" s="209" t="s">
        <v>2690</v>
      </c>
      <c r="G2797" s="413" t="str">
        <f t="shared" si="36"/>
        <v>07-13</v>
      </c>
      <c r="H2797" s="273" t="e">
        <f ca="1">_xludf.IFNA(VLOOKUP(Aragon!E2797,'Kilter Holds'!$P$37:$AB$662,10,0),0)</f>
        <v>#NAME?</v>
      </c>
      <c r="I2797" s="274"/>
      <c r="J2797" s="274" t="e">
        <f t="shared" ca="1" si="33"/>
        <v>#NAME?</v>
      </c>
      <c r="K2797" s="274">
        <f t="shared" si="34"/>
        <v>0</v>
      </c>
      <c r="N2797" s="274"/>
    </row>
    <row r="2798" spans="5:14" ht="13.5" customHeight="1">
      <c r="E2798" s="209" t="s">
        <v>427</v>
      </c>
      <c r="F2798" s="209" t="s">
        <v>2690</v>
      </c>
      <c r="G2798" s="414" t="str">
        <f t="shared" si="36"/>
        <v>11-26</v>
      </c>
      <c r="H2798" s="273" t="e">
        <f ca="1">_xludf.IFNA(VLOOKUP(Aragon!E2798,'Kilter Holds'!$P$37:$AB$662,11,0),0)</f>
        <v>#NAME?</v>
      </c>
      <c r="I2798" s="274"/>
      <c r="J2798" s="274" t="e">
        <f t="shared" ca="1" si="33"/>
        <v>#NAME?</v>
      </c>
      <c r="K2798" s="274">
        <f t="shared" si="34"/>
        <v>0</v>
      </c>
      <c r="N2798" s="274"/>
    </row>
    <row r="2799" spans="5:14" ht="13.5" customHeight="1">
      <c r="E2799" s="209" t="s">
        <v>427</v>
      </c>
      <c r="F2799" s="209" t="s">
        <v>2690</v>
      </c>
      <c r="G2799" s="415" t="str">
        <f t="shared" si="36"/>
        <v>18-01</v>
      </c>
      <c r="H2799" s="273" t="e">
        <f ca="1">_xludf.IFNA(VLOOKUP(Aragon!E2799,'Kilter Holds'!$P$37:$AB$662,12,0),0)</f>
        <v>#NAME?</v>
      </c>
      <c r="I2799" s="274"/>
      <c r="J2799" s="274" t="e">
        <f t="shared" ca="1" si="33"/>
        <v>#NAME?</v>
      </c>
      <c r="K2799" s="274">
        <f t="shared" si="34"/>
        <v>0</v>
      </c>
      <c r="N2799" s="274"/>
    </row>
    <row r="2800" spans="5:14" ht="13.5" customHeight="1">
      <c r="E2800" s="209" t="s">
        <v>427</v>
      </c>
      <c r="F2800" s="209" t="s">
        <v>2690</v>
      </c>
      <c r="G2800" s="416" t="str">
        <f t="shared" si="36"/>
        <v>Color Code</v>
      </c>
      <c r="H2800" s="273" t="e">
        <f ca="1">_xludf.IFNA(VLOOKUP(Aragon!E2800,'Kilter Holds'!$P$37:$AB$662,13,0),0)</f>
        <v>#NAME?</v>
      </c>
      <c r="I2800" s="274"/>
      <c r="J2800" s="274" t="e">
        <f t="shared" ca="1" si="33"/>
        <v>#NAME?</v>
      </c>
      <c r="K2800" s="274">
        <f t="shared" si="34"/>
        <v>0</v>
      </c>
      <c r="N2800" s="274"/>
    </row>
    <row r="2801" spans="5:14" ht="13.5" customHeight="1">
      <c r="E2801" s="209" t="s">
        <v>413</v>
      </c>
      <c r="F2801" s="209" t="s">
        <v>2691</v>
      </c>
      <c r="G2801" s="406" t="str">
        <f t="shared" si="36"/>
        <v>11-12</v>
      </c>
      <c r="H2801" s="273" t="e">
        <f ca="1">_xludf.IFNA(VLOOKUP(Aragon!E2801,'Kilter Holds'!$P$37:$AB$662,5,0),0)</f>
        <v>#NAME?</v>
      </c>
      <c r="I2801" s="274"/>
      <c r="J2801" s="274" t="e">
        <f t="shared" ca="1" si="33"/>
        <v>#NAME?</v>
      </c>
      <c r="K2801" s="274">
        <f t="shared" si="34"/>
        <v>0</v>
      </c>
      <c r="N2801" s="274"/>
    </row>
    <row r="2802" spans="5:14" ht="13.5" customHeight="1">
      <c r="E2802" s="209" t="s">
        <v>413</v>
      </c>
      <c r="F2802" s="209" t="s">
        <v>2691</v>
      </c>
      <c r="G2802" s="408" t="str">
        <f t="shared" si="36"/>
        <v>14-01</v>
      </c>
      <c r="H2802" s="273" t="e">
        <f ca="1">_xludf.IFNA(VLOOKUP(Aragon!E2802,'Kilter Holds'!$P$37:$AB$662,6,0),0)</f>
        <v>#NAME?</v>
      </c>
      <c r="I2802" s="274"/>
      <c r="J2802" s="274" t="e">
        <f t="shared" ca="1" si="33"/>
        <v>#NAME?</v>
      </c>
      <c r="K2802" s="274">
        <f t="shared" si="34"/>
        <v>0</v>
      </c>
      <c r="N2802" s="274"/>
    </row>
    <row r="2803" spans="5:14" ht="13.5" customHeight="1">
      <c r="E2803" s="209" t="s">
        <v>413</v>
      </c>
      <c r="F2803" s="209" t="s">
        <v>2691</v>
      </c>
      <c r="G2803" s="409" t="str">
        <f t="shared" si="36"/>
        <v>15-12</v>
      </c>
      <c r="H2803" s="273" t="e">
        <f ca="1">_xludf.IFNA(VLOOKUP(Aragon!E2803,'Kilter Holds'!$P$37:$AB$662,7,0),0)</f>
        <v>#NAME?</v>
      </c>
      <c r="I2803" s="274"/>
      <c r="J2803" s="274" t="e">
        <f t="shared" ca="1" si="33"/>
        <v>#NAME?</v>
      </c>
      <c r="K2803" s="274">
        <f t="shared" si="34"/>
        <v>0</v>
      </c>
      <c r="N2803" s="274"/>
    </row>
    <row r="2804" spans="5:14" ht="13.5" customHeight="1">
      <c r="E2804" s="209" t="s">
        <v>413</v>
      </c>
      <c r="F2804" s="209" t="s">
        <v>2691</v>
      </c>
      <c r="G2804" s="410" t="str">
        <f t="shared" si="36"/>
        <v>16-16</v>
      </c>
      <c r="H2804" s="273" t="e">
        <f ca="1">_xludf.IFNA(VLOOKUP(Aragon!E2804,'Kilter Holds'!$P$37:$AB$662,8,0),0)</f>
        <v>#NAME?</v>
      </c>
      <c r="I2804" s="274"/>
      <c r="J2804" s="274" t="e">
        <f t="shared" ca="1" si="33"/>
        <v>#NAME?</v>
      </c>
      <c r="K2804" s="274">
        <f t="shared" si="34"/>
        <v>0</v>
      </c>
      <c r="N2804" s="274"/>
    </row>
    <row r="2805" spans="5:14" ht="13.5" customHeight="1">
      <c r="E2805" s="209" t="s">
        <v>413</v>
      </c>
      <c r="F2805" s="209" t="s">
        <v>2691</v>
      </c>
      <c r="G2805" s="411" t="str">
        <f t="shared" si="36"/>
        <v>13-01</v>
      </c>
      <c r="H2805" s="273" t="e">
        <f ca="1">_xludf.IFNA(VLOOKUP(Aragon!E2805,'Kilter Holds'!$P$37:$AB$662,9,0),0)</f>
        <v>#NAME?</v>
      </c>
      <c r="I2805" s="274"/>
      <c r="J2805" s="274" t="e">
        <f t="shared" ca="1" si="33"/>
        <v>#NAME?</v>
      </c>
      <c r="K2805" s="274">
        <f t="shared" si="34"/>
        <v>0</v>
      </c>
      <c r="N2805" s="274"/>
    </row>
    <row r="2806" spans="5:14" ht="13.5" customHeight="1">
      <c r="E2806" s="209" t="s">
        <v>413</v>
      </c>
      <c r="F2806" s="209" t="s">
        <v>2691</v>
      </c>
      <c r="G2806" s="413" t="str">
        <f t="shared" si="36"/>
        <v>07-13</v>
      </c>
      <c r="H2806" s="273" t="e">
        <f ca="1">_xludf.IFNA(VLOOKUP(Aragon!E2806,'Kilter Holds'!$P$37:$AB$662,10,0),0)</f>
        <v>#NAME?</v>
      </c>
      <c r="I2806" s="274"/>
      <c r="J2806" s="274" t="e">
        <f t="shared" ca="1" si="33"/>
        <v>#NAME?</v>
      </c>
      <c r="K2806" s="274">
        <f t="shared" si="34"/>
        <v>0</v>
      </c>
      <c r="N2806" s="274"/>
    </row>
    <row r="2807" spans="5:14" ht="13.5" customHeight="1">
      <c r="E2807" s="209" t="s">
        <v>413</v>
      </c>
      <c r="F2807" s="209" t="s">
        <v>2691</v>
      </c>
      <c r="G2807" s="414" t="str">
        <f t="shared" si="36"/>
        <v>11-26</v>
      </c>
      <c r="H2807" s="273" t="e">
        <f ca="1">_xludf.IFNA(VLOOKUP(Aragon!E2807,'Kilter Holds'!$P$37:$AB$662,11,0),0)</f>
        <v>#NAME?</v>
      </c>
      <c r="I2807" s="274"/>
      <c r="J2807" s="274" t="e">
        <f t="shared" ref="J2807:J3061" ca="1" si="37">H2807*I2807</f>
        <v>#NAME?</v>
      </c>
      <c r="K2807" s="274">
        <f t="shared" ref="K2807:K3061" si="38">IF($V$11="Y",J2807*0.05,0)</f>
        <v>0</v>
      </c>
      <c r="N2807" s="274"/>
    </row>
    <row r="2808" spans="5:14" ht="13.5" customHeight="1">
      <c r="E2808" s="209" t="s">
        <v>413</v>
      </c>
      <c r="F2808" s="209" t="s">
        <v>2691</v>
      </c>
      <c r="G2808" s="415" t="str">
        <f t="shared" si="36"/>
        <v>18-01</v>
      </c>
      <c r="H2808" s="273" t="e">
        <f ca="1">_xludf.IFNA(VLOOKUP(Aragon!E2808,'Kilter Holds'!$P$37:$AB$662,12,0),0)</f>
        <v>#NAME?</v>
      </c>
      <c r="I2808" s="274"/>
      <c r="J2808" s="274" t="e">
        <f t="shared" ca="1" si="37"/>
        <v>#NAME?</v>
      </c>
      <c r="K2808" s="274">
        <f t="shared" si="38"/>
        <v>0</v>
      </c>
      <c r="N2808" s="274"/>
    </row>
    <row r="2809" spans="5:14" ht="13.5" customHeight="1">
      <c r="E2809" s="209" t="s">
        <v>413</v>
      </c>
      <c r="F2809" s="209" t="s">
        <v>2691</v>
      </c>
      <c r="G2809" s="416" t="str">
        <f t="shared" si="36"/>
        <v>Color Code</v>
      </c>
      <c r="H2809" s="273" t="e">
        <f ca="1">_xludf.IFNA(VLOOKUP(Aragon!E2809,'Kilter Holds'!$P$37:$AB$662,13,0),0)</f>
        <v>#NAME?</v>
      </c>
      <c r="I2809" s="274"/>
      <c r="J2809" s="274" t="e">
        <f t="shared" ca="1" si="37"/>
        <v>#NAME?</v>
      </c>
      <c r="K2809" s="274">
        <f t="shared" si="38"/>
        <v>0</v>
      </c>
      <c r="N2809" s="274"/>
    </row>
    <row r="2810" spans="5:14" ht="13.5" customHeight="1">
      <c r="E2810" s="209" t="s">
        <v>1182</v>
      </c>
      <c r="F2810" s="209" t="s">
        <v>2692</v>
      </c>
      <c r="G2810" s="406" t="str">
        <f t="shared" si="36"/>
        <v>11-12</v>
      </c>
      <c r="H2810" s="273" t="e">
        <f ca="1">_xludf.IFNA(VLOOKUP(Aragon!E2810,'Kilter Holds'!$P$37:$AB$662,5,0),0)</f>
        <v>#NAME?</v>
      </c>
      <c r="I2810" s="274"/>
      <c r="J2810" s="274" t="e">
        <f t="shared" ca="1" si="37"/>
        <v>#NAME?</v>
      </c>
      <c r="K2810" s="274">
        <f t="shared" si="38"/>
        <v>0</v>
      </c>
      <c r="N2810" s="274"/>
    </row>
    <row r="2811" spans="5:14" ht="13.5" customHeight="1">
      <c r="E2811" s="209" t="s">
        <v>1182</v>
      </c>
      <c r="F2811" s="209" t="s">
        <v>2692</v>
      </c>
      <c r="G2811" s="408" t="str">
        <f t="shared" si="36"/>
        <v>14-01</v>
      </c>
      <c r="H2811" s="273" t="e">
        <f ca="1">_xludf.IFNA(VLOOKUP(Aragon!E2811,'Kilter Holds'!$P$37:$AB$662,6,0),0)</f>
        <v>#NAME?</v>
      </c>
      <c r="I2811" s="274"/>
      <c r="J2811" s="274" t="e">
        <f t="shared" ca="1" si="37"/>
        <v>#NAME?</v>
      </c>
      <c r="K2811" s="274">
        <f t="shared" si="38"/>
        <v>0</v>
      </c>
      <c r="N2811" s="274"/>
    </row>
    <row r="2812" spans="5:14" ht="13.5" customHeight="1">
      <c r="E2812" s="209" t="s">
        <v>1182</v>
      </c>
      <c r="F2812" s="209" t="s">
        <v>2692</v>
      </c>
      <c r="G2812" s="409" t="str">
        <f t="shared" si="36"/>
        <v>15-12</v>
      </c>
      <c r="H2812" s="273" t="e">
        <f ca="1">_xludf.IFNA(VLOOKUP(Aragon!E2812,'Kilter Holds'!$P$37:$AB$662,7,0),0)</f>
        <v>#NAME?</v>
      </c>
      <c r="I2812" s="274"/>
      <c r="J2812" s="274" t="e">
        <f t="shared" ca="1" si="37"/>
        <v>#NAME?</v>
      </c>
      <c r="K2812" s="274">
        <f t="shared" si="38"/>
        <v>0</v>
      </c>
      <c r="N2812" s="274"/>
    </row>
    <row r="2813" spans="5:14" ht="13.5" customHeight="1">
      <c r="E2813" s="209" t="s">
        <v>1182</v>
      </c>
      <c r="F2813" s="209" t="s">
        <v>2692</v>
      </c>
      <c r="G2813" s="410" t="str">
        <f t="shared" si="36"/>
        <v>16-16</v>
      </c>
      <c r="H2813" s="273" t="e">
        <f ca="1">_xludf.IFNA(VLOOKUP(Aragon!E2813,'Kilter Holds'!$P$37:$AB$662,8,0),0)</f>
        <v>#NAME?</v>
      </c>
      <c r="I2813" s="274"/>
      <c r="J2813" s="274" t="e">
        <f t="shared" ca="1" si="37"/>
        <v>#NAME?</v>
      </c>
      <c r="K2813" s="274">
        <f t="shared" si="38"/>
        <v>0</v>
      </c>
      <c r="N2813" s="274"/>
    </row>
    <row r="2814" spans="5:14" ht="13.5" customHeight="1">
      <c r="E2814" s="209" t="s">
        <v>1182</v>
      </c>
      <c r="F2814" s="209" t="s">
        <v>2692</v>
      </c>
      <c r="G2814" s="411" t="str">
        <f t="shared" si="36"/>
        <v>13-01</v>
      </c>
      <c r="H2814" s="273" t="e">
        <f ca="1">_xludf.IFNA(VLOOKUP(Aragon!E2814,'Kilter Holds'!$P$37:$AB$662,9,0),0)</f>
        <v>#NAME?</v>
      </c>
      <c r="I2814" s="274"/>
      <c r="J2814" s="274" t="e">
        <f t="shared" ca="1" si="37"/>
        <v>#NAME?</v>
      </c>
      <c r="K2814" s="274">
        <f t="shared" si="38"/>
        <v>0</v>
      </c>
      <c r="N2814" s="274"/>
    </row>
    <row r="2815" spans="5:14" ht="13.5" customHeight="1">
      <c r="E2815" s="209" t="s">
        <v>1182</v>
      </c>
      <c r="F2815" s="209" t="s">
        <v>2692</v>
      </c>
      <c r="G2815" s="413" t="str">
        <f t="shared" si="36"/>
        <v>07-13</v>
      </c>
      <c r="H2815" s="273" t="e">
        <f ca="1">_xludf.IFNA(VLOOKUP(Aragon!E2815,'Kilter Holds'!$P$37:$AB$662,10,0),0)</f>
        <v>#NAME?</v>
      </c>
      <c r="I2815" s="274"/>
      <c r="J2815" s="274" t="e">
        <f t="shared" ca="1" si="37"/>
        <v>#NAME?</v>
      </c>
      <c r="K2815" s="274">
        <f t="shared" si="38"/>
        <v>0</v>
      </c>
      <c r="N2815" s="274"/>
    </row>
    <row r="2816" spans="5:14" ht="13.5" customHeight="1">
      <c r="E2816" s="209" t="s">
        <v>1182</v>
      </c>
      <c r="F2816" s="209" t="s">
        <v>2692</v>
      </c>
      <c r="G2816" s="414" t="str">
        <f t="shared" si="36"/>
        <v>11-26</v>
      </c>
      <c r="H2816" s="273" t="e">
        <f ca="1">_xludf.IFNA(VLOOKUP(Aragon!E2816,'Kilter Holds'!$P$37:$AB$662,11,0),0)</f>
        <v>#NAME?</v>
      </c>
      <c r="I2816" s="274"/>
      <c r="J2816" s="274" t="e">
        <f t="shared" ca="1" si="37"/>
        <v>#NAME?</v>
      </c>
      <c r="K2816" s="274">
        <f t="shared" si="38"/>
        <v>0</v>
      </c>
      <c r="N2816" s="274"/>
    </row>
    <row r="2817" spans="5:14" ht="13.5" customHeight="1">
      <c r="E2817" s="209" t="s">
        <v>1182</v>
      </c>
      <c r="F2817" s="209" t="s">
        <v>2692</v>
      </c>
      <c r="G2817" s="415" t="str">
        <f t="shared" si="36"/>
        <v>18-01</v>
      </c>
      <c r="H2817" s="273" t="e">
        <f ca="1">_xludf.IFNA(VLOOKUP(Aragon!E2817,'Kilter Holds'!$P$37:$AB$662,12,0),0)</f>
        <v>#NAME?</v>
      </c>
      <c r="I2817" s="274"/>
      <c r="J2817" s="274" t="e">
        <f t="shared" ca="1" si="37"/>
        <v>#NAME?</v>
      </c>
      <c r="K2817" s="274">
        <f t="shared" si="38"/>
        <v>0</v>
      </c>
      <c r="N2817" s="274"/>
    </row>
    <row r="2818" spans="5:14" ht="13.5" customHeight="1">
      <c r="E2818" s="209" t="s">
        <v>1182</v>
      </c>
      <c r="F2818" s="209" t="s">
        <v>2692</v>
      </c>
      <c r="G2818" s="416" t="str">
        <f t="shared" si="36"/>
        <v>Color Code</v>
      </c>
      <c r="H2818" s="273" t="e">
        <f ca="1">_xludf.IFNA(VLOOKUP(Aragon!E2818,'Kilter Holds'!$P$37:$AB$662,13,0),0)</f>
        <v>#NAME?</v>
      </c>
      <c r="I2818" s="274"/>
      <c r="J2818" s="274" t="e">
        <f t="shared" ca="1" si="37"/>
        <v>#NAME?</v>
      </c>
      <c r="K2818" s="274">
        <f t="shared" si="38"/>
        <v>0</v>
      </c>
      <c r="N2818" s="274"/>
    </row>
    <row r="2819" spans="5:14" ht="13.5" customHeight="1">
      <c r="E2819" s="209" t="s">
        <v>1184</v>
      </c>
      <c r="F2819" s="209" t="s">
        <v>2693</v>
      </c>
      <c r="G2819" s="406" t="str">
        <f t="shared" si="36"/>
        <v>11-12</v>
      </c>
      <c r="H2819" s="273" t="e">
        <f ca="1">_xludf.IFNA(VLOOKUP(Aragon!E2819,'Kilter Holds'!$P$37:$AB$662,5,0),0)</f>
        <v>#NAME?</v>
      </c>
      <c r="I2819" s="274"/>
      <c r="J2819" s="274" t="e">
        <f t="shared" ca="1" si="37"/>
        <v>#NAME?</v>
      </c>
      <c r="K2819" s="274">
        <f t="shared" si="38"/>
        <v>0</v>
      </c>
      <c r="N2819" s="274"/>
    </row>
    <row r="2820" spans="5:14" ht="13.5" customHeight="1">
      <c r="E2820" s="209" t="s">
        <v>1184</v>
      </c>
      <c r="F2820" s="209" t="s">
        <v>2693</v>
      </c>
      <c r="G2820" s="408" t="str">
        <f t="shared" si="36"/>
        <v>14-01</v>
      </c>
      <c r="H2820" s="273" t="e">
        <f ca="1">_xludf.IFNA(VLOOKUP(Aragon!E2820,'Kilter Holds'!$P$37:$AB$662,6,0),0)</f>
        <v>#NAME?</v>
      </c>
      <c r="I2820" s="274"/>
      <c r="J2820" s="274" t="e">
        <f t="shared" ca="1" si="37"/>
        <v>#NAME?</v>
      </c>
      <c r="K2820" s="274">
        <f t="shared" si="38"/>
        <v>0</v>
      </c>
      <c r="N2820" s="274"/>
    </row>
    <row r="2821" spans="5:14" ht="13.5" customHeight="1">
      <c r="E2821" s="209" t="s">
        <v>1184</v>
      </c>
      <c r="F2821" s="209" t="s">
        <v>2693</v>
      </c>
      <c r="G2821" s="409" t="str">
        <f t="shared" si="36"/>
        <v>15-12</v>
      </c>
      <c r="H2821" s="273" t="e">
        <f ca="1">_xludf.IFNA(VLOOKUP(Aragon!E2821,'Kilter Holds'!$P$37:$AB$662,7,0),0)</f>
        <v>#NAME?</v>
      </c>
      <c r="I2821" s="274"/>
      <c r="J2821" s="274" t="e">
        <f t="shared" ca="1" si="37"/>
        <v>#NAME?</v>
      </c>
      <c r="K2821" s="274">
        <f t="shared" si="38"/>
        <v>0</v>
      </c>
      <c r="N2821" s="274"/>
    </row>
    <row r="2822" spans="5:14" ht="13.5" customHeight="1">
      <c r="E2822" s="209" t="s">
        <v>1184</v>
      </c>
      <c r="F2822" s="209" t="s">
        <v>2693</v>
      </c>
      <c r="G2822" s="410" t="str">
        <f t="shared" si="36"/>
        <v>16-16</v>
      </c>
      <c r="H2822" s="273" t="e">
        <f ca="1">_xludf.IFNA(VLOOKUP(Aragon!E2822,'Kilter Holds'!$P$37:$AB$662,8,0),0)</f>
        <v>#NAME?</v>
      </c>
      <c r="I2822" s="274"/>
      <c r="J2822" s="274" t="e">
        <f t="shared" ca="1" si="37"/>
        <v>#NAME?</v>
      </c>
      <c r="K2822" s="274">
        <f t="shared" si="38"/>
        <v>0</v>
      </c>
      <c r="N2822" s="274"/>
    </row>
    <row r="2823" spans="5:14" ht="13.5" customHeight="1">
      <c r="E2823" s="209" t="s">
        <v>1184</v>
      </c>
      <c r="F2823" s="209" t="s">
        <v>2693</v>
      </c>
      <c r="G2823" s="411" t="str">
        <f t="shared" si="36"/>
        <v>13-01</v>
      </c>
      <c r="H2823" s="273" t="e">
        <f ca="1">_xludf.IFNA(VLOOKUP(Aragon!E2823,'Kilter Holds'!$P$37:$AB$662,9,0),0)</f>
        <v>#NAME?</v>
      </c>
      <c r="I2823" s="274"/>
      <c r="J2823" s="274" t="e">
        <f t="shared" ca="1" si="37"/>
        <v>#NAME?</v>
      </c>
      <c r="K2823" s="274">
        <f t="shared" si="38"/>
        <v>0</v>
      </c>
      <c r="N2823" s="274"/>
    </row>
    <row r="2824" spans="5:14" ht="13.5" customHeight="1">
      <c r="E2824" s="209" t="s">
        <v>1184</v>
      </c>
      <c r="F2824" s="209" t="s">
        <v>2693</v>
      </c>
      <c r="G2824" s="413" t="str">
        <f t="shared" si="36"/>
        <v>07-13</v>
      </c>
      <c r="H2824" s="273" t="e">
        <f ca="1">_xludf.IFNA(VLOOKUP(Aragon!E2824,'Kilter Holds'!$P$37:$AB$662,10,0),0)</f>
        <v>#NAME?</v>
      </c>
      <c r="I2824" s="274"/>
      <c r="J2824" s="274" t="e">
        <f t="shared" ca="1" si="37"/>
        <v>#NAME?</v>
      </c>
      <c r="K2824" s="274">
        <f t="shared" si="38"/>
        <v>0</v>
      </c>
      <c r="N2824" s="274"/>
    </row>
    <row r="2825" spans="5:14" ht="13.5" customHeight="1">
      <c r="E2825" s="209" t="s">
        <v>1184</v>
      </c>
      <c r="F2825" s="209" t="s">
        <v>2693</v>
      </c>
      <c r="G2825" s="414" t="str">
        <f t="shared" si="36"/>
        <v>11-26</v>
      </c>
      <c r="H2825" s="273" t="e">
        <f ca="1">_xludf.IFNA(VLOOKUP(Aragon!E2825,'Kilter Holds'!$P$37:$AB$662,11,0),0)</f>
        <v>#NAME?</v>
      </c>
      <c r="I2825" s="274"/>
      <c r="J2825" s="274" t="e">
        <f t="shared" ca="1" si="37"/>
        <v>#NAME?</v>
      </c>
      <c r="K2825" s="274">
        <f t="shared" si="38"/>
        <v>0</v>
      </c>
      <c r="N2825" s="274"/>
    </row>
    <row r="2826" spans="5:14" ht="13.5" customHeight="1">
      <c r="E2826" s="209" t="s">
        <v>1184</v>
      </c>
      <c r="F2826" s="209" t="s">
        <v>2693</v>
      </c>
      <c r="G2826" s="415" t="str">
        <f t="shared" si="36"/>
        <v>18-01</v>
      </c>
      <c r="H2826" s="273" t="e">
        <f ca="1">_xludf.IFNA(VLOOKUP(Aragon!E2826,'Kilter Holds'!$P$37:$AB$662,12,0),0)</f>
        <v>#NAME?</v>
      </c>
      <c r="I2826" s="274"/>
      <c r="J2826" s="274" t="e">
        <f t="shared" ca="1" si="37"/>
        <v>#NAME?</v>
      </c>
      <c r="K2826" s="274">
        <f t="shared" si="38"/>
        <v>0</v>
      </c>
      <c r="N2826" s="274"/>
    </row>
    <row r="2827" spans="5:14" ht="13.5" customHeight="1">
      <c r="E2827" s="209" t="s">
        <v>1184</v>
      </c>
      <c r="F2827" s="209" t="s">
        <v>2693</v>
      </c>
      <c r="G2827" s="416" t="str">
        <f t="shared" si="36"/>
        <v>Color Code</v>
      </c>
      <c r="H2827" s="273" t="e">
        <f ca="1">_xludf.IFNA(VLOOKUP(Aragon!E2827,'Kilter Holds'!$P$37:$AB$662,13,0),0)</f>
        <v>#NAME?</v>
      </c>
      <c r="I2827" s="274"/>
      <c r="J2827" s="274" t="e">
        <f t="shared" ca="1" si="37"/>
        <v>#NAME?</v>
      </c>
      <c r="K2827" s="274">
        <f t="shared" si="38"/>
        <v>0</v>
      </c>
      <c r="N2827" s="274"/>
    </row>
    <row r="2828" spans="5:14" ht="13.5" customHeight="1">
      <c r="E2828" s="209" t="s">
        <v>875</v>
      </c>
      <c r="F2828" s="209" t="s">
        <v>2694</v>
      </c>
      <c r="G2828" s="406" t="str">
        <f t="shared" si="36"/>
        <v>11-12</v>
      </c>
      <c r="H2828" s="273" t="e">
        <f ca="1">_xludf.IFNA(VLOOKUP(Aragon!E2828,'Kilter Holds'!$P$37:$AB$662,5,0),0)</f>
        <v>#NAME?</v>
      </c>
      <c r="I2828" s="274"/>
      <c r="J2828" s="274" t="e">
        <f t="shared" ca="1" si="37"/>
        <v>#NAME?</v>
      </c>
      <c r="K2828" s="274">
        <f t="shared" si="38"/>
        <v>0</v>
      </c>
      <c r="N2828" s="274"/>
    </row>
    <row r="2829" spans="5:14" ht="13.5" customHeight="1">
      <c r="E2829" s="209" t="s">
        <v>875</v>
      </c>
      <c r="F2829" s="209" t="s">
        <v>2694</v>
      </c>
      <c r="G2829" s="408" t="str">
        <f t="shared" si="36"/>
        <v>14-01</v>
      </c>
      <c r="H2829" s="273" t="e">
        <f ca="1">_xludf.IFNA(VLOOKUP(Aragon!E2829,'Kilter Holds'!$P$37:$AB$662,6,0),0)</f>
        <v>#NAME?</v>
      </c>
      <c r="I2829" s="274"/>
      <c r="J2829" s="274" t="e">
        <f t="shared" ca="1" si="37"/>
        <v>#NAME?</v>
      </c>
      <c r="K2829" s="274">
        <f t="shared" si="38"/>
        <v>0</v>
      </c>
      <c r="N2829" s="274"/>
    </row>
    <row r="2830" spans="5:14" ht="13.5" customHeight="1">
      <c r="E2830" s="209" t="s">
        <v>875</v>
      </c>
      <c r="F2830" s="209" t="s">
        <v>2694</v>
      </c>
      <c r="G2830" s="409" t="str">
        <f t="shared" si="36"/>
        <v>15-12</v>
      </c>
      <c r="H2830" s="273" t="e">
        <f ca="1">_xludf.IFNA(VLOOKUP(Aragon!E2830,'Kilter Holds'!$P$37:$AB$662,7,0),0)</f>
        <v>#NAME?</v>
      </c>
      <c r="I2830" s="274"/>
      <c r="J2830" s="274" t="e">
        <f t="shared" ca="1" si="37"/>
        <v>#NAME?</v>
      </c>
      <c r="K2830" s="274">
        <f t="shared" si="38"/>
        <v>0</v>
      </c>
      <c r="N2830" s="274"/>
    </row>
    <row r="2831" spans="5:14" ht="13.5" customHeight="1">
      <c r="E2831" s="209" t="s">
        <v>875</v>
      </c>
      <c r="F2831" s="209" t="s">
        <v>2694</v>
      </c>
      <c r="G2831" s="410" t="str">
        <f t="shared" si="36"/>
        <v>16-16</v>
      </c>
      <c r="H2831" s="273" t="e">
        <f ca="1">_xludf.IFNA(VLOOKUP(Aragon!E2831,'Kilter Holds'!$P$37:$AB$662,8,0),0)</f>
        <v>#NAME?</v>
      </c>
      <c r="I2831" s="274"/>
      <c r="J2831" s="274" t="e">
        <f t="shared" ca="1" si="37"/>
        <v>#NAME?</v>
      </c>
      <c r="K2831" s="274">
        <f t="shared" si="38"/>
        <v>0</v>
      </c>
      <c r="N2831" s="274"/>
    </row>
    <row r="2832" spans="5:14" ht="13.5" customHeight="1">
      <c r="E2832" s="209" t="s">
        <v>875</v>
      </c>
      <c r="F2832" s="209" t="s">
        <v>2694</v>
      </c>
      <c r="G2832" s="411" t="str">
        <f t="shared" si="36"/>
        <v>13-01</v>
      </c>
      <c r="H2832" s="273" t="e">
        <f ca="1">_xludf.IFNA(VLOOKUP(Aragon!E2832,'Kilter Holds'!$P$37:$AB$662,9,0),0)</f>
        <v>#NAME?</v>
      </c>
      <c r="I2832" s="274"/>
      <c r="J2832" s="274" t="e">
        <f t="shared" ca="1" si="37"/>
        <v>#NAME?</v>
      </c>
      <c r="K2832" s="274">
        <f t="shared" si="38"/>
        <v>0</v>
      </c>
      <c r="N2832" s="274"/>
    </row>
    <row r="2833" spans="5:14" ht="13.5" customHeight="1">
      <c r="E2833" s="209" t="s">
        <v>875</v>
      </c>
      <c r="F2833" s="209" t="s">
        <v>2694</v>
      </c>
      <c r="G2833" s="413" t="str">
        <f t="shared" si="36"/>
        <v>07-13</v>
      </c>
      <c r="H2833" s="273" t="e">
        <f ca="1">_xludf.IFNA(VLOOKUP(Aragon!E2833,'Kilter Holds'!$P$37:$AB$662,10,0),0)</f>
        <v>#NAME?</v>
      </c>
      <c r="I2833" s="274"/>
      <c r="J2833" s="274" t="e">
        <f t="shared" ca="1" si="37"/>
        <v>#NAME?</v>
      </c>
      <c r="K2833" s="274">
        <f t="shared" si="38"/>
        <v>0</v>
      </c>
      <c r="N2833" s="274"/>
    </row>
    <row r="2834" spans="5:14" ht="13.5" customHeight="1">
      <c r="E2834" s="209" t="s">
        <v>875</v>
      </c>
      <c r="F2834" s="209" t="s">
        <v>2694</v>
      </c>
      <c r="G2834" s="414" t="str">
        <f t="shared" si="36"/>
        <v>11-26</v>
      </c>
      <c r="H2834" s="273" t="e">
        <f ca="1">_xludf.IFNA(VLOOKUP(Aragon!E2834,'Kilter Holds'!$P$37:$AB$662,11,0),0)</f>
        <v>#NAME?</v>
      </c>
      <c r="I2834" s="274"/>
      <c r="J2834" s="274" t="e">
        <f t="shared" ca="1" si="37"/>
        <v>#NAME?</v>
      </c>
      <c r="K2834" s="274">
        <f t="shared" si="38"/>
        <v>0</v>
      </c>
      <c r="N2834" s="274"/>
    </row>
    <row r="2835" spans="5:14" ht="13.5" customHeight="1">
      <c r="E2835" s="209" t="s">
        <v>875</v>
      </c>
      <c r="F2835" s="209" t="s">
        <v>2694</v>
      </c>
      <c r="G2835" s="415" t="str">
        <f t="shared" si="36"/>
        <v>18-01</v>
      </c>
      <c r="H2835" s="273" t="e">
        <f ca="1">_xludf.IFNA(VLOOKUP(Aragon!E2835,'Kilter Holds'!$P$37:$AB$662,12,0),0)</f>
        <v>#NAME?</v>
      </c>
      <c r="I2835" s="274"/>
      <c r="J2835" s="274" t="e">
        <f t="shared" ca="1" si="37"/>
        <v>#NAME?</v>
      </c>
      <c r="K2835" s="274">
        <f t="shared" si="38"/>
        <v>0</v>
      </c>
      <c r="N2835" s="274"/>
    </row>
    <row r="2836" spans="5:14" ht="13.5" customHeight="1">
      <c r="E2836" s="209" t="s">
        <v>875</v>
      </c>
      <c r="F2836" s="209" t="s">
        <v>2694</v>
      </c>
      <c r="G2836" s="416" t="str">
        <f t="shared" si="36"/>
        <v>Color Code</v>
      </c>
      <c r="H2836" s="273" t="e">
        <f ca="1">_xludf.IFNA(VLOOKUP(Aragon!E2836,'Kilter Holds'!$P$37:$AB$662,13,0),0)</f>
        <v>#NAME?</v>
      </c>
      <c r="I2836" s="274"/>
      <c r="J2836" s="274" t="e">
        <f t="shared" ca="1" si="37"/>
        <v>#NAME?</v>
      </c>
      <c r="K2836" s="274">
        <f t="shared" si="38"/>
        <v>0</v>
      </c>
      <c r="N2836" s="274"/>
    </row>
    <row r="2837" spans="5:14" ht="13.5" customHeight="1">
      <c r="E2837" s="209" t="s">
        <v>877</v>
      </c>
      <c r="F2837" s="209" t="s">
        <v>2695</v>
      </c>
      <c r="G2837" s="406" t="str">
        <f t="shared" si="36"/>
        <v>11-12</v>
      </c>
      <c r="H2837" s="273" t="e">
        <f ca="1">_xludf.IFNA(VLOOKUP(Aragon!E2837,'Kilter Holds'!$P$37:$AB$662,5,0),0)</f>
        <v>#NAME?</v>
      </c>
      <c r="I2837" s="274"/>
      <c r="J2837" s="274" t="e">
        <f t="shared" ca="1" si="37"/>
        <v>#NAME?</v>
      </c>
      <c r="K2837" s="274">
        <f t="shared" si="38"/>
        <v>0</v>
      </c>
      <c r="N2837" s="274"/>
    </row>
    <row r="2838" spans="5:14" ht="13.5" customHeight="1">
      <c r="E2838" s="209" t="s">
        <v>877</v>
      </c>
      <c r="F2838" s="209" t="s">
        <v>2695</v>
      </c>
      <c r="G2838" s="408" t="str">
        <f t="shared" si="36"/>
        <v>14-01</v>
      </c>
      <c r="H2838" s="273" t="e">
        <f ca="1">_xludf.IFNA(VLOOKUP(Aragon!E2838,'Kilter Holds'!$P$37:$AB$662,6,0),0)</f>
        <v>#NAME?</v>
      </c>
      <c r="I2838" s="274"/>
      <c r="J2838" s="274" t="e">
        <f t="shared" ca="1" si="37"/>
        <v>#NAME?</v>
      </c>
      <c r="K2838" s="274">
        <f t="shared" si="38"/>
        <v>0</v>
      </c>
      <c r="N2838" s="274"/>
    </row>
    <row r="2839" spans="5:14" ht="13.5" customHeight="1">
      <c r="E2839" s="209" t="s">
        <v>877</v>
      </c>
      <c r="F2839" s="209" t="s">
        <v>2695</v>
      </c>
      <c r="G2839" s="409" t="str">
        <f t="shared" si="36"/>
        <v>15-12</v>
      </c>
      <c r="H2839" s="273" t="e">
        <f ca="1">_xludf.IFNA(VLOOKUP(Aragon!E2839,'Kilter Holds'!$P$37:$AB$662,7,0),0)</f>
        <v>#NAME?</v>
      </c>
      <c r="I2839" s="274"/>
      <c r="J2839" s="274" t="e">
        <f t="shared" ca="1" si="37"/>
        <v>#NAME?</v>
      </c>
      <c r="K2839" s="274">
        <f t="shared" si="38"/>
        <v>0</v>
      </c>
      <c r="N2839" s="274"/>
    </row>
    <row r="2840" spans="5:14" ht="13.5" customHeight="1">
      <c r="E2840" s="209" t="s">
        <v>877</v>
      </c>
      <c r="F2840" s="209" t="s">
        <v>2695</v>
      </c>
      <c r="G2840" s="410" t="str">
        <f t="shared" si="36"/>
        <v>16-16</v>
      </c>
      <c r="H2840" s="273" t="e">
        <f ca="1">_xludf.IFNA(VLOOKUP(Aragon!E2840,'Kilter Holds'!$P$37:$AB$662,8,0),0)</f>
        <v>#NAME?</v>
      </c>
      <c r="I2840" s="274"/>
      <c r="J2840" s="274" t="e">
        <f t="shared" ca="1" si="37"/>
        <v>#NAME?</v>
      </c>
      <c r="K2840" s="274">
        <f t="shared" si="38"/>
        <v>0</v>
      </c>
      <c r="N2840" s="274"/>
    </row>
    <row r="2841" spans="5:14" ht="13.5" customHeight="1">
      <c r="E2841" s="209" t="s">
        <v>877</v>
      </c>
      <c r="F2841" s="209" t="s">
        <v>2695</v>
      </c>
      <c r="G2841" s="411" t="str">
        <f t="shared" si="36"/>
        <v>13-01</v>
      </c>
      <c r="H2841" s="273" t="e">
        <f ca="1">_xludf.IFNA(VLOOKUP(Aragon!E2841,'Kilter Holds'!$P$37:$AB$662,9,0),0)</f>
        <v>#NAME?</v>
      </c>
      <c r="I2841" s="274"/>
      <c r="J2841" s="274" t="e">
        <f t="shared" ca="1" si="37"/>
        <v>#NAME?</v>
      </c>
      <c r="K2841" s="274">
        <f t="shared" si="38"/>
        <v>0</v>
      </c>
      <c r="N2841" s="274"/>
    </row>
    <row r="2842" spans="5:14" ht="13.5" customHeight="1">
      <c r="E2842" s="209" t="s">
        <v>877</v>
      </c>
      <c r="F2842" s="209" t="s">
        <v>2695</v>
      </c>
      <c r="G2842" s="413" t="str">
        <f t="shared" si="36"/>
        <v>07-13</v>
      </c>
      <c r="H2842" s="273" t="e">
        <f ca="1">_xludf.IFNA(VLOOKUP(Aragon!E2842,'Kilter Holds'!$P$37:$AB$662,10,0),0)</f>
        <v>#NAME?</v>
      </c>
      <c r="I2842" s="274"/>
      <c r="J2842" s="274" t="e">
        <f t="shared" ca="1" si="37"/>
        <v>#NAME?</v>
      </c>
      <c r="K2842" s="274">
        <f t="shared" si="38"/>
        <v>0</v>
      </c>
      <c r="N2842" s="274"/>
    </row>
    <row r="2843" spans="5:14" ht="13.5" customHeight="1">
      <c r="E2843" s="209" t="s">
        <v>877</v>
      </c>
      <c r="F2843" s="209" t="s">
        <v>2695</v>
      </c>
      <c r="G2843" s="414" t="str">
        <f t="shared" si="36"/>
        <v>11-26</v>
      </c>
      <c r="H2843" s="273" t="e">
        <f ca="1">_xludf.IFNA(VLOOKUP(Aragon!E2843,'Kilter Holds'!$P$37:$AB$662,11,0),0)</f>
        <v>#NAME?</v>
      </c>
      <c r="I2843" s="274"/>
      <c r="J2843" s="274" t="e">
        <f t="shared" ca="1" si="37"/>
        <v>#NAME?</v>
      </c>
      <c r="K2843" s="274">
        <f t="shared" si="38"/>
        <v>0</v>
      </c>
      <c r="N2843" s="274"/>
    </row>
    <row r="2844" spans="5:14" ht="13.5" customHeight="1">
      <c r="E2844" s="209" t="s">
        <v>877</v>
      </c>
      <c r="F2844" s="209" t="s">
        <v>2695</v>
      </c>
      <c r="G2844" s="415" t="str">
        <f t="shared" si="36"/>
        <v>18-01</v>
      </c>
      <c r="H2844" s="273" t="e">
        <f ca="1">_xludf.IFNA(VLOOKUP(Aragon!E2844,'Kilter Holds'!$P$37:$AB$662,12,0),0)</f>
        <v>#NAME?</v>
      </c>
      <c r="I2844" s="274"/>
      <c r="J2844" s="274" t="e">
        <f t="shared" ca="1" si="37"/>
        <v>#NAME?</v>
      </c>
      <c r="K2844" s="274">
        <f t="shared" si="38"/>
        <v>0</v>
      </c>
      <c r="N2844" s="274"/>
    </row>
    <row r="2845" spans="5:14" ht="13.5" customHeight="1">
      <c r="E2845" s="209" t="s">
        <v>877</v>
      </c>
      <c r="F2845" s="209" t="s">
        <v>2695</v>
      </c>
      <c r="G2845" s="416" t="str">
        <f t="shared" si="36"/>
        <v>Color Code</v>
      </c>
      <c r="H2845" s="273" t="e">
        <f ca="1">_xludf.IFNA(VLOOKUP(Aragon!E2845,'Kilter Holds'!$P$37:$AB$662,13,0),0)</f>
        <v>#NAME?</v>
      </c>
      <c r="I2845" s="274"/>
      <c r="J2845" s="274" t="e">
        <f t="shared" ca="1" si="37"/>
        <v>#NAME?</v>
      </c>
      <c r="K2845" s="274">
        <f t="shared" si="38"/>
        <v>0</v>
      </c>
      <c r="N2845" s="274"/>
    </row>
    <row r="2846" spans="5:14" ht="13.5" customHeight="1">
      <c r="E2846" s="209" t="s">
        <v>879</v>
      </c>
      <c r="F2846" s="209" t="s">
        <v>2696</v>
      </c>
      <c r="G2846" s="406" t="str">
        <f t="shared" si="36"/>
        <v>11-12</v>
      </c>
      <c r="H2846" s="273" t="e">
        <f ca="1">_xludf.IFNA(VLOOKUP(Aragon!E2846,'Kilter Holds'!$P$37:$AB$662,5,0),0)</f>
        <v>#NAME?</v>
      </c>
      <c r="I2846" s="274"/>
      <c r="J2846" s="274" t="e">
        <f t="shared" ca="1" si="37"/>
        <v>#NAME?</v>
      </c>
      <c r="K2846" s="274">
        <f t="shared" si="38"/>
        <v>0</v>
      </c>
      <c r="N2846" s="274"/>
    </row>
    <row r="2847" spans="5:14" ht="13.5" customHeight="1">
      <c r="E2847" s="209" t="s">
        <v>879</v>
      </c>
      <c r="F2847" s="209" t="s">
        <v>2696</v>
      </c>
      <c r="G2847" s="408" t="str">
        <f t="shared" si="36"/>
        <v>14-01</v>
      </c>
      <c r="H2847" s="273" t="e">
        <f ca="1">_xludf.IFNA(VLOOKUP(Aragon!E2847,'Kilter Holds'!$P$37:$AB$662,6,0),0)</f>
        <v>#NAME?</v>
      </c>
      <c r="I2847" s="274"/>
      <c r="J2847" s="274" t="e">
        <f t="shared" ca="1" si="37"/>
        <v>#NAME?</v>
      </c>
      <c r="K2847" s="274">
        <f t="shared" si="38"/>
        <v>0</v>
      </c>
      <c r="N2847" s="274"/>
    </row>
    <row r="2848" spans="5:14" ht="13.5" customHeight="1">
      <c r="E2848" s="209" t="s">
        <v>879</v>
      </c>
      <c r="F2848" s="209" t="s">
        <v>2696</v>
      </c>
      <c r="G2848" s="409" t="str">
        <f t="shared" si="36"/>
        <v>15-12</v>
      </c>
      <c r="H2848" s="273" t="e">
        <f ca="1">_xludf.IFNA(VLOOKUP(Aragon!E2848,'Kilter Holds'!$P$37:$AB$662,7,0),0)</f>
        <v>#NAME?</v>
      </c>
      <c r="I2848" s="274"/>
      <c r="J2848" s="274" t="e">
        <f t="shared" ca="1" si="37"/>
        <v>#NAME?</v>
      </c>
      <c r="K2848" s="274">
        <f t="shared" si="38"/>
        <v>0</v>
      </c>
      <c r="N2848" s="274"/>
    </row>
    <row r="2849" spans="5:14" ht="13.5" customHeight="1">
      <c r="E2849" s="209" t="s">
        <v>879</v>
      </c>
      <c r="F2849" s="209" t="s">
        <v>2696</v>
      </c>
      <c r="G2849" s="410" t="str">
        <f t="shared" si="36"/>
        <v>16-16</v>
      </c>
      <c r="H2849" s="273" t="e">
        <f ca="1">_xludf.IFNA(VLOOKUP(Aragon!E2849,'Kilter Holds'!$P$37:$AB$662,8,0),0)</f>
        <v>#NAME?</v>
      </c>
      <c r="I2849" s="274"/>
      <c r="J2849" s="274" t="e">
        <f t="shared" ca="1" si="37"/>
        <v>#NAME?</v>
      </c>
      <c r="K2849" s="274">
        <f t="shared" si="38"/>
        <v>0</v>
      </c>
      <c r="N2849" s="274"/>
    </row>
    <row r="2850" spans="5:14" ht="13.5" customHeight="1">
      <c r="E2850" s="209" t="s">
        <v>879</v>
      </c>
      <c r="F2850" s="209" t="s">
        <v>2696</v>
      </c>
      <c r="G2850" s="411" t="str">
        <f t="shared" si="36"/>
        <v>13-01</v>
      </c>
      <c r="H2850" s="273" t="e">
        <f ca="1">_xludf.IFNA(VLOOKUP(Aragon!E2850,'Kilter Holds'!$P$37:$AB$662,9,0),0)</f>
        <v>#NAME?</v>
      </c>
      <c r="I2850" s="274"/>
      <c r="J2850" s="274" t="e">
        <f t="shared" ca="1" si="37"/>
        <v>#NAME?</v>
      </c>
      <c r="K2850" s="274">
        <f t="shared" si="38"/>
        <v>0</v>
      </c>
      <c r="N2850" s="274"/>
    </row>
    <row r="2851" spans="5:14" ht="13.5" customHeight="1">
      <c r="E2851" s="209" t="s">
        <v>879</v>
      </c>
      <c r="F2851" s="209" t="s">
        <v>2696</v>
      </c>
      <c r="G2851" s="413" t="str">
        <f t="shared" si="36"/>
        <v>07-13</v>
      </c>
      <c r="H2851" s="273" t="e">
        <f ca="1">_xludf.IFNA(VLOOKUP(Aragon!E2851,'Kilter Holds'!$P$37:$AB$662,10,0),0)</f>
        <v>#NAME?</v>
      </c>
      <c r="I2851" s="274"/>
      <c r="J2851" s="274" t="e">
        <f t="shared" ca="1" si="37"/>
        <v>#NAME?</v>
      </c>
      <c r="K2851" s="274">
        <f t="shared" si="38"/>
        <v>0</v>
      </c>
      <c r="N2851" s="274"/>
    </row>
    <row r="2852" spans="5:14" ht="13.5" customHeight="1">
      <c r="E2852" s="209" t="s">
        <v>879</v>
      </c>
      <c r="F2852" s="209" t="s">
        <v>2696</v>
      </c>
      <c r="G2852" s="414" t="str">
        <f t="shared" si="36"/>
        <v>11-26</v>
      </c>
      <c r="H2852" s="273" t="e">
        <f ca="1">_xludf.IFNA(VLOOKUP(Aragon!E2852,'Kilter Holds'!$P$37:$AB$662,11,0),0)</f>
        <v>#NAME?</v>
      </c>
      <c r="I2852" s="274"/>
      <c r="J2852" s="274" t="e">
        <f t="shared" ca="1" si="37"/>
        <v>#NAME?</v>
      </c>
      <c r="K2852" s="274">
        <f t="shared" si="38"/>
        <v>0</v>
      </c>
      <c r="N2852" s="274"/>
    </row>
    <row r="2853" spans="5:14" ht="13.5" customHeight="1">
      <c r="E2853" s="209" t="s">
        <v>879</v>
      </c>
      <c r="F2853" s="209" t="s">
        <v>2696</v>
      </c>
      <c r="G2853" s="415" t="str">
        <f t="shared" si="36"/>
        <v>18-01</v>
      </c>
      <c r="H2853" s="273" t="e">
        <f ca="1">_xludf.IFNA(VLOOKUP(Aragon!E2853,'Kilter Holds'!$P$37:$AB$662,12,0),0)</f>
        <v>#NAME?</v>
      </c>
      <c r="I2853" s="274"/>
      <c r="J2853" s="274" t="e">
        <f t="shared" ca="1" si="37"/>
        <v>#NAME?</v>
      </c>
      <c r="K2853" s="274">
        <f t="shared" si="38"/>
        <v>0</v>
      </c>
      <c r="N2853" s="274"/>
    </row>
    <row r="2854" spans="5:14" ht="13.5" customHeight="1">
      <c r="E2854" s="209" t="s">
        <v>879</v>
      </c>
      <c r="F2854" s="209" t="s">
        <v>2696</v>
      </c>
      <c r="G2854" s="416" t="str">
        <f t="shared" si="36"/>
        <v>Color Code</v>
      </c>
      <c r="H2854" s="273" t="e">
        <f ca="1">_xludf.IFNA(VLOOKUP(Aragon!E2854,'Kilter Holds'!$P$37:$AB$662,13,0),0)</f>
        <v>#NAME?</v>
      </c>
      <c r="I2854" s="274"/>
      <c r="J2854" s="274" t="e">
        <f t="shared" ca="1" si="37"/>
        <v>#NAME?</v>
      </c>
      <c r="K2854" s="274">
        <f t="shared" si="38"/>
        <v>0</v>
      </c>
      <c r="N2854" s="274"/>
    </row>
    <row r="2855" spans="5:14" ht="13.5" customHeight="1">
      <c r="E2855" s="209" t="s">
        <v>881</v>
      </c>
      <c r="F2855" s="209" t="s">
        <v>2697</v>
      </c>
      <c r="G2855" s="406" t="str">
        <f t="shared" si="36"/>
        <v>11-12</v>
      </c>
      <c r="H2855" s="273" t="e">
        <f ca="1">_xludf.IFNA(VLOOKUP(Aragon!E2855,'Kilter Holds'!$P$37:$AB$662,5,0),0)</f>
        <v>#NAME?</v>
      </c>
      <c r="I2855" s="274"/>
      <c r="J2855" s="274" t="e">
        <f t="shared" ca="1" si="37"/>
        <v>#NAME?</v>
      </c>
      <c r="K2855" s="274">
        <f t="shared" si="38"/>
        <v>0</v>
      </c>
      <c r="N2855" s="274"/>
    </row>
    <row r="2856" spans="5:14" ht="13.5" customHeight="1">
      <c r="E2856" s="209" t="s">
        <v>881</v>
      </c>
      <c r="F2856" s="209" t="s">
        <v>2697</v>
      </c>
      <c r="G2856" s="408" t="str">
        <f t="shared" si="36"/>
        <v>14-01</v>
      </c>
      <c r="H2856" s="273" t="e">
        <f ca="1">_xludf.IFNA(VLOOKUP(Aragon!E2856,'Kilter Holds'!$P$37:$AB$662,6,0),0)</f>
        <v>#NAME?</v>
      </c>
      <c r="I2856" s="274"/>
      <c r="J2856" s="274" t="e">
        <f t="shared" ca="1" si="37"/>
        <v>#NAME?</v>
      </c>
      <c r="K2856" s="274">
        <f t="shared" si="38"/>
        <v>0</v>
      </c>
      <c r="N2856" s="274"/>
    </row>
    <row r="2857" spans="5:14" ht="13.5" customHeight="1">
      <c r="E2857" s="209" t="s">
        <v>881</v>
      </c>
      <c r="F2857" s="209" t="s">
        <v>2697</v>
      </c>
      <c r="G2857" s="409" t="str">
        <f t="shared" si="36"/>
        <v>15-12</v>
      </c>
      <c r="H2857" s="273" t="e">
        <f ca="1">_xludf.IFNA(VLOOKUP(Aragon!E2857,'Kilter Holds'!$P$37:$AB$662,7,0),0)</f>
        <v>#NAME?</v>
      </c>
      <c r="I2857" s="274"/>
      <c r="J2857" s="274" t="e">
        <f t="shared" ca="1" si="37"/>
        <v>#NAME?</v>
      </c>
      <c r="K2857" s="274">
        <f t="shared" si="38"/>
        <v>0</v>
      </c>
      <c r="N2857" s="274"/>
    </row>
    <row r="2858" spans="5:14" ht="13.5" customHeight="1">
      <c r="E2858" s="209" t="s">
        <v>881</v>
      </c>
      <c r="F2858" s="209" t="s">
        <v>2697</v>
      </c>
      <c r="G2858" s="410" t="str">
        <f t="shared" ref="G2858:G3070" si="39">G2849</f>
        <v>16-16</v>
      </c>
      <c r="H2858" s="273" t="e">
        <f ca="1">_xludf.IFNA(VLOOKUP(Aragon!E2858,'Kilter Holds'!$P$37:$AB$662,8,0),0)</f>
        <v>#NAME?</v>
      </c>
      <c r="I2858" s="274"/>
      <c r="J2858" s="274" t="e">
        <f t="shared" ca="1" si="37"/>
        <v>#NAME?</v>
      </c>
      <c r="K2858" s="274">
        <f t="shared" si="38"/>
        <v>0</v>
      </c>
      <c r="N2858" s="274"/>
    </row>
    <row r="2859" spans="5:14" ht="13.5" customHeight="1">
      <c r="E2859" s="209" t="s">
        <v>881</v>
      </c>
      <c r="F2859" s="209" t="s">
        <v>2697</v>
      </c>
      <c r="G2859" s="411" t="str">
        <f t="shared" si="39"/>
        <v>13-01</v>
      </c>
      <c r="H2859" s="273" t="e">
        <f ca="1">_xludf.IFNA(VLOOKUP(Aragon!E2859,'Kilter Holds'!$P$37:$AB$662,9,0),0)</f>
        <v>#NAME?</v>
      </c>
      <c r="I2859" s="274"/>
      <c r="J2859" s="274" t="e">
        <f t="shared" ca="1" si="37"/>
        <v>#NAME?</v>
      </c>
      <c r="K2859" s="274">
        <f t="shared" si="38"/>
        <v>0</v>
      </c>
      <c r="N2859" s="274"/>
    </row>
    <row r="2860" spans="5:14" ht="13.5" customHeight="1">
      <c r="E2860" s="209" t="s">
        <v>881</v>
      </c>
      <c r="F2860" s="209" t="s">
        <v>2697</v>
      </c>
      <c r="G2860" s="413" t="str">
        <f t="shared" si="39"/>
        <v>07-13</v>
      </c>
      <c r="H2860" s="273" t="e">
        <f ca="1">_xludf.IFNA(VLOOKUP(Aragon!E2860,'Kilter Holds'!$P$37:$AB$662,10,0),0)</f>
        <v>#NAME?</v>
      </c>
      <c r="I2860" s="274"/>
      <c r="J2860" s="274" t="e">
        <f t="shared" ca="1" si="37"/>
        <v>#NAME?</v>
      </c>
      <c r="K2860" s="274">
        <f t="shared" si="38"/>
        <v>0</v>
      </c>
      <c r="N2860" s="274"/>
    </row>
    <row r="2861" spans="5:14" ht="13.5" customHeight="1">
      <c r="E2861" s="209" t="s">
        <v>881</v>
      </c>
      <c r="F2861" s="209" t="s">
        <v>2697</v>
      </c>
      <c r="G2861" s="414" t="str">
        <f t="shared" si="39"/>
        <v>11-26</v>
      </c>
      <c r="H2861" s="273" t="e">
        <f ca="1">_xludf.IFNA(VLOOKUP(Aragon!E2861,'Kilter Holds'!$P$37:$AB$662,11,0),0)</f>
        <v>#NAME?</v>
      </c>
      <c r="I2861" s="274"/>
      <c r="J2861" s="274" t="e">
        <f t="shared" ca="1" si="37"/>
        <v>#NAME?</v>
      </c>
      <c r="K2861" s="274">
        <f t="shared" si="38"/>
        <v>0</v>
      </c>
      <c r="N2861" s="274"/>
    </row>
    <row r="2862" spans="5:14" ht="13.5" customHeight="1">
      <c r="E2862" s="209" t="s">
        <v>881</v>
      </c>
      <c r="F2862" s="209" t="s">
        <v>2697</v>
      </c>
      <c r="G2862" s="415" t="str">
        <f t="shared" si="39"/>
        <v>18-01</v>
      </c>
      <c r="H2862" s="273" t="e">
        <f ca="1">_xludf.IFNA(VLOOKUP(Aragon!E2862,'Kilter Holds'!$P$37:$AB$662,12,0),0)</f>
        <v>#NAME?</v>
      </c>
      <c r="I2862" s="274"/>
      <c r="J2862" s="274" t="e">
        <f t="shared" ca="1" si="37"/>
        <v>#NAME?</v>
      </c>
      <c r="K2862" s="274">
        <f t="shared" si="38"/>
        <v>0</v>
      </c>
      <c r="N2862" s="274"/>
    </row>
    <row r="2863" spans="5:14" ht="13.5" customHeight="1">
      <c r="E2863" s="209" t="s">
        <v>881</v>
      </c>
      <c r="F2863" s="209" t="s">
        <v>2697</v>
      </c>
      <c r="G2863" s="416" t="str">
        <f t="shared" si="39"/>
        <v>Color Code</v>
      </c>
      <c r="H2863" s="273" t="e">
        <f ca="1">_xludf.IFNA(VLOOKUP(Aragon!E2863,'Kilter Holds'!$P$37:$AB$662,13,0),0)</f>
        <v>#NAME?</v>
      </c>
      <c r="I2863" s="274"/>
      <c r="J2863" s="274" t="e">
        <f t="shared" ca="1" si="37"/>
        <v>#NAME?</v>
      </c>
      <c r="K2863" s="274">
        <f t="shared" si="38"/>
        <v>0</v>
      </c>
      <c r="N2863" s="274"/>
    </row>
    <row r="2864" spans="5:14" ht="13.5" customHeight="1">
      <c r="E2864" s="209" t="s">
        <v>1222</v>
      </c>
      <c r="F2864" s="209" t="s">
        <v>2698</v>
      </c>
      <c r="G2864" s="406" t="str">
        <f t="shared" si="39"/>
        <v>11-12</v>
      </c>
      <c r="H2864" s="273" t="e">
        <f ca="1">_xludf.IFNA(VLOOKUP(Aragon!E2864,'Kilter Holds'!$P$37:$AB$662,5,0),0)</f>
        <v>#NAME?</v>
      </c>
      <c r="I2864" s="274"/>
      <c r="J2864" s="274" t="e">
        <f t="shared" ca="1" si="37"/>
        <v>#NAME?</v>
      </c>
      <c r="K2864" s="274">
        <f t="shared" si="38"/>
        <v>0</v>
      </c>
      <c r="N2864" s="274"/>
    </row>
    <row r="2865" spans="5:14" ht="13.5" customHeight="1">
      <c r="E2865" s="209" t="s">
        <v>1222</v>
      </c>
      <c r="F2865" s="209" t="s">
        <v>2698</v>
      </c>
      <c r="G2865" s="408" t="str">
        <f t="shared" si="39"/>
        <v>14-01</v>
      </c>
      <c r="H2865" s="273" t="e">
        <f ca="1">_xludf.IFNA(VLOOKUP(Aragon!E2865,'Kilter Holds'!$P$37:$AB$662,6,0),0)</f>
        <v>#NAME?</v>
      </c>
      <c r="I2865" s="274"/>
      <c r="J2865" s="274" t="e">
        <f t="shared" ca="1" si="37"/>
        <v>#NAME?</v>
      </c>
      <c r="K2865" s="274">
        <f t="shared" si="38"/>
        <v>0</v>
      </c>
      <c r="N2865" s="274"/>
    </row>
    <row r="2866" spans="5:14" ht="13.5" customHeight="1">
      <c r="E2866" s="209" t="s">
        <v>1222</v>
      </c>
      <c r="F2866" s="209" t="s">
        <v>2698</v>
      </c>
      <c r="G2866" s="409" t="str">
        <f t="shared" si="39"/>
        <v>15-12</v>
      </c>
      <c r="H2866" s="273" t="e">
        <f ca="1">_xludf.IFNA(VLOOKUP(Aragon!E2866,'Kilter Holds'!$P$37:$AB$662,7,0),0)</f>
        <v>#NAME?</v>
      </c>
      <c r="I2866" s="274"/>
      <c r="J2866" s="274" t="e">
        <f t="shared" ca="1" si="37"/>
        <v>#NAME?</v>
      </c>
      <c r="K2866" s="274">
        <f t="shared" si="38"/>
        <v>0</v>
      </c>
      <c r="N2866" s="274"/>
    </row>
    <row r="2867" spans="5:14" ht="13.5" customHeight="1">
      <c r="E2867" s="209" t="s">
        <v>1222</v>
      </c>
      <c r="F2867" s="209" t="s">
        <v>2698</v>
      </c>
      <c r="G2867" s="410" t="str">
        <f t="shared" si="39"/>
        <v>16-16</v>
      </c>
      <c r="H2867" s="273" t="e">
        <f ca="1">_xludf.IFNA(VLOOKUP(Aragon!E2867,'Kilter Holds'!$P$37:$AB$662,8,0),0)</f>
        <v>#NAME?</v>
      </c>
      <c r="I2867" s="274"/>
      <c r="J2867" s="274" t="e">
        <f t="shared" ca="1" si="37"/>
        <v>#NAME?</v>
      </c>
      <c r="K2867" s="274">
        <f t="shared" si="38"/>
        <v>0</v>
      </c>
      <c r="N2867" s="274"/>
    </row>
    <row r="2868" spans="5:14" ht="13.5" customHeight="1">
      <c r="E2868" s="209" t="s">
        <v>1222</v>
      </c>
      <c r="F2868" s="209" t="s">
        <v>2698</v>
      </c>
      <c r="G2868" s="411" t="str">
        <f t="shared" si="39"/>
        <v>13-01</v>
      </c>
      <c r="H2868" s="273" t="e">
        <f ca="1">_xludf.IFNA(VLOOKUP(Aragon!E2868,'Kilter Holds'!$P$37:$AB$662,9,0),0)</f>
        <v>#NAME?</v>
      </c>
      <c r="I2868" s="274"/>
      <c r="J2868" s="274" t="e">
        <f t="shared" ca="1" si="37"/>
        <v>#NAME?</v>
      </c>
      <c r="K2868" s="274">
        <f t="shared" si="38"/>
        <v>0</v>
      </c>
      <c r="N2868" s="274"/>
    </row>
    <row r="2869" spans="5:14" ht="13.5" customHeight="1">
      <c r="E2869" s="209" t="s">
        <v>1222</v>
      </c>
      <c r="F2869" s="209" t="s">
        <v>2698</v>
      </c>
      <c r="G2869" s="413" t="str">
        <f t="shared" si="39"/>
        <v>07-13</v>
      </c>
      <c r="H2869" s="273" t="e">
        <f ca="1">_xludf.IFNA(VLOOKUP(Aragon!E2869,'Kilter Holds'!$P$37:$AB$662,10,0),0)</f>
        <v>#NAME?</v>
      </c>
      <c r="I2869" s="274"/>
      <c r="J2869" s="274" t="e">
        <f t="shared" ca="1" si="37"/>
        <v>#NAME?</v>
      </c>
      <c r="K2869" s="274">
        <f t="shared" si="38"/>
        <v>0</v>
      </c>
      <c r="N2869" s="274"/>
    </row>
    <row r="2870" spans="5:14" ht="13.5" customHeight="1">
      <c r="E2870" s="209" t="s">
        <v>1222</v>
      </c>
      <c r="F2870" s="209" t="s">
        <v>2698</v>
      </c>
      <c r="G2870" s="414" t="str">
        <f t="shared" si="39"/>
        <v>11-26</v>
      </c>
      <c r="H2870" s="273" t="e">
        <f ca="1">_xludf.IFNA(VLOOKUP(Aragon!E2870,'Kilter Holds'!$P$37:$AB$662,11,0),0)</f>
        <v>#NAME?</v>
      </c>
      <c r="I2870" s="274"/>
      <c r="J2870" s="274" t="e">
        <f t="shared" ca="1" si="37"/>
        <v>#NAME?</v>
      </c>
      <c r="K2870" s="274">
        <f t="shared" si="38"/>
        <v>0</v>
      </c>
      <c r="N2870" s="274"/>
    </row>
    <row r="2871" spans="5:14" ht="13.5" customHeight="1">
      <c r="E2871" s="209" t="s">
        <v>1222</v>
      </c>
      <c r="F2871" s="209" t="s">
        <v>2698</v>
      </c>
      <c r="G2871" s="415" t="str">
        <f t="shared" si="39"/>
        <v>18-01</v>
      </c>
      <c r="H2871" s="273" t="e">
        <f ca="1">_xludf.IFNA(VLOOKUP(Aragon!E2871,'Kilter Holds'!$P$37:$AB$662,12,0),0)</f>
        <v>#NAME?</v>
      </c>
      <c r="I2871" s="274"/>
      <c r="J2871" s="274" t="e">
        <f t="shared" ca="1" si="37"/>
        <v>#NAME?</v>
      </c>
      <c r="K2871" s="274">
        <f t="shared" si="38"/>
        <v>0</v>
      </c>
      <c r="N2871" s="274"/>
    </row>
    <row r="2872" spans="5:14" ht="13.5" customHeight="1">
      <c r="E2872" s="209" t="s">
        <v>1222</v>
      </c>
      <c r="F2872" s="209" t="s">
        <v>2698</v>
      </c>
      <c r="G2872" s="416" t="str">
        <f t="shared" si="39"/>
        <v>Color Code</v>
      </c>
      <c r="H2872" s="273" t="e">
        <f ca="1">_xludf.IFNA(VLOOKUP(Aragon!E2872,'Kilter Holds'!$P$37:$AB$662,13,0),0)</f>
        <v>#NAME?</v>
      </c>
      <c r="I2872" s="274"/>
      <c r="J2872" s="274" t="e">
        <f t="shared" ca="1" si="37"/>
        <v>#NAME?</v>
      </c>
      <c r="K2872" s="274">
        <f t="shared" si="38"/>
        <v>0</v>
      </c>
      <c r="N2872" s="274"/>
    </row>
    <row r="2873" spans="5:14" ht="13.5" customHeight="1">
      <c r="E2873" s="209" t="s">
        <v>375</v>
      </c>
      <c r="F2873" s="209" t="s">
        <v>2699</v>
      </c>
      <c r="G2873" s="406" t="str">
        <f t="shared" si="39"/>
        <v>11-12</v>
      </c>
      <c r="H2873" s="273" t="e">
        <f ca="1">_xludf.IFNA(VLOOKUP(Aragon!E2873,'Kilter Holds'!$P$37:$AB$662,5,0),0)</f>
        <v>#NAME?</v>
      </c>
      <c r="I2873" s="274"/>
      <c r="J2873" s="274" t="e">
        <f t="shared" ca="1" si="37"/>
        <v>#NAME?</v>
      </c>
      <c r="K2873" s="274">
        <f t="shared" si="38"/>
        <v>0</v>
      </c>
      <c r="N2873" s="274"/>
    </row>
    <row r="2874" spans="5:14" ht="13.5" customHeight="1">
      <c r="E2874" s="209" t="s">
        <v>375</v>
      </c>
      <c r="F2874" s="209" t="s">
        <v>2699</v>
      </c>
      <c r="G2874" s="408" t="str">
        <f t="shared" si="39"/>
        <v>14-01</v>
      </c>
      <c r="H2874" s="273" t="e">
        <f ca="1">_xludf.IFNA(VLOOKUP(Aragon!E2874,'Kilter Holds'!$P$37:$AB$662,6,0),0)</f>
        <v>#NAME?</v>
      </c>
      <c r="I2874" s="274"/>
      <c r="J2874" s="274" t="e">
        <f t="shared" ca="1" si="37"/>
        <v>#NAME?</v>
      </c>
      <c r="K2874" s="274">
        <f t="shared" si="38"/>
        <v>0</v>
      </c>
      <c r="N2874" s="274"/>
    </row>
    <row r="2875" spans="5:14" ht="13.5" customHeight="1">
      <c r="E2875" s="209" t="s">
        <v>375</v>
      </c>
      <c r="F2875" s="209" t="s">
        <v>2699</v>
      </c>
      <c r="G2875" s="409" t="str">
        <f t="shared" si="39"/>
        <v>15-12</v>
      </c>
      <c r="H2875" s="273" t="e">
        <f ca="1">_xludf.IFNA(VLOOKUP(Aragon!E2875,'Kilter Holds'!$P$37:$AB$662,7,0),0)</f>
        <v>#NAME?</v>
      </c>
      <c r="I2875" s="274"/>
      <c r="J2875" s="274" t="e">
        <f t="shared" ca="1" si="37"/>
        <v>#NAME?</v>
      </c>
      <c r="K2875" s="274">
        <f t="shared" si="38"/>
        <v>0</v>
      </c>
      <c r="N2875" s="274"/>
    </row>
    <row r="2876" spans="5:14" ht="13.5" customHeight="1">
      <c r="E2876" s="209" t="s">
        <v>375</v>
      </c>
      <c r="F2876" s="209" t="s">
        <v>2699</v>
      </c>
      <c r="G2876" s="410" t="str">
        <f t="shared" si="39"/>
        <v>16-16</v>
      </c>
      <c r="H2876" s="273" t="e">
        <f ca="1">_xludf.IFNA(VLOOKUP(Aragon!E2876,'Kilter Holds'!$P$37:$AB$662,8,0),0)</f>
        <v>#NAME?</v>
      </c>
      <c r="I2876" s="274"/>
      <c r="J2876" s="274" t="e">
        <f t="shared" ca="1" si="37"/>
        <v>#NAME?</v>
      </c>
      <c r="K2876" s="274">
        <f t="shared" si="38"/>
        <v>0</v>
      </c>
      <c r="N2876" s="274"/>
    </row>
    <row r="2877" spans="5:14" ht="13.5" customHeight="1">
      <c r="E2877" s="209" t="s">
        <v>375</v>
      </c>
      <c r="F2877" s="209" t="s">
        <v>2699</v>
      </c>
      <c r="G2877" s="411" t="str">
        <f t="shared" si="39"/>
        <v>13-01</v>
      </c>
      <c r="H2877" s="273" t="e">
        <f ca="1">_xludf.IFNA(VLOOKUP(Aragon!E2877,'Kilter Holds'!$P$37:$AB$662,9,0),0)</f>
        <v>#NAME?</v>
      </c>
      <c r="I2877" s="274"/>
      <c r="J2877" s="274" t="e">
        <f t="shared" ca="1" si="37"/>
        <v>#NAME?</v>
      </c>
      <c r="K2877" s="274">
        <f t="shared" si="38"/>
        <v>0</v>
      </c>
      <c r="N2877" s="274"/>
    </row>
    <row r="2878" spans="5:14" ht="13.5" customHeight="1">
      <c r="E2878" s="209" t="s">
        <v>375</v>
      </c>
      <c r="F2878" s="209" t="s">
        <v>2699</v>
      </c>
      <c r="G2878" s="413" t="str">
        <f t="shared" si="39"/>
        <v>07-13</v>
      </c>
      <c r="H2878" s="273" t="e">
        <f ca="1">_xludf.IFNA(VLOOKUP(Aragon!E2878,'Kilter Holds'!$P$37:$AB$662,10,0),0)</f>
        <v>#NAME?</v>
      </c>
      <c r="I2878" s="274"/>
      <c r="J2878" s="274" t="e">
        <f t="shared" ca="1" si="37"/>
        <v>#NAME?</v>
      </c>
      <c r="K2878" s="274">
        <f t="shared" si="38"/>
        <v>0</v>
      </c>
      <c r="N2878" s="274"/>
    </row>
    <row r="2879" spans="5:14" ht="13.5" customHeight="1">
      <c r="E2879" s="209" t="s">
        <v>375</v>
      </c>
      <c r="F2879" s="209" t="s">
        <v>2699</v>
      </c>
      <c r="G2879" s="414" t="str">
        <f t="shared" si="39"/>
        <v>11-26</v>
      </c>
      <c r="H2879" s="273" t="e">
        <f ca="1">_xludf.IFNA(VLOOKUP(Aragon!E2879,'Kilter Holds'!$P$37:$AB$662,11,0),0)</f>
        <v>#NAME?</v>
      </c>
      <c r="I2879" s="274"/>
      <c r="J2879" s="274" t="e">
        <f t="shared" ca="1" si="37"/>
        <v>#NAME?</v>
      </c>
      <c r="K2879" s="274">
        <f t="shared" si="38"/>
        <v>0</v>
      </c>
      <c r="N2879" s="274"/>
    </row>
    <row r="2880" spans="5:14" ht="13.5" customHeight="1">
      <c r="E2880" s="209" t="s">
        <v>375</v>
      </c>
      <c r="F2880" s="209" t="s">
        <v>2699</v>
      </c>
      <c r="G2880" s="415" t="str">
        <f t="shared" si="39"/>
        <v>18-01</v>
      </c>
      <c r="H2880" s="273" t="e">
        <f ca="1">_xludf.IFNA(VLOOKUP(Aragon!E2880,'Kilter Holds'!$P$37:$AB$662,12,0),0)</f>
        <v>#NAME?</v>
      </c>
      <c r="I2880" s="274"/>
      <c r="J2880" s="274" t="e">
        <f t="shared" ca="1" si="37"/>
        <v>#NAME?</v>
      </c>
      <c r="K2880" s="274">
        <f t="shared" si="38"/>
        <v>0</v>
      </c>
      <c r="N2880" s="274"/>
    </row>
    <row r="2881" spans="5:14" ht="13.5" customHeight="1">
      <c r="E2881" s="209" t="s">
        <v>375</v>
      </c>
      <c r="F2881" s="209" t="s">
        <v>2699</v>
      </c>
      <c r="G2881" s="416" t="str">
        <f t="shared" si="39"/>
        <v>Color Code</v>
      </c>
      <c r="H2881" s="273" t="e">
        <f ca="1">_xludf.IFNA(VLOOKUP(Aragon!E2881,'Kilter Holds'!$P$37:$AB$662,13,0),0)</f>
        <v>#NAME?</v>
      </c>
      <c r="I2881" s="274"/>
      <c r="J2881" s="274" t="e">
        <f t="shared" ca="1" si="37"/>
        <v>#NAME?</v>
      </c>
      <c r="K2881" s="274">
        <f t="shared" si="38"/>
        <v>0</v>
      </c>
      <c r="N2881" s="274"/>
    </row>
    <row r="2882" spans="5:14" ht="13.5" customHeight="1">
      <c r="E2882" s="209" t="s">
        <v>629</v>
      </c>
      <c r="F2882" s="209" t="s">
        <v>2700</v>
      </c>
      <c r="G2882" s="406" t="str">
        <f t="shared" si="39"/>
        <v>11-12</v>
      </c>
      <c r="H2882" s="273" t="e">
        <f ca="1">_xludf.IFNA(VLOOKUP(Aragon!E2882,'Kilter Holds'!$P$37:$AB$662,5,0),0)</f>
        <v>#NAME?</v>
      </c>
      <c r="I2882" s="274"/>
      <c r="J2882" s="274" t="e">
        <f t="shared" ca="1" si="37"/>
        <v>#NAME?</v>
      </c>
      <c r="K2882" s="274">
        <f t="shared" si="38"/>
        <v>0</v>
      </c>
      <c r="N2882" s="274"/>
    </row>
    <row r="2883" spans="5:14" ht="13.5" customHeight="1">
      <c r="E2883" s="209" t="s">
        <v>629</v>
      </c>
      <c r="F2883" s="209" t="s">
        <v>2700</v>
      </c>
      <c r="G2883" s="408" t="str">
        <f t="shared" si="39"/>
        <v>14-01</v>
      </c>
      <c r="H2883" s="273" t="e">
        <f ca="1">_xludf.IFNA(VLOOKUP(Aragon!E2883,'Kilter Holds'!$P$37:$AB$662,6,0),0)</f>
        <v>#NAME?</v>
      </c>
      <c r="I2883" s="274"/>
      <c r="J2883" s="274" t="e">
        <f t="shared" ca="1" si="37"/>
        <v>#NAME?</v>
      </c>
      <c r="K2883" s="274">
        <f t="shared" si="38"/>
        <v>0</v>
      </c>
      <c r="N2883" s="274"/>
    </row>
    <row r="2884" spans="5:14" ht="13.5" customHeight="1">
      <c r="E2884" s="209" t="s">
        <v>629</v>
      </c>
      <c r="F2884" s="209" t="s">
        <v>2700</v>
      </c>
      <c r="G2884" s="409" t="str">
        <f t="shared" si="39"/>
        <v>15-12</v>
      </c>
      <c r="H2884" s="273" t="e">
        <f ca="1">_xludf.IFNA(VLOOKUP(Aragon!E2884,'Kilter Holds'!$P$37:$AB$662,7,0),0)</f>
        <v>#NAME?</v>
      </c>
      <c r="I2884" s="274"/>
      <c r="J2884" s="274" t="e">
        <f t="shared" ca="1" si="37"/>
        <v>#NAME?</v>
      </c>
      <c r="K2884" s="274">
        <f t="shared" si="38"/>
        <v>0</v>
      </c>
      <c r="N2884" s="274"/>
    </row>
    <row r="2885" spans="5:14" ht="13.5" customHeight="1">
      <c r="E2885" s="209" t="s">
        <v>629</v>
      </c>
      <c r="F2885" s="209" t="s">
        <v>2700</v>
      </c>
      <c r="G2885" s="410" t="str">
        <f t="shared" si="39"/>
        <v>16-16</v>
      </c>
      <c r="H2885" s="273" t="e">
        <f ca="1">_xludf.IFNA(VLOOKUP(Aragon!E2885,'Kilter Holds'!$P$37:$AB$662,8,0),0)</f>
        <v>#NAME?</v>
      </c>
      <c r="I2885" s="274"/>
      <c r="J2885" s="274" t="e">
        <f t="shared" ca="1" si="37"/>
        <v>#NAME?</v>
      </c>
      <c r="K2885" s="274">
        <f t="shared" si="38"/>
        <v>0</v>
      </c>
      <c r="N2885" s="274"/>
    </row>
    <row r="2886" spans="5:14" ht="13.5" customHeight="1">
      <c r="E2886" s="209" t="s">
        <v>629</v>
      </c>
      <c r="F2886" s="209" t="s">
        <v>2700</v>
      </c>
      <c r="G2886" s="411" t="str">
        <f t="shared" si="39"/>
        <v>13-01</v>
      </c>
      <c r="H2886" s="273" t="e">
        <f ca="1">_xludf.IFNA(VLOOKUP(Aragon!E2886,'Kilter Holds'!$P$37:$AB$662,9,0),0)</f>
        <v>#NAME?</v>
      </c>
      <c r="I2886" s="274"/>
      <c r="J2886" s="274" t="e">
        <f t="shared" ca="1" si="37"/>
        <v>#NAME?</v>
      </c>
      <c r="K2886" s="274">
        <f t="shared" si="38"/>
        <v>0</v>
      </c>
      <c r="N2886" s="274"/>
    </row>
    <row r="2887" spans="5:14" ht="13.5" customHeight="1">
      <c r="E2887" s="209" t="s">
        <v>629</v>
      </c>
      <c r="F2887" s="209" t="s">
        <v>2700</v>
      </c>
      <c r="G2887" s="413" t="str">
        <f t="shared" si="39"/>
        <v>07-13</v>
      </c>
      <c r="H2887" s="273" t="e">
        <f ca="1">_xludf.IFNA(VLOOKUP(Aragon!E2887,'Kilter Holds'!$P$37:$AB$662,10,0),0)</f>
        <v>#NAME?</v>
      </c>
      <c r="I2887" s="274"/>
      <c r="J2887" s="274" t="e">
        <f t="shared" ca="1" si="37"/>
        <v>#NAME?</v>
      </c>
      <c r="K2887" s="274">
        <f t="shared" si="38"/>
        <v>0</v>
      </c>
      <c r="N2887" s="274"/>
    </row>
    <row r="2888" spans="5:14" ht="13.5" customHeight="1">
      <c r="E2888" s="209" t="s">
        <v>629</v>
      </c>
      <c r="F2888" s="209" t="s">
        <v>2700</v>
      </c>
      <c r="G2888" s="414" t="str">
        <f t="shared" si="39"/>
        <v>11-26</v>
      </c>
      <c r="H2888" s="273" t="e">
        <f ca="1">_xludf.IFNA(VLOOKUP(Aragon!E2888,'Kilter Holds'!$P$37:$AB$662,11,0),0)</f>
        <v>#NAME?</v>
      </c>
      <c r="I2888" s="274"/>
      <c r="J2888" s="274" t="e">
        <f t="shared" ca="1" si="37"/>
        <v>#NAME?</v>
      </c>
      <c r="K2888" s="274">
        <f t="shared" si="38"/>
        <v>0</v>
      </c>
      <c r="N2888" s="274"/>
    </row>
    <row r="2889" spans="5:14" ht="13.5" customHeight="1">
      <c r="E2889" s="209" t="s">
        <v>629</v>
      </c>
      <c r="F2889" s="209" t="s">
        <v>2700</v>
      </c>
      <c r="G2889" s="415" t="str">
        <f t="shared" si="39"/>
        <v>18-01</v>
      </c>
      <c r="H2889" s="273" t="e">
        <f ca="1">_xludf.IFNA(VLOOKUP(Aragon!E2889,'Kilter Holds'!$P$37:$AB$662,12,0),0)</f>
        <v>#NAME?</v>
      </c>
      <c r="I2889" s="274"/>
      <c r="J2889" s="274" t="e">
        <f t="shared" ca="1" si="37"/>
        <v>#NAME?</v>
      </c>
      <c r="K2889" s="274">
        <f t="shared" si="38"/>
        <v>0</v>
      </c>
      <c r="N2889" s="274"/>
    </row>
    <row r="2890" spans="5:14" ht="13.5" customHeight="1">
      <c r="E2890" s="209" t="s">
        <v>629</v>
      </c>
      <c r="F2890" s="209" t="s">
        <v>2700</v>
      </c>
      <c r="G2890" s="416" t="str">
        <f t="shared" si="39"/>
        <v>Color Code</v>
      </c>
      <c r="H2890" s="273" t="e">
        <f ca="1">_xludf.IFNA(VLOOKUP(Aragon!E2890,'Kilter Holds'!$P$37:$AB$662,13,0),0)</f>
        <v>#NAME?</v>
      </c>
      <c r="I2890" s="274"/>
      <c r="J2890" s="274" t="e">
        <f t="shared" ca="1" si="37"/>
        <v>#NAME?</v>
      </c>
      <c r="K2890" s="274">
        <f t="shared" si="38"/>
        <v>0</v>
      </c>
      <c r="N2890" s="274"/>
    </row>
    <row r="2891" spans="5:14" ht="13.5" customHeight="1">
      <c r="E2891" s="209" t="s">
        <v>377</v>
      </c>
      <c r="F2891" s="209" t="s">
        <v>2701</v>
      </c>
      <c r="G2891" s="406" t="str">
        <f t="shared" si="39"/>
        <v>11-12</v>
      </c>
      <c r="H2891" s="273" t="e">
        <f ca="1">_xludf.IFNA(VLOOKUP(Aragon!E2891,'Kilter Holds'!$P$37:$AB$662,5,0),0)</f>
        <v>#NAME?</v>
      </c>
      <c r="I2891" s="274"/>
      <c r="J2891" s="274" t="e">
        <f t="shared" ca="1" si="37"/>
        <v>#NAME?</v>
      </c>
      <c r="K2891" s="274">
        <f t="shared" si="38"/>
        <v>0</v>
      </c>
      <c r="N2891" s="274"/>
    </row>
    <row r="2892" spans="5:14" ht="13.5" customHeight="1">
      <c r="E2892" s="209" t="s">
        <v>377</v>
      </c>
      <c r="F2892" s="209" t="s">
        <v>2701</v>
      </c>
      <c r="G2892" s="408" t="str">
        <f t="shared" si="39"/>
        <v>14-01</v>
      </c>
      <c r="H2892" s="273" t="e">
        <f ca="1">_xludf.IFNA(VLOOKUP(Aragon!E2892,'Kilter Holds'!$P$37:$AB$662,6,0),0)</f>
        <v>#NAME?</v>
      </c>
      <c r="I2892" s="274"/>
      <c r="J2892" s="274" t="e">
        <f t="shared" ca="1" si="37"/>
        <v>#NAME?</v>
      </c>
      <c r="K2892" s="274">
        <f t="shared" si="38"/>
        <v>0</v>
      </c>
      <c r="N2892" s="274"/>
    </row>
    <row r="2893" spans="5:14" ht="13.5" customHeight="1">
      <c r="E2893" s="209" t="s">
        <v>377</v>
      </c>
      <c r="F2893" s="209" t="s">
        <v>2701</v>
      </c>
      <c r="G2893" s="409" t="str">
        <f t="shared" si="39"/>
        <v>15-12</v>
      </c>
      <c r="H2893" s="273" t="e">
        <f ca="1">_xludf.IFNA(VLOOKUP(Aragon!E2893,'Kilter Holds'!$P$37:$AB$662,7,0),0)</f>
        <v>#NAME?</v>
      </c>
      <c r="I2893" s="274"/>
      <c r="J2893" s="274" t="e">
        <f t="shared" ca="1" si="37"/>
        <v>#NAME?</v>
      </c>
      <c r="K2893" s="274">
        <f t="shared" si="38"/>
        <v>0</v>
      </c>
      <c r="N2893" s="274"/>
    </row>
    <row r="2894" spans="5:14" ht="13.5" customHeight="1">
      <c r="E2894" s="209" t="s">
        <v>377</v>
      </c>
      <c r="F2894" s="209" t="s">
        <v>2701</v>
      </c>
      <c r="G2894" s="410" t="str">
        <f t="shared" si="39"/>
        <v>16-16</v>
      </c>
      <c r="H2894" s="273" t="e">
        <f ca="1">_xludf.IFNA(VLOOKUP(Aragon!E2894,'Kilter Holds'!$P$37:$AB$662,8,0),0)</f>
        <v>#NAME?</v>
      </c>
      <c r="I2894" s="274"/>
      <c r="J2894" s="274" t="e">
        <f t="shared" ca="1" si="37"/>
        <v>#NAME?</v>
      </c>
      <c r="K2894" s="274">
        <f t="shared" si="38"/>
        <v>0</v>
      </c>
      <c r="N2894" s="274"/>
    </row>
    <row r="2895" spans="5:14" ht="13.5" customHeight="1">
      <c r="E2895" s="209" t="s">
        <v>377</v>
      </c>
      <c r="F2895" s="209" t="s">
        <v>2701</v>
      </c>
      <c r="G2895" s="411" t="str">
        <f t="shared" si="39"/>
        <v>13-01</v>
      </c>
      <c r="H2895" s="273" t="e">
        <f ca="1">_xludf.IFNA(VLOOKUP(Aragon!E2895,'Kilter Holds'!$P$37:$AB$662,9,0),0)</f>
        <v>#NAME?</v>
      </c>
      <c r="I2895" s="274"/>
      <c r="J2895" s="274" t="e">
        <f t="shared" ca="1" si="37"/>
        <v>#NAME?</v>
      </c>
      <c r="K2895" s="274">
        <f t="shared" si="38"/>
        <v>0</v>
      </c>
      <c r="N2895" s="274"/>
    </row>
    <row r="2896" spans="5:14" ht="13.5" customHeight="1">
      <c r="E2896" s="209" t="s">
        <v>377</v>
      </c>
      <c r="F2896" s="209" t="s">
        <v>2701</v>
      </c>
      <c r="G2896" s="413" t="str">
        <f t="shared" si="39"/>
        <v>07-13</v>
      </c>
      <c r="H2896" s="273" t="e">
        <f ca="1">_xludf.IFNA(VLOOKUP(Aragon!E2896,'Kilter Holds'!$P$37:$AB$662,10,0),0)</f>
        <v>#NAME?</v>
      </c>
      <c r="I2896" s="274"/>
      <c r="J2896" s="274" t="e">
        <f t="shared" ca="1" si="37"/>
        <v>#NAME?</v>
      </c>
      <c r="K2896" s="274">
        <f t="shared" si="38"/>
        <v>0</v>
      </c>
      <c r="N2896" s="274"/>
    </row>
    <row r="2897" spans="5:14" ht="13.5" customHeight="1">
      <c r="E2897" s="209" t="s">
        <v>377</v>
      </c>
      <c r="F2897" s="209" t="s">
        <v>2701</v>
      </c>
      <c r="G2897" s="414" t="str">
        <f t="shared" si="39"/>
        <v>11-26</v>
      </c>
      <c r="H2897" s="273" t="e">
        <f ca="1">_xludf.IFNA(VLOOKUP(Aragon!E2897,'Kilter Holds'!$P$37:$AB$662,11,0),0)</f>
        <v>#NAME?</v>
      </c>
      <c r="I2897" s="274"/>
      <c r="J2897" s="274" t="e">
        <f t="shared" ca="1" si="37"/>
        <v>#NAME?</v>
      </c>
      <c r="K2897" s="274">
        <f t="shared" si="38"/>
        <v>0</v>
      </c>
      <c r="N2897" s="274"/>
    </row>
    <row r="2898" spans="5:14" ht="13.5" customHeight="1">
      <c r="E2898" s="209" t="s">
        <v>377</v>
      </c>
      <c r="F2898" s="209" t="s">
        <v>2701</v>
      </c>
      <c r="G2898" s="415" t="str">
        <f t="shared" si="39"/>
        <v>18-01</v>
      </c>
      <c r="H2898" s="273" t="e">
        <f ca="1">_xludf.IFNA(VLOOKUP(Aragon!E2898,'Kilter Holds'!$P$37:$AB$662,12,0),0)</f>
        <v>#NAME?</v>
      </c>
      <c r="I2898" s="274"/>
      <c r="J2898" s="274" t="e">
        <f t="shared" ca="1" si="37"/>
        <v>#NAME?</v>
      </c>
      <c r="K2898" s="274">
        <f t="shared" si="38"/>
        <v>0</v>
      </c>
      <c r="N2898" s="274"/>
    </row>
    <row r="2899" spans="5:14" ht="13.5" customHeight="1">
      <c r="E2899" s="209" t="s">
        <v>377</v>
      </c>
      <c r="F2899" s="209" t="s">
        <v>2701</v>
      </c>
      <c r="G2899" s="416" t="str">
        <f t="shared" si="39"/>
        <v>Color Code</v>
      </c>
      <c r="H2899" s="273" t="e">
        <f ca="1">_xludf.IFNA(VLOOKUP(Aragon!E2899,'Kilter Holds'!$P$37:$AB$662,13,0),0)</f>
        <v>#NAME?</v>
      </c>
      <c r="I2899" s="274"/>
      <c r="J2899" s="274" t="e">
        <f t="shared" ca="1" si="37"/>
        <v>#NAME?</v>
      </c>
      <c r="K2899" s="274">
        <f t="shared" si="38"/>
        <v>0</v>
      </c>
      <c r="N2899" s="274"/>
    </row>
    <row r="2900" spans="5:14" ht="13.5" customHeight="1">
      <c r="E2900" s="209" t="s">
        <v>631</v>
      </c>
      <c r="F2900" s="209" t="s">
        <v>2702</v>
      </c>
      <c r="G2900" s="406" t="str">
        <f t="shared" si="39"/>
        <v>11-12</v>
      </c>
      <c r="H2900" s="273" t="e">
        <f ca="1">_xludf.IFNA(VLOOKUP(Aragon!E2900,'Kilter Holds'!$P$37:$AB$662,5,0),0)</f>
        <v>#NAME?</v>
      </c>
      <c r="I2900" s="274"/>
      <c r="J2900" s="274" t="e">
        <f t="shared" ca="1" si="37"/>
        <v>#NAME?</v>
      </c>
      <c r="K2900" s="274">
        <f t="shared" si="38"/>
        <v>0</v>
      </c>
      <c r="N2900" s="274"/>
    </row>
    <row r="2901" spans="5:14" ht="13.5" customHeight="1">
      <c r="E2901" s="209" t="s">
        <v>631</v>
      </c>
      <c r="F2901" s="209" t="s">
        <v>2702</v>
      </c>
      <c r="G2901" s="408" t="str">
        <f t="shared" si="39"/>
        <v>14-01</v>
      </c>
      <c r="H2901" s="273" t="e">
        <f ca="1">_xludf.IFNA(VLOOKUP(Aragon!E2901,'Kilter Holds'!$P$37:$AB$662,6,0),0)</f>
        <v>#NAME?</v>
      </c>
      <c r="I2901" s="274"/>
      <c r="J2901" s="274" t="e">
        <f t="shared" ca="1" si="37"/>
        <v>#NAME?</v>
      </c>
      <c r="K2901" s="274">
        <f t="shared" si="38"/>
        <v>0</v>
      </c>
      <c r="N2901" s="274"/>
    </row>
    <row r="2902" spans="5:14" ht="13.5" customHeight="1">
      <c r="E2902" s="209" t="s">
        <v>631</v>
      </c>
      <c r="F2902" s="209" t="s">
        <v>2702</v>
      </c>
      <c r="G2902" s="409" t="str">
        <f t="shared" si="39"/>
        <v>15-12</v>
      </c>
      <c r="H2902" s="273" t="e">
        <f ca="1">_xludf.IFNA(VLOOKUP(Aragon!E2902,'Kilter Holds'!$P$37:$AB$662,7,0),0)</f>
        <v>#NAME?</v>
      </c>
      <c r="I2902" s="274"/>
      <c r="J2902" s="274" t="e">
        <f t="shared" ca="1" si="37"/>
        <v>#NAME?</v>
      </c>
      <c r="K2902" s="274">
        <f t="shared" si="38"/>
        <v>0</v>
      </c>
      <c r="N2902" s="274"/>
    </row>
    <row r="2903" spans="5:14" ht="13.5" customHeight="1">
      <c r="E2903" s="209" t="s">
        <v>631</v>
      </c>
      <c r="F2903" s="209" t="s">
        <v>2702</v>
      </c>
      <c r="G2903" s="410" t="str">
        <f t="shared" si="39"/>
        <v>16-16</v>
      </c>
      <c r="H2903" s="273" t="e">
        <f ca="1">_xludf.IFNA(VLOOKUP(Aragon!E2903,'Kilter Holds'!$P$37:$AB$662,8,0),0)</f>
        <v>#NAME?</v>
      </c>
      <c r="I2903" s="274"/>
      <c r="J2903" s="274" t="e">
        <f t="shared" ca="1" si="37"/>
        <v>#NAME?</v>
      </c>
      <c r="K2903" s="274">
        <f t="shared" si="38"/>
        <v>0</v>
      </c>
      <c r="N2903" s="274"/>
    </row>
    <row r="2904" spans="5:14" ht="13.5" customHeight="1">
      <c r="E2904" s="209" t="s">
        <v>631</v>
      </c>
      <c r="F2904" s="209" t="s">
        <v>2702</v>
      </c>
      <c r="G2904" s="411" t="str">
        <f t="shared" si="39"/>
        <v>13-01</v>
      </c>
      <c r="H2904" s="273" t="e">
        <f ca="1">_xludf.IFNA(VLOOKUP(Aragon!E2904,'Kilter Holds'!$P$37:$AB$662,9,0),0)</f>
        <v>#NAME?</v>
      </c>
      <c r="I2904" s="274"/>
      <c r="J2904" s="274" t="e">
        <f t="shared" ca="1" si="37"/>
        <v>#NAME?</v>
      </c>
      <c r="K2904" s="274">
        <f t="shared" si="38"/>
        <v>0</v>
      </c>
      <c r="N2904" s="274"/>
    </row>
    <row r="2905" spans="5:14" ht="13.5" customHeight="1">
      <c r="E2905" s="209" t="s">
        <v>631</v>
      </c>
      <c r="F2905" s="209" t="s">
        <v>2702</v>
      </c>
      <c r="G2905" s="413" t="str">
        <f t="shared" si="39"/>
        <v>07-13</v>
      </c>
      <c r="H2905" s="273" t="e">
        <f ca="1">_xludf.IFNA(VLOOKUP(Aragon!E2905,'Kilter Holds'!$P$37:$AB$662,10,0),0)</f>
        <v>#NAME?</v>
      </c>
      <c r="I2905" s="274"/>
      <c r="J2905" s="274" t="e">
        <f t="shared" ca="1" si="37"/>
        <v>#NAME?</v>
      </c>
      <c r="K2905" s="274">
        <f t="shared" si="38"/>
        <v>0</v>
      </c>
      <c r="N2905" s="274"/>
    </row>
    <row r="2906" spans="5:14" ht="13.5" customHeight="1">
      <c r="E2906" s="209" t="s">
        <v>631</v>
      </c>
      <c r="F2906" s="209" t="s">
        <v>2702</v>
      </c>
      <c r="G2906" s="414" t="str">
        <f t="shared" si="39"/>
        <v>11-26</v>
      </c>
      <c r="H2906" s="273" t="e">
        <f ca="1">_xludf.IFNA(VLOOKUP(Aragon!E2906,'Kilter Holds'!$P$37:$AB$662,11,0),0)</f>
        <v>#NAME?</v>
      </c>
      <c r="I2906" s="274"/>
      <c r="J2906" s="274" t="e">
        <f t="shared" ca="1" si="37"/>
        <v>#NAME?</v>
      </c>
      <c r="K2906" s="274">
        <f t="shared" si="38"/>
        <v>0</v>
      </c>
      <c r="N2906" s="274"/>
    </row>
    <row r="2907" spans="5:14" ht="13.5" customHeight="1">
      <c r="E2907" s="209" t="s">
        <v>631</v>
      </c>
      <c r="F2907" s="209" t="s">
        <v>2702</v>
      </c>
      <c r="G2907" s="415" t="str">
        <f t="shared" si="39"/>
        <v>18-01</v>
      </c>
      <c r="H2907" s="273" t="e">
        <f ca="1">_xludf.IFNA(VLOOKUP(Aragon!E2907,'Kilter Holds'!$P$37:$AB$662,12,0),0)</f>
        <v>#NAME?</v>
      </c>
      <c r="I2907" s="274"/>
      <c r="J2907" s="274" t="e">
        <f t="shared" ca="1" si="37"/>
        <v>#NAME?</v>
      </c>
      <c r="K2907" s="274">
        <f t="shared" si="38"/>
        <v>0</v>
      </c>
      <c r="N2907" s="274"/>
    </row>
    <row r="2908" spans="5:14" ht="13.5" customHeight="1">
      <c r="E2908" s="209" t="s">
        <v>631</v>
      </c>
      <c r="F2908" s="209" t="s">
        <v>2702</v>
      </c>
      <c r="G2908" s="416" t="str">
        <f t="shared" si="39"/>
        <v>Color Code</v>
      </c>
      <c r="H2908" s="273" t="e">
        <f ca="1">_xludf.IFNA(VLOOKUP(Aragon!E2908,'Kilter Holds'!$P$37:$AB$662,13,0),0)</f>
        <v>#NAME?</v>
      </c>
      <c r="I2908" s="274"/>
      <c r="J2908" s="274" t="e">
        <f t="shared" ca="1" si="37"/>
        <v>#NAME?</v>
      </c>
      <c r="K2908" s="274">
        <f t="shared" si="38"/>
        <v>0</v>
      </c>
      <c r="N2908" s="274"/>
    </row>
    <row r="2909" spans="5:14" ht="13.5" customHeight="1">
      <c r="E2909" s="209" t="s">
        <v>1224</v>
      </c>
      <c r="F2909" s="209" t="s">
        <v>2703</v>
      </c>
      <c r="G2909" s="406" t="str">
        <f t="shared" si="39"/>
        <v>11-12</v>
      </c>
      <c r="H2909" s="273" t="e">
        <f ca="1">_xludf.IFNA(VLOOKUP(Aragon!E2909,'Kilter Holds'!$P$37:$AB$662,5,0),0)</f>
        <v>#NAME?</v>
      </c>
      <c r="I2909" s="274"/>
      <c r="J2909" s="274" t="e">
        <f t="shared" ca="1" si="37"/>
        <v>#NAME?</v>
      </c>
      <c r="K2909" s="274">
        <f t="shared" si="38"/>
        <v>0</v>
      </c>
      <c r="N2909" s="274"/>
    </row>
    <row r="2910" spans="5:14" ht="13.5" customHeight="1">
      <c r="E2910" s="209" t="s">
        <v>1224</v>
      </c>
      <c r="F2910" s="209" t="s">
        <v>2703</v>
      </c>
      <c r="G2910" s="408" t="str">
        <f t="shared" si="39"/>
        <v>14-01</v>
      </c>
      <c r="H2910" s="273" t="e">
        <f ca="1">_xludf.IFNA(VLOOKUP(Aragon!E2910,'Kilter Holds'!$P$37:$AB$662,6,0),0)</f>
        <v>#NAME?</v>
      </c>
      <c r="I2910" s="274"/>
      <c r="J2910" s="274" t="e">
        <f t="shared" ca="1" si="37"/>
        <v>#NAME?</v>
      </c>
      <c r="K2910" s="274">
        <f t="shared" si="38"/>
        <v>0</v>
      </c>
      <c r="N2910" s="274"/>
    </row>
    <row r="2911" spans="5:14" ht="13.5" customHeight="1">
      <c r="E2911" s="209" t="s">
        <v>1224</v>
      </c>
      <c r="F2911" s="209" t="s">
        <v>2703</v>
      </c>
      <c r="G2911" s="409" t="str">
        <f t="shared" si="39"/>
        <v>15-12</v>
      </c>
      <c r="H2911" s="273" t="e">
        <f ca="1">_xludf.IFNA(VLOOKUP(Aragon!E2911,'Kilter Holds'!$P$37:$AB$662,7,0),0)</f>
        <v>#NAME?</v>
      </c>
      <c r="I2911" s="274"/>
      <c r="J2911" s="274" t="e">
        <f t="shared" ca="1" si="37"/>
        <v>#NAME?</v>
      </c>
      <c r="K2911" s="274">
        <f t="shared" si="38"/>
        <v>0</v>
      </c>
      <c r="N2911" s="274"/>
    </row>
    <row r="2912" spans="5:14" ht="13.5" customHeight="1">
      <c r="E2912" s="209" t="s">
        <v>1224</v>
      </c>
      <c r="F2912" s="209" t="s">
        <v>2703</v>
      </c>
      <c r="G2912" s="410" t="str">
        <f t="shared" si="39"/>
        <v>16-16</v>
      </c>
      <c r="H2912" s="273" t="e">
        <f ca="1">_xludf.IFNA(VLOOKUP(Aragon!E2912,'Kilter Holds'!$P$37:$AB$662,8,0),0)</f>
        <v>#NAME?</v>
      </c>
      <c r="I2912" s="274"/>
      <c r="J2912" s="274" t="e">
        <f t="shared" ca="1" si="37"/>
        <v>#NAME?</v>
      </c>
      <c r="K2912" s="274">
        <f t="shared" si="38"/>
        <v>0</v>
      </c>
      <c r="N2912" s="274"/>
    </row>
    <row r="2913" spans="5:14" ht="13.5" customHeight="1">
      <c r="E2913" s="209" t="s">
        <v>1224</v>
      </c>
      <c r="F2913" s="209" t="s">
        <v>2703</v>
      </c>
      <c r="G2913" s="411" t="str">
        <f t="shared" si="39"/>
        <v>13-01</v>
      </c>
      <c r="H2913" s="273" t="e">
        <f ca="1">_xludf.IFNA(VLOOKUP(Aragon!E2913,'Kilter Holds'!$P$37:$AB$662,9,0),0)</f>
        <v>#NAME?</v>
      </c>
      <c r="I2913" s="274"/>
      <c r="J2913" s="274" t="e">
        <f t="shared" ca="1" si="37"/>
        <v>#NAME?</v>
      </c>
      <c r="K2913" s="274">
        <f t="shared" si="38"/>
        <v>0</v>
      </c>
      <c r="N2913" s="274"/>
    </row>
    <row r="2914" spans="5:14" ht="13.5" customHeight="1">
      <c r="E2914" s="209" t="s">
        <v>1224</v>
      </c>
      <c r="F2914" s="209" t="s">
        <v>2703</v>
      </c>
      <c r="G2914" s="413" t="str">
        <f t="shared" si="39"/>
        <v>07-13</v>
      </c>
      <c r="H2914" s="273" t="e">
        <f ca="1">_xludf.IFNA(VLOOKUP(Aragon!E2914,'Kilter Holds'!$P$37:$AB$662,10,0),0)</f>
        <v>#NAME?</v>
      </c>
      <c r="I2914" s="274"/>
      <c r="J2914" s="274" t="e">
        <f t="shared" ca="1" si="37"/>
        <v>#NAME?</v>
      </c>
      <c r="K2914" s="274">
        <f t="shared" si="38"/>
        <v>0</v>
      </c>
      <c r="N2914" s="274"/>
    </row>
    <row r="2915" spans="5:14" ht="13.5" customHeight="1">
      <c r="E2915" s="209" t="s">
        <v>1224</v>
      </c>
      <c r="F2915" s="209" t="s">
        <v>2703</v>
      </c>
      <c r="G2915" s="414" t="str">
        <f t="shared" si="39"/>
        <v>11-26</v>
      </c>
      <c r="H2915" s="273" t="e">
        <f ca="1">_xludf.IFNA(VLOOKUP(Aragon!E2915,'Kilter Holds'!$P$37:$AB$662,11,0),0)</f>
        <v>#NAME?</v>
      </c>
      <c r="I2915" s="274"/>
      <c r="J2915" s="274" t="e">
        <f t="shared" ca="1" si="37"/>
        <v>#NAME?</v>
      </c>
      <c r="K2915" s="274">
        <f t="shared" si="38"/>
        <v>0</v>
      </c>
      <c r="N2915" s="274"/>
    </row>
    <row r="2916" spans="5:14" ht="13.5" customHeight="1">
      <c r="E2916" s="209" t="s">
        <v>1224</v>
      </c>
      <c r="F2916" s="209" t="s">
        <v>2703</v>
      </c>
      <c r="G2916" s="415" t="str">
        <f t="shared" si="39"/>
        <v>18-01</v>
      </c>
      <c r="H2916" s="273" t="e">
        <f ca="1">_xludf.IFNA(VLOOKUP(Aragon!E2916,'Kilter Holds'!$P$37:$AB$662,12,0),0)</f>
        <v>#NAME?</v>
      </c>
      <c r="I2916" s="274"/>
      <c r="J2916" s="274" t="e">
        <f t="shared" ca="1" si="37"/>
        <v>#NAME?</v>
      </c>
      <c r="K2916" s="274">
        <f t="shared" si="38"/>
        <v>0</v>
      </c>
      <c r="N2916" s="274"/>
    </row>
    <row r="2917" spans="5:14" ht="13.5" customHeight="1">
      <c r="E2917" s="209" t="s">
        <v>1224</v>
      </c>
      <c r="F2917" s="209" t="s">
        <v>2703</v>
      </c>
      <c r="G2917" s="416" t="str">
        <f t="shared" si="39"/>
        <v>Color Code</v>
      </c>
      <c r="H2917" s="273" t="e">
        <f ca="1">_xludf.IFNA(VLOOKUP(Aragon!E2917,'Kilter Holds'!$P$37:$AB$662,13,0),0)</f>
        <v>#NAME?</v>
      </c>
      <c r="I2917" s="274"/>
      <c r="J2917" s="274" t="e">
        <f t="shared" ca="1" si="37"/>
        <v>#NAME?</v>
      </c>
      <c r="K2917" s="274">
        <f t="shared" si="38"/>
        <v>0</v>
      </c>
      <c r="N2917" s="274"/>
    </row>
    <row r="2918" spans="5:14" ht="13.5" customHeight="1">
      <c r="E2918" s="209" t="s">
        <v>2704</v>
      </c>
      <c r="F2918" s="209" t="s">
        <v>2705</v>
      </c>
      <c r="G2918" s="406" t="str">
        <f t="shared" si="39"/>
        <v>11-12</v>
      </c>
      <c r="H2918" s="273" t="e">
        <f ca="1">_xludf.IFNA(VLOOKUP(Aragon!E2918,'Kilter Holds'!$P$37:$AB$662,5,0),0)</f>
        <v>#NAME?</v>
      </c>
      <c r="I2918" s="274"/>
      <c r="J2918" s="274" t="e">
        <f t="shared" ca="1" si="37"/>
        <v>#NAME?</v>
      </c>
      <c r="K2918" s="274">
        <f t="shared" si="38"/>
        <v>0</v>
      </c>
      <c r="N2918" s="274"/>
    </row>
    <row r="2919" spans="5:14" ht="13.5" customHeight="1">
      <c r="E2919" s="209" t="s">
        <v>2704</v>
      </c>
      <c r="F2919" s="209" t="s">
        <v>2705</v>
      </c>
      <c r="G2919" s="408" t="str">
        <f t="shared" si="39"/>
        <v>14-01</v>
      </c>
      <c r="H2919" s="273" t="e">
        <f ca="1">_xludf.IFNA(VLOOKUP(Aragon!E2919,'Kilter Holds'!$P$37:$AB$662,6,0),0)</f>
        <v>#NAME?</v>
      </c>
      <c r="I2919" s="274"/>
      <c r="J2919" s="274" t="e">
        <f t="shared" ca="1" si="37"/>
        <v>#NAME?</v>
      </c>
      <c r="K2919" s="274">
        <f t="shared" si="38"/>
        <v>0</v>
      </c>
      <c r="N2919" s="274"/>
    </row>
    <row r="2920" spans="5:14" ht="13.5" customHeight="1">
      <c r="E2920" s="209" t="s">
        <v>2704</v>
      </c>
      <c r="F2920" s="209" t="s">
        <v>2705</v>
      </c>
      <c r="G2920" s="409" t="str">
        <f t="shared" si="39"/>
        <v>15-12</v>
      </c>
      <c r="H2920" s="273" t="e">
        <f ca="1">_xludf.IFNA(VLOOKUP(Aragon!E2920,'Kilter Holds'!$P$37:$AB$662,7,0),0)</f>
        <v>#NAME?</v>
      </c>
      <c r="I2920" s="274"/>
      <c r="J2920" s="274" t="e">
        <f t="shared" ca="1" si="37"/>
        <v>#NAME?</v>
      </c>
      <c r="K2920" s="274">
        <f t="shared" si="38"/>
        <v>0</v>
      </c>
      <c r="N2920" s="274"/>
    </row>
    <row r="2921" spans="5:14" ht="13.5" customHeight="1">
      <c r="E2921" s="209" t="s">
        <v>2704</v>
      </c>
      <c r="F2921" s="209" t="s">
        <v>2705</v>
      </c>
      <c r="G2921" s="410" t="str">
        <f t="shared" si="39"/>
        <v>16-16</v>
      </c>
      <c r="H2921" s="273" t="e">
        <f ca="1">_xludf.IFNA(VLOOKUP(Aragon!E2921,'Kilter Holds'!$P$37:$AB$662,8,0),0)</f>
        <v>#NAME?</v>
      </c>
      <c r="I2921" s="274"/>
      <c r="J2921" s="274" t="e">
        <f t="shared" ca="1" si="37"/>
        <v>#NAME?</v>
      </c>
      <c r="K2921" s="274">
        <f t="shared" si="38"/>
        <v>0</v>
      </c>
      <c r="N2921" s="274"/>
    </row>
    <row r="2922" spans="5:14" ht="13.5" customHeight="1">
      <c r="E2922" s="209" t="s">
        <v>2704</v>
      </c>
      <c r="F2922" s="209" t="s">
        <v>2705</v>
      </c>
      <c r="G2922" s="411" t="str">
        <f t="shared" si="39"/>
        <v>13-01</v>
      </c>
      <c r="H2922" s="273" t="e">
        <f ca="1">_xludf.IFNA(VLOOKUP(Aragon!E2922,'Kilter Holds'!$P$37:$AB$662,9,0),0)</f>
        <v>#NAME?</v>
      </c>
      <c r="I2922" s="274"/>
      <c r="J2922" s="274" t="e">
        <f t="shared" ca="1" si="37"/>
        <v>#NAME?</v>
      </c>
      <c r="K2922" s="274">
        <f t="shared" si="38"/>
        <v>0</v>
      </c>
      <c r="N2922" s="274"/>
    </row>
    <row r="2923" spans="5:14" ht="13.5" customHeight="1">
      <c r="E2923" s="209" t="s">
        <v>2704</v>
      </c>
      <c r="F2923" s="209" t="s">
        <v>2705</v>
      </c>
      <c r="G2923" s="413" t="str">
        <f t="shared" si="39"/>
        <v>07-13</v>
      </c>
      <c r="H2923" s="273" t="e">
        <f ca="1">_xludf.IFNA(VLOOKUP(Aragon!E2923,'Kilter Holds'!$P$37:$AB$662,10,0),0)</f>
        <v>#NAME?</v>
      </c>
      <c r="I2923" s="274"/>
      <c r="J2923" s="274" t="e">
        <f t="shared" ca="1" si="37"/>
        <v>#NAME?</v>
      </c>
      <c r="K2923" s="274">
        <f t="shared" si="38"/>
        <v>0</v>
      </c>
      <c r="N2923" s="274"/>
    </row>
    <row r="2924" spans="5:14" ht="13.5" customHeight="1">
      <c r="E2924" s="209" t="s">
        <v>2704</v>
      </c>
      <c r="F2924" s="209" t="s">
        <v>2705</v>
      </c>
      <c r="G2924" s="414" t="str">
        <f t="shared" si="39"/>
        <v>11-26</v>
      </c>
      <c r="H2924" s="273" t="e">
        <f ca="1">_xludf.IFNA(VLOOKUP(Aragon!E2924,'Kilter Holds'!$P$37:$AB$662,11,0),0)</f>
        <v>#NAME?</v>
      </c>
      <c r="I2924" s="274"/>
      <c r="J2924" s="274" t="e">
        <f t="shared" ca="1" si="37"/>
        <v>#NAME?</v>
      </c>
      <c r="K2924" s="274">
        <f t="shared" si="38"/>
        <v>0</v>
      </c>
      <c r="N2924" s="274"/>
    </row>
    <row r="2925" spans="5:14" ht="13.5" customHeight="1">
      <c r="E2925" s="209" t="s">
        <v>2704</v>
      </c>
      <c r="F2925" s="209" t="s">
        <v>2705</v>
      </c>
      <c r="G2925" s="415" t="str">
        <f t="shared" si="39"/>
        <v>18-01</v>
      </c>
      <c r="H2925" s="273" t="e">
        <f ca="1">_xludf.IFNA(VLOOKUP(Aragon!E2925,'Kilter Holds'!$P$37:$AB$662,12,0),0)</f>
        <v>#NAME?</v>
      </c>
      <c r="I2925" s="274"/>
      <c r="J2925" s="274" t="e">
        <f t="shared" ca="1" si="37"/>
        <v>#NAME?</v>
      </c>
      <c r="K2925" s="274">
        <f t="shared" si="38"/>
        <v>0</v>
      </c>
      <c r="N2925" s="274"/>
    </row>
    <row r="2926" spans="5:14" ht="13.5" customHeight="1">
      <c r="E2926" s="209" t="s">
        <v>2704</v>
      </c>
      <c r="F2926" s="209" t="s">
        <v>2705</v>
      </c>
      <c r="G2926" s="416" t="str">
        <f t="shared" si="39"/>
        <v>Color Code</v>
      </c>
      <c r="H2926" s="273" t="e">
        <f ca="1">_xludf.IFNA(VLOOKUP(Aragon!E2926,'Kilter Holds'!$P$37:$AB$662,13,0),0)</f>
        <v>#NAME?</v>
      </c>
      <c r="I2926" s="274"/>
      <c r="J2926" s="274" t="e">
        <f t="shared" ca="1" si="37"/>
        <v>#NAME?</v>
      </c>
      <c r="K2926" s="274">
        <f t="shared" si="38"/>
        <v>0</v>
      </c>
      <c r="N2926" s="274"/>
    </row>
    <row r="2927" spans="5:14" ht="13.5" customHeight="1">
      <c r="E2927" s="209" t="s">
        <v>529</v>
      </c>
      <c r="F2927" s="209" t="s">
        <v>2706</v>
      </c>
      <c r="G2927" s="406" t="str">
        <f t="shared" si="39"/>
        <v>11-12</v>
      </c>
      <c r="H2927" s="273" t="e">
        <f ca="1">_xludf.IFNA(VLOOKUP(Aragon!E2927,'Kilter Holds'!$P$37:$AB$662,5,0),0)</f>
        <v>#NAME?</v>
      </c>
      <c r="I2927" s="274"/>
      <c r="J2927" s="274" t="e">
        <f t="shared" ca="1" si="37"/>
        <v>#NAME?</v>
      </c>
      <c r="K2927" s="274">
        <f t="shared" si="38"/>
        <v>0</v>
      </c>
      <c r="N2927" s="274"/>
    </row>
    <row r="2928" spans="5:14" ht="13.5" customHeight="1">
      <c r="E2928" s="209" t="s">
        <v>529</v>
      </c>
      <c r="F2928" s="209" t="s">
        <v>2706</v>
      </c>
      <c r="G2928" s="408" t="str">
        <f t="shared" si="39"/>
        <v>14-01</v>
      </c>
      <c r="H2928" s="273" t="e">
        <f ca="1">_xludf.IFNA(VLOOKUP(Aragon!E2928,'Kilter Holds'!$P$37:$AB$662,6,0),0)</f>
        <v>#NAME?</v>
      </c>
      <c r="I2928" s="274"/>
      <c r="J2928" s="274" t="e">
        <f t="shared" ca="1" si="37"/>
        <v>#NAME?</v>
      </c>
      <c r="K2928" s="274">
        <f t="shared" si="38"/>
        <v>0</v>
      </c>
      <c r="N2928" s="274"/>
    </row>
    <row r="2929" spans="5:14" ht="13.5" customHeight="1">
      <c r="E2929" s="209" t="s">
        <v>529</v>
      </c>
      <c r="F2929" s="209" t="s">
        <v>2706</v>
      </c>
      <c r="G2929" s="409" t="str">
        <f t="shared" si="39"/>
        <v>15-12</v>
      </c>
      <c r="H2929" s="273" t="e">
        <f ca="1">_xludf.IFNA(VLOOKUP(Aragon!E2929,'Kilter Holds'!$P$37:$AB$662,7,0),0)</f>
        <v>#NAME?</v>
      </c>
      <c r="I2929" s="274"/>
      <c r="J2929" s="274" t="e">
        <f t="shared" ca="1" si="37"/>
        <v>#NAME?</v>
      </c>
      <c r="K2929" s="274">
        <f t="shared" si="38"/>
        <v>0</v>
      </c>
      <c r="N2929" s="274"/>
    </row>
    <row r="2930" spans="5:14" ht="13.5" customHeight="1">
      <c r="E2930" s="209" t="s">
        <v>529</v>
      </c>
      <c r="F2930" s="209" t="s">
        <v>2706</v>
      </c>
      <c r="G2930" s="410" t="str">
        <f t="shared" si="39"/>
        <v>16-16</v>
      </c>
      <c r="H2930" s="273" t="e">
        <f ca="1">_xludf.IFNA(VLOOKUP(Aragon!E2930,'Kilter Holds'!$P$37:$AB$662,8,0),0)</f>
        <v>#NAME?</v>
      </c>
      <c r="I2930" s="274"/>
      <c r="J2930" s="274" t="e">
        <f t="shared" ca="1" si="37"/>
        <v>#NAME?</v>
      </c>
      <c r="K2930" s="274">
        <f t="shared" si="38"/>
        <v>0</v>
      </c>
      <c r="N2930" s="274"/>
    </row>
    <row r="2931" spans="5:14" ht="13.5" customHeight="1">
      <c r="E2931" s="209" t="s">
        <v>529</v>
      </c>
      <c r="F2931" s="209" t="s">
        <v>2706</v>
      </c>
      <c r="G2931" s="411" t="str">
        <f t="shared" si="39"/>
        <v>13-01</v>
      </c>
      <c r="H2931" s="273" t="e">
        <f ca="1">_xludf.IFNA(VLOOKUP(Aragon!E2931,'Kilter Holds'!$P$37:$AB$662,9,0),0)</f>
        <v>#NAME?</v>
      </c>
      <c r="I2931" s="274"/>
      <c r="J2931" s="274" t="e">
        <f t="shared" ca="1" si="37"/>
        <v>#NAME?</v>
      </c>
      <c r="K2931" s="274">
        <f t="shared" si="38"/>
        <v>0</v>
      </c>
      <c r="N2931" s="274"/>
    </row>
    <row r="2932" spans="5:14" ht="13.5" customHeight="1">
      <c r="E2932" s="209" t="s">
        <v>529</v>
      </c>
      <c r="F2932" s="209" t="s">
        <v>2706</v>
      </c>
      <c r="G2932" s="413" t="str">
        <f t="shared" si="39"/>
        <v>07-13</v>
      </c>
      <c r="H2932" s="273" t="e">
        <f ca="1">_xludf.IFNA(VLOOKUP(Aragon!E2932,'Kilter Holds'!$P$37:$AB$662,10,0),0)</f>
        <v>#NAME?</v>
      </c>
      <c r="I2932" s="274"/>
      <c r="J2932" s="274" t="e">
        <f t="shared" ca="1" si="37"/>
        <v>#NAME?</v>
      </c>
      <c r="K2932" s="274">
        <f t="shared" si="38"/>
        <v>0</v>
      </c>
      <c r="N2932" s="274"/>
    </row>
    <row r="2933" spans="5:14" ht="13.5" customHeight="1">
      <c r="E2933" s="209" t="s">
        <v>529</v>
      </c>
      <c r="F2933" s="209" t="s">
        <v>2706</v>
      </c>
      <c r="G2933" s="414" t="str">
        <f t="shared" si="39"/>
        <v>11-26</v>
      </c>
      <c r="H2933" s="273" t="e">
        <f ca="1">_xludf.IFNA(VLOOKUP(Aragon!E2933,'Kilter Holds'!$P$37:$AB$662,11,0),0)</f>
        <v>#NAME?</v>
      </c>
      <c r="I2933" s="274"/>
      <c r="J2933" s="274" t="e">
        <f t="shared" ca="1" si="37"/>
        <v>#NAME?</v>
      </c>
      <c r="K2933" s="274">
        <f t="shared" si="38"/>
        <v>0</v>
      </c>
      <c r="N2933" s="274"/>
    </row>
    <row r="2934" spans="5:14" ht="13.5" customHeight="1">
      <c r="E2934" s="209" t="s">
        <v>529</v>
      </c>
      <c r="F2934" s="209" t="s">
        <v>2706</v>
      </c>
      <c r="G2934" s="415" t="str">
        <f t="shared" si="39"/>
        <v>18-01</v>
      </c>
      <c r="H2934" s="273" t="e">
        <f ca="1">_xludf.IFNA(VLOOKUP(Aragon!E2934,'Kilter Holds'!$P$37:$AB$662,12,0),0)</f>
        <v>#NAME?</v>
      </c>
      <c r="I2934" s="274"/>
      <c r="J2934" s="274" t="e">
        <f t="shared" ca="1" si="37"/>
        <v>#NAME?</v>
      </c>
      <c r="K2934" s="274">
        <f t="shared" si="38"/>
        <v>0</v>
      </c>
      <c r="N2934" s="274"/>
    </row>
    <row r="2935" spans="5:14" ht="13.5" customHeight="1">
      <c r="E2935" s="209" t="s">
        <v>529</v>
      </c>
      <c r="F2935" s="209" t="s">
        <v>2706</v>
      </c>
      <c r="G2935" s="416" t="str">
        <f t="shared" si="39"/>
        <v>Color Code</v>
      </c>
      <c r="H2935" s="273" t="e">
        <f ca="1">_xludf.IFNA(VLOOKUP(Aragon!E2935,'Kilter Holds'!$P$37:$AB$662,13,0),0)</f>
        <v>#NAME?</v>
      </c>
      <c r="I2935" s="274"/>
      <c r="J2935" s="274" t="e">
        <f t="shared" ca="1" si="37"/>
        <v>#NAME?</v>
      </c>
      <c r="K2935" s="274">
        <f t="shared" si="38"/>
        <v>0</v>
      </c>
      <c r="N2935" s="274"/>
    </row>
    <row r="2936" spans="5:14" ht="13.5" customHeight="1">
      <c r="E2936" s="209" t="s">
        <v>531</v>
      </c>
      <c r="F2936" s="209" t="s">
        <v>2707</v>
      </c>
      <c r="G2936" s="406" t="str">
        <f t="shared" si="39"/>
        <v>11-12</v>
      </c>
      <c r="H2936" s="273" t="e">
        <f ca="1">_xludf.IFNA(VLOOKUP(Aragon!E2936,'Kilter Holds'!$P$37:$AB$662,5,0),0)</f>
        <v>#NAME?</v>
      </c>
      <c r="I2936" s="274"/>
      <c r="J2936" s="274" t="e">
        <f t="shared" ca="1" si="37"/>
        <v>#NAME?</v>
      </c>
      <c r="K2936" s="274">
        <f t="shared" si="38"/>
        <v>0</v>
      </c>
      <c r="N2936" s="274"/>
    </row>
    <row r="2937" spans="5:14" ht="13.5" customHeight="1">
      <c r="E2937" s="209" t="s">
        <v>531</v>
      </c>
      <c r="F2937" s="209" t="s">
        <v>2707</v>
      </c>
      <c r="G2937" s="408" t="str">
        <f t="shared" si="39"/>
        <v>14-01</v>
      </c>
      <c r="H2937" s="273" t="e">
        <f ca="1">_xludf.IFNA(VLOOKUP(Aragon!E2937,'Kilter Holds'!$P$37:$AB$662,6,0),0)</f>
        <v>#NAME?</v>
      </c>
      <c r="I2937" s="274"/>
      <c r="J2937" s="274" t="e">
        <f t="shared" ca="1" si="37"/>
        <v>#NAME?</v>
      </c>
      <c r="K2937" s="274">
        <f t="shared" si="38"/>
        <v>0</v>
      </c>
      <c r="N2937" s="274"/>
    </row>
    <row r="2938" spans="5:14" ht="13.5" customHeight="1">
      <c r="E2938" s="209" t="s">
        <v>531</v>
      </c>
      <c r="F2938" s="209" t="s">
        <v>2707</v>
      </c>
      <c r="G2938" s="409" t="str">
        <f t="shared" si="39"/>
        <v>15-12</v>
      </c>
      <c r="H2938" s="273" t="e">
        <f ca="1">_xludf.IFNA(VLOOKUP(Aragon!E2938,'Kilter Holds'!$P$37:$AB$662,7,0),0)</f>
        <v>#NAME?</v>
      </c>
      <c r="I2938" s="274"/>
      <c r="J2938" s="274" t="e">
        <f t="shared" ca="1" si="37"/>
        <v>#NAME?</v>
      </c>
      <c r="K2938" s="274">
        <f t="shared" si="38"/>
        <v>0</v>
      </c>
      <c r="N2938" s="274"/>
    </row>
    <row r="2939" spans="5:14" ht="13.5" customHeight="1">
      <c r="E2939" s="209" t="s">
        <v>531</v>
      </c>
      <c r="F2939" s="209" t="s">
        <v>2707</v>
      </c>
      <c r="G2939" s="410" t="str">
        <f t="shared" si="39"/>
        <v>16-16</v>
      </c>
      <c r="H2939" s="273" t="e">
        <f ca="1">_xludf.IFNA(VLOOKUP(Aragon!E2939,'Kilter Holds'!$P$37:$AB$662,8,0),0)</f>
        <v>#NAME?</v>
      </c>
      <c r="I2939" s="274"/>
      <c r="J2939" s="274" t="e">
        <f t="shared" ca="1" si="37"/>
        <v>#NAME?</v>
      </c>
      <c r="K2939" s="274">
        <f t="shared" si="38"/>
        <v>0</v>
      </c>
      <c r="N2939" s="274"/>
    </row>
    <row r="2940" spans="5:14" ht="13.5" customHeight="1">
      <c r="E2940" s="209" t="s">
        <v>531</v>
      </c>
      <c r="F2940" s="209" t="s">
        <v>2707</v>
      </c>
      <c r="G2940" s="411" t="str">
        <f t="shared" si="39"/>
        <v>13-01</v>
      </c>
      <c r="H2940" s="273" t="e">
        <f ca="1">_xludf.IFNA(VLOOKUP(Aragon!E2940,'Kilter Holds'!$P$37:$AB$662,9,0),0)</f>
        <v>#NAME?</v>
      </c>
      <c r="I2940" s="274"/>
      <c r="J2940" s="274" t="e">
        <f t="shared" ca="1" si="37"/>
        <v>#NAME?</v>
      </c>
      <c r="K2940" s="274">
        <f t="shared" si="38"/>
        <v>0</v>
      </c>
      <c r="N2940" s="274"/>
    </row>
    <row r="2941" spans="5:14" ht="13.5" customHeight="1">
      <c r="E2941" s="209" t="s">
        <v>531</v>
      </c>
      <c r="F2941" s="209" t="s">
        <v>2707</v>
      </c>
      <c r="G2941" s="413" t="str">
        <f t="shared" si="39"/>
        <v>07-13</v>
      </c>
      <c r="H2941" s="273" t="e">
        <f ca="1">_xludf.IFNA(VLOOKUP(Aragon!E2941,'Kilter Holds'!$P$37:$AB$662,10,0),0)</f>
        <v>#NAME?</v>
      </c>
      <c r="I2941" s="274"/>
      <c r="J2941" s="274" t="e">
        <f t="shared" ca="1" si="37"/>
        <v>#NAME?</v>
      </c>
      <c r="K2941" s="274">
        <f t="shared" si="38"/>
        <v>0</v>
      </c>
      <c r="N2941" s="274"/>
    </row>
    <row r="2942" spans="5:14" ht="13.5" customHeight="1">
      <c r="E2942" s="209" t="s">
        <v>531</v>
      </c>
      <c r="F2942" s="209" t="s">
        <v>2707</v>
      </c>
      <c r="G2942" s="414" t="str">
        <f t="shared" si="39"/>
        <v>11-26</v>
      </c>
      <c r="H2942" s="273" t="e">
        <f ca="1">_xludf.IFNA(VLOOKUP(Aragon!E2942,'Kilter Holds'!$P$37:$AB$662,11,0),0)</f>
        <v>#NAME?</v>
      </c>
      <c r="I2942" s="274"/>
      <c r="J2942" s="274" t="e">
        <f t="shared" ca="1" si="37"/>
        <v>#NAME?</v>
      </c>
      <c r="K2942" s="274">
        <f t="shared" si="38"/>
        <v>0</v>
      </c>
      <c r="N2942" s="274"/>
    </row>
    <row r="2943" spans="5:14" ht="13.5" customHeight="1">
      <c r="E2943" s="209" t="s">
        <v>531</v>
      </c>
      <c r="F2943" s="209" t="s">
        <v>2707</v>
      </c>
      <c r="G2943" s="415" t="str">
        <f t="shared" si="39"/>
        <v>18-01</v>
      </c>
      <c r="H2943" s="273" t="e">
        <f ca="1">_xludf.IFNA(VLOOKUP(Aragon!E2943,'Kilter Holds'!$P$37:$AB$662,12,0),0)</f>
        <v>#NAME?</v>
      </c>
      <c r="I2943" s="274"/>
      <c r="J2943" s="274" t="e">
        <f t="shared" ca="1" si="37"/>
        <v>#NAME?</v>
      </c>
      <c r="K2943" s="274">
        <f t="shared" si="38"/>
        <v>0</v>
      </c>
      <c r="N2943" s="274"/>
    </row>
    <row r="2944" spans="5:14" ht="13.5" customHeight="1">
      <c r="E2944" s="209" t="s">
        <v>531</v>
      </c>
      <c r="F2944" s="209" t="s">
        <v>2707</v>
      </c>
      <c r="G2944" s="416" t="str">
        <f t="shared" si="39"/>
        <v>Color Code</v>
      </c>
      <c r="H2944" s="273" t="e">
        <f ca="1">_xludf.IFNA(VLOOKUP(Aragon!E2944,'Kilter Holds'!$P$37:$AB$662,13,0),0)</f>
        <v>#NAME?</v>
      </c>
      <c r="I2944" s="274"/>
      <c r="J2944" s="274" t="e">
        <f t="shared" ca="1" si="37"/>
        <v>#NAME?</v>
      </c>
      <c r="K2944" s="274">
        <f t="shared" si="38"/>
        <v>0</v>
      </c>
      <c r="N2944" s="274"/>
    </row>
    <row r="2945" spans="5:14" ht="13.5" customHeight="1">
      <c r="E2945" s="209" t="s">
        <v>533</v>
      </c>
      <c r="F2945" s="209" t="s">
        <v>2708</v>
      </c>
      <c r="G2945" s="406" t="str">
        <f t="shared" si="39"/>
        <v>11-12</v>
      </c>
      <c r="H2945" s="273" t="e">
        <f ca="1">_xludf.IFNA(VLOOKUP(Aragon!E2945,'Kilter Holds'!$P$37:$AB$662,5,0),0)</f>
        <v>#NAME?</v>
      </c>
      <c r="I2945" s="274"/>
      <c r="J2945" s="274" t="e">
        <f t="shared" ca="1" si="37"/>
        <v>#NAME?</v>
      </c>
      <c r="K2945" s="274">
        <f t="shared" si="38"/>
        <v>0</v>
      </c>
      <c r="N2945" s="274"/>
    </row>
    <row r="2946" spans="5:14" ht="13.5" customHeight="1">
      <c r="E2946" s="209" t="s">
        <v>533</v>
      </c>
      <c r="F2946" s="209" t="s">
        <v>2708</v>
      </c>
      <c r="G2946" s="408" t="str">
        <f t="shared" si="39"/>
        <v>14-01</v>
      </c>
      <c r="H2946" s="273" t="e">
        <f ca="1">_xludf.IFNA(VLOOKUP(Aragon!E2946,'Kilter Holds'!$P$37:$AB$662,6,0),0)</f>
        <v>#NAME?</v>
      </c>
      <c r="I2946" s="274"/>
      <c r="J2946" s="274" t="e">
        <f t="shared" ca="1" si="37"/>
        <v>#NAME?</v>
      </c>
      <c r="K2946" s="274">
        <f t="shared" si="38"/>
        <v>0</v>
      </c>
      <c r="N2946" s="274"/>
    </row>
    <row r="2947" spans="5:14" ht="13.5" customHeight="1">
      <c r="E2947" s="209" t="s">
        <v>533</v>
      </c>
      <c r="F2947" s="209" t="s">
        <v>2708</v>
      </c>
      <c r="G2947" s="409" t="str">
        <f t="shared" si="39"/>
        <v>15-12</v>
      </c>
      <c r="H2947" s="273" t="e">
        <f ca="1">_xludf.IFNA(VLOOKUP(Aragon!E2947,'Kilter Holds'!$P$37:$AB$662,7,0),0)</f>
        <v>#NAME?</v>
      </c>
      <c r="I2947" s="274"/>
      <c r="J2947" s="274" t="e">
        <f t="shared" ca="1" si="37"/>
        <v>#NAME?</v>
      </c>
      <c r="K2947" s="274">
        <f t="shared" si="38"/>
        <v>0</v>
      </c>
      <c r="N2947" s="274"/>
    </row>
    <row r="2948" spans="5:14" ht="13.5" customHeight="1">
      <c r="E2948" s="209" t="s">
        <v>533</v>
      </c>
      <c r="F2948" s="209" t="s">
        <v>2708</v>
      </c>
      <c r="G2948" s="410" t="str">
        <f t="shared" si="39"/>
        <v>16-16</v>
      </c>
      <c r="H2948" s="273" t="e">
        <f ca="1">_xludf.IFNA(VLOOKUP(Aragon!E2948,'Kilter Holds'!$P$37:$AB$662,8,0),0)</f>
        <v>#NAME?</v>
      </c>
      <c r="I2948" s="274"/>
      <c r="J2948" s="274" t="e">
        <f t="shared" ca="1" si="37"/>
        <v>#NAME?</v>
      </c>
      <c r="K2948" s="274">
        <f t="shared" si="38"/>
        <v>0</v>
      </c>
      <c r="N2948" s="274"/>
    </row>
    <row r="2949" spans="5:14" ht="13.5" customHeight="1">
      <c r="E2949" s="209" t="s">
        <v>533</v>
      </c>
      <c r="F2949" s="209" t="s">
        <v>2708</v>
      </c>
      <c r="G2949" s="411" t="str">
        <f t="shared" si="39"/>
        <v>13-01</v>
      </c>
      <c r="H2949" s="273" t="e">
        <f ca="1">_xludf.IFNA(VLOOKUP(Aragon!E2949,'Kilter Holds'!$P$37:$AB$662,9,0),0)</f>
        <v>#NAME?</v>
      </c>
      <c r="I2949" s="274"/>
      <c r="J2949" s="274" t="e">
        <f t="shared" ca="1" si="37"/>
        <v>#NAME?</v>
      </c>
      <c r="K2949" s="274">
        <f t="shared" si="38"/>
        <v>0</v>
      </c>
      <c r="N2949" s="274"/>
    </row>
    <row r="2950" spans="5:14" ht="13.5" customHeight="1">
      <c r="E2950" s="209" t="s">
        <v>533</v>
      </c>
      <c r="F2950" s="209" t="s">
        <v>2708</v>
      </c>
      <c r="G2950" s="413" t="str">
        <f t="shared" si="39"/>
        <v>07-13</v>
      </c>
      <c r="H2950" s="273" t="e">
        <f ca="1">_xludf.IFNA(VLOOKUP(Aragon!E2950,'Kilter Holds'!$P$37:$AB$662,10,0),0)</f>
        <v>#NAME?</v>
      </c>
      <c r="I2950" s="274"/>
      <c r="J2950" s="274" t="e">
        <f t="shared" ca="1" si="37"/>
        <v>#NAME?</v>
      </c>
      <c r="K2950" s="274">
        <f t="shared" si="38"/>
        <v>0</v>
      </c>
      <c r="N2950" s="274"/>
    </row>
    <row r="2951" spans="5:14" ht="13.5" customHeight="1">
      <c r="E2951" s="209" t="s">
        <v>533</v>
      </c>
      <c r="F2951" s="209" t="s">
        <v>2708</v>
      </c>
      <c r="G2951" s="414" t="str">
        <f t="shared" si="39"/>
        <v>11-26</v>
      </c>
      <c r="H2951" s="273" t="e">
        <f ca="1">_xludf.IFNA(VLOOKUP(Aragon!E2951,'Kilter Holds'!$P$37:$AB$662,11,0),0)</f>
        <v>#NAME?</v>
      </c>
      <c r="I2951" s="274"/>
      <c r="J2951" s="274" t="e">
        <f t="shared" ca="1" si="37"/>
        <v>#NAME?</v>
      </c>
      <c r="K2951" s="274">
        <f t="shared" si="38"/>
        <v>0</v>
      </c>
      <c r="N2951" s="274"/>
    </row>
    <row r="2952" spans="5:14" ht="13.5" customHeight="1">
      <c r="E2952" s="209" t="s">
        <v>533</v>
      </c>
      <c r="F2952" s="209" t="s">
        <v>2708</v>
      </c>
      <c r="G2952" s="415" t="str">
        <f t="shared" si="39"/>
        <v>18-01</v>
      </c>
      <c r="H2952" s="273" t="e">
        <f ca="1">_xludf.IFNA(VLOOKUP(Aragon!E2952,'Kilter Holds'!$P$37:$AB$662,12,0),0)</f>
        <v>#NAME?</v>
      </c>
      <c r="I2952" s="274"/>
      <c r="J2952" s="274" t="e">
        <f t="shared" ca="1" si="37"/>
        <v>#NAME?</v>
      </c>
      <c r="K2952" s="274">
        <f t="shared" si="38"/>
        <v>0</v>
      </c>
      <c r="N2952" s="274"/>
    </row>
    <row r="2953" spans="5:14" ht="13.5" customHeight="1">
      <c r="E2953" s="209" t="s">
        <v>533</v>
      </c>
      <c r="F2953" s="209" t="s">
        <v>2708</v>
      </c>
      <c r="G2953" s="416" t="str">
        <f t="shared" si="39"/>
        <v>Color Code</v>
      </c>
      <c r="H2953" s="273" t="e">
        <f ca="1">_xludf.IFNA(VLOOKUP(Aragon!E2953,'Kilter Holds'!$P$37:$AB$662,13,0),0)</f>
        <v>#NAME?</v>
      </c>
      <c r="I2953" s="274"/>
      <c r="J2953" s="274" t="e">
        <f t="shared" ca="1" si="37"/>
        <v>#NAME?</v>
      </c>
      <c r="K2953" s="274">
        <f t="shared" si="38"/>
        <v>0</v>
      </c>
      <c r="N2953" s="274"/>
    </row>
    <row r="2954" spans="5:14" ht="13.5" customHeight="1">
      <c r="E2954" s="209" t="s">
        <v>618</v>
      </c>
      <c r="F2954" s="209" t="s">
        <v>2709</v>
      </c>
      <c r="G2954" s="406" t="str">
        <f t="shared" si="39"/>
        <v>11-12</v>
      </c>
      <c r="H2954" s="273" t="e">
        <f ca="1">_xludf.IFNA(VLOOKUP(Aragon!E2954,'Kilter Holds'!$P$37:$AB$662,5,0),0)</f>
        <v>#NAME?</v>
      </c>
      <c r="I2954" s="274"/>
      <c r="J2954" s="274" t="e">
        <f t="shared" ca="1" si="37"/>
        <v>#NAME?</v>
      </c>
      <c r="K2954" s="274">
        <f t="shared" si="38"/>
        <v>0</v>
      </c>
      <c r="N2954" s="274"/>
    </row>
    <row r="2955" spans="5:14" ht="13.5" customHeight="1">
      <c r="E2955" s="209" t="s">
        <v>618</v>
      </c>
      <c r="F2955" s="209" t="s">
        <v>2709</v>
      </c>
      <c r="G2955" s="408" t="str">
        <f t="shared" si="39"/>
        <v>14-01</v>
      </c>
      <c r="H2955" s="273" t="e">
        <f ca="1">_xludf.IFNA(VLOOKUP(Aragon!E2955,'Kilter Holds'!$P$37:$AB$662,6,0),0)</f>
        <v>#NAME?</v>
      </c>
      <c r="I2955" s="274"/>
      <c r="J2955" s="274" t="e">
        <f t="shared" ca="1" si="37"/>
        <v>#NAME?</v>
      </c>
      <c r="K2955" s="274">
        <f t="shared" si="38"/>
        <v>0</v>
      </c>
      <c r="N2955" s="274"/>
    </row>
    <row r="2956" spans="5:14" ht="13.5" customHeight="1">
      <c r="E2956" s="209" t="s">
        <v>618</v>
      </c>
      <c r="F2956" s="209" t="s">
        <v>2709</v>
      </c>
      <c r="G2956" s="409" t="str">
        <f t="shared" si="39"/>
        <v>15-12</v>
      </c>
      <c r="H2956" s="273" t="e">
        <f ca="1">_xludf.IFNA(VLOOKUP(Aragon!E2956,'Kilter Holds'!$P$37:$AB$662,7,0),0)</f>
        <v>#NAME?</v>
      </c>
      <c r="I2956" s="274"/>
      <c r="J2956" s="274" t="e">
        <f t="shared" ca="1" si="37"/>
        <v>#NAME?</v>
      </c>
      <c r="K2956" s="274">
        <f t="shared" si="38"/>
        <v>0</v>
      </c>
      <c r="N2956" s="274"/>
    </row>
    <row r="2957" spans="5:14" ht="13.5" customHeight="1">
      <c r="E2957" s="209" t="s">
        <v>618</v>
      </c>
      <c r="F2957" s="209" t="s">
        <v>2709</v>
      </c>
      <c r="G2957" s="410" t="str">
        <f t="shared" si="39"/>
        <v>16-16</v>
      </c>
      <c r="H2957" s="273" t="e">
        <f ca="1">_xludf.IFNA(VLOOKUP(Aragon!E2957,'Kilter Holds'!$P$37:$AB$662,8,0),0)</f>
        <v>#NAME?</v>
      </c>
      <c r="I2957" s="274"/>
      <c r="J2957" s="274" t="e">
        <f t="shared" ca="1" si="37"/>
        <v>#NAME?</v>
      </c>
      <c r="K2957" s="274">
        <f t="shared" si="38"/>
        <v>0</v>
      </c>
      <c r="N2957" s="274"/>
    </row>
    <row r="2958" spans="5:14" ht="13.5" customHeight="1">
      <c r="E2958" s="209" t="s">
        <v>618</v>
      </c>
      <c r="F2958" s="209" t="s">
        <v>2709</v>
      </c>
      <c r="G2958" s="411" t="str">
        <f t="shared" si="39"/>
        <v>13-01</v>
      </c>
      <c r="H2958" s="273" t="e">
        <f ca="1">_xludf.IFNA(VLOOKUP(Aragon!E2958,'Kilter Holds'!$P$37:$AB$662,9,0),0)</f>
        <v>#NAME?</v>
      </c>
      <c r="I2958" s="274"/>
      <c r="J2958" s="274" t="e">
        <f t="shared" ca="1" si="37"/>
        <v>#NAME?</v>
      </c>
      <c r="K2958" s="274">
        <f t="shared" si="38"/>
        <v>0</v>
      </c>
      <c r="N2958" s="274"/>
    </row>
    <row r="2959" spans="5:14" ht="13.5" customHeight="1">
      <c r="E2959" s="209" t="s">
        <v>618</v>
      </c>
      <c r="F2959" s="209" t="s">
        <v>2709</v>
      </c>
      <c r="G2959" s="413" t="str">
        <f t="shared" si="39"/>
        <v>07-13</v>
      </c>
      <c r="H2959" s="273" t="e">
        <f ca="1">_xludf.IFNA(VLOOKUP(Aragon!E2959,'Kilter Holds'!$P$37:$AB$662,10,0),0)</f>
        <v>#NAME?</v>
      </c>
      <c r="I2959" s="274"/>
      <c r="J2959" s="274" t="e">
        <f t="shared" ca="1" si="37"/>
        <v>#NAME?</v>
      </c>
      <c r="K2959" s="274">
        <f t="shared" si="38"/>
        <v>0</v>
      </c>
      <c r="N2959" s="274"/>
    </row>
    <row r="2960" spans="5:14" ht="13.5" customHeight="1">
      <c r="E2960" s="209" t="s">
        <v>618</v>
      </c>
      <c r="F2960" s="209" t="s">
        <v>2709</v>
      </c>
      <c r="G2960" s="414" t="str">
        <f t="shared" si="39"/>
        <v>11-26</v>
      </c>
      <c r="H2960" s="273" t="e">
        <f ca="1">_xludf.IFNA(VLOOKUP(Aragon!E2960,'Kilter Holds'!$P$37:$AB$662,11,0),0)</f>
        <v>#NAME?</v>
      </c>
      <c r="I2960" s="274"/>
      <c r="J2960" s="274" t="e">
        <f t="shared" ca="1" si="37"/>
        <v>#NAME?</v>
      </c>
      <c r="K2960" s="274">
        <f t="shared" si="38"/>
        <v>0</v>
      </c>
      <c r="N2960" s="274"/>
    </row>
    <row r="2961" spans="5:14" ht="13.5" customHeight="1">
      <c r="E2961" s="209" t="s">
        <v>618</v>
      </c>
      <c r="F2961" s="209" t="s">
        <v>2709</v>
      </c>
      <c r="G2961" s="415" t="str">
        <f t="shared" si="39"/>
        <v>18-01</v>
      </c>
      <c r="H2961" s="273" t="e">
        <f ca="1">_xludf.IFNA(VLOOKUP(Aragon!E2961,'Kilter Holds'!$P$37:$AB$662,12,0),0)</f>
        <v>#NAME?</v>
      </c>
      <c r="I2961" s="274"/>
      <c r="J2961" s="274" t="e">
        <f t="shared" ca="1" si="37"/>
        <v>#NAME?</v>
      </c>
      <c r="K2961" s="274">
        <f t="shared" si="38"/>
        <v>0</v>
      </c>
      <c r="N2961" s="274"/>
    </row>
    <row r="2962" spans="5:14" ht="13.5" customHeight="1">
      <c r="E2962" s="209" t="s">
        <v>618</v>
      </c>
      <c r="F2962" s="209" t="s">
        <v>2709</v>
      </c>
      <c r="G2962" s="416" t="str">
        <f t="shared" si="39"/>
        <v>Color Code</v>
      </c>
      <c r="H2962" s="273" t="e">
        <f ca="1">_xludf.IFNA(VLOOKUP(Aragon!E2962,'Kilter Holds'!$P$37:$AB$662,13,0),0)</f>
        <v>#NAME?</v>
      </c>
      <c r="I2962" s="274"/>
      <c r="J2962" s="274" t="e">
        <f t="shared" ca="1" si="37"/>
        <v>#NAME?</v>
      </c>
      <c r="K2962" s="274">
        <f t="shared" si="38"/>
        <v>0</v>
      </c>
      <c r="N2962" s="274"/>
    </row>
    <row r="2963" spans="5:14" ht="13.5" customHeight="1">
      <c r="E2963" s="209" t="s">
        <v>673</v>
      </c>
      <c r="F2963" s="209" t="s">
        <v>2710</v>
      </c>
      <c r="G2963" s="406" t="str">
        <f t="shared" si="39"/>
        <v>11-12</v>
      </c>
      <c r="H2963" s="273" t="e">
        <f ca="1">_xludf.IFNA(VLOOKUP(Aragon!E2963,'Kilter Holds'!$P$37:$AB$662,5,0),0)</f>
        <v>#NAME?</v>
      </c>
      <c r="I2963" s="274"/>
      <c r="J2963" s="274" t="e">
        <f t="shared" ca="1" si="37"/>
        <v>#NAME?</v>
      </c>
      <c r="K2963" s="274">
        <f t="shared" si="38"/>
        <v>0</v>
      </c>
      <c r="N2963" s="274"/>
    </row>
    <row r="2964" spans="5:14" ht="13.5" customHeight="1">
      <c r="E2964" s="209" t="s">
        <v>673</v>
      </c>
      <c r="F2964" s="209" t="s">
        <v>2710</v>
      </c>
      <c r="G2964" s="408" t="str">
        <f t="shared" si="39"/>
        <v>14-01</v>
      </c>
      <c r="H2964" s="273" t="e">
        <f ca="1">_xludf.IFNA(VLOOKUP(Aragon!E2964,'Kilter Holds'!$P$37:$AB$662,6,0),0)</f>
        <v>#NAME?</v>
      </c>
      <c r="I2964" s="274"/>
      <c r="J2964" s="274" t="e">
        <f t="shared" ca="1" si="37"/>
        <v>#NAME?</v>
      </c>
      <c r="K2964" s="274">
        <f t="shared" si="38"/>
        <v>0</v>
      </c>
      <c r="N2964" s="274"/>
    </row>
    <row r="2965" spans="5:14" ht="13.5" customHeight="1">
      <c r="E2965" s="209" t="s">
        <v>673</v>
      </c>
      <c r="F2965" s="209" t="s">
        <v>2710</v>
      </c>
      <c r="G2965" s="409" t="str">
        <f t="shared" si="39"/>
        <v>15-12</v>
      </c>
      <c r="H2965" s="273" t="e">
        <f ca="1">_xludf.IFNA(VLOOKUP(Aragon!E2965,'Kilter Holds'!$P$37:$AB$662,7,0),0)</f>
        <v>#NAME?</v>
      </c>
      <c r="I2965" s="274"/>
      <c r="J2965" s="274" t="e">
        <f t="shared" ca="1" si="37"/>
        <v>#NAME?</v>
      </c>
      <c r="K2965" s="274">
        <f t="shared" si="38"/>
        <v>0</v>
      </c>
      <c r="N2965" s="274"/>
    </row>
    <row r="2966" spans="5:14" ht="13.5" customHeight="1">
      <c r="E2966" s="209" t="s">
        <v>673</v>
      </c>
      <c r="F2966" s="209" t="s">
        <v>2710</v>
      </c>
      <c r="G2966" s="410" t="str">
        <f t="shared" si="39"/>
        <v>16-16</v>
      </c>
      <c r="H2966" s="273" t="e">
        <f ca="1">_xludf.IFNA(VLOOKUP(Aragon!E2966,'Kilter Holds'!$P$37:$AB$662,8,0),0)</f>
        <v>#NAME?</v>
      </c>
      <c r="I2966" s="274"/>
      <c r="J2966" s="274" t="e">
        <f t="shared" ca="1" si="37"/>
        <v>#NAME?</v>
      </c>
      <c r="K2966" s="274">
        <f t="shared" si="38"/>
        <v>0</v>
      </c>
      <c r="N2966" s="274"/>
    </row>
    <row r="2967" spans="5:14" ht="13.5" customHeight="1">
      <c r="E2967" s="209" t="s">
        <v>673</v>
      </c>
      <c r="F2967" s="209" t="s">
        <v>2710</v>
      </c>
      <c r="G2967" s="411" t="str">
        <f t="shared" si="39"/>
        <v>13-01</v>
      </c>
      <c r="H2967" s="273" t="e">
        <f ca="1">_xludf.IFNA(VLOOKUP(Aragon!E2967,'Kilter Holds'!$P$37:$AB$662,9,0),0)</f>
        <v>#NAME?</v>
      </c>
      <c r="I2967" s="274"/>
      <c r="J2967" s="274" t="e">
        <f t="shared" ca="1" si="37"/>
        <v>#NAME?</v>
      </c>
      <c r="K2967" s="274">
        <f t="shared" si="38"/>
        <v>0</v>
      </c>
      <c r="N2967" s="274"/>
    </row>
    <row r="2968" spans="5:14" ht="13.5" customHeight="1">
      <c r="E2968" s="209" t="s">
        <v>673</v>
      </c>
      <c r="F2968" s="209" t="s">
        <v>2710</v>
      </c>
      <c r="G2968" s="413" t="str">
        <f t="shared" si="39"/>
        <v>07-13</v>
      </c>
      <c r="H2968" s="273" t="e">
        <f ca="1">_xludf.IFNA(VLOOKUP(Aragon!E2968,'Kilter Holds'!$P$37:$AB$662,10,0),0)</f>
        <v>#NAME?</v>
      </c>
      <c r="I2968" s="274"/>
      <c r="J2968" s="274" t="e">
        <f t="shared" ca="1" si="37"/>
        <v>#NAME?</v>
      </c>
      <c r="K2968" s="274">
        <f t="shared" si="38"/>
        <v>0</v>
      </c>
      <c r="N2968" s="274"/>
    </row>
    <row r="2969" spans="5:14" ht="13.5" customHeight="1">
      <c r="E2969" s="209" t="s">
        <v>673</v>
      </c>
      <c r="F2969" s="209" t="s">
        <v>2710</v>
      </c>
      <c r="G2969" s="414" t="str">
        <f t="shared" si="39"/>
        <v>11-26</v>
      </c>
      <c r="H2969" s="273" t="e">
        <f ca="1">_xludf.IFNA(VLOOKUP(Aragon!E2969,'Kilter Holds'!$P$37:$AB$662,11,0),0)</f>
        <v>#NAME?</v>
      </c>
      <c r="I2969" s="274"/>
      <c r="J2969" s="274" t="e">
        <f t="shared" ca="1" si="37"/>
        <v>#NAME?</v>
      </c>
      <c r="K2969" s="274">
        <f t="shared" si="38"/>
        <v>0</v>
      </c>
      <c r="N2969" s="274"/>
    </row>
    <row r="2970" spans="5:14" ht="13.5" customHeight="1">
      <c r="E2970" s="209" t="s">
        <v>673</v>
      </c>
      <c r="F2970" s="209" t="s">
        <v>2710</v>
      </c>
      <c r="G2970" s="415" t="str">
        <f t="shared" si="39"/>
        <v>18-01</v>
      </c>
      <c r="H2970" s="273" t="e">
        <f ca="1">_xludf.IFNA(VLOOKUP(Aragon!E2970,'Kilter Holds'!$P$37:$AB$662,12,0),0)</f>
        <v>#NAME?</v>
      </c>
      <c r="I2970" s="274"/>
      <c r="J2970" s="274" t="e">
        <f t="shared" ca="1" si="37"/>
        <v>#NAME?</v>
      </c>
      <c r="K2970" s="274">
        <f t="shared" si="38"/>
        <v>0</v>
      </c>
      <c r="N2970" s="274"/>
    </row>
    <row r="2971" spans="5:14" ht="13.5" customHeight="1">
      <c r="E2971" s="209" t="s">
        <v>673</v>
      </c>
      <c r="F2971" s="209" t="s">
        <v>2710</v>
      </c>
      <c r="G2971" s="416" t="str">
        <f t="shared" si="39"/>
        <v>Color Code</v>
      </c>
      <c r="H2971" s="273" t="e">
        <f ca="1">_xludf.IFNA(VLOOKUP(Aragon!E2971,'Kilter Holds'!$P$37:$AB$662,13,0),0)</f>
        <v>#NAME?</v>
      </c>
      <c r="I2971" s="274"/>
      <c r="J2971" s="274" t="e">
        <f t="shared" ca="1" si="37"/>
        <v>#NAME?</v>
      </c>
      <c r="K2971" s="274">
        <f t="shared" si="38"/>
        <v>0</v>
      </c>
      <c r="N2971" s="274"/>
    </row>
    <row r="2972" spans="5:14" ht="13.5" customHeight="1">
      <c r="E2972" s="209" t="s">
        <v>620</v>
      </c>
      <c r="F2972" s="209" t="s">
        <v>2711</v>
      </c>
      <c r="G2972" s="406" t="str">
        <f t="shared" si="39"/>
        <v>11-12</v>
      </c>
      <c r="H2972" s="273" t="e">
        <f ca="1">_xludf.IFNA(VLOOKUP(Aragon!E2972,'Kilter Holds'!$P$37:$AB$662,5,0),0)</f>
        <v>#NAME?</v>
      </c>
      <c r="I2972" s="274"/>
      <c r="J2972" s="274" t="e">
        <f t="shared" ca="1" si="37"/>
        <v>#NAME?</v>
      </c>
      <c r="K2972" s="274">
        <f t="shared" si="38"/>
        <v>0</v>
      </c>
      <c r="N2972" s="274"/>
    </row>
    <row r="2973" spans="5:14" ht="13.5" customHeight="1">
      <c r="E2973" s="209" t="s">
        <v>620</v>
      </c>
      <c r="F2973" s="209" t="s">
        <v>2711</v>
      </c>
      <c r="G2973" s="408" t="str">
        <f t="shared" si="39"/>
        <v>14-01</v>
      </c>
      <c r="H2973" s="273" t="e">
        <f ca="1">_xludf.IFNA(VLOOKUP(Aragon!E2973,'Kilter Holds'!$P$37:$AB$662,6,0),0)</f>
        <v>#NAME?</v>
      </c>
      <c r="I2973" s="274"/>
      <c r="J2973" s="274" t="e">
        <f t="shared" ca="1" si="37"/>
        <v>#NAME?</v>
      </c>
      <c r="K2973" s="274">
        <f t="shared" si="38"/>
        <v>0</v>
      </c>
      <c r="N2973" s="274"/>
    </row>
    <row r="2974" spans="5:14" ht="13.5" customHeight="1">
      <c r="E2974" s="209" t="s">
        <v>620</v>
      </c>
      <c r="F2974" s="209" t="s">
        <v>2711</v>
      </c>
      <c r="G2974" s="409" t="str">
        <f t="shared" si="39"/>
        <v>15-12</v>
      </c>
      <c r="H2974" s="273" t="e">
        <f ca="1">_xludf.IFNA(VLOOKUP(Aragon!E2974,'Kilter Holds'!$P$37:$AB$662,7,0),0)</f>
        <v>#NAME?</v>
      </c>
      <c r="I2974" s="274"/>
      <c r="J2974" s="274" t="e">
        <f t="shared" ca="1" si="37"/>
        <v>#NAME?</v>
      </c>
      <c r="K2974" s="274">
        <f t="shared" si="38"/>
        <v>0</v>
      </c>
      <c r="N2974" s="274"/>
    </row>
    <row r="2975" spans="5:14" ht="13.5" customHeight="1">
      <c r="E2975" s="209" t="s">
        <v>620</v>
      </c>
      <c r="F2975" s="209" t="s">
        <v>2711</v>
      </c>
      <c r="G2975" s="410" t="str">
        <f t="shared" si="39"/>
        <v>16-16</v>
      </c>
      <c r="H2975" s="273" t="e">
        <f ca="1">_xludf.IFNA(VLOOKUP(Aragon!E2975,'Kilter Holds'!$P$37:$AB$662,8,0),0)</f>
        <v>#NAME?</v>
      </c>
      <c r="I2975" s="274"/>
      <c r="J2975" s="274" t="e">
        <f t="shared" ca="1" si="37"/>
        <v>#NAME?</v>
      </c>
      <c r="K2975" s="274">
        <f t="shared" si="38"/>
        <v>0</v>
      </c>
      <c r="N2975" s="274"/>
    </row>
    <row r="2976" spans="5:14" ht="13.5" customHeight="1">
      <c r="E2976" s="209" t="s">
        <v>620</v>
      </c>
      <c r="F2976" s="209" t="s">
        <v>2711</v>
      </c>
      <c r="G2976" s="411" t="str">
        <f t="shared" si="39"/>
        <v>13-01</v>
      </c>
      <c r="H2976" s="273" t="e">
        <f ca="1">_xludf.IFNA(VLOOKUP(Aragon!E2976,'Kilter Holds'!$P$37:$AB$662,9,0),0)</f>
        <v>#NAME?</v>
      </c>
      <c r="I2976" s="274"/>
      <c r="J2976" s="274" t="e">
        <f t="shared" ca="1" si="37"/>
        <v>#NAME?</v>
      </c>
      <c r="K2976" s="274">
        <f t="shared" si="38"/>
        <v>0</v>
      </c>
      <c r="N2976" s="274"/>
    </row>
    <row r="2977" spans="5:14" ht="13.5" customHeight="1">
      <c r="E2977" s="209" t="s">
        <v>620</v>
      </c>
      <c r="F2977" s="209" t="s">
        <v>2711</v>
      </c>
      <c r="G2977" s="413" t="str">
        <f t="shared" si="39"/>
        <v>07-13</v>
      </c>
      <c r="H2977" s="273" t="e">
        <f ca="1">_xludf.IFNA(VLOOKUP(Aragon!E2977,'Kilter Holds'!$P$37:$AB$662,10,0),0)</f>
        <v>#NAME?</v>
      </c>
      <c r="I2977" s="274"/>
      <c r="J2977" s="274" t="e">
        <f t="shared" ca="1" si="37"/>
        <v>#NAME?</v>
      </c>
      <c r="K2977" s="274">
        <f t="shared" si="38"/>
        <v>0</v>
      </c>
      <c r="N2977" s="274"/>
    </row>
    <row r="2978" spans="5:14" ht="13.5" customHeight="1">
      <c r="E2978" s="209" t="s">
        <v>620</v>
      </c>
      <c r="F2978" s="209" t="s">
        <v>2711</v>
      </c>
      <c r="G2978" s="414" t="str">
        <f t="shared" si="39"/>
        <v>11-26</v>
      </c>
      <c r="H2978" s="273" t="e">
        <f ca="1">_xludf.IFNA(VLOOKUP(Aragon!E2978,'Kilter Holds'!$P$37:$AB$662,11,0),0)</f>
        <v>#NAME?</v>
      </c>
      <c r="I2978" s="274"/>
      <c r="J2978" s="274" t="e">
        <f t="shared" ca="1" si="37"/>
        <v>#NAME?</v>
      </c>
      <c r="K2978" s="274">
        <f t="shared" si="38"/>
        <v>0</v>
      </c>
      <c r="N2978" s="274"/>
    </row>
    <row r="2979" spans="5:14" ht="13.5" customHeight="1">
      <c r="E2979" s="209" t="s">
        <v>620</v>
      </c>
      <c r="F2979" s="209" t="s">
        <v>2711</v>
      </c>
      <c r="G2979" s="415" t="str">
        <f t="shared" si="39"/>
        <v>18-01</v>
      </c>
      <c r="H2979" s="273" t="e">
        <f ca="1">_xludf.IFNA(VLOOKUP(Aragon!E2979,'Kilter Holds'!$P$37:$AB$662,12,0),0)</f>
        <v>#NAME?</v>
      </c>
      <c r="I2979" s="274"/>
      <c r="J2979" s="274" t="e">
        <f t="shared" ca="1" si="37"/>
        <v>#NAME?</v>
      </c>
      <c r="K2979" s="274">
        <f t="shared" si="38"/>
        <v>0</v>
      </c>
      <c r="N2979" s="274"/>
    </row>
    <row r="2980" spans="5:14" ht="13.5" customHeight="1">
      <c r="E2980" s="209" t="s">
        <v>620</v>
      </c>
      <c r="F2980" s="209" t="s">
        <v>2711</v>
      </c>
      <c r="G2980" s="416" t="str">
        <f t="shared" si="39"/>
        <v>Color Code</v>
      </c>
      <c r="H2980" s="273" t="e">
        <f ca="1">_xludf.IFNA(VLOOKUP(Aragon!E2980,'Kilter Holds'!$P$37:$AB$662,13,0),0)</f>
        <v>#NAME?</v>
      </c>
      <c r="I2980" s="274"/>
      <c r="J2980" s="274" t="e">
        <f t="shared" ca="1" si="37"/>
        <v>#NAME?</v>
      </c>
      <c r="K2980" s="274">
        <f t="shared" si="38"/>
        <v>0</v>
      </c>
      <c r="N2980" s="274"/>
    </row>
    <row r="2981" spans="5:14" ht="13.5" customHeight="1">
      <c r="E2981" s="209" t="s">
        <v>622</v>
      </c>
      <c r="F2981" s="209" t="s">
        <v>2712</v>
      </c>
      <c r="G2981" s="406" t="str">
        <f t="shared" si="39"/>
        <v>11-12</v>
      </c>
      <c r="H2981" s="273" t="e">
        <f ca="1">_xludf.IFNA(VLOOKUP(Aragon!E2981,'Kilter Holds'!$P$37:$AB$662,5,0),0)</f>
        <v>#NAME?</v>
      </c>
      <c r="I2981" s="274"/>
      <c r="J2981" s="274" t="e">
        <f t="shared" ca="1" si="37"/>
        <v>#NAME?</v>
      </c>
      <c r="K2981" s="274">
        <f t="shared" si="38"/>
        <v>0</v>
      </c>
      <c r="N2981" s="274"/>
    </row>
    <row r="2982" spans="5:14" ht="13.5" customHeight="1">
      <c r="E2982" s="209" t="s">
        <v>622</v>
      </c>
      <c r="F2982" s="209" t="s">
        <v>2712</v>
      </c>
      <c r="G2982" s="408" t="str">
        <f t="shared" si="39"/>
        <v>14-01</v>
      </c>
      <c r="H2982" s="273" t="e">
        <f ca="1">_xludf.IFNA(VLOOKUP(Aragon!E2982,'Kilter Holds'!$P$37:$AB$662,6,0),0)</f>
        <v>#NAME?</v>
      </c>
      <c r="I2982" s="274"/>
      <c r="J2982" s="274" t="e">
        <f t="shared" ca="1" si="37"/>
        <v>#NAME?</v>
      </c>
      <c r="K2982" s="274">
        <f t="shared" si="38"/>
        <v>0</v>
      </c>
      <c r="N2982" s="274"/>
    </row>
    <row r="2983" spans="5:14" ht="13.5" customHeight="1">
      <c r="E2983" s="209" t="s">
        <v>622</v>
      </c>
      <c r="F2983" s="209" t="s">
        <v>2712</v>
      </c>
      <c r="G2983" s="409" t="str">
        <f t="shared" si="39"/>
        <v>15-12</v>
      </c>
      <c r="H2983" s="273" t="e">
        <f ca="1">_xludf.IFNA(VLOOKUP(Aragon!E2983,'Kilter Holds'!$P$37:$AB$662,7,0),0)</f>
        <v>#NAME?</v>
      </c>
      <c r="I2983" s="274"/>
      <c r="J2983" s="274" t="e">
        <f t="shared" ca="1" si="37"/>
        <v>#NAME?</v>
      </c>
      <c r="K2983" s="274">
        <f t="shared" si="38"/>
        <v>0</v>
      </c>
      <c r="N2983" s="274"/>
    </row>
    <row r="2984" spans="5:14" ht="13.5" customHeight="1">
      <c r="E2984" s="209" t="s">
        <v>622</v>
      </c>
      <c r="F2984" s="209" t="s">
        <v>2712</v>
      </c>
      <c r="G2984" s="410" t="str">
        <f t="shared" si="39"/>
        <v>16-16</v>
      </c>
      <c r="H2984" s="273" t="e">
        <f ca="1">_xludf.IFNA(VLOOKUP(Aragon!E2984,'Kilter Holds'!$P$37:$AB$662,8,0),0)</f>
        <v>#NAME?</v>
      </c>
      <c r="I2984" s="274"/>
      <c r="J2984" s="274" t="e">
        <f t="shared" ca="1" si="37"/>
        <v>#NAME?</v>
      </c>
      <c r="K2984" s="274">
        <f t="shared" si="38"/>
        <v>0</v>
      </c>
      <c r="N2984" s="274"/>
    </row>
    <row r="2985" spans="5:14" ht="13.5" customHeight="1">
      <c r="E2985" s="209" t="s">
        <v>622</v>
      </c>
      <c r="F2985" s="209" t="s">
        <v>2712</v>
      </c>
      <c r="G2985" s="411" t="str">
        <f t="shared" si="39"/>
        <v>13-01</v>
      </c>
      <c r="H2985" s="273" t="e">
        <f ca="1">_xludf.IFNA(VLOOKUP(Aragon!E2985,'Kilter Holds'!$P$37:$AB$662,9,0),0)</f>
        <v>#NAME?</v>
      </c>
      <c r="I2985" s="274"/>
      <c r="J2985" s="274" t="e">
        <f t="shared" ca="1" si="37"/>
        <v>#NAME?</v>
      </c>
      <c r="K2985" s="274">
        <f t="shared" si="38"/>
        <v>0</v>
      </c>
      <c r="N2985" s="274"/>
    </row>
    <row r="2986" spans="5:14" ht="13.5" customHeight="1">
      <c r="E2986" s="209" t="s">
        <v>622</v>
      </c>
      <c r="F2986" s="209" t="s">
        <v>2712</v>
      </c>
      <c r="G2986" s="413" t="str">
        <f t="shared" si="39"/>
        <v>07-13</v>
      </c>
      <c r="H2986" s="273" t="e">
        <f ca="1">_xludf.IFNA(VLOOKUP(Aragon!E2986,'Kilter Holds'!$P$37:$AB$662,10,0),0)</f>
        <v>#NAME?</v>
      </c>
      <c r="I2986" s="274"/>
      <c r="J2986" s="274" t="e">
        <f t="shared" ca="1" si="37"/>
        <v>#NAME?</v>
      </c>
      <c r="K2986" s="274">
        <f t="shared" si="38"/>
        <v>0</v>
      </c>
      <c r="N2986" s="274"/>
    </row>
    <row r="2987" spans="5:14" ht="13.5" customHeight="1">
      <c r="E2987" s="209" t="s">
        <v>622</v>
      </c>
      <c r="F2987" s="209" t="s">
        <v>2712</v>
      </c>
      <c r="G2987" s="414" t="str">
        <f t="shared" si="39"/>
        <v>11-26</v>
      </c>
      <c r="H2987" s="273" t="e">
        <f ca="1">_xludf.IFNA(VLOOKUP(Aragon!E2987,'Kilter Holds'!$P$37:$AB$662,11,0),0)</f>
        <v>#NAME?</v>
      </c>
      <c r="I2987" s="274"/>
      <c r="J2987" s="274" t="e">
        <f t="shared" ca="1" si="37"/>
        <v>#NAME?</v>
      </c>
      <c r="K2987" s="274">
        <f t="shared" si="38"/>
        <v>0</v>
      </c>
      <c r="N2987" s="274"/>
    </row>
    <row r="2988" spans="5:14" ht="13.5" customHeight="1">
      <c r="E2988" s="209" t="s">
        <v>622</v>
      </c>
      <c r="F2988" s="209" t="s">
        <v>2712</v>
      </c>
      <c r="G2988" s="415" t="str">
        <f t="shared" si="39"/>
        <v>18-01</v>
      </c>
      <c r="H2988" s="273" t="e">
        <f ca="1">_xludf.IFNA(VLOOKUP(Aragon!E2988,'Kilter Holds'!$P$37:$AB$662,12,0),0)</f>
        <v>#NAME?</v>
      </c>
      <c r="I2988" s="274"/>
      <c r="J2988" s="274" t="e">
        <f t="shared" ca="1" si="37"/>
        <v>#NAME?</v>
      </c>
      <c r="K2988" s="274">
        <f t="shared" si="38"/>
        <v>0</v>
      </c>
      <c r="N2988" s="274"/>
    </row>
    <row r="2989" spans="5:14" ht="13.5" customHeight="1">
      <c r="E2989" s="209" t="s">
        <v>622</v>
      </c>
      <c r="F2989" s="209" t="s">
        <v>2712</v>
      </c>
      <c r="G2989" s="416" t="str">
        <f t="shared" si="39"/>
        <v>Color Code</v>
      </c>
      <c r="H2989" s="273" t="e">
        <f ca="1">_xludf.IFNA(VLOOKUP(Aragon!E2989,'Kilter Holds'!$P$37:$AB$662,13,0),0)</f>
        <v>#NAME?</v>
      </c>
      <c r="I2989" s="274"/>
      <c r="J2989" s="274" t="e">
        <f t="shared" ca="1" si="37"/>
        <v>#NAME?</v>
      </c>
      <c r="K2989" s="274">
        <f t="shared" si="38"/>
        <v>0</v>
      </c>
      <c r="N2989" s="274"/>
    </row>
    <row r="2990" spans="5:14" ht="13.5" customHeight="1">
      <c r="E2990" s="209" t="s">
        <v>633</v>
      </c>
      <c r="F2990" s="209" t="s">
        <v>2713</v>
      </c>
      <c r="G2990" s="406" t="str">
        <f t="shared" si="39"/>
        <v>11-12</v>
      </c>
      <c r="H2990" s="273" t="e">
        <f ca="1">_xludf.IFNA(VLOOKUP(Aragon!E2990,'Kilter Holds'!$P$37:$AB$662,5,0),0)</f>
        <v>#NAME?</v>
      </c>
      <c r="I2990" s="274"/>
      <c r="J2990" s="274" t="e">
        <f t="shared" ca="1" si="37"/>
        <v>#NAME?</v>
      </c>
      <c r="K2990" s="274">
        <f t="shared" si="38"/>
        <v>0</v>
      </c>
      <c r="N2990" s="274"/>
    </row>
    <row r="2991" spans="5:14" ht="13.5" customHeight="1">
      <c r="E2991" s="209" t="s">
        <v>633</v>
      </c>
      <c r="F2991" s="209" t="s">
        <v>2713</v>
      </c>
      <c r="G2991" s="408" t="str">
        <f t="shared" si="39"/>
        <v>14-01</v>
      </c>
      <c r="H2991" s="273" t="e">
        <f ca="1">_xludf.IFNA(VLOOKUP(Aragon!E2991,'Kilter Holds'!$P$37:$AB$662,6,0),0)</f>
        <v>#NAME?</v>
      </c>
      <c r="I2991" s="274"/>
      <c r="J2991" s="274" t="e">
        <f t="shared" ca="1" si="37"/>
        <v>#NAME?</v>
      </c>
      <c r="K2991" s="274">
        <f t="shared" si="38"/>
        <v>0</v>
      </c>
      <c r="N2991" s="274"/>
    </row>
    <row r="2992" spans="5:14" ht="13.5" customHeight="1">
      <c r="E2992" s="209" t="s">
        <v>633</v>
      </c>
      <c r="F2992" s="209" t="s">
        <v>2713</v>
      </c>
      <c r="G2992" s="409" t="str">
        <f t="shared" si="39"/>
        <v>15-12</v>
      </c>
      <c r="H2992" s="273" t="e">
        <f ca="1">_xludf.IFNA(VLOOKUP(Aragon!E2992,'Kilter Holds'!$P$37:$AB$662,7,0),0)</f>
        <v>#NAME?</v>
      </c>
      <c r="I2992" s="274"/>
      <c r="J2992" s="274" t="e">
        <f t="shared" ca="1" si="37"/>
        <v>#NAME?</v>
      </c>
      <c r="K2992" s="274">
        <f t="shared" si="38"/>
        <v>0</v>
      </c>
      <c r="N2992" s="274"/>
    </row>
    <row r="2993" spans="5:14" ht="13.5" customHeight="1">
      <c r="E2993" s="209" t="s">
        <v>633</v>
      </c>
      <c r="F2993" s="209" t="s">
        <v>2713</v>
      </c>
      <c r="G2993" s="410" t="str">
        <f t="shared" si="39"/>
        <v>16-16</v>
      </c>
      <c r="H2993" s="273" t="e">
        <f ca="1">_xludf.IFNA(VLOOKUP(Aragon!E2993,'Kilter Holds'!$P$37:$AB$662,8,0),0)</f>
        <v>#NAME?</v>
      </c>
      <c r="I2993" s="274"/>
      <c r="J2993" s="274" t="e">
        <f t="shared" ca="1" si="37"/>
        <v>#NAME?</v>
      </c>
      <c r="K2993" s="274">
        <f t="shared" si="38"/>
        <v>0</v>
      </c>
      <c r="N2993" s="274"/>
    </row>
    <row r="2994" spans="5:14" ht="13.5" customHeight="1">
      <c r="E2994" s="209" t="s">
        <v>633</v>
      </c>
      <c r="F2994" s="209" t="s">
        <v>2713</v>
      </c>
      <c r="G2994" s="411" t="str">
        <f t="shared" si="39"/>
        <v>13-01</v>
      </c>
      <c r="H2994" s="273" t="e">
        <f ca="1">_xludf.IFNA(VLOOKUP(Aragon!E2994,'Kilter Holds'!$P$37:$AB$662,9,0),0)</f>
        <v>#NAME?</v>
      </c>
      <c r="I2994" s="274"/>
      <c r="J2994" s="274" t="e">
        <f t="shared" ca="1" si="37"/>
        <v>#NAME?</v>
      </c>
      <c r="K2994" s="274">
        <f t="shared" si="38"/>
        <v>0</v>
      </c>
      <c r="N2994" s="274"/>
    </row>
    <row r="2995" spans="5:14" ht="13.5" customHeight="1">
      <c r="E2995" s="209" t="s">
        <v>633</v>
      </c>
      <c r="F2995" s="209" t="s">
        <v>2713</v>
      </c>
      <c r="G2995" s="413" t="str">
        <f t="shared" si="39"/>
        <v>07-13</v>
      </c>
      <c r="H2995" s="273" t="e">
        <f ca="1">_xludf.IFNA(VLOOKUP(Aragon!E2995,'Kilter Holds'!$P$37:$AB$662,10,0),0)</f>
        <v>#NAME?</v>
      </c>
      <c r="I2995" s="274"/>
      <c r="J2995" s="274" t="e">
        <f t="shared" ca="1" si="37"/>
        <v>#NAME?</v>
      </c>
      <c r="K2995" s="274">
        <f t="shared" si="38"/>
        <v>0</v>
      </c>
      <c r="N2995" s="274"/>
    </row>
    <row r="2996" spans="5:14" ht="13.5" customHeight="1">
      <c r="E2996" s="209" t="s">
        <v>633</v>
      </c>
      <c r="F2996" s="209" t="s">
        <v>2713</v>
      </c>
      <c r="G2996" s="414" t="str">
        <f t="shared" si="39"/>
        <v>11-26</v>
      </c>
      <c r="H2996" s="273" t="e">
        <f ca="1">_xludf.IFNA(VLOOKUP(Aragon!E2996,'Kilter Holds'!$P$37:$AB$662,11,0),0)</f>
        <v>#NAME?</v>
      </c>
      <c r="I2996" s="274"/>
      <c r="J2996" s="274" t="e">
        <f t="shared" ca="1" si="37"/>
        <v>#NAME?</v>
      </c>
      <c r="K2996" s="274">
        <f t="shared" si="38"/>
        <v>0</v>
      </c>
      <c r="N2996" s="274"/>
    </row>
    <row r="2997" spans="5:14" ht="13.5" customHeight="1">
      <c r="E2997" s="209" t="s">
        <v>633</v>
      </c>
      <c r="F2997" s="209" t="s">
        <v>2713</v>
      </c>
      <c r="G2997" s="415" t="str">
        <f t="shared" si="39"/>
        <v>18-01</v>
      </c>
      <c r="H2997" s="273" t="e">
        <f ca="1">_xludf.IFNA(VLOOKUP(Aragon!E2997,'Kilter Holds'!$P$37:$AB$662,12,0),0)</f>
        <v>#NAME?</v>
      </c>
      <c r="I2997" s="274"/>
      <c r="J2997" s="274" t="e">
        <f t="shared" ca="1" si="37"/>
        <v>#NAME?</v>
      </c>
      <c r="K2997" s="274">
        <f t="shared" si="38"/>
        <v>0</v>
      </c>
      <c r="N2997" s="274"/>
    </row>
    <row r="2998" spans="5:14" ht="13.5" customHeight="1">
      <c r="E2998" s="209" t="s">
        <v>633</v>
      </c>
      <c r="F2998" s="209" t="s">
        <v>2713</v>
      </c>
      <c r="G2998" s="416" t="str">
        <f t="shared" si="39"/>
        <v>Color Code</v>
      </c>
      <c r="H2998" s="273" t="e">
        <f ca="1">_xludf.IFNA(VLOOKUP(Aragon!E2998,'Kilter Holds'!$P$37:$AB$662,13,0),0)</f>
        <v>#NAME?</v>
      </c>
      <c r="I2998" s="274"/>
      <c r="J2998" s="274" t="e">
        <f t="shared" ca="1" si="37"/>
        <v>#NAME?</v>
      </c>
      <c r="K2998" s="274">
        <f t="shared" si="38"/>
        <v>0</v>
      </c>
      <c r="N2998" s="274"/>
    </row>
    <row r="2999" spans="5:14" ht="13.5" customHeight="1">
      <c r="E2999" s="209" t="s">
        <v>578</v>
      </c>
      <c r="F2999" s="209" t="s">
        <v>2714</v>
      </c>
      <c r="G2999" s="406" t="str">
        <f t="shared" si="39"/>
        <v>11-12</v>
      </c>
      <c r="H2999" s="273" t="e">
        <f ca="1">_xludf.IFNA(VLOOKUP(Aragon!E2999,'Kilter Holds'!$P$37:$AB$662,5,0),0)</f>
        <v>#NAME?</v>
      </c>
      <c r="I2999" s="274"/>
      <c r="J2999" s="274" t="e">
        <f t="shared" ca="1" si="37"/>
        <v>#NAME?</v>
      </c>
      <c r="K2999" s="274">
        <f t="shared" si="38"/>
        <v>0</v>
      </c>
      <c r="N2999" s="274"/>
    </row>
    <row r="3000" spans="5:14" ht="13.5" customHeight="1">
      <c r="E3000" s="209" t="s">
        <v>578</v>
      </c>
      <c r="F3000" s="209" t="s">
        <v>2714</v>
      </c>
      <c r="G3000" s="408" t="str">
        <f t="shared" si="39"/>
        <v>14-01</v>
      </c>
      <c r="H3000" s="273" t="e">
        <f ca="1">_xludf.IFNA(VLOOKUP(Aragon!E3000,'Kilter Holds'!$P$37:$AB$662,6,0),0)</f>
        <v>#NAME?</v>
      </c>
      <c r="I3000" s="274"/>
      <c r="J3000" s="274" t="e">
        <f t="shared" ca="1" si="37"/>
        <v>#NAME?</v>
      </c>
      <c r="K3000" s="274">
        <f t="shared" si="38"/>
        <v>0</v>
      </c>
      <c r="N3000" s="274"/>
    </row>
    <row r="3001" spans="5:14" ht="13.5" customHeight="1">
      <c r="E3001" s="209" t="s">
        <v>578</v>
      </c>
      <c r="F3001" s="209" t="s">
        <v>2714</v>
      </c>
      <c r="G3001" s="409" t="str">
        <f t="shared" si="39"/>
        <v>15-12</v>
      </c>
      <c r="H3001" s="273" t="e">
        <f ca="1">_xludf.IFNA(VLOOKUP(Aragon!E3001,'Kilter Holds'!$P$37:$AB$662,7,0),0)</f>
        <v>#NAME?</v>
      </c>
      <c r="I3001" s="274"/>
      <c r="J3001" s="274" t="e">
        <f t="shared" ca="1" si="37"/>
        <v>#NAME?</v>
      </c>
      <c r="K3001" s="274">
        <f t="shared" si="38"/>
        <v>0</v>
      </c>
      <c r="N3001" s="274"/>
    </row>
    <row r="3002" spans="5:14" ht="13.5" customHeight="1">
      <c r="E3002" s="209" t="s">
        <v>578</v>
      </c>
      <c r="F3002" s="209" t="s">
        <v>2714</v>
      </c>
      <c r="G3002" s="410" t="str">
        <f t="shared" si="39"/>
        <v>16-16</v>
      </c>
      <c r="H3002" s="273" t="e">
        <f ca="1">_xludf.IFNA(VLOOKUP(Aragon!E3002,'Kilter Holds'!$P$37:$AB$662,8,0),0)</f>
        <v>#NAME?</v>
      </c>
      <c r="I3002" s="274"/>
      <c r="J3002" s="274" t="e">
        <f t="shared" ca="1" si="37"/>
        <v>#NAME?</v>
      </c>
      <c r="K3002" s="274">
        <f t="shared" si="38"/>
        <v>0</v>
      </c>
      <c r="N3002" s="274"/>
    </row>
    <row r="3003" spans="5:14" ht="13.5" customHeight="1">
      <c r="E3003" s="209" t="s">
        <v>578</v>
      </c>
      <c r="F3003" s="209" t="s">
        <v>2714</v>
      </c>
      <c r="G3003" s="411" t="str">
        <f t="shared" si="39"/>
        <v>13-01</v>
      </c>
      <c r="H3003" s="273" t="e">
        <f ca="1">_xludf.IFNA(VLOOKUP(Aragon!E3003,'Kilter Holds'!$P$37:$AB$662,9,0),0)</f>
        <v>#NAME?</v>
      </c>
      <c r="I3003" s="274"/>
      <c r="J3003" s="274" t="e">
        <f t="shared" ca="1" si="37"/>
        <v>#NAME?</v>
      </c>
      <c r="K3003" s="274">
        <f t="shared" si="38"/>
        <v>0</v>
      </c>
      <c r="N3003" s="274"/>
    </row>
    <row r="3004" spans="5:14" ht="13.5" customHeight="1">
      <c r="E3004" s="209" t="s">
        <v>578</v>
      </c>
      <c r="F3004" s="209" t="s">
        <v>2714</v>
      </c>
      <c r="G3004" s="413" t="str">
        <f t="shared" si="39"/>
        <v>07-13</v>
      </c>
      <c r="H3004" s="273" t="e">
        <f ca="1">_xludf.IFNA(VLOOKUP(Aragon!E3004,'Kilter Holds'!$P$37:$AB$662,10,0),0)</f>
        <v>#NAME?</v>
      </c>
      <c r="I3004" s="274"/>
      <c r="J3004" s="274" t="e">
        <f t="shared" ca="1" si="37"/>
        <v>#NAME?</v>
      </c>
      <c r="K3004" s="274">
        <f t="shared" si="38"/>
        <v>0</v>
      </c>
      <c r="N3004" s="274"/>
    </row>
    <row r="3005" spans="5:14" ht="13.5" customHeight="1">
      <c r="E3005" s="209" t="s">
        <v>578</v>
      </c>
      <c r="F3005" s="209" t="s">
        <v>2714</v>
      </c>
      <c r="G3005" s="414" t="str">
        <f t="shared" si="39"/>
        <v>11-26</v>
      </c>
      <c r="H3005" s="273" t="e">
        <f ca="1">_xludf.IFNA(VLOOKUP(Aragon!E3005,'Kilter Holds'!$P$37:$AB$662,11,0),0)</f>
        <v>#NAME?</v>
      </c>
      <c r="I3005" s="274"/>
      <c r="J3005" s="274" t="e">
        <f t="shared" ca="1" si="37"/>
        <v>#NAME?</v>
      </c>
      <c r="K3005" s="274">
        <f t="shared" si="38"/>
        <v>0</v>
      </c>
      <c r="N3005" s="274"/>
    </row>
    <row r="3006" spans="5:14" ht="13.5" customHeight="1">
      <c r="E3006" s="209" t="s">
        <v>578</v>
      </c>
      <c r="F3006" s="209" t="s">
        <v>2714</v>
      </c>
      <c r="G3006" s="415" t="str">
        <f t="shared" si="39"/>
        <v>18-01</v>
      </c>
      <c r="H3006" s="273" t="e">
        <f ca="1">_xludf.IFNA(VLOOKUP(Aragon!E3006,'Kilter Holds'!$P$37:$AB$662,12,0),0)</f>
        <v>#NAME?</v>
      </c>
      <c r="I3006" s="274"/>
      <c r="J3006" s="274" t="e">
        <f t="shared" ca="1" si="37"/>
        <v>#NAME?</v>
      </c>
      <c r="K3006" s="274">
        <f t="shared" si="38"/>
        <v>0</v>
      </c>
      <c r="N3006" s="274"/>
    </row>
    <row r="3007" spans="5:14" ht="13.5" customHeight="1">
      <c r="E3007" s="209" t="s">
        <v>578</v>
      </c>
      <c r="F3007" s="209" t="s">
        <v>2714</v>
      </c>
      <c r="G3007" s="416" t="str">
        <f t="shared" si="39"/>
        <v>Color Code</v>
      </c>
      <c r="H3007" s="273" t="e">
        <f ca="1">_xludf.IFNA(VLOOKUP(Aragon!E3007,'Kilter Holds'!$P$37:$AB$662,13,0),0)</f>
        <v>#NAME?</v>
      </c>
      <c r="I3007" s="274"/>
      <c r="J3007" s="274" t="e">
        <f t="shared" ca="1" si="37"/>
        <v>#NAME?</v>
      </c>
      <c r="K3007" s="274">
        <f t="shared" si="38"/>
        <v>0</v>
      </c>
      <c r="N3007" s="274"/>
    </row>
    <row r="3008" spans="5:14" ht="13.5" customHeight="1">
      <c r="E3008" s="209" t="s">
        <v>562</v>
      </c>
      <c r="F3008" s="209" t="s">
        <v>2715</v>
      </c>
      <c r="G3008" s="406" t="str">
        <f t="shared" si="39"/>
        <v>11-12</v>
      </c>
      <c r="H3008" s="273" t="e">
        <f ca="1">_xludf.IFNA(VLOOKUP(Aragon!E3008,'Kilter Holds'!$P$37:$AB$662,5,0),0)</f>
        <v>#NAME?</v>
      </c>
      <c r="I3008" s="274"/>
      <c r="J3008" s="274" t="e">
        <f t="shared" ca="1" si="37"/>
        <v>#NAME?</v>
      </c>
      <c r="K3008" s="274">
        <f t="shared" si="38"/>
        <v>0</v>
      </c>
      <c r="N3008" s="274"/>
    </row>
    <row r="3009" spans="5:14" ht="13.5" customHeight="1">
      <c r="E3009" s="209" t="s">
        <v>562</v>
      </c>
      <c r="F3009" s="209" t="s">
        <v>2715</v>
      </c>
      <c r="G3009" s="408" t="str">
        <f t="shared" si="39"/>
        <v>14-01</v>
      </c>
      <c r="H3009" s="273" t="e">
        <f ca="1">_xludf.IFNA(VLOOKUP(Aragon!E3009,'Kilter Holds'!$P$37:$AB$662,6,0),0)</f>
        <v>#NAME?</v>
      </c>
      <c r="I3009" s="274"/>
      <c r="J3009" s="274" t="e">
        <f t="shared" ca="1" si="37"/>
        <v>#NAME?</v>
      </c>
      <c r="K3009" s="274">
        <f t="shared" si="38"/>
        <v>0</v>
      </c>
      <c r="N3009" s="274"/>
    </row>
    <row r="3010" spans="5:14" ht="13.5" customHeight="1">
      <c r="E3010" s="209" t="s">
        <v>562</v>
      </c>
      <c r="F3010" s="209" t="s">
        <v>2715</v>
      </c>
      <c r="G3010" s="409" t="str">
        <f t="shared" si="39"/>
        <v>15-12</v>
      </c>
      <c r="H3010" s="273" t="e">
        <f ca="1">_xludf.IFNA(VLOOKUP(Aragon!E3010,'Kilter Holds'!$P$37:$AB$662,7,0),0)</f>
        <v>#NAME?</v>
      </c>
      <c r="I3010" s="274"/>
      <c r="J3010" s="274" t="e">
        <f t="shared" ca="1" si="37"/>
        <v>#NAME?</v>
      </c>
      <c r="K3010" s="274">
        <f t="shared" si="38"/>
        <v>0</v>
      </c>
      <c r="N3010" s="274"/>
    </row>
    <row r="3011" spans="5:14" ht="13.5" customHeight="1">
      <c r="E3011" s="209" t="s">
        <v>562</v>
      </c>
      <c r="F3011" s="209" t="s">
        <v>2715</v>
      </c>
      <c r="G3011" s="410" t="str">
        <f t="shared" si="39"/>
        <v>16-16</v>
      </c>
      <c r="H3011" s="273" t="e">
        <f ca="1">_xludf.IFNA(VLOOKUP(Aragon!E3011,'Kilter Holds'!$P$37:$AB$662,8,0),0)</f>
        <v>#NAME?</v>
      </c>
      <c r="I3011" s="274"/>
      <c r="J3011" s="274" t="e">
        <f t="shared" ca="1" si="37"/>
        <v>#NAME?</v>
      </c>
      <c r="K3011" s="274">
        <f t="shared" si="38"/>
        <v>0</v>
      </c>
      <c r="N3011" s="274"/>
    </row>
    <row r="3012" spans="5:14" ht="13.5" customHeight="1">
      <c r="E3012" s="209" t="s">
        <v>562</v>
      </c>
      <c r="F3012" s="209" t="s">
        <v>2715</v>
      </c>
      <c r="G3012" s="411" t="str">
        <f t="shared" si="39"/>
        <v>13-01</v>
      </c>
      <c r="H3012" s="273" t="e">
        <f ca="1">_xludf.IFNA(VLOOKUP(Aragon!E3012,'Kilter Holds'!$P$37:$AB$662,9,0),0)</f>
        <v>#NAME?</v>
      </c>
      <c r="I3012" s="274"/>
      <c r="J3012" s="274" t="e">
        <f t="shared" ca="1" si="37"/>
        <v>#NAME?</v>
      </c>
      <c r="K3012" s="274">
        <f t="shared" si="38"/>
        <v>0</v>
      </c>
      <c r="N3012" s="274"/>
    </row>
    <row r="3013" spans="5:14" ht="13.5" customHeight="1">
      <c r="E3013" s="209" t="s">
        <v>562</v>
      </c>
      <c r="F3013" s="209" t="s">
        <v>2715</v>
      </c>
      <c r="G3013" s="413" t="str">
        <f t="shared" si="39"/>
        <v>07-13</v>
      </c>
      <c r="H3013" s="273" t="e">
        <f ca="1">_xludf.IFNA(VLOOKUP(Aragon!E3013,'Kilter Holds'!$P$37:$AB$662,10,0),0)</f>
        <v>#NAME?</v>
      </c>
      <c r="I3013" s="274"/>
      <c r="J3013" s="274" t="e">
        <f t="shared" ca="1" si="37"/>
        <v>#NAME?</v>
      </c>
      <c r="K3013" s="274">
        <f t="shared" si="38"/>
        <v>0</v>
      </c>
      <c r="N3013" s="274"/>
    </row>
    <row r="3014" spans="5:14" ht="13.5" customHeight="1">
      <c r="E3014" s="209" t="s">
        <v>562</v>
      </c>
      <c r="F3014" s="209" t="s">
        <v>2715</v>
      </c>
      <c r="G3014" s="414" t="str">
        <f t="shared" si="39"/>
        <v>11-26</v>
      </c>
      <c r="H3014" s="273" t="e">
        <f ca="1">_xludf.IFNA(VLOOKUP(Aragon!E3014,'Kilter Holds'!$P$37:$AB$662,11,0),0)</f>
        <v>#NAME?</v>
      </c>
      <c r="I3014" s="274"/>
      <c r="J3014" s="274" t="e">
        <f t="shared" ca="1" si="37"/>
        <v>#NAME?</v>
      </c>
      <c r="K3014" s="274">
        <f t="shared" si="38"/>
        <v>0</v>
      </c>
      <c r="N3014" s="274"/>
    </row>
    <row r="3015" spans="5:14" ht="13.5" customHeight="1">
      <c r="E3015" s="209" t="s">
        <v>562</v>
      </c>
      <c r="F3015" s="209" t="s">
        <v>2715</v>
      </c>
      <c r="G3015" s="415" t="str">
        <f t="shared" si="39"/>
        <v>18-01</v>
      </c>
      <c r="H3015" s="273" t="e">
        <f ca="1">_xludf.IFNA(VLOOKUP(Aragon!E3015,'Kilter Holds'!$P$37:$AB$662,12,0),0)</f>
        <v>#NAME?</v>
      </c>
      <c r="I3015" s="274"/>
      <c r="J3015" s="274" t="e">
        <f t="shared" ca="1" si="37"/>
        <v>#NAME?</v>
      </c>
      <c r="K3015" s="274">
        <f t="shared" si="38"/>
        <v>0</v>
      </c>
      <c r="N3015" s="274"/>
    </row>
    <row r="3016" spans="5:14" ht="13.5" customHeight="1">
      <c r="E3016" s="209" t="s">
        <v>562</v>
      </c>
      <c r="F3016" s="209" t="s">
        <v>2715</v>
      </c>
      <c r="G3016" s="416" t="str">
        <f t="shared" si="39"/>
        <v>Color Code</v>
      </c>
      <c r="H3016" s="273" t="e">
        <f ca="1">_xludf.IFNA(VLOOKUP(Aragon!E3016,'Kilter Holds'!$P$37:$AB$662,13,0),0)</f>
        <v>#NAME?</v>
      </c>
      <c r="I3016" s="274"/>
      <c r="J3016" s="274" t="e">
        <f t="shared" ca="1" si="37"/>
        <v>#NAME?</v>
      </c>
      <c r="K3016" s="274">
        <f t="shared" si="38"/>
        <v>0</v>
      </c>
      <c r="N3016" s="274"/>
    </row>
    <row r="3017" spans="5:14" ht="13.5" customHeight="1">
      <c r="E3017" s="209" t="s">
        <v>564</v>
      </c>
      <c r="F3017" s="209" t="s">
        <v>2716</v>
      </c>
      <c r="G3017" s="406" t="str">
        <f t="shared" si="39"/>
        <v>11-12</v>
      </c>
      <c r="H3017" s="273" t="e">
        <f ca="1">_xludf.IFNA(VLOOKUP(Aragon!E3017,'Kilter Holds'!$P$37:$AB$662,5,0),0)</f>
        <v>#NAME?</v>
      </c>
      <c r="I3017" s="274"/>
      <c r="J3017" s="274" t="e">
        <f t="shared" ca="1" si="37"/>
        <v>#NAME?</v>
      </c>
      <c r="K3017" s="274">
        <f t="shared" si="38"/>
        <v>0</v>
      </c>
      <c r="N3017" s="274"/>
    </row>
    <row r="3018" spans="5:14" ht="13.5" customHeight="1">
      <c r="E3018" s="209" t="s">
        <v>564</v>
      </c>
      <c r="F3018" s="209" t="s">
        <v>2716</v>
      </c>
      <c r="G3018" s="408" t="str">
        <f t="shared" si="39"/>
        <v>14-01</v>
      </c>
      <c r="H3018" s="273" t="e">
        <f ca="1">_xludf.IFNA(VLOOKUP(Aragon!E3018,'Kilter Holds'!$P$37:$AB$662,6,0),0)</f>
        <v>#NAME?</v>
      </c>
      <c r="I3018" s="274"/>
      <c r="J3018" s="274" t="e">
        <f t="shared" ca="1" si="37"/>
        <v>#NAME?</v>
      </c>
      <c r="K3018" s="274">
        <f t="shared" si="38"/>
        <v>0</v>
      </c>
      <c r="N3018" s="274"/>
    </row>
    <row r="3019" spans="5:14" ht="13.5" customHeight="1">
      <c r="E3019" s="209" t="s">
        <v>564</v>
      </c>
      <c r="F3019" s="209" t="s">
        <v>2716</v>
      </c>
      <c r="G3019" s="409" t="str">
        <f t="shared" si="39"/>
        <v>15-12</v>
      </c>
      <c r="H3019" s="273" t="e">
        <f ca="1">_xludf.IFNA(VLOOKUP(Aragon!E3019,'Kilter Holds'!$P$37:$AB$662,7,0),0)</f>
        <v>#NAME?</v>
      </c>
      <c r="I3019" s="274"/>
      <c r="J3019" s="274" t="e">
        <f t="shared" ca="1" si="37"/>
        <v>#NAME?</v>
      </c>
      <c r="K3019" s="274">
        <f t="shared" si="38"/>
        <v>0</v>
      </c>
      <c r="N3019" s="274"/>
    </row>
    <row r="3020" spans="5:14" ht="13.5" customHeight="1">
      <c r="E3020" s="209" t="s">
        <v>564</v>
      </c>
      <c r="F3020" s="209" t="s">
        <v>2716</v>
      </c>
      <c r="G3020" s="410" t="str">
        <f t="shared" si="39"/>
        <v>16-16</v>
      </c>
      <c r="H3020" s="273" t="e">
        <f ca="1">_xludf.IFNA(VLOOKUP(Aragon!E3020,'Kilter Holds'!$P$37:$AB$662,8,0),0)</f>
        <v>#NAME?</v>
      </c>
      <c r="I3020" s="274"/>
      <c r="J3020" s="274" t="e">
        <f t="shared" ca="1" si="37"/>
        <v>#NAME?</v>
      </c>
      <c r="K3020" s="274">
        <f t="shared" si="38"/>
        <v>0</v>
      </c>
      <c r="N3020" s="274"/>
    </row>
    <row r="3021" spans="5:14" ht="13.5" customHeight="1">
      <c r="E3021" s="209" t="s">
        <v>564</v>
      </c>
      <c r="F3021" s="209" t="s">
        <v>2716</v>
      </c>
      <c r="G3021" s="411" t="str">
        <f t="shared" si="39"/>
        <v>13-01</v>
      </c>
      <c r="H3021" s="273" t="e">
        <f ca="1">_xludf.IFNA(VLOOKUP(Aragon!E3021,'Kilter Holds'!$P$37:$AB$662,9,0),0)</f>
        <v>#NAME?</v>
      </c>
      <c r="I3021" s="274"/>
      <c r="J3021" s="274" t="e">
        <f t="shared" ca="1" si="37"/>
        <v>#NAME?</v>
      </c>
      <c r="K3021" s="274">
        <f t="shared" si="38"/>
        <v>0</v>
      </c>
      <c r="N3021" s="274"/>
    </row>
    <row r="3022" spans="5:14" ht="13.5" customHeight="1">
      <c r="E3022" s="209" t="s">
        <v>564</v>
      </c>
      <c r="F3022" s="209" t="s">
        <v>2716</v>
      </c>
      <c r="G3022" s="413" t="str">
        <f t="shared" si="39"/>
        <v>07-13</v>
      </c>
      <c r="H3022" s="273" t="e">
        <f ca="1">_xludf.IFNA(VLOOKUP(Aragon!E3022,'Kilter Holds'!$P$37:$AB$662,10,0),0)</f>
        <v>#NAME?</v>
      </c>
      <c r="I3022" s="274"/>
      <c r="J3022" s="274" t="e">
        <f t="shared" ca="1" si="37"/>
        <v>#NAME?</v>
      </c>
      <c r="K3022" s="274">
        <f t="shared" si="38"/>
        <v>0</v>
      </c>
      <c r="N3022" s="274"/>
    </row>
    <row r="3023" spans="5:14" ht="13.5" customHeight="1">
      <c r="E3023" s="209" t="s">
        <v>564</v>
      </c>
      <c r="F3023" s="209" t="s">
        <v>2716</v>
      </c>
      <c r="G3023" s="414" t="str">
        <f t="shared" si="39"/>
        <v>11-26</v>
      </c>
      <c r="H3023" s="273" t="e">
        <f ca="1">_xludf.IFNA(VLOOKUP(Aragon!E3023,'Kilter Holds'!$P$37:$AB$662,11,0),0)</f>
        <v>#NAME?</v>
      </c>
      <c r="I3023" s="274"/>
      <c r="J3023" s="274" t="e">
        <f t="shared" ca="1" si="37"/>
        <v>#NAME?</v>
      </c>
      <c r="K3023" s="274">
        <f t="shared" si="38"/>
        <v>0</v>
      </c>
      <c r="N3023" s="274"/>
    </row>
    <row r="3024" spans="5:14" ht="13.5" customHeight="1">
      <c r="E3024" s="209" t="s">
        <v>564</v>
      </c>
      <c r="F3024" s="209" t="s">
        <v>2716</v>
      </c>
      <c r="G3024" s="415" t="str">
        <f t="shared" si="39"/>
        <v>18-01</v>
      </c>
      <c r="H3024" s="273" t="e">
        <f ca="1">_xludf.IFNA(VLOOKUP(Aragon!E3024,'Kilter Holds'!$P$37:$AB$662,12,0),0)</f>
        <v>#NAME?</v>
      </c>
      <c r="I3024" s="274"/>
      <c r="J3024" s="274" t="e">
        <f t="shared" ca="1" si="37"/>
        <v>#NAME?</v>
      </c>
      <c r="K3024" s="274">
        <f t="shared" si="38"/>
        <v>0</v>
      </c>
      <c r="N3024" s="274"/>
    </row>
    <row r="3025" spans="5:14" ht="13.5" customHeight="1">
      <c r="E3025" s="209" t="s">
        <v>564</v>
      </c>
      <c r="F3025" s="209" t="s">
        <v>2716</v>
      </c>
      <c r="G3025" s="416" t="str">
        <f t="shared" si="39"/>
        <v>Color Code</v>
      </c>
      <c r="H3025" s="273" t="e">
        <f ca="1">_xludf.IFNA(VLOOKUP(Aragon!E3025,'Kilter Holds'!$P$37:$AB$662,13,0),0)</f>
        <v>#NAME?</v>
      </c>
      <c r="I3025" s="274"/>
      <c r="J3025" s="274" t="e">
        <f t="shared" ca="1" si="37"/>
        <v>#NAME?</v>
      </c>
      <c r="K3025" s="274">
        <f t="shared" si="38"/>
        <v>0</v>
      </c>
      <c r="N3025" s="274"/>
    </row>
    <row r="3026" spans="5:14" ht="13.5" customHeight="1">
      <c r="E3026" s="209" t="s">
        <v>580</v>
      </c>
      <c r="F3026" s="209" t="s">
        <v>2717</v>
      </c>
      <c r="G3026" s="406" t="str">
        <f t="shared" si="39"/>
        <v>11-12</v>
      </c>
      <c r="H3026" s="273" t="e">
        <f ca="1">_xludf.IFNA(VLOOKUP(Aragon!E3026,'Kilter Holds'!$P$37:$AB$662,5,0),0)</f>
        <v>#NAME?</v>
      </c>
      <c r="I3026" s="274"/>
      <c r="J3026" s="274" t="e">
        <f t="shared" ca="1" si="37"/>
        <v>#NAME?</v>
      </c>
      <c r="K3026" s="274">
        <f t="shared" si="38"/>
        <v>0</v>
      </c>
      <c r="N3026" s="274"/>
    </row>
    <row r="3027" spans="5:14" ht="13.5" customHeight="1">
      <c r="E3027" s="209" t="s">
        <v>580</v>
      </c>
      <c r="F3027" s="209" t="s">
        <v>2717</v>
      </c>
      <c r="G3027" s="408" t="str">
        <f t="shared" si="39"/>
        <v>14-01</v>
      </c>
      <c r="H3027" s="273" t="e">
        <f ca="1">_xludf.IFNA(VLOOKUP(Aragon!E3027,'Kilter Holds'!$P$37:$AB$662,6,0),0)</f>
        <v>#NAME?</v>
      </c>
      <c r="I3027" s="274"/>
      <c r="J3027" s="274" t="e">
        <f t="shared" ca="1" si="37"/>
        <v>#NAME?</v>
      </c>
      <c r="K3027" s="274">
        <f t="shared" si="38"/>
        <v>0</v>
      </c>
      <c r="N3027" s="274"/>
    </row>
    <row r="3028" spans="5:14" ht="13.5" customHeight="1">
      <c r="E3028" s="209" t="s">
        <v>580</v>
      </c>
      <c r="F3028" s="209" t="s">
        <v>2717</v>
      </c>
      <c r="G3028" s="409" t="str">
        <f t="shared" si="39"/>
        <v>15-12</v>
      </c>
      <c r="H3028" s="273" t="e">
        <f ca="1">_xludf.IFNA(VLOOKUP(Aragon!E3028,'Kilter Holds'!$P$37:$AB$662,7,0),0)</f>
        <v>#NAME?</v>
      </c>
      <c r="I3028" s="274"/>
      <c r="J3028" s="274" t="e">
        <f t="shared" ca="1" si="37"/>
        <v>#NAME?</v>
      </c>
      <c r="K3028" s="274">
        <f t="shared" si="38"/>
        <v>0</v>
      </c>
      <c r="N3028" s="274"/>
    </row>
    <row r="3029" spans="5:14" ht="13.5" customHeight="1">
      <c r="E3029" s="209" t="s">
        <v>580</v>
      </c>
      <c r="F3029" s="209" t="s">
        <v>2717</v>
      </c>
      <c r="G3029" s="410" t="str">
        <f t="shared" si="39"/>
        <v>16-16</v>
      </c>
      <c r="H3029" s="273" t="e">
        <f ca="1">_xludf.IFNA(VLOOKUP(Aragon!E3029,'Kilter Holds'!$P$37:$AB$662,8,0),0)</f>
        <v>#NAME?</v>
      </c>
      <c r="I3029" s="274"/>
      <c r="J3029" s="274" t="e">
        <f t="shared" ca="1" si="37"/>
        <v>#NAME?</v>
      </c>
      <c r="K3029" s="274">
        <f t="shared" si="38"/>
        <v>0</v>
      </c>
      <c r="N3029" s="274"/>
    </row>
    <row r="3030" spans="5:14" ht="13.5" customHeight="1">
      <c r="E3030" s="209" t="s">
        <v>580</v>
      </c>
      <c r="F3030" s="209" t="s">
        <v>2717</v>
      </c>
      <c r="G3030" s="411" t="str">
        <f t="shared" si="39"/>
        <v>13-01</v>
      </c>
      <c r="H3030" s="273" t="e">
        <f ca="1">_xludf.IFNA(VLOOKUP(Aragon!E3030,'Kilter Holds'!$P$37:$AB$662,9,0),0)</f>
        <v>#NAME?</v>
      </c>
      <c r="I3030" s="274"/>
      <c r="J3030" s="274" t="e">
        <f t="shared" ca="1" si="37"/>
        <v>#NAME?</v>
      </c>
      <c r="K3030" s="274">
        <f t="shared" si="38"/>
        <v>0</v>
      </c>
      <c r="N3030" s="274"/>
    </row>
    <row r="3031" spans="5:14" ht="13.5" customHeight="1">
      <c r="E3031" s="209" t="s">
        <v>580</v>
      </c>
      <c r="F3031" s="209" t="s">
        <v>2717</v>
      </c>
      <c r="G3031" s="413" t="str">
        <f t="shared" si="39"/>
        <v>07-13</v>
      </c>
      <c r="H3031" s="273" t="e">
        <f ca="1">_xludf.IFNA(VLOOKUP(Aragon!E3031,'Kilter Holds'!$P$37:$AB$662,10,0),0)</f>
        <v>#NAME?</v>
      </c>
      <c r="I3031" s="274"/>
      <c r="J3031" s="274" t="e">
        <f t="shared" ca="1" si="37"/>
        <v>#NAME?</v>
      </c>
      <c r="K3031" s="274">
        <f t="shared" si="38"/>
        <v>0</v>
      </c>
      <c r="N3031" s="274"/>
    </row>
    <row r="3032" spans="5:14" ht="13.5" customHeight="1">
      <c r="E3032" s="209" t="s">
        <v>580</v>
      </c>
      <c r="F3032" s="209" t="s">
        <v>2717</v>
      </c>
      <c r="G3032" s="414" t="str">
        <f t="shared" si="39"/>
        <v>11-26</v>
      </c>
      <c r="H3032" s="273" t="e">
        <f ca="1">_xludf.IFNA(VLOOKUP(Aragon!E3032,'Kilter Holds'!$P$37:$AB$662,11,0),0)</f>
        <v>#NAME?</v>
      </c>
      <c r="I3032" s="274"/>
      <c r="J3032" s="274" t="e">
        <f t="shared" ca="1" si="37"/>
        <v>#NAME?</v>
      </c>
      <c r="K3032" s="274">
        <f t="shared" si="38"/>
        <v>0</v>
      </c>
      <c r="N3032" s="274"/>
    </row>
    <row r="3033" spans="5:14" ht="13.5" customHeight="1">
      <c r="E3033" s="209" t="s">
        <v>580</v>
      </c>
      <c r="F3033" s="209" t="s">
        <v>2717</v>
      </c>
      <c r="G3033" s="415" t="str">
        <f t="shared" si="39"/>
        <v>18-01</v>
      </c>
      <c r="H3033" s="273" t="e">
        <f ca="1">_xludf.IFNA(VLOOKUP(Aragon!E3033,'Kilter Holds'!$P$37:$AB$662,12,0),0)</f>
        <v>#NAME?</v>
      </c>
      <c r="I3033" s="274"/>
      <c r="J3033" s="274" t="e">
        <f t="shared" ca="1" si="37"/>
        <v>#NAME?</v>
      </c>
      <c r="K3033" s="274">
        <f t="shared" si="38"/>
        <v>0</v>
      </c>
      <c r="N3033" s="274"/>
    </row>
    <row r="3034" spans="5:14" ht="13.5" customHeight="1">
      <c r="E3034" s="209" t="s">
        <v>580</v>
      </c>
      <c r="F3034" s="209" t="s">
        <v>2717</v>
      </c>
      <c r="G3034" s="416" t="str">
        <f t="shared" si="39"/>
        <v>Color Code</v>
      </c>
      <c r="H3034" s="273" t="e">
        <f ca="1">_xludf.IFNA(VLOOKUP(Aragon!E3034,'Kilter Holds'!$P$37:$AB$662,13,0),0)</f>
        <v>#NAME?</v>
      </c>
      <c r="I3034" s="274"/>
      <c r="J3034" s="274" t="e">
        <f t="shared" ca="1" si="37"/>
        <v>#NAME?</v>
      </c>
      <c r="K3034" s="274">
        <f t="shared" si="38"/>
        <v>0</v>
      </c>
      <c r="N3034" s="274"/>
    </row>
    <row r="3035" spans="5:14" ht="13.5" customHeight="1">
      <c r="E3035" s="209" t="s">
        <v>547</v>
      </c>
      <c r="F3035" s="209" t="s">
        <v>2718</v>
      </c>
      <c r="G3035" s="406" t="str">
        <f t="shared" si="39"/>
        <v>11-12</v>
      </c>
      <c r="H3035" s="273" t="e">
        <f ca="1">_xludf.IFNA(VLOOKUP(Aragon!E3035,'Kilter Holds'!$P$37:$AB$662,5,0),0)</f>
        <v>#NAME?</v>
      </c>
      <c r="I3035" s="274"/>
      <c r="J3035" s="274" t="e">
        <f t="shared" ca="1" si="37"/>
        <v>#NAME?</v>
      </c>
      <c r="K3035" s="274">
        <f t="shared" si="38"/>
        <v>0</v>
      </c>
      <c r="N3035" s="274"/>
    </row>
    <row r="3036" spans="5:14" ht="13.5" customHeight="1">
      <c r="E3036" s="209" t="s">
        <v>547</v>
      </c>
      <c r="F3036" s="209" t="s">
        <v>2718</v>
      </c>
      <c r="G3036" s="408" t="str">
        <f t="shared" si="39"/>
        <v>14-01</v>
      </c>
      <c r="H3036" s="273" t="e">
        <f ca="1">_xludf.IFNA(VLOOKUP(Aragon!E3036,'Kilter Holds'!$P$37:$AB$662,6,0),0)</f>
        <v>#NAME?</v>
      </c>
      <c r="I3036" s="274"/>
      <c r="J3036" s="274" t="e">
        <f t="shared" ca="1" si="37"/>
        <v>#NAME?</v>
      </c>
      <c r="K3036" s="274">
        <f t="shared" si="38"/>
        <v>0</v>
      </c>
      <c r="N3036" s="274"/>
    </row>
    <row r="3037" spans="5:14" ht="13.5" customHeight="1">
      <c r="E3037" s="209" t="s">
        <v>547</v>
      </c>
      <c r="F3037" s="209" t="s">
        <v>2718</v>
      </c>
      <c r="G3037" s="409" t="str">
        <f t="shared" si="39"/>
        <v>15-12</v>
      </c>
      <c r="H3037" s="273" t="e">
        <f ca="1">_xludf.IFNA(VLOOKUP(Aragon!E3037,'Kilter Holds'!$P$37:$AB$662,7,0),0)</f>
        <v>#NAME?</v>
      </c>
      <c r="I3037" s="274"/>
      <c r="J3037" s="274" t="e">
        <f t="shared" ca="1" si="37"/>
        <v>#NAME?</v>
      </c>
      <c r="K3037" s="274">
        <f t="shared" si="38"/>
        <v>0</v>
      </c>
      <c r="N3037" s="274"/>
    </row>
    <row r="3038" spans="5:14" ht="13.5" customHeight="1">
      <c r="E3038" s="209" t="s">
        <v>547</v>
      </c>
      <c r="F3038" s="209" t="s">
        <v>2718</v>
      </c>
      <c r="G3038" s="410" t="str">
        <f t="shared" si="39"/>
        <v>16-16</v>
      </c>
      <c r="H3038" s="273" t="e">
        <f ca="1">_xludf.IFNA(VLOOKUP(Aragon!E3038,'Kilter Holds'!$P$37:$AB$662,8,0),0)</f>
        <v>#NAME?</v>
      </c>
      <c r="I3038" s="274"/>
      <c r="J3038" s="274" t="e">
        <f t="shared" ca="1" si="37"/>
        <v>#NAME?</v>
      </c>
      <c r="K3038" s="274">
        <f t="shared" si="38"/>
        <v>0</v>
      </c>
      <c r="N3038" s="274"/>
    </row>
    <row r="3039" spans="5:14" ht="13.5" customHeight="1">
      <c r="E3039" s="209" t="s">
        <v>547</v>
      </c>
      <c r="F3039" s="209" t="s">
        <v>2718</v>
      </c>
      <c r="G3039" s="411" t="str">
        <f t="shared" si="39"/>
        <v>13-01</v>
      </c>
      <c r="H3039" s="273" t="e">
        <f ca="1">_xludf.IFNA(VLOOKUP(Aragon!E3039,'Kilter Holds'!$P$37:$AB$662,9,0),0)</f>
        <v>#NAME?</v>
      </c>
      <c r="I3039" s="274"/>
      <c r="J3039" s="274" t="e">
        <f t="shared" ca="1" si="37"/>
        <v>#NAME?</v>
      </c>
      <c r="K3039" s="274">
        <f t="shared" si="38"/>
        <v>0</v>
      </c>
      <c r="N3039" s="274"/>
    </row>
    <row r="3040" spans="5:14" ht="13.5" customHeight="1">
      <c r="E3040" s="209" t="s">
        <v>547</v>
      </c>
      <c r="F3040" s="209" t="s">
        <v>2718</v>
      </c>
      <c r="G3040" s="413" t="str">
        <f t="shared" si="39"/>
        <v>07-13</v>
      </c>
      <c r="H3040" s="273" t="e">
        <f ca="1">_xludf.IFNA(VLOOKUP(Aragon!E3040,'Kilter Holds'!$P$37:$AB$662,10,0),0)</f>
        <v>#NAME?</v>
      </c>
      <c r="I3040" s="274"/>
      <c r="J3040" s="274" t="e">
        <f t="shared" ca="1" si="37"/>
        <v>#NAME?</v>
      </c>
      <c r="K3040" s="274">
        <f t="shared" si="38"/>
        <v>0</v>
      </c>
      <c r="N3040" s="274"/>
    </row>
    <row r="3041" spans="5:14" ht="13.5" customHeight="1">
      <c r="E3041" s="209" t="s">
        <v>547</v>
      </c>
      <c r="F3041" s="209" t="s">
        <v>2718</v>
      </c>
      <c r="G3041" s="414" t="str">
        <f t="shared" si="39"/>
        <v>11-26</v>
      </c>
      <c r="H3041" s="273" t="e">
        <f ca="1">_xludf.IFNA(VLOOKUP(Aragon!E3041,'Kilter Holds'!$P$37:$AB$662,11,0),0)</f>
        <v>#NAME?</v>
      </c>
      <c r="I3041" s="274"/>
      <c r="J3041" s="274" t="e">
        <f t="shared" ca="1" si="37"/>
        <v>#NAME?</v>
      </c>
      <c r="K3041" s="274">
        <f t="shared" si="38"/>
        <v>0</v>
      </c>
      <c r="N3041" s="274"/>
    </row>
    <row r="3042" spans="5:14" ht="13.5" customHeight="1">
      <c r="E3042" s="209" t="s">
        <v>547</v>
      </c>
      <c r="F3042" s="209" t="s">
        <v>2718</v>
      </c>
      <c r="G3042" s="415" t="str">
        <f t="shared" si="39"/>
        <v>18-01</v>
      </c>
      <c r="H3042" s="273" t="e">
        <f ca="1">_xludf.IFNA(VLOOKUP(Aragon!E3042,'Kilter Holds'!$P$37:$AB$662,12,0),0)</f>
        <v>#NAME?</v>
      </c>
      <c r="I3042" s="274"/>
      <c r="J3042" s="274" t="e">
        <f t="shared" ca="1" si="37"/>
        <v>#NAME?</v>
      </c>
      <c r="K3042" s="274">
        <f t="shared" si="38"/>
        <v>0</v>
      </c>
      <c r="N3042" s="274"/>
    </row>
    <row r="3043" spans="5:14" ht="13.5" customHeight="1">
      <c r="E3043" s="209" t="s">
        <v>547</v>
      </c>
      <c r="F3043" s="209" t="s">
        <v>2718</v>
      </c>
      <c r="G3043" s="416" t="str">
        <f t="shared" si="39"/>
        <v>Color Code</v>
      </c>
      <c r="H3043" s="273" t="e">
        <f ca="1">_xludf.IFNA(VLOOKUP(Aragon!E3043,'Kilter Holds'!$P$37:$AB$662,13,0),0)</f>
        <v>#NAME?</v>
      </c>
      <c r="I3043" s="274"/>
      <c r="J3043" s="274" t="e">
        <f t="shared" ca="1" si="37"/>
        <v>#NAME?</v>
      </c>
      <c r="K3043" s="274">
        <f t="shared" si="38"/>
        <v>0</v>
      </c>
      <c r="N3043" s="274"/>
    </row>
    <row r="3044" spans="5:14" ht="13.5" customHeight="1">
      <c r="E3044" s="209" t="s">
        <v>549</v>
      </c>
      <c r="F3044" s="209" t="s">
        <v>2719</v>
      </c>
      <c r="G3044" s="406" t="str">
        <f t="shared" si="39"/>
        <v>11-12</v>
      </c>
      <c r="H3044" s="273" t="e">
        <f ca="1">_xludf.IFNA(VLOOKUP(Aragon!E3044,'Kilter Holds'!$P$37:$AB$662,5,0),0)</f>
        <v>#NAME?</v>
      </c>
      <c r="I3044" s="274"/>
      <c r="J3044" s="274" t="e">
        <f t="shared" ca="1" si="37"/>
        <v>#NAME?</v>
      </c>
      <c r="K3044" s="274">
        <f t="shared" si="38"/>
        <v>0</v>
      </c>
      <c r="N3044" s="274"/>
    </row>
    <row r="3045" spans="5:14" ht="13.5" customHeight="1">
      <c r="E3045" s="209" t="s">
        <v>549</v>
      </c>
      <c r="F3045" s="209" t="s">
        <v>2719</v>
      </c>
      <c r="G3045" s="408" t="str">
        <f t="shared" si="39"/>
        <v>14-01</v>
      </c>
      <c r="H3045" s="273" t="e">
        <f ca="1">_xludf.IFNA(VLOOKUP(Aragon!E3045,'Kilter Holds'!$P$37:$AB$662,6,0),0)</f>
        <v>#NAME?</v>
      </c>
      <c r="I3045" s="274"/>
      <c r="J3045" s="274" t="e">
        <f t="shared" ca="1" si="37"/>
        <v>#NAME?</v>
      </c>
      <c r="K3045" s="274">
        <f t="shared" si="38"/>
        <v>0</v>
      </c>
      <c r="N3045" s="274"/>
    </row>
    <row r="3046" spans="5:14" ht="13.5" customHeight="1">
      <c r="E3046" s="209" t="s">
        <v>549</v>
      </c>
      <c r="F3046" s="209" t="s">
        <v>2719</v>
      </c>
      <c r="G3046" s="409" t="str">
        <f t="shared" si="39"/>
        <v>15-12</v>
      </c>
      <c r="H3046" s="273" t="e">
        <f ca="1">_xludf.IFNA(VLOOKUP(Aragon!E3046,'Kilter Holds'!$P$37:$AB$662,7,0),0)</f>
        <v>#NAME?</v>
      </c>
      <c r="I3046" s="274"/>
      <c r="J3046" s="274" t="e">
        <f t="shared" ca="1" si="37"/>
        <v>#NAME?</v>
      </c>
      <c r="K3046" s="274">
        <f t="shared" si="38"/>
        <v>0</v>
      </c>
      <c r="N3046" s="274"/>
    </row>
    <row r="3047" spans="5:14" ht="13.5" customHeight="1">
      <c r="E3047" s="209" t="s">
        <v>549</v>
      </c>
      <c r="F3047" s="209" t="s">
        <v>2719</v>
      </c>
      <c r="G3047" s="410" t="str">
        <f t="shared" si="39"/>
        <v>16-16</v>
      </c>
      <c r="H3047" s="273" t="e">
        <f ca="1">_xludf.IFNA(VLOOKUP(Aragon!E3047,'Kilter Holds'!$P$37:$AB$662,8,0),0)</f>
        <v>#NAME?</v>
      </c>
      <c r="I3047" s="274"/>
      <c r="J3047" s="274" t="e">
        <f t="shared" ca="1" si="37"/>
        <v>#NAME?</v>
      </c>
      <c r="K3047" s="274">
        <f t="shared" si="38"/>
        <v>0</v>
      </c>
      <c r="N3047" s="274"/>
    </row>
    <row r="3048" spans="5:14" ht="13.5" customHeight="1">
      <c r="E3048" s="209" t="s">
        <v>549</v>
      </c>
      <c r="F3048" s="209" t="s">
        <v>2719</v>
      </c>
      <c r="G3048" s="411" t="str">
        <f t="shared" si="39"/>
        <v>13-01</v>
      </c>
      <c r="H3048" s="273" t="e">
        <f ca="1">_xludf.IFNA(VLOOKUP(Aragon!E3048,'Kilter Holds'!$P$37:$AB$662,9,0),0)</f>
        <v>#NAME?</v>
      </c>
      <c r="I3048" s="274"/>
      <c r="J3048" s="274" t="e">
        <f t="shared" ca="1" si="37"/>
        <v>#NAME?</v>
      </c>
      <c r="K3048" s="274">
        <f t="shared" si="38"/>
        <v>0</v>
      </c>
      <c r="N3048" s="274"/>
    </row>
    <row r="3049" spans="5:14" ht="13.5" customHeight="1">
      <c r="E3049" s="209" t="s">
        <v>549</v>
      </c>
      <c r="F3049" s="209" t="s">
        <v>2719</v>
      </c>
      <c r="G3049" s="413" t="str">
        <f t="shared" si="39"/>
        <v>07-13</v>
      </c>
      <c r="H3049" s="273" t="e">
        <f ca="1">_xludf.IFNA(VLOOKUP(Aragon!E3049,'Kilter Holds'!$P$37:$AB$662,10,0),0)</f>
        <v>#NAME?</v>
      </c>
      <c r="I3049" s="274"/>
      <c r="J3049" s="274" t="e">
        <f t="shared" ca="1" si="37"/>
        <v>#NAME?</v>
      </c>
      <c r="K3049" s="274">
        <f t="shared" si="38"/>
        <v>0</v>
      </c>
      <c r="N3049" s="274"/>
    </row>
    <row r="3050" spans="5:14" ht="13.5" customHeight="1">
      <c r="E3050" s="209" t="s">
        <v>549</v>
      </c>
      <c r="F3050" s="209" t="s">
        <v>2719</v>
      </c>
      <c r="G3050" s="414" t="str">
        <f t="shared" si="39"/>
        <v>11-26</v>
      </c>
      <c r="H3050" s="273" t="e">
        <f ca="1">_xludf.IFNA(VLOOKUP(Aragon!E3050,'Kilter Holds'!$P$37:$AB$662,11,0),0)</f>
        <v>#NAME?</v>
      </c>
      <c r="I3050" s="274"/>
      <c r="J3050" s="274" t="e">
        <f t="shared" ca="1" si="37"/>
        <v>#NAME?</v>
      </c>
      <c r="K3050" s="274">
        <f t="shared" si="38"/>
        <v>0</v>
      </c>
      <c r="N3050" s="274"/>
    </row>
    <row r="3051" spans="5:14" ht="13.5" customHeight="1">
      <c r="E3051" s="209" t="s">
        <v>549</v>
      </c>
      <c r="F3051" s="209" t="s">
        <v>2719</v>
      </c>
      <c r="G3051" s="415" t="str">
        <f t="shared" si="39"/>
        <v>18-01</v>
      </c>
      <c r="H3051" s="273" t="e">
        <f ca="1">_xludf.IFNA(VLOOKUP(Aragon!E3051,'Kilter Holds'!$P$37:$AB$662,12,0),0)</f>
        <v>#NAME?</v>
      </c>
      <c r="I3051" s="274"/>
      <c r="J3051" s="274" t="e">
        <f t="shared" ca="1" si="37"/>
        <v>#NAME?</v>
      </c>
      <c r="K3051" s="274">
        <f t="shared" si="38"/>
        <v>0</v>
      </c>
      <c r="N3051" s="274"/>
    </row>
    <row r="3052" spans="5:14" ht="13.5" customHeight="1">
      <c r="E3052" s="209" t="s">
        <v>549</v>
      </c>
      <c r="F3052" s="209" t="s">
        <v>2719</v>
      </c>
      <c r="G3052" s="416" t="str">
        <f t="shared" si="39"/>
        <v>Color Code</v>
      </c>
      <c r="H3052" s="273" t="e">
        <f ca="1">_xludf.IFNA(VLOOKUP(Aragon!E3052,'Kilter Holds'!$P$37:$AB$662,13,0),0)</f>
        <v>#NAME?</v>
      </c>
      <c r="I3052" s="274"/>
      <c r="J3052" s="274" t="e">
        <f t="shared" ca="1" si="37"/>
        <v>#NAME?</v>
      </c>
      <c r="K3052" s="274">
        <f t="shared" si="38"/>
        <v>0</v>
      </c>
      <c r="N3052" s="274"/>
    </row>
    <row r="3053" spans="5:14" ht="13.5" customHeight="1">
      <c r="E3053" s="209" t="s">
        <v>551</v>
      </c>
      <c r="F3053" s="209" t="s">
        <v>2720</v>
      </c>
      <c r="G3053" s="406" t="str">
        <f t="shared" si="39"/>
        <v>11-12</v>
      </c>
      <c r="H3053" s="273" t="e">
        <f ca="1">_xludf.IFNA(VLOOKUP(Aragon!E3053,'Kilter Holds'!$P$37:$AB$662,5,0),0)</f>
        <v>#NAME?</v>
      </c>
      <c r="I3053" s="274"/>
      <c r="J3053" s="274" t="e">
        <f t="shared" ca="1" si="37"/>
        <v>#NAME?</v>
      </c>
      <c r="K3053" s="274">
        <f t="shared" si="38"/>
        <v>0</v>
      </c>
      <c r="N3053" s="274"/>
    </row>
    <row r="3054" spans="5:14" ht="13.5" customHeight="1">
      <c r="E3054" s="209" t="s">
        <v>551</v>
      </c>
      <c r="F3054" s="209" t="s">
        <v>2720</v>
      </c>
      <c r="G3054" s="408" t="str">
        <f t="shared" si="39"/>
        <v>14-01</v>
      </c>
      <c r="H3054" s="273" t="e">
        <f ca="1">_xludf.IFNA(VLOOKUP(Aragon!E3054,'Kilter Holds'!$P$37:$AB$662,6,0),0)</f>
        <v>#NAME?</v>
      </c>
      <c r="I3054" s="274"/>
      <c r="J3054" s="274" t="e">
        <f t="shared" ca="1" si="37"/>
        <v>#NAME?</v>
      </c>
      <c r="K3054" s="274">
        <f t="shared" si="38"/>
        <v>0</v>
      </c>
      <c r="N3054" s="274"/>
    </row>
    <row r="3055" spans="5:14" ht="13.5" customHeight="1">
      <c r="E3055" s="209" t="s">
        <v>551</v>
      </c>
      <c r="F3055" s="209" t="s">
        <v>2720</v>
      </c>
      <c r="G3055" s="409" t="str">
        <f t="shared" si="39"/>
        <v>15-12</v>
      </c>
      <c r="H3055" s="273" t="e">
        <f ca="1">_xludf.IFNA(VLOOKUP(Aragon!E3055,'Kilter Holds'!$P$37:$AB$662,7,0),0)</f>
        <v>#NAME?</v>
      </c>
      <c r="I3055" s="274"/>
      <c r="J3055" s="274" t="e">
        <f t="shared" ca="1" si="37"/>
        <v>#NAME?</v>
      </c>
      <c r="K3055" s="274">
        <f t="shared" si="38"/>
        <v>0</v>
      </c>
      <c r="N3055" s="274"/>
    </row>
    <row r="3056" spans="5:14" ht="13.5" customHeight="1">
      <c r="E3056" s="209" t="s">
        <v>551</v>
      </c>
      <c r="F3056" s="209" t="s">
        <v>2720</v>
      </c>
      <c r="G3056" s="410" t="str">
        <f t="shared" si="39"/>
        <v>16-16</v>
      </c>
      <c r="H3056" s="273" t="e">
        <f ca="1">_xludf.IFNA(VLOOKUP(Aragon!E3056,'Kilter Holds'!$P$37:$AB$662,8,0),0)</f>
        <v>#NAME?</v>
      </c>
      <c r="I3056" s="274"/>
      <c r="J3056" s="274" t="e">
        <f t="shared" ca="1" si="37"/>
        <v>#NAME?</v>
      </c>
      <c r="K3056" s="274">
        <f t="shared" si="38"/>
        <v>0</v>
      </c>
      <c r="N3056" s="274"/>
    </row>
    <row r="3057" spans="5:14" ht="13.5" customHeight="1">
      <c r="E3057" s="209" t="s">
        <v>551</v>
      </c>
      <c r="F3057" s="209" t="s">
        <v>2720</v>
      </c>
      <c r="G3057" s="411" t="str">
        <f t="shared" si="39"/>
        <v>13-01</v>
      </c>
      <c r="H3057" s="273" t="e">
        <f ca="1">_xludf.IFNA(VLOOKUP(Aragon!E3057,'Kilter Holds'!$P$37:$AB$662,9,0),0)</f>
        <v>#NAME?</v>
      </c>
      <c r="I3057" s="274"/>
      <c r="J3057" s="274" t="e">
        <f t="shared" ca="1" si="37"/>
        <v>#NAME?</v>
      </c>
      <c r="K3057" s="274">
        <f t="shared" si="38"/>
        <v>0</v>
      </c>
      <c r="N3057" s="274"/>
    </row>
    <row r="3058" spans="5:14" ht="13.5" customHeight="1">
      <c r="E3058" s="209" t="s">
        <v>551</v>
      </c>
      <c r="F3058" s="209" t="s">
        <v>2720</v>
      </c>
      <c r="G3058" s="413" t="str">
        <f t="shared" si="39"/>
        <v>07-13</v>
      </c>
      <c r="H3058" s="273" t="e">
        <f ca="1">_xludf.IFNA(VLOOKUP(Aragon!E3058,'Kilter Holds'!$P$37:$AB$662,10,0),0)</f>
        <v>#NAME?</v>
      </c>
      <c r="I3058" s="274"/>
      <c r="J3058" s="274" t="e">
        <f t="shared" ca="1" si="37"/>
        <v>#NAME?</v>
      </c>
      <c r="K3058" s="274">
        <f t="shared" si="38"/>
        <v>0</v>
      </c>
      <c r="N3058" s="274"/>
    </row>
    <row r="3059" spans="5:14" ht="13.5" customHeight="1">
      <c r="E3059" s="209" t="s">
        <v>551</v>
      </c>
      <c r="F3059" s="209" t="s">
        <v>2720</v>
      </c>
      <c r="G3059" s="414" t="str">
        <f t="shared" si="39"/>
        <v>11-26</v>
      </c>
      <c r="H3059" s="273" t="e">
        <f ca="1">_xludf.IFNA(VLOOKUP(Aragon!E3059,'Kilter Holds'!$P$37:$AB$662,11,0),0)</f>
        <v>#NAME?</v>
      </c>
      <c r="I3059" s="274"/>
      <c r="J3059" s="274" t="e">
        <f t="shared" ca="1" si="37"/>
        <v>#NAME?</v>
      </c>
      <c r="K3059" s="274">
        <f t="shared" si="38"/>
        <v>0</v>
      </c>
      <c r="N3059" s="274"/>
    </row>
    <row r="3060" spans="5:14" ht="13.5" customHeight="1">
      <c r="E3060" s="209" t="s">
        <v>551</v>
      </c>
      <c r="F3060" s="209" t="s">
        <v>2720</v>
      </c>
      <c r="G3060" s="415" t="str">
        <f t="shared" si="39"/>
        <v>18-01</v>
      </c>
      <c r="H3060" s="273" t="e">
        <f ca="1">_xludf.IFNA(VLOOKUP(Aragon!E3060,'Kilter Holds'!$P$37:$AB$662,12,0),0)</f>
        <v>#NAME?</v>
      </c>
      <c r="I3060" s="274"/>
      <c r="J3060" s="274" t="e">
        <f t="shared" ca="1" si="37"/>
        <v>#NAME?</v>
      </c>
      <c r="K3060" s="274">
        <f t="shared" si="38"/>
        <v>0</v>
      </c>
      <c r="N3060" s="274"/>
    </row>
    <row r="3061" spans="5:14" ht="13.5" customHeight="1">
      <c r="E3061" s="209" t="s">
        <v>551</v>
      </c>
      <c r="F3061" s="209" t="s">
        <v>2720</v>
      </c>
      <c r="G3061" s="416" t="str">
        <f t="shared" si="39"/>
        <v>Color Code</v>
      </c>
      <c r="H3061" s="273" t="e">
        <f ca="1">_xludf.IFNA(VLOOKUP(Aragon!E3061,'Kilter Holds'!$P$37:$AB$662,13,0),0)</f>
        <v>#NAME?</v>
      </c>
      <c r="I3061" s="274"/>
      <c r="J3061" s="274" t="e">
        <f t="shared" ca="1" si="37"/>
        <v>#NAME?</v>
      </c>
      <c r="K3061" s="274">
        <f t="shared" si="38"/>
        <v>0</v>
      </c>
      <c r="N3061" s="274"/>
    </row>
    <row r="3062" spans="5:14" ht="13.5" customHeight="1">
      <c r="E3062" s="209" t="s">
        <v>582</v>
      </c>
      <c r="F3062" s="209" t="s">
        <v>2721</v>
      </c>
      <c r="G3062" s="406" t="str">
        <f t="shared" si="39"/>
        <v>11-12</v>
      </c>
      <c r="H3062" s="273" t="e">
        <f ca="1">_xludf.IFNA(VLOOKUP(Aragon!E3062,'Kilter Holds'!$P$37:$AB$662,5,0),0)</f>
        <v>#NAME?</v>
      </c>
      <c r="I3062" s="274"/>
      <c r="J3062" s="274" t="e">
        <f t="shared" ref="J3062:J3316" ca="1" si="40">H3062*I3062</f>
        <v>#NAME?</v>
      </c>
      <c r="K3062" s="274">
        <f t="shared" ref="K3062:K3316" si="41">IF($V$11="Y",J3062*0.05,0)</f>
        <v>0</v>
      </c>
      <c r="N3062" s="274"/>
    </row>
    <row r="3063" spans="5:14" ht="13.5" customHeight="1">
      <c r="E3063" s="209" t="s">
        <v>582</v>
      </c>
      <c r="F3063" s="209" t="s">
        <v>2721</v>
      </c>
      <c r="G3063" s="408" t="str">
        <f t="shared" si="39"/>
        <v>14-01</v>
      </c>
      <c r="H3063" s="273" t="e">
        <f ca="1">_xludf.IFNA(VLOOKUP(Aragon!E3063,'Kilter Holds'!$P$37:$AB$662,6,0),0)</f>
        <v>#NAME?</v>
      </c>
      <c r="I3063" s="274"/>
      <c r="J3063" s="274" t="e">
        <f t="shared" ca="1" si="40"/>
        <v>#NAME?</v>
      </c>
      <c r="K3063" s="274">
        <f t="shared" si="41"/>
        <v>0</v>
      </c>
      <c r="N3063" s="274"/>
    </row>
    <row r="3064" spans="5:14" ht="13.5" customHeight="1">
      <c r="E3064" s="209" t="s">
        <v>582</v>
      </c>
      <c r="F3064" s="209" t="s">
        <v>2721</v>
      </c>
      <c r="G3064" s="409" t="str">
        <f t="shared" si="39"/>
        <v>15-12</v>
      </c>
      <c r="H3064" s="273" t="e">
        <f ca="1">_xludf.IFNA(VLOOKUP(Aragon!E3064,'Kilter Holds'!$P$37:$AB$662,7,0),0)</f>
        <v>#NAME?</v>
      </c>
      <c r="I3064" s="274"/>
      <c r="J3064" s="274" t="e">
        <f t="shared" ca="1" si="40"/>
        <v>#NAME?</v>
      </c>
      <c r="K3064" s="274">
        <f t="shared" si="41"/>
        <v>0</v>
      </c>
      <c r="N3064" s="274"/>
    </row>
    <row r="3065" spans="5:14" ht="13.5" customHeight="1">
      <c r="E3065" s="209" t="s">
        <v>582</v>
      </c>
      <c r="F3065" s="209" t="s">
        <v>2721</v>
      </c>
      <c r="G3065" s="410" t="str">
        <f t="shared" si="39"/>
        <v>16-16</v>
      </c>
      <c r="H3065" s="273" t="e">
        <f ca="1">_xludf.IFNA(VLOOKUP(Aragon!E3065,'Kilter Holds'!$P$37:$AB$662,8,0),0)</f>
        <v>#NAME?</v>
      </c>
      <c r="I3065" s="274"/>
      <c r="J3065" s="274" t="e">
        <f t="shared" ca="1" si="40"/>
        <v>#NAME?</v>
      </c>
      <c r="K3065" s="274">
        <f t="shared" si="41"/>
        <v>0</v>
      </c>
      <c r="N3065" s="274"/>
    </row>
    <row r="3066" spans="5:14" ht="13.5" customHeight="1">
      <c r="E3066" s="209" t="s">
        <v>582</v>
      </c>
      <c r="F3066" s="209" t="s">
        <v>2721</v>
      </c>
      <c r="G3066" s="411" t="str">
        <f t="shared" si="39"/>
        <v>13-01</v>
      </c>
      <c r="H3066" s="273" t="e">
        <f ca="1">_xludf.IFNA(VLOOKUP(Aragon!E3066,'Kilter Holds'!$P$37:$AB$662,9,0),0)</f>
        <v>#NAME?</v>
      </c>
      <c r="I3066" s="274"/>
      <c r="J3066" s="274" t="e">
        <f t="shared" ca="1" si="40"/>
        <v>#NAME?</v>
      </c>
      <c r="K3066" s="274">
        <f t="shared" si="41"/>
        <v>0</v>
      </c>
      <c r="N3066" s="274"/>
    </row>
    <row r="3067" spans="5:14" ht="13.5" customHeight="1">
      <c r="E3067" s="209" t="s">
        <v>582</v>
      </c>
      <c r="F3067" s="209" t="s">
        <v>2721</v>
      </c>
      <c r="G3067" s="413" t="str">
        <f t="shared" si="39"/>
        <v>07-13</v>
      </c>
      <c r="H3067" s="273" t="e">
        <f ca="1">_xludf.IFNA(VLOOKUP(Aragon!E3067,'Kilter Holds'!$P$37:$AB$662,10,0),0)</f>
        <v>#NAME?</v>
      </c>
      <c r="I3067" s="274"/>
      <c r="J3067" s="274" t="e">
        <f t="shared" ca="1" si="40"/>
        <v>#NAME?</v>
      </c>
      <c r="K3067" s="274">
        <f t="shared" si="41"/>
        <v>0</v>
      </c>
      <c r="N3067" s="274"/>
    </row>
    <row r="3068" spans="5:14" ht="13.5" customHeight="1">
      <c r="E3068" s="209" t="s">
        <v>582</v>
      </c>
      <c r="F3068" s="209" t="s">
        <v>2721</v>
      </c>
      <c r="G3068" s="414" t="str">
        <f t="shared" si="39"/>
        <v>11-26</v>
      </c>
      <c r="H3068" s="273" t="e">
        <f ca="1">_xludf.IFNA(VLOOKUP(Aragon!E3068,'Kilter Holds'!$P$37:$AB$662,11,0),0)</f>
        <v>#NAME?</v>
      </c>
      <c r="I3068" s="274"/>
      <c r="J3068" s="274" t="e">
        <f t="shared" ca="1" si="40"/>
        <v>#NAME?</v>
      </c>
      <c r="K3068" s="274">
        <f t="shared" si="41"/>
        <v>0</v>
      </c>
      <c r="N3068" s="274"/>
    </row>
    <row r="3069" spans="5:14" ht="13.5" customHeight="1">
      <c r="E3069" s="209" t="s">
        <v>582</v>
      </c>
      <c r="F3069" s="209" t="s">
        <v>2721</v>
      </c>
      <c r="G3069" s="415" t="str">
        <f t="shared" si="39"/>
        <v>18-01</v>
      </c>
      <c r="H3069" s="273" t="e">
        <f ca="1">_xludf.IFNA(VLOOKUP(Aragon!E3069,'Kilter Holds'!$P$37:$AB$662,12,0),0)</f>
        <v>#NAME?</v>
      </c>
      <c r="I3069" s="274"/>
      <c r="J3069" s="274" t="e">
        <f t="shared" ca="1" si="40"/>
        <v>#NAME?</v>
      </c>
      <c r="K3069" s="274">
        <f t="shared" si="41"/>
        <v>0</v>
      </c>
      <c r="N3069" s="274"/>
    </row>
    <row r="3070" spans="5:14" ht="13.5" customHeight="1">
      <c r="E3070" s="209" t="s">
        <v>582</v>
      </c>
      <c r="F3070" s="209" t="s">
        <v>2721</v>
      </c>
      <c r="G3070" s="416" t="str">
        <f t="shared" si="39"/>
        <v>Color Code</v>
      </c>
      <c r="H3070" s="273" t="e">
        <f ca="1">_xludf.IFNA(VLOOKUP(Aragon!E3070,'Kilter Holds'!$P$37:$AB$662,13,0),0)</f>
        <v>#NAME?</v>
      </c>
      <c r="I3070" s="274"/>
      <c r="J3070" s="274" t="e">
        <f t="shared" ca="1" si="40"/>
        <v>#NAME?</v>
      </c>
      <c r="K3070" s="274">
        <f t="shared" si="41"/>
        <v>0</v>
      </c>
      <c r="N3070" s="274"/>
    </row>
    <row r="3071" spans="5:14" ht="13.5" customHeight="1">
      <c r="E3071" s="209" t="s">
        <v>584</v>
      </c>
      <c r="F3071" s="209" t="s">
        <v>2722</v>
      </c>
      <c r="G3071" s="406" t="str">
        <f t="shared" ref="G3071:G3115" si="42">G3053</f>
        <v>11-12</v>
      </c>
      <c r="H3071" s="273" t="e">
        <f ca="1">_xludf.IFNA(VLOOKUP(Aragon!E3071,'Kilter Holds'!$P$37:$AB$662,5,0),0)</f>
        <v>#NAME?</v>
      </c>
      <c r="I3071" s="274"/>
      <c r="J3071" s="274" t="e">
        <f t="shared" ca="1" si="40"/>
        <v>#NAME?</v>
      </c>
      <c r="K3071" s="274">
        <f t="shared" si="41"/>
        <v>0</v>
      </c>
      <c r="N3071" s="274"/>
    </row>
    <row r="3072" spans="5:14" ht="13.5" customHeight="1">
      <c r="E3072" s="209" t="s">
        <v>584</v>
      </c>
      <c r="F3072" s="209" t="s">
        <v>2722</v>
      </c>
      <c r="G3072" s="408" t="str">
        <f t="shared" si="42"/>
        <v>14-01</v>
      </c>
      <c r="H3072" s="273" t="e">
        <f ca="1">_xludf.IFNA(VLOOKUP(Aragon!E3072,'Kilter Holds'!$P$37:$AB$662,6,0),0)</f>
        <v>#NAME?</v>
      </c>
      <c r="I3072" s="274"/>
      <c r="J3072" s="274" t="e">
        <f t="shared" ca="1" si="40"/>
        <v>#NAME?</v>
      </c>
      <c r="K3072" s="274">
        <f t="shared" si="41"/>
        <v>0</v>
      </c>
      <c r="N3072" s="274"/>
    </row>
    <row r="3073" spans="5:14" ht="13.5" customHeight="1">
      <c r="E3073" s="209" t="s">
        <v>584</v>
      </c>
      <c r="F3073" s="209" t="s">
        <v>2722</v>
      </c>
      <c r="G3073" s="409" t="str">
        <f t="shared" si="42"/>
        <v>15-12</v>
      </c>
      <c r="H3073" s="273" t="e">
        <f ca="1">_xludf.IFNA(VLOOKUP(Aragon!E3073,'Kilter Holds'!$P$37:$AB$662,7,0),0)</f>
        <v>#NAME?</v>
      </c>
      <c r="I3073" s="274"/>
      <c r="J3073" s="274" t="e">
        <f t="shared" ca="1" si="40"/>
        <v>#NAME?</v>
      </c>
      <c r="K3073" s="274">
        <f t="shared" si="41"/>
        <v>0</v>
      </c>
      <c r="N3073" s="274"/>
    </row>
    <row r="3074" spans="5:14" ht="13.5" customHeight="1">
      <c r="E3074" s="209" t="s">
        <v>584</v>
      </c>
      <c r="F3074" s="209" t="s">
        <v>2722</v>
      </c>
      <c r="G3074" s="410" t="str">
        <f t="shared" si="42"/>
        <v>16-16</v>
      </c>
      <c r="H3074" s="273" t="e">
        <f ca="1">_xludf.IFNA(VLOOKUP(Aragon!E3074,'Kilter Holds'!$P$37:$AB$662,8,0),0)</f>
        <v>#NAME?</v>
      </c>
      <c r="I3074" s="274"/>
      <c r="J3074" s="274" t="e">
        <f t="shared" ca="1" si="40"/>
        <v>#NAME?</v>
      </c>
      <c r="K3074" s="274">
        <f t="shared" si="41"/>
        <v>0</v>
      </c>
      <c r="N3074" s="274"/>
    </row>
    <row r="3075" spans="5:14" ht="13.5" customHeight="1">
      <c r="E3075" s="209" t="s">
        <v>584</v>
      </c>
      <c r="F3075" s="209" t="s">
        <v>2722</v>
      </c>
      <c r="G3075" s="411" t="str">
        <f t="shared" si="42"/>
        <v>13-01</v>
      </c>
      <c r="H3075" s="273" t="e">
        <f ca="1">_xludf.IFNA(VLOOKUP(Aragon!E3075,'Kilter Holds'!$P$37:$AB$662,9,0),0)</f>
        <v>#NAME?</v>
      </c>
      <c r="I3075" s="274"/>
      <c r="J3075" s="274" t="e">
        <f t="shared" ca="1" si="40"/>
        <v>#NAME?</v>
      </c>
      <c r="K3075" s="274">
        <f t="shared" si="41"/>
        <v>0</v>
      </c>
      <c r="N3075" s="274"/>
    </row>
    <row r="3076" spans="5:14" ht="13.5" customHeight="1">
      <c r="E3076" s="209" t="s">
        <v>584</v>
      </c>
      <c r="F3076" s="209" t="s">
        <v>2722</v>
      </c>
      <c r="G3076" s="413" t="str">
        <f t="shared" si="42"/>
        <v>07-13</v>
      </c>
      <c r="H3076" s="273" t="e">
        <f ca="1">_xludf.IFNA(VLOOKUP(Aragon!E3076,'Kilter Holds'!$P$37:$AB$662,10,0),0)</f>
        <v>#NAME?</v>
      </c>
      <c r="I3076" s="274"/>
      <c r="J3076" s="274" t="e">
        <f t="shared" ca="1" si="40"/>
        <v>#NAME?</v>
      </c>
      <c r="K3076" s="274">
        <f t="shared" si="41"/>
        <v>0</v>
      </c>
      <c r="N3076" s="274"/>
    </row>
    <row r="3077" spans="5:14" ht="13.5" customHeight="1">
      <c r="E3077" s="209" t="s">
        <v>584</v>
      </c>
      <c r="F3077" s="209" t="s">
        <v>2722</v>
      </c>
      <c r="G3077" s="414" t="str">
        <f t="shared" si="42"/>
        <v>11-26</v>
      </c>
      <c r="H3077" s="273" t="e">
        <f ca="1">_xludf.IFNA(VLOOKUP(Aragon!E3077,'Kilter Holds'!$P$37:$AB$662,11,0),0)</f>
        <v>#NAME?</v>
      </c>
      <c r="I3077" s="274"/>
      <c r="J3077" s="274" t="e">
        <f t="shared" ca="1" si="40"/>
        <v>#NAME?</v>
      </c>
      <c r="K3077" s="274">
        <f t="shared" si="41"/>
        <v>0</v>
      </c>
      <c r="N3077" s="274"/>
    </row>
    <row r="3078" spans="5:14" ht="13.5" customHeight="1">
      <c r="E3078" s="209" t="s">
        <v>584</v>
      </c>
      <c r="F3078" s="209" t="s">
        <v>2722</v>
      </c>
      <c r="G3078" s="415" t="str">
        <f t="shared" si="42"/>
        <v>18-01</v>
      </c>
      <c r="H3078" s="273" t="e">
        <f ca="1">_xludf.IFNA(VLOOKUP(Aragon!E3078,'Kilter Holds'!$P$37:$AB$662,12,0),0)</f>
        <v>#NAME?</v>
      </c>
      <c r="I3078" s="274"/>
      <c r="J3078" s="274" t="e">
        <f t="shared" ca="1" si="40"/>
        <v>#NAME?</v>
      </c>
      <c r="K3078" s="274">
        <f t="shared" si="41"/>
        <v>0</v>
      </c>
      <c r="N3078" s="274"/>
    </row>
    <row r="3079" spans="5:14" ht="13.5" customHeight="1">
      <c r="E3079" s="209" t="s">
        <v>584</v>
      </c>
      <c r="F3079" s="209" t="s">
        <v>2722</v>
      </c>
      <c r="G3079" s="416" t="str">
        <f t="shared" si="42"/>
        <v>Color Code</v>
      </c>
      <c r="H3079" s="273" t="e">
        <f ca="1">_xludf.IFNA(VLOOKUP(Aragon!E3079,'Kilter Holds'!$P$37:$AB$662,13,0),0)</f>
        <v>#NAME?</v>
      </c>
      <c r="I3079" s="274"/>
      <c r="J3079" s="274" t="e">
        <f t="shared" ca="1" si="40"/>
        <v>#NAME?</v>
      </c>
      <c r="K3079" s="274">
        <f t="shared" si="41"/>
        <v>0</v>
      </c>
      <c r="N3079" s="274"/>
    </row>
    <row r="3080" spans="5:14" ht="13.5" customHeight="1">
      <c r="E3080" s="1" t="s">
        <v>515</v>
      </c>
      <c r="F3080" s="1" t="s">
        <v>2723</v>
      </c>
      <c r="G3080" s="406" t="str">
        <f t="shared" si="42"/>
        <v>11-12</v>
      </c>
      <c r="H3080" s="273" t="e">
        <f ca="1">_xludf.IFNA(VLOOKUP(Aragon!E3080,'Kilter Holds'!$P$37:$AB$662,5,0),0)</f>
        <v>#NAME?</v>
      </c>
      <c r="I3080" s="274"/>
      <c r="J3080" s="274" t="e">
        <f t="shared" ca="1" si="40"/>
        <v>#NAME?</v>
      </c>
      <c r="K3080" s="274">
        <f t="shared" si="41"/>
        <v>0</v>
      </c>
      <c r="N3080" s="274"/>
    </row>
    <row r="3081" spans="5:14" ht="13.5" customHeight="1">
      <c r="E3081" s="1" t="s">
        <v>515</v>
      </c>
      <c r="F3081" s="1" t="s">
        <v>2723</v>
      </c>
      <c r="G3081" s="408" t="str">
        <f t="shared" si="42"/>
        <v>14-01</v>
      </c>
      <c r="H3081" s="273" t="e">
        <f ca="1">_xludf.IFNA(VLOOKUP(Aragon!E3081,'Kilter Holds'!$P$37:$AB$662,6,0),0)</f>
        <v>#NAME?</v>
      </c>
      <c r="I3081" s="274"/>
      <c r="J3081" s="274" t="e">
        <f t="shared" ca="1" si="40"/>
        <v>#NAME?</v>
      </c>
      <c r="K3081" s="274">
        <f t="shared" si="41"/>
        <v>0</v>
      </c>
      <c r="N3081" s="274"/>
    </row>
    <row r="3082" spans="5:14" ht="13.5" customHeight="1">
      <c r="E3082" s="1" t="s">
        <v>515</v>
      </c>
      <c r="F3082" s="1" t="s">
        <v>2723</v>
      </c>
      <c r="G3082" s="409" t="str">
        <f t="shared" si="42"/>
        <v>15-12</v>
      </c>
      <c r="H3082" s="273" t="e">
        <f ca="1">_xludf.IFNA(VLOOKUP(Aragon!E3082,'Kilter Holds'!$P$37:$AB$662,7,0),0)</f>
        <v>#NAME?</v>
      </c>
      <c r="I3082" s="274"/>
      <c r="J3082" s="274" t="e">
        <f t="shared" ca="1" si="40"/>
        <v>#NAME?</v>
      </c>
      <c r="K3082" s="274">
        <f t="shared" si="41"/>
        <v>0</v>
      </c>
      <c r="N3082" s="274"/>
    </row>
    <row r="3083" spans="5:14" ht="13.5" customHeight="1">
      <c r="E3083" s="1" t="s">
        <v>515</v>
      </c>
      <c r="F3083" s="1" t="s">
        <v>2723</v>
      </c>
      <c r="G3083" s="410" t="str">
        <f t="shared" si="42"/>
        <v>16-16</v>
      </c>
      <c r="H3083" s="273" t="e">
        <f ca="1">_xludf.IFNA(VLOOKUP(Aragon!E3083,'Kilter Holds'!$P$37:$AB$662,8,0),0)</f>
        <v>#NAME?</v>
      </c>
      <c r="I3083" s="274"/>
      <c r="J3083" s="274" t="e">
        <f t="shared" ca="1" si="40"/>
        <v>#NAME?</v>
      </c>
      <c r="K3083" s="274">
        <f t="shared" si="41"/>
        <v>0</v>
      </c>
      <c r="N3083" s="274"/>
    </row>
    <row r="3084" spans="5:14" ht="13.5" customHeight="1">
      <c r="E3084" s="1" t="s">
        <v>515</v>
      </c>
      <c r="F3084" s="1" t="s">
        <v>2723</v>
      </c>
      <c r="G3084" s="411" t="str">
        <f t="shared" si="42"/>
        <v>13-01</v>
      </c>
      <c r="H3084" s="273" t="e">
        <f ca="1">_xludf.IFNA(VLOOKUP(Aragon!E3084,'Kilter Holds'!$P$37:$AB$662,9,0),0)</f>
        <v>#NAME?</v>
      </c>
      <c r="I3084" s="274"/>
      <c r="J3084" s="274" t="e">
        <f t="shared" ca="1" si="40"/>
        <v>#NAME?</v>
      </c>
      <c r="K3084" s="274">
        <f t="shared" si="41"/>
        <v>0</v>
      </c>
      <c r="N3084" s="274"/>
    </row>
    <row r="3085" spans="5:14" ht="13.5" customHeight="1">
      <c r="E3085" s="1" t="s">
        <v>515</v>
      </c>
      <c r="F3085" s="1" t="s">
        <v>2723</v>
      </c>
      <c r="G3085" s="413" t="str">
        <f t="shared" si="42"/>
        <v>07-13</v>
      </c>
      <c r="H3085" s="273" t="e">
        <f ca="1">_xludf.IFNA(VLOOKUP(Aragon!E3085,'Kilter Holds'!$P$37:$AB$662,10,0),0)</f>
        <v>#NAME?</v>
      </c>
      <c r="I3085" s="274"/>
      <c r="J3085" s="274" t="e">
        <f t="shared" ca="1" si="40"/>
        <v>#NAME?</v>
      </c>
      <c r="K3085" s="274">
        <f t="shared" si="41"/>
        <v>0</v>
      </c>
      <c r="N3085" s="274"/>
    </row>
    <row r="3086" spans="5:14" ht="13.5" customHeight="1">
      <c r="E3086" s="1" t="s">
        <v>515</v>
      </c>
      <c r="F3086" s="1" t="s">
        <v>2723</v>
      </c>
      <c r="G3086" s="414" t="str">
        <f t="shared" si="42"/>
        <v>11-26</v>
      </c>
      <c r="H3086" s="273" t="e">
        <f ca="1">_xludf.IFNA(VLOOKUP(Aragon!E3086,'Kilter Holds'!$P$37:$AB$662,11,0),0)</f>
        <v>#NAME?</v>
      </c>
      <c r="I3086" s="274"/>
      <c r="J3086" s="274" t="e">
        <f t="shared" ca="1" si="40"/>
        <v>#NAME?</v>
      </c>
      <c r="K3086" s="274">
        <f t="shared" si="41"/>
        <v>0</v>
      </c>
      <c r="N3086" s="274"/>
    </row>
    <row r="3087" spans="5:14" ht="13.5" customHeight="1">
      <c r="E3087" s="1" t="s">
        <v>515</v>
      </c>
      <c r="F3087" s="1" t="s">
        <v>2723</v>
      </c>
      <c r="G3087" s="415" t="str">
        <f t="shared" si="42"/>
        <v>18-01</v>
      </c>
      <c r="H3087" s="273" t="e">
        <f ca="1">_xludf.IFNA(VLOOKUP(Aragon!E3087,'Kilter Holds'!$P$37:$AB$662,12,0),0)</f>
        <v>#NAME?</v>
      </c>
      <c r="I3087" s="274"/>
      <c r="J3087" s="274" t="e">
        <f t="shared" ca="1" si="40"/>
        <v>#NAME?</v>
      </c>
      <c r="K3087" s="274">
        <f t="shared" si="41"/>
        <v>0</v>
      </c>
      <c r="N3087" s="274"/>
    </row>
    <row r="3088" spans="5:14" ht="13.5" customHeight="1">
      <c r="E3088" s="1" t="s">
        <v>515</v>
      </c>
      <c r="F3088" s="1" t="s">
        <v>2723</v>
      </c>
      <c r="G3088" s="416" t="str">
        <f t="shared" si="42"/>
        <v>Color Code</v>
      </c>
      <c r="H3088" s="273" t="e">
        <f ca="1">_xludf.IFNA(VLOOKUP(Aragon!E3088,'Kilter Holds'!$P$37:$AB$662,13,0),0)</f>
        <v>#NAME?</v>
      </c>
      <c r="I3088" s="274"/>
      <c r="J3088" s="274" t="e">
        <f t="shared" ca="1" si="40"/>
        <v>#NAME?</v>
      </c>
      <c r="K3088" s="274">
        <f t="shared" si="41"/>
        <v>0</v>
      </c>
      <c r="N3088" s="274"/>
    </row>
    <row r="3089" spans="5:14" ht="13.5" customHeight="1">
      <c r="E3089" s="1" t="s">
        <v>444</v>
      </c>
      <c r="F3089" s="1" t="s">
        <v>2724</v>
      </c>
      <c r="G3089" s="406" t="str">
        <f t="shared" si="42"/>
        <v>11-12</v>
      </c>
      <c r="H3089" s="273" t="e">
        <f ca="1">_xludf.IFNA(VLOOKUP(Aragon!E3089,'Kilter Holds'!$P$37:$AB$662,5,0),0)</f>
        <v>#NAME?</v>
      </c>
      <c r="I3089" s="274"/>
      <c r="J3089" s="274" t="e">
        <f t="shared" ca="1" si="40"/>
        <v>#NAME?</v>
      </c>
      <c r="K3089" s="274">
        <f t="shared" si="41"/>
        <v>0</v>
      </c>
      <c r="N3089" s="274"/>
    </row>
    <row r="3090" spans="5:14" ht="13.5" customHeight="1">
      <c r="E3090" s="1" t="s">
        <v>444</v>
      </c>
      <c r="F3090" s="1" t="s">
        <v>2724</v>
      </c>
      <c r="G3090" s="408" t="str">
        <f t="shared" si="42"/>
        <v>14-01</v>
      </c>
      <c r="H3090" s="273" t="e">
        <f ca="1">_xludf.IFNA(VLOOKUP(Aragon!E3090,'Kilter Holds'!$P$37:$AB$662,6,0),0)</f>
        <v>#NAME?</v>
      </c>
      <c r="I3090" s="274"/>
      <c r="J3090" s="274" t="e">
        <f t="shared" ca="1" si="40"/>
        <v>#NAME?</v>
      </c>
      <c r="K3090" s="274">
        <f t="shared" si="41"/>
        <v>0</v>
      </c>
      <c r="N3090" s="274"/>
    </row>
    <row r="3091" spans="5:14" ht="13.5" customHeight="1">
      <c r="E3091" s="1" t="s">
        <v>444</v>
      </c>
      <c r="F3091" s="1" t="s">
        <v>2724</v>
      </c>
      <c r="G3091" s="409" t="str">
        <f t="shared" si="42"/>
        <v>15-12</v>
      </c>
      <c r="H3091" s="273" t="e">
        <f ca="1">_xludf.IFNA(VLOOKUP(Aragon!E3091,'Kilter Holds'!$P$37:$AB$662,7,0),0)</f>
        <v>#NAME?</v>
      </c>
      <c r="I3091" s="274"/>
      <c r="J3091" s="274" t="e">
        <f t="shared" ca="1" si="40"/>
        <v>#NAME?</v>
      </c>
      <c r="K3091" s="274">
        <f t="shared" si="41"/>
        <v>0</v>
      </c>
      <c r="N3091" s="274"/>
    </row>
    <row r="3092" spans="5:14" ht="13.5" customHeight="1">
      <c r="E3092" s="1" t="s">
        <v>444</v>
      </c>
      <c r="F3092" s="1" t="s">
        <v>2724</v>
      </c>
      <c r="G3092" s="410" t="str">
        <f t="shared" si="42"/>
        <v>16-16</v>
      </c>
      <c r="H3092" s="273" t="e">
        <f ca="1">_xludf.IFNA(VLOOKUP(Aragon!E3092,'Kilter Holds'!$P$37:$AB$662,8,0),0)</f>
        <v>#NAME?</v>
      </c>
      <c r="I3092" s="274"/>
      <c r="J3092" s="274" t="e">
        <f t="shared" ca="1" si="40"/>
        <v>#NAME?</v>
      </c>
      <c r="K3092" s="274">
        <f t="shared" si="41"/>
        <v>0</v>
      </c>
      <c r="N3092" s="274"/>
    </row>
    <row r="3093" spans="5:14" ht="13.5" customHeight="1">
      <c r="E3093" s="1" t="s">
        <v>444</v>
      </c>
      <c r="F3093" s="1" t="s">
        <v>2724</v>
      </c>
      <c r="G3093" s="411" t="str">
        <f t="shared" si="42"/>
        <v>13-01</v>
      </c>
      <c r="H3093" s="273" t="e">
        <f ca="1">_xludf.IFNA(VLOOKUP(Aragon!E3093,'Kilter Holds'!$P$37:$AB$662,9,0),0)</f>
        <v>#NAME?</v>
      </c>
      <c r="I3093" s="274"/>
      <c r="J3093" s="274" t="e">
        <f t="shared" ca="1" si="40"/>
        <v>#NAME?</v>
      </c>
      <c r="K3093" s="274">
        <f t="shared" si="41"/>
        <v>0</v>
      </c>
      <c r="N3093" s="274"/>
    </row>
    <row r="3094" spans="5:14" ht="13.5" customHeight="1">
      <c r="E3094" s="1" t="s">
        <v>444</v>
      </c>
      <c r="F3094" s="1" t="s">
        <v>2724</v>
      </c>
      <c r="G3094" s="413" t="str">
        <f t="shared" si="42"/>
        <v>07-13</v>
      </c>
      <c r="H3094" s="273" t="e">
        <f ca="1">_xludf.IFNA(VLOOKUP(Aragon!E3094,'Kilter Holds'!$P$37:$AB$662,10,0),0)</f>
        <v>#NAME?</v>
      </c>
      <c r="I3094" s="274"/>
      <c r="J3094" s="274" t="e">
        <f t="shared" ca="1" si="40"/>
        <v>#NAME?</v>
      </c>
      <c r="K3094" s="274">
        <f t="shared" si="41"/>
        <v>0</v>
      </c>
      <c r="N3094" s="274"/>
    </row>
    <row r="3095" spans="5:14" ht="13.5" customHeight="1">
      <c r="E3095" s="1" t="s">
        <v>444</v>
      </c>
      <c r="F3095" s="1" t="s">
        <v>2724</v>
      </c>
      <c r="G3095" s="414" t="str">
        <f t="shared" si="42"/>
        <v>11-26</v>
      </c>
      <c r="H3095" s="273" t="e">
        <f ca="1">_xludf.IFNA(VLOOKUP(Aragon!E3095,'Kilter Holds'!$P$37:$AB$662,11,0),0)</f>
        <v>#NAME?</v>
      </c>
      <c r="I3095" s="274"/>
      <c r="J3095" s="274" t="e">
        <f t="shared" ca="1" si="40"/>
        <v>#NAME?</v>
      </c>
      <c r="K3095" s="274">
        <f t="shared" si="41"/>
        <v>0</v>
      </c>
      <c r="N3095" s="274"/>
    </row>
    <row r="3096" spans="5:14" ht="13.5" customHeight="1">
      <c r="E3096" s="1" t="s">
        <v>444</v>
      </c>
      <c r="F3096" s="1" t="s">
        <v>2724</v>
      </c>
      <c r="G3096" s="415" t="str">
        <f t="shared" si="42"/>
        <v>18-01</v>
      </c>
      <c r="H3096" s="273" t="e">
        <f ca="1">_xludf.IFNA(VLOOKUP(Aragon!E3096,'Kilter Holds'!$P$37:$AB$662,12,0),0)</f>
        <v>#NAME?</v>
      </c>
      <c r="I3096" s="274"/>
      <c r="J3096" s="274" t="e">
        <f t="shared" ca="1" si="40"/>
        <v>#NAME?</v>
      </c>
      <c r="K3096" s="274">
        <f t="shared" si="41"/>
        <v>0</v>
      </c>
      <c r="N3096" s="274"/>
    </row>
    <row r="3097" spans="5:14" ht="13.5" customHeight="1">
      <c r="E3097" s="1" t="s">
        <v>444</v>
      </c>
      <c r="F3097" s="1" t="s">
        <v>2724</v>
      </c>
      <c r="G3097" s="416" t="str">
        <f t="shared" si="42"/>
        <v>Color Code</v>
      </c>
      <c r="H3097" s="273" t="e">
        <f ca="1">_xludf.IFNA(VLOOKUP(Aragon!E3097,'Kilter Holds'!$P$37:$AB$662,13,0),0)</f>
        <v>#NAME?</v>
      </c>
      <c r="I3097" s="274"/>
      <c r="J3097" s="274" t="e">
        <f t="shared" ca="1" si="40"/>
        <v>#NAME?</v>
      </c>
      <c r="K3097" s="274">
        <f t="shared" si="41"/>
        <v>0</v>
      </c>
      <c r="N3097" s="274"/>
    </row>
    <row r="3098" spans="5:14" ht="13.5" customHeight="1">
      <c r="E3098" s="1" t="s">
        <v>447</v>
      </c>
      <c r="F3098" s="1" t="s">
        <v>2725</v>
      </c>
      <c r="G3098" s="406" t="str">
        <f t="shared" si="42"/>
        <v>11-12</v>
      </c>
      <c r="H3098" s="273" t="e">
        <f ca="1">_xludf.IFNA(VLOOKUP(Aragon!E3098,'Kilter Holds'!$P$37:$AB$662,5,0),0)</f>
        <v>#NAME?</v>
      </c>
      <c r="I3098" s="274"/>
      <c r="J3098" s="274" t="e">
        <f t="shared" ca="1" si="40"/>
        <v>#NAME?</v>
      </c>
      <c r="K3098" s="274">
        <f t="shared" si="41"/>
        <v>0</v>
      </c>
      <c r="N3098" s="274"/>
    </row>
    <row r="3099" spans="5:14" ht="13.5" customHeight="1">
      <c r="E3099" s="1" t="s">
        <v>447</v>
      </c>
      <c r="F3099" s="1" t="s">
        <v>2725</v>
      </c>
      <c r="G3099" s="408" t="str">
        <f t="shared" si="42"/>
        <v>14-01</v>
      </c>
      <c r="H3099" s="273" t="e">
        <f ca="1">_xludf.IFNA(VLOOKUP(Aragon!E3099,'Kilter Holds'!$P$37:$AB$662,6,0),0)</f>
        <v>#NAME?</v>
      </c>
      <c r="I3099" s="274"/>
      <c r="J3099" s="274" t="e">
        <f t="shared" ca="1" si="40"/>
        <v>#NAME?</v>
      </c>
      <c r="K3099" s="274">
        <f t="shared" si="41"/>
        <v>0</v>
      </c>
      <c r="N3099" s="274"/>
    </row>
    <row r="3100" spans="5:14" ht="13.5" customHeight="1">
      <c r="E3100" s="1" t="s">
        <v>447</v>
      </c>
      <c r="F3100" s="1" t="s">
        <v>2725</v>
      </c>
      <c r="G3100" s="409" t="str">
        <f t="shared" si="42"/>
        <v>15-12</v>
      </c>
      <c r="H3100" s="273" t="e">
        <f ca="1">_xludf.IFNA(VLOOKUP(Aragon!E3100,'Kilter Holds'!$P$37:$AB$662,7,0),0)</f>
        <v>#NAME?</v>
      </c>
      <c r="I3100" s="274"/>
      <c r="J3100" s="274" t="e">
        <f t="shared" ca="1" si="40"/>
        <v>#NAME?</v>
      </c>
      <c r="K3100" s="274">
        <f t="shared" si="41"/>
        <v>0</v>
      </c>
      <c r="N3100" s="274"/>
    </row>
    <row r="3101" spans="5:14" ht="13.5" customHeight="1">
      <c r="E3101" s="1" t="s">
        <v>447</v>
      </c>
      <c r="F3101" s="1" t="s">
        <v>2725</v>
      </c>
      <c r="G3101" s="410" t="str">
        <f t="shared" si="42"/>
        <v>16-16</v>
      </c>
      <c r="H3101" s="273" t="e">
        <f ca="1">_xludf.IFNA(VLOOKUP(Aragon!E3101,'Kilter Holds'!$P$37:$AB$662,8,0),0)</f>
        <v>#NAME?</v>
      </c>
      <c r="I3101" s="274"/>
      <c r="J3101" s="274" t="e">
        <f t="shared" ca="1" si="40"/>
        <v>#NAME?</v>
      </c>
      <c r="K3101" s="274">
        <f t="shared" si="41"/>
        <v>0</v>
      </c>
      <c r="N3101" s="274"/>
    </row>
    <row r="3102" spans="5:14" ht="13.5" customHeight="1">
      <c r="E3102" s="1" t="s">
        <v>447</v>
      </c>
      <c r="F3102" s="1" t="s">
        <v>2725</v>
      </c>
      <c r="G3102" s="411" t="str">
        <f t="shared" si="42"/>
        <v>13-01</v>
      </c>
      <c r="H3102" s="273" t="e">
        <f ca="1">_xludf.IFNA(VLOOKUP(Aragon!E3102,'Kilter Holds'!$P$37:$AB$662,9,0),0)</f>
        <v>#NAME?</v>
      </c>
      <c r="I3102" s="274"/>
      <c r="J3102" s="274" t="e">
        <f t="shared" ca="1" si="40"/>
        <v>#NAME?</v>
      </c>
      <c r="K3102" s="274">
        <f t="shared" si="41"/>
        <v>0</v>
      </c>
      <c r="N3102" s="274"/>
    </row>
    <row r="3103" spans="5:14" ht="13.5" customHeight="1">
      <c r="E3103" s="1" t="s">
        <v>447</v>
      </c>
      <c r="F3103" s="1" t="s">
        <v>2725</v>
      </c>
      <c r="G3103" s="413" t="str">
        <f t="shared" si="42"/>
        <v>07-13</v>
      </c>
      <c r="H3103" s="273" t="e">
        <f ca="1">_xludf.IFNA(VLOOKUP(Aragon!E3103,'Kilter Holds'!$P$37:$AB$662,10,0),0)</f>
        <v>#NAME?</v>
      </c>
      <c r="I3103" s="274"/>
      <c r="J3103" s="274" t="e">
        <f t="shared" ca="1" si="40"/>
        <v>#NAME?</v>
      </c>
      <c r="K3103" s="274">
        <f t="shared" si="41"/>
        <v>0</v>
      </c>
      <c r="N3103" s="274"/>
    </row>
    <row r="3104" spans="5:14" ht="13.5" customHeight="1">
      <c r="E3104" s="1" t="s">
        <v>447</v>
      </c>
      <c r="F3104" s="1" t="s">
        <v>2725</v>
      </c>
      <c r="G3104" s="414" t="str">
        <f t="shared" si="42"/>
        <v>11-26</v>
      </c>
      <c r="H3104" s="273" t="e">
        <f ca="1">_xludf.IFNA(VLOOKUP(Aragon!E3104,'Kilter Holds'!$P$37:$AB$662,11,0),0)</f>
        <v>#NAME?</v>
      </c>
      <c r="I3104" s="274"/>
      <c r="J3104" s="274" t="e">
        <f t="shared" ca="1" si="40"/>
        <v>#NAME?</v>
      </c>
      <c r="K3104" s="274">
        <f t="shared" si="41"/>
        <v>0</v>
      </c>
      <c r="N3104" s="274"/>
    </row>
    <row r="3105" spans="5:14" ht="13.5" customHeight="1">
      <c r="E3105" s="1" t="s">
        <v>447</v>
      </c>
      <c r="F3105" s="1" t="s">
        <v>2725</v>
      </c>
      <c r="G3105" s="415" t="str">
        <f t="shared" si="42"/>
        <v>18-01</v>
      </c>
      <c r="H3105" s="273" t="e">
        <f ca="1">_xludf.IFNA(VLOOKUP(Aragon!E3105,'Kilter Holds'!$P$37:$AB$662,12,0),0)</f>
        <v>#NAME?</v>
      </c>
      <c r="I3105" s="274"/>
      <c r="J3105" s="274" t="e">
        <f t="shared" ca="1" si="40"/>
        <v>#NAME?</v>
      </c>
      <c r="K3105" s="274">
        <f t="shared" si="41"/>
        <v>0</v>
      </c>
      <c r="N3105" s="274"/>
    </row>
    <row r="3106" spans="5:14" ht="13.5" customHeight="1">
      <c r="E3106" s="1" t="s">
        <v>447</v>
      </c>
      <c r="F3106" s="1" t="s">
        <v>2725</v>
      </c>
      <c r="G3106" s="416" t="str">
        <f t="shared" si="42"/>
        <v>Color Code</v>
      </c>
      <c r="H3106" s="273" t="e">
        <f ca="1">_xludf.IFNA(VLOOKUP(Aragon!E3106,'Kilter Holds'!$P$37:$AB$662,13,0),0)</f>
        <v>#NAME?</v>
      </c>
      <c r="I3106" s="274"/>
      <c r="J3106" s="274" t="e">
        <f t="shared" ca="1" si="40"/>
        <v>#NAME?</v>
      </c>
      <c r="K3106" s="274">
        <f t="shared" si="41"/>
        <v>0</v>
      </c>
      <c r="N3106" s="274"/>
    </row>
    <row r="3107" spans="5:14" ht="13.5" customHeight="1">
      <c r="E3107" s="1" t="s">
        <v>449</v>
      </c>
      <c r="F3107" s="1" t="s">
        <v>2726</v>
      </c>
      <c r="G3107" s="406" t="str">
        <f t="shared" si="42"/>
        <v>11-12</v>
      </c>
      <c r="H3107" s="273" t="e">
        <f ca="1">_xludf.IFNA(VLOOKUP(Aragon!E3107,'Kilter Holds'!$P$37:$AB$662,5,0),0)</f>
        <v>#NAME?</v>
      </c>
      <c r="I3107" s="274"/>
      <c r="J3107" s="274" t="e">
        <f t="shared" ca="1" si="40"/>
        <v>#NAME?</v>
      </c>
      <c r="K3107" s="274">
        <f t="shared" si="41"/>
        <v>0</v>
      </c>
      <c r="N3107" s="274"/>
    </row>
    <row r="3108" spans="5:14" ht="13.5" customHeight="1">
      <c r="E3108" s="1" t="s">
        <v>449</v>
      </c>
      <c r="F3108" s="1" t="s">
        <v>2726</v>
      </c>
      <c r="G3108" s="408" t="str">
        <f t="shared" si="42"/>
        <v>14-01</v>
      </c>
      <c r="H3108" s="273" t="e">
        <f ca="1">_xludf.IFNA(VLOOKUP(Aragon!E3108,'Kilter Holds'!$P$37:$AB$662,6,0),0)</f>
        <v>#NAME?</v>
      </c>
      <c r="I3108" s="274"/>
      <c r="J3108" s="274" t="e">
        <f t="shared" ca="1" si="40"/>
        <v>#NAME?</v>
      </c>
      <c r="K3108" s="274">
        <f t="shared" si="41"/>
        <v>0</v>
      </c>
      <c r="N3108" s="274"/>
    </row>
    <row r="3109" spans="5:14" ht="13.5" customHeight="1">
      <c r="E3109" s="1" t="s">
        <v>449</v>
      </c>
      <c r="F3109" s="1" t="s">
        <v>2726</v>
      </c>
      <c r="G3109" s="409" t="str">
        <f t="shared" si="42"/>
        <v>15-12</v>
      </c>
      <c r="H3109" s="273" t="e">
        <f ca="1">_xludf.IFNA(VLOOKUP(Aragon!E3109,'Kilter Holds'!$P$37:$AB$662,7,0),0)</f>
        <v>#NAME?</v>
      </c>
      <c r="I3109" s="274"/>
      <c r="J3109" s="274" t="e">
        <f t="shared" ca="1" si="40"/>
        <v>#NAME?</v>
      </c>
      <c r="K3109" s="274">
        <f t="shared" si="41"/>
        <v>0</v>
      </c>
      <c r="N3109" s="274"/>
    </row>
    <row r="3110" spans="5:14" ht="13.5" customHeight="1">
      <c r="E3110" s="1" t="s">
        <v>449</v>
      </c>
      <c r="F3110" s="1" t="s">
        <v>2726</v>
      </c>
      <c r="G3110" s="410" t="str">
        <f t="shared" si="42"/>
        <v>16-16</v>
      </c>
      <c r="H3110" s="273" t="e">
        <f ca="1">_xludf.IFNA(VLOOKUP(Aragon!E3110,'Kilter Holds'!$P$37:$AB$662,8,0),0)</f>
        <v>#NAME?</v>
      </c>
      <c r="I3110" s="274"/>
      <c r="J3110" s="274" t="e">
        <f t="shared" ca="1" si="40"/>
        <v>#NAME?</v>
      </c>
      <c r="K3110" s="274">
        <f t="shared" si="41"/>
        <v>0</v>
      </c>
      <c r="N3110" s="274"/>
    </row>
    <row r="3111" spans="5:14" ht="13.5" customHeight="1">
      <c r="E3111" s="1" t="s">
        <v>449</v>
      </c>
      <c r="F3111" s="1" t="s">
        <v>2726</v>
      </c>
      <c r="G3111" s="411" t="str">
        <f t="shared" si="42"/>
        <v>13-01</v>
      </c>
      <c r="H3111" s="273" t="e">
        <f ca="1">_xludf.IFNA(VLOOKUP(Aragon!E3111,'Kilter Holds'!$P$37:$AB$662,9,0),0)</f>
        <v>#NAME?</v>
      </c>
      <c r="I3111" s="274"/>
      <c r="J3111" s="274" t="e">
        <f t="shared" ca="1" si="40"/>
        <v>#NAME?</v>
      </c>
      <c r="K3111" s="274">
        <f t="shared" si="41"/>
        <v>0</v>
      </c>
      <c r="N3111" s="274"/>
    </row>
    <row r="3112" spans="5:14" ht="13.5" customHeight="1">
      <c r="E3112" s="1" t="s">
        <v>449</v>
      </c>
      <c r="F3112" s="1" t="s">
        <v>2726</v>
      </c>
      <c r="G3112" s="413" t="str">
        <f t="shared" si="42"/>
        <v>07-13</v>
      </c>
      <c r="H3112" s="273" t="e">
        <f ca="1">_xludf.IFNA(VLOOKUP(Aragon!E3112,'Kilter Holds'!$P$37:$AB$662,10,0),0)</f>
        <v>#NAME?</v>
      </c>
      <c r="I3112" s="274"/>
      <c r="J3112" s="274" t="e">
        <f t="shared" ca="1" si="40"/>
        <v>#NAME?</v>
      </c>
      <c r="K3112" s="274">
        <f t="shared" si="41"/>
        <v>0</v>
      </c>
      <c r="N3112" s="274"/>
    </row>
    <row r="3113" spans="5:14" ht="13.5" customHeight="1">
      <c r="E3113" s="1" t="s">
        <v>449</v>
      </c>
      <c r="F3113" s="1" t="s">
        <v>2726</v>
      </c>
      <c r="G3113" s="414" t="str">
        <f t="shared" si="42"/>
        <v>11-26</v>
      </c>
      <c r="H3113" s="273" t="e">
        <f ca="1">_xludf.IFNA(VLOOKUP(Aragon!E3113,'Kilter Holds'!$P$37:$AB$662,11,0),0)</f>
        <v>#NAME?</v>
      </c>
      <c r="I3113" s="274"/>
      <c r="J3113" s="274" t="e">
        <f t="shared" ca="1" si="40"/>
        <v>#NAME?</v>
      </c>
      <c r="K3113" s="274">
        <f t="shared" si="41"/>
        <v>0</v>
      </c>
      <c r="N3113" s="274"/>
    </row>
    <row r="3114" spans="5:14" ht="13.5" customHeight="1">
      <c r="E3114" s="1" t="s">
        <v>449</v>
      </c>
      <c r="F3114" s="1" t="s">
        <v>2726</v>
      </c>
      <c r="G3114" s="415" t="str">
        <f t="shared" si="42"/>
        <v>18-01</v>
      </c>
      <c r="H3114" s="273" t="e">
        <f ca="1">_xludf.IFNA(VLOOKUP(Aragon!E3114,'Kilter Holds'!$P$37:$AB$662,12,0),0)</f>
        <v>#NAME?</v>
      </c>
      <c r="I3114" s="274"/>
      <c r="J3114" s="274" t="e">
        <f t="shared" ca="1" si="40"/>
        <v>#NAME?</v>
      </c>
      <c r="K3114" s="274">
        <f t="shared" si="41"/>
        <v>0</v>
      </c>
      <c r="N3114" s="274"/>
    </row>
    <row r="3115" spans="5:14" ht="13.5" customHeight="1">
      <c r="E3115" s="1" t="s">
        <v>449</v>
      </c>
      <c r="F3115" s="1" t="s">
        <v>2726</v>
      </c>
      <c r="G3115" s="416" t="str">
        <f t="shared" si="42"/>
        <v>Color Code</v>
      </c>
      <c r="H3115" s="273" t="e">
        <f ca="1">_xludf.IFNA(VLOOKUP(Aragon!E3115,'Kilter Holds'!$P$37:$AB$662,13,0),0)</f>
        <v>#NAME?</v>
      </c>
      <c r="I3115" s="274"/>
      <c r="J3115" s="274" t="e">
        <f t="shared" ca="1" si="40"/>
        <v>#NAME?</v>
      </c>
      <c r="K3115" s="274">
        <f t="shared" si="41"/>
        <v>0</v>
      </c>
      <c r="N3115" s="274"/>
    </row>
    <row r="3116" spans="5:14" ht="13.5" customHeight="1">
      <c r="E3116" s="1" t="s">
        <v>479</v>
      </c>
      <c r="F3116" s="1" t="s">
        <v>2727</v>
      </c>
      <c r="G3116" s="406" t="str">
        <f t="shared" ref="G3116:G3196" si="43">G3080</f>
        <v>11-12</v>
      </c>
      <c r="H3116" s="273" t="e">
        <f ca="1">_xludf.IFNA(VLOOKUP(Aragon!E3116,'Kilter Holds'!$P$37:$AB$662,5,0),0)</f>
        <v>#NAME?</v>
      </c>
      <c r="I3116" s="274"/>
      <c r="J3116" s="274" t="e">
        <f t="shared" ca="1" si="40"/>
        <v>#NAME?</v>
      </c>
      <c r="K3116" s="274">
        <f t="shared" si="41"/>
        <v>0</v>
      </c>
      <c r="N3116" s="274"/>
    </row>
    <row r="3117" spans="5:14" ht="13.5" customHeight="1">
      <c r="E3117" s="1" t="s">
        <v>479</v>
      </c>
      <c r="F3117" s="1" t="s">
        <v>2727</v>
      </c>
      <c r="G3117" s="408" t="str">
        <f t="shared" si="43"/>
        <v>14-01</v>
      </c>
      <c r="H3117" s="273" t="e">
        <f ca="1">_xludf.IFNA(VLOOKUP(Aragon!E3117,'Kilter Holds'!$P$37:$AB$662,6,0),0)</f>
        <v>#NAME?</v>
      </c>
      <c r="I3117" s="274"/>
      <c r="J3117" s="274" t="e">
        <f t="shared" ca="1" si="40"/>
        <v>#NAME?</v>
      </c>
      <c r="K3117" s="274">
        <f t="shared" si="41"/>
        <v>0</v>
      </c>
      <c r="N3117" s="274"/>
    </row>
    <row r="3118" spans="5:14" ht="13.5" customHeight="1">
      <c r="E3118" s="1" t="s">
        <v>479</v>
      </c>
      <c r="F3118" s="1" t="s">
        <v>2727</v>
      </c>
      <c r="G3118" s="409" t="str">
        <f t="shared" si="43"/>
        <v>15-12</v>
      </c>
      <c r="H3118" s="273" t="e">
        <f ca="1">_xludf.IFNA(VLOOKUP(Aragon!E3118,'Kilter Holds'!$P$37:$AB$662,7,0),0)</f>
        <v>#NAME?</v>
      </c>
      <c r="I3118" s="274"/>
      <c r="J3118" s="274" t="e">
        <f t="shared" ca="1" si="40"/>
        <v>#NAME?</v>
      </c>
      <c r="K3118" s="274">
        <f t="shared" si="41"/>
        <v>0</v>
      </c>
      <c r="N3118" s="274"/>
    </row>
    <row r="3119" spans="5:14" ht="13.5" customHeight="1">
      <c r="E3119" s="1" t="s">
        <v>479</v>
      </c>
      <c r="F3119" s="1" t="s">
        <v>2727</v>
      </c>
      <c r="G3119" s="410" t="str">
        <f t="shared" si="43"/>
        <v>16-16</v>
      </c>
      <c r="H3119" s="273" t="e">
        <f ca="1">_xludf.IFNA(VLOOKUP(Aragon!E3119,'Kilter Holds'!$P$37:$AB$662,8,0),0)</f>
        <v>#NAME?</v>
      </c>
      <c r="I3119" s="274"/>
      <c r="J3119" s="274" t="e">
        <f t="shared" ca="1" si="40"/>
        <v>#NAME?</v>
      </c>
      <c r="K3119" s="274">
        <f t="shared" si="41"/>
        <v>0</v>
      </c>
      <c r="N3119" s="274"/>
    </row>
    <row r="3120" spans="5:14" ht="13.5" customHeight="1">
      <c r="E3120" s="1" t="s">
        <v>479</v>
      </c>
      <c r="F3120" s="1" t="s">
        <v>2727</v>
      </c>
      <c r="G3120" s="411" t="str">
        <f t="shared" si="43"/>
        <v>13-01</v>
      </c>
      <c r="H3120" s="273" t="e">
        <f ca="1">_xludf.IFNA(VLOOKUP(Aragon!E3120,'Kilter Holds'!$P$37:$AB$662,9,0),0)</f>
        <v>#NAME?</v>
      </c>
      <c r="I3120" s="274"/>
      <c r="J3120" s="274" t="e">
        <f t="shared" ca="1" si="40"/>
        <v>#NAME?</v>
      </c>
      <c r="K3120" s="274">
        <f t="shared" si="41"/>
        <v>0</v>
      </c>
      <c r="N3120" s="274"/>
    </row>
    <row r="3121" spans="5:14" ht="13.5" customHeight="1">
      <c r="E3121" s="1" t="s">
        <v>479</v>
      </c>
      <c r="F3121" s="1" t="s">
        <v>2727</v>
      </c>
      <c r="G3121" s="413" t="str">
        <f t="shared" si="43"/>
        <v>07-13</v>
      </c>
      <c r="H3121" s="273" t="e">
        <f ca="1">_xludf.IFNA(VLOOKUP(Aragon!E3121,'Kilter Holds'!$P$37:$AB$662,10,0),0)</f>
        <v>#NAME?</v>
      </c>
      <c r="I3121" s="274"/>
      <c r="J3121" s="274" t="e">
        <f t="shared" ca="1" si="40"/>
        <v>#NAME?</v>
      </c>
      <c r="K3121" s="274">
        <f t="shared" si="41"/>
        <v>0</v>
      </c>
      <c r="N3121" s="274"/>
    </row>
    <row r="3122" spans="5:14" ht="13.5" customHeight="1">
      <c r="E3122" s="1" t="s">
        <v>479</v>
      </c>
      <c r="F3122" s="1" t="s">
        <v>2727</v>
      </c>
      <c r="G3122" s="414" t="str">
        <f t="shared" si="43"/>
        <v>11-26</v>
      </c>
      <c r="H3122" s="273" t="e">
        <f ca="1">_xludf.IFNA(VLOOKUP(Aragon!E3122,'Kilter Holds'!$P$37:$AB$662,11,0),0)</f>
        <v>#NAME?</v>
      </c>
      <c r="I3122" s="274"/>
      <c r="J3122" s="274" t="e">
        <f t="shared" ca="1" si="40"/>
        <v>#NAME?</v>
      </c>
      <c r="K3122" s="274">
        <f t="shared" si="41"/>
        <v>0</v>
      </c>
      <c r="N3122" s="274"/>
    </row>
    <row r="3123" spans="5:14" ht="13.5" customHeight="1">
      <c r="E3123" s="1" t="s">
        <v>479</v>
      </c>
      <c r="F3123" s="1" t="s">
        <v>2727</v>
      </c>
      <c r="G3123" s="415" t="str">
        <f t="shared" si="43"/>
        <v>18-01</v>
      </c>
      <c r="H3123" s="273" t="e">
        <f ca="1">_xludf.IFNA(VLOOKUP(Aragon!E3123,'Kilter Holds'!$P$37:$AB$662,12,0),0)</f>
        <v>#NAME?</v>
      </c>
      <c r="I3123" s="274"/>
      <c r="J3123" s="274" t="e">
        <f t="shared" ca="1" si="40"/>
        <v>#NAME?</v>
      </c>
      <c r="K3123" s="274">
        <f t="shared" si="41"/>
        <v>0</v>
      </c>
      <c r="N3123" s="274"/>
    </row>
    <row r="3124" spans="5:14" ht="13.5" customHeight="1">
      <c r="E3124" s="1" t="s">
        <v>479</v>
      </c>
      <c r="F3124" s="1" t="s">
        <v>2727</v>
      </c>
      <c r="G3124" s="416" t="str">
        <f t="shared" si="43"/>
        <v>Color Code</v>
      </c>
      <c r="H3124" s="273" t="e">
        <f ca="1">_xludf.IFNA(VLOOKUP(Aragon!E3124,'Kilter Holds'!$P$37:$AB$662,13,0),0)</f>
        <v>#NAME?</v>
      </c>
      <c r="I3124" s="274"/>
      <c r="J3124" s="274" t="e">
        <f t="shared" ca="1" si="40"/>
        <v>#NAME?</v>
      </c>
      <c r="K3124" s="274">
        <f t="shared" si="41"/>
        <v>0</v>
      </c>
      <c r="N3124" s="274"/>
    </row>
    <row r="3125" spans="5:14" ht="13.5" customHeight="1">
      <c r="E3125" s="1" t="s">
        <v>451</v>
      </c>
      <c r="F3125" s="1" t="s">
        <v>2728</v>
      </c>
      <c r="G3125" s="406" t="str">
        <f t="shared" si="43"/>
        <v>11-12</v>
      </c>
      <c r="H3125" s="273" t="e">
        <f ca="1">_xludf.IFNA(VLOOKUP(Aragon!E3125,'Kilter Holds'!$P$37:$AB$662,5,0),0)</f>
        <v>#NAME?</v>
      </c>
      <c r="I3125" s="274"/>
      <c r="J3125" s="274" t="e">
        <f t="shared" ca="1" si="40"/>
        <v>#NAME?</v>
      </c>
      <c r="K3125" s="274">
        <f t="shared" si="41"/>
        <v>0</v>
      </c>
      <c r="N3125" s="274"/>
    </row>
    <row r="3126" spans="5:14" ht="13.5" customHeight="1">
      <c r="E3126" s="1" t="s">
        <v>451</v>
      </c>
      <c r="F3126" s="1" t="s">
        <v>2728</v>
      </c>
      <c r="G3126" s="408" t="str">
        <f t="shared" si="43"/>
        <v>14-01</v>
      </c>
      <c r="H3126" s="273" t="e">
        <f ca="1">_xludf.IFNA(VLOOKUP(Aragon!E3126,'Kilter Holds'!$P$37:$AB$662,6,0),0)</f>
        <v>#NAME?</v>
      </c>
      <c r="I3126" s="274"/>
      <c r="J3126" s="274" t="e">
        <f t="shared" ca="1" si="40"/>
        <v>#NAME?</v>
      </c>
      <c r="K3126" s="274">
        <f t="shared" si="41"/>
        <v>0</v>
      </c>
      <c r="N3126" s="274"/>
    </row>
    <row r="3127" spans="5:14" ht="13.5" customHeight="1">
      <c r="E3127" s="1" t="s">
        <v>451</v>
      </c>
      <c r="F3127" s="1" t="s">
        <v>2728</v>
      </c>
      <c r="G3127" s="409" t="str">
        <f t="shared" si="43"/>
        <v>15-12</v>
      </c>
      <c r="H3127" s="273" t="e">
        <f ca="1">_xludf.IFNA(VLOOKUP(Aragon!E3127,'Kilter Holds'!$P$37:$AB$662,7,0),0)</f>
        <v>#NAME?</v>
      </c>
      <c r="I3127" s="274"/>
      <c r="J3127" s="274" t="e">
        <f t="shared" ca="1" si="40"/>
        <v>#NAME?</v>
      </c>
      <c r="K3127" s="274">
        <f t="shared" si="41"/>
        <v>0</v>
      </c>
      <c r="N3127" s="274"/>
    </row>
    <row r="3128" spans="5:14" ht="13.5" customHeight="1">
      <c r="E3128" s="1" t="s">
        <v>451</v>
      </c>
      <c r="F3128" s="1" t="s">
        <v>2728</v>
      </c>
      <c r="G3128" s="410" t="str">
        <f t="shared" si="43"/>
        <v>16-16</v>
      </c>
      <c r="H3128" s="273" t="e">
        <f ca="1">_xludf.IFNA(VLOOKUP(Aragon!E3128,'Kilter Holds'!$P$37:$AB$662,8,0),0)</f>
        <v>#NAME?</v>
      </c>
      <c r="I3128" s="274"/>
      <c r="J3128" s="274" t="e">
        <f t="shared" ca="1" si="40"/>
        <v>#NAME?</v>
      </c>
      <c r="K3128" s="274">
        <f t="shared" si="41"/>
        <v>0</v>
      </c>
      <c r="N3128" s="274"/>
    </row>
    <row r="3129" spans="5:14" ht="13.5" customHeight="1">
      <c r="E3129" s="1" t="s">
        <v>451</v>
      </c>
      <c r="F3129" s="1" t="s">
        <v>2728</v>
      </c>
      <c r="G3129" s="411" t="str">
        <f t="shared" si="43"/>
        <v>13-01</v>
      </c>
      <c r="H3129" s="273" t="e">
        <f ca="1">_xludf.IFNA(VLOOKUP(Aragon!E3129,'Kilter Holds'!$P$37:$AB$662,9,0),0)</f>
        <v>#NAME?</v>
      </c>
      <c r="I3129" s="274"/>
      <c r="J3129" s="274" t="e">
        <f t="shared" ca="1" si="40"/>
        <v>#NAME?</v>
      </c>
      <c r="K3129" s="274">
        <f t="shared" si="41"/>
        <v>0</v>
      </c>
      <c r="N3129" s="274"/>
    </row>
    <row r="3130" spans="5:14" ht="13.5" customHeight="1">
      <c r="E3130" s="1" t="s">
        <v>451</v>
      </c>
      <c r="F3130" s="1" t="s">
        <v>2728</v>
      </c>
      <c r="G3130" s="413" t="str">
        <f t="shared" si="43"/>
        <v>07-13</v>
      </c>
      <c r="H3130" s="273" t="e">
        <f ca="1">_xludf.IFNA(VLOOKUP(Aragon!E3130,'Kilter Holds'!$P$37:$AB$662,10,0),0)</f>
        <v>#NAME?</v>
      </c>
      <c r="I3130" s="274"/>
      <c r="J3130" s="274" t="e">
        <f t="shared" ca="1" si="40"/>
        <v>#NAME?</v>
      </c>
      <c r="K3130" s="274">
        <f t="shared" si="41"/>
        <v>0</v>
      </c>
      <c r="N3130" s="274"/>
    </row>
    <row r="3131" spans="5:14" ht="13.5" customHeight="1">
      <c r="E3131" s="1" t="s">
        <v>451</v>
      </c>
      <c r="F3131" s="1" t="s">
        <v>2728</v>
      </c>
      <c r="G3131" s="414" t="str">
        <f t="shared" si="43"/>
        <v>11-26</v>
      </c>
      <c r="H3131" s="273" t="e">
        <f ca="1">_xludf.IFNA(VLOOKUP(Aragon!E3131,'Kilter Holds'!$P$37:$AB$662,11,0),0)</f>
        <v>#NAME?</v>
      </c>
      <c r="I3131" s="274"/>
      <c r="J3131" s="274" t="e">
        <f t="shared" ca="1" si="40"/>
        <v>#NAME?</v>
      </c>
      <c r="K3131" s="274">
        <f t="shared" si="41"/>
        <v>0</v>
      </c>
      <c r="N3131" s="274"/>
    </row>
    <row r="3132" spans="5:14" ht="13.5" customHeight="1">
      <c r="E3132" s="1" t="s">
        <v>451</v>
      </c>
      <c r="F3132" s="1" t="s">
        <v>2728</v>
      </c>
      <c r="G3132" s="415" t="str">
        <f t="shared" si="43"/>
        <v>18-01</v>
      </c>
      <c r="H3132" s="273" t="e">
        <f ca="1">_xludf.IFNA(VLOOKUP(Aragon!E3132,'Kilter Holds'!$P$37:$AB$662,12,0),0)</f>
        <v>#NAME?</v>
      </c>
      <c r="I3132" s="274"/>
      <c r="J3132" s="274" t="e">
        <f t="shared" ca="1" si="40"/>
        <v>#NAME?</v>
      </c>
      <c r="K3132" s="274">
        <f t="shared" si="41"/>
        <v>0</v>
      </c>
      <c r="N3132" s="274"/>
    </row>
    <row r="3133" spans="5:14" ht="13.5" customHeight="1">
      <c r="E3133" s="1" t="s">
        <v>451</v>
      </c>
      <c r="F3133" s="1" t="s">
        <v>2728</v>
      </c>
      <c r="G3133" s="416" t="str">
        <f t="shared" si="43"/>
        <v>Color Code</v>
      </c>
      <c r="H3133" s="273" t="e">
        <f ca="1">_xludf.IFNA(VLOOKUP(Aragon!E3133,'Kilter Holds'!$P$37:$AB$662,13,0),0)</f>
        <v>#NAME?</v>
      </c>
      <c r="I3133" s="274"/>
      <c r="J3133" s="274" t="e">
        <f t="shared" ca="1" si="40"/>
        <v>#NAME?</v>
      </c>
      <c r="K3133" s="274">
        <f t="shared" si="41"/>
        <v>0</v>
      </c>
      <c r="N3133" s="274"/>
    </row>
    <row r="3134" spans="5:14" ht="13.5" customHeight="1">
      <c r="E3134" s="1" t="s">
        <v>453</v>
      </c>
      <c r="F3134" s="1" t="s">
        <v>2729</v>
      </c>
      <c r="G3134" s="406" t="str">
        <f t="shared" si="43"/>
        <v>11-12</v>
      </c>
      <c r="H3134" s="273" t="e">
        <f ca="1">_xludf.IFNA(VLOOKUP(Aragon!E3134,'Kilter Holds'!$P$37:$AB$662,5,0),0)</f>
        <v>#NAME?</v>
      </c>
      <c r="I3134" s="274"/>
      <c r="J3134" s="274" t="e">
        <f t="shared" ca="1" si="40"/>
        <v>#NAME?</v>
      </c>
      <c r="K3134" s="274">
        <f t="shared" si="41"/>
        <v>0</v>
      </c>
      <c r="N3134" s="274"/>
    </row>
    <row r="3135" spans="5:14" ht="13.5" customHeight="1">
      <c r="E3135" s="1" t="s">
        <v>453</v>
      </c>
      <c r="F3135" s="1" t="s">
        <v>2729</v>
      </c>
      <c r="G3135" s="408" t="str">
        <f t="shared" si="43"/>
        <v>14-01</v>
      </c>
      <c r="H3135" s="273" t="e">
        <f ca="1">_xludf.IFNA(VLOOKUP(Aragon!E3135,'Kilter Holds'!$P$37:$AB$662,6,0),0)</f>
        <v>#NAME?</v>
      </c>
      <c r="I3135" s="274"/>
      <c r="J3135" s="274" t="e">
        <f t="shared" ca="1" si="40"/>
        <v>#NAME?</v>
      </c>
      <c r="K3135" s="274">
        <f t="shared" si="41"/>
        <v>0</v>
      </c>
      <c r="N3135" s="274"/>
    </row>
    <row r="3136" spans="5:14" ht="13.5" customHeight="1">
      <c r="E3136" s="1" t="s">
        <v>453</v>
      </c>
      <c r="F3136" s="1" t="s">
        <v>2729</v>
      </c>
      <c r="G3136" s="409" t="str">
        <f t="shared" si="43"/>
        <v>15-12</v>
      </c>
      <c r="H3136" s="273" t="e">
        <f ca="1">_xludf.IFNA(VLOOKUP(Aragon!E3136,'Kilter Holds'!$P$37:$AB$662,7,0),0)</f>
        <v>#NAME?</v>
      </c>
      <c r="I3136" s="274"/>
      <c r="J3136" s="274" t="e">
        <f t="shared" ca="1" si="40"/>
        <v>#NAME?</v>
      </c>
      <c r="K3136" s="274">
        <f t="shared" si="41"/>
        <v>0</v>
      </c>
      <c r="N3136" s="274"/>
    </row>
    <row r="3137" spans="5:14" ht="13.5" customHeight="1">
      <c r="E3137" s="1" t="s">
        <v>453</v>
      </c>
      <c r="F3137" s="1" t="s">
        <v>2729</v>
      </c>
      <c r="G3137" s="410" t="str">
        <f t="shared" si="43"/>
        <v>16-16</v>
      </c>
      <c r="H3137" s="273" t="e">
        <f ca="1">_xludf.IFNA(VLOOKUP(Aragon!E3137,'Kilter Holds'!$P$37:$AB$662,8,0),0)</f>
        <v>#NAME?</v>
      </c>
      <c r="I3137" s="274"/>
      <c r="J3137" s="274" t="e">
        <f t="shared" ca="1" si="40"/>
        <v>#NAME?</v>
      </c>
      <c r="K3137" s="274">
        <f t="shared" si="41"/>
        <v>0</v>
      </c>
      <c r="N3137" s="274"/>
    </row>
    <row r="3138" spans="5:14" ht="13.5" customHeight="1">
      <c r="E3138" s="1" t="s">
        <v>453</v>
      </c>
      <c r="F3138" s="1" t="s">
        <v>2729</v>
      </c>
      <c r="G3138" s="411" t="str">
        <f t="shared" si="43"/>
        <v>13-01</v>
      </c>
      <c r="H3138" s="273" t="e">
        <f ca="1">_xludf.IFNA(VLOOKUP(Aragon!E3138,'Kilter Holds'!$P$37:$AB$662,9,0),0)</f>
        <v>#NAME?</v>
      </c>
      <c r="I3138" s="274"/>
      <c r="J3138" s="274" t="e">
        <f t="shared" ca="1" si="40"/>
        <v>#NAME?</v>
      </c>
      <c r="K3138" s="274">
        <f t="shared" si="41"/>
        <v>0</v>
      </c>
      <c r="N3138" s="274"/>
    </row>
    <row r="3139" spans="5:14" ht="13.5" customHeight="1">
      <c r="E3139" s="1" t="s">
        <v>453</v>
      </c>
      <c r="F3139" s="1" t="s">
        <v>2729</v>
      </c>
      <c r="G3139" s="413" t="str">
        <f t="shared" si="43"/>
        <v>07-13</v>
      </c>
      <c r="H3139" s="273" t="e">
        <f ca="1">_xludf.IFNA(VLOOKUP(Aragon!E3139,'Kilter Holds'!$P$37:$AB$662,10,0),0)</f>
        <v>#NAME?</v>
      </c>
      <c r="I3139" s="274"/>
      <c r="J3139" s="274" t="e">
        <f t="shared" ca="1" si="40"/>
        <v>#NAME?</v>
      </c>
      <c r="K3139" s="274">
        <f t="shared" si="41"/>
        <v>0</v>
      </c>
      <c r="N3139" s="274"/>
    </row>
    <row r="3140" spans="5:14" ht="13.5" customHeight="1">
      <c r="E3140" s="1" t="s">
        <v>453</v>
      </c>
      <c r="F3140" s="1" t="s">
        <v>2729</v>
      </c>
      <c r="G3140" s="414" t="str">
        <f t="shared" si="43"/>
        <v>11-26</v>
      </c>
      <c r="H3140" s="273" t="e">
        <f ca="1">_xludf.IFNA(VLOOKUP(Aragon!E3140,'Kilter Holds'!$P$37:$AB$662,11,0),0)</f>
        <v>#NAME?</v>
      </c>
      <c r="I3140" s="274"/>
      <c r="J3140" s="274" t="e">
        <f t="shared" ca="1" si="40"/>
        <v>#NAME?</v>
      </c>
      <c r="K3140" s="274">
        <f t="shared" si="41"/>
        <v>0</v>
      </c>
      <c r="N3140" s="274"/>
    </row>
    <row r="3141" spans="5:14" ht="13.5" customHeight="1">
      <c r="E3141" s="1" t="s">
        <v>453</v>
      </c>
      <c r="F3141" s="1" t="s">
        <v>2729</v>
      </c>
      <c r="G3141" s="415" t="str">
        <f t="shared" si="43"/>
        <v>18-01</v>
      </c>
      <c r="H3141" s="273" t="e">
        <f ca="1">_xludf.IFNA(VLOOKUP(Aragon!E3141,'Kilter Holds'!$P$37:$AB$662,12,0),0)</f>
        <v>#NAME?</v>
      </c>
      <c r="I3141" s="274"/>
      <c r="J3141" s="274" t="e">
        <f t="shared" ca="1" si="40"/>
        <v>#NAME?</v>
      </c>
      <c r="K3141" s="274">
        <f t="shared" si="41"/>
        <v>0</v>
      </c>
      <c r="N3141" s="274"/>
    </row>
    <row r="3142" spans="5:14" ht="13.5" customHeight="1">
      <c r="E3142" s="1" t="s">
        <v>453</v>
      </c>
      <c r="F3142" s="1" t="s">
        <v>2729</v>
      </c>
      <c r="G3142" s="416" t="str">
        <f t="shared" si="43"/>
        <v>Color Code</v>
      </c>
      <c r="H3142" s="273" t="e">
        <f ca="1">_xludf.IFNA(VLOOKUP(Aragon!E3142,'Kilter Holds'!$P$37:$AB$662,13,0),0)</f>
        <v>#NAME?</v>
      </c>
      <c r="I3142" s="274"/>
      <c r="J3142" s="274" t="e">
        <f t="shared" ca="1" si="40"/>
        <v>#NAME?</v>
      </c>
      <c r="K3142" s="274">
        <f t="shared" si="41"/>
        <v>0</v>
      </c>
      <c r="N3142" s="274"/>
    </row>
    <row r="3143" spans="5:14" ht="13.5" customHeight="1">
      <c r="E3143" s="1" t="s">
        <v>455</v>
      </c>
      <c r="F3143" s="1" t="s">
        <v>2730</v>
      </c>
      <c r="G3143" s="406" t="str">
        <f t="shared" si="43"/>
        <v>11-12</v>
      </c>
      <c r="H3143" s="273" t="e">
        <f ca="1">_xludf.IFNA(VLOOKUP(Aragon!E3143,'Kilter Holds'!$P$37:$AB$662,5,0),0)</f>
        <v>#NAME?</v>
      </c>
      <c r="I3143" s="274"/>
      <c r="J3143" s="274" t="e">
        <f t="shared" ca="1" si="40"/>
        <v>#NAME?</v>
      </c>
      <c r="K3143" s="274">
        <f t="shared" si="41"/>
        <v>0</v>
      </c>
      <c r="N3143" s="274"/>
    </row>
    <row r="3144" spans="5:14" ht="13.5" customHeight="1">
      <c r="E3144" s="1" t="s">
        <v>455</v>
      </c>
      <c r="F3144" s="1" t="s">
        <v>2730</v>
      </c>
      <c r="G3144" s="408" t="str">
        <f t="shared" si="43"/>
        <v>14-01</v>
      </c>
      <c r="H3144" s="273" t="e">
        <f ca="1">_xludf.IFNA(VLOOKUP(Aragon!E3144,'Kilter Holds'!$P$37:$AB$662,6,0),0)</f>
        <v>#NAME?</v>
      </c>
      <c r="I3144" s="274"/>
      <c r="J3144" s="274" t="e">
        <f t="shared" ca="1" si="40"/>
        <v>#NAME?</v>
      </c>
      <c r="K3144" s="274">
        <f t="shared" si="41"/>
        <v>0</v>
      </c>
      <c r="N3144" s="274"/>
    </row>
    <row r="3145" spans="5:14" ht="13.5" customHeight="1">
      <c r="E3145" s="1" t="s">
        <v>455</v>
      </c>
      <c r="F3145" s="1" t="s">
        <v>2730</v>
      </c>
      <c r="G3145" s="409" t="str">
        <f t="shared" si="43"/>
        <v>15-12</v>
      </c>
      <c r="H3145" s="273" t="e">
        <f ca="1">_xludf.IFNA(VLOOKUP(Aragon!E3145,'Kilter Holds'!$P$37:$AB$662,7,0),0)</f>
        <v>#NAME?</v>
      </c>
      <c r="I3145" s="274"/>
      <c r="J3145" s="274" t="e">
        <f t="shared" ca="1" si="40"/>
        <v>#NAME?</v>
      </c>
      <c r="K3145" s="274">
        <f t="shared" si="41"/>
        <v>0</v>
      </c>
      <c r="N3145" s="274"/>
    </row>
    <row r="3146" spans="5:14" ht="13.5" customHeight="1">
      <c r="E3146" s="1" t="s">
        <v>455</v>
      </c>
      <c r="F3146" s="1" t="s">
        <v>2730</v>
      </c>
      <c r="G3146" s="410" t="str">
        <f t="shared" si="43"/>
        <v>16-16</v>
      </c>
      <c r="H3146" s="273" t="e">
        <f ca="1">_xludf.IFNA(VLOOKUP(Aragon!E3146,'Kilter Holds'!$P$37:$AB$662,8,0),0)</f>
        <v>#NAME?</v>
      </c>
      <c r="I3146" s="274"/>
      <c r="J3146" s="274" t="e">
        <f t="shared" ca="1" si="40"/>
        <v>#NAME?</v>
      </c>
      <c r="K3146" s="274">
        <f t="shared" si="41"/>
        <v>0</v>
      </c>
      <c r="N3146" s="274"/>
    </row>
    <row r="3147" spans="5:14" ht="13.5" customHeight="1">
      <c r="E3147" s="1" t="s">
        <v>455</v>
      </c>
      <c r="F3147" s="1" t="s">
        <v>2730</v>
      </c>
      <c r="G3147" s="411" t="str">
        <f t="shared" si="43"/>
        <v>13-01</v>
      </c>
      <c r="H3147" s="273" t="e">
        <f ca="1">_xludf.IFNA(VLOOKUP(Aragon!E3147,'Kilter Holds'!$P$37:$AB$662,9,0),0)</f>
        <v>#NAME?</v>
      </c>
      <c r="I3147" s="274"/>
      <c r="J3147" s="274" t="e">
        <f t="shared" ca="1" si="40"/>
        <v>#NAME?</v>
      </c>
      <c r="K3147" s="274">
        <f t="shared" si="41"/>
        <v>0</v>
      </c>
      <c r="N3147" s="274"/>
    </row>
    <row r="3148" spans="5:14" ht="13.5" customHeight="1">
      <c r="E3148" s="1" t="s">
        <v>455</v>
      </c>
      <c r="F3148" s="1" t="s">
        <v>2730</v>
      </c>
      <c r="G3148" s="413" t="str">
        <f t="shared" si="43"/>
        <v>07-13</v>
      </c>
      <c r="H3148" s="273" t="e">
        <f ca="1">_xludf.IFNA(VLOOKUP(Aragon!E3148,'Kilter Holds'!$P$37:$AB$662,10,0),0)</f>
        <v>#NAME?</v>
      </c>
      <c r="I3148" s="274"/>
      <c r="J3148" s="274" t="e">
        <f t="shared" ca="1" si="40"/>
        <v>#NAME?</v>
      </c>
      <c r="K3148" s="274">
        <f t="shared" si="41"/>
        <v>0</v>
      </c>
      <c r="N3148" s="274"/>
    </row>
    <row r="3149" spans="5:14" ht="13.5" customHeight="1">
      <c r="E3149" s="1" t="s">
        <v>455</v>
      </c>
      <c r="F3149" s="1" t="s">
        <v>2730</v>
      </c>
      <c r="G3149" s="414" t="str">
        <f t="shared" si="43"/>
        <v>11-26</v>
      </c>
      <c r="H3149" s="273" t="e">
        <f ca="1">_xludf.IFNA(VLOOKUP(Aragon!E3149,'Kilter Holds'!$P$37:$AB$662,11,0),0)</f>
        <v>#NAME?</v>
      </c>
      <c r="I3149" s="274"/>
      <c r="J3149" s="274" t="e">
        <f t="shared" ca="1" si="40"/>
        <v>#NAME?</v>
      </c>
      <c r="K3149" s="274">
        <f t="shared" si="41"/>
        <v>0</v>
      </c>
      <c r="N3149" s="274"/>
    </row>
    <row r="3150" spans="5:14" ht="13.5" customHeight="1">
      <c r="E3150" s="1" t="s">
        <v>455</v>
      </c>
      <c r="F3150" s="1" t="s">
        <v>2730</v>
      </c>
      <c r="G3150" s="415" t="str">
        <f t="shared" si="43"/>
        <v>18-01</v>
      </c>
      <c r="H3150" s="273" t="e">
        <f ca="1">_xludf.IFNA(VLOOKUP(Aragon!E3150,'Kilter Holds'!$P$37:$AB$662,12,0),0)</f>
        <v>#NAME?</v>
      </c>
      <c r="I3150" s="274"/>
      <c r="J3150" s="274" t="e">
        <f t="shared" ca="1" si="40"/>
        <v>#NAME?</v>
      </c>
      <c r="K3150" s="274">
        <f t="shared" si="41"/>
        <v>0</v>
      </c>
      <c r="N3150" s="274"/>
    </row>
    <row r="3151" spans="5:14" ht="13.5" customHeight="1">
      <c r="E3151" s="1" t="s">
        <v>455</v>
      </c>
      <c r="F3151" s="1" t="s">
        <v>2730</v>
      </c>
      <c r="G3151" s="416" t="str">
        <f t="shared" si="43"/>
        <v>Color Code</v>
      </c>
      <c r="H3151" s="273" t="e">
        <f ca="1">_xludf.IFNA(VLOOKUP(Aragon!E3151,'Kilter Holds'!$P$37:$AB$662,13,0),0)</f>
        <v>#NAME?</v>
      </c>
      <c r="I3151" s="274"/>
      <c r="J3151" s="274" t="e">
        <f t="shared" ca="1" si="40"/>
        <v>#NAME?</v>
      </c>
      <c r="K3151" s="274">
        <f t="shared" si="41"/>
        <v>0</v>
      </c>
      <c r="N3151" s="274"/>
    </row>
    <row r="3152" spans="5:14" ht="13.5" customHeight="1">
      <c r="E3152" s="1" t="s">
        <v>481</v>
      </c>
      <c r="F3152" s="1" t="s">
        <v>2731</v>
      </c>
      <c r="G3152" s="406" t="str">
        <f t="shared" si="43"/>
        <v>11-12</v>
      </c>
      <c r="H3152" s="273" t="e">
        <f ca="1">_xludf.IFNA(VLOOKUP(Aragon!E3152,'Kilter Holds'!$P$37:$AB$662,5,0),0)</f>
        <v>#NAME?</v>
      </c>
      <c r="I3152" s="274"/>
      <c r="J3152" s="274" t="e">
        <f t="shared" ca="1" si="40"/>
        <v>#NAME?</v>
      </c>
      <c r="K3152" s="274">
        <f t="shared" si="41"/>
        <v>0</v>
      </c>
      <c r="N3152" s="274"/>
    </row>
    <row r="3153" spans="5:14" ht="13.5" customHeight="1">
      <c r="E3153" s="1" t="s">
        <v>481</v>
      </c>
      <c r="F3153" s="1" t="s">
        <v>2731</v>
      </c>
      <c r="G3153" s="408" t="str">
        <f t="shared" si="43"/>
        <v>14-01</v>
      </c>
      <c r="H3153" s="273" t="e">
        <f ca="1">_xludf.IFNA(VLOOKUP(Aragon!E3153,'Kilter Holds'!$P$37:$AB$662,6,0),0)</f>
        <v>#NAME?</v>
      </c>
      <c r="I3153" s="274"/>
      <c r="J3153" s="274" t="e">
        <f t="shared" ca="1" si="40"/>
        <v>#NAME?</v>
      </c>
      <c r="K3153" s="274">
        <f t="shared" si="41"/>
        <v>0</v>
      </c>
      <c r="N3153" s="274"/>
    </row>
    <row r="3154" spans="5:14" ht="13.5" customHeight="1">
      <c r="E3154" s="1" t="s">
        <v>481</v>
      </c>
      <c r="F3154" s="1" t="s">
        <v>2731</v>
      </c>
      <c r="G3154" s="409" t="str">
        <f t="shared" si="43"/>
        <v>15-12</v>
      </c>
      <c r="H3154" s="273" t="e">
        <f ca="1">_xludf.IFNA(VLOOKUP(Aragon!E3154,'Kilter Holds'!$P$37:$AB$662,7,0),0)</f>
        <v>#NAME?</v>
      </c>
      <c r="I3154" s="274"/>
      <c r="J3154" s="274" t="e">
        <f t="shared" ca="1" si="40"/>
        <v>#NAME?</v>
      </c>
      <c r="K3154" s="274">
        <f t="shared" si="41"/>
        <v>0</v>
      </c>
      <c r="N3154" s="274"/>
    </row>
    <row r="3155" spans="5:14" ht="13.5" customHeight="1">
      <c r="E3155" s="1" t="s">
        <v>481</v>
      </c>
      <c r="F3155" s="1" t="s">
        <v>2731</v>
      </c>
      <c r="G3155" s="410" t="str">
        <f t="shared" si="43"/>
        <v>16-16</v>
      </c>
      <c r="H3155" s="273" t="e">
        <f ca="1">_xludf.IFNA(VLOOKUP(Aragon!E3155,'Kilter Holds'!$P$37:$AB$662,8,0),0)</f>
        <v>#NAME?</v>
      </c>
      <c r="I3155" s="274"/>
      <c r="J3155" s="274" t="e">
        <f t="shared" ca="1" si="40"/>
        <v>#NAME?</v>
      </c>
      <c r="K3155" s="274">
        <f t="shared" si="41"/>
        <v>0</v>
      </c>
      <c r="N3155" s="274"/>
    </row>
    <row r="3156" spans="5:14" ht="13.5" customHeight="1">
      <c r="E3156" s="1" t="s">
        <v>481</v>
      </c>
      <c r="F3156" s="1" t="s">
        <v>2731</v>
      </c>
      <c r="G3156" s="411" t="str">
        <f t="shared" si="43"/>
        <v>13-01</v>
      </c>
      <c r="H3156" s="273" t="e">
        <f ca="1">_xludf.IFNA(VLOOKUP(Aragon!E3156,'Kilter Holds'!$P$37:$AB$662,9,0),0)</f>
        <v>#NAME?</v>
      </c>
      <c r="I3156" s="274"/>
      <c r="J3156" s="274" t="e">
        <f t="shared" ca="1" si="40"/>
        <v>#NAME?</v>
      </c>
      <c r="K3156" s="274">
        <f t="shared" si="41"/>
        <v>0</v>
      </c>
      <c r="N3156" s="274"/>
    </row>
    <row r="3157" spans="5:14" ht="13.5" customHeight="1">
      <c r="E3157" s="1" t="s">
        <v>481</v>
      </c>
      <c r="F3157" s="1" t="s">
        <v>2731</v>
      </c>
      <c r="G3157" s="413" t="str">
        <f t="shared" si="43"/>
        <v>07-13</v>
      </c>
      <c r="H3157" s="273" t="e">
        <f ca="1">_xludf.IFNA(VLOOKUP(Aragon!E3157,'Kilter Holds'!$P$37:$AB$662,10,0),0)</f>
        <v>#NAME?</v>
      </c>
      <c r="I3157" s="274"/>
      <c r="J3157" s="274" t="e">
        <f t="shared" ca="1" si="40"/>
        <v>#NAME?</v>
      </c>
      <c r="K3157" s="274">
        <f t="shared" si="41"/>
        <v>0</v>
      </c>
      <c r="N3157" s="274"/>
    </row>
    <row r="3158" spans="5:14" ht="13.5" customHeight="1">
      <c r="E3158" s="1" t="s">
        <v>481</v>
      </c>
      <c r="F3158" s="1" t="s">
        <v>2731</v>
      </c>
      <c r="G3158" s="414" t="str">
        <f t="shared" si="43"/>
        <v>11-26</v>
      </c>
      <c r="H3158" s="273" t="e">
        <f ca="1">_xludf.IFNA(VLOOKUP(Aragon!E3158,'Kilter Holds'!$P$37:$AB$662,11,0),0)</f>
        <v>#NAME?</v>
      </c>
      <c r="I3158" s="274"/>
      <c r="J3158" s="274" t="e">
        <f t="shared" ca="1" si="40"/>
        <v>#NAME?</v>
      </c>
      <c r="K3158" s="274">
        <f t="shared" si="41"/>
        <v>0</v>
      </c>
      <c r="N3158" s="274"/>
    </row>
    <row r="3159" spans="5:14" ht="13.5" customHeight="1">
      <c r="E3159" s="1" t="s">
        <v>481</v>
      </c>
      <c r="F3159" s="1" t="s">
        <v>2731</v>
      </c>
      <c r="G3159" s="415" t="str">
        <f t="shared" si="43"/>
        <v>18-01</v>
      </c>
      <c r="H3159" s="273" t="e">
        <f ca="1">_xludf.IFNA(VLOOKUP(Aragon!E3159,'Kilter Holds'!$P$37:$AB$662,12,0),0)</f>
        <v>#NAME?</v>
      </c>
      <c r="I3159" s="274"/>
      <c r="J3159" s="274" t="e">
        <f t="shared" ca="1" si="40"/>
        <v>#NAME?</v>
      </c>
      <c r="K3159" s="274">
        <f t="shared" si="41"/>
        <v>0</v>
      </c>
      <c r="N3159" s="274"/>
    </row>
    <row r="3160" spans="5:14" ht="13.5" customHeight="1">
      <c r="E3160" s="1" t="s">
        <v>481</v>
      </c>
      <c r="F3160" s="1" t="s">
        <v>2731</v>
      </c>
      <c r="G3160" s="416" t="str">
        <f t="shared" si="43"/>
        <v>Color Code</v>
      </c>
      <c r="H3160" s="273" t="e">
        <f ca="1">_xludf.IFNA(VLOOKUP(Aragon!E3160,'Kilter Holds'!$P$37:$AB$662,13,0),0)</f>
        <v>#NAME?</v>
      </c>
      <c r="I3160" s="274"/>
      <c r="J3160" s="274" t="e">
        <f t="shared" ca="1" si="40"/>
        <v>#NAME?</v>
      </c>
      <c r="K3160" s="274">
        <f t="shared" si="41"/>
        <v>0</v>
      </c>
      <c r="N3160" s="274"/>
    </row>
    <row r="3161" spans="5:14" ht="13.5" customHeight="1">
      <c r="E3161" s="1" t="s">
        <v>457</v>
      </c>
      <c r="F3161" s="1" t="s">
        <v>2732</v>
      </c>
      <c r="G3161" s="406" t="str">
        <f t="shared" si="43"/>
        <v>11-12</v>
      </c>
      <c r="H3161" s="273" t="e">
        <f ca="1">_xludf.IFNA(VLOOKUP(Aragon!E3161,'Kilter Holds'!$P$37:$AB$662,5,0),0)</f>
        <v>#NAME?</v>
      </c>
      <c r="I3161" s="274"/>
      <c r="J3161" s="274" t="e">
        <f t="shared" ca="1" si="40"/>
        <v>#NAME?</v>
      </c>
      <c r="K3161" s="274">
        <f t="shared" si="41"/>
        <v>0</v>
      </c>
      <c r="N3161" s="274"/>
    </row>
    <row r="3162" spans="5:14" ht="13.5" customHeight="1">
      <c r="E3162" s="1" t="s">
        <v>457</v>
      </c>
      <c r="F3162" s="1" t="s">
        <v>2732</v>
      </c>
      <c r="G3162" s="408" t="str">
        <f t="shared" si="43"/>
        <v>14-01</v>
      </c>
      <c r="H3162" s="273" t="e">
        <f ca="1">_xludf.IFNA(VLOOKUP(Aragon!E3162,'Kilter Holds'!$P$37:$AB$662,6,0),0)</f>
        <v>#NAME?</v>
      </c>
      <c r="I3162" s="274"/>
      <c r="J3162" s="274" t="e">
        <f t="shared" ca="1" si="40"/>
        <v>#NAME?</v>
      </c>
      <c r="K3162" s="274">
        <f t="shared" si="41"/>
        <v>0</v>
      </c>
      <c r="N3162" s="274"/>
    </row>
    <row r="3163" spans="5:14" ht="13.5" customHeight="1">
      <c r="E3163" s="1" t="s">
        <v>457</v>
      </c>
      <c r="F3163" s="1" t="s">
        <v>2732</v>
      </c>
      <c r="G3163" s="409" t="str">
        <f t="shared" si="43"/>
        <v>15-12</v>
      </c>
      <c r="H3163" s="273" t="e">
        <f ca="1">_xludf.IFNA(VLOOKUP(Aragon!E3163,'Kilter Holds'!$P$37:$AB$662,7,0),0)</f>
        <v>#NAME?</v>
      </c>
      <c r="I3163" s="274"/>
      <c r="J3163" s="274" t="e">
        <f t="shared" ca="1" si="40"/>
        <v>#NAME?</v>
      </c>
      <c r="K3163" s="274">
        <f t="shared" si="41"/>
        <v>0</v>
      </c>
      <c r="N3163" s="274"/>
    </row>
    <row r="3164" spans="5:14" ht="13.5" customHeight="1">
      <c r="E3164" s="1" t="s">
        <v>457</v>
      </c>
      <c r="F3164" s="1" t="s">
        <v>2732</v>
      </c>
      <c r="G3164" s="410" t="str">
        <f t="shared" si="43"/>
        <v>16-16</v>
      </c>
      <c r="H3164" s="273" t="e">
        <f ca="1">_xludf.IFNA(VLOOKUP(Aragon!E3164,'Kilter Holds'!$P$37:$AB$662,8,0),0)</f>
        <v>#NAME?</v>
      </c>
      <c r="I3164" s="274"/>
      <c r="J3164" s="274" t="e">
        <f t="shared" ca="1" si="40"/>
        <v>#NAME?</v>
      </c>
      <c r="K3164" s="274">
        <f t="shared" si="41"/>
        <v>0</v>
      </c>
      <c r="N3164" s="274"/>
    </row>
    <row r="3165" spans="5:14" ht="13.5" customHeight="1">
      <c r="E3165" s="1" t="s">
        <v>457</v>
      </c>
      <c r="F3165" s="1" t="s">
        <v>2732</v>
      </c>
      <c r="G3165" s="411" t="str">
        <f t="shared" si="43"/>
        <v>13-01</v>
      </c>
      <c r="H3165" s="273" t="e">
        <f ca="1">_xludf.IFNA(VLOOKUP(Aragon!E3165,'Kilter Holds'!$P$37:$AB$662,9,0),0)</f>
        <v>#NAME?</v>
      </c>
      <c r="I3165" s="274"/>
      <c r="J3165" s="274" t="e">
        <f t="shared" ca="1" si="40"/>
        <v>#NAME?</v>
      </c>
      <c r="K3165" s="274">
        <f t="shared" si="41"/>
        <v>0</v>
      </c>
      <c r="N3165" s="274"/>
    </row>
    <row r="3166" spans="5:14" ht="13.5" customHeight="1">
      <c r="E3166" s="1" t="s">
        <v>457</v>
      </c>
      <c r="F3166" s="1" t="s">
        <v>2732</v>
      </c>
      <c r="G3166" s="413" t="str">
        <f t="shared" si="43"/>
        <v>07-13</v>
      </c>
      <c r="H3166" s="273" t="e">
        <f ca="1">_xludf.IFNA(VLOOKUP(Aragon!E3166,'Kilter Holds'!$P$37:$AB$662,10,0),0)</f>
        <v>#NAME?</v>
      </c>
      <c r="I3166" s="274"/>
      <c r="J3166" s="274" t="e">
        <f t="shared" ca="1" si="40"/>
        <v>#NAME?</v>
      </c>
      <c r="K3166" s="274">
        <f t="shared" si="41"/>
        <v>0</v>
      </c>
      <c r="N3166" s="274"/>
    </row>
    <row r="3167" spans="5:14" ht="13.5" customHeight="1">
      <c r="E3167" s="1" t="s">
        <v>457</v>
      </c>
      <c r="F3167" s="1" t="s">
        <v>2732</v>
      </c>
      <c r="G3167" s="414" t="str">
        <f t="shared" si="43"/>
        <v>11-26</v>
      </c>
      <c r="H3167" s="273" t="e">
        <f ca="1">_xludf.IFNA(VLOOKUP(Aragon!E3167,'Kilter Holds'!$P$37:$AB$662,11,0),0)</f>
        <v>#NAME?</v>
      </c>
      <c r="I3167" s="274"/>
      <c r="J3167" s="274" t="e">
        <f t="shared" ca="1" si="40"/>
        <v>#NAME?</v>
      </c>
      <c r="K3167" s="274">
        <f t="shared" si="41"/>
        <v>0</v>
      </c>
      <c r="N3167" s="274"/>
    </row>
    <row r="3168" spans="5:14" ht="13.5" customHeight="1">
      <c r="E3168" s="1" t="s">
        <v>457</v>
      </c>
      <c r="F3168" s="1" t="s">
        <v>2732</v>
      </c>
      <c r="G3168" s="415" t="str">
        <f t="shared" si="43"/>
        <v>18-01</v>
      </c>
      <c r="H3168" s="273" t="e">
        <f ca="1">_xludf.IFNA(VLOOKUP(Aragon!E3168,'Kilter Holds'!$P$37:$AB$662,12,0),0)</f>
        <v>#NAME?</v>
      </c>
      <c r="I3168" s="274"/>
      <c r="J3168" s="274" t="e">
        <f t="shared" ca="1" si="40"/>
        <v>#NAME?</v>
      </c>
      <c r="K3168" s="274">
        <f t="shared" si="41"/>
        <v>0</v>
      </c>
      <c r="N3168" s="274"/>
    </row>
    <row r="3169" spans="5:14" ht="13.5" customHeight="1">
      <c r="E3169" s="1" t="s">
        <v>457</v>
      </c>
      <c r="F3169" s="1" t="s">
        <v>2732</v>
      </c>
      <c r="G3169" s="416" t="str">
        <f t="shared" si="43"/>
        <v>Color Code</v>
      </c>
      <c r="H3169" s="273" t="e">
        <f ca="1">_xludf.IFNA(VLOOKUP(Aragon!E3169,'Kilter Holds'!$P$37:$AB$662,13,0),0)</f>
        <v>#NAME?</v>
      </c>
      <c r="I3169" s="274"/>
      <c r="J3169" s="274" t="e">
        <f t="shared" ca="1" si="40"/>
        <v>#NAME?</v>
      </c>
      <c r="K3169" s="274">
        <f t="shared" si="41"/>
        <v>0</v>
      </c>
      <c r="N3169" s="274"/>
    </row>
    <row r="3170" spans="5:14" ht="13.5" customHeight="1">
      <c r="E3170" s="1" t="s">
        <v>459</v>
      </c>
      <c r="F3170" s="1" t="s">
        <v>2733</v>
      </c>
      <c r="G3170" s="406" t="str">
        <f t="shared" si="43"/>
        <v>11-12</v>
      </c>
      <c r="H3170" s="273" t="e">
        <f ca="1">_xludf.IFNA(VLOOKUP(Aragon!E3170,'Kilter Holds'!$P$37:$AB$662,5,0),0)</f>
        <v>#NAME?</v>
      </c>
      <c r="I3170" s="274"/>
      <c r="J3170" s="274" t="e">
        <f t="shared" ca="1" si="40"/>
        <v>#NAME?</v>
      </c>
      <c r="K3170" s="274">
        <f t="shared" si="41"/>
        <v>0</v>
      </c>
      <c r="N3170" s="274"/>
    </row>
    <row r="3171" spans="5:14" ht="13.5" customHeight="1">
      <c r="E3171" s="1" t="s">
        <v>459</v>
      </c>
      <c r="F3171" s="1" t="s">
        <v>2733</v>
      </c>
      <c r="G3171" s="408" t="str">
        <f t="shared" si="43"/>
        <v>14-01</v>
      </c>
      <c r="H3171" s="273" t="e">
        <f ca="1">_xludf.IFNA(VLOOKUP(Aragon!E3171,'Kilter Holds'!$P$37:$AB$662,6,0),0)</f>
        <v>#NAME?</v>
      </c>
      <c r="I3171" s="274"/>
      <c r="J3171" s="274" t="e">
        <f t="shared" ca="1" si="40"/>
        <v>#NAME?</v>
      </c>
      <c r="K3171" s="274">
        <f t="shared" si="41"/>
        <v>0</v>
      </c>
      <c r="N3171" s="274"/>
    </row>
    <row r="3172" spans="5:14" ht="13.5" customHeight="1">
      <c r="E3172" s="1" t="s">
        <v>459</v>
      </c>
      <c r="F3172" s="1" t="s">
        <v>2733</v>
      </c>
      <c r="G3172" s="409" t="str">
        <f t="shared" si="43"/>
        <v>15-12</v>
      </c>
      <c r="H3172" s="273" t="e">
        <f ca="1">_xludf.IFNA(VLOOKUP(Aragon!E3172,'Kilter Holds'!$P$37:$AB$662,7,0),0)</f>
        <v>#NAME?</v>
      </c>
      <c r="I3172" s="274"/>
      <c r="J3172" s="274" t="e">
        <f t="shared" ca="1" si="40"/>
        <v>#NAME?</v>
      </c>
      <c r="K3172" s="274">
        <f t="shared" si="41"/>
        <v>0</v>
      </c>
      <c r="N3172" s="274"/>
    </row>
    <row r="3173" spans="5:14" ht="13.5" customHeight="1">
      <c r="E3173" s="1" t="s">
        <v>459</v>
      </c>
      <c r="F3173" s="1" t="s">
        <v>2733</v>
      </c>
      <c r="G3173" s="410" t="str">
        <f t="shared" si="43"/>
        <v>16-16</v>
      </c>
      <c r="H3173" s="273" t="e">
        <f ca="1">_xludf.IFNA(VLOOKUP(Aragon!E3173,'Kilter Holds'!$P$37:$AB$662,8,0),0)</f>
        <v>#NAME?</v>
      </c>
      <c r="I3173" s="274"/>
      <c r="J3173" s="274" t="e">
        <f t="shared" ca="1" si="40"/>
        <v>#NAME?</v>
      </c>
      <c r="K3173" s="274">
        <f t="shared" si="41"/>
        <v>0</v>
      </c>
      <c r="N3173" s="274"/>
    </row>
    <row r="3174" spans="5:14" ht="13.5" customHeight="1">
      <c r="E3174" s="1" t="s">
        <v>459</v>
      </c>
      <c r="F3174" s="1" t="s">
        <v>2733</v>
      </c>
      <c r="G3174" s="411" t="str">
        <f t="shared" si="43"/>
        <v>13-01</v>
      </c>
      <c r="H3174" s="273" t="e">
        <f ca="1">_xludf.IFNA(VLOOKUP(Aragon!E3174,'Kilter Holds'!$P$37:$AB$662,9,0),0)</f>
        <v>#NAME?</v>
      </c>
      <c r="I3174" s="274"/>
      <c r="J3174" s="274" t="e">
        <f t="shared" ca="1" si="40"/>
        <v>#NAME?</v>
      </c>
      <c r="K3174" s="274">
        <f t="shared" si="41"/>
        <v>0</v>
      </c>
      <c r="N3174" s="274"/>
    </row>
    <row r="3175" spans="5:14" ht="13.5" customHeight="1">
      <c r="E3175" s="1" t="s">
        <v>459</v>
      </c>
      <c r="F3175" s="1" t="s">
        <v>2733</v>
      </c>
      <c r="G3175" s="413" t="str">
        <f t="shared" si="43"/>
        <v>07-13</v>
      </c>
      <c r="H3175" s="273" t="e">
        <f ca="1">_xludf.IFNA(VLOOKUP(Aragon!E3175,'Kilter Holds'!$P$37:$AB$662,10,0),0)</f>
        <v>#NAME?</v>
      </c>
      <c r="I3175" s="274"/>
      <c r="J3175" s="274" t="e">
        <f t="shared" ca="1" si="40"/>
        <v>#NAME?</v>
      </c>
      <c r="K3175" s="274">
        <f t="shared" si="41"/>
        <v>0</v>
      </c>
      <c r="N3175" s="274"/>
    </row>
    <row r="3176" spans="5:14" ht="13.5" customHeight="1">
      <c r="E3176" s="1" t="s">
        <v>459</v>
      </c>
      <c r="F3176" s="1" t="s">
        <v>2733</v>
      </c>
      <c r="G3176" s="414" t="str">
        <f t="shared" si="43"/>
        <v>11-26</v>
      </c>
      <c r="H3176" s="273" t="e">
        <f ca="1">_xludf.IFNA(VLOOKUP(Aragon!E3176,'Kilter Holds'!$P$37:$AB$662,11,0),0)</f>
        <v>#NAME?</v>
      </c>
      <c r="I3176" s="274"/>
      <c r="J3176" s="274" t="e">
        <f t="shared" ca="1" si="40"/>
        <v>#NAME?</v>
      </c>
      <c r="K3176" s="274">
        <f t="shared" si="41"/>
        <v>0</v>
      </c>
      <c r="N3176" s="274"/>
    </row>
    <row r="3177" spans="5:14" ht="13.5" customHeight="1">
      <c r="E3177" s="1" t="s">
        <v>459</v>
      </c>
      <c r="F3177" s="1" t="s">
        <v>2733</v>
      </c>
      <c r="G3177" s="415" t="str">
        <f t="shared" si="43"/>
        <v>18-01</v>
      </c>
      <c r="H3177" s="273" t="e">
        <f ca="1">_xludf.IFNA(VLOOKUP(Aragon!E3177,'Kilter Holds'!$P$37:$AB$662,12,0),0)</f>
        <v>#NAME?</v>
      </c>
      <c r="I3177" s="274"/>
      <c r="J3177" s="274" t="e">
        <f t="shared" ca="1" si="40"/>
        <v>#NAME?</v>
      </c>
      <c r="K3177" s="274">
        <f t="shared" si="41"/>
        <v>0</v>
      </c>
      <c r="N3177" s="274"/>
    </row>
    <row r="3178" spans="5:14" ht="13.5" customHeight="1">
      <c r="E3178" s="1" t="s">
        <v>459</v>
      </c>
      <c r="F3178" s="1" t="s">
        <v>2733</v>
      </c>
      <c r="G3178" s="416" t="str">
        <f t="shared" si="43"/>
        <v>Color Code</v>
      </c>
      <c r="H3178" s="273" t="e">
        <f ca="1">_xludf.IFNA(VLOOKUP(Aragon!E3178,'Kilter Holds'!$P$37:$AB$662,13,0),0)</f>
        <v>#NAME?</v>
      </c>
      <c r="I3178" s="274"/>
      <c r="J3178" s="274" t="e">
        <f t="shared" ca="1" si="40"/>
        <v>#NAME?</v>
      </c>
      <c r="K3178" s="274">
        <f t="shared" si="41"/>
        <v>0</v>
      </c>
      <c r="N3178" s="274"/>
    </row>
    <row r="3179" spans="5:14" ht="13.5" customHeight="1">
      <c r="E3179" s="1" t="s">
        <v>461</v>
      </c>
      <c r="F3179" s="1" t="s">
        <v>2734</v>
      </c>
      <c r="G3179" s="406" t="str">
        <f t="shared" si="43"/>
        <v>11-12</v>
      </c>
      <c r="H3179" s="273" t="e">
        <f ca="1">_xludf.IFNA(VLOOKUP(Aragon!E3179,'Kilter Holds'!$P$37:$AB$662,5,0),0)</f>
        <v>#NAME?</v>
      </c>
      <c r="I3179" s="274"/>
      <c r="J3179" s="274" t="e">
        <f t="shared" ca="1" si="40"/>
        <v>#NAME?</v>
      </c>
      <c r="K3179" s="274">
        <f t="shared" si="41"/>
        <v>0</v>
      </c>
      <c r="N3179" s="274"/>
    </row>
    <row r="3180" spans="5:14" ht="13.5" customHeight="1">
      <c r="E3180" s="1" t="s">
        <v>461</v>
      </c>
      <c r="F3180" s="1" t="s">
        <v>2734</v>
      </c>
      <c r="G3180" s="408" t="str">
        <f t="shared" si="43"/>
        <v>14-01</v>
      </c>
      <c r="H3180" s="273" t="e">
        <f ca="1">_xludf.IFNA(VLOOKUP(Aragon!E3180,'Kilter Holds'!$P$37:$AB$662,6,0),0)</f>
        <v>#NAME?</v>
      </c>
      <c r="I3180" s="274"/>
      <c r="J3180" s="274" t="e">
        <f t="shared" ca="1" si="40"/>
        <v>#NAME?</v>
      </c>
      <c r="K3180" s="274">
        <f t="shared" si="41"/>
        <v>0</v>
      </c>
      <c r="N3180" s="274"/>
    </row>
    <row r="3181" spans="5:14" ht="13.5" customHeight="1">
      <c r="E3181" s="1" t="s">
        <v>461</v>
      </c>
      <c r="F3181" s="1" t="s">
        <v>2734</v>
      </c>
      <c r="G3181" s="409" t="str">
        <f t="shared" si="43"/>
        <v>15-12</v>
      </c>
      <c r="H3181" s="273" t="e">
        <f ca="1">_xludf.IFNA(VLOOKUP(Aragon!E3181,'Kilter Holds'!$P$37:$AB$662,7,0),0)</f>
        <v>#NAME?</v>
      </c>
      <c r="I3181" s="274"/>
      <c r="J3181" s="274" t="e">
        <f t="shared" ca="1" si="40"/>
        <v>#NAME?</v>
      </c>
      <c r="K3181" s="274">
        <f t="shared" si="41"/>
        <v>0</v>
      </c>
      <c r="N3181" s="274"/>
    </row>
    <row r="3182" spans="5:14" ht="13.5" customHeight="1">
      <c r="E3182" s="1" t="s">
        <v>461</v>
      </c>
      <c r="F3182" s="1" t="s">
        <v>2734</v>
      </c>
      <c r="G3182" s="410" t="str">
        <f t="shared" si="43"/>
        <v>16-16</v>
      </c>
      <c r="H3182" s="273" t="e">
        <f ca="1">_xludf.IFNA(VLOOKUP(Aragon!E3182,'Kilter Holds'!$P$37:$AB$662,8,0),0)</f>
        <v>#NAME?</v>
      </c>
      <c r="I3182" s="274"/>
      <c r="J3182" s="274" t="e">
        <f t="shared" ca="1" si="40"/>
        <v>#NAME?</v>
      </c>
      <c r="K3182" s="274">
        <f t="shared" si="41"/>
        <v>0</v>
      </c>
      <c r="N3182" s="274"/>
    </row>
    <row r="3183" spans="5:14" ht="13.5" customHeight="1">
      <c r="E3183" s="1" t="s">
        <v>461</v>
      </c>
      <c r="F3183" s="1" t="s">
        <v>2734</v>
      </c>
      <c r="G3183" s="411" t="str">
        <f t="shared" si="43"/>
        <v>13-01</v>
      </c>
      <c r="H3183" s="273" t="e">
        <f ca="1">_xludf.IFNA(VLOOKUP(Aragon!E3183,'Kilter Holds'!$P$37:$AB$662,9,0),0)</f>
        <v>#NAME?</v>
      </c>
      <c r="I3183" s="274"/>
      <c r="J3183" s="274" t="e">
        <f t="shared" ca="1" si="40"/>
        <v>#NAME?</v>
      </c>
      <c r="K3183" s="274">
        <f t="shared" si="41"/>
        <v>0</v>
      </c>
      <c r="N3183" s="274"/>
    </row>
    <row r="3184" spans="5:14" ht="13.5" customHeight="1">
      <c r="E3184" s="1" t="s">
        <v>461</v>
      </c>
      <c r="F3184" s="1" t="s">
        <v>2734</v>
      </c>
      <c r="G3184" s="413" t="str">
        <f t="shared" si="43"/>
        <v>07-13</v>
      </c>
      <c r="H3184" s="273" t="e">
        <f ca="1">_xludf.IFNA(VLOOKUP(Aragon!E3184,'Kilter Holds'!$P$37:$AB$662,10,0),0)</f>
        <v>#NAME?</v>
      </c>
      <c r="I3184" s="274"/>
      <c r="J3184" s="274" t="e">
        <f t="shared" ca="1" si="40"/>
        <v>#NAME?</v>
      </c>
      <c r="K3184" s="274">
        <f t="shared" si="41"/>
        <v>0</v>
      </c>
      <c r="N3184" s="274"/>
    </row>
    <row r="3185" spans="5:14" ht="13.5" customHeight="1">
      <c r="E3185" s="1" t="s">
        <v>461</v>
      </c>
      <c r="F3185" s="1" t="s">
        <v>2734</v>
      </c>
      <c r="G3185" s="414" t="str">
        <f t="shared" si="43"/>
        <v>11-26</v>
      </c>
      <c r="H3185" s="273" t="e">
        <f ca="1">_xludf.IFNA(VLOOKUP(Aragon!E3185,'Kilter Holds'!$P$37:$AB$662,11,0),0)</f>
        <v>#NAME?</v>
      </c>
      <c r="I3185" s="274"/>
      <c r="J3185" s="274" t="e">
        <f t="shared" ca="1" si="40"/>
        <v>#NAME?</v>
      </c>
      <c r="K3185" s="274">
        <f t="shared" si="41"/>
        <v>0</v>
      </c>
      <c r="N3185" s="274"/>
    </row>
    <row r="3186" spans="5:14" ht="13.5" customHeight="1">
      <c r="E3186" s="1" t="s">
        <v>461</v>
      </c>
      <c r="F3186" s="1" t="s">
        <v>2734</v>
      </c>
      <c r="G3186" s="415" t="str">
        <f t="shared" si="43"/>
        <v>18-01</v>
      </c>
      <c r="H3186" s="273" t="e">
        <f ca="1">_xludf.IFNA(VLOOKUP(Aragon!E3186,'Kilter Holds'!$P$37:$AB$662,12,0),0)</f>
        <v>#NAME?</v>
      </c>
      <c r="I3186" s="274"/>
      <c r="J3186" s="274" t="e">
        <f t="shared" ca="1" si="40"/>
        <v>#NAME?</v>
      </c>
      <c r="K3186" s="274">
        <f t="shared" si="41"/>
        <v>0</v>
      </c>
      <c r="N3186" s="274"/>
    </row>
    <row r="3187" spans="5:14" ht="13.5" customHeight="1">
      <c r="E3187" s="1" t="s">
        <v>461</v>
      </c>
      <c r="F3187" s="1" t="s">
        <v>2734</v>
      </c>
      <c r="G3187" s="416" t="str">
        <f t="shared" si="43"/>
        <v>Color Code</v>
      </c>
      <c r="H3187" s="273" t="e">
        <f ca="1">_xludf.IFNA(VLOOKUP(Aragon!E3187,'Kilter Holds'!$P$37:$AB$662,13,0),0)</f>
        <v>#NAME?</v>
      </c>
      <c r="I3187" s="274"/>
      <c r="J3187" s="274" t="e">
        <f t="shared" ca="1" si="40"/>
        <v>#NAME?</v>
      </c>
      <c r="K3187" s="274">
        <f t="shared" si="41"/>
        <v>0</v>
      </c>
      <c r="N3187" s="274"/>
    </row>
    <row r="3188" spans="5:14" ht="13.5" customHeight="1">
      <c r="E3188" s="1" t="s">
        <v>463</v>
      </c>
      <c r="F3188" s="1" t="s">
        <v>2735</v>
      </c>
      <c r="G3188" s="406" t="str">
        <f t="shared" si="43"/>
        <v>11-12</v>
      </c>
      <c r="H3188" s="273" t="e">
        <f ca="1">_xludf.IFNA(VLOOKUP(Aragon!E3188,'Kilter Holds'!$P$37:$AB$662,5,0),0)</f>
        <v>#NAME?</v>
      </c>
      <c r="I3188" s="274"/>
      <c r="J3188" s="274" t="e">
        <f t="shared" ca="1" si="40"/>
        <v>#NAME?</v>
      </c>
      <c r="K3188" s="274">
        <f t="shared" si="41"/>
        <v>0</v>
      </c>
      <c r="N3188" s="274"/>
    </row>
    <row r="3189" spans="5:14" ht="13.5" customHeight="1">
      <c r="E3189" s="1" t="s">
        <v>463</v>
      </c>
      <c r="F3189" s="1" t="s">
        <v>2735</v>
      </c>
      <c r="G3189" s="408" t="str">
        <f t="shared" si="43"/>
        <v>14-01</v>
      </c>
      <c r="H3189" s="273" t="e">
        <f ca="1">_xludf.IFNA(VLOOKUP(Aragon!E3189,'Kilter Holds'!$P$37:$AB$662,6,0),0)</f>
        <v>#NAME?</v>
      </c>
      <c r="I3189" s="274"/>
      <c r="J3189" s="274" t="e">
        <f t="shared" ca="1" si="40"/>
        <v>#NAME?</v>
      </c>
      <c r="K3189" s="274">
        <f t="shared" si="41"/>
        <v>0</v>
      </c>
      <c r="N3189" s="274"/>
    </row>
    <row r="3190" spans="5:14" ht="13.5" customHeight="1">
      <c r="E3190" s="1" t="s">
        <v>463</v>
      </c>
      <c r="F3190" s="1" t="s">
        <v>2735</v>
      </c>
      <c r="G3190" s="409" t="str">
        <f t="shared" si="43"/>
        <v>15-12</v>
      </c>
      <c r="H3190" s="273" t="e">
        <f ca="1">_xludf.IFNA(VLOOKUP(Aragon!E3190,'Kilter Holds'!$P$37:$AB$662,7,0),0)</f>
        <v>#NAME?</v>
      </c>
      <c r="I3190" s="274"/>
      <c r="J3190" s="274" t="e">
        <f t="shared" ca="1" si="40"/>
        <v>#NAME?</v>
      </c>
      <c r="K3190" s="274">
        <f t="shared" si="41"/>
        <v>0</v>
      </c>
      <c r="N3190" s="274"/>
    </row>
    <row r="3191" spans="5:14" ht="13.5" customHeight="1">
      <c r="E3191" s="1" t="s">
        <v>463</v>
      </c>
      <c r="F3191" s="1" t="s">
        <v>2735</v>
      </c>
      <c r="G3191" s="410" t="str">
        <f t="shared" si="43"/>
        <v>16-16</v>
      </c>
      <c r="H3191" s="273" t="e">
        <f ca="1">_xludf.IFNA(VLOOKUP(Aragon!E3191,'Kilter Holds'!$P$37:$AB$662,8,0),0)</f>
        <v>#NAME?</v>
      </c>
      <c r="I3191" s="274"/>
      <c r="J3191" s="274" t="e">
        <f t="shared" ca="1" si="40"/>
        <v>#NAME?</v>
      </c>
      <c r="K3191" s="274">
        <f t="shared" si="41"/>
        <v>0</v>
      </c>
      <c r="N3191" s="274"/>
    </row>
    <row r="3192" spans="5:14" ht="13.5" customHeight="1">
      <c r="E3192" s="1" t="s">
        <v>463</v>
      </c>
      <c r="F3192" s="1" t="s">
        <v>2735</v>
      </c>
      <c r="G3192" s="411" t="str">
        <f t="shared" si="43"/>
        <v>13-01</v>
      </c>
      <c r="H3192" s="273" t="e">
        <f ca="1">_xludf.IFNA(VLOOKUP(Aragon!E3192,'Kilter Holds'!$P$37:$AB$662,9,0),0)</f>
        <v>#NAME?</v>
      </c>
      <c r="I3192" s="274"/>
      <c r="J3192" s="274" t="e">
        <f t="shared" ca="1" si="40"/>
        <v>#NAME?</v>
      </c>
      <c r="K3192" s="274">
        <f t="shared" si="41"/>
        <v>0</v>
      </c>
      <c r="N3192" s="274"/>
    </row>
    <row r="3193" spans="5:14" ht="13.5" customHeight="1">
      <c r="E3193" s="1" t="s">
        <v>463</v>
      </c>
      <c r="F3193" s="1" t="s">
        <v>2735</v>
      </c>
      <c r="G3193" s="413" t="str">
        <f t="shared" si="43"/>
        <v>07-13</v>
      </c>
      <c r="H3193" s="273" t="e">
        <f ca="1">_xludf.IFNA(VLOOKUP(Aragon!E3193,'Kilter Holds'!$P$37:$AB$662,10,0),0)</f>
        <v>#NAME?</v>
      </c>
      <c r="I3193" s="274"/>
      <c r="J3193" s="274" t="e">
        <f t="shared" ca="1" si="40"/>
        <v>#NAME?</v>
      </c>
      <c r="K3193" s="274">
        <f t="shared" si="41"/>
        <v>0</v>
      </c>
      <c r="N3193" s="274"/>
    </row>
    <row r="3194" spans="5:14" ht="13.5" customHeight="1">
      <c r="E3194" s="1" t="s">
        <v>463</v>
      </c>
      <c r="F3194" s="1" t="s">
        <v>2735</v>
      </c>
      <c r="G3194" s="414" t="str">
        <f t="shared" si="43"/>
        <v>11-26</v>
      </c>
      <c r="H3194" s="273" t="e">
        <f ca="1">_xludf.IFNA(VLOOKUP(Aragon!E3194,'Kilter Holds'!$P$37:$AB$662,11,0),0)</f>
        <v>#NAME?</v>
      </c>
      <c r="I3194" s="274"/>
      <c r="J3194" s="274" t="e">
        <f t="shared" ca="1" si="40"/>
        <v>#NAME?</v>
      </c>
      <c r="K3194" s="274">
        <f t="shared" si="41"/>
        <v>0</v>
      </c>
      <c r="N3194" s="274"/>
    </row>
    <row r="3195" spans="5:14" ht="13.5" customHeight="1">
      <c r="E3195" s="1" t="s">
        <v>463</v>
      </c>
      <c r="F3195" s="1" t="s">
        <v>2735</v>
      </c>
      <c r="G3195" s="415" t="str">
        <f t="shared" si="43"/>
        <v>18-01</v>
      </c>
      <c r="H3195" s="273" t="e">
        <f ca="1">_xludf.IFNA(VLOOKUP(Aragon!E3195,'Kilter Holds'!$P$37:$AB$662,12,0),0)</f>
        <v>#NAME?</v>
      </c>
      <c r="I3195" s="274"/>
      <c r="J3195" s="274" t="e">
        <f t="shared" ca="1" si="40"/>
        <v>#NAME?</v>
      </c>
      <c r="K3195" s="274">
        <f t="shared" si="41"/>
        <v>0</v>
      </c>
      <c r="N3195" s="274"/>
    </row>
    <row r="3196" spans="5:14" ht="13.5" customHeight="1">
      <c r="E3196" s="1" t="s">
        <v>463</v>
      </c>
      <c r="F3196" s="1" t="s">
        <v>2735</v>
      </c>
      <c r="G3196" s="416" t="str">
        <f t="shared" si="43"/>
        <v>Color Code</v>
      </c>
      <c r="H3196" s="273" t="e">
        <f ca="1">_xludf.IFNA(VLOOKUP(Aragon!E3196,'Kilter Holds'!$P$37:$AB$662,13,0),0)</f>
        <v>#NAME?</v>
      </c>
      <c r="I3196" s="274"/>
      <c r="J3196" s="274" t="e">
        <f t="shared" ca="1" si="40"/>
        <v>#NAME?</v>
      </c>
      <c r="K3196" s="274">
        <f t="shared" si="41"/>
        <v>0</v>
      </c>
      <c r="N3196" s="274"/>
    </row>
    <row r="3197" spans="5:14" ht="13.5" customHeight="1">
      <c r="E3197" s="1" t="s">
        <v>493</v>
      </c>
      <c r="F3197" s="1" t="s">
        <v>2736</v>
      </c>
      <c r="G3197" s="406" t="str">
        <f t="shared" ref="G3197:G3205" si="44">G3152</f>
        <v>11-12</v>
      </c>
      <c r="H3197" s="273" t="e">
        <f ca="1">_xludf.IFNA(VLOOKUP(Aragon!E3197,'Kilter Holds'!$P$37:$AB$662,5,0),0)</f>
        <v>#NAME?</v>
      </c>
      <c r="I3197" s="274"/>
      <c r="J3197" s="274" t="e">
        <f t="shared" ca="1" si="40"/>
        <v>#NAME?</v>
      </c>
      <c r="K3197" s="274">
        <f t="shared" si="41"/>
        <v>0</v>
      </c>
      <c r="N3197" s="274"/>
    </row>
    <row r="3198" spans="5:14" ht="13.5" customHeight="1">
      <c r="E3198" s="1" t="s">
        <v>493</v>
      </c>
      <c r="F3198" s="1" t="s">
        <v>2736</v>
      </c>
      <c r="G3198" s="408" t="str">
        <f t="shared" si="44"/>
        <v>14-01</v>
      </c>
      <c r="H3198" s="273" t="e">
        <f ca="1">_xludf.IFNA(VLOOKUP(Aragon!E3198,'Kilter Holds'!$P$37:$AB$662,6,0),0)</f>
        <v>#NAME?</v>
      </c>
      <c r="I3198" s="274"/>
      <c r="J3198" s="274" t="e">
        <f t="shared" ca="1" si="40"/>
        <v>#NAME?</v>
      </c>
      <c r="K3198" s="274">
        <f t="shared" si="41"/>
        <v>0</v>
      </c>
      <c r="N3198" s="274"/>
    </row>
    <row r="3199" spans="5:14" ht="13.5" customHeight="1">
      <c r="E3199" s="1" t="s">
        <v>493</v>
      </c>
      <c r="F3199" s="1" t="s">
        <v>2736</v>
      </c>
      <c r="G3199" s="409" t="str">
        <f t="shared" si="44"/>
        <v>15-12</v>
      </c>
      <c r="H3199" s="273" t="e">
        <f ca="1">_xludf.IFNA(VLOOKUP(Aragon!E3199,'Kilter Holds'!$P$37:$AB$662,7,0),0)</f>
        <v>#NAME?</v>
      </c>
      <c r="I3199" s="274"/>
      <c r="J3199" s="274" t="e">
        <f t="shared" ca="1" si="40"/>
        <v>#NAME?</v>
      </c>
      <c r="K3199" s="274">
        <f t="shared" si="41"/>
        <v>0</v>
      </c>
      <c r="N3199" s="274"/>
    </row>
    <row r="3200" spans="5:14" ht="13.5" customHeight="1">
      <c r="E3200" s="1" t="s">
        <v>493</v>
      </c>
      <c r="F3200" s="1" t="s">
        <v>2736</v>
      </c>
      <c r="G3200" s="410" t="str">
        <f t="shared" si="44"/>
        <v>16-16</v>
      </c>
      <c r="H3200" s="273" t="e">
        <f ca="1">_xludf.IFNA(VLOOKUP(Aragon!E3200,'Kilter Holds'!$P$37:$AB$662,8,0),0)</f>
        <v>#NAME?</v>
      </c>
      <c r="I3200" s="274"/>
      <c r="J3200" s="274" t="e">
        <f t="shared" ca="1" si="40"/>
        <v>#NAME?</v>
      </c>
      <c r="K3200" s="274">
        <f t="shared" si="41"/>
        <v>0</v>
      </c>
      <c r="N3200" s="274"/>
    </row>
    <row r="3201" spans="5:14" ht="13.5" customHeight="1">
      <c r="E3201" s="1" t="s">
        <v>493</v>
      </c>
      <c r="F3201" s="1" t="s">
        <v>2736</v>
      </c>
      <c r="G3201" s="411" t="str">
        <f t="shared" si="44"/>
        <v>13-01</v>
      </c>
      <c r="H3201" s="273" t="e">
        <f ca="1">_xludf.IFNA(VLOOKUP(Aragon!E3201,'Kilter Holds'!$P$37:$AB$662,9,0),0)</f>
        <v>#NAME?</v>
      </c>
      <c r="I3201" s="274"/>
      <c r="J3201" s="274" t="e">
        <f t="shared" ca="1" si="40"/>
        <v>#NAME?</v>
      </c>
      <c r="K3201" s="274">
        <f t="shared" si="41"/>
        <v>0</v>
      </c>
      <c r="N3201" s="274"/>
    </row>
    <row r="3202" spans="5:14" ht="13.5" customHeight="1">
      <c r="E3202" s="1" t="s">
        <v>493</v>
      </c>
      <c r="F3202" s="1" t="s">
        <v>2736</v>
      </c>
      <c r="G3202" s="413" t="str">
        <f t="shared" si="44"/>
        <v>07-13</v>
      </c>
      <c r="H3202" s="273" t="e">
        <f ca="1">_xludf.IFNA(VLOOKUP(Aragon!E3202,'Kilter Holds'!$P$37:$AB$662,10,0),0)</f>
        <v>#NAME?</v>
      </c>
      <c r="I3202" s="274"/>
      <c r="J3202" s="274" t="e">
        <f t="shared" ca="1" si="40"/>
        <v>#NAME?</v>
      </c>
      <c r="K3202" s="274">
        <f t="shared" si="41"/>
        <v>0</v>
      </c>
      <c r="N3202" s="274"/>
    </row>
    <row r="3203" spans="5:14" ht="13.5" customHeight="1">
      <c r="E3203" s="1" t="s">
        <v>493</v>
      </c>
      <c r="F3203" s="1" t="s">
        <v>2736</v>
      </c>
      <c r="G3203" s="414" t="str">
        <f t="shared" si="44"/>
        <v>11-26</v>
      </c>
      <c r="H3203" s="273" t="e">
        <f ca="1">_xludf.IFNA(VLOOKUP(Aragon!E3203,'Kilter Holds'!$P$37:$AB$662,11,0),0)</f>
        <v>#NAME?</v>
      </c>
      <c r="I3203" s="274"/>
      <c r="J3203" s="274" t="e">
        <f t="shared" ca="1" si="40"/>
        <v>#NAME?</v>
      </c>
      <c r="K3203" s="274">
        <f t="shared" si="41"/>
        <v>0</v>
      </c>
      <c r="N3203" s="274"/>
    </row>
    <row r="3204" spans="5:14" ht="13.5" customHeight="1">
      <c r="E3204" s="1" t="s">
        <v>493</v>
      </c>
      <c r="F3204" s="1" t="s">
        <v>2736</v>
      </c>
      <c r="G3204" s="415" t="str">
        <f t="shared" si="44"/>
        <v>18-01</v>
      </c>
      <c r="H3204" s="273" t="e">
        <f ca="1">_xludf.IFNA(VLOOKUP(Aragon!E3204,'Kilter Holds'!$P$37:$AB$662,12,0),0)</f>
        <v>#NAME?</v>
      </c>
      <c r="I3204" s="274"/>
      <c r="J3204" s="274" t="e">
        <f t="shared" ca="1" si="40"/>
        <v>#NAME?</v>
      </c>
      <c r="K3204" s="274">
        <f t="shared" si="41"/>
        <v>0</v>
      </c>
      <c r="N3204" s="274"/>
    </row>
    <row r="3205" spans="5:14" ht="13.5" customHeight="1">
      <c r="E3205" s="1" t="s">
        <v>493</v>
      </c>
      <c r="F3205" s="1" t="s">
        <v>2736</v>
      </c>
      <c r="G3205" s="416" t="str">
        <f t="shared" si="44"/>
        <v>Color Code</v>
      </c>
      <c r="H3205" s="273" t="e">
        <f ca="1">_xludf.IFNA(VLOOKUP(Aragon!E3205,'Kilter Holds'!$P$37:$AB$662,13,0),0)</f>
        <v>#NAME?</v>
      </c>
      <c r="I3205" s="274"/>
      <c r="J3205" s="274" t="e">
        <f t="shared" ca="1" si="40"/>
        <v>#NAME?</v>
      </c>
      <c r="K3205" s="274">
        <f t="shared" si="41"/>
        <v>0</v>
      </c>
      <c r="N3205" s="274"/>
    </row>
    <row r="3206" spans="5:14" ht="13.5" customHeight="1">
      <c r="E3206" s="1" t="s">
        <v>495</v>
      </c>
      <c r="F3206" s="1" t="s">
        <v>2737</v>
      </c>
      <c r="G3206" s="406" t="str">
        <f t="shared" ref="G3206:G3241" si="45">G3152</f>
        <v>11-12</v>
      </c>
      <c r="H3206" s="273" t="e">
        <f ca="1">_xludf.IFNA(VLOOKUP(Aragon!E3206,'Kilter Holds'!$P$37:$AB$662,5,0),0)</f>
        <v>#NAME?</v>
      </c>
      <c r="I3206" s="274"/>
      <c r="J3206" s="274" t="e">
        <f t="shared" ca="1" si="40"/>
        <v>#NAME?</v>
      </c>
      <c r="K3206" s="274">
        <f t="shared" si="41"/>
        <v>0</v>
      </c>
      <c r="N3206" s="274"/>
    </row>
    <row r="3207" spans="5:14" ht="13.5" customHeight="1">
      <c r="E3207" s="1" t="s">
        <v>495</v>
      </c>
      <c r="F3207" s="1" t="s">
        <v>2737</v>
      </c>
      <c r="G3207" s="408" t="str">
        <f t="shared" si="45"/>
        <v>14-01</v>
      </c>
      <c r="H3207" s="273" t="e">
        <f ca="1">_xludf.IFNA(VLOOKUP(Aragon!E3207,'Kilter Holds'!$P$37:$AB$662,6,0),0)</f>
        <v>#NAME?</v>
      </c>
      <c r="I3207" s="274"/>
      <c r="J3207" s="274" t="e">
        <f t="shared" ca="1" si="40"/>
        <v>#NAME?</v>
      </c>
      <c r="K3207" s="274">
        <f t="shared" si="41"/>
        <v>0</v>
      </c>
      <c r="N3207" s="274"/>
    </row>
    <row r="3208" spans="5:14" ht="13.5" customHeight="1">
      <c r="E3208" s="1" t="s">
        <v>495</v>
      </c>
      <c r="F3208" s="1" t="s">
        <v>2737</v>
      </c>
      <c r="G3208" s="409" t="str">
        <f t="shared" si="45"/>
        <v>15-12</v>
      </c>
      <c r="H3208" s="273" t="e">
        <f ca="1">_xludf.IFNA(VLOOKUP(Aragon!E3208,'Kilter Holds'!$P$37:$AB$662,7,0),0)</f>
        <v>#NAME?</v>
      </c>
      <c r="I3208" s="274"/>
      <c r="J3208" s="274" t="e">
        <f t="shared" ca="1" si="40"/>
        <v>#NAME?</v>
      </c>
      <c r="K3208" s="274">
        <f t="shared" si="41"/>
        <v>0</v>
      </c>
      <c r="N3208" s="274"/>
    </row>
    <row r="3209" spans="5:14" ht="13.5" customHeight="1">
      <c r="E3209" s="1" t="s">
        <v>495</v>
      </c>
      <c r="F3209" s="1" t="s">
        <v>2737</v>
      </c>
      <c r="G3209" s="410" t="str">
        <f t="shared" si="45"/>
        <v>16-16</v>
      </c>
      <c r="H3209" s="273" t="e">
        <f ca="1">_xludf.IFNA(VLOOKUP(Aragon!E3209,'Kilter Holds'!$P$37:$AB$662,8,0),0)</f>
        <v>#NAME?</v>
      </c>
      <c r="I3209" s="274"/>
      <c r="J3209" s="274" t="e">
        <f t="shared" ca="1" si="40"/>
        <v>#NAME?</v>
      </c>
      <c r="K3209" s="274">
        <f t="shared" si="41"/>
        <v>0</v>
      </c>
      <c r="N3209" s="274"/>
    </row>
    <row r="3210" spans="5:14" ht="13.5" customHeight="1">
      <c r="E3210" s="1" t="s">
        <v>495</v>
      </c>
      <c r="F3210" s="1" t="s">
        <v>2737</v>
      </c>
      <c r="G3210" s="411" t="str">
        <f t="shared" si="45"/>
        <v>13-01</v>
      </c>
      <c r="H3210" s="273" t="e">
        <f ca="1">_xludf.IFNA(VLOOKUP(Aragon!E3210,'Kilter Holds'!$P$37:$AB$662,9,0),0)</f>
        <v>#NAME?</v>
      </c>
      <c r="I3210" s="274"/>
      <c r="J3210" s="274" t="e">
        <f t="shared" ca="1" si="40"/>
        <v>#NAME?</v>
      </c>
      <c r="K3210" s="274">
        <f t="shared" si="41"/>
        <v>0</v>
      </c>
      <c r="N3210" s="274"/>
    </row>
    <row r="3211" spans="5:14" ht="13.5" customHeight="1">
      <c r="E3211" s="1" t="s">
        <v>495</v>
      </c>
      <c r="F3211" s="1" t="s">
        <v>2737</v>
      </c>
      <c r="G3211" s="413" t="str">
        <f t="shared" si="45"/>
        <v>07-13</v>
      </c>
      <c r="H3211" s="273" t="e">
        <f ca="1">_xludf.IFNA(VLOOKUP(Aragon!E3211,'Kilter Holds'!$P$37:$AB$662,10,0),0)</f>
        <v>#NAME?</v>
      </c>
      <c r="I3211" s="274"/>
      <c r="J3211" s="274" t="e">
        <f t="shared" ca="1" si="40"/>
        <v>#NAME?</v>
      </c>
      <c r="K3211" s="274">
        <f t="shared" si="41"/>
        <v>0</v>
      </c>
      <c r="N3211" s="274"/>
    </row>
    <row r="3212" spans="5:14" ht="13.5" customHeight="1">
      <c r="E3212" s="1" t="s">
        <v>495</v>
      </c>
      <c r="F3212" s="1" t="s">
        <v>2737</v>
      </c>
      <c r="G3212" s="414" t="str">
        <f t="shared" si="45"/>
        <v>11-26</v>
      </c>
      <c r="H3212" s="273" t="e">
        <f ca="1">_xludf.IFNA(VLOOKUP(Aragon!E3212,'Kilter Holds'!$P$37:$AB$662,11,0),0)</f>
        <v>#NAME?</v>
      </c>
      <c r="I3212" s="274"/>
      <c r="J3212" s="274" t="e">
        <f t="shared" ca="1" si="40"/>
        <v>#NAME?</v>
      </c>
      <c r="K3212" s="274">
        <f t="shared" si="41"/>
        <v>0</v>
      </c>
      <c r="N3212" s="274"/>
    </row>
    <row r="3213" spans="5:14" ht="13.5" customHeight="1">
      <c r="E3213" s="1" t="s">
        <v>495</v>
      </c>
      <c r="F3213" s="1" t="s">
        <v>2737</v>
      </c>
      <c r="G3213" s="415" t="str">
        <f t="shared" si="45"/>
        <v>18-01</v>
      </c>
      <c r="H3213" s="273" t="e">
        <f ca="1">_xludf.IFNA(VLOOKUP(Aragon!E3213,'Kilter Holds'!$P$37:$AB$662,12,0),0)</f>
        <v>#NAME?</v>
      </c>
      <c r="I3213" s="274"/>
      <c r="J3213" s="274" t="e">
        <f t="shared" ca="1" si="40"/>
        <v>#NAME?</v>
      </c>
      <c r="K3213" s="274">
        <f t="shared" si="41"/>
        <v>0</v>
      </c>
      <c r="N3213" s="274"/>
    </row>
    <row r="3214" spans="5:14" ht="13.5" customHeight="1">
      <c r="E3214" s="1" t="s">
        <v>495</v>
      </c>
      <c r="F3214" s="1" t="s">
        <v>2737</v>
      </c>
      <c r="G3214" s="416" t="str">
        <f t="shared" si="45"/>
        <v>Color Code</v>
      </c>
      <c r="H3214" s="273" t="e">
        <f ca="1">_xludf.IFNA(VLOOKUP(Aragon!E3214,'Kilter Holds'!$P$37:$AB$662,13,0),0)</f>
        <v>#NAME?</v>
      </c>
      <c r="I3214" s="274"/>
      <c r="J3214" s="274" t="e">
        <f t="shared" ca="1" si="40"/>
        <v>#NAME?</v>
      </c>
      <c r="K3214" s="274">
        <f t="shared" si="41"/>
        <v>0</v>
      </c>
      <c r="N3214" s="274"/>
    </row>
    <row r="3215" spans="5:14" ht="13.5" customHeight="1">
      <c r="E3215" s="1" t="s">
        <v>519</v>
      </c>
      <c r="F3215" s="1" t="s">
        <v>2738</v>
      </c>
      <c r="G3215" s="406" t="str">
        <f t="shared" si="45"/>
        <v>11-12</v>
      </c>
      <c r="H3215" s="273" t="e">
        <f ca="1">_xludf.IFNA(VLOOKUP(Aragon!E3215,'Kilter Holds'!$P$37:$AB$662,5,0),0)</f>
        <v>#NAME?</v>
      </c>
      <c r="I3215" s="274"/>
      <c r="J3215" s="274" t="e">
        <f t="shared" ca="1" si="40"/>
        <v>#NAME?</v>
      </c>
      <c r="K3215" s="274">
        <f t="shared" si="41"/>
        <v>0</v>
      </c>
      <c r="N3215" s="274"/>
    </row>
    <row r="3216" spans="5:14" ht="13.5" customHeight="1">
      <c r="E3216" s="1" t="s">
        <v>519</v>
      </c>
      <c r="F3216" s="1" t="s">
        <v>2738</v>
      </c>
      <c r="G3216" s="408" t="str">
        <f t="shared" si="45"/>
        <v>14-01</v>
      </c>
      <c r="H3216" s="273" t="e">
        <f ca="1">_xludf.IFNA(VLOOKUP(Aragon!E3216,'Kilter Holds'!$P$37:$AB$662,6,0),0)</f>
        <v>#NAME?</v>
      </c>
      <c r="I3216" s="274"/>
      <c r="J3216" s="274" t="e">
        <f t="shared" ca="1" si="40"/>
        <v>#NAME?</v>
      </c>
      <c r="K3216" s="274">
        <f t="shared" si="41"/>
        <v>0</v>
      </c>
      <c r="N3216" s="274"/>
    </row>
    <row r="3217" spans="5:14" ht="13.5" customHeight="1">
      <c r="E3217" s="1" t="s">
        <v>519</v>
      </c>
      <c r="F3217" s="1" t="s">
        <v>2738</v>
      </c>
      <c r="G3217" s="409" t="str">
        <f t="shared" si="45"/>
        <v>15-12</v>
      </c>
      <c r="H3217" s="273" t="e">
        <f ca="1">_xludf.IFNA(VLOOKUP(Aragon!E3217,'Kilter Holds'!$P$37:$AB$662,7,0),0)</f>
        <v>#NAME?</v>
      </c>
      <c r="I3217" s="274"/>
      <c r="J3217" s="274" t="e">
        <f t="shared" ca="1" si="40"/>
        <v>#NAME?</v>
      </c>
      <c r="K3217" s="274">
        <f t="shared" si="41"/>
        <v>0</v>
      </c>
      <c r="N3217" s="274"/>
    </row>
    <row r="3218" spans="5:14" ht="13.5" customHeight="1">
      <c r="E3218" s="1" t="s">
        <v>519</v>
      </c>
      <c r="F3218" s="1" t="s">
        <v>2738</v>
      </c>
      <c r="G3218" s="410" t="str">
        <f t="shared" si="45"/>
        <v>16-16</v>
      </c>
      <c r="H3218" s="273" t="e">
        <f ca="1">_xludf.IFNA(VLOOKUP(Aragon!E3218,'Kilter Holds'!$P$37:$AB$662,8,0),0)</f>
        <v>#NAME?</v>
      </c>
      <c r="I3218" s="274"/>
      <c r="J3218" s="274" t="e">
        <f t="shared" ca="1" si="40"/>
        <v>#NAME?</v>
      </c>
      <c r="K3218" s="274">
        <f t="shared" si="41"/>
        <v>0</v>
      </c>
      <c r="N3218" s="274"/>
    </row>
    <row r="3219" spans="5:14" ht="13.5" customHeight="1">
      <c r="E3219" s="1" t="s">
        <v>519</v>
      </c>
      <c r="F3219" s="1" t="s">
        <v>2738</v>
      </c>
      <c r="G3219" s="411" t="str">
        <f t="shared" si="45"/>
        <v>13-01</v>
      </c>
      <c r="H3219" s="273" t="e">
        <f ca="1">_xludf.IFNA(VLOOKUP(Aragon!E3219,'Kilter Holds'!$P$37:$AB$662,9,0),0)</f>
        <v>#NAME?</v>
      </c>
      <c r="I3219" s="274"/>
      <c r="J3219" s="274" t="e">
        <f t="shared" ca="1" si="40"/>
        <v>#NAME?</v>
      </c>
      <c r="K3219" s="274">
        <f t="shared" si="41"/>
        <v>0</v>
      </c>
      <c r="N3219" s="274"/>
    </row>
    <row r="3220" spans="5:14" ht="13.5" customHeight="1">
      <c r="E3220" s="1" t="s">
        <v>519</v>
      </c>
      <c r="F3220" s="1" t="s">
        <v>2738</v>
      </c>
      <c r="G3220" s="413" t="str">
        <f t="shared" si="45"/>
        <v>07-13</v>
      </c>
      <c r="H3220" s="273" t="e">
        <f ca="1">_xludf.IFNA(VLOOKUP(Aragon!E3220,'Kilter Holds'!$P$37:$AB$662,10,0),0)</f>
        <v>#NAME?</v>
      </c>
      <c r="I3220" s="274"/>
      <c r="J3220" s="274" t="e">
        <f t="shared" ca="1" si="40"/>
        <v>#NAME?</v>
      </c>
      <c r="K3220" s="274">
        <f t="shared" si="41"/>
        <v>0</v>
      </c>
      <c r="N3220" s="274"/>
    </row>
    <row r="3221" spans="5:14" ht="13.5" customHeight="1">
      <c r="E3221" s="1" t="s">
        <v>519</v>
      </c>
      <c r="F3221" s="1" t="s">
        <v>2738</v>
      </c>
      <c r="G3221" s="414" t="str">
        <f t="shared" si="45"/>
        <v>11-26</v>
      </c>
      <c r="H3221" s="273" t="e">
        <f ca="1">_xludf.IFNA(VLOOKUP(Aragon!E3221,'Kilter Holds'!$P$37:$AB$662,11,0),0)</f>
        <v>#NAME?</v>
      </c>
      <c r="I3221" s="274"/>
      <c r="J3221" s="274" t="e">
        <f t="shared" ca="1" si="40"/>
        <v>#NAME?</v>
      </c>
      <c r="K3221" s="274">
        <f t="shared" si="41"/>
        <v>0</v>
      </c>
      <c r="N3221" s="274"/>
    </row>
    <row r="3222" spans="5:14" ht="13.5" customHeight="1">
      <c r="E3222" s="1" t="s">
        <v>519</v>
      </c>
      <c r="F3222" s="1" t="s">
        <v>2738</v>
      </c>
      <c r="G3222" s="415" t="str">
        <f t="shared" si="45"/>
        <v>18-01</v>
      </c>
      <c r="H3222" s="273" t="e">
        <f ca="1">_xludf.IFNA(VLOOKUP(Aragon!E3222,'Kilter Holds'!$P$37:$AB$662,12,0),0)</f>
        <v>#NAME?</v>
      </c>
      <c r="I3222" s="274"/>
      <c r="J3222" s="274" t="e">
        <f t="shared" ca="1" si="40"/>
        <v>#NAME?</v>
      </c>
      <c r="K3222" s="274">
        <f t="shared" si="41"/>
        <v>0</v>
      </c>
      <c r="N3222" s="274"/>
    </row>
    <row r="3223" spans="5:14" ht="13.5" customHeight="1">
      <c r="E3223" s="1" t="s">
        <v>519</v>
      </c>
      <c r="F3223" s="1" t="s">
        <v>2738</v>
      </c>
      <c r="G3223" s="416" t="str">
        <f t="shared" si="45"/>
        <v>Color Code</v>
      </c>
      <c r="H3223" s="273" t="e">
        <f ca="1">_xludf.IFNA(VLOOKUP(Aragon!E3223,'Kilter Holds'!$P$37:$AB$662,13,0),0)</f>
        <v>#NAME?</v>
      </c>
      <c r="I3223" s="274"/>
      <c r="J3223" s="274" t="e">
        <f t="shared" ca="1" si="40"/>
        <v>#NAME?</v>
      </c>
      <c r="K3223" s="274">
        <f t="shared" si="41"/>
        <v>0</v>
      </c>
      <c r="N3223" s="274"/>
    </row>
    <row r="3224" spans="5:14" ht="13.5" customHeight="1">
      <c r="E3224" s="1" t="s">
        <v>483</v>
      </c>
      <c r="F3224" s="1" t="s">
        <v>2739</v>
      </c>
      <c r="G3224" s="406" t="str">
        <f t="shared" si="45"/>
        <v>11-12</v>
      </c>
      <c r="H3224" s="273" t="e">
        <f ca="1">_xludf.IFNA(VLOOKUP(Aragon!E3224,'Kilter Holds'!$P$37:$AB$662,5,0),0)</f>
        <v>#NAME?</v>
      </c>
      <c r="I3224" s="274"/>
      <c r="J3224" s="274" t="e">
        <f t="shared" ca="1" si="40"/>
        <v>#NAME?</v>
      </c>
      <c r="K3224" s="274">
        <f t="shared" si="41"/>
        <v>0</v>
      </c>
      <c r="N3224" s="274"/>
    </row>
    <row r="3225" spans="5:14" ht="13.5" customHeight="1">
      <c r="E3225" s="1" t="s">
        <v>483</v>
      </c>
      <c r="F3225" s="1" t="s">
        <v>2739</v>
      </c>
      <c r="G3225" s="408" t="str">
        <f t="shared" si="45"/>
        <v>14-01</v>
      </c>
      <c r="H3225" s="273" t="e">
        <f ca="1">_xludf.IFNA(VLOOKUP(Aragon!E3225,'Kilter Holds'!$P$37:$AB$662,6,0),0)</f>
        <v>#NAME?</v>
      </c>
      <c r="I3225" s="274"/>
      <c r="J3225" s="274" t="e">
        <f t="shared" ca="1" si="40"/>
        <v>#NAME?</v>
      </c>
      <c r="K3225" s="274">
        <f t="shared" si="41"/>
        <v>0</v>
      </c>
      <c r="N3225" s="274"/>
    </row>
    <row r="3226" spans="5:14" ht="13.5" customHeight="1">
      <c r="E3226" s="1" t="s">
        <v>483</v>
      </c>
      <c r="F3226" s="1" t="s">
        <v>2739</v>
      </c>
      <c r="G3226" s="409" t="str">
        <f t="shared" si="45"/>
        <v>15-12</v>
      </c>
      <c r="H3226" s="273" t="e">
        <f ca="1">_xludf.IFNA(VLOOKUP(Aragon!E3226,'Kilter Holds'!$P$37:$AB$662,7,0),0)</f>
        <v>#NAME?</v>
      </c>
      <c r="I3226" s="274"/>
      <c r="J3226" s="274" t="e">
        <f t="shared" ca="1" si="40"/>
        <v>#NAME?</v>
      </c>
      <c r="K3226" s="274">
        <f t="shared" si="41"/>
        <v>0</v>
      </c>
      <c r="N3226" s="274"/>
    </row>
    <row r="3227" spans="5:14" ht="13.5" customHeight="1">
      <c r="E3227" s="1" t="s">
        <v>483</v>
      </c>
      <c r="F3227" s="1" t="s">
        <v>2739</v>
      </c>
      <c r="G3227" s="410" t="str">
        <f t="shared" si="45"/>
        <v>16-16</v>
      </c>
      <c r="H3227" s="273" t="e">
        <f ca="1">_xludf.IFNA(VLOOKUP(Aragon!E3227,'Kilter Holds'!$P$37:$AB$662,8,0),0)</f>
        <v>#NAME?</v>
      </c>
      <c r="I3227" s="274"/>
      <c r="J3227" s="274" t="e">
        <f t="shared" ca="1" si="40"/>
        <v>#NAME?</v>
      </c>
      <c r="K3227" s="274">
        <f t="shared" si="41"/>
        <v>0</v>
      </c>
      <c r="N3227" s="274"/>
    </row>
    <row r="3228" spans="5:14" ht="13.5" customHeight="1">
      <c r="E3228" s="1" t="s">
        <v>483</v>
      </c>
      <c r="F3228" s="1" t="s">
        <v>2739</v>
      </c>
      <c r="G3228" s="411" t="str">
        <f t="shared" si="45"/>
        <v>13-01</v>
      </c>
      <c r="H3228" s="273" t="e">
        <f ca="1">_xludf.IFNA(VLOOKUP(Aragon!E3228,'Kilter Holds'!$P$37:$AB$662,9,0),0)</f>
        <v>#NAME?</v>
      </c>
      <c r="I3228" s="274"/>
      <c r="J3228" s="274" t="e">
        <f t="shared" ca="1" si="40"/>
        <v>#NAME?</v>
      </c>
      <c r="K3228" s="274">
        <f t="shared" si="41"/>
        <v>0</v>
      </c>
      <c r="N3228" s="274"/>
    </row>
    <row r="3229" spans="5:14" ht="13.5" customHeight="1">
      <c r="E3229" s="1" t="s">
        <v>483</v>
      </c>
      <c r="F3229" s="1" t="s">
        <v>2739</v>
      </c>
      <c r="G3229" s="413" t="str">
        <f t="shared" si="45"/>
        <v>07-13</v>
      </c>
      <c r="H3229" s="273" t="e">
        <f ca="1">_xludf.IFNA(VLOOKUP(Aragon!E3229,'Kilter Holds'!$P$37:$AB$662,10,0),0)</f>
        <v>#NAME?</v>
      </c>
      <c r="I3229" s="274"/>
      <c r="J3229" s="274" t="e">
        <f t="shared" ca="1" si="40"/>
        <v>#NAME?</v>
      </c>
      <c r="K3229" s="274">
        <f t="shared" si="41"/>
        <v>0</v>
      </c>
      <c r="N3229" s="274"/>
    </row>
    <row r="3230" spans="5:14" ht="13.5" customHeight="1">
      <c r="E3230" s="1" t="s">
        <v>483</v>
      </c>
      <c r="F3230" s="1" t="s">
        <v>2739</v>
      </c>
      <c r="G3230" s="414" t="str">
        <f t="shared" si="45"/>
        <v>11-26</v>
      </c>
      <c r="H3230" s="273" t="e">
        <f ca="1">_xludf.IFNA(VLOOKUP(Aragon!E3230,'Kilter Holds'!$P$37:$AB$662,11,0),0)</f>
        <v>#NAME?</v>
      </c>
      <c r="I3230" s="274"/>
      <c r="J3230" s="274" t="e">
        <f t="shared" ca="1" si="40"/>
        <v>#NAME?</v>
      </c>
      <c r="K3230" s="274">
        <f t="shared" si="41"/>
        <v>0</v>
      </c>
      <c r="N3230" s="274"/>
    </row>
    <row r="3231" spans="5:14" ht="13.5" customHeight="1">
      <c r="E3231" s="1" t="s">
        <v>483</v>
      </c>
      <c r="F3231" s="1" t="s">
        <v>2739</v>
      </c>
      <c r="G3231" s="415" t="str">
        <f t="shared" si="45"/>
        <v>18-01</v>
      </c>
      <c r="H3231" s="273" t="e">
        <f ca="1">_xludf.IFNA(VLOOKUP(Aragon!E3231,'Kilter Holds'!$P$37:$AB$662,12,0),0)</f>
        <v>#NAME?</v>
      </c>
      <c r="I3231" s="274"/>
      <c r="J3231" s="274" t="e">
        <f t="shared" ca="1" si="40"/>
        <v>#NAME?</v>
      </c>
      <c r="K3231" s="274">
        <f t="shared" si="41"/>
        <v>0</v>
      </c>
      <c r="N3231" s="274"/>
    </row>
    <row r="3232" spans="5:14" ht="13.5" customHeight="1">
      <c r="E3232" s="1" t="s">
        <v>483</v>
      </c>
      <c r="F3232" s="1" t="s">
        <v>2739</v>
      </c>
      <c r="G3232" s="416" t="str">
        <f t="shared" si="45"/>
        <v>Color Code</v>
      </c>
      <c r="H3232" s="273" t="e">
        <f ca="1">_xludf.IFNA(VLOOKUP(Aragon!E3232,'Kilter Holds'!$P$37:$AB$662,13,0),0)</f>
        <v>#NAME?</v>
      </c>
      <c r="I3232" s="274"/>
      <c r="J3232" s="274" t="e">
        <f t="shared" ca="1" si="40"/>
        <v>#NAME?</v>
      </c>
      <c r="K3232" s="274">
        <f t="shared" si="41"/>
        <v>0</v>
      </c>
      <c r="N3232" s="274"/>
    </row>
    <row r="3233" spans="5:14" ht="13.5" customHeight="1">
      <c r="E3233" s="1" t="s">
        <v>517</v>
      </c>
      <c r="F3233" s="1" t="s">
        <v>2740</v>
      </c>
      <c r="G3233" s="406" t="str">
        <f t="shared" si="45"/>
        <v>11-12</v>
      </c>
      <c r="H3233" s="273" t="e">
        <f ca="1">_xludf.IFNA(VLOOKUP(Aragon!E3233,'Kilter Holds'!$P$37:$AB$662,5,0),0)</f>
        <v>#NAME?</v>
      </c>
      <c r="I3233" s="274"/>
      <c r="J3233" s="274" t="e">
        <f t="shared" ca="1" si="40"/>
        <v>#NAME?</v>
      </c>
      <c r="K3233" s="274">
        <f t="shared" si="41"/>
        <v>0</v>
      </c>
      <c r="N3233" s="274"/>
    </row>
    <row r="3234" spans="5:14" ht="13.5" customHeight="1">
      <c r="E3234" s="1" t="s">
        <v>517</v>
      </c>
      <c r="F3234" s="1" t="s">
        <v>2740</v>
      </c>
      <c r="G3234" s="408" t="str">
        <f t="shared" si="45"/>
        <v>14-01</v>
      </c>
      <c r="H3234" s="273" t="e">
        <f ca="1">_xludf.IFNA(VLOOKUP(Aragon!E3234,'Kilter Holds'!$P$37:$AB$662,6,0),0)</f>
        <v>#NAME?</v>
      </c>
      <c r="I3234" s="274"/>
      <c r="J3234" s="274" t="e">
        <f t="shared" ca="1" si="40"/>
        <v>#NAME?</v>
      </c>
      <c r="K3234" s="274">
        <f t="shared" si="41"/>
        <v>0</v>
      </c>
      <c r="N3234" s="274"/>
    </row>
    <row r="3235" spans="5:14" ht="13.5" customHeight="1">
      <c r="E3235" s="1" t="s">
        <v>517</v>
      </c>
      <c r="F3235" s="1" t="s">
        <v>2740</v>
      </c>
      <c r="G3235" s="409" t="str">
        <f t="shared" si="45"/>
        <v>15-12</v>
      </c>
      <c r="H3235" s="273" t="e">
        <f ca="1">_xludf.IFNA(VLOOKUP(Aragon!E3235,'Kilter Holds'!$P$37:$AB$662,7,0),0)</f>
        <v>#NAME?</v>
      </c>
      <c r="I3235" s="274"/>
      <c r="J3235" s="274" t="e">
        <f t="shared" ca="1" si="40"/>
        <v>#NAME?</v>
      </c>
      <c r="K3235" s="274">
        <f t="shared" si="41"/>
        <v>0</v>
      </c>
      <c r="N3235" s="274"/>
    </row>
    <row r="3236" spans="5:14" ht="13.5" customHeight="1">
      <c r="E3236" s="1" t="s">
        <v>517</v>
      </c>
      <c r="F3236" s="1" t="s">
        <v>2740</v>
      </c>
      <c r="G3236" s="410" t="str">
        <f t="shared" si="45"/>
        <v>16-16</v>
      </c>
      <c r="H3236" s="273" t="e">
        <f ca="1">_xludf.IFNA(VLOOKUP(Aragon!E3236,'Kilter Holds'!$P$37:$AB$662,8,0),0)</f>
        <v>#NAME?</v>
      </c>
      <c r="I3236" s="274"/>
      <c r="J3236" s="274" t="e">
        <f t="shared" ca="1" si="40"/>
        <v>#NAME?</v>
      </c>
      <c r="K3236" s="274">
        <f t="shared" si="41"/>
        <v>0</v>
      </c>
      <c r="N3236" s="274"/>
    </row>
    <row r="3237" spans="5:14" ht="13.5" customHeight="1">
      <c r="E3237" s="1" t="s">
        <v>517</v>
      </c>
      <c r="F3237" s="1" t="s">
        <v>2740</v>
      </c>
      <c r="G3237" s="411" t="str">
        <f t="shared" si="45"/>
        <v>13-01</v>
      </c>
      <c r="H3237" s="273" t="e">
        <f ca="1">_xludf.IFNA(VLOOKUP(Aragon!E3237,'Kilter Holds'!$P$37:$AB$662,9,0),0)</f>
        <v>#NAME?</v>
      </c>
      <c r="I3237" s="274"/>
      <c r="J3237" s="274" t="e">
        <f t="shared" ca="1" si="40"/>
        <v>#NAME?</v>
      </c>
      <c r="K3237" s="274">
        <f t="shared" si="41"/>
        <v>0</v>
      </c>
      <c r="N3237" s="274"/>
    </row>
    <row r="3238" spans="5:14" ht="13.5" customHeight="1">
      <c r="E3238" s="1" t="s">
        <v>517</v>
      </c>
      <c r="F3238" s="1" t="s">
        <v>2740</v>
      </c>
      <c r="G3238" s="413" t="str">
        <f t="shared" si="45"/>
        <v>07-13</v>
      </c>
      <c r="H3238" s="273" t="e">
        <f ca="1">_xludf.IFNA(VLOOKUP(Aragon!E3238,'Kilter Holds'!$P$37:$AB$662,10,0),0)</f>
        <v>#NAME?</v>
      </c>
      <c r="I3238" s="274"/>
      <c r="J3238" s="274" t="e">
        <f t="shared" ca="1" si="40"/>
        <v>#NAME?</v>
      </c>
      <c r="K3238" s="274">
        <f t="shared" si="41"/>
        <v>0</v>
      </c>
      <c r="N3238" s="274"/>
    </row>
    <row r="3239" spans="5:14" ht="13.5" customHeight="1">
      <c r="E3239" s="1" t="s">
        <v>517</v>
      </c>
      <c r="F3239" s="1" t="s">
        <v>2740</v>
      </c>
      <c r="G3239" s="414" t="str">
        <f t="shared" si="45"/>
        <v>11-26</v>
      </c>
      <c r="H3239" s="273" t="e">
        <f ca="1">_xludf.IFNA(VLOOKUP(Aragon!E3239,'Kilter Holds'!$P$37:$AB$662,11,0),0)</f>
        <v>#NAME?</v>
      </c>
      <c r="I3239" s="274"/>
      <c r="J3239" s="274" t="e">
        <f t="shared" ca="1" si="40"/>
        <v>#NAME?</v>
      </c>
      <c r="K3239" s="274">
        <f t="shared" si="41"/>
        <v>0</v>
      </c>
      <c r="N3239" s="274"/>
    </row>
    <row r="3240" spans="5:14" ht="13.5" customHeight="1">
      <c r="E3240" s="1" t="s">
        <v>517</v>
      </c>
      <c r="F3240" s="1" t="s">
        <v>2740</v>
      </c>
      <c r="G3240" s="415" t="str">
        <f t="shared" si="45"/>
        <v>18-01</v>
      </c>
      <c r="H3240" s="273" t="e">
        <f ca="1">_xludf.IFNA(VLOOKUP(Aragon!E3240,'Kilter Holds'!$P$37:$AB$662,12,0),0)</f>
        <v>#NAME?</v>
      </c>
      <c r="I3240" s="274"/>
      <c r="J3240" s="274" t="e">
        <f t="shared" ca="1" si="40"/>
        <v>#NAME?</v>
      </c>
      <c r="K3240" s="274">
        <f t="shared" si="41"/>
        <v>0</v>
      </c>
      <c r="N3240" s="274"/>
    </row>
    <row r="3241" spans="5:14" ht="13.5" customHeight="1">
      <c r="E3241" s="1" t="s">
        <v>517</v>
      </c>
      <c r="F3241" s="1" t="s">
        <v>2740</v>
      </c>
      <c r="G3241" s="416" t="str">
        <f t="shared" si="45"/>
        <v>Color Code</v>
      </c>
      <c r="H3241" s="273" t="e">
        <f ca="1">_xludf.IFNA(VLOOKUP(Aragon!E3241,'Kilter Holds'!$P$37:$AB$662,13,0),0)</f>
        <v>#NAME?</v>
      </c>
      <c r="I3241" s="274"/>
      <c r="J3241" s="274" t="e">
        <f t="shared" ca="1" si="40"/>
        <v>#NAME?</v>
      </c>
      <c r="K3241" s="274">
        <f t="shared" si="41"/>
        <v>0</v>
      </c>
      <c r="N3241" s="274"/>
    </row>
    <row r="3242" spans="5:14" ht="13.5" customHeight="1">
      <c r="E3242" s="1" t="s">
        <v>485</v>
      </c>
      <c r="F3242" s="1" t="s">
        <v>2741</v>
      </c>
      <c r="G3242" s="406" t="str">
        <f t="shared" ref="G3242:G3286" si="46">G3197</f>
        <v>11-12</v>
      </c>
      <c r="H3242" s="273" t="e">
        <f ca="1">_xludf.IFNA(VLOOKUP(Aragon!E3242,'Kilter Holds'!$P$37:$AB$662,5,0),0)</f>
        <v>#NAME?</v>
      </c>
      <c r="I3242" s="274"/>
      <c r="J3242" s="274" t="e">
        <f t="shared" ca="1" si="40"/>
        <v>#NAME?</v>
      </c>
      <c r="K3242" s="274">
        <f t="shared" si="41"/>
        <v>0</v>
      </c>
      <c r="N3242" s="274"/>
    </row>
    <row r="3243" spans="5:14" ht="13.5" customHeight="1">
      <c r="E3243" s="1" t="s">
        <v>485</v>
      </c>
      <c r="F3243" s="1" t="s">
        <v>2741</v>
      </c>
      <c r="G3243" s="408" t="str">
        <f t="shared" si="46"/>
        <v>14-01</v>
      </c>
      <c r="H3243" s="273" t="e">
        <f ca="1">_xludf.IFNA(VLOOKUP(Aragon!E3243,'Kilter Holds'!$P$37:$AB$662,6,0),0)</f>
        <v>#NAME?</v>
      </c>
      <c r="I3243" s="274"/>
      <c r="J3243" s="274" t="e">
        <f t="shared" ca="1" si="40"/>
        <v>#NAME?</v>
      </c>
      <c r="K3243" s="274">
        <f t="shared" si="41"/>
        <v>0</v>
      </c>
      <c r="N3243" s="274"/>
    </row>
    <row r="3244" spans="5:14" ht="13.5" customHeight="1">
      <c r="E3244" s="1" t="s">
        <v>485</v>
      </c>
      <c r="F3244" s="1" t="s">
        <v>2741</v>
      </c>
      <c r="G3244" s="409" t="str">
        <f t="shared" si="46"/>
        <v>15-12</v>
      </c>
      <c r="H3244" s="273" t="e">
        <f ca="1">_xludf.IFNA(VLOOKUP(Aragon!E3244,'Kilter Holds'!$P$37:$AB$662,7,0),0)</f>
        <v>#NAME?</v>
      </c>
      <c r="I3244" s="274"/>
      <c r="J3244" s="274" t="e">
        <f t="shared" ca="1" si="40"/>
        <v>#NAME?</v>
      </c>
      <c r="K3244" s="274">
        <f t="shared" si="41"/>
        <v>0</v>
      </c>
      <c r="N3244" s="274"/>
    </row>
    <row r="3245" spans="5:14" ht="13.5" customHeight="1">
      <c r="E3245" s="1" t="s">
        <v>485</v>
      </c>
      <c r="F3245" s="1" t="s">
        <v>2741</v>
      </c>
      <c r="G3245" s="410" t="str">
        <f t="shared" si="46"/>
        <v>16-16</v>
      </c>
      <c r="H3245" s="273" t="e">
        <f ca="1">_xludf.IFNA(VLOOKUP(Aragon!E3245,'Kilter Holds'!$P$37:$AB$662,8,0),0)</f>
        <v>#NAME?</v>
      </c>
      <c r="I3245" s="274"/>
      <c r="J3245" s="274" t="e">
        <f t="shared" ca="1" si="40"/>
        <v>#NAME?</v>
      </c>
      <c r="K3245" s="274">
        <f t="shared" si="41"/>
        <v>0</v>
      </c>
      <c r="N3245" s="274"/>
    </row>
    <row r="3246" spans="5:14" ht="13.5" customHeight="1">
      <c r="E3246" s="1" t="s">
        <v>485</v>
      </c>
      <c r="F3246" s="1" t="s">
        <v>2741</v>
      </c>
      <c r="G3246" s="411" t="str">
        <f t="shared" si="46"/>
        <v>13-01</v>
      </c>
      <c r="H3246" s="273" t="e">
        <f ca="1">_xludf.IFNA(VLOOKUP(Aragon!E3246,'Kilter Holds'!$P$37:$AB$662,9,0),0)</f>
        <v>#NAME?</v>
      </c>
      <c r="I3246" s="274"/>
      <c r="J3246" s="274" t="e">
        <f t="shared" ca="1" si="40"/>
        <v>#NAME?</v>
      </c>
      <c r="K3246" s="274">
        <f t="shared" si="41"/>
        <v>0</v>
      </c>
      <c r="N3246" s="274"/>
    </row>
    <row r="3247" spans="5:14" ht="13.5" customHeight="1">
      <c r="E3247" s="1" t="s">
        <v>485</v>
      </c>
      <c r="F3247" s="1" t="s">
        <v>2741</v>
      </c>
      <c r="G3247" s="413" t="str">
        <f t="shared" si="46"/>
        <v>07-13</v>
      </c>
      <c r="H3247" s="273" t="e">
        <f ca="1">_xludf.IFNA(VLOOKUP(Aragon!E3247,'Kilter Holds'!$P$37:$AB$662,10,0),0)</f>
        <v>#NAME?</v>
      </c>
      <c r="I3247" s="274"/>
      <c r="J3247" s="274" t="e">
        <f t="shared" ca="1" si="40"/>
        <v>#NAME?</v>
      </c>
      <c r="K3247" s="274">
        <f t="shared" si="41"/>
        <v>0</v>
      </c>
      <c r="N3247" s="274"/>
    </row>
    <row r="3248" spans="5:14" ht="13.5" customHeight="1">
      <c r="E3248" s="1" t="s">
        <v>485</v>
      </c>
      <c r="F3248" s="1" t="s">
        <v>2741</v>
      </c>
      <c r="G3248" s="414" t="str">
        <f t="shared" si="46"/>
        <v>11-26</v>
      </c>
      <c r="H3248" s="273" t="e">
        <f ca="1">_xludf.IFNA(VLOOKUP(Aragon!E3248,'Kilter Holds'!$P$37:$AB$662,11,0),0)</f>
        <v>#NAME?</v>
      </c>
      <c r="I3248" s="274"/>
      <c r="J3248" s="274" t="e">
        <f t="shared" ca="1" si="40"/>
        <v>#NAME?</v>
      </c>
      <c r="K3248" s="274">
        <f t="shared" si="41"/>
        <v>0</v>
      </c>
      <c r="N3248" s="274"/>
    </row>
    <row r="3249" spans="5:14" ht="13.5" customHeight="1">
      <c r="E3249" s="1" t="s">
        <v>485</v>
      </c>
      <c r="F3249" s="1" t="s">
        <v>2741</v>
      </c>
      <c r="G3249" s="415" t="str">
        <f t="shared" si="46"/>
        <v>18-01</v>
      </c>
      <c r="H3249" s="273" t="e">
        <f ca="1">_xludf.IFNA(VLOOKUP(Aragon!E3249,'Kilter Holds'!$P$37:$AB$662,12,0),0)</f>
        <v>#NAME?</v>
      </c>
      <c r="I3249" s="274"/>
      <c r="J3249" s="274" t="e">
        <f t="shared" ca="1" si="40"/>
        <v>#NAME?</v>
      </c>
      <c r="K3249" s="274">
        <f t="shared" si="41"/>
        <v>0</v>
      </c>
      <c r="N3249" s="274"/>
    </row>
    <row r="3250" spans="5:14" ht="13.5" customHeight="1">
      <c r="E3250" s="1" t="s">
        <v>485</v>
      </c>
      <c r="F3250" s="1" t="s">
        <v>2741</v>
      </c>
      <c r="G3250" s="416" t="str">
        <f t="shared" si="46"/>
        <v>Color Code</v>
      </c>
      <c r="H3250" s="273" t="e">
        <f ca="1">_xludf.IFNA(VLOOKUP(Aragon!E3250,'Kilter Holds'!$P$37:$AB$662,13,0),0)</f>
        <v>#NAME?</v>
      </c>
      <c r="I3250" s="274"/>
      <c r="J3250" s="274" t="e">
        <f t="shared" ca="1" si="40"/>
        <v>#NAME?</v>
      </c>
      <c r="K3250" s="274">
        <f t="shared" si="41"/>
        <v>0</v>
      </c>
      <c r="N3250" s="274"/>
    </row>
    <row r="3251" spans="5:14" ht="13.5" customHeight="1">
      <c r="E3251" s="1" t="s">
        <v>471</v>
      </c>
      <c r="F3251" s="1" t="s">
        <v>2742</v>
      </c>
      <c r="G3251" s="406" t="str">
        <f t="shared" si="46"/>
        <v>11-12</v>
      </c>
      <c r="H3251" s="273" t="e">
        <f ca="1">_xludf.IFNA(VLOOKUP(Aragon!E3251,'Kilter Holds'!$P$37:$AB$662,5,0),0)</f>
        <v>#NAME?</v>
      </c>
      <c r="I3251" s="274"/>
      <c r="J3251" s="274" t="e">
        <f t="shared" ca="1" si="40"/>
        <v>#NAME?</v>
      </c>
      <c r="K3251" s="274">
        <f t="shared" si="41"/>
        <v>0</v>
      </c>
      <c r="N3251" s="274"/>
    </row>
    <row r="3252" spans="5:14" ht="13.5" customHeight="1">
      <c r="E3252" s="1" t="s">
        <v>471</v>
      </c>
      <c r="F3252" s="1" t="s">
        <v>2742</v>
      </c>
      <c r="G3252" s="408" t="str">
        <f t="shared" si="46"/>
        <v>14-01</v>
      </c>
      <c r="H3252" s="273" t="e">
        <f ca="1">_xludf.IFNA(VLOOKUP(Aragon!E3252,'Kilter Holds'!$P$37:$AB$662,6,0),0)</f>
        <v>#NAME?</v>
      </c>
      <c r="I3252" s="274"/>
      <c r="J3252" s="274" t="e">
        <f t="shared" ca="1" si="40"/>
        <v>#NAME?</v>
      </c>
      <c r="K3252" s="274">
        <f t="shared" si="41"/>
        <v>0</v>
      </c>
      <c r="N3252" s="274"/>
    </row>
    <row r="3253" spans="5:14" ht="13.5" customHeight="1">
      <c r="E3253" s="1" t="s">
        <v>471</v>
      </c>
      <c r="F3253" s="1" t="s">
        <v>2742</v>
      </c>
      <c r="G3253" s="409" t="str">
        <f t="shared" si="46"/>
        <v>15-12</v>
      </c>
      <c r="H3253" s="273" t="e">
        <f ca="1">_xludf.IFNA(VLOOKUP(Aragon!E3253,'Kilter Holds'!$P$37:$AB$662,7,0),0)</f>
        <v>#NAME?</v>
      </c>
      <c r="I3253" s="274"/>
      <c r="J3253" s="274" t="e">
        <f t="shared" ca="1" si="40"/>
        <v>#NAME?</v>
      </c>
      <c r="K3253" s="274">
        <f t="shared" si="41"/>
        <v>0</v>
      </c>
      <c r="N3253" s="274"/>
    </row>
    <row r="3254" spans="5:14" ht="13.5" customHeight="1">
      <c r="E3254" s="1" t="s">
        <v>471</v>
      </c>
      <c r="F3254" s="1" t="s">
        <v>2742</v>
      </c>
      <c r="G3254" s="410" t="str">
        <f t="shared" si="46"/>
        <v>16-16</v>
      </c>
      <c r="H3254" s="273" t="e">
        <f ca="1">_xludf.IFNA(VLOOKUP(Aragon!E3254,'Kilter Holds'!$P$37:$AB$662,8,0),0)</f>
        <v>#NAME?</v>
      </c>
      <c r="I3254" s="274"/>
      <c r="J3254" s="274" t="e">
        <f t="shared" ca="1" si="40"/>
        <v>#NAME?</v>
      </c>
      <c r="K3254" s="274">
        <f t="shared" si="41"/>
        <v>0</v>
      </c>
      <c r="N3254" s="274"/>
    </row>
    <row r="3255" spans="5:14" ht="13.5" customHeight="1">
      <c r="E3255" s="1" t="s">
        <v>471</v>
      </c>
      <c r="F3255" s="1" t="s">
        <v>2742</v>
      </c>
      <c r="G3255" s="411" t="str">
        <f t="shared" si="46"/>
        <v>13-01</v>
      </c>
      <c r="H3255" s="273" t="e">
        <f ca="1">_xludf.IFNA(VLOOKUP(Aragon!E3255,'Kilter Holds'!$P$37:$AB$662,9,0),0)</f>
        <v>#NAME?</v>
      </c>
      <c r="I3255" s="274"/>
      <c r="J3255" s="274" t="e">
        <f t="shared" ca="1" si="40"/>
        <v>#NAME?</v>
      </c>
      <c r="K3255" s="274">
        <f t="shared" si="41"/>
        <v>0</v>
      </c>
      <c r="N3255" s="274"/>
    </row>
    <row r="3256" spans="5:14" ht="13.5" customHeight="1">
      <c r="E3256" s="1" t="s">
        <v>471</v>
      </c>
      <c r="F3256" s="1" t="s">
        <v>2742</v>
      </c>
      <c r="G3256" s="413" t="str">
        <f t="shared" si="46"/>
        <v>07-13</v>
      </c>
      <c r="H3256" s="273" t="e">
        <f ca="1">_xludf.IFNA(VLOOKUP(Aragon!E3256,'Kilter Holds'!$P$37:$AB$662,10,0),0)</f>
        <v>#NAME?</v>
      </c>
      <c r="I3256" s="274"/>
      <c r="J3256" s="274" t="e">
        <f t="shared" ca="1" si="40"/>
        <v>#NAME?</v>
      </c>
      <c r="K3256" s="274">
        <f t="shared" si="41"/>
        <v>0</v>
      </c>
      <c r="N3256" s="274"/>
    </row>
    <row r="3257" spans="5:14" ht="13.5" customHeight="1">
      <c r="E3257" s="1" t="s">
        <v>471</v>
      </c>
      <c r="F3257" s="1" t="s">
        <v>2742</v>
      </c>
      <c r="G3257" s="414" t="str">
        <f t="shared" si="46"/>
        <v>11-26</v>
      </c>
      <c r="H3257" s="273" t="e">
        <f ca="1">_xludf.IFNA(VLOOKUP(Aragon!E3257,'Kilter Holds'!$P$37:$AB$662,11,0),0)</f>
        <v>#NAME?</v>
      </c>
      <c r="I3257" s="274"/>
      <c r="J3257" s="274" t="e">
        <f t="shared" ca="1" si="40"/>
        <v>#NAME?</v>
      </c>
      <c r="K3257" s="274">
        <f t="shared" si="41"/>
        <v>0</v>
      </c>
      <c r="N3257" s="274"/>
    </row>
    <row r="3258" spans="5:14" ht="13.5" customHeight="1">
      <c r="E3258" s="1" t="s">
        <v>471</v>
      </c>
      <c r="F3258" s="1" t="s">
        <v>2742</v>
      </c>
      <c r="G3258" s="415" t="str">
        <f t="shared" si="46"/>
        <v>18-01</v>
      </c>
      <c r="H3258" s="273" t="e">
        <f ca="1">_xludf.IFNA(VLOOKUP(Aragon!E3258,'Kilter Holds'!$P$37:$AB$662,12,0),0)</f>
        <v>#NAME?</v>
      </c>
      <c r="I3258" s="274"/>
      <c r="J3258" s="274" t="e">
        <f t="shared" ca="1" si="40"/>
        <v>#NAME?</v>
      </c>
      <c r="K3258" s="274">
        <f t="shared" si="41"/>
        <v>0</v>
      </c>
      <c r="N3258" s="274"/>
    </row>
    <row r="3259" spans="5:14" ht="13.5" customHeight="1">
      <c r="E3259" s="1" t="s">
        <v>471</v>
      </c>
      <c r="F3259" s="1" t="s">
        <v>2742</v>
      </c>
      <c r="G3259" s="416" t="str">
        <f t="shared" si="46"/>
        <v>Color Code</v>
      </c>
      <c r="H3259" s="273" t="e">
        <f ca="1">_xludf.IFNA(VLOOKUP(Aragon!E3259,'Kilter Holds'!$P$37:$AB$662,13,0),0)</f>
        <v>#NAME?</v>
      </c>
      <c r="I3259" s="274"/>
      <c r="J3259" s="274" t="e">
        <f t="shared" ca="1" si="40"/>
        <v>#NAME?</v>
      </c>
      <c r="K3259" s="274">
        <f t="shared" si="41"/>
        <v>0</v>
      </c>
      <c r="N3259" s="274"/>
    </row>
    <row r="3260" spans="5:14" ht="13.5" customHeight="1">
      <c r="E3260" s="1" t="s">
        <v>473</v>
      </c>
      <c r="F3260" s="1" t="s">
        <v>2743</v>
      </c>
      <c r="G3260" s="406" t="str">
        <f t="shared" si="46"/>
        <v>11-12</v>
      </c>
      <c r="H3260" s="273" t="e">
        <f ca="1">_xludf.IFNA(VLOOKUP(Aragon!E3260,'Kilter Holds'!$P$37:$AB$662,5,0),0)</f>
        <v>#NAME?</v>
      </c>
      <c r="I3260" s="274"/>
      <c r="J3260" s="274" t="e">
        <f t="shared" ca="1" si="40"/>
        <v>#NAME?</v>
      </c>
      <c r="K3260" s="274">
        <f t="shared" si="41"/>
        <v>0</v>
      </c>
      <c r="N3260" s="274"/>
    </row>
    <row r="3261" spans="5:14" ht="13.5" customHeight="1">
      <c r="E3261" s="1" t="s">
        <v>473</v>
      </c>
      <c r="F3261" s="1" t="s">
        <v>2743</v>
      </c>
      <c r="G3261" s="408" t="str">
        <f t="shared" si="46"/>
        <v>14-01</v>
      </c>
      <c r="H3261" s="273" t="e">
        <f ca="1">_xludf.IFNA(VLOOKUP(Aragon!E3261,'Kilter Holds'!$P$37:$AB$662,6,0),0)</f>
        <v>#NAME?</v>
      </c>
      <c r="I3261" s="274"/>
      <c r="J3261" s="274" t="e">
        <f t="shared" ca="1" si="40"/>
        <v>#NAME?</v>
      </c>
      <c r="K3261" s="274">
        <f t="shared" si="41"/>
        <v>0</v>
      </c>
      <c r="N3261" s="274"/>
    </row>
    <row r="3262" spans="5:14" ht="13.5" customHeight="1">
      <c r="E3262" s="1" t="s">
        <v>473</v>
      </c>
      <c r="F3262" s="1" t="s">
        <v>2743</v>
      </c>
      <c r="G3262" s="409" t="str">
        <f t="shared" si="46"/>
        <v>15-12</v>
      </c>
      <c r="H3262" s="273" t="e">
        <f ca="1">_xludf.IFNA(VLOOKUP(Aragon!E3262,'Kilter Holds'!$P$37:$AB$662,7,0),0)</f>
        <v>#NAME?</v>
      </c>
      <c r="I3262" s="274"/>
      <c r="J3262" s="274" t="e">
        <f t="shared" ca="1" si="40"/>
        <v>#NAME?</v>
      </c>
      <c r="K3262" s="274">
        <f t="shared" si="41"/>
        <v>0</v>
      </c>
      <c r="N3262" s="274"/>
    </row>
    <row r="3263" spans="5:14" ht="13.5" customHeight="1">
      <c r="E3263" s="1" t="s">
        <v>473</v>
      </c>
      <c r="F3263" s="1" t="s">
        <v>2743</v>
      </c>
      <c r="G3263" s="410" t="str">
        <f t="shared" si="46"/>
        <v>16-16</v>
      </c>
      <c r="H3263" s="273" t="e">
        <f ca="1">_xludf.IFNA(VLOOKUP(Aragon!E3263,'Kilter Holds'!$P$37:$AB$662,8,0),0)</f>
        <v>#NAME?</v>
      </c>
      <c r="I3263" s="274"/>
      <c r="J3263" s="274" t="e">
        <f t="shared" ca="1" si="40"/>
        <v>#NAME?</v>
      </c>
      <c r="K3263" s="274">
        <f t="shared" si="41"/>
        <v>0</v>
      </c>
      <c r="N3263" s="274"/>
    </row>
    <row r="3264" spans="5:14" ht="13.5" customHeight="1">
      <c r="E3264" s="1" t="s">
        <v>473</v>
      </c>
      <c r="F3264" s="1" t="s">
        <v>2743</v>
      </c>
      <c r="G3264" s="411" t="str">
        <f t="shared" si="46"/>
        <v>13-01</v>
      </c>
      <c r="H3264" s="273" t="e">
        <f ca="1">_xludf.IFNA(VLOOKUP(Aragon!E3264,'Kilter Holds'!$P$37:$AB$662,9,0),0)</f>
        <v>#NAME?</v>
      </c>
      <c r="I3264" s="274"/>
      <c r="J3264" s="274" t="e">
        <f t="shared" ca="1" si="40"/>
        <v>#NAME?</v>
      </c>
      <c r="K3264" s="274">
        <f t="shared" si="41"/>
        <v>0</v>
      </c>
      <c r="N3264" s="274"/>
    </row>
    <row r="3265" spans="5:14" ht="13.5" customHeight="1">
      <c r="E3265" s="1" t="s">
        <v>473</v>
      </c>
      <c r="F3265" s="1" t="s">
        <v>2743</v>
      </c>
      <c r="G3265" s="413" t="str">
        <f t="shared" si="46"/>
        <v>07-13</v>
      </c>
      <c r="H3265" s="273" t="e">
        <f ca="1">_xludf.IFNA(VLOOKUP(Aragon!E3265,'Kilter Holds'!$P$37:$AB$662,10,0),0)</f>
        <v>#NAME?</v>
      </c>
      <c r="I3265" s="274"/>
      <c r="J3265" s="274" t="e">
        <f t="shared" ca="1" si="40"/>
        <v>#NAME?</v>
      </c>
      <c r="K3265" s="274">
        <f t="shared" si="41"/>
        <v>0</v>
      </c>
      <c r="N3265" s="274"/>
    </row>
    <row r="3266" spans="5:14" ht="13.5" customHeight="1">
      <c r="E3266" s="1" t="s">
        <v>473</v>
      </c>
      <c r="F3266" s="1" t="s">
        <v>2743</v>
      </c>
      <c r="G3266" s="414" t="str">
        <f t="shared" si="46"/>
        <v>11-26</v>
      </c>
      <c r="H3266" s="273" t="e">
        <f ca="1">_xludf.IFNA(VLOOKUP(Aragon!E3266,'Kilter Holds'!$P$37:$AB$662,11,0),0)</f>
        <v>#NAME?</v>
      </c>
      <c r="I3266" s="274"/>
      <c r="J3266" s="274" t="e">
        <f t="shared" ca="1" si="40"/>
        <v>#NAME?</v>
      </c>
      <c r="K3266" s="274">
        <f t="shared" si="41"/>
        <v>0</v>
      </c>
      <c r="N3266" s="274"/>
    </row>
    <row r="3267" spans="5:14" ht="13.5" customHeight="1">
      <c r="E3267" s="1" t="s">
        <v>473</v>
      </c>
      <c r="F3267" s="1" t="s">
        <v>2743</v>
      </c>
      <c r="G3267" s="415" t="str">
        <f t="shared" si="46"/>
        <v>18-01</v>
      </c>
      <c r="H3267" s="273" t="e">
        <f ca="1">_xludf.IFNA(VLOOKUP(Aragon!E3267,'Kilter Holds'!$P$37:$AB$662,12,0),0)</f>
        <v>#NAME?</v>
      </c>
      <c r="I3267" s="274"/>
      <c r="J3267" s="274" t="e">
        <f t="shared" ca="1" si="40"/>
        <v>#NAME?</v>
      </c>
      <c r="K3267" s="274">
        <f t="shared" si="41"/>
        <v>0</v>
      </c>
      <c r="N3267" s="274"/>
    </row>
    <row r="3268" spans="5:14" ht="13.5" customHeight="1">
      <c r="E3268" s="1" t="s">
        <v>473</v>
      </c>
      <c r="F3268" s="1" t="s">
        <v>2743</v>
      </c>
      <c r="G3268" s="416" t="str">
        <f t="shared" si="46"/>
        <v>Color Code</v>
      </c>
      <c r="H3268" s="273" t="e">
        <f ca="1">_xludf.IFNA(VLOOKUP(Aragon!E3268,'Kilter Holds'!$P$37:$AB$662,13,0),0)</f>
        <v>#NAME?</v>
      </c>
      <c r="I3268" s="274"/>
      <c r="J3268" s="274" t="e">
        <f t="shared" ca="1" si="40"/>
        <v>#NAME?</v>
      </c>
      <c r="K3268" s="274">
        <f t="shared" si="41"/>
        <v>0</v>
      </c>
      <c r="N3268" s="274"/>
    </row>
    <row r="3269" spans="5:14" ht="13.5" customHeight="1">
      <c r="E3269" s="1" t="s">
        <v>475</v>
      </c>
      <c r="F3269" s="1" t="s">
        <v>2744</v>
      </c>
      <c r="G3269" s="406" t="str">
        <f t="shared" si="46"/>
        <v>11-12</v>
      </c>
      <c r="H3269" s="273" t="e">
        <f ca="1">_xludf.IFNA(VLOOKUP(Aragon!E3269,'Kilter Holds'!$P$37:$AB$662,5,0),0)</f>
        <v>#NAME?</v>
      </c>
      <c r="I3269" s="274"/>
      <c r="J3269" s="274" t="e">
        <f t="shared" ca="1" si="40"/>
        <v>#NAME?</v>
      </c>
      <c r="K3269" s="274">
        <f t="shared" si="41"/>
        <v>0</v>
      </c>
      <c r="N3269" s="274"/>
    </row>
    <row r="3270" spans="5:14" ht="13.5" customHeight="1">
      <c r="E3270" s="1" t="s">
        <v>475</v>
      </c>
      <c r="F3270" s="1" t="s">
        <v>2744</v>
      </c>
      <c r="G3270" s="408" t="str">
        <f t="shared" si="46"/>
        <v>14-01</v>
      </c>
      <c r="H3270" s="273" t="e">
        <f ca="1">_xludf.IFNA(VLOOKUP(Aragon!E3270,'Kilter Holds'!$P$37:$AB$662,6,0),0)</f>
        <v>#NAME?</v>
      </c>
      <c r="I3270" s="274"/>
      <c r="J3270" s="274" t="e">
        <f t="shared" ca="1" si="40"/>
        <v>#NAME?</v>
      </c>
      <c r="K3270" s="274">
        <f t="shared" si="41"/>
        <v>0</v>
      </c>
      <c r="N3270" s="274"/>
    </row>
    <row r="3271" spans="5:14" ht="13.5" customHeight="1">
      <c r="E3271" s="1" t="s">
        <v>475</v>
      </c>
      <c r="F3271" s="1" t="s">
        <v>2744</v>
      </c>
      <c r="G3271" s="409" t="str">
        <f t="shared" si="46"/>
        <v>15-12</v>
      </c>
      <c r="H3271" s="273" t="e">
        <f ca="1">_xludf.IFNA(VLOOKUP(Aragon!E3271,'Kilter Holds'!$P$37:$AB$662,7,0),0)</f>
        <v>#NAME?</v>
      </c>
      <c r="I3271" s="274"/>
      <c r="J3271" s="274" t="e">
        <f t="shared" ca="1" si="40"/>
        <v>#NAME?</v>
      </c>
      <c r="K3271" s="274">
        <f t="shared" si="41"/>
        <v>0</v>
      </c>
      <c r="N3271" s="274"/>
    </row>
    <row r="3272" spans="5:14" ht="13.5" customHeight="1">
      <c r="E3272" s="1" t="s">
        <v>475</v>
      </c>
      <c r="F3272" s="1" t="s">
        <v>2744</v>
      </c>
      <c r="G3272" s="410" t="str">
        <f t="shared" si="46"/>
        <v>16-16</v>
      </c>
      <c r="H3272" s="273" t="e">
        <f ca="1">_xludf.IFNA(VLOOKUP(Aragon!E3272,'Kilter Holds'!$P$37:$AB$662,8,0),0)</f>
        <v>#NAME?</v>
      </c>
      <c r="I3272" s="274"/>
      <c r="J3272" s="274" t="e">
        <f t="shared" ca="1" si="40"/>
        <v>#NAME?</v>
      </c>
      <c r="K3272" s="274">
        <f t="shared" si="41"/>
        <v>0</v>
      </c>
      <c r="N3272" s="274"/>
    </row>
    <row r="3273" spans="5:14" ht="13.5" customHeight="1">
      <c r="E3273" s="1" t="s">
        <v>475</v>
      </c>
      <c r="F3273" s="1" t="s">
        <v>2744</v>
      </c>
      <c r="G3273" s="411" t="str">
        <f t="shared" si="46"/>
        <v>13-01</v>
      </c>
      <c r="H3273" s="273" t="e">
        <f ca="1">_xludf.IFNA(VLOOKUP(Aragon!E3273,'Kilter Holds'!$P$37:$AB$662,9,0),0)</f>
        <v>#NAME?</v>
      </c>
      <c r="I3273" s="274"/>
      <c r="J3273" s="274" t="e">
        <f t="shared" ca="1" si="40"/>
        <v>#NAME?</v>
      </c>
      <c r="K3273" s="274">
        <f t="shared" si="41"/>
        <v>0</v>
      </c>
      <c r="N3273" s="274"/>
    </row>
    <row r="3274" spans="5:14" ht="13.5" customHeight="1">
      <c r="E3274" s="1" t="s">
        <v>475</v>
      </c>
      <c r="F3274" s="1" t="s">
        <v>2744</v>
      </c>
      <c r="G3274" s="413" t="str">
        <f t="shared" si="46"/>
        <v>07-13</v>
      </c>
      <c r="H3274" s="273" t="e">
        <f ca="1">_xludf.IFNA(VLOOKUP(Aragon!E3274,'Kilter Holds'!$P$37:$AB$662,10,0),0)</f>
        <v>#NAME?</v>
      </c>
      <c r="I3274" s="274"/>
      <c r="J3274" s="274" t="e">
        <f t="shared" ca="1" si="40"/>
        <v>#NAME?</v>
      </c>
      <c r="K3274" s="274">
        <f t="shared" si="41"/>
        <v>0</v>
      </c>
      <c r="N3274" s="274"/>
    </row>
    <row r="3275" spans="5:14" ht="13.5" customHeight="1">
      <c r="E3275" s="1" t="s">
        <v>475</v>
      </c>
      <c r="F3275" s="1" t="s">
        <v>2744</v>
      </c>
      <c r="G3275" s="414" t="str">
        <f t="shared" si="46"/>
        <v>11-26</v>
      </c>
      <c r="H3275" s="273" t="e">
        <f ca="1">_xludf.IFNA(VLOOKUP(Aragon!E3275,'Kilter Holds'!$P$37:$AB$662,11,0),0)</f>
        <v>#NAME?</v>
      </c>
      <c r="I3275" s="274"/>
      <c r="J3275" s="274" t="e">
        <f t="shared" ca="1" si="40"/>
        <v>#NAME?</v>
      </c>
      <c r="K3275" s="274">
        <f t="shared" si="41"/>
        <v>0</v>
      </c>
      <c r="N3275" s="274"/>
    </row>
    <row r="3276" spans="5:14" ht="13.5" customHeight="1">
      <c r="E3276" s="1" t="s">
        <v>475</v>
      </c>
      <c r="F3276" s="1" t="s">
        <v>2744</v>
      </c>
      <c r="G3276" s="415" t="str">
        <f t="shared" si="46"/>
        <v>18-01</v>
      </c>
      <c r="H3276" s="273" t="e">
        <f ca="1">_xludf.IFNA(VLOOKUP(Aragon!E3276,'Kilter Holds'!$P$37:$AB$662,12,0),0)</f>
        <v>#NAME?</v>
      </c>
      <c r="I3276" s="274"/>
      <c r="J3276" s="274" t="e">
        <f t="shared" ca="1" si="40"/>
        <v>#NAME?</v>
      </c>
      <c r="K3276" s="274">
        <f t="shared" si="41"/>
        <v>0</v>
      </c>
      <c r="N3276" s="274"/>
    </row>
    <row r="3277" spans="5:14" ht="13.5" customHeight="1">
      <c r="E3277" s="1" t="s">
        <v>475</v>
      </c>
      <c r="F3277" s="1" t="s">
        <v>2744</v>
      </c>
      <c r="G3277" s="416" t="str">
        <f t="shared" si="46"/>
        <v>Color Code</v>
      </c>
      <c r="H3277" s="273" t="e">
        <f ca="1">_xludf.IFNA(VLOOKUP(Aragon!E3277,'Kilter Holds'!$P$37:$AB$662,13,0),0)</f>
        <v>#NAME?</v>
      </c>
      <c r="I3277" s="274"/>
      <c r="J3277" s="274" t="e">
        <f t="shared" ca="1" si="40"/>
        <v>#NAME?</v>
      </c>
      <c r="K3277" s="274">
        <f t="shared" si="41"/>
        <v>0</v>
      </c>
      <c r="N3277" s="274"/>
    </row>
    <row r="3278" spans="5:14" ht="13.5" customHeight="1">
      <c r="E3278" s="1" t="s">
        <v>477</v>
      </c>
      <c r="F3278" s="1" t="s">
        <v>2745</v>
      </c>
      <c r="G3278" s="406" t="str">
        <f t="shared" si="46"/>
        <v>11-12</v>
      </c>
      <c r="H3278" s="273" t="e">
        <f ca="1">_xludf.IFNA(VLOOKUP(Aragon!E3278,'Kilter Holds'!$P$37:$AB$662,5,0),0)</f>
        <v>#NAME?</v>
      </c>
      <c r="I3278" s="274"/>
      <c r="J3278" s="274" t="e">
        <f t="shared" ca="1" si="40"/>
        <v>#NAME?</v>
      </c>
      <c r="K3278" s="274">
        <f t="shared" si="41"/>
        <v>0</v>
      </c>
      <c r="N3278" s="274"/>
    </row>
    <row r="3279" spans="5:14" ht="13.5" customHeight="1">
      <c r="E3279" s="1" t="s">
        <v>477</v>
      </c>
      <c r="F3279" s="1" t="s">
        <v>2745</v>
      </c>
      <c r="G3279" s="408" t="str">
        <f t="shared" si="46"/>
        <v>14-01</v>
      </c>
      <c r="H3279" s="273" t="e">
        <f ca="1">_xludf.IFNA(VLOOKUP(Aragon!E3279,'Kilter Holds'!$P$37:$AB$662,6,0),0)</f>
        <v>#NAME?</v>
      </c>
      <c r="I3279" s="274"/>
      <c r="J3279" s="274" t="e">
        <f t="shared" ca="1" si="40"/>
        <v>#NAME?</v>
      </c>
      <c r="K3279" s="274">
        <f t="shared" si="41"/>
        <v>0</v>
      </c>
      <c r="N3279" s="274"/>
    </row>
    <row r="3280" spans="5:14" ht="13.5" customHeight="1">
      <c r="E3280" s="1" t="s">
        <v>477</v>
      </c>
      <c r="F3280" s="1" t="s">
        <v>2745</v>
      </c>
      <c r="G3280" s="409" t="str">
        <f t="shared" si="46"/>
        <v>15-12</v>
      </c>
      <c r="H3280" s="273" t="e">
        <f ca="1">_xludf.IFNA(VLOOKUP(Aragon!E3280,'Kilter Holds'!$P$37:$AB$662,7,0),0)</f>
        <v>#NAME?</v>
      </c>
      <c r="I3280" s="274"/>
      <c r="J3280" s="274" t="e">
        <f t="shared" ca="1" si="40"/>
        <v>#NAME?</v>
      </c>
      <c r="K3280" s="274">
        <f t="shared" si="41"/>
        <v>0</v>
      </c>
      <c r="N3280" s="274"/>
    </row>
    <row r="3281" spans="5:14" ht="13.5" customHeight="1">
      <c r="E3281" s="1" t="s">
        <v>477</v>
      </c>
      <c r="F3281" s="1" t="s">
        <v>2745</v>
      </c>
      <c r="G3281" s="410" t="str">
        <f t="shared" si="46"/>
        <v>16-16</v>
      </c>
      <c r="H3281" s="273" t="e">
        <f ca="1">_xludf.IFNA(VLOOKUP(Aragon!E3281,'Kilter Holds'!$P$37:$AB$662,8,0),0)</f>
        <v>#NAME?</v>
      </c>
      <c r="I3281" s="274"/>
      <c r="J3281" s="274" t="e">
        <f t="shared" ca="1" si="40"/>
        <v>#NAME?</v>
      </c>
      <c r="K3281" s="274">
        <f t="shared" si="41"/>
        <v>0</v>
      </c>
      <c r="N3281" s="274"/>
    </row>
    <row r="3282" spans="5:14" ht="13.5" customHeight="1">
      <c r="E3282" s="1" t="s">
        <v>477</v>
      </c>
      <c r="F3282" s="1" t="s">
        <v>2745</v>
      </c>
      <c r="G3282" s="411" t="str">
        <f t="shared" si="46"/>
        <v>13-01</v>
      </c>
      <c r="H3282" s="273" t="e">
        <f ca="1">_xludf.IFNA(VLOOKUP(Aragon!E3282,'Kilter Holds'!$P$37:$AB$662,9,0),0)</f>
        <v>#NAME?</v>
      </c>
      <c r="I3282" s="274"/>
      <c r="J3282" s="274" t="e">
        <f t="shared" ca="1" si="40"/>
        <v>#NAME?</v>
      </c>
      <c r="K3282" s="274">
        <f t="shared" si="41"/>
        <v>0</v>
      </c>
      <c r="N3282" s="274"/>
    </row>
    <row r="3283" spans="5:14" ht="13.5" customHeight="1">
      <c r="E3283" s="1" t="s">
        <v>477</v>
      </c>
      <c r="F3283" s="1" t="s">
        <v>2745</v>
      </c>
      <c r="G3283" s="413" t="str">
        <f t="shared" si="46"/>
        <v>07-13</v>
      </c>
      <c r="H3283" s="273" t="e">
        <f ca="1">_xludf.IFNA(VLOOKUP(Aragon!E3283,'Kilter Holds'!$P$37:$AB$662,10,0),0)</f>
        <v>#NAME?</v>
      </c>
      <c r="I3283" s="274"/>
      <c r="J3283" s="274" t="e">
        <f t="shared" ca="1" si="40"/>
        <v>#NAME?</v>
      </c>
      <c r="K3283" s="274">
        <f t="shared" si="41"/>
        <v>0</v>
      </c>
      <c r="N3283" s="274"/>
    </row>
    <row r="3284" spans="5:14" ht="13.5" customHeight="1">
      <c r="E3284" s="1" t="s">
        <v>477</v>
      </c>
      <c r="F3284" s="1" t="s">
        <v>2745</v>
      </c>
      <c r="G3284" s="414" t="str">
        <f t="shared" si="46"/>
        <v>11-26</v>
      </c>
      <c r="H3284" s="273" t="e">
        <f ca="1">_xludf.IFNA(VLOOKUP(Aragon!E3284,'Kilter Holds'!$P$37:$AB$662,11,0),0)</f>
        <v>#NAME?</v>
      </c>
      <c r="I3284" s="274"/>
      <c r="J3284" s="274" t="e">
        <f t="shared" ca="1" si="40"/>
        <v>#NAME?</v>
      </c>
      <c r="K3284" s="274">
        <f t="shared" si="41"/>
        <v>0</v>
      </c>
      <c r="N3284" s="274"/>
    </row>
    <row r="3285" spans="5:14" ht="13.5" customHeight="1">
      <c r="E3285" s="1" t="s">
        <v>477</v>
      </c>
      <c r="F3285" s="1" t="s">
        <v>2745</v>
      </c>
      <c r="G3285" s="415" t="str">
        <f t="shared" si="46"/>
        <v>18-01</v>
      </c>
      <c r="H3285" s="273" t="e">
        <f ca="1">_xludf.IFNA(VLOOKUP(Aragon!E3285,'Kilter Holds'!$P$37:$AB$662,12,0),0)</f>
        <v>#NAME?</v>
      </c>
      <c r="I3285" s="274"/>
      <c r="J3285" s="274" t="e">
        <f t="shared" ca="1" si="40"/>
        <v>#NAME?</v>
      </c>
      <c r="K3285" s="274">
        <f t="shared" si="41"/>
        <v>0</v>
      </c>
      <c r="N3285" s="274"/>
    </row>
    <row r="3286" spans="5:14" ht="13.5" customHeight="1">
      <c r="E3286" s="1" t="s">
        <v>477</v>
      </c>
      <c r="F3286" s="1" t="s">
        <v>2745</v>
      </c>
      <c r="G3286" s="416" t="str">
        <f t="shared" si="46"/>
        <v>Color Code</v>
      </c>
      <c r="H3286" s="273" t="e">
        <f ca="1">_xludf.IFNA(VLOOKUP(Aragon!E3286,'Kilter Holds'!$P$37:$AB$662,13,0),0)</f>
        <v>#NAME?</v>
      </c>
      <c r="I3286" s="274"/>
      <c r="J3286" s="274" t="e">
        <f t="shared" ca="1" si="40"/>
        <v>#NAME?</v>
      </c>
      <c r="K3286" s="274">
        <f t="shared" si="41"/>
        <v>0</v>
      </c>
      <c r="N3286" s="274"/>
    </row>
    <row r="3287" spans="5:14" ht="13.5" customHeight="1">
      <c r="E3287" s="1" t="s">
        <v>499</v>
      </c>
      <c r="F3287" s="1" t="s">
        <v>2746</v>
      </c>
      <c r="G3287" s="406" t="str">
        <f t="shared" ref="G3287:G3331" si="47">G3206</f>
        <v>11-12</v>
      </c>
      <c r="H3287" s="273" t="e">
        <f ca="1">_xludf.IFNA(VLOOKUP(Aragon!E3287,'Kilter Holds'!$P$37:$AB$662,5,0),0)</f>
        <v>#NAME?</v>
      </c>
      <c r="I3287" s="274"/>
      <c r="J3287" s="274" t="e">
        <f t="shared" ca="1" si="40"/>
        <v>#NAME?</v>
      </c>
      <c r="K3287" s="274">
        <f t="shared" si="41"/>
        <v>0</v>
      </c>
      <c r="N3287" s="274"/>
    </row>
    <row r="3288" spans="5:14" ht="13.5" customHeight="1">
      <c r="E3288" s="1" t="s">
        <v>499</v>
      </c>
      <c r="F3288" s="1" t="s">
        <v>2746</v>
      </c>
      <c r="G3288" s="408" t="str">
        <f t="shared" si="47"/>
        <v>14-01</v>
      </c>
      <c r="H3288" s="273" t="e">
        <f ca="1">_xludf.IFNA(VLOOKUP(Aragon!E3288,'Kilter Holds'!$P$37:$AB$662,6,0),0)</f>
        <v>#NAME?</v>
      </c>
      <c r="I3288" s="274"/>
      <c r="J3288" s="274" t="e">
        <f t="shared" ca="1" si="40"/>
        <v>#NAME?</v>
      </c>
      <c r="K3288" s="274">
        <f t="shared" si="41"/>
        <v>0</v>
      </c>
      <c r="N3288" s="274"/>
    </row>
    <row r="3289" spans="5:14" ht="13.5" customHeight="1">
      <c r="E3289" s="1" t="s">
        <v>499</v>
      </c>
      <c r="F3289" s="1" t="s">
        <v>2746</v>
      </c>
      <c r="G3289" s="409" t="str">
        <f t="shared" si="47"/>
        <v>15-12</v>
      </c>
      <c r="H3289" s="273" t="e">
        <f ca="1">_xludf.IFNA(VLOOKUP(Aragon!E3289,'Kilter Holds'!$P$37:$AB$662,7,0),0)</f>
        <v>#NAME?</v>
      </c>
      <c r="I3289" s="274"/>
      <c r="J3289" s="274" t="e">
        <f t="shared" ca="1" si="40"/>
        <v>#NAME?</v>
      </c>
      <c r="K3289" s="274">
        <f t="shared" si="41"/>
        <v>0</v>
      </c>
      <c r="N3289" s="274"/>
    </row>
    <row r="3290" spans="5:14" ht="13.5" customHeight="1">
      <c r="E3290" s="1" t="s">
        <v>499</v>
      </c>
      <c r="F3290" s="1" t="s">
        <v>2746</v>
      </c>
      <c r="G3290" s="410" t="str">
        <f t="shared" si="47"/>
        <v>16-16</v>
      </c>
      <c r="H3290" s="273" t="e">
        <f ca="1">_xludf.IFNA(VLOOKUP(Aragon!E3290,'Kilter Holds'!$P$37:$AB$662,8,0),0)</f>
        <v>#NAME?</v>
      </c>
      <c r="I3290" s="274"/>
      <c r="J3290" s="274" t="e">
        <f t="shared" ca="1" si="40"/>
        <v>#NAME?</v>
      </c>
      <c r="K3290" s="274">
        <f t="shared" si="41"/>
        <v>0</v>
      </c>
      <c r="N3290" s="274"/>
    </row>
    <row r="3291" spans="5:14" ht="13.5" customHeight="1">
      <c r="E3291" s="1" t="s">
        <v>499</v>
      </c>
      <c r="F3291" s="1" t="s">
        <v>2746</v>
      </c>
      <c r="G3291" s="411" t="str">
        <f t="shared" si="47"/>
        <v>13-01</v>
      </c>
      <c r="H3291" s="273" t="e">
        <f ca="1">_xludf.IFNA(VLOOKUP(Aragon!E3291,'Kilter Holds'!$P$37:$AB$662,9,0),0)</f>
        <v>#NAME?</v>
      </c>
      <c r="I3291" s="274"/>
      <c r="J3291" s="274" t="e">
        <f t="shared" ca="1" si="40"/>
        <v>#NAME?</v>
      </c>
      <c r="K3291" s="274">
        <f t="shared" si="41"/>
        <v>0</v>
      </c>
      <c r="N3291" s="274"/>
    </row>
    <row r="3292" spans="5:14" ht="13.5" customHeight="1">
      <c r="E3292" s="1" t="s">
        <v>499</v>
      </c>
      <c r="F3292" s="1" t="s">
        <v>2746</v>
      </c>
      <c r="G3292" s="413" t="str">
        <f t="shared" si="47"/>
        <v>07-13</v>
      </c>
      <c r="H3292" s="273" t="e">
        <f ca="1">_xludf.IFNA(VLOOKUP(Aragon!E3292,'Kilter Holds'!$P$37:$AB$662,10,0),0)</f>
        <v>#NAME?</v>
      </c>
      <c r="I3292" s="274"/>
      <c r="J3292" s="274" t="e">
        <f t="shared" ca="1" si="40"/>
        <v>#NAME?</v>
      </c>
      <c r="K3292" s="274">
        <f t="shared" si="41"/>
        <v>0</v>
      </c>
      <c r="N3292" s="274"/>
    </row>
    <row r="3293" spans="5:14" ht="13.5" customHeight="1">
      <c r="E3293" s="1" t="s">
        <v>499</v>
      </c>
      <c r="F3293" s="1" t="s">
        <v>2746</v>
      </c>
      <c r="G3293" s="414" t="str">
        <f t="shared" si="47"/>
        <v>11-26</v>
      </c>
      <c r="H3293" s="273" t="e">
        <f ca="1">_xludf.IFNA(VLOOKUP(Aragon!E3293,'Kilter Holds'!$P$37:$AB$662,11,0),0)</f>
        <v>#NAME?</v>
      </c>
      <c r="I3293" s="274"/>
      <c r="J3293" s="274" t="e">
        <f t="shared" ca="1" si="40"/>
        <v>#NAME?</v>
      </c>
      <c r="K3293" s="274">
        <f t="shared" si="41"/>
        <v>0</v>
      </c>
      <c r="N3293" s="274"/>
    </row>
    <row r="3294" spans="5:14" ht="13.5" customHeight="1">
      <c r="E3294" s="1" t="s">
        <v>499</v>
      </c>
      <c r="F3294" s="1" t="s">
        <v>2746</v>
      </c>
      <c r="G3294" s="415" t="str">
        <f t="shared" si="47"/>
        <v>18-01</v>
      </c>
      <c r="H3294" s="273" t="e">
        <f ca="1">_xludf.IFNA(VLOOKUP(Aragon!E3294,'Kilter Holds'!$P$37:$AB$662,12,0),0)</f>
        <v>#NAME?</v>
      </c>
      <c r="I3294" s="274"/>
      <c r="J3294" s="274" t="e">
        <f t="shared" ca="1" si="40"/>
        <v>#NAME?</v>
      </c>
      <c r="K3294" s="274">
        <f t="shared" si="41"/>
        <v>0</v>
      </c>
      <c r="N3294" s="274"/>
    </row>
    <row r="3295" spans="5:14" ht="13.5" customHeight="1">
      <c r="E3295" s="1" t="s">
        <v>499</v>
      </c>
      <c r="F3295" s="1" t="s">
        <v>2746</v>
      </c>
      <c r="G3295" s="416" t="str">
        <f t="shared" si="47"/>
        <v>Color Code</v>
      </c>
      <c r="H3295" s="273" t="e">
        <f ca="1">_xludf.IFNA(VLOOKUP(Aragon!E3295,'Kilter Holds'!$P$37:$AB$662,13,0),0)</f>
        <v>#NAME?</v>
      </c>
      <c r="I3295" s="274"/>
      <c r="J3295" s="274" t="e">
        <f t="shared" ca="1" si="40"/>
        <v>#NAME?</v>
      </c>
      <c r="K3295" s="274">
        <f t="shared" si="41"/>
        <v>0</v>
      </c>
      <c r="N3295" s="274"/>
    </row>
    <row r="3296" spans="5:14" ht="13.5" customHeight="1">
      <c r="E3296" s="1" t="s">
        <v>487</v>
      </c>
      <c r="F3296" s="1" t="s">
        <v>2747</v>
      </c>
      <c r="G3296" s="406" t="str">
        <f t="shared" si="47"/>
        <v>11-12</v>
      </c>
      <c r="H3296" s="273" t="e">
        <f ca="1">_xludf.IFNA(VLOOKUP(Aragon!E3296,'Kilter Holds'!$P$37:$AB$662,5,0),0)</f>
        <v>#NAME?</v>
      </c>
      <c r="I3296" s="274"/>
      <c r="J3296" s="274" t="e">
        <f t="shared" ca="1" si="40"/>
        <v>#NAME?</v>
      </c>
      <c r="K3296" s="274">
        <f t="shared" si="41"/>
        <v>0</v>
      </c>
      <c r="N3296" s="274"/>
    </row>
    <row r="3297" spans="5:14" ht="13.5" customHeight="1">
      <c r="E3297" s="1" t="s">
        <v>487</v>
      </c>
      <c r="F3297" s="1" t="s">
        <v>2747</v>
      </c>
      <c r="G3297" s="408" t="str">
        <f t="shared" si="47"/>
        <v>14-01</v>
      </c>
      <c r="H3297" s="273" t="e">
        <f ca="1">_xludf.IFNA(VLOOKUP(Aragon!E3297,'Kilter Holds'!$P$37:$AB$662,6,0),0)</f>
        <v>#NAME?</v>
      </c>
      <c r="I3297" s="274"/>
      <c r="J3297" s="274" t="e">
        <f t="shared" ca="1" si="40"/>
        <v>#NAME?</v>
      </c>
      <c r="K3297" s="274">
        <f t="shared" si="41"/>
        <v>0</v>
      </c>
      <c r="N3297" s="274"/>
    </row>
    <row r="3298" spans="5:14" ht="13.5" customHeight="1">
      <c r="E3298" s="1" t="s">
        <v>487</v>
      </c>
      <c r="F3298" s="1" t="s">
        <v>2747</v>
      </c>
      <c r="G3298" s="409" t="str">
        <f t="shared" si="47"/>
        <v>15-12</v>
      </c>
      <c r="H3298" s="273" t="e">
        <f ca="1">_xludf.IFNA(VLOOKUP(Aragon!E3298,'Kilter Holds'!$P$37:$AB$662,7,0),0)</f>
        <v>#NAME?</v>
      </c>
      <c r="I3298" s="274"/>
      <c r="J3298" s="274" t="e">
        <f t="shared" ca="1" si="40"/>
        <v>#NAME?</v>
      </c>
      <c r="K3298" s="274">
        <f t="shared" si="41"/>
        <v>0</v>
      </c>
      <c r="N3298" s="274"/>
    </row>
    <row r="3299" spans="5:14" ht="13.5" customHeight="1">
      <c r="E3299" s="1" t="s">
        <v>487</v>
      </c>
      <c r="F3299" s="1" t="s">
        <v>2747</v>
      </c>
      <c r="G3299" s="410" t="str">
        <f t="shared" si="47"/>
        <v>16-16</v>
      </c>
      <c r="H3299" s="273" t="e">
        <f ca="1">_xludf.IFNA(VLOOKUP(Aragon!E3299,'Kilter Holds'!$P$37:$AB$662,8,0),0)</f>
        <v>#NAME?</v>
      </c>
      <c r="I3299" s="274"/>
      <c r="J3299" s="274" t="e">
        <f t="shared" ca="1" si="40"/>
        <v>#NAME?</v>
      </c>
      <c r="K3299" s="274">
        <f t="shared" si="41"/>
        <v>0</v>
      </c>
      <c r="N3299" s="274"/>
    </row>
    <row r="3300" spans="5:14" ht="13.5" customHeight="1">
      <c r="E3300" s="1" t="s">
        <v>487</v>
      </c>
      <c r="F3300" s="1" t="s">
        <v>2747</v>
      </c>
      <c r="G3300" s="411" t="str">
        <f t="shared" si="47"/>
        <v>13-01</v>
      </c>
      <c r="H3300" s="273" t="e">
        <f ca="1">_xludf.IFNA(VLOOKUP(Aragon!E3300,'Kilter Holds'!$P$37:$AB$662,9,0),0)</f>
        <v>#NAME?</v>
      </c>
      <c r="I3300" s="274"/>
      <c r="J3300" s="274" t="e">
        <f t="shared" ca="1" si="40"/>
        <v>#NAME?</v>
      </c>
      <c r="K3300" s="274">
        <f t="shared" si="41"/>
        <v>0</v>
      </c>
      <c r="N3300" s="274"/>
    </row>
    <row r="3301" spans="5:14" ht="13.5" customHeight="1">
      <c r="E3301" s="1" t="s">
        <v>487</v>
      </c>
      <c r="F3301" s="1" t="s">
        <v>2747</v>
      </c>
      <c r="G3301" s="413" t="str">
        <f t="shared" si="47"/>
        <v>07-13</v>
      </c>
      <c r="H3301" s="273" t="e">
        <f ca="1">_xludf.IFNA(VLOOKUP(Aragon!E3301,'Kilter Holds'!$P$37:$AB$662,10,0),0)</f>
        <v>#NAME?</v>
      </c>
      <c r="I3301" s="274"/>
      <c r="J3301" s="274" t="e">
        <f t="shared" ca="1" si="40"/>
        <v>#NAME?</v>
      </c>
      <c r="K3301" s="274">
        <f t="shared" si="41"/>
        <v>0</v>
      </c>
      <c r="N3301" s="274"/>
    </row>
    <row r="3302" spans="5:14" ht="13.5" customHeight="1">
      <c r="E3302" s="1" t="s">
        <v>487</v>
      </c>
      <c r="F3302" s="1" t="s">
        <v>2747</v>
      </c>
      <c r="G3302" s="414" t="str">
        <f t="shared" si="47"/>
        <v>11-26</v>
      </c>
      <c r="H3302" s="273" t="e">
        <f ca="1">_xludf.IFNA(VLOOKUP(Aragon!E3302,'Kilter Holds'!$P$37:$AB$662,11,0),0)</f>
        <v>#NAME?</v>
      </c>
      <c r="I3302" s="274"/>
      <c r="J3302" s="274" t="e">
        <f t="shared" ca="1" si="40"/>
        <v>#NAME?</v>
      </c>
      <c r="K3302" s="274">
        <f t="shared" si="41"/>
        <v>0</v>
      </c>
      <c r="N3302" s="274"/>
    </row>
    <row r="3303" spans="5:14" ht="13.5" customHeight="1">
      <c r="E3303" s="1" t="s">
        <v>487</v>
      </c>
      <c r="F3303" s="1" t="s">
        <v>2747</v>
      </c>
      <c r="G3303" s="415" t="str">
        <f t="shared" si="47"/>
        <v>18-01</v>
      </c>
      <c r="H3303" s="273" t="e">
        <f ca="1">_xludf.IFNA(VLOOKUP(Aragon!E3303,'Kilter Holds'!$P$37:$AB$662,12,0),0)</f>
        <v>#NAME?</v>
      </c>
      <c r="I3303" s="274"/>
      <c r="J3303" s="274" t="e">
        <f t="shared" ca="1" si="40"/>
        <v>#NAME?</v>
      </c>
      <c r="K3303" s="274">
        <f t="shared" si="41"/>
        <v>0</v>
      </c>
      <c r="N3303" s="274"/>
    </row>
    <row r="3304" spans="5:14" ht="13.5" customHeight="1">
      <c r="E3304" s="1" t="s">
        <v>487</v>
      </c>
      <c r="F3304" s="1" t="s">
        <v>2747</v>
      </c>
      <c r="G3304" s="416" t="str">
        <f t="shared" si="47"/>
        <v>Color Code</v>
      </c>
      <c r="H3304" s="273" t="e">
        <f ca="1">_xludf.IFNA(VLOOKUP(Aragon!E3304,'Kilter Holds'!$P$37:$AB$662,13,0),0)</f>
        <v>#NAME?</v>
      </c>
      <c r="I3304" s="274"/>
      <c r="J3304" s="274" t="e">
        <f t="shared" ca="1" si="40"/>
        <v>#NAME?</v>
      </c>
      <c r="K3304" s="274">
        <f t="shared" si="41"/>
        <v>0</v>
      </c>
      <c r="N3304" s="274"/>
    </row>
    <row r="3305" spans="5:14" ht="13.5" customHeight="1">
      <c r="E3305" s="1" t="s">
        <v>503</v>
      </c>
      <c r="F3305" s="1" t="s">
        <v>2748</v>
      </c>
      <c r="G3305" s="406" t="str">
        <f t="shared" si="47"/>
        <v>11-12</v>
      </c>
      <c r="H3305" s="273" t="e">
        <f ca="1">_xludf.IFNA(VLOOKUP(Aragon!E3305,'Kilter Holds'!$P$37:$AB$662,5,0),0)</f>
        <v>#NAME?</v>
      </c>
      <c r="I3305" s="274"/>
      <c r="J3305" s="274" t="e">
        <f t="shared" ca="1" si="40"/>
        <v>#NAME?</v>
      </c>
      <c r="K3305" s="274">
        <f t="shared" si="41"/>
        <v>0</v>
      </c>
      <c r="N3305" s="274"/>
    </row>
    <row r="3306" spans="5:14" ht="13.5" customHeight="1">
      <c r="E3306" s="1" t="s">
        <v>503</v>
      </c>
      <c r="F3306" s="1" t="s">
        <v>2748</v>
      </c>
      <c r="G3306" s="408" t="str">
        <f t="shared" si="47"/>
        <v>14-01</v>
      </c>
      <c r="H3306" s="273" t="e">
        <f ca="1">_xludf.IFNA(VLOOKUP(Aragon!E3306,'Kilter Holds'!$P$37:$AB$662,6,0),0)</f>
        <v>#NAME?</v>
      </c>
      <c r="I3306" s="274"/>
      <c r="J3306" s="274" t="e">
        <f t="shared" ca="1" si="40"/>
        <v>#NAME?</v>
      </c>
      <c r="K3306" s="274">
        <f t="shared" si="41"/>
        <v>0</v>
      </c>
      <c r="N3306" s="274"/>
    </row>
    <row r="3307" spans="5:14" ht="13.5" customHeight="1">
      <c r="E3307" s="1" t="s">
        <v>503</v>
      </c>
      <c r="F3307" s="1" t="s">
        <v>2748</v>
      </c>
      <c r="G3307" s="409" t="str">
        <f t="shared" si="47"/>
        <v>15-12</v>
      </c>
      <c r="H3307" s="273" t="e">
        <f ca="1">_xludf.IFNA(VLOOKUP(Aragon!E3307,'Kilter Holds'!$P$37:$AB$662,7,0),0)</f>
        <v>#NAME?</v>
      </c>
      <c r="I3307" s="274"/>
      <c r="J3307" s="274" t="e">
        <f t="shared" ca="1" si="40"/>
        <v>#NAME?</v>
      </c>
      <c r="K3307" s="274">
        <f t="shared" si="41"/>
        <v>0</v>
      </c>
      <c r="N3307" s="274"/>
    </row>
    <row r="3308" spans="5:14" ht="13.5" customHeight="1">
      <c r="E3308" s="1" t="s">
        <v>503</v>
      </c>
      <c r="F3308" s="1" t="s">
        <v>2748</v>
      </c>
      <c r="G3308" s="410" t="str">
        <f t="shared" si="47"/>
        <v>16-16</v>
      </c>
      <c r="H3308" s="273" t="e">
        <f ca="1">_xludf.IFNA(VLOOKUP(Aragon!E3308,'Kilter Holds'!$P$37:$AB$662,8,0),0)</f>
        <v>#NAME?</v>
      </c>
      <c r="I3308" s="274"/>
      <c r="J3308" s="274" t="e">
        <f t="shared" ca="1" si="40"/>
        <v>#NAME?</v>
      </c>
      <c r="K3308" s="274">
        <f t="shared" si="41"/>
        <v>0</v>
      </c>
      <c r="N3308" s="274"/>
    </row>
    <row r="3309" spans="5:14" ht="13.5" customHeight="1">
      <c r="E3309" s="1" t="s">
        <v>503</v>
      </c>
      <c r="F3309" s="1" t="s">
        <v>2748</v>
      </c>
      <c r="G3309" s="411" t="str">
        <f t="shared" si="47"/>
        <v>13-01</v>
      </c>
      <c r="H3309" s="273" t="e">
        <f ca="1">_xludf.IFNA(VLOOKUP(Aragon!E3309,'Kilter Holds'!$P$37:$AB$662,9,0),0)</f>
        <v>#NAME?</v>
      </c>
      <c r="I3309" s="274"/>
      <c r="J3309" s="274" t="e">
        <f t="shared" ca="1" si="40"/>
        <v>#NAME?</v>
      </c>
      <c r="K3309" s="274">
        <f t="shared" si="41"/>
        <v>0</v>
      </c>
      <c r="N3309" s="274"/>
    </row>
    <row r="3310" spans="5:14" ht="13.5" customHeight="1">
      <c r="E3310" s="1" t="s">
        <v>503</v>
      </c>
      <c r="F3310" s="1" t="s">
        <v>2748</v>
      </c>
      <c r="G3310" s="413" t="str">
        <f t="shared" si="47"/>
        <v>07-13</v>
      </c>
      <c r="H3310" s="273" t="e">
        <f ca="1">_xludf.IFNA(VLOOKUP(Aragon!E3310,'Kilter Holds'!$P$37:$AB$662,10,0),0)</f>
        <v>#NAME?</v>
      </c>
      <c r="I3310" s="274"/>
      <c r="J3310" s="274" t="e">
        <f t="shared" ca="1" si="40"/>
        <v>#NAME?</v>
      </c>
      <c r="K3310" s="274">
        <f t="shared" si="41"/>
        <v>0</v>
      </c>
      <c r="N3310" s="274"/>
    </row>
    <row r="3311" spans="5:14" ht="13.5" customHeight="1">
      <c r="E3311" s="1" t="s">
        <v>503</v>
      </c>
      <c r="F3311" s="1" t="s">
        <v>2748</v>
      </c>
      <c r="G3311" s="414" t="str">
        <f t="shared" si="47"/>
        <v>11-26</v>
      </c>
      <c r="H3311" s="273" t="e">
        <f ca="1">_xludf.IFNA(VLOOKUP(Aragon!E3311,'Kilter Holds'!$P$37:$AB$662,11,0),0)</f>
        <v>#NAME?</v>
      </c>
      <c r="I3311" s="274"/>
      <c r="J3311" s="274" t="e">
        <f t="shared" ca="1" si="40"/>
        <v>#NAME?</v>
      </c>
      <c r="K3311" s="274">
        <f t="shared" si="41"/>
        <v>0</v>
      </c>
      <c r="N3311" s="274"/>
    </row>
    <row r="3312" spans="5:14" ht="13.5" customHeight="1">
      <c r="E3312" s="1" t="s">
        <v>503</v>
      </c>
      <c r="F3312" s="1" t="s">
        <v>2748</v>
      </c>
      <c r="G3312" s="415" t="str">
        <f t="shared" si="47"/>
        <v>18-01</v>
      </c>
      <c r="H3312" s="273" t="e">
        <f ca="1">_xludf.IFNA(VLOOKUP(Aragon!E3312,'Kilter Holds'!$P$37:$AB$662,12,0),0)</f>
        <v>#NAME?</v>
      </c>
      <c r="I3312" s="274"/>
      <c r="J3312" s="274" t="e">
        <f t="shared" ca="1" si="40"/>
        <v>#NAME?</v>
      </c>
      <c r="K3312" s="274">
        <f t="shared" si="41"/>
        <v>0</v>
      </c>
      <c r="N3312" s="274"/>
    </row>
    <row r="3313" spans="5:14" ht="13.5" customHeight="1">
      <c r="E3313" s="1" t="s">
        <v>503</v>
      </c>
      <c r="F3313" s="1" t="s">
        <v>2748</v>
      </c>
      <c r="G3313" s="416" t="str">
        <f t="shared" si="47"/>
        <v>Color Code</v>
      </c>
      <c r="H3313" s="273" t="e">
        <f ca="1">_xludf.IFNA(VLOOKUP(Aragon!E3313,'Kilter Holds'!$P$37:$AB$662,13,0),0)</f>
        <v>#NAME?</v>
      </c>
      <c r="I3313" s="274"/>
      <c r="J3313" s="274" t="e">
        <f t="shared" ca="1" si="40"/>
        <v>#NAME?</v>
      </c>
      <c r="K3313" s="274">
        <f t="shared" si="41"/>
        <v>0</v>
      </c>
      <c r="N3313" s="274"/>
    </row>
    <row r="3314" spans="5:14" ht="13.5" customHeight="1">
      <c r="E3314" s="1" t="s">
        <v>489</v>
      </c>
      <c r="F3314" s="1" t="s">
        <v>2749</v>
      </c>
      <c r="G3314" s="406" t="str">
        <f t="shared" si="47"/>
        <v>11-12</v>
      </c>
      <c r="H3314" s="273" t="e">
        <f ca="1">_xludf.IFNA(VLOOKUP(Aragon!E3314,'Kilter Holds'!$P$37:$AB$662,5,0),0)</f>
        <v>#NAME?</v>
      </c>
      <c r="I3314" s="274"/>
      <c r="J3314" s="274" t="e">
        <f t="shared" ca="1" si="40"/>
        <v>#NAME?</v>
      </c>
      <c r="K3314" s="274">
        <f t="shared" si="41"/>
        <v>0</v>
      </c>
      <c r="N3314" s="274"/>
    </row>
    <row r="3315" spans="5:14" ht="13.5" customHeight="1">
      <c r="E3315" s="1" t="s">
        <v>489</v>
      </c>
      <c r="F3315" s="1" t="s">
        <v>2749</v>
      </c>
      <c r="G3315" s="408" t="str">
        <f t="shared" si="47"/>
        <v>14-01</v>
      </c>
      <c r="H3315" s="273" t="e">
        <f ca="1">_xludf.IFNA(VLOOKUP(Aragon!E3315,'Kilter Holds'!$P$37:$AB$662,6,0),0)</f>
        <v>#NAME?</v>
      </c>
      <c r="I3315" s="274"/>
      <c r="J3315" s="274" t="e">
        <f t="shared" ca="1" si="40"/>
        <v>#NAME?</v>
      </c>
      <c r="K3315" s="274">
        <f t="shared" si="41"/>
        <v>0</v>
      </c>
      <c r="N3315" s="274"/>
    </row>
    <row r="3316" spans="5:14" ht="13.5" customHeight="1">
      <c r="E3316" s="1" t="s">
        <v>489</v>
      </c>
      <c r="F3316" s="1" t="s">
        <v>2749</v>
      </c>
      <c r="G3316" s="409" t="str">
        <f t="shared" si="47"/>
        <v>15-12</v>
      </c>
      <c r="H3316" s="273" t="e">
        <f ca="1">_xludf.IFNA(VLOOKUP(Aragon!E3316,'Kilter Holds'!$P$37:$AB$662,7,0),0)</f>
        <v>#NAME?</v>
      </c>
      <c r="I3316" s="274"/>
      <c r="J3316" s="274" t="e">
        <f t="shared" ca="1" si="40"/>
        <v>#NAME?</v>
      </c>
      <c r="K3316" s="274">
        <f t="shared" si="41"/>
        <v>0</v>
      </c>
      <c r="N3316" s="274"/>
    </row>
    <row r="3317" spans="5:14" ht="13.5" customHeight="1">
      <c r="E3317" s="1" t="s">
        <v>489</v>
      </c>
      <c r="F3317" s="1" t="s">
        <v>2749</v>
      </c>
      <c r="G3317" s="410" t="str">
        <f t="shared" si="47"/>
        <v>16-16</v>
      </c>
      <c r="H3317" s="273" t="e">
        <f ca="1">_xludf.IFNA(VLOOKUP(Aragon!E3317,'Kilter Holds'!$P$37:$AB$662,8,0),0)</f>
        <v>#NAME?</v>
      </c>
      <c r="I3317" s="274"/>
      <c r="J3317" s="274" t="e">
        <f t="shared" ref="J3317:J3571" ca="1" si="48">H3317*I3317</f>
        <v>#NAME?</v>
      </c>
      <c r="K3317" s="274">
        <f t="shared" ref="K3317:K3571" si="49">IF($V$11="Y",J3317*0.05,0)</f>
        <v>0</v>
      </c>
      <c r="N3317" s="274"/>
    </row>
    <row r="3318" spans="5:14" ht="13.5" customHeight="1">
      <c r="E3318" s="1" t="s">
        <v>489</v>
      </c>
      <c r="F3318" s="1" t="s">
        <v>2749</v>
      </c>
      <c r="G3318" s="411" t="str">
        <f t="shared" si="47"/>
        <v>13-01</v>
      </c>
      <c r="H3318" s="273" t="e">
        <f ca="1">_xludf.IFNA(VLOOKUP(Aragon!E3318,'Kilter Holds'!$P$37:$AB$662,9,0),0)</f>
        <v>#NAME?</v>
      </c>
      <c r="I3318" s="274"/>
      <c r="J3318" s="274" t="e">
        <f t="shared" ca="1" si="48"/>
        <v>#NAME?</v>
      </c>
      <c r="K3318" s="274">
        <f t="shared" si="49"/>
        <v>0</v>
      </c>
      <c r="N3318" s="274"/>
    </row>
    <row r="3319" spans="5:14" ht="13.5" customHeight="1">
      <c r="E3319" s="1" t="s">
        <v>489</v>
      </c>
      <c r="F3319" s="1" t="s">
        <v>2749</v>
      </c>
      <c r="G3319" s="413" t="str">
        <f t="shared" si="47"/>
        <v>07-13</v>
      </c>
      <c r="H3319" s="273" t="e">
        <f ca="1">_xludf.IFNA(VLOOKUP(Aragon!E3319,'Kilter Holds'!$P$37:$AB$662,10,0),0)</f>
        <v>#NAME?</v>
      </c>
      <c r="I3319" s="274"/>
      <c r="J3319" s="274" t="e">
        <f t="shared" ca="1" si="48"/>
        <v>#NAME?</v>
      </c>
      <c r="K3319" s="274">
        <f t="shared" si="49"/>
        <v>0</v>
      </c>
      <c r="N3319" s="274"/>
    </row>
    <row r="3320" spans="5:14" ht="13.5" customHeight="1">
      <c r="E3320" s="1" t="s">
        <v>489</v>
      </c>
      <c r="F3320" s="1" t="s">
        <v>2749</v>
      </c>
      <c r="G3320" s="414" t="str">
        <f t="shared" si="47"/>
        <v>11-26</v>
      </c>
      <c r="H3320" s="273" t="e">
        <f ca="1">_xludf.IFNA(VLOOKUP(Aragon!E3320,'Kilter Holds'!$P$37:$AB$662,11,0),0)</f>
        <v>#NAME?</v>
      </c>
      <c r="I3320" s="274"/>
      <c r="J3320" s="274" t="e">
        <f t="shared" ca="1" si="48"/>
        <v>#NAME?</v>
      </c>
      <c r="K3320" s="274">
        <f t="shared" si="49"/>
        <v>0</v>
      </c>
      <c r="N3320" s="274"/>
    </row>
    <row r="3321" spans="5:14" ht="13.5" customHeight="1">
      <c r="E3321" s="1" t="s">
        <v>489</v>
      </c>
      <c r="F3321" s="1" t="s">
        <v>2749</v>
      </c>
      <c r="G3321" s="415" t="str">
        <f t="shared" si="47"/>
        <v>18-01</v>
      </c>
      <c r="H3321" s="273" t="e">
        <f ca="1">_xludf.IFNA(VLOOKUP(Aragon!E3321,'Kilter Holds'!$P$37:$AB$662,12,0),0)</f>
        <v>#NAME?</v>
      </c>
      <c r="I3321" s="274"/>
      <c r="J3321" s="274" t="e">
        <f t="shared" ca="1" si="48"/>
        <v>#NAME?</v>
      </c>
      <c r="K3321" s="274">
        <f t="shared" si="49"/>
        <v>0</v>
      </c>
      <c r="N3321" s="274"/>
    </row>
    <row r="3322" spans="5:14" ht="13.5" customHeight="1">
      <c r="E3322" s="1" t="s">
        <v>489</v>
      </c>
      <c r="F3322" s="1" t="s">
        <v>2749</v>
      </c>
      <c r="G3322" s="416" t="str">
        <f t="shared" si="47"/>
        <v>Color Code</v>
      </c>
      <c r="H3322" s="273" t="e">
        <f ca="1">_xludf.IFNA(VLOOKUP(Aragon!E3322,'Kilter Holds'!$P$37:$AB$662,13,0),0)</f>
        <v>#NAME?</v>
      </c>
      <c r="I3322" s="274"/>
      <c r="J3322" s="274" t="e">
        <f t="shared" ca="1" si="48"/>
        <v>#NAME?</v>
      </c>
      <c r="K3322" s="274">
        <f t="shared" si="49"/>
        <v>0</v>
      </c>
      <c r="N3322" s="274"/>
    </row>
    <row r="3323" spans="5:14" ht="13.5" customHeight="1">
      <c r="E3323" s="1" t="s">
        <v>509</v>
      </c>
      <c r="F3323" s="1" t="s">
        <v>2750</v>
      </c>
      <c r="G3323" s="406" t="str">
        <f t="shared" si="47"/>
        <v>11-12</v>
      </c>
      <c r="H3323" s="273" t="e">
        <f ca="1">_xludf.IFNA(VLOOKUP(Aragon!E3323,'Kilter Holds'!$P$37:$AB$662,5,0),0)</f>
        <v>#NAME?</v>
      </c>
      <c r="I3323" s="274"/>
      <c r="J3323" s="274" t="e">
        <f t="shared" ca="1" si="48"/>
        <v>#NAME?</v>
      </c>
      <c r="K3323" s="274">
        <f t="shared" si="49"/>
        <v>0</v>
      </c>
      <c r="N3323" s="274"/>
    </row>
    <row r="3324" spans="5:14" ht="13.5" customHeight="1">
      <c r="E3324" s="1" t="s">
        <v>509</v>
      </c>
      <c r="F3324" s="1" t="s">
        <v>2750</v>
      </c>
      <c r="G3324" s="408" t="str">
        <f t="shared" si="47"/>
        <v>14-01</v>
      </c>
      <c r="H3324" s="273" t="e">
        <f ca="1">_xludf.IFNA(VLOOKUP(Aragon!E3324,'Kilter Holds'!$P$37:$AB$662,6,0),0)</f>
        <v>#NAME?</v>
      </c>
      <c r="I3324" s="274"/>
      <c r="J3324" s="274" t="e">
        <f t="shared" ca="1" si="48"/>
        <v>#NAME?</v>
      </c>
      <c r="K3324" s="274">
        <f t="shared" si="49"/>
        <v>0</v>
      </c>
      <c r="N3324" s="274"/>
    </row>
    <row r="3325" spans="5:14" ht="13.5" customHeight="1">
      <c r="E3325" s="1" t="s">
        <v>509</v>
      </c>
      <c r="F3325" s="1" t="s">
        <v>2750</v>
      </c>
      <c r="G3325" s="409" t="str">
        <f t="shared" si="47"/>
        <v>15-12</v>
      </c>
      <c r="H3325" s="273" t="e">
        <f ca="1">_xludf.IFNA(VLOOKUP(Aragon!E3325,'Kilter Holds'!$P$37:$AB$662,7,0),0)</f>
        <v>#NAME?</v>
      </c>
      <c r="I3325" s="274"/>
      <c r="J3325" s="274" t="e">
        <f t="shared" ca="1" si="48"/>
        <v>#NAME?</v>
      </c>
      <c r="K3325" s="274">
        <f t="shared" si="49"/>
        <v>0</v>
      </c>
      <c r="N3325" s="274"/>
    </row>
    <row r="3326" spans="5:14" ht="13.5" customHeight="1">
      <c r="E3326" s="1" t="s">
        <v>509</v>
      </c>
      <c r="F3326" s="1" t="s">
        <v>2750</v>
      </c>
      <c r="G3326" s="410" t="str">
        <f t="shared" si="47"/>
        <v>16-16</v>
      </c>
      <c r="H3326" s="273" t="e">
        <f ca="1">_xludf.IFNA(VLOOKUP(Aragon!E3326,'Kilter Holds'!$P$37:$AB$662,8,0),0)</f>
        <v>#NAME?</v>
      </c>
      <c r="I3326" s="274"/>
      <c r="J3326" s="274" t="e">
        <f t="shared" ca="1" si="48"/>
        <v>#NAME?</v>
      </c>
      <c r="K3326" s="274">
        <f t="shared" si="49"/>
        <v>0</v>
      </c>
      <c r="N3326" s="274"/>
    </row>
    <row r="3327" spans="5:14" ht="13.5" customHeight="1">
      <c r="E3327" s="1" t="s">
        <v>509</v>
      </c>
      <c r="F3327" s="1" t="s">
        <v>2750</v>
      </c>
      <c r="G3327" s="411" t="str">
        <f t="shared" si="47"/>
        <v>13-01</v>
      </c>
      <c r="H3327" s="273" t="e">
        <f ca="1">_xludf.IFNA(VLOOKUP(Aragon!E3327,'Kilter Holds'!$P$37:$AB$662,9,0),0)</f>
        <v>#NAME?</v>
      </c>
      <c r="I3327" s="274"/>
      <c r="J3327" s="274" t="e">
        <f t="shared" ca="1" si="48"/>
        <v>#NAME?</v>
      </c>
      <c r="K3327" s="274">
        <f t="shared" si="49"/>
        <v>0</v>
      </c>
      <c r="N3327" s="274"/>
    </row>
    <row r="3328" spans="5:14" ht="13.5" customHeight="1">
      <c r="E3328" s="1" t="s">
        <v>509</v>
      </c>
      <c r="F3328" s="1" t="s">
        <v>2750</v>
      </c>
      <c r="G3328" s="413" t="str">
        <f t="shared" si="47"/>
        <v>07-13</v>
      </c>
      <c r="H3328" s="273" t="e">
        <f ca="1">_xludf.IFNA(VLOOKUP(Aragon!E3328,'Kilter Holds'!$P$37:$AB$662,10,0),0)</f>
        <v>#NAME?</v>
      </c>
      <c r="I3328" s="274"/>
      <c r="J3328" s="274" t="e">
        <f t="shared" ca="1" si="48"/>
        <v>#NAME?</v>
      </c>
      <c r="K3328" s="274">
        <f t="shared" si="49"/>
        <v>0</v>
      </c>
      <c r="N3328" s="274"/>
    </row>
    <row r="3329" spans="5:14" ht="13.5" customHeight="1">
      <c r="E3329" s="1" t="s">
        <v>509</v>
      </c>
      <c r="F3329" s="1" t="s">
        <v>2750</v>
      </c>
      <c r="G3329" s="414" t="str">
        <f t="shared" si="47"/>
        <v>11-26</v>
      </c>
      <c r="H3329" s="273" t="e">
        <f ca="1">_xludf.IFNA(VLOOKUP(Aragon!E3329,'Kilter Holds'!$P$37:$AB$662,11,0),0)</f>
        <v>#NAME?</v>
      </c>
      <c r="I3329" s="274"/>
      <c r="J3329" s="274" t="e">
        <f t="shared" ca="1" si="48"/>
        <v>#NAME?</v>
      </c>
      <c r="K3329" s="274">
        <f t="shared" si="49"/>
        <v>0</v>
      </c>
      <c r="N3329" s="274"/>
    </row>
    <row r="3330" spans="5:14" ht="13.5" customHeight="1">
      <c r="E3330" s="1" t="s">
        <v>509</v>
      </c>
      <c r="F3330" s="1" t="s">
        <v>2750</v>
      </c>
      <c r="G3330" s="415" t="str">
        <f t="shared" si="47"/>
        <v>18-01</v>
      </c>
      <c r="H3330" s="273" t="e">
        <f ca="1">_xludf.IFNA(VLOOKUP(Aragon!E3330,'Kilter Holds'!$P$37:$AB$662,12,0),0)</f>
        <v>#NAME?</v>
      </c>
      <c r="I3330" s="274"/>
      <c r="J3330" s="274" t="e">
        <f t="shared" ca="1" si="48"/>
        <v>#NAME?</v>
      </c>
      <c r="K3330" s="274">
        <f t="shared" si="49"/>
        <v>0</v>
      </c>
      <c r="N3330" s="274"/>
    </row>
    <row r="3331" spans="5:14" ht="13.5" customHeight="1">
      <c r="E3331" s="1" t="s">
        <v>509</v>
      </c>
      <c r="F3331" s="1" t="s">
        <v>2750</v>
      </c>
      <c r="G3331" s="416" t="str">
        <f t="shared" si="47"/>
        <v>Color Code</v>
      </c>
      <c r="H3331" s="273" t="e">
        <f ca="1">_xludf.IFNA(VLOOKUP(Aragon!E3331,'Kilter Holds'!$P$37:$AB$662,13,0),0)</f>
        <v>#NAME?</v>
      </c>
      <c r="I3331" s="274"/>
      <c r="J3331" s="274" t="e">
        <f t="shared" ca="1" si="48"/>
        <v>#NAME?</v>
      </c>
      <c r="K3331" s="274">
        <f t="shared" si="49"/>
        <v>0</v>
      </c>
      <c r="N3331" s="274"/>
    </row>
    <row r="3332" spans="5:14" ht="13.5" customHeight="1">
      <c r="E3332" s="1" t="s">
        <v>505</v>
      </c>
      <c r="F3332" s="1" t="s">
        <v>2751</v>
      </c>
      <c r="G3332" s="406" t="str">
        <f t="shared" ref="G3332:G3547" si="50">G3287</f>
        <v>11-12</v>
      </c>
      <c r="H3332" s="273" t="e">
        <f ca="1">_xludf.IFNA(VLOOKUP(Aragon!E3332,'Kilter Holds'!$P$37:$AB$662,5,0),0)</f>
        <v>#NAME?</v>
      </c>
      <c r="I3332" s="274"/>
      <c r="J3332" s="274" t="e">
        <f t="shared" ca="1" si="48"/>
        <v>#NAME?</v>
      </c>
      <c r="K3332" s="274">
        <f t="shared" si="49"/>
        <v>0</v>
      </c>
      <c r="N3332" s="274"/>
    </row>
    <row r="3333" spans="5:14" ht="13.5" customHeight="1">
      <c r="E3333" s="1" t="s">
        <v>505</v>
      </c>
      <c r="F3333" s="1" t="s">
        <v>2751</v>
      </c>
      <c r="G3333" s="408" t="str">
        <f t="shared" si="50"/>
        <v>14-01</v>
      </c>
      <c r="H3333" s="273" t="e">
        <f ca="1">_xludf.IFNA(VLOOKUP(Aragon!E3333,'Kilter Holds'!$P$37:$AB$662,6,0),0)</f>
        <v>#NAME?</v>
      </c>
      <c r="I3333" s="274"/>
      <c r="J3333" s="274" t="e">
        <f t="shared" ca="1" si="48"/>
        <v>#NAME?</v>
      </c>
      <c r="K3333" s="274">
        <f t="shared" si="49"/>
        <v>0</v>
      </c>
      <c r="N3333" s="274"/>
    </row>
    <row r="3334" spans="5:14" ht="13.5" customHeight="1">
      <c r="E3334" s="1" t="s">
        <v>505</v>
      </c>
      <c r="F3334" s="1" t="s">
        <v>2751</v>
      </c>
      <c r="G3334" s="409" t="str">
        <f t="shared" si="50"/>
        <v>15-12</v>
      </c>
      <c r="H3334" s="273" t="e">
        <f ca="1">_xludf.IFNA(VLOOKUP(Aragon!E3334,'Kilter Holds'!$P$37:$AB$662,7,0),0)</f>
        <v>#NAME?</v>
      </c>
      <c r="I3334" s="274"/>
      <c r="J3334" s="274" t="e">
        <f t="shared" ca="1" si="48"/>
        <v>#NAME?</v>
      </c>
      <c r="K3334" s="274">
        <f t="shared" si="49"/>
        <v>0</v>
      </c>
      <c r="N3334" s="274"/>
    </row>
    <row r="3335" spans="5:14" ht="13.5" customHeight="1">
      <c r="E3335" s="1" t="s">
        <v>505</v>
      </c>
      <c r="F3335" s="1" t="s">
        <v>2751</v>
      </c>
      <c r="G3335" s="410" t="str">
        <f t="shared" si="50"/>
        <v>16-16</v>
      </c>
      <c r="H3335" s="273" t="e">
        <f ca="1">_xludf.IFNA(VLOOKUP(Aragon!E3335,'Kilter Holds'!$P$37:$AB$662,8,0),0)</f>
        <v>#NAME?</v>
      </c>
      <c r="I3335" s="274"/>
      <c r="J3335" s="274" t="e">
        <f t="shared" ca="1" si="48"/>
        <v>#NAME?</v>
      </c>
      <c r="K3335" s="274">
        <f t="shared" si="49"/>
        <v>0</v>
      </c>
      <c r="N3335" s="274"/>
    </row>
    <row r="3336" spans="5:14" ht="13.5" customHeight="1">
      <c r="E3336" s="1" t="s">
        <v>505</v>
      </c>
      <c r="F3336" s="1" t="s">
        <v>2751</v>
      </c>
      <c r="G3336" s="411" t="str">
        <f t="shared" si="50"/>
        <v>13-01</v>
      </c>
      <c r="H3336" s="273" t="e">
        <f ca="1">_xludf.IFNA(VLOOKUP(Aragon!E3336,'Kilter Holds'!$P$37:$AB$662,9,0),0)</f>
        <v>#NAME?</v>
      </c>
      <c r="I3336" s="274"/>
      <c r="J3336" s="274" t="e">
        <f t="shared" ca="1" si="48"/>
        <v>#NAME?</v>
      </c>
      <c r="K3336" s="274">
        <f t="shared" si="49"/>
        <v>0</v>
      </c>
      <c r="N3336" s="274"/>
    </row>
    <row r="3337" spans="5:14" ht="13.5" customHeight="1">
      <c r="E3337" s="1" t="s">
        <v>505</v>
      </c>
      <c r="F3337" s="1" t="s">
        <v>2751</v>
      </c>
      <c r="G3337" s="413" t="str">
        <f t="shared" si="50"/>
        <v>07-13</v>
      </c>
      <c r="H3337" s="273" t="e">
        <f ca="1">_xludf.IFNA(VLOOKUP(Aragon!E3337,'Kilter Holds'!$P$37:$AB$662,10,0),0)</f>
        <v>#NAME?</v>
      </c>
      <c r="I3337" s="274"/>
      <c r="J3337" s="274" t="e">
        <f t="shared" ca="1" si="48"/>
        <v>#NAME?</v>
      </c>
      <c r="K3337" s="274">
        <f t="shared" si="49"/>
        <v>0</v>
      </c>
      <c r="N3337" s="274"/>
    </row>
    <row r="3338" spans="5:14" ht="13.5" customHeight="1">
      <c r="E3338" s="1" t="s">
        <v>505</v>
      </c>
      <c r="F3338" s="1" t="s">
        <v>2751</v>
      </c>
      <c r="G3338" s="414" t="str">
        <f t="shared" si="50"/>
        <v>11-26</v>
      </c>
      <c r="H3338" s="273" t="e">
        <f ca="1">_xludf.IFNA(VLOOKUP(Aragon!E3338,'Kilter Holds'!$P$37:$AB$662,11,0),0)</f>
        <v>#NAME?</v>
      </c>
      <c r="I3338" s="274"/>
      <c r="J3338" s="274" t="e">
        <f t="shared" ca="1" si="48"/>
        <v>#NAME?</v>
      </c>
      <c r="K3338" s="274">
        <f t="shared" si="49"/>
        <v>0</v>
      </c>
      <c r="N3338" s="274"/>
    </row>
    <row r="3339" spans="5:14" ht="13.5" customHeight="1">
      <c r="E3339" s="1" t="s">
        <v>505</v>
      </c>
      <c r="F3339" s="1" t="s">
        <v>2751</v>
      </c>
      <c r="G3339" s="415" t="str">
        <f t="shared" si="50"/>
        <v>18-01</v>
      </c>
      <c r="H3339" s="273" t="e">
        <f ca="1">_xludf.IFNA(VLOOKUP(Aragon!E3339,'Kilter Holds'!$P$37:$AB$662,12,0),0)</f>
        <v>#NAME?</v>
      </c>
      <c r="I3339" s="274"/>
      <c r="J3339" s="274" t="e">
        <f t="shared" ca="1" si="48"/>
        <v>#NAME?</v>
      </c>
      <c r="K3339" s="274">
        <f t="shared" si="49"/>
        <v>0</v>
      </c>
      <c r="N3339" s="274"/>
    </row>
    <row r="3340" spans="5:14" ht="13.5" customHeight="1">
      <c r="E3340" s="1" t="s">
        <v>505</v>
      </c>
      <c r="F3340" s="1" t="s">
        <v>2751</v>
      </c>
      <c r="G3340" s="416" t="str">
        <f t="shared" si="50"/>
        <v>Color Code</v>
      </c>
      <c r="H3340" s="273" t="e">
        <f ca="1">_xludf.IFNA(VLOOKUP(Aragon!E3340,'Kilter Holds'!$P$37:$AB$662,13,0),0)</f>
        <v>#NAME?</v>
      </c>
      <c r="I3340" s="274"/>
      <c r="J3340" s="274" t="e">
        <f t="shared" ca="1" si="48"/>
        <v>#NAME?</v>
      </c>
      <c r="K3340" s="274">
        <f t="shared" si="49"/>
        <v>0</v>
      </c>
      <c r="N3340" s="274"/>
    </row>
    <row r="3341" spans="5:14" ht="13.5" customHeight="1">
      <c r="E3341" s="1" t="s">
        <v>501</v>
      </c>
      <c r="F3341" s="1" t="s">
        <v>2752</v>
      </c>
      <c r="G3341" s="406" t="str">
        <f t="shared" si="50"/>
        <v>11-12</v>
      </c>
      <c r="H3341" s="273" t="e">
        <f ca="1">_xludf.IFNA(VLOOKUP(Aragon!E3341,'Kilter Holds'!$P$37:$AB$662,5,0),0)</f>
        <v>#NAME?</v>
      </c>
      <c r="I3341" s="274"/>
      <c r="J3341" s="274" t="e">
        <f t="shared" ca="1" si="48"/>
        <v>#NAME?</v>
      </c>
      <c r="K3341" s="274">
        <f t="shared" si="49"/>
        <v>0</v>
      </c>
      <c r="N3341" s="274"/>
    </row>
    <row r="3342" spans="5:14" ht="13.5" customHeight="1">
      <c r="E3342" s="1" t="s">
        <v>501</v>
      </c>
      <c r="F3342" s="1" t="s">
        <v>2752</v>
      </c>
      <c r="G3342" s="408" t="str">
        <f t="shared" si="50"/>
        <v>14-01</v>
      </c>
      <c r="H3342" s="273" t="e">
        <f ca="1">_xludf.IFNA(VLOOKUP(Aragon!E3342,'Kilter Holds'!$P$37:$AB$662,6,0),0)</f>
        <v>#NAME?</v>
      </c>
      <c r="I3342" s="274"/>
      <c r="J3342" s="274" t="e">
        <f t="shared" ca="1" si="48"/>
        <v>#NAME?</v>
      </c>
      <c r="K3342" s="274">
        <f t="shared" si="49"/>
        <v>0</v>
      </c>
      <c r="N3342" s="274"/>
    </row>
    <row r="3343" spans="5:14" ht="13.5" customHeight="1">
      <c r="E3343" s="1" t="s">
        <v>501</v>
      </c>
      <c r="F3343" s="1" t="s">
        <v>2752</v>
      </c>
      <c r="G3343" s="409" t="str">
        <f t="shared" si="50"/>
        <v>15-12</v>
      </c>
      <c r="H3343" s="273" t="e">
        <f ca="1">_xludf.IFNA(VLOOKUP(Aragon!E3343,'Kilter Holds'!$P$37:$AB$662,7,0),0)</f>
        <v>#NAME?</v>
      </c>
      <c r="I3343" s="274"/>
      <c r="J3343" s="274" t="e">
        <f t="shared" ca="1" si="48"/>
        <v>#NAME?</v>
      </c>
      <c r="K3343" s="274">
        <f t="shared" si="49"/>
        <v>0</v>
      </c>
      <c r="N3343" s="274"/>
    </row>
    <row r="3344" spans="5:14" ht="13.5" customHeight="1">
      <c r="E3344" s="1" t="s">
        <v>501</v>
      </c>
      <c r="F3344" s="1" t="s">
        <v>2752</v>
      </c>
      <c r="G3344" s="410" t="str">
        <f t="shared" si="50"/>
        <v>16-16</v>
      </c>
      <c r="H3344" s="273" t="e">
        <f ca="1">_xludf.IFNA(VLOOKUP(Aragon!E3344,'Kilter Holds'!$P$37:$AB$662,8,0),0)</f>
        <v>#NAME?</v>
      </c>
      <c r="I3344" s="274"/>
      <c r="J3344" s="274" t="e">
        <f t="shared" ca="1" si="48"/>
        <v>#NAME?</v>
      </c>
      <c r="K3344" s="274">
        <f t="shared" si="49"/>
        <v>0</v>
      </c>
      <c r="N3344" s="274"/>
    </row>
    <row r="3345" spans="5:14" ht="13.5" customHeight="1">
      <c r="E3345" s="1" t="s">
        <v>501</v>
      </c>
      <c r="F3345" s="1" t="s">
        <v>2752</v>
      </c>
      <c r="G3345" s="411" t="str">
        <f t="shared" si="50"/>
        <v>13-01</v>
      </c>
      <c r="H3345" s="273" t="e">
        <f ca="1">_xludf.IFNA(VLOOKUP(Aragon!E3345,'Kilter Holds'!$P$37:$AB$662,9,0),0)</f>
        <v>#NAME?</v>
      </c>
      <c r="I3345" s="274"/>
      <c r="J3345" s="274" t="e">
        <f t="shared" ca="1" si="48"/>
        <v>#NAME?</v>
      </c>
      <c r="K3345" s="274">
        <f t="shared" si="49"/>
        <v>0</v>
      </c>
      <c r="N3345" s="274"/>
    </row>
    <row r="3346" spans="5:14" ht="13.5" customHeight="1">
      <c r="E3346" s="1" t="s">
        <v>501</v>
      </c>
      <c r="F3346" s="1" t="s">
        <v>2752</v>
      </c>
      <c r="G3346" s="413" t="str">
        <f t="shared" si="50"/>
        <v>07-13</v>
      </c>
      <c r="H3346" s="273" t="e">
        <f ca="1">_xludf.IFNA(VLOOKUP(Aragon!E3346,'Kilter Holds'!$P$37:$AB$662,10,0),0)</f>
        <v>#NAME?</v>
      </c>
      <c r="I3346" s="274"/>
      <c r="J3346" s="274" t="e">
        <f t="shared" ca="1" si="48"/>
        <v>#NAME?</v>
      </c>
      <c r="K3346" s="274">
        <f t="shared" si="49"/>
        <v>0</v>
      </c>
      <c r="N3346" s="274"/>
    </row>
    <row r="3347" spans="5:14" ht="13.5" customHeight="1">
      <c r="E3347" s="1" t="s">
        <v>501</v>
      </c>
      <c r="F3347" s="1" t="s">
        <v>2752</v>
      </c>
      <c r="G3347" s="414" t="str">
        <f t="shared" si="50"/>
        <v>11-26</v>
      </c>
      <c r="H3347" s="273" t="e">
        <f ca="1">_xludf.IFNA(VLOOKUP(Aragon!E3347,'Kilter Holds'!$P$37:$AB$662,11,0),0)</f>
        <v>#NAME?</v>
      </c>
      <c r="I3347" s="274"/>
      <c r="J3347" s="274" t="e">
        <f t="shared" ca="1" si="48"/>
        <v>#NAME?</v>
      </c>
      <c r="K3347" s="274">
        <f t="shared" si="49"/>
        <v>0</v>
      </c>
      <c r="N3347" s="274"/>
    </row>
    <row r="3348" spans="5:14" ht="13.5" customHeight="1">
      <c r="E3348" s="1" t="s">
        <v>501</v>
      </c>
      <c r="F3348" s="1" t="s">
        <v>2752</v>
      </c>
      <c r="G3348" s="415" t="str">
        <f t="shared" si="50"/>
        <v>18-01</v>
      </c>
      <c r="H3348" s="273" t="e">
        <f ca="1">_xludf.IFNA(VLOOKUP(Aragon!E3348,'Kilter Holds'!$P$37:$AB$662,12,0),0)</f>
        <v>#NAME?</v>
      </c>
      <c r="I3348" s="274"/>
      <c r="J3348" s="274" t="e">
        <f t="shared" ca="1" si="48"/>
        <v>#NAME?</v>
      </c>
      <c r="K3348" s="274">
        <f t="shared" si="49"/>
        <v>0</v>
      </c>
      <c r="N3348" s="274"/>
    </row>
    <row r="3349" spans="5:14" ht="13.5" customHeight="1">
      <c r="E3349" s="1" t="s">
        <v>501</v>
      </c>
      <c r="F3349" s="1" t="s">
        <v>2752</v>
      </c>
      <c r="G3349" s="416" t="str">
        <f t="shared" si="50"/>
        <v>Color Code</v>
      </c>
      <c r="H3349" s="273" t="e">
        <f ca="1">_xludf.IFNA(VLOOKUP(Aragon!E3349,'Kilter Holds'!$P$37:$AB$662,13,0),0)</f>
        <v>#NAME?</v>
      </c>
      <c r="I3349" s="274"/>
      <c r="J3349" s="274" t="e">
        <f t="shared" ca="1" si="48"/>
        <v>#NAME?</v>
      </c>
      <c r="K3349" s="274">
        <f t="shared" si="49"/>
        <v>0</v>
      </c>
      <c r="N3349" s="274"/>
    </row>
    <row r="3350" spans="5:14" ht="13.5" customHeight="1">
      <c r="E3350" s="1" t="s">
        <v>465</v>
      </c>
      <c r="F3350" s="1" t="s">
        <v>2753</v>
      </c>
      <c r="G3350" s="406" t="str">
        <f t="shared" si="50"/>
        <v>11-12</v>
      </c>
      <c r="H3350" s="273" t="e">
        <f ca="1">_xludf.IFNA(VLOOKUP(Aragon!E3350,'Kilter Holds'!$P$37:$AB$662,5,0),0)</f>
        <v>#NAME?</v>
      </c>
      <c r="I3350" s="274"/>
      <c r="J3350" s="274" t="e">
        <f t="shared" ca="1" si="48"/>
        <v>#NAME?</v>
      </c>
      <c r="K3350" s="274">
        <f t="shared" si="49"/>
        <v>0</v>
      </c>
      <c r="N3350" s="274"/>
    </row>
    <row r="3351" spans="5:14" ht="13.5" customHeight="1">
      <c r="E3351" s="1" t="s">
        <v>465</v>
      </c>
      <c r="F3351" s="1" t="s">
        <v>2753</v>
      </c>
      <c r="G3351" s="408" t="str">
        <f t="shared" si="50"/>
        <v>14-01</v>
      </c>
      <c r="H3351" s="273" t="e">
        <f ca="1">_xludf.IFNA(VLOOKUP(Aragon!E3351,'Kilter Holds'!$P$37:$AB$662,6,0),0)</f>
        <v>#NAME?</v>
      </c>
      <c r="I3351" s="274"/>
      <c r="J3351" s="274" t="e">
        <f t="shared" ca="1" si="48"/>
        <v>#NAME?</v>
      </c>
      <c r="K3351" s="274">
        <f t="shared" si="49"/>
        <v>0</v>
      </c>
      <c r="N3351" s="274"/>
    </row>
    <row r="3352" spans="5:14" ht="13.5" customHeight="1">
      <c r="E3352" s="1" t="s">
        <v>465</v>
      </c>
      <c r="F3352" s="1" t="s">
        <v>2753</v>
      </c>
      <c r="G3352" s="409" t="str">
        <f t="shared" si="50"/>
        <v>15-12</v>
      </c>
      <c r="H3352" s="273" t="e">
        <f ca="1">_xludf.IFNA(VLOOKUP(Aragon!E3352,'Kilter Holds'!$P$37:$AB$662,7,0),0)</f>
        <v>#NAME?</v>
      </c>
      <c r="I3352" s="274"/>
      <c r="J3352" s="274" t="e">
        <f t="shared" ca="1" si="48"/>
        <v>#NAME?</v>
      </c>
      <c r="K3352" s="274">
        <f t="shared" si="49"/>
        <v>0</v>
      </c>
      <c r="N3352" s="274"/>
    </row>
    <row r="3353" spans="5:14" ht="13.5" customHeight="1">
      <c r="E3353" s="1" t="s">
        <v>465</v>
      </c>
      <c r="F3353" s="1" t="s">
        <v>2753</v>
      </c>
      <c r="G3353" s="410" t="str">
        <f t="shared" si="50"/>
        <v>16-16</v>
      </c>
      <c r="H3353" s="273" t="e">
        <f ca="1">_xludf.IFNA(VLOOKUP(Aragon!E3353,'Kilter Holds'!$P$37:$AB$662,8,0),0)</f>
        <v>#NAME?</v>
      </c>
      <c r="I3353" s="274"/>
      <c r="J3353" s="274" t="e">
        <f t="shared" ca="1" si="48"/>
        <v>#NAME?</v>
      </c>
      <c r="K3353" s="274">
        <f t="shared" si="49"/>
        <v>0</v>
      </c>
      <c r="N3353" s="274"/>
    </row>
    <row r="3354" spans="5:14" ht="13.5" customHeight="1">
      <c r="E3354" s="1" t="s">
        <v>465</v>
      </c>
      <c r="F3354" s="1" t="s">
        <v>2753</v>
      </c>
      <c r="G3354" s="411" t="str">
        <f t="shared" si="50"/>
        <v>13-01</v>
      </c>
      <c r="H3354" s="273" t="e">
        <f ca="1">_xludf.IFNA(VLOOKUP(Aragon!E3354,'Kilter Holds'!$P$37:$AB$662,9,0),0)</f>
        <v>#NAME?</v>
      </c>
      <c r="I3354" s="274"/>
      <c r="J3354" s="274" t="e">
        <f t="shared" ca="1" si="48"/>
        <v>#NAME?</v>
      </c>
      <c r="K3354" s="274">
        <f t="shared" si="49"/>
        <v>0</v>
      </c>
      <c r="N3354" s="274"/>
    </row>
    <row r="3355" spans="5:14" ht="13.5" customHeight="1">
      <c r="E3355" s="1" t="s">
        <v>465</v>
      </c>
      <c r="F3355" s="1" t="s">
        <v>2753</v>
      </c>
      <c r="G3355" s="413" t="str">
        <f t="shared" si="50"/>
        <v>07-13</v>
      </c>
      <c r="H3355" s="273" t="e">
        <f ca="1">_xludf.IFNA(VLOOKUP(Aragon!E3355,'Kilter Holds'!$P$37:$AB$662,10,0),0)</f>
        <v>#NAME?</v>
      </c>
      <c r="I3355" s="274"/>
      <c r="J3355" s="274" t="e">
        <f t="shared" ca="1" si="48"/>
        <v>#NAME?</v>
      </c>
      <c r="K3355" s="274">
        <f t="shared" si="49"/>
        <v>0</v>
      </c>
      <c r="N3355" s="274"/>
    </row>
    <row r="3356" spans="5:14" ht="13.5" customHeight="1">
      <c r="E3356" s="1" t="s">
        <v>465</v>
      </c>
      <c r="F3356" s="1" t="s">
        <v>2753</v>
      </c>
      <c r="G3356" s="414" t="str">
        <f t="shared" si="50"/>
        <v>11-26</v>
      </c>
      <c r="H3356" s="273" t="e">
        <f ca="1">_xludf.IFNA(VLOOKUP(Aragon!E3356,'Kilter Holds'!$P$37:$AB$662,11,0),0)</f>
        <v>#NAME?</v>
      </c>
      <c r="I3356" s="274"/>
      <c r="J3356" s="274" t="e">
        <f t="shared" ca="1" si="48"/>
        <v>#NAME?</v>
      </c>
      <c r="K3356" s="274">
        <f t="shared" si="49"/>
        <v>0</v>
      </c>
      <c r="N3356" s="274"/>
    </row>
    <row r="3357" spans="5:14" ht="13.5" customHeight="1">
      <c r="E3357" s="1" t="s">
        <v>465</v>
      </c>
      <c r="F3357" s="1" t="s">
        <v>2753</v>
      </c>
      <c r="G3357" s="415" t="str">
        <f t="shared" si="50"/>
        <v>18-01</v>
      </c>
      <c r="H3357" s="273" t="e">
        <f ca="1">_xludf.IFNA(VLOOKUP(Aragon!E3357,'Kilter Holds'!$P$37:$AB$662,12,0),0)</f>
        <v>#NAME?</v>
      </c>
      <c r="I3357" s="274"/>
      <c r="J3357" s="274" t="e">
        <f t="shared" ca="1" si="48"/>
        <v>#NAME?</v>
      </c>
      <c r="K3357" s="274">
        <f t="shared" si="49"/>
        <v>0</v>
      </c>
      <c r="N3357" s="274"/>
    </row>
    <row r="3358" spans="5:14" ht="13.5" customHeight="1">
      <c r="E3358" s="1" t="s">
        <v>465</v>
      </c>
      <c r="F3358" s="1" t="s">
        <v>2753</v>
      </c>
      <c r="G3358" s="416" t="str">
        <f t="shared" si="50"/>
        <v>Color Code</v>
      </c>
      <c r="H3358" s="273" t="e">
        <f ca="1">_xludf.IFNA(VLOOKUP(Aragon!E3358,'Kilter Holds'!$P$37:$AB$662,13,0),0)</f>
        <v>#NAME?</v>
      </c>
      <c r="I3358" s="274"/>
      <c r="J3358" s="274" t="e">
        <f t="shared" ca="1" si="48"/>
        <v>#NAME?</v>
      </c>
      <c r="K3358" s="274">
        <f t="shared" si="49"/>
        <v>0</v>
      </c>
      <c r="N3358" s="274"/>
    </row>
    <row r="3359" spans="5:14" ht="13.5" customHeight="1">
      <c r="E3359" s="1" t="s">
        <v>467</v>
      </c>
      <c r="F3359" s="1" t="s">
        <v>2754</v>
      </c>
      <c r="G3359" s="406" t="str">
        <f t="shared" si="50"/>
        <v>11-12</v>
      </c>
      <c r="H3359" s="273" t="e">
        <f ca="1">_xludf.IFNA(VLOOKUP(Aragon!E3359,'Kilter Holds'!$P$37:$AB$662,5,0),0)</f>
        <v>#NAME?</v>
      </c>
      <c r="I3359" s="274"/>
      <c r="J3359" s="274" t="e">
        <f t="shared" ca="1" si="48"/>
        <v>#NAME?</v>
      </c>
      <c r="K3359" s="274">
        <f t="shared" si="49"/>
        <v>0</v>
      </c>
      <c r="N3359" s="274"/>
    </row>
    <row r="3360" spans="5:14" ht="13.5" customHeight="1">
      <c r="E3360" s="1" t="s">
        <v>467</v>
      </c>
      <c r="F3360" s="1" t="s">
        <v>2754</v>
      </c>
      <c r="G3360" s="408" t="str">
        <f t="shared" si="50"/>
        <v>14-01</v>
      </c>
      <c r="H3360" s="273" t="e">
        <f ca="1">_xludf.IFNA(VLOOKUP(Aragon!E3360,'Kilter Holds'!$P$37:$AB$662,6,0),0)</f>
        <v>#NAME?</v>
      </c>
      <c r="I3360" s="274"/>
      <c r="J3360" s="274" t="e">
        <f t="shared" ca="1" si="48"/>
        <v>#NAME?</v>
      </c>
      <c r="K3360" s="274">
        <f t="shared" si="49"/>
        <v>0</v>
      </c>
      <c r="N3360" s="274"/>
    </row>
    <row r="3361" spans="5:14" ht="13.5" customHeight="1">
      <c r="E3361" s="1" t="s">
        <v>467</v>
      </c>
      <c r="F3361" s="1" t="s">
        <v>2754</v>
      </c>
      <c r="G3361" s="409" t="str">
        <f t="shared" si="50"/>
        <v>15-12</v>
      </c>
      <c r="H3361" s="273" t="e">
        <f ca="1">_xludf.IFNA(VLOOKUP(Aragon!E3361,'Kilter Holds'!$P$37:$AB$662,7,0),0)</f>
        <v>#NAME?</v>
      </c>
      <c r="I3361" s="274"/>
      <c r="J3361" s="274" t="e">
        <f t="shared" ca="1" si="48"/>
        <v>#NAME?</v>
      </c>
      <c r="K3361" s="274">
        <f t="shared" si="49"/>
        <v>0</v>
      </c>
      <c r="N3361" s="274"/>
    </row>
    <row r="3362" spans="5:14" ht="13.5" customHeight="1">
      <c r="E3362" s="1" t="s">
        <v>467</v>
      </c>
      <c r="F3362" s="1" t="s">
        <v>2754</v>
      </c>
      <c r="G3362" s="410" t="str">
        <f t="shared" si="50"/>
        <v>16-16</v>
      </c>
      <c r="H3362" s="273" t="e">
        <f ca="1">_xludf.IFNA(VLOOKUP(Aragon!E3362,'Kilter Holds'!$P$37:$AB$662,8,0),0)</f>
        <v>#NAME?</v>
      </c>
      <c r="I3362" s="274"/>
      <c r="J3362" s="274" t="e">
        <f t="shared" ca="1" si="48"/>
        <v>#NAME?</v>
      </c>
      <c r="K3362" s="274">
        <f t="shared" si="49"/>
        <v>0</v>
      </c>
      <c r="N3362" s="274"/>
    </row>
    <row r="3363" spans="5:14" ht="13.5" customHeight="1">
      <c r="E3363" s="1" t="s">
        <v>467</v>
      </c>
      <c r="F3363" s="1" t="s">
        <v>2754</v>
      </c>
      <c r="G3363" s="411" t="str">
        <f t="shared" si="50"/>
        <v>13-01</v>
      </c>
      <c r="H3363" s="273" t="e">
        <f ca="1">_xludf.IFNA(VLOOKUP(Aragon!E3363,'Kilter Holds'!$P$37:$AB$662,9,0),0)</f>
        <v>#NAME?</v>
      </c>
      <c r="I3363" s="274"/>
      <c r="J3363" s="274" t="e">
        <f t="shared" ca="1" si="48"/>
        <v>#NAME?</v>
      </c>
      <c r="K3363" s="274">
        <f t="shared" si="49"/>
        <v>0</v>
      </c>
      <c r="N3363" s="274"/>
    </row>
    <row r="3364" spans="5:14" ht="13.5" customHeight="1">
      <c r="E3364" s="1" t="s">
        <v>467</v>
      </c>
      <c r="F3364" s="1" t="s">
        <v>2754</v>
      </c>
      <c r="G3364" s="413" t="str">
        <f t="shared" si="50"/>
        <v>07-13</v>
      </c>
      <c r="H3364" s="273" t="e">
        <f ca="1">_xludf.IFNA(VLOOKUP(Aragon!E3364,'Kilter Holds'!$P$37:$AB$662,10,0),0)</f>
        <v>#NAME?</v>
      </c>
      <c r="I3364" s="274"/>
      <c r="J3364" s="274" t="e">
        <f t="shared" ca="1" si="48"/>
        <v>#NAME?</v>
      </c>
      <c r="K3364" s="274">
        <f t="shared" si="49"/>
        <v>0</v>
      </c>
      <c r="N3364" s="274"/>
    </row>
    <row r="3365" spans="5:14" ht="13.5" customHeight="1">
      <c r="E3365" s="1" t="s">
        <v>467</v>
      </c>
      <c r="F3365" s="1" t="s">
        <v>2754</v>
      </c>
      <c r="G3365" s="414" t="str">
        <f t="shared" si="50"/>
        <v>11-26</v>
      </c>
      <c r="H3365" s="273" t="e">
        <f ca="1">_xludf.IFNA(VLOOKUP(Aragon!E3365,'Kilter Holds'!$P$37:$AB$662,11,0),0)</f>
        <v>#NAME?</v>
      </c>
      <c r="I3365" s="274"/>
      <c r="J3365" s="274" t="e">
        <f t="shared" ca="1" si="48"/>
        <v>#NAME?</v>
      </c>
      <c r="K3365" s="274">
        <f t="shared" si="49"/>
        <v>0</v>
      </c>
      <c r="N3365" s="274"/>
    </row>
    <row r="3366" spans="5:14" ht="13.5" customHeight="1">
      <c r="E3366" s="1" t="s">
        <v>467</v>
      </c>
      <c r="F3366" s="1" t="s">
        <v>2754</v>
      </c>
      <c r="G3366" s="415" t="str">
        <f t="shared" si="50"/>
        <v>18-01</v>
      </c>
      <c r="H3366" s="273" t="e">
        <f ca="1">_xludf.IFNA(VLOOKUP(Aragon!E3366,'Kilter Holds'!$P$37:$AB$662,12,0),0)</f>
        <v>#NAME?</v>
      </c>
      <c r="I3366" s="274"/>
      <c r="J3366" s="274" t="e">
        <f t="shared" ca="1" si="48"/>
        <v>#NAME?</v>
      </c>
      <c r="K3366" s="274">
        <f t="shared" si="49"/>
        <v>0</v>
      </c>
      <c r="N3366" s="274"/>
    </row>
    <row r="3367" spans="5:14" ht="13.5" customHeight="1">
      <c r="E3367" s="1" t="s">
        <v>467</v>
      </c>
      <c r="F3367" s="1" t="s">
        <v>2754</v>
      </c>
      <c r="G3367" s="416" t="str">
        <f t="shared" si="50"/>
        <v>Color Code</v>
      </c>
      <c r="H3367" s="273" t="e">
        <f ca="1">_xludf.IFNA(VLOOKUP(Aragon!E3367,'Kilter Holds'!$P$37:$AB$662,13,0),0)</f>
        <v>#NAME?</v>
      </c>
      <c r="I3367" s="274"/>
      <c r="J3367" s="274" t="e">
        <f t="shared" ca="1" si="48"/>
        <v>#NAME?</v>
      </c>
      <c r="K3367" s="274">
        <f t="shared" si="49"/>
        <v>0</v>
      </c>
      <c r="N3367" s="274"/>
    </row>
    <row r="3368" spans="5:14" ht="13.5" customHeight="1">
      <c r="E3368" s="1" t="s">
        <v>469</v>
      </c>
      <c r="F3368" s="1" t="s">
        <v>2755</v>
      </c>
      <c r="G3368" s="406" t="str">
        <f t="shared" si="50"/>
        <v>11-12</v>
      </c>
      <c r="H3368" s="273" t="e">
        <f ca="1">_xludf.IFNA(VLOOKUP(Aragon!E3368,'Kilter Holds'!$P$37:$AB$662,5,0),0)</f>
        <v>#NAME?</v>
      </c>
      <c r="I3368" s="274"/>
      <c r="J3368" s="274" t="e">
        <f t="shared" ca="1" si="48"/>
        <v>#NAME?</v>
      </c>
      <c r="K3368" s="274">
        <f t="shared" si="49"/>
        <v>0</v>
      </c>
      <c r="N3368" s="274"/>
    </row>
    <row r="3369" spans="5:14" ht="13.5" customHeight="1">
      <c r="E3369" s="1" t="s">
        <v>469</v>
      </c>
      <c r="F3369" s="1" t="s">
        <v>2755</v>
      </c>
      <c r="G3369" s="408" t="str">
        <f t="shared" si="50"/>
        <v>14-01</v>
      </c>
      <c r="H3369" s="273" t="e">
        <f ca="1">_xludf.IFNA(VLOOKUP(Aragon!E3369,'Kilter Holds'!$P$37:$AB$662,6,0),0)</f>
        <v>#NAME?</v>
      </c>
      <c r="I3369" s="274"/>
      <c r="J3369" s="274" t="e">
        <f t="shared" ca="1" si="48"/>
        <v>#NAME?</v>
      </c>
      <c r="K3369" s="274">
        <f t="shared" si="49"/>
        <v>0</v>
      </c>
      <c r="N3369" s="274"/>
    </row>
    <row r="3370" spans="5:14" ht="13.5" customHeight="1">
      <c r="E3370" s="1" t="s">
        <v>469</v>
      </c>
      <c r="F3370" s="1" t="s">
        <v>2755</v>
      </c>
      <c r="G3370" s="409" t="str">
        <f t="shared" si="50"/>
        <v>15-12</v>
      </c>
      <c r="H3370" s="273" t="e">
        <f ca="1">_xludf.IFNA(VLOOKUP(Aragon!E3370,'Kilter Holds'!$P$37:$AB$662,7,0),0)</f>
        <v>#NAME?</v>
      </c>
      <c r="I3370" s="274"/>
      <c r="J3370" s="274" t="e">
        <f t="shared" ca="1" si="48"/>
        <v>#NAME?</v>
      </c>
      <c r="K3370" s="274">
        <f t="shared" si="49"/>
        <v>0</v>
      </c>
      <c r="N3370" s="274"/>
    </row>
    <row r="3371" spans="5:14" ht="13.5" customHeight="1">
      <c r="E3371" s="1" t="s">
        <v>469</v>
      </c>
      <c r="F3371" s="1" t="s">
        <v>2755</v>
      </c>
      <c r="G3371" s="410" t="str">
        <f t="shared" si="50"/>
        <v>16-16</v>
      </c>
      <c r="H3371" s="273" t="e">
        <f ca="1">_xludf.IFNA(VLOOKUP(Aragon!E3371,'Kilter Holds'!$P$37:$AB$662,8,0),0)</f>
        <v>#NAME?</v>
      </c>
      <c r="I3371" s="274"/>
      <c r="J3371" s="274" t="e">
        <f t="shared" ca="1" si="48"/>
        <v>#NAME?</v>
      </c>
      <c r="K3371" s="274">
        <f t="shared" si="49"/>
        <v>0</v>
      </c>
      <c r="N3371" s="274"/>
    </row>
    <row r="3372" spans="5:14" ht="13.5" customHeight="1">
      <c r="E3372" s="1" t="s">
        <v>469</v>
      </c>
      <c r="F3372" s="1" t="s">
        <v>2755</v>
      </c>
      <c r="G3372" s="411" t="str">
        <f t="shared" si="50"/>
        <v>13-01</v>
      </c>
      <c r="H3372" s="273" t="e">
        <f ca="1">_xludf.IFNA(VLOOKUP(Aragon!E3372,'Kilter Holds'!$P$37:$AB$662,9,0),0)</f>
        <v>#NAME?</v>
      </c>
      <c r="I3372" s="274"/>
      <c r="J3372" s="274" t="e">
        <f t="shared" ca="1" si="48"/>
        <v>#NAME?</v>
      </c>
      <c r="K3372" s="274">
        <f t="shared" si="49"/>
        <v>0</v>
      </c>
      <c r="N3372" s="274"/>
    </row>
    <row r="3373" spans="5:14" ht="13.5" customHeight="1">
      <c r="E3373" s="1" t="s">
        <v>469</v>
      </c>
      <c r="F3373" s="1" t="s">
        <v>2755</v>
      </c>
      <c r="G3373" s="413" t="str">
        <f t="shared" si="50"/>
        <v>07-13</v>
      </c>
      <c r="H3373" s="273" t="e">
        <f ca="1">_xludf.IFNA(VLOOKUP(Aragon!E3373,'Kilter Holds'!$P$37:$AB$662,10,0),0)</f>
        <v>#NAME?</v>
      </c>
      <c r="I3373" s="274"/>
      <c r="J3373" s="274" t="e">
        <f t="shared" ca="1" si="48"/>
        <v>#NAME?</v>
      </c>
      <c r="K3373" s="274">
        <f t="shared" si="49"/>
        <v>0</v>
      </c>
      <c r="N3373" s="274"/>
    </row>
    <row r="3374" spans="5:14" ht="13.5" customHeight="1">
      <c r="E3374" s="1" t="s">
        <v>469</v>
      </c>
      <c r="F3374" s="1" t="s">
        <v>2755</v>
      </c>
      <c r="G3374" s="414" t="str">
        <f t="shared" si="50"/>
        <v>11-26</v>
      </c>
      <c r="H3374" s="273" t="e">
        <f ca="1">_xludf.IFNA(VLOOKUP(Aragon!E3374,'Kilter Holds'!$P$37:$AB$662,11,0),0)</f>
        <v>#NAME?</v>
      </c>
      <c r="I3374" s="274"/>
      <c r="J3374" s="274" t="e">
        <f t="shared" ca="1" si="48"/>
        <v>#NAME?</v>
      </c>
      <c r="K3374" s="274">
        <f t="shared" si="49"/>
        <v>0</v>
      </c>
      <c r="N3374" s="274"/>
    </row>
    <row r="3375" spans="5:14" ht="13.5" customHeight="1">
      <c r="E3375" s="1" t="s">
        <v>469</v>
      </c>
      <c r="F3375" s="1" t="s">
        <v>2755</v>
      </c>
      <c r="G3375" s="415" t="str">
        <f t="shared" si="50"/>
        <v>18-01</v>
      </c>
      <c r="H3375" s="273" t="e">
        <f ca="1">_xludf.IFNA(VLOOKUP(Aragon!E3375,'Kilter Holds'!$P$37:$AB$662,12,0),0)</f>
        <v>#NAME?</v>
      </c>
      <c r="I3375" s="274"/>
      <c r="J3375" s="274" t="e">
        <f t="shared" ca="1" si="48"/>
        <v>#NAME?</v>
      </c>
      <c r="K3375" s="274">
        <f t="shared" si="49"/>
        <v>0</v>
      </c>
      <c r="N3375" s="274"/>
    </row>
    <row r="3376" spans="5:14" ht="13.5" customHeight="1">
      <c r="E3376" s="1" t="s">
        <v>469</v>
      </c>
      <c r="F3376" s="1" t="s">
        <v>2755</v>
      </c>
      <c r="G3376" s="416" t="str">
        <f t="shared" si="50"/>
        <v>Color Code</v>
      </c>
      <c r="H3376" s="273" t="e">
        <f ca="1">_xludf.IFNA(VLOOKUP(Aragon!E3376,'Kilter Holds'!$P$37:$AB$662,13,0),0)</f>
        <v>#NAME?</v>
      </c>
      <c r="I3376" s="274"/>
      <c r="J3376" s="274" t="e">
        <f t="shared" ca="1" si="48"/>
        <v>#NAME?</v>
      </c>
      <c r="K3376" s="274">
        <f t="shared" si="49"/>
        <v>0</v>
      </c>
      <c r="N3376" s="274"/>
    </row>
    <row r="3377" spans="5:14" ht="13.5" customHeight="1">
      <c r="E3377" s="1" t="s">
        <v>507</v>
      </c>
      <c r="F3377" s="1" t="s">
        <v>2756</v>
      </c>
      <c r="G3377" s="406" t="str">
        <f t="shared" si="50"/>
        <v>11-12</v>
      </c>
      <c r="H3377" s="273" t="e">
        <f ca="1">_xludf.IFNA(VLOOKUP(Aragon!E3377,'Kilter Holds'!$P$37:$AB$662,5,0),0)</f>
        <v>#NAME?</v>
      </c>
      <c r="I3377" s="274"/>
      <c r="J3377" s="274" t="e">
        <f t="shared" ca="1" si="48"/>
        <v>#NAME?</v>
      </c>
      <c r="K3377" s="274">
        <f t="shared" si="49"/>
        <v>0</v>
      </c>
      <c r="N3377" s="274"/>
    </row>
    <row r="3378" spans="5:14" ht="13.5" customHeight="1">
      <c r="E3378" s="1" t="s">
        <v>507</v>
      </c>
      <c r="F3378" s="1" t="s">
        <v>2756</v>
      </c>
      <c r="G3378" s="408" t="str">
        <f t="shared" si="50"/>
        <v>14-01</v>
      </c>
      <c r="H3378" s="273" t="e">
        <f ca="1">_xludf.IFNA(VLOOKUP(Aragon!E3378,'Kilter Holds'!$P$37:$AB$662,6,0),0)</f>
        <v>#NAME?</v>
      </c>
      <c r="I3378" s="274"/>
      <c r="J3378" s="274" t="e">
        <f t="shared" ca="1" si="48"/>
        <v>#NAME?</v>
      </c>
      <c r="K3378" s="274">
        <f t="shared" si="49"/>
        <v>0</v>
      </c>
      <c r="N3378" s="274"/>
    </row>
    <row r="3379" spans="5:14" ht="13.5" customHeight="1">
      <c r="E3379" s="1" t="s">
        <v>507</v>
      </c>
      <c r="F3379" s="1" t="s">
        <v>2756</v>
      </c>
      <c r="G3379" s="409" t="str">
        <f t="shared" si="50"/>
        <v>15-12</v>
      </c>
      <c r="H3379" s="273" t="e">
        <f ca="1">_xludf.IFNA(VLOOKUP(Aragon!E3379,'Kilter Holds'!$P$37:$AB$662,7,0),0)</f>
        <v>#NAME?</v>
      </c>
      <c r="I3379" s="274"/>
      <c r="J3379" s="274" t="e">
        <f t="shared" ca="1" si="48"/>
        <v>#NAME?</v>
      </c>
      <c r="K3379" s="274">
        <f t="shared" si="49"/>
        <v>0</v>
      </c>
      <c r="N3379" s="274"/>
    </row>
    <row r="3380" spans="5:14" ht="13.5" customHeight="1">
      <c r="E3380" s="1" t="s">
        <v>507</v>
      </c>
      <c r="F3380" s="1" t="s">
        <v>2756</v>
      </c>
      <c r="G3380" s="410" t="str">
        <f t="shared" si="50"/>
        <v>16-16</v>
      </c>
      <c r="H3380" s="273" t="e">
        <f ca="1">_xludf.IFNA(VLOOKUP(Aragon!E3380,'Kilter Holds'!$P$37:$AB$662,8,0),0)</f>
        <v>#NAME?</v>
      </c>
      <c r="I3380" s="274"/>
      <c r="J3380" s="274" t="e">
        <f t="shared" ca="1" si="48"/>
        <v>#NAME?</v>
      </c>
      <c r="K3380" s="274">
        <f t="shared" si="49"/>
        <v>0</v>
      </c>
      <c r="N3380" s="274"/>
    </row>
    <row r="3381" spans="5:14" ht="13.5" customHeight="1">
      <c r="E3381" s="1" t="s">
        <v>507</v>
      </c>
      <c r="F3381" s="1" t="s">
        <v>2756</v>
      </c>
      <c r="G3381" s="411" t="str">
        <f t="shared" si="50"/>
        <v>13-01</v>
      </c>
      <c r="H3381" s="273" t="e">
        <f ca="1">_xludf.IFNA(VLOOKUP(Aragon!E3381,'Kilter Holds'!$P$37:$AB$662,9,0),0)</f>
        <v>#NAME?</v>
      </c>
      <c r="I3381" s="274"/>
      <c r="J3381" s="274" t="e">
        <f t="shared" ca="1" si="48"/>
        <v>#NAME?</v>
      </c>
      <c r="K3381" s="274">
        <f t="shared" si="49"/>
        <v>0</v>
      </c>
      <c r="N3381" s="274"/>
    </row>
    <row r="3382" spans="5:14" ht="13.5" customHeight="1">
      <c r="E3382" s="1" t="s">
        <v>507</v>
      </c>
      <c r="F3382" s="1" t="s">
        <v>2756</v>
      </c>
      <c r="G3382" s="413" t="str">
        <f t="shared" si="50"/>
        <v>07-13</v>
      </c>
      <c r="H3382" s="273" t="e">
        <f ca="1">_xludf.IFNA(VLOOKUP(Aragon!E3382,'Kilter Holds'!$P$37:$AB$662,10,0),0)</f>
        <v>#NAME?</v>
      </c>
      <c r="I3382" s="274"/>
      <c r="J3382" s="274" t="e">
        <f t="shared" ca="1" si="48"/>
        <v>#NAME?</v>
      </c>
      <c r="K3382" s="274">
        <f t="shared" si="49"/>
        <v>0</v>
      </c>
      <c r="N3382" s="274"/>
    </row>
    <row r="3383" spans="5:14" ht="13.5" customHeight="1">
      <c r="E3383" s="1" t="s">
        <v>507</v>
      </c>
      <c r="F3383" s="1" t="s">
        <v>2756</v>
      </c>
      <c r="G3383" s="414" t="str">
        <f t="shared" si="50"/>
        <v>11-26</v>
      </c>
      <c r="H3383" s="273" t="e">
        <f ca="1">_xludf.IFNA(VLOOKUP(Aragon!E3383,'Kilter Holds'!$P$37:$AB$662,11,0),0)</f>
        <v>#NAME?</v>
      </c>
      <c r="I3383" s="274"/>
      <c r="J3383" s="274" t="e">
        <f t="shared" ca="1" si="48"/>
        <v>#NAME?</v>
      </c>
      <c r="K3383" s="274">
        <f t="shared" si="49"/>
        <v>0</v>
      </c>
      <c r="N3383" s="274"/>
    </row>
    <row r="3384" spans="5:14" ht="13.5" customHeight="1">
      <c r="E3384" s="1" t="s">
        <v>507</v>
      </c>
      <c r="F3384" s="1" t="s">
        <v>2756</v>
      </c>
      <c r="G3384" s="415" t="str">
        <f t="shared" si="50"/>
        <v>18-01</v>
      </c>
      <c r="H3384" s="273" t="e">
        <f ca="1">_xludf.IFNA(VLOOKUP(Aragon!E3384,'Kilter Holds'!$P$37:$AB$662,12,0),0)</f>
        <v>#NAME?</v>
      </c>
      <c r="I3384" s="274"/>
      <c r="J3384" s="274" t="e">
        <f t="shared" ca="1" si="48"/>
        <v>#NAME?</v>
      </c>
      <c r="K3384" s="274">
        <f t="shared" si="49"/>
        <v>0</v>
      </c>
      <c r="N3384" s="274"/>
    </row>
    <row r="3385" spans="5:14" ht="13.5" customHeight="1">
      <c r="E3385" s="1" t="s">
        <v>507</v>
      </c>
      <c r="F3385" s="1" t="s">
        <v>2756</v>
      </c>
      <c r="G3385" s="416" t="str">
        <f t="shared" si="50"/>
        <v>Color Code</v>
      </c>
      <c r="H3385" s="273" t="e">
        <f ca="1">_xludf.IFNA(VLOOKUP(Aragon!E3385,'Kilter Holds'!$P$37:$AB$662,13,0),0)</f>
        <v>#NAME?</v>
      </c>
      <c r="I3385" s="274"/>
      <c r="J3385" s="274" t="e">
        <f t="shared" ca="1" si="48"/>
        <v>#NAME?</v>
      </c>
      <c r="K3385" s="274">
        <f t="shared" si="49"/>
        <v>0</v>
      </c>
      <c r="N3385" s="274"/>
    </row>
    <row r="3386" spans="5:14" ht="13.5" customHeight="1">
      <c r="E3386" s="1" t="s">
        <v>535</v>
      </c>
      <c r="F3386" s="1" t="s">
        <v>2757</v>
      </c>
      <c r="G3386" s="406" t="str">
        <f t="shared" si="50"/>
        <v>11-12</v>
      </c>
      <c r="H3386" s="273" t="e">
        <f ca="1">_xludf.IFNA(VLOOKUP(Aragon!E3386,'Kilter Holds'!$P$37:$AB$662,5,0),0)</f>
        <v>#NAME?</v>
      </c>
      <c r="I3386" s="274"/>
      <c r="J3386" s="274" t="e">
        <f t="shared" ca="1" si="48"/>
        <v>#NAME?</v>
      </c>
      <c r="K3386" s="274">
        <f t="shared" si="49"/>
        <v>0</v>
      </c>
      <c r="N3386" s="274"/>
    </row>
    <row r="3387" spans="5:14" ht="13.5" customHeight="1">
      <c r="E3387" s="1" t="s">
        <v>535</v>
      </c>
      <c r="F3387" s="1" t="s">
        <v>2757</v>
      </c>
      <c r="G3387" s="408" t="str">
        <f t="shared" si="50"/>
        <v>14-01</v>
      </c>
      <c r="H3387" s="273" t="e">
        <f ca="1">_xludf.IFNA(VLOOKUP(Aragon!E3387,'Kilter Holds'!$P$37:$AB$662,6,0),0)</f>
        <v>#NAME?</v>
      </c>
      <c r="I3387" s="274"/>
      <c r="J3387" s="274" t="e">
        <f t="shared" ca="1" si="48"/>
        <v>#NAME?</v>
      </c>
      <c r="K3387" s="274">
        <f t="shared" si="49"/>
        <v>0</v>
      </c>
      <c r="N3387" s="274"/>
    </row>
    <row r="3388" spans="5:14" ht="13.5" customHeight="1">
      <c r="E3388" s="1" t="s">
        <v>535</v>
      </c>
      <c r="F3388" s="1" t="s">
        <v>2757</v>
      </c>
      <c r="G3388" s="409" t="str">
        <f t="shared" si="50"/>
        <v>15-12</v>
      </c>
      <c r="H3388" s="273" t="e">
        <f ca="1">_xludf.IFNA(VLOOKUP(Aragon!E3388,'Kilter Holds'!$P$37:$AB$662,7,0),0)</f>
        <v>#NAME?</v>
      </c>
      <c r="I3388" s="274"/>
      <c r="J3388" s="274" t="e">
        <f t="shared" ca="1" si="48"/>
        <v>#NAME?</v>
      </c>
      <c r="K3388" s="274">
        <f t="shared" si="49"/>
        <v>0</v>
      </c>
      <c r="N3388" s="274"/>
    </row>
    <row r="3389" spans="5:14" ht="13.5" customHeight="1">
      <c r="E3389" s="1" t="s">
        <v>535</v>
      </c>
      <c r="F3389" s="1" t="s">
        <v>2757</v>
      </c>
      <c r="G3389" s="410" t="str">
        <f t="shared" si="50"/>
        <v>16-16</v>
      </c>
      <c r="H3389" s="273" t="e">
        <f ca="1">_xludf.IFNA(VLOOKUP(Aragon!E3389,'Kilter Holds'!$P$37:$AB$662,8,0),0)</f>
        <v>#NAME?</v>
      </c>
      <c r="I3389" s="274"/>
      <c r="J3389" s="274" t="e">
        <f t="shared" ca="1" si="48"/>
        <v>#NAME?</v>
      </c>
      <c r="K3389" s="274">
        <f t="shared" si="49"/>
        <v>0</v>
      </c>
      <c r="N3389" s="274"/>
    </row>
    <row r="3390" spans="5:14" ht="13.5" customHeight="1">
      <c r="E3390" s="1" t="s">
        <v>535</v>
      </c>
      <c r="F3390" s="1" t="s">
        <v>2757</v>
      </c>
      <c r="G3390" s="411" t="str">
        <f t="shared" si="50"/>
        <v>13-01</v>
      </c>
      <c r="H3390" s="273" t="e">
        <f ca="1">_xludf.IFNA(VLOOKUP(Aragon!E3390,'Kilter Holds'!$P$37:$AB$662,9,0),0)</f>
        <v>#NAME?</v>
      </c>
      <c r="I3390" s="274"/>
      <c r="J3390" s="274" t="e">
        <f t="shared" ca="1" si="48"/>
        <v>#NAME?</v>
      </c>
      <c r="K3390" s="274">
        <f t="shared" si="49"/>
        <v>0</v>
      </c>
      <c r="N3390" s="274"/>
    </row>
    <row r="3391" spans="5:14" ht="13.5" customHeight="1">
      <c r="E3391" s="1" t="s">
        <v>535</v>
      </c>
      <c r="F3391" s="1" t="s">
        <v>2757</v>
      </c>
      <c r="G3391" s="413" t="str">
        <f t="shared" si="50"/>
        <v>07-13</v>
      </c>
      <c r="H3391" s="273" t="e">
        <f ca="1">_xludf.IFNA(VLOOKUP(Aragon!E3391,'Kilter Holds'!$P$37:$AB$662,10,0),0)</f>
        <v>#NAME?</v>
      </c>
      <c r="I3391" s="274"/>
      <c r="J3391" s="274" t="e">
        <f t="shared" ca="1" si="48"/>
        <v>#NAME?</v>
      </c>
      <c r="K3391" s="274">
        <f t="shared" si="49"/>
        <v>0</v>
      </c>
      <c r="N3391" s="274"/>
    </row>
    <row r="3392" spans="5:14" ht="13.5" customHeight="1">
      <c r="E3392" s="1" t="s">
        <v>535</v>
      </c>
      <c r="F3392" s="1" t="s">
        <v>2757</v>
      </c>
      <c r="G3392" s="414" t="str">
        <f t="shared" si="50"/>
        <v>11-26</v>
      </c>
      <c r="H3392" s="273" t="e">
        <f ca="1">_xludf.IFNA(VLOOKUP(Aragon!E3392,'Kilter Holds'!$P$37:$AB$662,11,0),0)</f>
        <v>#NAME?</v>
      </c>
      <c r="I3392" s="274"/>
      <c r="J3392" s="274" t="e">
        <f t="shared" ca="1" si="48"/>
        <v>#NAME?</v>
      </c>
      <c r="K3392" s="274">
        <f t="shared" si="49"/>
        <v>0</v>
      </c>
      <c r="N3392" s="274"/>
    </row>
    <row r="3393" spans="5:14" ht="13.5" customHeight="1">
      <c r="E3393" s="1" t="s">
        <v>535</v>
      </c>
      <c r="F3393" s="1" t="s">
        <v>2757</v>
      </c>
      <c r="G3393" s="415" t="str">
        <f t="shared" si="50"/>
        <v>18-01</v>
      </c>
      <c r="H3393" s="273" t="e">
        <f ca="1">_xludf.IFNA(VLOOKUP(Aragon!E3393,'Kilter Holds'!$P$37:$AB$662,12,0),0)</f>
        <v>#NAME?</v>
      </c>
      <c r="I3393" s="274"/>
      <c r="J3393" s="274" t="e">
        <f t="shared" ca="1" si="48"/>
        <v>#NAME?</v>
      </c>
      <c r="K3393" s="274">
        <f t="shared" si="49"/>
        <v>0</v>
      </c>
      <c r="N3393" s="274"/>
    </row>
    <row r="3394" spans="5:14" ht="13.5" customHeight="1">
      <c r="E3394" s="1" t="s">
        <v>535</v>
      </c>
      <c r="F3394" s="1" t="s">
        <v>2757</v>
      </c>
      <c r="G3394" s="416" t="str">
        <f t="shared" si="50"/>
        <v>Color Code</v>
      </c>
      <c r="H3394" s="273" t="e">
        <f ca="1">_xludf.IFNA(VLOOKUP(Aragon!E3394,'Kilter Holds'!$P$37:$AB$662,13,0),0)</f>
        <v>#NAME?</v>
      </c>
      <c r="I3394" s="274"/>
      <c r="J3394" s="274" t="e">
        <f t="shared" ca="1" si="48"/>
        <v>#NAME?</v>
      </c>
      <c r="K3394" s="274">
        <f t="shared" si="49"/>
        <v>0</v>
      </c>
      <c r="N3394" s="274"/>
    </row>
    <row r="3395" spans="5:14" ht="13.5" customHeight="1">
      <c r="E3395" s="1" t="s">
        <v>537</v>
      </c>
      <c r="F3395" s="1" t="s">
        <v>2758</v>
      </c>
      <c r="G3395" s="406" t="str">
        <f t="shared" si="50"/>
        <v>11-12</v>
      </c>
      <c r="H3395" s="273" t="e">
        <f ca="1">_xludf.IFNA(VLOOKUP(Aragon!E3395,'Kilter Holds'!$P$37:$AB$662,5,0),0)</f>
        <v>#NAME?</v>
      </c>
      <c r="I3395" s="274"/>
      <c r="J3395" s="274" t="e">
        <f t="shared" ca="1" si="48"/>
        <v>#NAME?</v>
      </c>
      <c r="K3395" s="274">
        <f t="shared" si="49"/>
        <v>0</v>
      </c>
      <c r="N3395" s="274"/>
    </row>
    <row r="3396" spans="5:14" ht="13.5" customHeight="1">
      <c r="E3396" s="1" t="s">
        <v>537</v>
      </c>
      <c r="F3396" s="1" t="s">
        <v>2758</v>
      </c>
      <c r="G3396" s="408" t="str">
        <f t="shared" si="50"/>
        <v>14-01</v>
      </c>
      <c r="H3396" s="273" t="e">
        <f ca="1">_xludf.IFNA(VLOOKUP(Aragon!E3396,'Kilter Holds'!$P$37:$AB$662,6,0),0)</f>
        <v>#NAME?</v>
      </c>
      <c r="I3396" s="274"/>
      <c r="J3396" s="274" t="e">
        <f t="shared" ca="1" si="48"/>
        <v>#NAME?</v>
      </c>
      <c r="K3396" s="274">
        <f t="shared" si="49"/>
        <v>0</v>
      </c>
      <c r="N3396" s="274"/>
    </row>
    <row r="3397" spans="5:14" ht="13.5" customHeight="1">
      <c r="E3397" s="1" t="s">
        <v>537</v>
      </c>
      <c r="F3397" s="1" t="s">
        <v>2758</v>
      </c>
      <c r="G3397" s="409" t="str">
        <f t="shared" si="50"/>
        <v>15-12</v>
      </c>
      <c r="H3397" s="273" t="e">
        <f ca="1">_xludf.IFNA(VLOOKUP(Aragon!E3397,'Kilter Holds'!$P$37:$AB$662,7,0),0)</f>
        <v>#NAME?</v>
      </c>
      <c r="I3397" s="274"/>
      <c r="J3397" s="274" t="e">
        <f t="shared" ca="1" si="48"/>
        <v>#NAME?</v>
      </c>
      <c r="K3397" s="274">
        <f t="shared" si="49"/>
        <v>0</v>
      </c>
      <c r="N3397" s="274"/>
    </row>
    <row r="3398" spans="5:14" ht="13.5" customHeight="1">
      <c r="E3398" s="1" t="s">
        <v>537</v>
      </c>
      <c r="F3398" s="1" t="s">
        <v>2758</v>
      </c>
      <c r="G3398" s="410" t="str">
        <f t="shared" si="50"/>
        <v>16-16</v>
      </c>
      <c r="H3398" s="273" t="e">
        <f ca="1">_xludf.IFNA(VLOOKUP(Aragon!E3398,'Kilter Holds'!$P$37:$AB$662,8,0),0)</f>
        <v>#NAME?</v>
      </c>
      <c r="I3398" s="274"/>
      <c r="J3398" s="274" t="e">
        <f t="shared" ca="1" si="48"/>
        <v>#NAME?</v>
      </c>
      <c r="K3398" s="274">
        <f t="shared" si="49"/>
        <v>0</v>
      </c>
      <c r="N3398" s="274"/>
    </row>
    <row r="3399" spans="5:14" ht="13.5" customHeight="1">
      <c r="E3399" s="1" t="s">
        <v>537</v>
      </c>
      <c r="F3399" s="1" t="s">
        <v>2758</v>
      </c>
      <c r="G3399" s="411" t="str">
        <f t="shared" si="50"/>
        <v>13-01</v>
      </c>
      <c r="H3399" s="273" t="e">
        <f ca="1">_xludf.IFNA(VLOOKUP(Aragon!E3399,'Kilter Holds'!$P$37:$AB$662,9,0),0)</f>
        <v>#NAME?</v>
      </c>
      <c r="I3399" s="274"/>
      <c r="J3399" s="274" t="e">
        <f t="shared" ca="1" si="48"/>
        <v>#NAME?</v>
      </c>
      <c r="K3399" s="274">
        <f t="shared" si="49"/>
        <v>0</v>
      </c>
      <c r="N3399" s="274"/>
    </row>
    <row r="3400" spans="5:14" ht="13.5" customHeight="1">
      <c r="E3400" s="1" t="s">
        <v>537</v>
      </c>
      <c r="F3400" s="1" t="s">
        <v>2758</v>
      </c>
      <c r="G3400" s="413" t="str">
        <f t="shared" si="50"/>
        <v>07-13</v>
      </c>
      <c r="H3400" s="273" t="e">
        <f ca="1">_xludf.IFNA(VLOOKUP(Aragon!E3400,'Kilter Holds'!$P$37:$AB$662,10,0),0)</f>
        <v>#NAME?</v>
      </c>
      <c r="I3400" s="274"/>
      <c r="J3400" s="274" t="e">
        <f t="shared" ca="1" si="48"/>
        <v>#NAME?</v>
      </c>
      <c r="K3400" s="274">
        <f t="shared" si="49"/>
        <v>0</v>
      </c>
      <c r="N3400" s="274"/>
    </row>
    <row r="3401" spans="5:14" ht="13.5" customHeight="1">
      <c r="E3401" s="1" t="s">
        <v>537</v>
      </c>
      <c r="F3401" s="1" t="s">
        <v>2758</v>
      </c>
      <c r="G3401" s="414" t="str">
        <f t="shared" si="50"/>
        <v>11-26</v>
      </c>
      <c r="H3401" s="273" t="e">
        <f ca="1">_xludf.IFNA(VLOOKUP(Aragon!E3401,'Kilter Holds'!$P$37:$AB$662,11,0),0)</f>
        <v>#NAME?</v>
      </c>
      <c r="I3401" s="274"/>
      <c r="J3401" s="274" t="e">
        <f t="shared" ca="1" si="48"/>
        <v>#NAME?</v>
      </c>
      <c r="K3401" s="274">
        <f t="shared" si="49"/>
        <v>0</v>
      </c>
      <c r="N3401" s="274"/>
    </row>
    <row r="3402" spans="5:14" ht="13.5" customHeight="1">
      <c r="E3402" s="1" t="s">
        <v>537</v>
      </c>
      <c r="F3402" s="1" t="s">
        <v>2758</v>
      </c>
      <c r="G3402" s="415" t="str">
        <f t="shared" si="50"/>
        <v>18-01</v>
      </c>
      <c r="H3402" s="273" t="e">
        <f ca="1">_xludf.IFNA(VLOOKUP(Aragon!E3402,'Kilter Holds'!$P$37:$AB$662,12,0),0)</f>
        <v>#NAME?</v>
      </c>
      <c r="I3402" s="274"/>
      <c r="J3402" s="274" t="e">
        <f t="shared" ca="1" si="48"/>
        <v>#NAME?</v>
      </c>
      <c r="K3402" s="274">
        <f t="shared" si="49"/>
        <v>0</v>
      </c>
      <c r="N3402" s="274"/>
    </row>
    <row r="3403" spans="5:14" ht="13.5" customHeight="1">
      <c r="E3403" s="1" t="s">
        <v>537</v>
      </c>
      <c r="F3403" s="1" t="s">
        <v>2758</v>
      </c>
      <c r="G3403" s="416" t="str">
        <f t="shared" si="50"/>
        <v>Color Code</v>
      </c>
      <c r="H3403" s="273" t="e">
        <f ca="1">_xludf.IFNA(VLOOKUP(Aragon!E3403,'Kilter Holds'!$P$37:$AB$662,13,0),0)</f>
        <v>#NAME?</v>
      </c>
      <c r="I3403" s="274"/>
      <c r="J3403" s="274" t="e">
        <f t="shared" ca="1" si="48"/>
        <v>#NAME?</v>
      </c>
      <c r="K3403" s="274">
        <f t="shared" si="49"/>
        <v>0</v>
      </c>
      <c r="N3403" s="274"/>
    </row>
    <row r="3404" spans="5:14" ht="13.5" customHeight="1">
      <c r="E3404" s="1" t="s">
        <v>539</v>
      </c>
      <c r="F3404" s="1" t="s">
        <v>2759</v>
      </c>
      <c r="G3404" s="406" t="str">
        <f t="shared" si="50"/>
        <v>11-12</v>
      </c>
      <c r="H3404" s="273" t="e">
        <f ca="1">_xludf.IFNA(VLOOKUP(Aragon!E3404,'Kilter Holds'!$P$37:$AB$662,5,0),0)</f>
        <v>#NAME?</v>
      </c>
      <c r="I3404" s="274"/>
      <c r="J3404" s="274" t="e">
        <f t="shared" ca="1" si="48"/>
        <v>#NAME?</v>
      </c>
      <c r="K3404" s="274">
        <f t="shared" si="49"/>
        <v>0</v>
      </c>
      <c r="N3404" s="274"/>
    </row>
    <row r="3405" spans="5:14" ht="13.5" customHeight="1">
      <c r="E3405" s="1" t="s">
        <v>539</v>
      </c>
      <c r="F3405" s="1" t="s">
        <v>2759</v>
      </c>
      <c r="G3405" s="408" t="str">
        <f t="shared" si="50"/>
        <v>14-01</v>
      </c>
      <c r="H3405" s="273" t="e">
        <f ca="1">_xludf.IFNA(VLOOKUP(Aragon!E3405,'Kilter Holds'!$P$37:$AB$662,6,0),0)</f>
        <v>#NAME?</v>
      </c>
      <c r="I3405" s="274"/>
      <c r="J3405" s="274" t="e">
        <f t="shared" ca="1" si="48"/>
        <v>#NAME?</v>
      </c>
      <c r="K3405" s="274">
        <f t="shared" si="49"/>
        <v>0</v>
      </c>
      <c r="N3405" s="274"/>
    </row>
    <row r="3406" spans="5:14" ht="13.5" customHeight="1">
      <c r="E3406" s="1" t="s">
        <v>539</v>
      </c>
      <c r="F3406" s="1" t="s">
        <v>2759</v>
      </c>
      <c r="G3406" s="409" t="str">
        <f t="shared" si="50"/>
        <v>15-12</v>
      </c>
      <c r="H3406" s="273" t="e">
        <f ca="1">_xludf.IFNA(VLOOKUP(Aragon!E3406,'Kilter Holds'!$P$37:$AB$662,7,0),0)</f>
        <v>#NAME?</v>
      </c>
      <c r="I3406" s="274"/>
      <c r="J3406" s="274" t="e">
        <f t="shared" ca="1" si="48"/>
        <v>#NAME?</v>
      </c>
      <c r="K3406" s="274">
        <f t="shared" si="49"/>
        <v>0</v>
      </c>
      <c r="N3406" s="274"/>
    </row>
    <row r="3407" spans="5:14" ht="13.5" customHeight="1">
      <c r="E3407" s="1" t="s">
        <v>539</v>
      </c>
      <c r="F3407" s="1" t="s">
        <v>2759</v>
      </c>
      <c r="G3407" s="410" t="str">
        <f t="shared" si="50"/>
        <v>16-16</v>
      </c>
      <c r="H3407" s="273" t="e">
        <f ca="1">_xludf.IFNA(VLOOKUP(Aragon!E3407,'Kilter Holds'!$P$37:$AB$662,8,0),0)</f>
        <v>#NAME?</v>
      </c>
      <c r="I3407" s="274"/>
      <c r="J3407" s="274" t="e">
        <f t="shared" ca="1" si="48"/>
        <v>#NAME?</v>
      </c>
      <c r="K3407" s="274">
        <f t="shared" si="49"/>
        <v>0</v>
      </c>
      <c r="N3407" s="274"/>
    </row>
    <row r="3408" spans="5:14" ht="13.5" customHeight="1">
      <c r="E3408" s="1" t="s">
        <v>539</v>
      </c>
      <c r="F3408" s="1" t="s">
        <v>2759</v>
      </c>
      <c r="G3408" s="411" t="str">
        <f t="shared" si="50"/>
        <v>13-01</v>
      </c>
      <c r="H3408" s="273" t="e">
        <f ca="1">_xludf.IFNA(VLOOKUP(Aragon!E3408,'Kilter Holds'!$P$37:$AB$662,9,0),0)</f>
        <v>#NAME?</v>
      </c>
      <c r="I3408" s="274"/>
      <c r="J3408" s="274" t="e">
        <f t="shared" ca="1" si="48"/>
        <v>#NAME?</v>
      </c>
      <c r="K3408" s="274">
        <f t="shared" si="49"/>
        <v>0</v>
      </c>
      <c r="N3408" s="274"/>
    </row>
    <row r="3409" spans="5:14" ht="13.5" customHeight="1">
      <c r="E3409" s="1" t="s">
        <v>539</v>
      </c>
      <c r="F3409" s="1" t="s">
        <v>2759</v>
      </c>
      <c r="G3409" s="413" t="str">
        <f t="shared" si="50"/>
        <v>07-13</v>
      </c>
      <c r="H3409" s="273" t="e">
        <f ca="1">_xludf.IFNA(VLOOKUP(Aragon!E3409,'Kilter Holds'!$P$37:$AB$662,10,0),0)</f>
        <v>#NAME?</v>
      </c>
      <c r="I3409" s="274"/>
      <c r="J3409" s="274" t="e">
        <f t="shared" ca="1" si="48"/>
        <v>#NAME?</v>
      </c>
      <c r="K3409" s="274">
        <f t="shared" si="49"/>
        <v>0</v>
      </c>
      <c r="N3409" s="274"/>
    </row>
    <row r="3410" spans="5:14" ht="13.5" customHeight="1">
      <c r="E3410" s="1" t="s">
        <v>539</v>
      </c>
      <c r="F3410" s="1" t="s">
        <v>2759</v>
      </c>
      <c r="G3410" s="414" t="str">
        <f t="shared" si="50"/>
        <v>11-26</v>
      </c>
      <c r="H3410" s="273" t="e">
        <f ca="1">_xludf.IFNA(VLOOKUP(Aragon!E3410,'Kilter Holds'!$P$37:$AB$662,11,0),0)</f>
        <v>#NAME?</v>
      </c>
      <c r="I3410" s="274"/>
      <c r="J3410" s="274" t="e">
        <f t="shared" ca="1" si="48"/>
        <v>#NAME?</v>
      </c>
      <c r="K3410" s="274">
        <f t="shared" si="49"/>
        <v>0</v>
      </c>
      <c r="N3410" s="274"/>
    </row>
    <row r="3411" spans="5:14" ht="13.5" customHeight="1">
      <c r="E3411" s="1" t="s">
        <v>539</v>
      </c>
      <c r="F3411" s="1" t="s">
        <v>2759</v>
      </c>
      <c r="G3411" s="415" t="str">
        <f t="shared" si="50"/>
        <v>18-01</v>
      </c>
      <c r="H3411" s="273" t="e">
        <f ca="1">_xludf.IFNA(VLOOKUP(Aragon!E3411,'Kilter Holds'!$P$37:$AB$662,12,0),0)</f>
        <v>#NAME?</v>
      </c>
      <c r="I3411" s="274"/>
      <c r="J3411" s="274" t="e">
        <f t="shared" ca="1" si="48"/>
        <v>#NAME?</v>
      </c>
      <c r="K3411" s="274">
        <f t="shared" si="49"/>
        <v>0</v>
      </c>
      <c r="N3411" s="274"/>
    </row>
    <row r="3412" spans="5:14" ht="13.5" customHeight="1">
      <c r="E3412" s="1" t="s">
        <v>539</v>
      </c>
      <c r="F3412" s="1" t="s">
        <v>2759</v>
      </c>
      <c r="G3412" s="416" t="str">
        <f t="shared" si="50"/>
        <v>Color Code</v>
      </c>
      <c r="H3412" s="273" t="e">
        <f ca="1">_xludf.IFNA(VLOOKUP(Aragon!E3412,'Kilter Holds'!$P$37:$AB$662,13,0),0)</f>
        <v>#NAME?</v>
      </c>
      <c r="I3412" s="274"/>
      <c r="J3412" s="274" t="e">
        <f t="shared" ca="1" si="48"/>
        <v>#NAME?</v>
      </c>
      <c r="K3412" s="274">
        <f t="shared" si="49"/>
        <v>0</v>
      </c>
      <c r="N3412" s="274"/>
    </row>
    <row r="3413" spans="5:14" ht="13.5" customHeight="1">
      <c r="E3413" s="1" t="s">
        <v>545</v>
      </c>
      <c r="F3413" s="1" t="s">
        <v>2760</v>
      </c>
      <c r="G3413" s="406" t="str">
        <f t="shared" si="50"/>
        <v>11-12</v>
      </c>
      <c r="H3413" s="273" t="e">
        <f ca="1">_xludf.IFNA(VLOOKUP(Aragon!E3413,'Kilter Holds'!$P$37:$AB$662,5,0),0)</f>
        <v>#NAME?</v>
      </c>
      <c r="I3413" s="274"/>
      <c r="J3413" s="274" t="e">
        <f t="shared" ca="1" si="48"/>
        <v>#NAME?</v>
      </c>
      <c r="K3413" s="274">
        <f t="shared" si="49"/>
        <v>0</v>
      </c>
      <c r="N3413" s="274"/>
    </row>
    <row r="3414" spans="5:14" ht="13.5" customHeight="1">
      <c r="E3414" s="1" t="s">
        <v>545</v>
      </c>
      <c r="F3414" s="1" t="s">
        <v>2760</v>
      </c>
      <c r="G3414" s="408" t="str">
        <f t="shared" si="50"/>
        <v>14-01</v>
      </c>
      <c r="H3414" s="273" t="e">
        <f ca="1">_xludf.IFNA(VLOOKUP(Aragon!E3414,'Kilter Holds'!$P$37:$AB$662,6,0),0)</f>
        <v>#NAME?</v>
      </c>
      <c r="I3414" s="274"/>
      <c r="J3414" s="274" t="e">
        <f t="shared" ca="1" si="48"/>
        <v>#NAME?</v>
      </c>
      <c r="K3414" s="274">
        <f t="shared" si="49"/>
        <v>0</v>
      </c>
      <c r="N3414" s="274"/>
    </row>
    <row r="3415" spans="5:14" ht="13.5" customHeight="1">
      <c r="E3415" s="1" t="s">
        <v>545</v>
      </c>
      <c r="F3415" s="1" t="s">
        <v>2760</v>
      </c>
      <c r="G3415" s="409" t="str">
        <f t="shared" si="50"/>
        <v>15-12</v>
      </c>
      <c r="H3415" s="273" t="e">
        <f ca="1">_xludf.IFNA(VLOOKUP(Aragon!E3415,'Kilter Holds'!$P$37:$AB$662,7,0),0)</f>
        <v>#NAME?</v>
      </c>
      <c r="I3415" s="274"/>
      <c r="J3415" s="274" t="e">
        <f t="shared" ca="1" si="48"/>
        <v>#NAME?</v>
      </c>
      <c r="K3415" s="274">
        <f t="shared" si="49"/>
        <v>0</v>
      </c>
      <c r="N3415" s="274"/>
    </row>
    <row r="3416" spans="5:14" ht="13.5" customHeight="1">
      <c r="E3416" s="1" t="s">
        <v>545</v>
      </c>
      <c r="F3416" s="1" t="s">
        <v>2760</v>
      </c>
      <c r="G3416" s="410" t="str">
        <f t="shared" si="50"/>
        <v>16-16</v>
      </c>
      <c r="H3416" s="273" t="e">
        <f ca="1">_xludf.IFNA(VLOOKUP(Aragon!E3416,'Kilter Holds'!$P$37:$AB$662,8,0),0)</f>
        <v>#NAME?</v>
      </c>
      <c r="I3416" s="274"/>
      <c r="J3416" s="274" t="e">
        <f t="shared" ca="1" si="48"/>
        <v>#NAME?</v>
      </c>
      <c r="K3416" s="274">
        <f t="shared" si="49"/>
        <v>0</v>
      </c>
      <c r="N3416" s="274"/>
    </row>
    <row r="3417" spans="5:14" ht="13.5" customHeight="1">
      <c r="E3417" s="1" t="s">
        <v>545</v>
      </c>
      <c r="F3417" s="1" t="s">
        <v>2760</v>
      </c>
      <c r="G3417" s="411" t="str">
        <f t="shared" si="50"/>
        <v>13-01</v>
      </c>
      <c r="H3417" s="273" t="e">
        <f ca="1">_xludf.IFNA(VLOOKUP(Aragon!E3417,'Kilter Holds'!$P$37:$AB$662,9,0),0)</f>
        <v>#NAME?</v>
      </c>
      <c r="I3417" s="274"/>
      <c r="J3417" s="274" t="e">
        <f t="shared" ca="1" si="48"/>
        <v>#NAME?</v>
      </c>
      <c r="K3417" s="274">
        <f t="shared" si="49"/>
        <v>0</v>
      </c>
      <c r="N3417" s="274"/>
    </row>
    <row r="3418" spans="5:14" ht="13.5" customHeight="1">
      <c r="E3418" s="1" t="s">
        <v>545</v>
      </c>
      <c r="F3418" s="1" t="s">
        <v>2760</v>
      </c>
      <c r="G3418" s="413" t="str">
        <f t="shared" si="50"/>
        <v>07-13</v>
      </c>
      <c r="H3418" s="273" t="e">
        <f ca="1">_xludf.IFNA(VLOOKUP(Aragon!E3418,'Kilter Holds'!$P$37:$AB$662,10,0),0)</f>
        <v>#NAME?</v>
      </c>
      <c r="I3418" s="274"/>
      <c r="J3418" s="274" t="e">
        <f t="shared" ca="1" si="48"/>
        <v>#NAME?</v>
      </c>
      <c r="K3418" s="274">
        <f t="shared" si="49"/>
        <v>0</v>
      </c>
      <c r="N3418" s="274"/>
    </row>
    <row r="3419" spans="5:14" ht="13.5" customHeight="1">
      <c r="E3419" s="1" t="s">
        <v>545</v>
      </c>
      <c r="F3419" s="1" t="s">
        <v>2760</v>
      </c>
      <c r="G3419" s="414" t="str">
        <f t="shared" si="50"/>
        <v>11-26</v>
      </c>
      <c r="H3419" s="273" t="e">
        <f ca="1">_xludf.IFNA(VLOOKUP(Aragon!E3419,'Kilter Holds'!$P$37:$AB$662,11,0),0)</f>
        <v>#NAME?</v>
      </c>
      <c r="I3419" s="274"/>
      <c r="J3419" s="274" t="e">
        <f t="shared" ca="1" si="48"/>
        <v>#NAME?</v>
      </c>
      <c r="K3419" s="274">
        <f t="shared" si="49"/>
        <v>0</v>
      </c>
      <c r="N3419" s="274"/>
    </row>
    <row r="3420" spans="5:14" ht="13.5" customHeight="1">
      <c r="E3420" s="1" t="s">
        <v>545</v>
      </c>
      <c r="F3420" s="1" t="s">
        <v>2760</v>
      </c>
      <c r="G3420" s="415" t="str">
        <f t="shared" si="50"/>
        <v>18-01</v>
      </c>
      <c r="H3420" s="273" t="e">
        <f ca="1">_xludf.IFNA(VLOOKUP(Aragon!E3420,'Kilter Holds'!$P$37:$AB$662,12,0),0)</f>
        <v>#NAME?</v>
      </c>
      <c r="I3420" s="274"/>
      <c r="J3420" s="274" t="e">
        <f t="shared" ca="1" si="48"/>
        <v>#NAME?</v>
      </c>
      <c r="K3420" s="274">
        <f t="shared" si="49"/>
        <v>0</v>
      </c>
      <c r="N3420" s="274"/>
    </row>
    <row r="3421" spans="5:14" ht="13.5" customHeight="1">
      <c r="E3421" s="1" t="s">
        <v>545</v>
      </c>
      <c r="F3421" s="1" t="s">
        <v>2760</v>
      </c>
      <c r="G3421" s="416" t="str">
        <f t="shared" si="50"/>
        <v>Color Code</v>
      </c>
      <c r="H3421" s="273" t="e">
        <f ca="1">_xludf.IFNA(VLOOKUP(Aragon!E3421,'Kilter Holds'!$P$37:$AB$662,13,0),0)</f>
        <v>#NAME?</v>
      </c>
      <c r="I3421" s="274"/>
      <c r="J3421" s="274" t="e">
        <f t="shared" ca="1" si="48"/>
        <v>#NAME?</v>
      </c>
      <c r="K3421" s="274">
        <f t="shared" si="49"/>
        <v>0</v>
      </c>
      <c r="N3421" s="274"/>
    </row>
    <row r="3422" spans="5:14" ht="13.5" customHeight="1">
      <c r="E3422" s="1" t="s">
        <v>511</v>
      </c>
      <c r="F3422" s="1" t="s">
        <v>2761</v>
      </c>
      <c r="G3422" s="406" t="str">
        <f t="shared" si="50"/>
        <v>11-12</v>
      </c>
      <c r="H3422" s="273" t="e">
        <f ca="1">_xludf.IFNA(VLOOKUP(Aragon!E3422,'Kilter Holds'!$P$37:$AB$662,5,0),0)</f>
        <v>#NAME?</v>
      </c>
      <c r="I3422" s="274"/>
      <c r="J3422" s="274" t="e">
        <f t="shared" ca="1" si="48"/>
        <v>#NAME?</v>
      </c>
      <c r="K3422" s="274">
        <f t="shared" si="49"/>
        <v>0</v>
      </c>
      <c r="N3422" s="274"/>
    </row>
    <row r="3423" spans="5:14" ht="13.5" customHeight="1">
      <c r="E3423" s="1" t="s">
        <v>511</v>
      </c>
      <c r="F3423" s="1" t="s">
        <v>2761</v>
      </c>
      <c r="G3423" s="408" t="str">
        <f t="shared" si="50"/>
        <v>14-01</v>
      </c>
      <c r="H3423" s="273" t="e">
        <f ca="1">_xludf.IFNA(VLOOKUP(Aragon!E3423,'Kilter Holds'!$P$37:$AB$662,6,0),0)</f>
        <v>#NAME?</v>
      </c>
      <c r="I3423" s="274"/>
      <c r="J3423" s="274" t="e">
        <f t="shared" ca="1" si="48"/>
        <v>#NAME?</v>
      </c>
      <c r="K3423" s="274">
        <f t="shared" si="49"/>
        <v>0</v>
      </c>
      <c r="N3423" s="274"/>
    </row>
    <row r="3424" spans="5:14" ht="13.5" customHeight="1">
      <c r="E3424" s="1" t="s">
        <v>511</v>
      </c>
      <c r="F3424" s="1" t="s">
        <v>2761</v>
      </c>
      <c r="G3424" s="409" t="str">
        <f t="shared" si="50"/>
        <v>15-12</v>
      </c>
      <c r="H3424" s="273" t="e">
        <f ca="1">_xludf.IFNA(VLOOKUP(Aragon!E3424,'Kilter Holds'!$P$37:$AB$662,7,0),0)</f>
        <v>#NAME?</v>
      </c>
      <c r="I3424" s="274"/>
      <c r="J3424" s="274" t="e">
        <f t="shared" ca="1" si="48"/>
        <v>#NAME?</v>
      </c>
      <c r="K3424" s="274">
        <f t="shared" si="49"/>
        <v>0</v>
      </c>
      <c r="N3424" s="274"/>
    </row>
    <row r="3425" spans="5:14" ht="13.5" customHeight="1">
      <c r="E3425" s="1" t="s">
        <v>511</v>
      </c>
      <c r="F3425" s="1" t="s">
        <v>2761</v>
      </c>
      <c r="G3425" s="410" t="str">
        <f t="shared" si="50"/>
        <v>16-16</v>
      </c>
      <c r="H3425" s="273" t="e">
        <f ca="1">_xludf.IFNA(VLOOKUP(Aragon!E3425,'Kilter Holds'!$P$37:$AB$662,8,0),0)</f>
        <v>#NAME?</v>
      </c>
      <c r="I3425" s="274"/>
      <c r="J3425" s="274" t="e">
        <f t="shared" ca="1" si="48"/>
        <v>#NAME?</v>
      </c>
      <c r="K3425" s="274">
        <f t="shared" si="49"/>
        <v>0</v>
      </c>
      <c r="N3425" s="274"/>
    </row>
    <row r="3426" spans="5:14" ht="13.5" customHeight="1">
      <c r="E3426" s="1" t="s">
        <v>511</v>
      </c>
      <c r="F3426" s="1" t="s">
        <v>2761</v>
      </c>
      <c r="G3426" s="411" t="str">
        <f t="shared" si="50"/>
        <v>13-01</v>
      </c>
      <c r="H3426" s="273" t="e">
        <f ca="1">_xludf.IFNA(VLOOKUP(Aragon!E3426,'Kilter Holds'!$P$37:$AB$662,9,0),0)</f>
        <v>#NAME?</v>
      </c>
      <c r="I3426" s="274"/>
      <c r="J3426" s="274" t="e">
        <f t="shared" ca="1" si="48"/>
        <v>#NAME?</v>
      </c>
      <c r="K3426" s="274">
        <f t="shared" si="49"/>
        <v>0</v>
      </c>
      <c r="N3426" s="274"/>
    </row>
    <row r="3427" spans="5:14" ht="13.5" customHeight="1">
      <c r="E3427" s="1" t="s">
        <v>511</v>
      </c>
      <c r="F3427" s="1" t="s">
        <v>2761</v>
      </c>
      <c r="G3427" s="413" t="str">
        <f t="shared" si="50"/>
        <v>07-13</v>
      </c>
      <c r="H3427" s="273" t="e">
        <f ca="1">_xludf.IFNA(VLOOKUP(Aragon!E3427,'Kilter Holds'!$P$37:$AB$662,10,0),0)</f>
        <v>#NAME?</v>
      </c>
      <c r="I3427" s="274"/>
      <c r="J3427" s="274" t="e">
        <f t="shared" ca="1" si="48"/>
        <v>#NAME?</v>
      </c>
      <c r="K3427" s="274">
        <f t="shared" si="49"/>
        <v>0</v>
      </c>
      <c r="N3427" s="274"/>
    </row>
    <row r="3428" spans="5:14" ht="13.5" customHeight="1">
      <c r="E3428" s="1" t="s">
        <v>511</v>
      </c>
      <c r="F3428" s="1" t="s">
        <v>2761</v>
      </c>
      <c r="G3428" s="414" t="str">
        <f t="shared" si="50"/>
        <v>11-26</v>
      </c>
      <c r="H3428" s="273" t="e">
        <f ca="1">_xludf.IFNA(VLOOKUP(Aragon!E3428,'Kilter Holds'!$P$37:$AB$662,11,0),0)</f>
        <v>#NAME?</v>
      </c>
      <c r="I3428" s="274"/>
      <c r="J3428" s="274" t="e">
        <f t="shared" ca="1" si="48"/>
        <v>#NAME?</v>
      </c>
      <c r="K3428" s="274">
        <f t="shared" si="49"/>
        <v>0</v>
      </c>
      <c r="N3428" s="274"/>
    </row>
    <row r="3429" spans="5:14" ht="13.5" customHeight="1">
      <c r="E3429" s="1" t="s">
        <v>511</v>
      </c>
      <c r="F3429" s="1" t="s">
        <v>2761</v>
      </c>
      <c r="G3429" s="415" t="str">
        <f t="shared" si="50"/>
        <v>18-01</v>
      </c>
      <c r="H3429" s="273" t="e">
        <f ca="1">_xludf.IFNA(VLOOKUP(Aragon!E3429,'Kilter Holds'!$P$37:$AB$662,12,0),0)</f>
        <v>#NAME?</v>
      </c>
      <c r="I3429" s="274"/>
      <c r="J3429" s="274" t="e">
        <f t="shared" ca="1" si="48"/>
        <v>#NAME?</v>
      </c>
      <c r="K3429" s="274">
        <f t="shared" si="49"/>
        <v>0</v>
      </c>
      <c r="N3429" s="274"/>
    </row>
    <row r="3430" spans="5:14" ht="13.5" customHeight="1">
      <c r="E3430" s="1" t="s">
        <v>511</v>
      </c>
      <c r="F3430" s="1" t="s">
        <v>2761</v>
      </c>
      <c r="G3430" s="416" t="str">
        <f t="shared" si="50"/>
        <v>Color Code</v>
      </c>
      <c r="H3430" s="273" t="e">
        <f ca="1">_xludf.IFNA(VLOOKUP(Aragon!E3430,'Kilter Holds'!$P$37:$AB$662,13,0),0)</f>
        <v>#NAME?</v>
      </c>
      <c r="I3430" s="274"/>
      <c r="J3430" s="274" t="e">
        <f t="shared" ca="1" si="48"/>
        <v>#NAME?</v>
      </c>
      <c r="K3430" s="274">
        <f t="shared" si="49"/>
        <v>0</v>
      </c>
      <c r="N3430" s="274"/>
    </row>
    <row r="3431" spans="5:14" ht="13.5" customHeight="1">
      <c r="E3431" s="1" t="s">
        <v>586</v>
      </c>
      <c r="F3431" s="1" t="s">
        <v>2762</v>
      </c>
      <c r="G3431" s="406" t="str">
        <f t="shared" si="50"/>
        <v>11-12</v>
      </c>
      <c r="H3431" s="273" t="e">
        <f ca="1">_xludf.IFNA(VLOOKUP(Aragon!E3431,'Kilter Holds'!$P$37:$AB$662,5,0),0)</f>
        <v>#NAME?</v>
      </c>
      <c r="I3431" s="274"/>
      <c r="J3431" s="274" t="e">
        <f t="shared" ca="1" si="48"/>
        <v>#NAME?</v>
      </c>
      <c r="K3431" s="274">
        <f t="shared" si="49"/>
        <v>0</v>
      </c>
      <c r="N3431" s="274"/>
    </row>
    <row r="3432" spans="5:14" ht="13.5" customHeight="1">
      <c r="E3432" s="1" t="s">
        <v>586</v>
      </c>
      <c r="F3432" s="1" t="s">
        <v>2762</v>
      </c>
      <c r="G3432" s="408" t="str">
        <f t="shared" si="50"/>
        <v>14-01</v>
      </c>
      <c r="H3432" s="273" t="e">
        <f ca="1">_xludf.IFNA(VLOOKUP(Aragon!E3432,'Kilter Holds'!$P$37:$AB$662,6,0),0)</f>
        <v>#NAME?</v>
      </c>
      <c r="I3432" s="274"/>
      <c r="J3432" s="274" t="e">
        <f t="shared" ca="1" si="48"/>
        <v>#NAME?</v>
      </c>
      <c r="K3432" s="274">
        <f t="shared" si="49"/>
        <v>0</v>
      </c>
      <c r="N3432" s="274"/>
    </row>
    <row r="3433" spans="5:14" ht="13.5" customHeight="1">
      <c r="E3433" s="1" t="s">
        <v>586</v>
      </c>
      <c r="F3433" s="1" t="s">
        <v>2762</v>
      </c>
      <c r="G3433" s="409" t="str">
        <f t="shared" si="50"/>
        <v>15-12</v>
      </c>
      <c r="H3433" s="273" t="e">
        <f ca="1">_xludf.IFNA(VLOOKUP(Aragon!E3433,'Kilter Holds'!$P$37:$AB$662,7,0),0)</f>
        <v>#NAME?</v>
      </c>
      <c r="I3433" s="274"/>
      <c r="J3433" s="274" t="e">
        <f t="shared" ca="1" si="48"/>
        <v>#NAME?</v>
      </c>
      <c r="K3433" s="274">
        <f t="shared" si="49"/>
        <v>0</v>
      </c>
      <c r="N3433" s="274"/>
    </row>
    <row r="3434" spans="5:14" ht="13.5" customHeight="1">
      <c r="E3434" s="1" t="s">
        <v>586</v>
      </c>
      <c r="F3434" s="1" t="s">
        <v>2762</v>
      </c>
      <c r="G3434" s="410" t="str">
        <f t="shared" si="50"/>
        <v>16-16</v>
      </c>
      <c r="H3434" s="273" t="e">
        <f ca="1">_xludf.IFNA(VLOOKUP(Aragon!E3434,'Kilter Holds'!$P$37:$AB$662,8,0),0)</f>
        <v>#NAME?</v>
      </c>
      <c r="I3434" s="274"/>
      <c r="J3434" s="274" t="e">
        <f t="shared" ca="1" si="48"/>
        <v>#NAME?</v>
      </c>
      <c r="K3434" s="274">
        <f t="shared" si="49"/>
        <v>0</v>
      </c>
      <c r="N3434" s="274"/>
    </row>
    <row r="3435" spans="5:14" ht="13.5" customHeight="1">
      <c r="E3435" s="1" t="s">
        <v>586</v>
      </c>
      <c r="F3435" s="1" t="s">
        <v>2762</v>
      </c>
      <c r="G3435" s="411" t="str">
        <f t="shared" si="50"/>
        <v>13-01</v>
      </c>
      <c r="H3435" s="273" t="e">
        <f ca="1">_xludf.IFNA(VLOOKUP(Aragon!E3435,'Kilter Holds'!$P$37:$AB$662,9,0),0)</f>
        <v>#NAME?</v>
      </c>
      <c r="I3435" s="274"/>
      <c r="J3435" s="274" t="e">
        <f t="shared" ca="1" si="48"/>
        <v>#NAME?</v>
      </c>
      <c r="K3435" s="274">
        <f t="shared" si="49"/>
        <v>0</v>
      </c>
      <c r="N3435" s="274"/>
    </row>
    <row r="3436" spans="5:14" ht="13.5" customHeight="1">
      <c r="E3436" s="1" t="s">
        <v>586</v>
      </c>
      <c r="F3436" s="1" t="s">
        <v>2762</v>
      </c>
      <c r="G3436" s="413" t="str">
        <f t="shared" si="50"/>
        <v>07-13</v>
      </c>
      <c r="H3436" s="273" t="e">
        <f ca="1">_xludf.IFNA(VLOOKUP(Aragon!E3436,'Kilter Holds'!$P$37:$AB$662,10,0),0)</f>
        <v>#NAME?</v>
      </c>
      <c r="I3436" s="274"/>
      <c r="J3436" s="274" t="e">
        <f t="shared" ca="1" si="48"/>
        <v>#NAME?</v>
      </c>
      <c r="K3436" s="274">
        <f t="shared" si="49"/>
        <v>0</v>
      </c>
      <c r="N3436" s="274"/>
    </row>
    <row r="3437" spans="5:14" ht="13.5" customHeight="1">
      <c r="E3437" s="1" t="s">
        <v>586</v>
      </c>
      <c r="F3437" s="1" t="s">
        <v>2762</v>
      </c>
      <c r="G3437" s="414" t="str">
        <f t="shared" si="50"/>
        <v>11-26</v>
      </c>
      <c r="H3437" s="273" t="e">
        <f ca="1">_xludf.IFNA(VLOOKUP(Aragon!E3437,'Kilter Holds'!$P$37:$AB$662,11,0),0)</f>
        <v>#NAME?</v>
      </c>
      <c r="I3437" s="274"/>
      <c r="J3437" s="274" t="e">
        <f t="shared" ca="1" si="48"/>
        <v>#NAME?</v>
      </c>
      <c r="K3437" s="274">
        <f t="shared" si="49"/>
        <v>0</v>
      </c>
      <c r="N3437" s="274"/>
    </row>
    <row r="3438" spans="5:14" ht="13.5" customHeight="1">
      <c r="E3438" s="1" t="s">
        <v>586</v>
      </c>
      <c r="F3438" s="1" t="s">
        <v>2762</v>
      </c>
      <c r="G3438" s="415" t="str">
        <f t="shared" si="50"/>
        <v>18-01</v>
      </c>
      <c r="H3438" s="273" t="e">
        <f ca="1">_xludf.IFNA(VLOOKUP(Aragon!E3438,'Kilter Holds'!$P$37:$AB$662,12,0),0)</f>
        <v>#NAME?</v>
      </c>
      <c r="I3438" s="274"/>
      <c r="J3438" s="274" t="e">
        <f t="shared" ca="1" si="48"/>
        <v>#NAME?</v>
      </c>
      <c r="K3438" s="274">
        <f t="shared" si="49"/>
        <v>0</v>
      </c>
      <c r="N3438" s="274"/>
    </row>
    <row r="3439" spans="5:14" ht="13.5" customHeight="1">
      <c r="E3439" s="1" t="s">
        <v>586</v>
      </c>
      <c r="F3439" s="1" t="s">
        <v>2762</v>
      </c>
      <c r="G3439" s="416" t="str">
        <f t="shared" si="50"/>
        <v>Color Code</v>
      </c>
      <c r="H3439" s="273" t="e">
        <f ca="1">_xludf.IFNA(VLOOKUP(Aragon!E3439,'Kilter Holds'!$P$37:$AB$662,13,0),0)</f>
        <v>#NAME?</v>
      </c>
      <c r="I3439" s="274"/>
      <c r="J3439" s="274" t="e">
        <f t="shared" ca="1" si="48"/>
        <v>#NAME?</v>
      </c>
      <c r="K3439" s="274">
        <f t="shared" si="49"/>
        <v>0</v>
      </c>
      <c r="N3439" s="274"/>
    </row>
    <row r="3440" spans="5:14" ht="13.5" customHeight="1">
      <c r="E3440" s="1" t="s">
        <v>675</v>
      </c>
      <c r="F3440" s="1" t="s">
        <v>2763</v>
      </c>
      <c r="G3440" s="406" t="str">
        <f t="shared" si="50"/>
        <v>11-12</v>
      </c>
      <c r="H3440" s="273" t="e">
        <f ca="1">_xludf.IFNA(VLOOKUP(Aragon!E3440,'Kilter Holds'!$P$37:$AB$662,5,0),0)</f>
        <v>#NAME?</v>
      </c>
      <c r="I3440" s="274"/>
      <c r="J3440" s="274" t="e">
        <f t="shared" ca="1" si="48"/>
        <v>#NAME?</v>
      </c>
      <c r="K3440" s="274">
        <f t="shared" si="49"/>
        <v>0</v>
      </c>
      <c r="N3440" s="274"/>
    </row>
    <row r="3441" spans="5:14" ht="13.5" customHeight="1">
      <c r="E3441" s="1" t="s">
        <v>675</v>
      </c>
      <c r="F3441" s="1" t="s">
        <v>2763</v>
      </c>
      <c r="G3441" s="408" t="str">
        <f t="shared" si="50"/>
        <v>14-01</v>
      </c>
      <c r="H3441" s="273" t="e">
        <f ca="1">_xludf.IFNA(VLOOKUP(Aragon!E3441,'Kilter Holds'!$P$37:$AB$662,6,0),0)</f>
        <v>#NAME?</v>
      </c>
      <c r="I3441" s="274"/>
      <c r="J3441" s="274" t="e">
        <f t="shared" ca="1" si="48"/>
        <v>#NAME?</v>
      </c>
      <c r="K3441" s="274">
        <f t="shared" si="49"/>
        <v>0</v>
      </c>
      <c r="N3441" s="274"/>
    </row>
    <row r="3442" spans="5:14" ht="13.5" customHeight="1">
      <c r="E3442" s="1" t="s">
        <v>675</v>
      </c>
      <c r="F3442" s="1" t="s">
        <v>2763</v>
      </c>
      <c r="G3442" s="409" t="str">
        <f t="shared" si="50"/>
        <v>15-12</v>
      </c>
      <c r="H3442" s="273" t="e">
        <f ca="1">_xludf.IFNA(VLOOKUP(Aragon!E3442,'Kilter Holds'!$P$37:$AB$662,7,0),0)</f>
        <v>#NAME?</v>
      </c>
      <c r="I3442" s="274"/>
      <c r="J3442" s="274" t="e">
        <f t="shared" ca="1" si="48"/>
        <v>#NAME?</v>
      </c>
      <c r="K3442" s="274">
        <f t="shared" si="49"/>
        <v>0</v>
      </c>
      <c r="N3442" s="274"/>
    </row>
    <row r="3443" spans="5:14" ht="13.5" customHeight="1">
      <c r="E3443" s="1" t="s">
        <v>675</v>
      </c>
      <c r="F3443" s="1" t="s">
        <v>2763</v>
      </c>
      <c r="G3443" s="410" t="str">
        <f t="shared" si="50"/>
        <v>16-16</v>
      </c>
      <c r="H3443" s="273" t="e">
        <f ca="1">_xludf.IFNA(VLOOKUP(Aragon!E3443,'Kilter Holds'!$P$37:$AB$662,8,0),0)</f>
        <v>#NAME?</v>
      </c>
      <c r="I3443" s="274"/>
      <c r="J3443" s="274" t="e">
        <f t="shared" ca="1" si="48"/>
        <v>#NAME?</v>
      </c>
      <c r="K3443" s="274">
        <f t="shared" si="49"/>
        <v>0</v>
      </c>
      <c r="N3443" s="274"/>
    </row>
    <row r="3444" spans="5:14" ht="13.5" customHeight="1">
      <c r="E3444" s="1" t="s">
        <v>675</v>
      </c>
      <c r="F3444" s="1" t="s">
        <v>2763</v>
      </c>
      <c r="G3444" s="411" t="str">
        <f t="shared" si="50"/>
        <v>13-01</v>
      </c>
      <c r="H3444" s="273" t="e">
        <f ca="1">_xludf.IFNA(VLOOKUP(Aragon!E3444,'Kilter Holds'!$P$37:$AB$662,9,0),0)</f>
        <v>#NAME?</v>
      </c>
      <c r="I3444" s="274"/>
      <c r="J3444" s="274" t="e">
        <f t="shared" ca="1" si="48"/>
        <v>#NAME?</v>
      </c>
      <c r="K3444" s="274">
        <f t="shared" si="49"/>
        <v>0</v>
      </c>
      <c r="N3444" s="274"/>
    </row>
    <row r="3445" spans="5:14" ht="13.5" customHeight="1">
      <c r="E3445" s="1" t="s">
        <v>675</v>
      </c>
      <c r="F3445" s="1" t="s">
        <v>2763</v>
      </c>
      <c r="G3445" s="413" t="str">
        <f t="shared" si="50"/>
        <v>07-13</v>
      </c>
      <c r="H3445" s="273" t="e">
        <f ca="1">_xludf.IFNA(VLOOKUP(Aragon!E3445,'Kilter Holds'!$P$37:$AB$662,10,0),0)</f>
        <v>#NAME?</v>
      </c>
      <c r="I3445" s="274"/>
      <c r="J3445" s="274" t="e">
        <f t="shared" ca="1" si="48"/>
        <v>#NAME?</v>
      </c>
      <c r="K3445" s="274">
        <f t="shared" si="49"/>
        <v>0</v>
      </c>
      <c r="N3445" s="274"/>
    </row>
    <row r="3446" spans="5:14" ht="13.5" customHeight="1">
      <c r="E3446" s="1" t="s">
        <v>675</v>
      </c>
      <c r="F3446" s="1" t="s">
        <v>2763</v>
      </c>
      <c r="G3446" s="414" t="str">
        <f t="shared" si="50"/>
        <v>11-26</v>
      </c>
      <c r="H3446" s="273" t="e">
        <f ca="1">_xludf.IFNA(VLOOKUP(Aragon!E3446,'Kilter Holds'!$P$37:$AB$662,11,0),0)</f>
        <v>#NAME?</v>
      </c>
      <c r="I3446" s="274"/>
      <c r="J3446" s="274" t="e">
        <f t="shared" ca="1" si="48"/>
        <v>#NAME?</v>
      </c>
      <c r="K3446" s="274">
        <f t="shared" si="49"/>
        <v>0</v>
      </c>
      <c r="N3446" s="274"/>
    </row>
    <row r="3447" spans="5:14" ht="13.5" customHeight="1">
      <c r="E3447" s="1" t="s">
        <v>675</v>
      </c>
      <c r="F3447" s="1" t="s">
        <v>2763</v>
      </c>
      <c r="G3447" s="415" t="str">
        <f t="shared" si="50"/>
        <v>18-01</v>
      </c>
      <c r="H3447" s="273" t="e">
        <f ca="1">_xludf.IFNA(VLOOKUP(Aragon!E3447,'Kilter Holds'!$P$37:$AB$662,12,0),0)</f>
        <v>#NAME?</v>
      </c>
      <c r="I3447" s="274"/>
      <c r="J3447" s="274" t="e">
        <f t="shared" ca="1" si="48"/>
        <v>#NAME?</v>
      </c>
      <c r="K3447" s="274">
        <f t="shared" si="49"/>
        <v>0</v>
      </c>
      <c r="N3447" s="274"/>
    </row>
    <row r="3448" spans="5:14" ht="13.5" customHeight="1">
      <c r="E3448" s="1" t="s">
        <v>675</v>
      </c>
      <c r="F3448" s="1" t="s">
        <v>2763</v>
      </c>
      <c r="G3448" s="416" t="str">
        <f t="shared" si="50"/>
        <v>Color Code</v>
      </c>
      <c r="H3448" s="273" t="e">
        <f ca="1">_xludf.IFNA(VLOOKUP(Aragon!E3448,'Kilter Holds'!$P$37:$AB$662,13,0),0)</f>
        <v>#NAME?</v>
      </c>
      <c r="I3448" s="274"/>
      <c r="J3448" s="274" t="e">
        <f t="shared" ca="1" si="48"/>
        <v>#NAME?</v>
      </c>
      <c r="K3448" s="274">
        <f t="shared" si="49"/>
        <v>0</v>
      </c>
      <c r="N3448" s="274"/>
    </row>
    <row r="3449" spans="5:14" ht="13.5" customHeight="1">
      <c r="E3449" s="1" t="s">
        <v>671</v>
      </c>
      <c r="F3449" s="1" t="s">
        <v>2764</v>
      </c>
      <c r="G3449" s="406" t="str">
        <f t="shared" si="50"/>
        <v>11-12</v>
      </c>
      <c r="H3449" s="273" t="e">
        <f ca="1">_xludf.IFNA(VLOOKUP(Aragon!E3449,'Kilter Holds'!$P$37:$AB$662,5,0),0)</f>
        <v>#NAME?</v>
      </c>
      <c r="I3449" s="274"/>
      <c r="J3449" s="274" t="e">
        <f t="shared" ca="1" si="48"/>
        <v>#NAME?</v>
      </c>
      <c r="K3449" s="274">
        <f t="shared" si="49"/>
        <v>0</v>
      </c>
      <c r="N3449" s="274"/>
    </row>
    <row r="3450" spans="5:14" ht="13.5" customHeight="1">
      <c r="E3450" s="1" t="s">
        <v>671</v>
      </c>
      <c r="F3450" s="1" t="s">
        <v>2764</v>
      </c>
      <c r="G3450" s="408" t="str">
        <f t="shared" si="50"/>
        <v>14-01</v>
      </c>
      <c r="H3450" s="273" t="e">
        <f ca="1">_xludf.IFNA(VLOOKUP(Aragon!E3450,'Kilter Holds'!$P$37:$AB$662,6,0),0)</f>
        <v>#NAME?</v>
      </c>
      <c r="I3450" s="274"/>
      <c r="J3450" s="274" t="e">
        <f t="shared" ca="1" si="48"/>
        <v>#NAME?</v>
      </c>
      <c r="K3450" s="274">
        <f t="shared" si="49"/>
        <v>0</v>
      </c>
      <c r="N3450" s="274"/>
    </row>
    <row r="3451" spans="5:14" ht="13.5" customHeight="1">
      <c r="E3451" s="1" t="s">
        <v>671</v>
      </c>
      <c r="F3451" s="1" t="s">
        <v>2764</v>
      </c>
      <c r="G3451" s="409" t="str">
        <f t="shared" si="50"/>
        <v>15-12</v>
      </c>
      <c r="H3451" s="273" t="e">
        <f ca="1">_xludf.IFNA(VLOOKUP(Aragon!E3451,'Kilter Holds'!$P$37:$AB$662,7,0),0)</f>
        <v>#NAME?</v>
      </c>
      <c r="I3451" s="274"/>
      <c r="J3451" s="274" t="e">
        <f t="shared" ca="1" si="48"/>
        <v>#NAME?</v>
      </c>
      <c r="K3451" s="274">
        <f t="shared" si="49"/>
        <v>0</v>
      </c>
      <c r="N3451" s="274"/>
    </row>
    <row r="3452" spans="5:14" ht="13.5" customHeight="1">
      <c r="E3452" s="1" t="s">
        <v>671</v>
      </c>
      <c r="F3452" s="1" t="s">
        <v>2764</v>
      </c>
      <c r="G3452" s="410" t="str">
        <f t="shared" si="50"/>
        <v>16-16</v>
      </c>
      <c r="H3452" s="273" t="e">
        <f ca="1">_xludf.IFNA(VLOOKUP(Aragon!E3452,'Kilter Holds'!$P$37:$AB$662,8,0),0)</f>
        <v>#NAME?</v>
      </c>
      <c r="I3452" s="274"/>
      <c r="J3452" s="274" t="e">
        <f t="shared" ca="1" si="48"/>
        <v>#NAME?</v>
      </c>
      <c r="K3452" s="274">
        <f t="shared" si="49"/>
        <v>0</v>
      </c>
      <c r="N3452" s="274"/>
    </row>
    <row r="3453" spans="5:14" ht="13.5" customHeight="1">
      <c r="E3453" s="1" t="s">
        <v>671</v>
      </c>
      <c r="F3453" s="1" t="s">
        <v>2764</v>
      </c>
      <c r="G3453" s="411" t="str">
        <f t="shared" si="50"/>
        <v>13-01</v>
      </c>
      <c r="H3453" s="273" t="e">
        <f ca="1">_xludf.IFNA(VLOOKUP(Aragon!E3453,'Kilter Holds'!$P$37:$AB$662,9,0),0)</f>
        <v>#NAME?</v>
      </c>
      <c r="I3453" s="274"/>
      <c r="J3453" s="274" t="e">
        <f t="shared" ca="1" si="48"/>
        <v>#NAME?</v>
      </c>
      <c r="K3453" s="274">
        <f t="shared" si="49"/>
        <v>0</v>
      </c>
      <c r="N3453" s="274"/>
    </row>
    <row r="3454" spans="5:14" ht="13.5" customHeight="1">
      <c r="E3454" s="1" t="s">
        <v>671</v>
      </c>
      <c r="F3454" s="1" t="s">
        <v>2764</v>
      </c>
      <c r="G3454" s="413" t="str">
        <f t="shared" si="50"/>
        <v>07-13</v>
      </c>
      <c r="H3454" s="273" t="e">
        <f ca="1">_xludf.IFNA(VLOOKUP(Aragon!E3454,'Kilter Holds'!$P$37:$AB$662,10,0),0)</f>
        <v>#NAME?</v>
      </c>
      <c r="I3454" s="274"/>
      <c r="J3454" s="274" t="e">
        <f t="shared" ca="1" si="48"/>
        <v>#NAME?</v>
      </c>
      <c r="K3454" s="274">
        <f t="shared" si="49"/>
        <v>0</v>
      </c>
      <c r="N3454" s="274"/>
    </row>
    <row r="3455" spans="5:14" ht="13.5" customHeight="1">
      <c r="E3455" s="1" t="s">
        <v>671</v>
      </c>
      <c r="F3455" s="1" t="s">
        <v>2764</v>
      </c>
      <c r="G3455" s="414" t="str">
        <f t="shared" si="50"/>
        <v>11-26</v>
      </c>
      <c r="H3455" s="273" t="e">
        <f ca="1">_xludf.IFNA(VLOOKUP(Aragon!E3455,'Kilter Holds'!$P$37:$AB$662,11,0),0)</f>
        <v>#NAME?</v>
      </c>
      <c r="I3455" s="274"/>
      <c r="J3455" s="274" t="e">
        <f t="shared" ca="1" si="48"/>
        <v>#NAME?</v>
      </c>
      <c r="K3455" s="274">
        <f t="shared" si="49"/>
        <v>0</v>
      </c>
      <c r="N3455" s="274"/>
    </row>
    <row r="3456" spans="5:14" ht="13.5" customHeight="1">
      <c r="E3456" s="1" t="s">
        <v>671</v>
      </c>
      <c r="F3456" s="1" t="s">
        <v>2764</v>
      </c>
      <c r="G3456" s="415" t="str">
        <f t="shared" si="50"/>
        <v>18-01</v>
      </c>
      <c r="H3456" s="273" t="e">
        <f ca="1">_xludf.IFNA(VLOOKUP(Aragon!E3456,'Kilter Holds'!$P$37:$AB$662,12,0),0)</f>
        <v>#NAME?</v>
      </c>
      <c r="I3456" s="274"/>
      <c r="J3456" s="274" t="e">
        <f t="shared" ca="1" si="48"/>
        <v>#NAME?</v>
      </c>
      <c r="K3456" s="274">
        <f t="shared" si="49"/>
        <v>0</v>
      </c>
      <c r="N3456" s="274"/>
    </row>
    <row r="3457" spans="5:14" ht="13.5" customHeight="1">
      <c r="E3457" s="1" t="s">
        <v>671</v>
      </c>
      <c r="F3457" s="1" t="s">
        <v>2764</v>
      </c>
      <c r="G3457" s="416" t="str">
        <f t="shared" si="50"/>
        <v>Color Code</v>
      </c>
      <c r="H3457" s="273" t="e">
        <f ca="1">_xludf.IFNA(VLOOKUP(Aragon!E3457,'Kilter Holds'!$P$37:$AB$662,13,0),0)</f>
        <v>#NAME?</v>
      </c>
      <c r="I3457" s="274"/>
      <c r="J3457" s="274" t="e">
        <f t="shared" ca="1" si="48"/>
        <v>#NAME?</v>
      </c>
      <c r="K3457" s="274">
        <f t="shared" si="49"/>
        <v>0</v>
      </c>
      <c r="N3457" s="274"/>
    </row>
    <row r="3458" spans="5:14" ht="13.5" customHeight="1">
      <c r="E3458" s="1" t="s">
        <v>600</v>
      </c>
      <c r="F3458" s="1" t="s">
        <v>2765</v>
      </c>
      <c r="G3458" s="406" t="str">
        <f t="shared" si="50"/>
        <v>11-12</v>
      </c>
      <c r="H3458" s="273" t="e">
        <f ca="1">_xludf.IFNA(VLOOKUP(Aragon!E3458,'Kilter Holds'!$P$37:$AB$662,5,0),0)</f>
        <v>#NAME?</v>
      </c>
      <c r="I3458" s="274"/>
      <c r="J3458" s="274" t="e">
        <f t="shared" ca="1" si="48"/>
        <v>#NAME?</v>
      </c>
      <c r="K3458" s="274">
        <f t="shared" si="49"/>
        <v>0</v>
      </c>
      <c r="N3458" s="274"/>
    </row>
    <row r="3459" spans="5:14" ht="13.5" customHeight="1">
      <c r="E3459" s="1" t="s">
        <v>600</v>
      </c>
      <c r="F3459" s="1" t="s">
        <v>2765</v>
      </c>
      <c r="G3459" s="408" t="str">
        <f t="shared" si="50"/>
        <v>14-01</v>
      </c>
      <c r="H3459" s="273" t="e">
        <f ca="1">_xludf.IFNA(VLOOKUP(Aragon!E3459,'Kilter Holds'!$P$37:$AB$662,6,0),0)</f>
        <v>#NAME?</v>
      </c>
      <c r="I3459" s="274"/>
      <c r="J3459" s="274" t="e">
        <f t="shared" ca="1" si="48"/>
        <v>#NAME?</v>
      </c>
      <c r="K3459" s="274">
        <f t="shared" si="49"/>
        <v>0</v>
      </c>
      <c r="N3459" s="274"/>
    </row>
    <row r="3460" spans="5:14" ht="13.5" customHeight="1">
      <c r="E3460" s="1" t="s">
        <v>600</v>
      </c>
      <c r="F3460" s="1" t="s">
        <v>2765</v>
      </c>
      <c r="G3460" s="409" t="str">
        <f t="shared" si="50"/>
        <v>15-12</v>
      </c>
      <c r="H3460" s="273" t="e">
        <f ca="1">_xludf.IFNA(VLOOKUP(Aragon!E3460,'Kilter Holds'!$P$37:$AB$662,7,0),0)</f>
        <v>#NAME?</v>
      </c>
      <c r="I3460" s="274"/>
      <c r="J3460" s="274" t="e">
        <f t="shared" ca="1" si="48"/>
        <v>#NAME?</v>
      </c>
      <c r="K3460" s="274">
        <f t="shared" si="49"/>
        <v>0</v>
      </c>
      <c r="N3460" s="274"/>
    </row>
    <row r="3461" spans="5:14" ht="13.5" customHeight="1">
      <c r="E3461" s="1" t="s">
        <v>600</v>
      </c>
      <c r="F3461" s="1" t="s">
        <v>2765</v>
      </c>
      <c r="G3461" s="410" t="str">
        <f t="shared" si="50"/>
        <v>16-16</v>
      </c>
      <c r="H3461" s="273" t="e">
        <f ca="1">_xludf.IFNA(VLOOKUP(Aragon!E3461,'Kilter Holds'!$P$37:$AB$662,8,0),0)</f>
        <v>#NAME?</v>
      </c>
      <c r="I3461" s="274"/>
      <c r="J3461" s="274" t="e">
        <f t="shared" ca="1" si="48"/>
        <v>#NAME?</v>
      </c>
      <c r="K3461" s="274">
        <f t="shared" si="49"/>
        <v>0</v>
      </c>
      <c r="N3461" s="274"/>
    </row>
    <row r="3462" spans="5:14" ht="13.5" customHeight="1">
      <c r="E3462" s="1" t="s">
        <v>600</v>
      </c>
      <c r="F3462" s="1" t="s">
        <v>2765</v>
      </c>
      <c r="G3462" s="411" t="str">
        <f t="shared" si="50"/>
        <v>13-01</v>
      </c>
      <c r="H3462" s="273" t="e">
        <f ca="1">_xludf.IFNA(VLOOKUP(Aragon!E3462,'Kilter Holds'!$P$37:$AB$662,9,0),0)</f>
        <v>#NAME?</v>
      </c>
      <c r="I3462" s="274"/>
      <c r="J3462" s="274" t="e">
        <f t="shared" ca="1" si="48"/>
        <v>#NAME?</v>
      </c>
      <c r="K3462" s="274">
        <f t="shared" si="49"/>
        <v>0</v>
      </c>
      <c r="N3462" s="274"/>
    </row>
    <row r="3463" spans="5:14" ht="13.5" customHeight="1">
      <c r="E3463" s="1" t="s">
        <v>600</v>
      </c>
      <c r="F3463" s="1" t="s">
        <v>2765</v>
      </c>
      <c r="G3463" s="413" t="str">
        <f t="shared" si="50"/>
        <v>07-13</v>
      </c>
      <c r="H3463" s="273" t="e">
        <f ca="1">_xludf.IFNA(VLOOKUP(Aragon!E3463,'Kilter Holds'!$P$37:$AB$662,10,0),0)</f>
        <v>#NAME?</v>
      </c>
      <c r="I3463" s="274"/>
      <c r="J3463" s="274" t="e">
        <f t="shared" ca="1" si="48"/>
        <v>#NAME?</v>
      </c>
      <c r="K3463" s="274">
        <f t="shared" si="49"/>
        <v>0</v>
      </c>
      <c r="N3463" s="274"/>
    </row>
    <row r="3464" spans="5:14" ht="13.5" customHeight="1">
      <c r="E3464" s="1" t="s">
        <v>600</v>
      </c>
      <c r="F3464" s="1" t="s">
        <v>2765</v>
      </c>
      <c r="G3464" s="414" t="str">
        <f t="shared" si="50"/>
        <v>11-26</v>
      </c>
      <c r="H3464" s="273" t="e">
        <f ca="1">_xludf.IFNA(VLOOKUP(Aragon!E3464,'Kilter Holds'!$P$37:$AB$662,11,0),0)</f>
        <v>#NAME?</v>
      </c>
      <c r="I3464" s="274"/>
      <c r="J3464" s="274" t="e">
        <f t="shared" ca="1" si="48"/>
        <v>#NAME?</v>
      </c>
      <c r="K3464" s="274">
        <f t="shared" si="49"/>
        <v>0</v>
      </c>
      <c r="N3464" s="274"/>
    </row>
    <row r="3465" spans="5:14" ht="13.5" customHeight="1">
      <c r="E3465" s="1" t="s">
        <v>600</v>
      </c>
      <c r="F3465" s="1" t="s">
        <v>2765</v>
      </c>
      <c r="G3465" s="415" t="str">
        <f t="shared" si="50"/>
        <v>18-01</v>
      </c>
      <c r="H3465" s="273" t="e">
        <f ca="1">_xludf.IFNA(VLOOKUP(Aragon!E3465,'Kilter Holds'!$P$37:$AB$662,12,0),0)</f>
        <v>#NAME?</v>
      </c>
      <c r="I3465" s="274"/>
      <c r="J3465" s="274" t="e">
        <f t="shared" ca="1" si="48"/>
        <v>#NAME?</v>
      </c>
      <c r="K3465" s="274">
        <f t="shared" si="49"/>
        <v>0</v>
      </c>
      <c r="N3465" s="274"/>
    </row>
    <row r="3466" spans="5:14" ht="13.5" customHeight="1">
      <c r="E3466" s="1" t="s">
        <v>600</v>
      </c>
      <c r="F3466" s="1" t="s">
        <v>2765</v>
      </c>
      <c r="G3466" s="416" t="str">
        <f t="shared" si="50"/>
        <v>Color Code</v>
      </c>
      <c r="H3466" s="273" t="e">
        <f ca="1">_xludf.IFNA(VLOOKUP(Aragon!E3466,'Kilter Holds'!$P$37:$AB$662,13,0),0)</f>
        <v>#NAME?</v>
      </c>
      <c r="I3466" s="274"/>
      <c r="J3466" s="274" t="e">
        <f t="shared" ca="1" si="48"/>
        <v>#NAME?</v>
      </c>
      <c r="K3466" s="274">
        <f t="shared" si="49"/>
        <v>0</v>
      </c>
      <c r="N3466" s="274"/>
    </row>
    <row r="3467" spans="5:14" ht="13.5" customHeight="1">
      <c r="E3467" s="1" t="s">
        <v>491</v>
      </c>
      <c r="F3467" s="1" t="s">
        <v>2766</v>
      </c>
      <c r="G3467" s="406" t="str">
        <f t="shared" si="50"/>
        <v>11-12</v>
      </c>
      <c r="H3467" s="273" t="e">
        <f ca="1">_xludf.IFNA(VLOOKUP(Aragon!E3467,'Kilter Holds'!$P$37:$AB$662,5,0),0)</f>
        <v>#NAME?</v>
      </c>
      <c r="I3467" s="274"/>
      <c r="J3467" s="274" t="e">
        <f t="shared" ca="1" si="48"/>
        <v>#NAME?</v>
      </c>
      <c r="K3467" s="274">
        <f t="shared" si="49"/>
        <v>0</v>
      </c>
      <c r="N3467" s="274"/>
    </row>
    <row r="3468" spans="5:14" ht="13.5" customHeight="1">
      <c r="E3468" s="1" t="s">
        <v>491</v>
      </c>
      <c r="F3468" s="1" t="s">
        <v>2766</v>
      </c>
      <c r="G3468" s="408" t="str">
        <f t="shared" si="50"/>
        <v>14-01</v>
      </c>
      <c r="H3468" s="273" t="e">
        <f ca="1">_xludf.IFNA(VLOOKUP(Aragon!E3468,'Kilter Holds'!$P$37:$AB$662,6,0),0)</f>
        <v>#NAME?</v>
      </c>
      <c r="I3468" s="274"/>
      <c r="J3468" s="274" t="e">
        <f t="shared" ca="1" si="48"/>
        <v>#NAME?</v>
      </c>
      <c r="K3468" s="274">
        <f t="shared" si="49"/>
        <v>0</v>
      </c>
      <c r="N3468" s="274"/>
    </row>
    <row r="3469" spans="5:14" ht="13.5" customHeight="1">
      <c r="E3469" s="1" t="s">
        <v>491</v>
      </c>
      <c r="F3469" s="1" t="s">
        <v>2766</v>
      </c>
      <c r="G3469" s="409" t="str">
        <f t="shared" si="50"/>
        <v>15-12</v>
      </c>
      <c r="H3469" s="273" t="e">
        <f ca="1">_xludf.IFNA(VLOOKUP(Aragon!E3469,'Kilter Holds'!$P$37:$AB$662,7,0),0)</f>
        <v>#NAME?</v>
      </c>
      <c r="I3469" s="274"/>
      <c r="J3469" s="274" t="e">
        <f t="shared" ca="1" si="48"/>
        <v>#NAME?</v>
      </c>
      <c r="K3469" s="274">
        <f t="shared" si="49"/>
        <v>0</v>
      </c>
      <c r="N3469" s="274"/>
    </row>
    <row r="3470" spans="5:14" ht="13.5" customHeight="1">
      <c r="E3470" s="1" t="s">
        <v>491</v>
      </c>
      <c r="F3470" s="1" t="s">
        <v>2766</v>
      </c>
      <c r="G3470" s="410" t="str">
        <f t="shared" si="50"/>
        <v>16-16</v>
      </c>
      <c r="H3470" s="273" t="e">
        <f ca="1">_xludf.IFNA(VLOOKUP(Aragon!E3470,'Kilter Holds'!$P$37:$AB$662,8,0),0)</f>
        <v>#NAME?</v>
      </c>
      <c r="I3470" s="274"/>
      <c r="J3470" s="274" t="e">
        <f t="shared" ca="1" si="48"/>
        <v>#NAME?</v>
      </c>
      <c r="K3470" s="274">
        <f t="shared" si="49"/>
        <v>0</v>
      </c>
      <c r="N3470" s="274"/>
    </row>
    <row r="3471" spans="5:14" ht="13.5" customHeight="1">
      <c r="E3471" s="1" t="s">
        <v>491</v>
      </c>
      <c r="F3471" s="1" t="s">
        <v>2766</v>
      </c>
      <c r="G3471" s="411" t="str">
        <f t="shared" si="50"/>
        <v>13-01</v>
      </c>
      <c r="H3471" s="273" t="e">
        <f ca="1">_xludf.IFNA(VLOOKUP(Aragon!E3471,'Kilter Holds'!$P$37:$AB$662,9,0),0)</f>
        <v>#NAME?</v>
      </c>
      <c r="I3471" s="274"/>
      <c r="J3471" s="274" t="e">
        <f t="shared" ca="1" si="48"/>
        <v>#NAME?</v>
      </c>
      <c r="K3471" s="274">
        <f t="shared" si="49"/>
        <v>0</v>
      </c>
      <c r="N3471" s="274"/>
    </row>
    <row r="3472" spans="5:14" ht="13.5" customHeight="1">
      <c r="E3472" s="1" t="s">
        <v>491</v>
      </c>
      <c r="F3472" s="1" t="s">
        <v>2766</v>
      </c>
      <c r="G3472" s="413" t="str">
        <f t="shared" si="50"/>
        <v>07-13</v>
      </c>
      <c r="H3472" s="273" t="e">
        <f ca="1">_xludf.IFNA(VLOOKUP(Aragon!E3472,'Kilter Holds'!$P$37:$AB$662,10,0),0)</f>
        <v>#NAME?</v>
      </c>
      <c r="I3472" s="274"/>
      <c r="J3472" s="274" t="e">
        <f t="shared" ca="1" si="48"/>
        <v>#NAME?</v>
      </c>
      <c r="K3472" s="274">
        <f t="shared" si="49"/>
        <v>0</v>
      </c>
      <c r="N3472" s="274"/>
    </row>
    <row r="3473" spans="5:14" ht="13.5" customHeight="1">
      <c r="E3473" s="1" t="s">
        <v>491</v>
      </c>
      <c r="F3473" s="1" t="s">
        <v>2766</v>
      </c>
      <c r="G3473" s="414" t="str">
        <f t="shared" si="50"/>
        <v>11-26</v>
      </c>
      <c r="H3473" s="273" t="e">
        <f ca="1">_xludf.IFNA(VLOOKUP(Aragon!E3473,'Kilter Holds'!$P$37:$AB$662,11,0),0)</f>
        <v>#NAME?</v>
      </c>
      <c r="I3473" s="274"/>
      <c r="J3473" s="274" t="e">
        <f t="shared" ca="1" si="48"/>
        <v>#NAME?</v>
      </c>
      <c r="K3473" s="274">
        <f t="shared" si="49"/>
        <v>0</v>
      </c>
      <c r="N3473" s="274"/>
    </row>
    <row r="3474" spans="5:14" ht="13.5" customHeight="1">
      <c r="E3474" s="1" t="s">
        <v>491</v>
      </c>
      <c r="F3474" s="1" t="s">
        <v>2766</v>
      </c>
      <c r="G3474" s="415" t="str">
        <f t="shared" si="50"/>
        <v>18-01</v>
      </c>
      <c r="H3474" s="273" t="e">
        <f ca="1">_xludf.IFNA(VLOOKUP(Aragon!E3474,'Kilter Holds'!$P$37:$AB$662,12,0),0)</f>
        <v>#NAME?</v>
      </c>
      <c r="I3474" s="274"/>
      <c r="J3474" s="274" t="e">
        <f t="shared" ca="1" si="48"/>
        <v>#NAME?</v>
      </c>
      <c r="K3474" s="274">
        <f t="shared" si="49"/>
        <v>0</v>
      </c>
      <c r="N3474" s="274"/>
    </row>
    <row r="3475" spans="5:14" ht="13.5" customHeight="1">
      <c r="E3475" s="1" t="s">
        <v>491</v>
      </c>
      <c r="F3475" s="1" t="s">
        <v>2766</v>
      </c>
      <c r="G3475" s="416" t="str">
        <f t="shared" si="50"/>
        <v>Color Code</v>
      </c>
      <c r="H3475" s="273" t="e">
        <f ca="1">_xludf.IFNA(VLOOKUP(Aragon!E3475,'Kilter Holds'!$P$37:$AB$662,13,0),0)</f>
        <v>#NAME?</v>
      </c>
      <c r="I3475" s="274"/>
      <c r="J3475" s="274" t="e">
        <f t="shared" ca="1" si="48"/>
        <v>#NAME?</v>
      </c>
      <c r="K3475" s="274">
        <f t="shared" si="49"/>
        <v>0</v>
      </c>
      <c r="N3475" s="274"/>
    </row>
    <row r="3476" spans="5:14" ht="13.5" customHeight="1">
      <c r="E3476" s="1" t="s">
        <v>559</v>
      </c>
      <c r="F3476" s="1" t="s">
        <v>2767</v>
      </c>
      <c r="G3476" s="406" t="str">
        <f t="shared" si="50"/>
        <v>11-12</v>
      </c>
      <c r="H3476" s="273" t="e">
        <f ca="1">_xludf.IFNA(VLOOKUP(Aragon!E3476,'Kilter Holds'!$P$37:$AB$662,5,0),0)</f>
        <v>#NAME?</v>
      </c>
      <c r="I3476" s="274"/>
      <c r="J3476" s="274" t="e">
        <f t="shared" ca="1" si="48"/>
        <v>#NAME?</v>
      </c>
      <c r="K3476" s="274">
        <f t="shared" si="49"/>
        <v>0</v>
      </c>
      <c r="N3476" s="274"/>
    </row>
    <row r="3477" spans="5:14" ht="13.5" customHeight="1">
      <c r="E3477" s="1" t="s">
        <v>559</v>
      </c>
      <c r="F3477" s="1" t="s">
        <v>2767</v>
      </c>
      <c r="G3477" s="408" t="str">
        <f t="shared" si="50"/>
        <v>14-01</v>
      </c>
      <c r="H3477" s="273" t="e">
        <f ca="1">_xludf.IFNA(VLOOKUP(Aragon!E3477,'Kilter Holds'!$P$37:$AB$662,6,0),0)</f>
        <v>#NAME?</v>
      </c>
      <c r="I3477" s="274"/>
      <c r="J3477" s="274" t="e">
        <f t="shared" ca="1" si="48"/>
        <v>#NAME?</v>
      </c>
      <c r="K3477" s="274">
        <f t="shared" si="49"/>
        <v>0</v>
      </c>
      <c r="N3477" s="274"/>
    </row>
    <row r="3478" spans="5:14" ht="13.5" customHeight="1">
      <c r="E3478" s="1" t="s">
        <v>559</v>
      </c>
      <c r="F3478" s="1" t="s">
        <v>2767</v>
      </c>
      <c r="G3478" s="409" t="str">
        <f t="shared" si="50"/>
        <v>15-12</v>
      </c>
      <c r="H3478" s="273" t="e">
        <f ca="1">_xludf.IFNA(VLOOKUP(Aragon!E3478,'Kilter Holds'!$P$37:$AB$662,7,0),0)</f>
        <v>#NAME?</v>
      </c>
      <c r="I3478" s="274"/>
      <c r="J3478" s="274" t="e">
        <f t="shared" ca="1" si="48"/>
        <v>#NAME?</v>
      </c>
      <c r="K3478" s="274">
        <f t="shared" si="49"/>
        <v>0</v>
      </c>
      <c r="N3478" s="274"/>
    </row>
    <row r="3479" spans="5:14" ht="13.5" customHeight="1">
      <c r="E3479" s="1" t="s">
        <v>559</v>
      </c>
      <c r="F3479" s="1" t="s">
        <v>2767</v>
      </c>
      <c r="G3479" s="410" t="str">
        <f t="shared" si="50"/>
        <v>16-16</v>
      </c>
      <c r="H3479" s="273" t="e">
        <f ca="1">_xludf.IFNA(VLOOKUP(Aragon!E3479,'Kilter Holds'!$P$37:$AB$662,8,0),0)</f>
        <v>#NAME?</v>
      </c>
      <c r="I3479" s="274"/>
      <c r="J3479" s="274" t="e">
        <f t="shared" ca="1" si="48"/>
        <v>#NAME?</v>
      </c>
      <c r="K3479" s="274">
        <f t="shared" si="49"/>
        <v>0</v>
      </c>
      <c r="N3479" s="274"/>
    </row>
    <row r="3480" spans="5:14" ht="13.5" customHeight="1">
      <c r="E3480" s="1" t="s">
        <v>559</v>
      </c>
      <c r="F3480" s="1" t="s">
        <v>2767</v>
      </c>
      <c r="G3480" s="411" t="str">
        <f t="shared" si="50"/>
        <v>13-01</v>
      </c>
      <c r="H3480" s="273" t="e">
        <f ca="1">_xludf.IFNA(VLOOKUP(Aragon!E3480,'Kilter Holds'!$P$37:$AB$662,9,0),0)</f>
        <v>#NAME?</v>
      </c>
      <c r="I3480" s="274"/>
      <c r="J3480" s="274" t="e">
        <f t="shared" ca="1" si="48"/>
        <v>#NAME?</v>
      </c>
      <c r="K3480" s="274">
        <f t="shared" si="49"/>
        <v>0</v>
      </c>
      <c r="N3480" s="274"/>
    </row>
    <row r="3481" spans="5:14" ht="13.5" customHeight="1">
      <c r="E3481" s="1" t="s">
        <v>559</v>
      </c>
      <c r="F3481" s="1" t="s">
        <v>2767</v>
      </c>
      <c r="G3481" s="413" t="str">
        <f t="shared" si="50"/>
        <v>07-13</v>
      </c>
      <c r="H3481" s="273" t="e">
        <f ca="1">_xludf.IFNA(VLOOKUP(Aragon!E3481,'Kilter Holds'!$P$37:$AB$662,10,0),0)</f>
        <v>#NAME?</v>
      </c>
      <c r="I3481" s="274"/>
      <c r="J3481" s="274" t="e">
        <f t="shared" ca="1" si="48"/>
        <v>#NAME?</v>
      </c>
      <c r="K3481" s="274">
        <f t="shared" si="49"/>
        <v>0</v>
      </c>
      <c r="N3481" s="274"/>
    </row>
    <row r="3482" spans="5:14" ht="13.5" customHeight="1">
      <c r="E3482" s="1" t="s">
        <v>559</v>
      </c>
      <c r="F3482" s="1" t="s">
        <v>2767</v>
      </c>
      <c r="G3482" s="414" t="str">
        <f t="shared" si="50"/>
        <v>11-26</v>
      </c>
      <c r="H3482" s="273" t="e">
        <f ca="1">_xludf.IFNA(VLOOKUP(Aragon!E3482,'Kilter Holds'!$P$37:$AB$662,11,0),0)</f>
        <v>#NAME?</v>
      </c>
      <c r="I3482" s="274"/>
      <c r="J3482" s="274" t="e">
        <f t="shared" ca="1" si="48"/>
        <v>#NAME?</v>
      </c>
      <c r="K3482" s="274">
        <f t="shared" si="49"/>
        <v>0</v>
      </c>
      <c r="N3482" s="274"/>
    </row>
    <row r="3483" spans="5:14" ht="13.5" customHeight="1">
      <c r="E3483" s="1" t="s">
        <v>559</v>
      </c>
      <c r="F3483" s="1" t="s">
        <v>2767</v>
      </c>
      <c r="G3483" s="415" t="str">
        <f t="shared" si="50"/>
        <v>18-01</v>
      </c>
      <c r="H3483" s="273" t="e">
        <f ca="1">_xludf.IFNA(VLOOKUP(Aragon!E3483,'Kilter Holds'!$P$37:$AB$662,12,0),0)</f>
        <v>#NAME?</v>
      </c>
      <c r="I3483" s="274"/>
      <c r="J3483" s="274" t="e">
        <f t="shared" ca="1" si="48"/>
        <v>#NAME?</v>
      </c>
      <c r="K3483" s="274">
        <f t="shared" si="49"/>
        <v>0</v>
      </c>
      <c r="N3483" s="274"/>
    </row>
    <row r="3484" spans="5:14" ht="13.5" customHeight="1">
      <c r="E3484" s="1" t="s">
        <v>559</v>
      </c>
      <c r="F3484" s="1" t="s">
        <v>2767</v>
      </c>
      <c r="G3484" s="416" t="str">
        <f t="shared" si="50"/>
        <v>Color Code</v>
      </c>
      <c r="H3484" s="273" t="e">
        <f ca="1">_xludf.IFNA(VLOOKUP(Aragon!E3484,'Kilter Holds'!$P$37:$AB$662,13,0),0)</f>
        <v>#NAME?</v>
      </c>
      <c r="I3484" s="274"/>
      <c r="J3484" s="274" t="e">
        <f t="shared" ca="1" si="48"/>
        <v>#NAME?</v>
      </c>
      <c r="K3484" s="274">
        <f t="shared" si="49"/>
        <v>0</v>
      </c>
      <c r="N3484" s="274"/>
    </row>
    <row r="3485" spans="5:14" ht="13.5" customHeight="1">
      <c r="E3485" s="1" t="s">
        <v>602</v>
      </c>
      <c r="F3485" s="1" t="s">
        <v>2768</v>
      </c>
      <c r="G3485" s="406" t="str">
        <f t="shared" si="50"/>
        <v>11-12</v>
      </c>
      <c r="H3485" s="273" t="e">
        <f ca="1">_xludf.IFNA(VLOOKUP(Aragon!E3485,'Kilter Holds'!$P$37:$AB$662,5,0),0)</f>
        <v>#NAME?</v>
      </c>
      <c r="I3485" s="274"/>
      <c r="J3485" s="274" t="e">
        <f t="shared" ca="1" si="48"/>
        <v>#NAME?</v>
      </c>
      <c r="K3485" s="274">
        <f t="shared" si="49"/>
        <v>0</v>
      </c>
      <c r="N3485" s="274"/>
    </row>
    <row r="3486" spans="5:14" ht="13.5" customHeight="1">
      <c r="E3486" s="1" t="s">
        <v>602</v>
      </c>
      <c r="F3486" s="1" t="s">
        <v>2768</v>
      </c>
      <c r="G3486" s="408" t="str">
        <f t="shared" si="50"/>
        <v>14-01</v>
      </c>
      <c r="H3486" s="273" t="e">
        <f ca="1">_xludf.IFNA(VLOOKUP(Aragon!E3486,'Kilter Holds'!$P$37:$AB$662,6,0),0)</f>
        <v>#NAME?</v>
      </c>
      <c r="I3486" s="274"/>
      <c r="J3486" s="274" t="e">
        <f t="shared" ca="1" si="48"/>
        <v>#NAME?</v>
      </c>
      <c r="K3486" s="274">
        <f t="shared" si="49"/>
        <v>0</v>
      </c>
      <c r="N3486" s="274"/>
    </row>
    <row r="3487" spans="5:14" ht="13.5" customHeight="1">
      <c r="E3487" s="1" t="s">
        <v>602</v>
      </c>
      <c r="F3487" s="1" t="s">
        <v>2768</v>
      </c>
      <c r="G3487" s="409" t="str">
        <f t="shared" si="50"/>
        <v>15-12</v>
      </c>
      <c r="H3487" s="273" t="e">
        <f ca="1">_xludf.IFNA(VLOOKUP(Aragon!E3487,'Kilter Holds'!$P$37:$AB$662,7,0),0)</f>
        <v>#NAME?</v>
      </c>
      <c r="I3487" s="274"/>
      <c r="J3487" s="274" t="e">
        <f t="shared" ca="1" si="48"/>
        <v>#NAME?</v>
      </c>
      <c r="K3487" s="274">
        <f t="shared" si="49"/>
        <v>0</v>
      </c>
      <c r="N3487" s="274"/>
    </row>
    <row r="3488" spans="5:14" ht="13.5" customHeight="1">
      <c r="E3488" s="1" t="s">
        <v>602</v>
      </c>
      <c r="F3488" s="1" t="s">
        <v>2768</v>
      </c>
      <c r="G3488" s="410" t="str">
        <f t="shared" si="50"/>
        <v>16-16</v>
      </c>
      <c r="H3488" s="273" t="e">
        <f ca="1">_xludf.IFNA(VLOOKUP(Aragon!E3488,'Kilter Holds'!$P$37:$AB$662,8,0),0)</f>
        <v>#NAME?</v>
      </c>
      <c r="I3488" s="274"/>
      <c r="J3488" s="274" t="e">
        <f t="shared" ca="1" si="48"/>
        <v>#NAME?</v>
      </c>
      <c r="K3488" s="274">
        <f t="shared" si="49"/>
        <v>0</v>
      </c>
      <c r="N3488" s="274"/>
    </row>
    <row r="3489" spans="5:14" ht="13.5" customHeight="1">
      <c r="E3489" s="1" t="s">
        <v>602</v>
      </c>
      <c r="F3489" s="1" t="s">
        <v>2768</v>
      </c>
      <c r="G3489" s="411" t="str">
        <f t="shared" si="50"/>
        <v>13-01</v>
      </c>
      <c r="H3489" s="273" t="e">
        <f ca="1">_xludf.IFNA(VLOOKUP(Aragon!E3489,'Kilter Holds'!$P$37:$AB$662,9,0),0)</f>
        <v>#NAME?</v>
      </c>
      <c r="I3489" s="274"/>
      <c r="J3489" s="274" t="e">
        <f t="shared" ca="1" si="48"/>
        <v>#NAME?</v>
      </c>
      <c r="K3489" s="274">
        <f t="shared" si="49"/>
        <v>0</v>
      </c>
      <c r="N3489" s="274"/>
    </row>
    <row r="3490" spans="5:14" ht="13.5" customHeight="1">
      <c r="E3490" s="1" t="s">
        <v>602</v>
      </c>
      <c r="F3490" s="1" t="s">
        <v>2768</v>
      </c>
      <c r="G3490" s="413" t="str">
        <f t="shared" si="50"/>
        <v>07-13</v>
      </c>
      <c r="H3490" s="273" t="e">
        <f ca="1">_xludf.IFNA(VLOOKUP(Aragon!E3490,'Kilter Holds'!$P$37:$AB$662,10,0),0)</f>
        <v>#NAME?</v>
      </c>
      <c r="I3490" s="274"/>
      <c r="J3490" s="274" t="e">
        <f t="shared" ca="1" si="48"/>
        <v>#NAME?</v>
      </c>
      <c r="K3490" s="274">
        <f t="shared" si="49"/>
        <v>0</v>
      </c>
      <c r="N3490" s="274"/>
    </row>
    <row r="3491" spans="5:14" ht="13.5" customHeight="1">
      <c r="E3491" s="1" t="s">
        <v>602</v>
      </c>
      <c r="F3491" s="1" t="s">
        <v>2768</v>
      </c>
      <c r="G3491" s="414" t="str">
        <f t="shared" si="50"/>
        <v>11-26</v>
      </c>
      <c r="H3491" s="273" t="e">
        <f ca="1">_xludf.IFNA(VLOOKUP(Aragon!E3491,'Kilter Holds'!$P$37:$AB$662,11,0),0)</f>
        <v>#NAME?</v>
      </c>
      <c r="I3491" s="274"/>
      <c r="J3491" s="274" t="e">
        <f t="shared" ca="1" si="48"/>
        <v>#NAME?</v>
      </c>
      <c r="K3491" s="274">
        <f t="shared" si="49"/>
        <v>0</v>
      </c>
      <c r="N3491" s="274"/>
    </row>
    <row r="3492" spans="5:14" ht="13.5" customHeight="1">
      <c r="E3492" s="1" t="s">
        <v>602</v>
      </c>
      <c r="F3492" s="1" t="s">
        <v>2768</v>
      </c>
      <c r="G3492" s="415" t="str">
        <f t="shared" si="50"/>
        <v>18-01</v>
      </c>
      <c r="H3492" s="273" t="e">
        <f ca="1">_xludf.IFNA(VLOOKUP(Aragon!E3492,'Kilter Holds'!$P$37:$AB$662,12,0),0)</f>
        <v>#NAME?</v>
      </c>
      <c r="I3492" s="274"/>
      <c r="J3492" s="274" t="e">
        <f t="shared" ca="1" si="48"/>
        <v>#NAME?</v>
      </c>
      <c r="K3492" s="274">
        <f t="shared" si="49"/>
        <v>0</v>
      </c>
      <c r="N3492" s="274"/>
    </row>
    <row r="3493" spans="5:14" ht="13.5" customHeight="1">
      <c r="E3493" s="1" t="s">
        <v>602</v>
      </c>
      <c r="F3493" s="1" t="s">
        <v>2768</v>
      </c>
      <c r="G3493" s="416" t="str">
        <f t="shared" si="50"/>
        <v>Color Code</v>
      </c>
      <c r="H3493" s="273" t="e">
        <f ca="1">_xludf.IFNA(VLOOKUP(Aragon!E3493,'Kilter Holds'!$P$37:$AB$662,13,0),0)</f>
        <v>#NAME?</v>
      </c>
      <c r="I3493" s="274"/>
      <c r="J3493" s="274" t="e">
        <f t="shared" ca="1" si="48"/>
        <v>#NAME?</v>
      </c>
      <c r="K3493" s="274">
        <f t="shared" si="49"/>
        <v>0</v>
      </c>
      <c r="N3493" s="274"/>
    </row>
    <row r="3494" spans="5:14" ht="13.5" customHeight="1">
      <c r="E3494" s="1" t="s">
        <v>604</v>
      </c>
      <c r="F3494" s="1" t="s">
        <v>2769</v>
      </c>
      <c r="G3494" s="406" t="str">
        <f t="shared" si="50"/>
        <v>11-12</v>
      </c>
      <c r="H3494" s="273" t="e">
        <f ca="1">_xludf.IFNA(VLOOKUP(Aragon!E3494,'Kilter Holds'!$P$37:$AB$662,5,0),0)</f>
        <v>#NAME?</v>
      </c>
      <c r="I3494" s="274"/>
      <c r="J3494" s="274" t="e">
        <f t="shared" ca="1" si="48"/>
        <v>#NAME?</v>
      </c>
      <c r="K3494" s="274">
        <f t="shared" si="49"/>
        <v>0</v>
      </c>
      <c r="N3494" s="274"/>
    </row>
    <row r="3495" spans="5:14" ht="13.5" customHeight="1">
      <c r="E3495" s="1" t="s">
        <v>604</v>
      </c>
      <c r="F3495" s="1" t="s">
        <v>2769</v>
      </c>
      <c r="G3495" s="408" t="str">
        <f t="shared" si="50"/>
        <v>14-01</v>
      </c>
      <c r="H3495" s="273" t="e">
        <f ca="1">_xludf.IFNA(VLOOKUP(Aragon!E3495,'Kilter Holds'!$P$37:$AB$662,6,0),0)</f>
        <v>#NAME?</v>
      </c>
      <c r="I3495" s="274"/>
      <c r="J3495" s="274" t="e">
        <f t="shared" ca="1" si="48"/>
        <v>#NAME?</v>
      </c>
      <c r="K3495" s="274">
        <f t="shared" si="49"/>
        <v>0</v>
      </c>
      <c r="N3495" s="274"/>
    </row>
    <row r="3496" spans="5:14" ht="13.5" customHeight="1">
      <c r="E3496" s="1" t="s">
        <v>604</v>
      </c>
      <c r="F3496" s="1" t="s">
        <v>2769</v>
      </c>
      <c r="G3496" s="409" t="str">
        <f t="shared" si="50"/>
        <v>15-12</v>
      </c>
      <c r="H3496" s="273" t="e">
        <f ca="1">_xludf.IFNA(VLOOKUP(Aragon!E3496,'Kilter Holds'!$P$37:$AB$662,7,0),0)</f>
        <v>#NAME?</v>
      </c>
      <c r="I3496" s="274"/>
      <c r="J3496" s="274" t="e">
        <f t="shared" ca="1" si="48"/>
        <v>#NAME?</v>
      </c>
      <c r="K3496" s="274">
        <f t="shared" si="49"/>
        <v>0</v>
      </c>
      <c r="N3496" s="274"/>
    </row>
    <row r="3497" spans="5:14" ht="13.5" customHeight="1">
      <c r="E3497" s="1" t="s">
        <v>604</v>
      </c>
      <c r="F3497" s="1" t="s">
        <v>2769</v>
      </c>
      <c r="G3497" s="410" t="str">
        <f t="shared" si="50"/>
        <v>16-16</v>
      </c>
      <c r="H3497" s="273" t="e">
        <f ca="1">_xludf.IFNA(VLOOKUP(Aragon!E3497,'Kilter Holds'!$P$37:$AB$662,8,0),0)</f>
        <v>#NAME?</v>
      </c>
      <c r="I3497" s="274"/>
      <c r="J3497" s="274" t="e">
        <f t="shared" ca="1" si="48"/>
        <v>#NAME?</v>
      </c>
      <c r="K3497" s="274">
        <f t="shared" si="49"/>
        <v>0</v>
      </c>
      <c r="N3497" s="274"/>
    </row>
    <row r="3498" spans="5:14" ht="13.5" customHeight="1">
      <c r="E3498" s="1" t="s">
        <v>604</v>
      </c>
      <c r="F3498" s="1" t="s">
        <v>2769</v>
      </c>
      <c r="G3498" s="411" t="str">
        <f t="shared" si="50"/>
        <v>13-01</v>
      </c>
      <c r="H3498" s="273" t="e">
        <f ca="1">_xludf.IFNA(VLOOKUP(Aragon!E3498,'Kilter Holds'!$P$37:$AB$662,9,0),0)</f>
        <v>#NAME?</v>
      </c>
      <c r="I3498" s="274"/>
      <c r="J3498" s="274" t="e">
        <f t="shared" ca="1" si="48"/>
        <v>#NAME?</v>
      </c>
      <c r="K3498" s="274">
        <f t="shared" si="49"/>
        <v>0</v>
      </c>
      <c r="N3498" s="274"/>
    </row>
    <row r="3499" spans="5:14" ht="13.5" customHeight="1">
      <c r="E3499" s="1" t="s">
        <v>604</v>
      </c>
      <c r="F3499" s="1" t="s">
        <v>2769</v>
      </c>
      <c r="G3499" s="413" t="str">
        <f t="shared" si="50"/>
        <v>07-13</v>
      </c>
      <c r="H3499" s="273" t="e">
        <f ca="1">_xludf.IFNA(VLOOKUP(Aragon!E3499,'Kilter Holds'!$P$37:$AB$662,10,0),0)</f>
        <v>#NAME?</v>
      </c>
      <c r="I3499" s="274"/>
      <c r="J3499" s="274" t="e">
        <f t="shared" ca="1" si="48"/>
        <v>#NAME?</v>
      </c>
      <c r="K3499" s="274">
        <f t="shared" si="49"/>
        <v>0</v>
      </c>
      <c r="N3499" s="274"/>
    </row>
    <row r="3500" spans="5:14" ht="13.5" customHeight="1">
      <c r="E3500" s="1" t="s">
        <v>604</v>
      </c>
      <c r="F3500" s="1" t="s">
        <v>2769</v>
      </c>
      <c r="G3500" s="414" t="str">
        <f t="shared" si="50"/>
        <v>11-26</v>
      </c>
      <c r="H3500" s="273" t="e">
        <f ca="1">_xludf.IFNA(VLOOKUP(Aragon!E3500,'Kilter Holds'!$P$37:$AB$662,11,0),0)</f>
        <v>#NAME?</v>
      </c>
      <c r="I3500" s="274"/>
      <c r="J3500" s="274" t="e">
        <f t="shared" ca="1" si="48"/>
        <v>#NAME?</v>
      </c>
      <c r="K3500" s="274">
        <f t="shared" si="49"/>
        <v>0</v>
      </c>
      <c r="N3500" s="274"/>
    </row>
    <row r="3501" spans="5:14" ht="13.5" customHeight="1">
      <c r="E3501" s="1" t="s">
        <v>604</v>
      </c>
      <c r="F3501" s="1" t="s">
        <v>2769</v>
      </c>
      <c r="G3501" s="415" t="str">
        <f t="shared" si="50"/>
        <v>18-01</v>
      </c>
      <c r="H3501" s="273" t="e">
        <f ca="1">_xludf.IFNA(VLOOKUP(Aragon!E3501,'Kilter Holds'!$P$37:$AB$662,12,0),0)</f>
        <v>#NAME?</v>
      </c>
      <c r="I3501" s="274"/>
      <c r="J3501" s="274" t="e">
        <f t="shared" ca="1" si="48"/>
        <v>#NAME?</v>
      </c>
      <c r="K3501" s="274">
        <f t="shared" si="49"/>
        <v>0</v>
      </c>
      <c r="N3501" s="274"/>
    </row>
    <row r="3502" spans="5:14" ht="13.5" customHeight="1">
      <c r="E3502" s="1" t="s">
        <v>604</v>
      </c>
      <c r="F3502" s="1" t="s">
        <v>2769</v>
      </c>
      <c r="G3502" s="416" t="str">
        <f t="shared" si="50"/>
        <v>Color Code</v>
      </c>
      <c r="H3502" s="273" t="e">
        <f ca="1">_xludf.IFNA(VLOOKUP(Aragon!E3502,'Kilter Holds'!$P$37:$AB$662,13,0),0)</f>
        <v>#NAME?</v>
      </c>
      <c r="I3502" s="274"/>
      <c r="J3502" s="274" t="e">
        <f t="shared" ca="1" si="48"/>
        <v>#NAME?</v>
      </c>
      <c r="K3502" s="274">
        <f t="shared" si="49"/>
        <v>0</v>
      </c>
      <c r="N3502" s="274"/>
    </row>
    <row r="3503" spans="5:14" ht="13.5" customHeight="1">
      <c r="E3503" s="1" t="s">
        <v>606</v>
      </c>
      <c r="F3503" s="1" t="s">
        <v>2770</v>
      </c>
      <c r="G3503" s="406" t="str">
        <f t="shared" si="50"/>
        <v>11-12</v>
      </c>
      <c r="H3503" s="273" t="e">
        <f ca="1">_xludf.IFNA(VLOOKUP(Aragon!E3503,'Kilter Holds'!$P$37:$AB$662,5,0),0)</f>
        <v>#NAME?</v>
      </c>
      <c r="I3503" s="274"/>
      <c r="J3503" s="274" t="e">
        <f t="shared" ca="1" si="48"/>
        <v>#NAME?</v>
      </c>
      <c r="K3503" s="274">
        <f t="shared" si="49"/>
        <v>0</v>
      </c>
      <c r="N3503" s="274"/>
    </row>
    <row r="3504" spans="5:14" ht="13.5" customHeight="1">
      <c r="E3504" s="1" t="s">
        <v>606</v>
      </c>
      <c r="F3504" s="1" t="s">
        <v>2770</v>
      </c>
      <c r="G3504" s="408" t="str">
        <f t="shared" si="50"/>
        <v>14-01</v>
      </c>
      <c r="H3504" s="273" t="e">
        <f ca="1">_xludf.IFNA(VLOOKUP(Aragon!E3504,'Kilter Holds'!$P$37:$AB$662,6,0),0)</f>
        <v>#NAME?</v>
      </c>
      <c r="I3504" s="274"/>
      <c r="J3504" s="274" t="e">
        <f t="shared" ca="1" si="48"/>
        <v>#NAME?</v>
      </c>
      <c r="K3504" s="274">
        <f t="shared" si="49"/>
        <v>0</v>
      </c>
      <c r="N3504" s="274"/>
    </row>
    <row r="3505" spans="5:14" ht="13.5" customHeight="1">
      <c r="E3505" s="1" t="s">
        <v>606</v>
      </c>
      <c r="F3505" s="1" t="s">
        <v>2770</v>
      </c>
      <c r="G3505" s="409" t="str">
        <f t="shared" si="50"/>
        <v>15-12</v>
      </c>
      <c r="H3505" s="273" t="e">
        <f ca="1">_xludf.IFNA(VLOOKUP(Aragon!E3505,'Kilter Holds'!$P$37:$AB$662,7,0),0)</f>
        <v>#NAME?</v>
      </c>
      <c r="I3505" s="274"/>
      <c r="J3505" s="274" t="e">
        <f t="shared" ca="1" si="48"/>
        <v>#NAME?</v>
      </c>
      <c r="K3505" s="274">
        <f t="shared" si="49"/>
        <v>0</v>
      </c>
      <c r="N3505" s="274"/>
    </row>
    <row r="3506" spans="5:14" ht="13.5" customHeight="1">
      <c r="E3506" s="1" t="s">
        <v>606</v>
      </c>
      <c r="F3506" s="1" t="s">
        <v>2770</v>
      </c>
      <c r="G3506" s="410" t="str">
        <f t="shared" si="50"/>
        <v>16-16</v>
      </c>
      <c r="H3506" s="273" t="e">
        <f ca="1">_xludf.IFNA(VLOOKUP(Aragon!E3506,'Kilter Holds'!$P$37:$AB$662,8,0),0)</f>
        <v>#NAME?</v>
      </c>
      <c r="I3506" s="274"/>
      <c r="J3506" s="274" t="e">
        <f t="shared" ca="1" si="48"/>
        <v>#NAME?</v>
      </c>
      <c r="K3506" s="274">
        <f t="shared" si="49"/>
        <v>0</v>
      </c>
      <c r="N3506" s="274"/>
    </row>
    <row r="3507" spans="5:14" ht="13.5" customHeight="1">
      <c r="E3507" s="1" t="s">
        <v>606</v>
      </c>
      <c r="F3507" s="1" t="s">
        <v>2770</v>
      </c>
      <c r="G3507" s="411" t="str">
        <f t="shared" si="50"/>
        <v>13-01</v>
      </c>
      <c r="H3507" s="273" t="e">
        <f ca="1">_xludf.IFNA(VLOOKUP(Aragon!E3507,'Kilter Holds'!$P$37:$AB$662,9,0),0)</f>
        <v>#NAME?</v>
      </c>
      <c r="I3507" s="274"/>
      <c r="J3507" s="274" t="e">
        <f t="shared" ca="1" si="48"/>
        <v>#NAME?</v>
      </c>
      <c r="K3507" s="274">
        <f t="shared" si="49"/>
        <v>0</v>
      </c>
      <c r="N3507" s="274"/>
    </row>
    <row r="3508" spans="5:14" ht="13.5" customHeight="1">
      <c r="E3508" s="1" t="s">
        <v>606</v>
      </c>
      <c r="F3508" s="1" t="s">
        <v>2770</v>
      </c>
      <c r="G3508" s="413" t="str">
        <f t="shared" si="50"/>
        <v>07-13</v>
      </c>
      <c r="H3508" s="273" t="e">
        <f ca="1">_xludf.IFNA(VLOOKUP(Aragon!E3508,'Kilter Holds'!$P$37:$AB$662,10,0),0)</f>
        <v>#NAME?</v>
      </c>
      <c r="I3508" s="274"/>
      <c r="J3508" s="274" t="e">
        <f t="shared" ca="1" si="48"/>
        <v>#NAME?</v>
      </c>
      <c r="K3508" s="274">
        <f t="shared" si="49"/>
        <v>0</v>
      </c>
      <c r="N3508" s="274"/>
    </row>
    <row r="3509" spans="5:14" ht="13.5" customHeight="1">
      <c r="E3509" s="1" t="s">
        <v>606</v>
      </c>
      <c r="F3509" s="1" t="s">
        <v>2770</v>
      </c>
      <c r="G3509" s="414" t="str">
        <f t="shared" si="50"/>
        <v>11-26</v>
      </c>
      <c r="H3509" s="273" t="e">
        <f ca="1">_xludf.IFNA(VLOOKUP(Aragon!E3509,'Kilter Holds'!$P$37:$AB$662,11,0),0)</f>
        <v>#NAME?</v>
      </c>
      <c r="I3509" s="274"/>
      <c r="J3509" s="274" t="e">
        <f t="shared" ca="1" si="48"/>
        <v>#NAME?</v>
      </c>
      <c r="K3509" s="274">
        <f t="shared" si="49"/>
        <v>0</v>
      </c>
      <c r="N3509" s="274"/>
    </row>
    <row r="3510" spans="5:14" ht="13.5" customHeight="1">
      <c r="E3510" s="1" t="s">
        <v>606</v>
      </c>
      <c r="F3510" s="1" t="s">
        <v>2770</v>
      </c>
      <c r="G3510" s="415" t="str">
        <f t="shared" si="50"/>
        <v>18-01</v>
      </c>
      <c r="H3510" s="273" t="e">
        <f ca="1">_xludf.IFNA(VLOOKUP(Aragon!E3510,'Kilter Holds'!$P$37:$AB$662,12,0),0)</f>
        <v>#NAME?</v>
      </c>
      <c r="I3510" s="274"/>
      <c r="J3510" s="274" t="e">
        <f t="shared" ca="1" si="48"/>
        <v>#NAME?</v>
      </c>
      <c r="K3510" s="274">
        <f t="shared" si="49"/>
        <v>0</v>
      </c>
      <c r="N3510" s="274"/>
    </row>
    <row r="3511" spans="5:14" ht="13.5" customHeight="1">
      <c r="E3511" s="1" t="s">
        <v>606</v>
      </c>
      <c r="F3511" s="1" t="s">
        <v>2770</v>
      </c>
      <c r="G3511" s="416" t="str">
        <f t="shared" si="50"/>
        <v>Color Code</v>
      </c>
      <c r="H3511" s="273" t="e">
        <f ca="1">_xludf.IFNA(VLOOKUP(Aragon!E3511,'Kilter Holds'!$P$37:$AB$662,13,0),0)</f>
        <v>#NAME?</v>
      </c>
      <c r="I3511" s="274"/>
      <c r="J3511" s="274" t="e">
        <f t="shared" ca="1" si="48"/>
        <v>#NAME?</v>
      </c>
      <c r="K3511" s="274">
        <f t="shared" si="49"/>
        <v>0</v>
      </c>
      <c r="N3511" s="274"/>
    </row>
    <row r="3512" spans="5:14" ht="13.5" customHeight="1">
      <c r="E3512" s="1" t="s">
        <v>608</v>
      </c>
      <c r="F3512" s="1" t="s">
        <v>2771</v>
      </c>
      <c r="G3512" s="406" t="str">
        <f t="shared" si="50"/>
        <v>11-12</v>
      </c>
      <c r="H3512" s="273" t="e">
        <f ca="1">_xludf.IFNA(VLOOKUP(Aragon!E3512,'Kilter Holds'!$P$37:$AB$662,5,0),0)</f>
        <v>#NAME?</v>
      </c>
      <c r="I3512" s="274"/>
      <c r="J3512" s="274" t="e">
        <f t="shared" ca="1" si="48"/>
        <v>#NAME?</v>
      </c>
      <c r="K3512" s="274">
        <f t="shared" si="49"/>
        <v>0</v>
      </c>
      <c r="N3512" s="274"/>
    </row>
    <row r="3513" spans="5:14" ht="13.5" customHeight="1">
      <c r="E3513" s="1" t="s">
        <v>608</v>
      </c>
      <c r="F3513" s="1" t="s">
        <v>2771</v>
      </c>
      <c r="G3513" s="408" t="str">
        <f t="shared" si="50"/>
        <v>14-01</v>
      </c>
      <c r="H3513" s="273" t="e">
        <f ca="1">_xludf.IFNA(VLOOKUP(Aragon!E3513,'Kilter Holds'!$P$37:$AB$662,6,0),0)</f>
        <v>#NAME?</v>
      </c>
      <c r="I3513" s="274"/>
      <c r="J3513" s="274" t="e">
        <f t="shared" ca="1" si="48"/>
        <v>#NAME?</v>
      </c>
      <c r="K3513" s="274">
        <f t="shared" si="49"/>
        <v>0</v>
      </c>
      <c r="N3513" s="274"/>
    </row>
    <row r="3514" spans="5:14" ht="13.5" customHeight="1">
      <c r="E3514" s="1" t="s">
        <v>608</v>
      </c>
      <c r="F3514" s="1" t="s">
        <v>2771</v>
      </c>
      <c r="G3514" s="409" t="str">
        <f t="shared" si="50"/>
        <v>15-12</v>
      </c>
      <c r="H3514" s="273" t="e">
        <f ca="1">_xludf.IFNA(VLOOKUP(Aragon!E3514,'Kilter Holds'!$P$37:$AB$662,7,0),0)</f>
        <v>#NAME?</v>
      </c>
      <c r="I3514" s="274"/>
      <c r="J3514" s="274" t="e">
        <f t="shared" ca="1" si="48"/>
        <v>#NAME?</v>
      </c>
      <c r="K3514" s="274">
        <f t="shared" si="49"/>
        <v>0</v>
      </c>
      <c r="N3514" s="274"/>
    </row>
    <row r="3515" spans="5:14" ht="13.5" customHeight="1">
      <c r="E3515" s="1" t="s">
        <v>608</v>
      </c>
      <c r="F3515" s="1" t="s">
        <v>2771</v>
      </c>
      <c r="G3515" s="410" t="str">
        <f t="shared" si="50"/>
        <v>16-16</v>
      </c>
      <c r="H3515" s="273" t="e">
        <f ca="1">_xludf.IFNA(VLOOKUP(Aragon!E3515,'Kilter Holds'!$P$37:$AB$662,8,0),0)</f>
        <v>#NAME?</v>
      </c>
      <c r="I3515" s="274"/>
      <c r="J3515" s="274" t="e">
        <f t="shared" ca="1" si="48"/>
        <v>#NAME?</v>
      </c>
      <c r="K3515" s="274">
        <f t="shared" si="49"/>
        <v>0</v>
      </c>
      <c r="N3515" s="274"/>
    </row>
    <row r="3516" spans="5:14" ht="13.5" customHeight="1">
      <c r="E3516" s="1" t="s">
        <v>608</v>
      </c>
      <c r="F3516" s="1" t="s">
        <v>2771</v>
      </c>
      <c r="G3516" s="411" t="str">
        <f t="shared" si="50"/>
        <v>13-01</v>
      </c>
      <c r="H3516" s="273" t="e">
        <f ca="1">_xludf.IFNA(VLOOKUP(Aragon!E3516,'Kilter Holds'!$P$37:$AB$662,9,0),0)</f>
        <v>#NAME?</v>
      </c>
      <c r="I3516" s="274"/>
      <c r="J3516" s="274" t="e">
        <f t="shared" ca="1" si="48"/>
        <v>#NAME?</v>
      </c>
      <c r="K3516" s="274">
        <f t="shared" si="49"/>
        <v>0</v>
      </c>
      <c r="N3516" s="274"/>
    </row>
    <row r="3517" spans="5:14" ht="13.5" customHeight="1">
      <c r="E3517" s="1" t="s">
        <v>608</v>
      </c>
      <c r="F3517" s="1" t="s">
        <v>2771</v>
      </c>
      <c r="G3517" s="413" t="str">
        <f t="shared" si="50"/>
        <v>07-13</v>
      </c>
      <c r="H3517" s="273" t="e">
        <f ca="1">_xludf.IFNA(VLOOKUP(Aragon!E3517,'Kilter Holds'!$P$37:$AB$662,10,0),0)</f>
        <v>#NAME?</v>
      </c>
      <c r="I3517" s="274"/>
      <c r="J3517" s="274" t="e">
        <f t="shared" ca="1" si="48"/>
        <v>#NAME?</v>
      </c>
      <c r="K3517" s="274">
        <f t="shared" si="49"/>
        <v>0</v>
      </c>
      <c r="N3517" s="274"/>
    </row>
    <row r="3518" spans="5:14" ht="13.5" customHeight="1">
      <c r="E3518" s="1" t="s">
        <v>608</v>
      </c>
      <c r="F3518" s="1" t="s">
        <v>2771</v>
      </c>
      <c r="G3518" s="414" t="str">
        <f t="shared" si="50"/>
        <v>11-26</v>
      </c>
      <c r="H3518" s="273" t="e">
        <f ca="1">_xludf.IFNA(VLOOKUP(Aragon!E3518,'Kilter Holds'!$P$37:$AB$662,11,0),0)</f>
        <v>#NAME?</v>
      </c>
      <c r="I3518" s="274"/>
      <c r="J3518" s="274" t="e">
        <f t="shared" ca="1" si="48"/>
        <v>#NAME?</v>
      </c>
      <c r="K3518" s="274">
        <f t="shared" si="49"/>
        <v>0</v>
      </c>
      <c r="N3518" s="274"/>
    </row>
    <row r="3519" spans="5:14" ht="13.5" customHeight="1">
      <c r="E3519" s="1" t="s">
        <v>608</v>
      </c>
      <c r="F3519" s="1" t="s">
        <v>2771</v>
      </c>
      <c r="G3519" s="415" t="str">
        <f t="shared" si="50"/>
        <v>18-01</v>
      </c>
      <c r="H3519" s="273" t="e">
        <f ca="1">_xludf.IFNA(VLOOKUP(Aragon!E3519,'Kilter Holds'!$P$37:$AB$662,12,0),0)</f>
        <v>#NAME?</v>
      </c>
      <c r="I3519" s="274"/>
      <c r="J3519" s="274" t="e">
        <f t="shared" ca="1" si="48"/>
        <v>#NAME?</v>
      </c>
      <c r="K3519" s="274">
        <f t="shared" si="49"/>
        <v>0</v>
      </c>
      <c r="N3519" s="274"/>
    </row>
    <row r="3520" spans="5:14" ht="13.5" customHeight="1">
      <c r="E3520" s="1" t="s">
        <v>608</v>
      </c>
      <c r="F3520" s="1" t="s">
        <v>2771</v>
      </c>
      <c r="G3520" s="416" t="str">
        <f t="shared" si="50"/>
        <v>Color Code</v>
      </c>
      <c r="H3520" s="273" t="e">
        <f ca="1">_xludf.IFNA(VLOOKUP(Aragon!E3520,'Kilter Holds'!$P$37:$AB$662,13,0),0)</f>
        <v>#NAME?</v>
      </c>
      <c r="I3520" s="274"/>
      <c r="J3520" s="274" t="e">
        <f t="shared" ca="1" si="48"/>
        <v>#NAME?</v>
      </c>
      <c r="K3520" s="274">
        <f t="shared" si="49"/>
        <v>0</v>
      </c>
      <c r="N3520" s="274"/>
    </row>
    <row r="3521" spans="5:14" ht="13.5" customHeight="1">
      <c r="E3521" s="1" t="s">
        <v>610</v>
      </c>
      <c r="F3521" s="1" t="s">
        <v>2772</v>
      </c>
      <c r="G3521" s="406" t="str">
        <f t="shared" si="50"/>
        <v>11-12</v>
      </c>
      <c r="H3521" s="273" t="e">
        <f ca="1">_xludf.IFNA(VLOOKUP(Aragon!E3521,'Kilter Holds'!$P$37:$AB$662,5,0),0)</f>
        <v>#NAME?</v>
      </c>
      <c r="I3521" s="274"/>
      <c r="J3521" s="274" t="e">
        <f t="shared" ca="1" si="48"/>
        <v>#NAME?</v>
      </c>
      <c r="K3521" s="274">
        <f t="shared" si="49"/>
        <v>0</v>
      </c>
      <c r="N3521" s="274"/>
    </row>
    <row r="3522" spans="5:14" ht="13.5" customHeight="1">
      <c r="E3522" s="1" t="s">
        <v>610</v>
      </c>
      <c r="F3522" s="1" t="s">
        <v>2772</v>
      </c>
      <c r="G3522" s="408" t="str">
        <f t="shared" si="50"/>
        <v>14-01</v>
      </c>
      <c r="H3522" s="273" t="e">
        <f ca="1">_xludf.IFNA(VLOOKUP(Aragon!E3522,'Kilter Holds'!$P$37:$AB$662,6,0),0)</f>
        <v>#NAME?</v>
      </c>
      <c r="I3522" s="274"/>
      <c r="J3522" s="274" t="e">
        <f t="shared" ca="1" si="48"/>
        <v>#NAME?</v>
      </c>
      <c r="K3522" s="274">
        <f t="shared" si="49"/>
        <v>0</v>
      </c>
      <c r="N3522" s="274"/>
    </row>
    <row r="3523" spans="5:14" ht="13.5" customHeight="1">
      <c r="E3523" s="1" t="s">
        <v>610</v>
      </c>
      <c r="F3523" s="1" t="s">
        <v>2772</v>
      </c>
      <c r="G3523" s="409" t="str">
        <f t="shared" si="50"/>
        <v>15-12</v>
      </c>
      <c r="H3523" s="273" t="e">
        <f ca="1">_xludf.IFNA(VLOOKUP(Aragon!E3523,'Kilter Holds'!$P$37:$AB$662,7,0),0)</f>
        <v>#NAME?</v>
      </c>
      <c r="I3523" s="274"/>
      <c r="J3523" s="274" t="e">
        <f t="shared" ca="1" si="48"/>
        <v>#NAME?</v>
      </c>
      <c r="K3523" s="274">
        <f t="shared" si="49"/>
        <v>0</v>
      </c>
      <c r="N3523" s="274"/>
    </row>
    <row r="3524" spans="5:14" ht="13.5" customHeight="1">
      <c r="E3524" s="1" t="s">
        <v>610</v>
      </c>
      <c r="F3524" s="1" t="s">
        <v>2772</v>
      </c>
      <c r="G3524" s="410" t="str">
        <f t="shared" si="50"/>
        <v>16-16</v>
      </c>
      <c r="H3524" s="273" t="e">
        <f ca="1">_xludf.IFNA(VLOOKUP(Aragon!E3524,'Kilter Holds'!$P$37:$AB$662,8,0),0)</f>
        <v>#NAME?</v>
      </c>
      <c r="I3524" s="274"/>
      <c r="J3524" s="274" t="e">
        <f t="shared" ca="1" si="48"/>
        <v>#NAME?</v>
      </c>
      <c r="K3524" s="274">
        <f t="shared" si="49"/>
        <v>0</v>
      </c>
      <c r="N3524" s="274"/>
    </row>
    <row r="3525" spans="5:14" ht="13.5" customHeight="1">
      <c r="E3525" s="1" t="s">
        <v>610</v>
      </c>
      <c r="F3525" s="1" t="s">
        <v>2772</v>
      </c>
      <c r="G3525" s="411" t="str">
        <f t="shared" si="50"/>
        <v>13-01</v>
      </c>
      <c r="H3525" s="273" t="e">
        <f ca="1">_xludf.IFNA(VLOOKUP(Aragon!E3525,'Kilter Holds'!$P$37:$AB$662,9,0),0)</f>
        <v>#NAME?</v>
      </c>
      <c r="I3525" s="274"/>
      <c r="J3525" s="274" t="e">
        <f t="shared" ca="1" si="48"/>
        <v>#NAME?</v>
      </c>
      <c r="K3525" s="274">
        <f t="shared" si="49"/>
        <v>0</v>
      </c>
      <c r="N3525" s="274"/>
    </row>
    <row r="3526" spans="5:14" ht="13.5" customHeight="1">
      <c r="E3526" s="1" t="s">
        <v>610</v>
      </c>
      <c r="F3526" s="1" t="s">
        <v>2772</v>
      </c>
      <c r="G3526" s="413" t="str">
        <f t="shared" si="50"/>
        <v>07-13</v>
      </c>
      <c r="H3526" s="273" t="e">
        <f ca="1">_xludf.IFNA(VLOOKUP(Aragon!E3526,'Kilter Holds'!$P$37:$AB$662,10,0),0)</f>
        <v>#NAME?</v>
      </c>
      <c r="I3526" s="274"/>
      <c r="J3526" s="274" t="e">
        <f t="shared" ca="1" si="48"/>
        <v>#NAME?</v>
      </c>
      <c r="K3526" s="274">
        <f t="shared" si="49"/>
        <v>0</v>
      </c>
      <c r="N3526" s="274"/>
    </row>
    <row r="3527" spans="5:14" ht="13.5" customHeight="1">
      <c r="E3527" s="1" t="s">
        <v>610</v>
      </c>
      <c r="F3527" s="1" t="s">
        <v>2772</v>
      </c>
      <c r="G3527" s="414" t="str">
        <f t="shared" si="50"/>
        <v>11-26</v>
      </c>
      <c r="H3527" s="273" t="e">
        <f ca="1">_xludf.IFNA(VLOOKUP(Aragon!E3527,'Kilter Holds'!$P$37:$AB$662,11,0),0)</f>
        <v>#NAME?</v>
      </c>
      <c r="I3527" s="274"/>
      <c r="J3527" s="274" t="e">
        <f t="shared" ca="1" si="48"/>
        <v>#NAME?</v>
      </c>
      <c r="K3527" s="274">
        <f t="shared" si="49"/>
        <v>0</v>
      </c>
      <c r="N3527" s="274"/>
    </row>
    <row r="3528" spans="5:14" ht="13.5" customHeight="1">
      <c r="E3528" s="1" t="s">
        <v>610</v>
      </c>
      <c r="F3528" s="1" t="s">
        <v>2772</v>
      </c>
      <c r="G3528" s="415" t="str">
        <f t="shared" si="50"/>
        <v>18-01</v>
      </c>
      <c r="H3528" s="273" t="e">
        <f ca="1">_xludf.IFNA(VLOOKUP(Aragon!E3528,'Kilter Holds'!$P$37:$AB$662,12,0),0)</f>
        <v>#NAME?</v>
      </c>
      <c r="I3528" s="274"/>
      <c r="J3528" s="274" t="e">
        <f t="shared" ca="1" si="48"/>
        <v>#NAME?</v>
      </c>
      <c r="K3528" s="274">
        <f t="shared" si="49"/>
        <v>0</v>
      </c>
      <c r="N3528" s="274"/>
    </row>
    <row r="3529" spans="5:14" ht="13.5" customHeight="1">
      <c r="E3529" s="1" t="s">
        <v>610</v>
      </c>
      <c r="F3529" s="1" t="s">
        <v>2772</v>
      </c>
      <c r="G3529" s="416" t="str">
        <f t="shared" si="50"/>
        <v>Color Code</v>
      </c>
      <c r="H3529" s="273" t="e">
        <f ca="1">_xludf.IFNA(VLOOKUP(Aragon!E3529,'Kilter Holds'!$P$37:$AB$662,13,0),0)</f>
        <v>#NAME?</v>
      </c>
      <c r="I3529" s="274"/>
      <c r="J3529" s="274" t="e">
        <f t="shared" ca="1" si="48"/>
        <v>#NAME?</v>
      </c>
      <c r="K3529" s="274">
        <f t="shared" si="49"/>
        <v>0</v>
      </c>
      <c r="N3529" s="274"/>
    </row>
    <row r="3530" spans="5:14" ht="13.5" customHeight="1">
      <c r="E3530" s="1" t="s">
        <v>612</v>
      </c>
      <c r="F3530" s="1" t="s">
        <v>2773</v>
      </c>
      <c r="G3530" s="406" t="str">
        <f t="shared" si="50"/>
        <v>11-12</v>
      </c>
      <c r="H3530" s="273" t="e">
        <f ca="1">_xludf.IFNA(VLOOKUP(Aragon!E3530,'Kilter Holds'!$P$37:$AB$662,5,0),0)</f>
        <v>#NAME?</v>
      </c>
      <c r="I3530" s="274"/>
      <c r="J3530" s="274" t="e">
        <f t="shared" ca="1" si="48"/>
        <v>#NAME?</v>
      </c>
      <c r="K3530" s="274">
        <f t="shared" si="49"/>
        <v>0</v>
      </c>
      <c r="N3530" s="274"/>
    </row>
    <row r="3531" spans="5:14" ht="13.5" customHeight="1">
      <c r="E3531" s="1" t="s">
        <v>612</v>
      </c>
      <c r="F3531" s="1" t="s">
        <v>2773</v>
      </c>
      <c r="G3531" s="408" t="str">
        <f t="shared" si="50"/>
        <v>14-01</v>
      </c>
      <c r="H3531" s="273" t="e">
        <f ca="1">_xludf.IFNA(VLOOKUP(Aragon!E3531,'Kilter Holds'!$P$37:$AB$662,6,0),0)</f>
        <v>#NAME?</v>
      </c>
      <c r="I3531" s="274"/>
      <c r="J3531" s="274" t="e">
        <f t="shared" ca="1" si="48"/>
        <v>#NAME?</v>
      </c>
      <c r="K3531" s="274">
        <f t="shared" si="49"/>
        <v>0</v>
      </c>
      <c r="N3531" s="274"/>
    </row>
    <row r="3532" spans="5:14" ht="13.5" customHeight="1">
      <c r="E3532" s="1" t="s">
        <v>612</v>
      </c>
      <c r="F3532" s="1" t="s">
        <v>2773</v>
      </c>
      <c r="G3532" s="409" t="str">
        <f t="shared" si="50"/>
        <v>15-12</v>
      </c>
      <c r="H3532" s="273" t="e">
        <f ca="1">_xludf.IFNA(VLOOKUP(Aragon!E3532,'Kilter Holds'!$P$37:$AB$662,7,0),0)</f>
        <v>#NAME?</v>
      </c>
      <c r="I3532" s="274"/>
      <c r="J3532" s="274" t="e">
        <f t="shared" ca="1" si="48"/>
        <v>#NAME?</v>
      </c>
      <c r="K3532" s="274">
        <f t="shared" si="49"/>
        <v>0</v>
      </c>
      <c r="N3532" s="274"/>
    </row>
    <row r="3533" spans="5:14" ht="13.5" customHeight="1">
      <c r="E3533" s="1" t="s">
        <v>612</v>
      </c>
      <c r="F3533" s="1" t="s">
        <v>2773</v>
      </c>
      <c r="G3533" s="410" t="str">
        <f t="shared" si="50"/>
        <v>16-16</v>
      </c>
      <c r="H3533" s="273" t="e">
        <f ca="1">_xludf.IFNA(VLOOKUP(Aragon!E3533,'Kilter Holds'!$P$37:$AB$662,8,0),0)</f>
        <v>#NAME?</v>
      </c>
      <c r="I3533" s="274"/>
      <c r="J3533" s="274" t="e">
        <f t="shared" ca="1" si="48"/>
        <v>#NAME?</v>
      </c>
      <c r="K3533" s="274">
        <f t="shared" si="49"/>
        <v>0</v>
      </c>
      <c r="N3533" s="274"/>
    </row>
    <row r="3534" spans="5:14" ht="13.5" customHeight="1">
      <c r="E3534" s="1" t="s">
        <v>612</v>
      </c>
      <c r="F3534" s="1" t="s">
        <v>2773</v>
      </c>
      <c r="G3534" s="411" t="str">
        <f t="shared" si="50"/>
        <v>13-01</v>
      </c>
      <c r="H3534" s="273" t="e">
        <f ca="1">_xludf.IFNA(VLOOKUP(Aragon!E3534,'Kilter Holds'!$P$37:$AB$662,9,0),0)</f>
        <v>#NAME?</v>
      </c>
      <c r="I3534" s="274"/>
      <c r="J3534" s="274" t="e">
        <f t="shared" ca="1" si="48"/>
        <v>#NAME?</v>
      </c>
      <c r="K3534" s="274">
        <f t="shared" si="49"/>
        <v>0</v>
      </c>
      <c r="N3534" s="274"/>
    </row>
    <row r="3535" spans="5:14" ht="13.5" customHeight="1">
      <c r="E3535" s="1" t="s">
        <v>612</v>
      </c>
      <c r="F3535" s="1" t="s">
        <v>2773</v>
      </c>
      <c r="G3535" s="413" t="str">
        <f t="shared" si="50"/>
        <v>07-13</v>
      </c>
      <c r="H3535" s="273" t="e">
        <f ca="1">_xludf.IFNA(VLOOKUP(Aragon!E3535,'Kilter Holds'!$P$37:$AB$662,10,0),0)</f>
        <v>#NAME?</v>
      </c>
      <c r="I3535" s="274"/>
      <c r="J3535" s="274" t="e">
        <f t="shared" ca="1" si="48"/>
        <v>#NAME?</v>
      </c>
      <c r="K3535" s="274">
        <f t="shared" si="49"/>
        <v>0</v>
      </c>
      <c r="N3535" s="274"/>
    </row>
    <row r="3536" spans="5:14" ht="13.5" customHeight="1">
      <c r="E3536" s="1" t="s">
        <v>612</v>
      </c>
      <c r="F3536" s="1" t="s">
        <v>2773</v>
      </c>
      <c r="G3536" s="414" t="str">
        <f t="shared" si="50"/>
        <v>11-26</v>
      </c>
      <c r="H3536" s="273" t="e">
        <f ca="1">_xludf.IFNA(VLOOKUP(Aragon!E3536,'Kilter Holds'!$P$37:$AB$662,11,0),0)</f>
        <v>#NAME?</v>
      </c>
      <c r="I3536" s="274"/>
      <c r="J3536" s="274" t="e">
        <f t="shared" ca="1" si="48"/>
        <v>#NAME?</v>
      </c>
      <c r="K3536" s="274">
        <f t="shared" si="49"/>
        <v>0</v>
      </c>
      <c r="N3536" s="274"/>
    </row>
    <row r="3537" spans="5:14" ht="13.5" customHeight="1">
      <c r="E3537" s="1" t="s">
        <v>612</v>
      </c>
      <c r="F3537" s="1" t="s">
        <v>2773</v>
      </c>
      <c r="G3537" s="415" t="str">
        <f t="shared" si="50"/>
        <v>18-01</v>
      </c>
      <c r="H3537" s="273" t="e">
        <f ca="1">_xludf.IFNA(VLOOKUP(Aragon!E3537,'Kilter Holds'!$P$37:$AB$662,12,0),0)</f>
        <v>#NAME?</v>
      </c>
      <c r="I3537" s="274"/>
      <c r="J3537" s="274" t="e">
        <f t="shared" ca="1" si="48"/>
        <v>#NAME?</v>
      </c>
      <c r="K3537" s="274">
        <f t="shared" si="49"/>
        <v>0</v>
      </c>
      <c r="N3537" s="274"/>
    </row>
    <row r="3538" spans="5:14" ht="13.5" customHeight="1">
      <c r="E3538" s="1" t="s">
        <v>612</v>
      </c>
      <c r="F3538" s="1" t="s">
        <v>2773</v>
      </c>
      <c r="G3538" s="416" t="str">
        <f t="shared" si="50"/>
        <v>Color Code</v>
      </c>
      <c r="H3538" s="273" t="e">
        <f ca="1">_xludf.IFNA(VLOOKUP(Aragon!E3538,'Kilter Holds'!$P$37:$AB$662,13,0),0)</f>
        <v>#NAME?</v>
      </c>
      <c r="I3538" s="274"/>
      <c r="J3538" s="274" t="e">
        <f t="shared" ca="1" si="48"/>
        <v>#NAME?</v>
      </c>
      <c r="K3538" s="274">
        <f t="shared" si="49"/>
        <v>0</v>
      </c>
      <c r="N3538" s="274"/>
    </row>
    <row r="3539" spans="5:14" ht="13.5" customHeight="1">
      <c r="E3539" s="1" t="s">
        <v>614</v>
      </c>
      <c r="F3539" s="1" t="s">
        <v>2774</v>
      </c>
      <c r="G3539" s="406" t="str">
        <f t="shared" si="50"/>
        <v>11-12</v>
      </c>
      <c r="H3539" s="273" t="e">
        <f ca="1">_xludf.IFNA(VLOOKUP(Aragon!E3539,'Kilter Holds'!$P$37:$AB$662,5,0),0)</f>
        <v>#NAME?</v>
      </c>
      <c r="I3539" s="274"/>
      <c r="J3539" s="274" t="e">
        <f t="shared" ca="1" si="48"/>
        <v>#NAME?</v>
      </c>
      <c r="K3539" s="274">
        <f t="shared" si="49"/>
        <v>0</v>
      </c>
      <c r="N3539" s="274"/>
    </row>
    <row r="3540" spans="5:14" ht="13.5" customHeight="1">
      <c r="E3540" s="1" t="s">
        <v>614</v>
      </c>
      <c r="F3540" s="1" t="s">
        <v>2774</v>
      </c>
      <c r="G3540" s="408" t="str">
        <f t="shared" si="50"/>
        <v>14-01</v>
      </c>
      <c r="H3540" s="273" t="e">
        <f ca="1">_xludf.IFNA(VLOOKUP(Aragon!E3540,'Kilter Holds'!$P$37:$AB$662,6,0),0)</f>
        <v>#NAME?</v>
      </c>
      <c r="I3540" s="274"/>
      <c r="J3540" s="274" t="e">
        <f t="shared" ca="1" si="48"/>
        <v>#NAME?</v>
      </c>
      <c r="K3540" s="274">
        <f t="shared" si="49"/>
        <v>0</v>
      </c>
      <c r="N3540" s="274"/>
    </row>
    <row r="3541" spans="5:14" ht="13.5" customHeight="1">
      <c r="E3541" s="1" t="s">
        <v>614</v>
      </c>
      <c r="F3541" s="1" t="s">
        <v>2774</v>
      </c>
      <c r="G3541" s="409" t="str">
        <f t="shared" si="50"/>
        <v>15-12</v>
      </c>
      <c r="H3541" s="273" t="e">
        <f ca="1">_xludf.IFNA(VLOOKUP(Aragon!E3541,'Kilter Holds'!$P$37:$AB$662,7,0),0)</f>
        <v>#NAME?</v>
      </c>
      <c r="I3541" s="274"/>
      <c r="J3541" s="274" t="e">
        <f t="shared" ca="1" si="48"/>
        <v>#NAME?</v>
      </c>
      <c r="K3541" s="274">
        <f t="shared" si="49"/>
        <v>0</v>
      </c>
      <c r="N3541" s="274"/>
    </row>
    <row r="3542" spans="5:14" ht="13.5" customHeight="1">
      <c r="E3542" s="1" t="s">
        <v>614</v>
      </c>
      <c r="F3542" s="1" t="s">
        <v>2774</v>
      </c>
      <c r="G3542" s="410" t="str">
        <f t="shared" si="50"/>
        <v>16-16</v>
      </c>
      <c r="H3542" s="273" t="e">
        <f ca="1">_xludf.IFNA(VLOOKUP(Aragon!E3542,'Kilter Holds'!$P$37:$AB$662,8,0),0)</f>
        <v>#NAME?</v>
      </c>
      <c r="I3542" s="274"/>
      <c r="J3542" s="274" t="e">
        <f t="shared" ca="1" si="48"/>
        <v>#NAME?</v>
      </c>
      <c r="K3542" s="274">
        <f t="shared" si="49"/>
        <v>0</v>
      </c>
      <c r="N3542" s="274"/>
    </row>
    <row r="3543" spans="5:14" ht="13.5" customHeight="1">
      <c r="E3543" s="1" t="s">
        <v>614</v>
      </c>
      <c r="F3543" s="1" t="s">
        <v>2774</v>
      </c>
      <c r="G3543" s="411" t="str">
        <f t="shared" si="50"/>
        <v>13-01</v>
      </c>
      <c r="H3543" s="273" t="e">
        <f ca="1">_xludf.IFNA(VLOOKUP(Aragon!E3543,'Kilter Holds'!$P$37:$AB$662,9,0),0)</f>
        <v>#NAME?</v>
      </c>
      <c r="I3543" s="274"/>
      <c r="J3543" s="274" t="e">
        <f t="shared" ca="1" si="48"/>
        <v>#NAME?</v>
      </c>
      <c r="K3543" s="274">
        <f t="shared" si="49"/>
        <v>0</v>
      </c>
      <c r="N3543" s="274"/>
    </row>
    <row r="3544" spans="5:14" ht="13.5" customHeight="1">
      <c r="E3544" s="1" t="s">
        <v>614</v>
      </c>
      <c r="F3544" s="1" t="s">
        <v>2774</v>
      </c>
      <c r="G3544" s="413" t="str">
        <f t="shared" si="50"/>
        <v>07-13</v>
      </c>
      <c r="H3544" s="273" t="e">
        <f ca="1">_xludf.IFNA(VLOOKUP(Aragon!E3544,'Kilter Holds'!$P$37:$AB$662,10,0),0)</f>
        <v>#NAME?</v>
      </c>
      <c r="I3544" s="274"/>
      <c r="J3544" s="274" t="e">
        <f t="shared" ca="1" si="48"/>
        <v>#NAME?</v>
      </c>
      <c r="K3544" s="274">
        <f t="shared" si="49"/>
        <v>0</v>
      </c>
      <c r="N3544" s="274"/>
    </row>
    <row r="3545" spans="5:14" ht="13.5" customHeight="1">
      <c r="E3545" s="1" t="s">
        <v>614</v>
      </c>
      <c r="F3545" s="1" t="s">
        <v>2774</v>
      </c>
      <c r="G3545" s="414" t="str">
        <f t="shared" si="50"/>
        <v>11-26</v>
      </c>
      <c r="H3545" s="273" t="e">
        <f ca="1">_xludf.IFNA(VLOOKUP(Aragon!E3545,'Kilter Holds'!$P$37:$AB$662,11,0),0)</f>
        <v>#NAME?</v>
      </c>
      <c r="I3545" s="274"/>
      <c r="J3545" s="274" t="e">
        <f t="shared" ca="1" si="48"/>
        <v>#NAME?</v>
      </c>
      <c r="K3545" s="274">
        <f t="shared" si="49"/>
        <v>0</v>
      </c>
      <c r="N3545" s="274"/>
    </row>
    <row r="3546" spans="5:14" ht="13.5" customHeight="1">
      <c r="E3546" s="1" t="s">
        <v>614</v>
      </c>
      <c r="F3546" s="1" t="s">
        <v>2774</v>
      </c>
      <c r="G3546" s="415" t="str">
        <f t="shared" si="50"/>
        <v>18-01</v>
      </c>
      <c r="H3546" s="273" t="e">
        <f ca="1">_xludf.IFNA(VLOOKUP(Aragon!E3546,'Kilter Holds'!$P$37:$AB$662,12,0),0)</f>
        <v>#NAME?</v>
      </c>
      <c r="I3546" s="274"/>
      <c r="J3546" s="274" t="e">
        <f t="shared" ca="1" si="48"/>
        <v>#NAME?</v>
      </c>
      <c r="K3546" s="274">
        <f t="shared" si="49"/>
        <v>0</v>
      </c>
      <c r="N3546" s="274"/>
    </row>
    <row r="3547" spans="5:14" ht="13.5" customHeight="1">
      <c r="E3547" s="1" t="s">
        <v>614</v>
      </c>
      <c r="F3547" s="1" t="s">
        <v>2774</v>
      </c>
      <c r="G3547" s="416" t="str">
        <f t="shared" si="50"/>
        <v>Color Code</v>
      </c>
      <c r="H3547" s="273" t="e">
        <f ca="1">_xludf.IFNA(VLOOKUP(Aragon!E3547,'Kilter Holds'!$P$37:$AB$662,13,0),0)</f>
        <v>#NAME?</v>
      </c>
      <c r="I3547" s="274"/>
      <c r="J3547" s="274" t="e">
        <f t="shared" ca="1" si="48"/>
        <v>#NAME?</v>
      </c>
      <c r="K3547" s="274">
        <f t="shared" si="49"/>
        <v>0</v>
      </c>
      <c r="N3547" s="274"/>
    </row>
    <row r="3548" spans="5:14" ht="13.5" customHeight="1">
      <c r="E3548" s="1" t="s">
        <v>616</v>
      </c>
      <c r="F3548" s="1" t="s">
        <v>2775</v>
      </c>
      <c r="G3548" s="406" t="str">
        <f t="shared" ref="G3548:G3556" si="51">G3494</f>
        <v>11-12</v>
      </c>
      <c r="H3548" s="273" t="e">
        <f ca="1">_xludf.IFNA(VLOOKUP(Aragon!E3548,'Kilter Holds'!$P$37:$AB$662,5,0),0)</f>
        <v>#NAME?</v>
      </c>
      <c r="I3548" s="274"/>
      <c r="J3548" s="274" t="e">
        <f t="shared" ca="1" si="48"/>
        <v>#NAME?</v>
      </c>
      <c r="K3548" s="274">
        <f t="shared" si="49"/>
        <v>0</v>
      </c>
      <c r="N3548" s="274"/>
    </row>
    <row r="3549" spans="5:14" ht="13.5" customHeight="1">
      <c r="E3549" s="1" t="s">
        <v>616</v>
      </c>
      <c r="F3549" s="1" t="s">
        <v>2775</v>
      </c>
      <c r="G3549" s="408" t="str">
        <f t="shared" si="51"/>
        <v>14-01</v>
      </c>
      <c r="H3549" s="273" t="e">
        <f ca="1">_xludf.IFNA(VLOOKUP(Aragon!E3549,'Kilter Holds'!$P$37:$AB$662,6,0),0)</f>
        <v>#NAME?</v>
      </c>
      <c r="I3549" s="274"/>
      <c r="J3549" s="274" t="e">
        <f t="shared" ca="1" si="48"/>
        <v>#NAME?</v>
      </c>
      <c r="K3549" s="274">
        <f t="shared" si="49"/>
        <v>0</v>
      </c>
      <c r="N3549" s="274"/>
    </row>
    <row r="3550" spans="5:14" ht="13.5" customHeight="1">
      <c r="E3550" s="1" t="s">
        <v>616</v>
      </c>
      <c r="F3550" s="1" t="s">
        <v>2775</v>
      </c>
      <c r="G3550" s="409" t="str">
        <f t="shared" si="51"/>
        <v>15-12</v>
      </c>
      <c r="H3550" s="273" t="e">
        <f ca="1">_xludf.IFNA(VLOOKUP(Aragon!E3550,'Kilter Holds'!$P$37:$AB$662,7,0),0)</f>
        <v>#NAME?</v>
      </c>
      <c r="I3550" s="274"/>
      <c r="J3550" s="274" t="e">
        <f t="shared" ca="1" si="48"/>
        <v>#NAME?</v>
      </c>
      <c r="K3550" s="274">
        <f t="shared" si="49"/>
        <v>0</v>
      </c>
      <c r="N3550" s="274"/>
    </row>
    <row r="3551" spans="5:14" ht="13.5" customHeight="1">
      <c r="E3551" s="1" t="s">
        <v>616</v>
      </c>
      <c r="F3551" s="1" t="s">
        <v>2775</v>
      </c>
      <c r="G3551" s="410" t="str">
        <f t="shared" si="51"/>
        <v>16-16</v>
      </c>
      <c r="H3551" s="273" t="e">
        <f ca="1">_xludf.IFNA(VLOOKUP(Aragon!E3551,'Kilter Holds'!$P$37:$AB$662,8,0),0)</f>
        <v>#NAME?</v>
      </c>
      <c r="I3551" s="274"/>
      <c r="J3551" s="274" t="e">
        <f t="shared" ca="1" si="48"/>
        <v>#NAME?</v>
      </c>
      <c r="K3551" s="274">
        <f t="shared" si="49"/>
        <v>0</v>
      </c>
      <c r="N3551" s="274"/>
    </row>
    <row r="3552" spans="5:14" ht="13.5" customHeight="1">
      <c r="E3552" s="1" t="s">
        <v>616</v>
      </c>
      <c r="F3552" s="1" t="s">
        <v>2775</v>
      </c>
      <c r="G3552" s="411" t="str">
        <f t="shared" si="51"/>
        <v>13-01</v>
      </c>
      <c r="H3552" s="273" t="e">
        <f ca="1">_xludf.IFNA(VLOOKUP(Aragon!E3552,'Kilter Holds'!$P$37:$AB$662,9,0),0)</f>
        <v>#NAME?</v>
      </c>
      <c r="I3552" s="274"/>
      <c r="J3552" s="274" t="e">
        <f t="shared" ca="1" si="48"/>
        <v>#NAME?</v>
      </c>
      <c r="K3552" s="274">
        <f t="shared" si="49"/>
        <v>0</v>
      </c>
      <c r="N3552" s="274"/>
    </row>
    <row r="3553" spans="5:14" ht="13.5" customHeight="1">
      <c r="E3553" s="1" t="s">
        <v>616</v>
      </c>
      <c r="F3553" s="1" t="s">
        <v>2775</v>
      </c>
      <c r="G3553" s="413" t="str">
        <f t="shared" si="51"/>
        <v>07-13</v>
      </c>
      <c r="H3553" s="273" t="e">
        <f ca="1">_xludf.IFNA(VLOOKUP(Aragon!E3553,'Kilter Holds'!$P$37:$AB$662,10,0),0)</f>
        <v>#NAME?</v>
      </c>
      <c r="I3553" s="274"/>
      <c r="J3553" s="274" t="e">
        <f t="shared" ca="1" si="48"/>
        <v>#NAME?</v>
      </c>
      <c r="K3553" s="274">
        <f t="shared" si="49"/>
        <v>0</v>
      </c>
      <c r="N3553" s="274"/>
    </row>
    <row r="3554" spans="5:14" ht="13.5" customHeight="1">
      <c r="E3554" s="1" t="s">
        <v>616</v>
      </c>
      <c r="F3554" s="1" t="s">
        <v>2775</v>
      </c>
      <c r="G3554" s="414" t="str">
        <f t="shared" si="51"/>
        <v>11-26</v>
      </c>
      <c r="H3554" s="273" t="e">
        <f ca="1">_xludf.IFNA(VLOOKUP(Aragon!E3554,'Kilter Holds'!$P$37:$AB$662,11,0),0)</f>
        <v>#NAME?</v>
      </c>
      <c r="I3554" s="274"/>
      <c r="J3554" s="274" t="e">
        <f t="shared" ca="1" si="48"/>
        <v>#NAME?</v>
      </c>
      <c r="K3554" s="274">
        <f t="shared" si="49"/>
        <v>0</v>
      </c>
      <c r="N3554" s="274"/>
    </row>
    <row r="3555" spans="5:14" ht="13.5" customHeight="1">
      <c r="E3555" s="1" t="s">
        <v>616</v>
      </c>
      <c r="F3555" s="1" t="s">
        <v>2775</v>
      </c>
      <c r="G3555" s="415" t="str">
        <f t="shared" si="51"/>
        <v>18-01</v>
      </c>
      <c r="H3555" s="273" t="e">
        <f ca="1">_xludf.IFNA(VLOOKUP(Aragon!E3555,'Kilter Holds'!$P$37:$AB$662,12,0),0)</f>
        <v>#NAME?</v>
      </c>
      <c r="I3555" s="274"/>
      <c r="J3555" s="274" t="e">
        <f t="shared" ca="1" si="48"/>
        <v>#NAME?</v>
      </c>
      <c r="K3555" s="274">
        <f t="shared" si="49"/>
        <v>0</v>
      </c>
      <c r="N3555" s="274"/>
    </row>
    <row r="3556" spans="5:14" ht="13.5" customHeight="1">
      <c r="E3556" s="1" t="s">
        <v>616</v>
      </c>
      <c r="F3556" s="1" t="s">
        <v>2775</v>
      </c>
      <c r="G3556" s="416" t="str">
        <f t="shared" si="51"/>
        <v>Color Code</v>
      </c>
      <c r="H3556" s="273" t="e">
        <f ca="1">_xludf.IFNA(VLOOKUP(Aragon!E3556,'Kilter Holds'!$P$37:$AB$662,13,0),0)</f>
        <v>#NAME?</v>
      </c>
      <c r="I3556" s="274"/>
      <c r="J3556" s="274" t="e">
        <f t="shared" ca="1" si="48"/>
        <v>#NAME?</v>
      </c>
      <c r="K3556" s="274">
        <f t="shared" si="49"/>
        <v>0</v>
      </c>
      <c r="N3556" s="274"/>
    </row>
    <row r="3557" spans="5:14" ht="13.5" customHeight="1">
      <c r="E3557" s="1" t="s">
        <v>669</v>
      </c>
      <c r="F3557" s="1" t="s">
        <v>2776</v>
      </c>
      <c r="G3557" s="406" t="str">
        <f>G3125</f>
        <v>11-12</v>
      </c>
      <c r="H3557" s="273" t="e">
        <f ca="1">_xludf.IFNA(VLOOKUP(Aragon!E3557,'Kilter Holds'!$P$37:$AB$662,5,0),0)</f>
        <v>#NAME?</v>
      </c>
      <c r="I3557" s="274"/>
      <c r="J3557" s="274" t="e">
        <f t="shared" ca="1" si="48"/>
        <v>#NAME?</v>
      </c>
      <c r="K3557" s="274">
        <f t="shared" si="49"/>
        <v>0</v>
      </c>
      <c r="N3557" s="274"/>
    </row>
    <row r="3558" spans="5:14" ht="13.5" customHeight="1">
      <c r="E3558" s="1" t="s">
        <v>669</v>
      </c>
      <c r="F3558" s="1" t="s">
        <v>2776</v>
      </c>
      <c r="G3558" s="408" t="str">
        <f t="shared" ref="G3558:G3565" si="52">G3009</f>
        <v>14-01</v>
      </c>
      <c r="H3558" s="273" t="e">
        <f ca="1">_xludf.IFNA(VLOOKUP(Aragon!E3558,'Kilter Holds'!$P$37:$AB$662,6,0),0)</f>
        <v>#NAME?</v>
      </c>
      <c r="I3558" s="274"/>
      <c r="J3558" s="274" t="e">
        <f t="shared" ca="1" si="48"/>
        <v>#NAME?</v>
      </c>
      <c r="K3558" s="274">
        <f t="shared" si="49"/>
        <v>0</v>
      </c>
      <c r="N3558" s="274"/>
    </row>
    <row r="3559" spans="5:14" ht="13.5" customHeight="1">
      <c r="E3559" s="1" t="s">
        <v>669</v>
      </c>
      <c r="F3559" s="1" t="s">
        <v>2776</v>
      </c>
      <c r="G3559" s="409" t="str">
        <f t="shared" si="52"/>
        <v>15-12</v>
      </c>
      <c r="H3559" s="273" t="e">
        <f ca="1">_xludf.IFNA(VLOOKUP(Aragon!E3559,'Kilter Holds'!$P$37:$AB$662,7,0),0)</f>
        <v>#NAME?</v>
      </c>
      <c r="I3559" s="274"/>
      <c r="J3559" s="274" t="e">
        <f t="shared" ca="1" si="48"/>
        <v>#NAME?</v>
      </c>
      <c r="K3559" s="274">
        <f t="shared" si="49"/>
        <v>0</v>
      </c>
      <c r="N3559" s="274"/>
    </row>
    <row r="3560" spans="5:14" ht="13.5" customHeight="1">
      <c r="E3560" s="1" t="s">
        <v>669</v>
      </c>
      <c r="F3560" s="1" t="s">
        <v>2776</v>
      </c>
      <c r="G3560" s="410" t="str">
        <f t="shared" si="52"/>
        <v>16-16</v>
      </c>
      <c r="H3560" s="273" t="e">
        <f ca="1">_xludf.IFNA(VLOOKUP(Aragon!E3560,'Kilter Holds'!$P$37:$AB$662,8,0),0)</f>
        <v>#NAME?</v>
      </c>
      <c r="I3560" s="274"/>
      <c r="J3560" s="274" t="e">
        <f t="shared" ca="1" si="48"/>
        <v>#NAME?</v>
      </c>
      <c r="K3560" s="274">
        <f t="shared" si="49"/>
        <v>0</v>
      </c>
      <c r="N3560" s="274"/>
    </row>
    <row r="3561" spans="5:14" ht="13.5" customHeight="1">
      <c r="E3561" s="1" t="s">
        <v>669</v>
      </c>
      <c r="F3561" s="1" t="s">
        <v>2776</v>
      </c>
      <c r="G3561" s="411" t="str">
        <f t="shared" si="52"/>
        <v>13-01</v>
      </c>
      <c r="H3561" s="273" t="e">
        <f ca="1">_xludf.IFNA(VLOOKUP(Aragon!E3561,'Kilter Holds'!$P$37:$AB$662,9,0),0)</f>
        <v>#NAME?</v>
      </c>
      <c r="I3561" s="274"/>
      <c r="J3561" s="274" t="e">
        <f t="shared" ca="1" si="48"/>
        <v>#NAME?</v>
      </c>
      <c r="K3561" s="274">
        <f t="shared" si="49"/>
        <v>0</v>
      </c>
      <c r="N3561" s="274"/>
    </row>
    <row r="3562" spans="5:14" ht="13.5" customHeight="1">
      <c r="E3562" s="1" t="s">
        <v>669</v>
      </c>
      <c r="F3562" s="1" t="s">
        <v>2776</v>
      </c>
      <c r="G3562" s="413" t="str">
        <f t="shared" si="52"/>
        <v>07-13</v>
      </c>
      <c r="H3562" s="273" t="e">
        <f ca="1">_xludf.IFNA(VLOOKUP(Aragon!E3562,'Kilter Holds'!$P$37:$AB$662,10,0),0)</f>
        <v>#NAME?</v>
      </c>
      <c r="I3562" s="274"/>
      <c r="J3562" s="274" t="e">
        <f t="shared" ca="1" si="48"/>
        <v>#NAME?</v>
      </c>
      <c r="K3562" s="274">
        <f t="shared" si="49"/>
        <v>0</v>
      </c>
      <c r="N3562" s="274"/>
    </row>
    <row r="3563" spans="5:14" ht="13.5" customHeight="1">
      <c r="E3563" s="1" t="s">
        <v>669</v>
      </c>
      <c r="F3563" s="1" t="s">
        <v>2776</v>
      </c>
      <c r="G3563" s="414" t="str">
        <f t="shared" si="52"/>
        <v>11-26</v>
      </c>
      <c r="H3563" s="273" t="e">
        <f ca="1">_xludf.IFNA(VLOOKUP(Aragon!E3563,'Kilter Holds'!$P$37:$AB$662,11,0),0)</f>
        <v>#NAME?</v>
      </c>
      <c r="I3563" s="274"/>
      <c r="J3563" s="274" t="e">
        <f t="shared" ca="1" si="48"/>
        <v>#NAME?</v>
      </c>
      <c r="K3563" s="274">
        <f t="shared" si="49"/>
        <v>0</v>
      </c>
      <c r="N3563" s="274"/>
    </row>
    <row r="3564" spans="5:14" ht="13.5" customHeight="1">
      <c r="E3564" s="1" t="s">
        <v>669</v>
      </c>
      <c r="F3564" s="1" t="s">
        <v>2776</v>
      </c>
      <c r="G3564" s="415" t="str">
        <f t="shared" si="52"/>
        <v>18-01</v>
      </c>
      <c r="H3564" s="273" t="e">
        <f ca="1">_xludf.IFNA(VLOOKUP(Aragon!E3564,'Kilter Holds'!$P$37:$AB$662,12,0),0)</f>
        <v>#NAME?</v>
      </c>
      <c r="I3564" s="274"/>
      <c r="J3564" s="274" t="e">
        <f t="shared" ca="1" si="48"/>
        <v>#NAME?</v>
      </c>
      <c r="K3564" s="274">
        <f t="shared" si="49"/>
        <v>0</v>
      </c>
      <c r="N3564" s="274"/>
    </row>
    <row r="3565" spans="5:14" ht="13.5" customHeight="1">
      <c r="E3565" s="1" t="s">
        <v>669</v>
      </c>
      <c r="F3565" s="1" t="s">
        <v>2776</v>
      </c>
      <c r="G3565" s="416" t="str">
        <f t="shared" si="52"/>
        <v>Color Code</v>
      </c>
      <c r="H3565" s="273" t="e">
        <f ca="1">_xludf.IFNA(VLOOKUP(Aragon!E3565,'Kilter Holds'!$P$37:$AB$662,13,0),0)</f>
        <v>#NAME?</v>
      </c>
      <c r="I3565" s="274"/>
      <c r="J3565" s="274" t="e">
        <f t="shared" ca="1" si="48"/>
        <v>#NAME?</v>
      </c>
      <c r="K3565" s="274">
        <f t="shared" si="49"/>
        <v>0</v>
      </c>
      <c r="N3565" s="274"/>
    </row>
    <row r="3566" spans="5:14" ht="13.5" customHeight="1">
      <c r="E3566" s="1" t="s">
        <v>663</v>
      </c>
      <c r="F3566" s="1" t="s">
        <v>2777</v>
      </c>
      <c r="G3566" s="406" t="str">
        <f>G3134</f>
        <v>11-12</v>
      </c>
      <c r="H3566" s="273" t="e">
        <f ca="1">_xludf.IFNA(VLOOKUP(Aragon!E3566,'Kilter Holds'!$P$37:$AB$662,5,0),0)</f>
        <v>#NAME?</v>
      </c>
      <c r="I3566" s="274"/>
      <c r="J3566" s="274" t="e">
        <f t="shared" ca="1" si="48"/>
        <v>#NAME?</v>
      </c>
      <c r="K3566" s="274">
        <f t="shared" si="49"/>
        <v>0</v>
      </c>
      <c r="N3566" s="274"/>
    </row>
    <row r="3567" spans="5:14" ht="13.5" customHeight="1">
      <c r="E3567" s="1" t="s">
        <v>663</v>
      </c>
      <c r="F3567" s="1" t="s">
        <v>2777</v>
      </c>
      <c r="G3567" s="408" t="str">
        <f t="shared" ref="G3567:G3574" si="53">G3018</f>
        <v>14-01</v>
      </c>
      <c r="H3567" s="273" t="e">
        <f ca="1">_xludf.IFNA(VLOOKUP(Aragon!E3567,'Kilter Holds'!$P$37:$AB$662,6,0),0)</f>
        <v>#NAME?</v>
      </c>
      <c r="I3567" s="274"/>
      <c r="J3567" s="274" t="e">
        <f t="shared" ca="1" si="48"/>
        <v>#NAME?</v>
      </c>
      <c r="K3567" s="274">
        <f t="shared" si="49"/>
        <v>0</v>
      </c>
      <c r="N3567" s="274"/>
    </row>
    <row r="3568" spans="5:14" ht="13.5" customHeight="1">
      <c r="E3568" s="1" t="s">
        <v>663</v>
      </c>
      <c r="F3568" s="1" t="s">
        <v>2777</v>
      </c>
      <c r="G3568" s="409" t="str">
        <f t="shared" si="53"/>
        <v>15-12</v>
      </c>
      <c r="H3568" s="273" t="e">
        <f ca="1">_xludf.IFNA(VLOOKUP(Aragon!E3568,'Kilter Holds'!$P$37:$AB$662,7,0),0)</f>
        <v>#NAME?</v>
      </c>
      <c r="I3568" s="274"/>
      <c r="J3568" s="274" t="e">
        <f t="shared" ca="1" si="48"/>
        <v>#NAME?</v>
      </c>
      <c r="K3568" s="274">
        <f t="shared" si="49"/>
        <v>0</v>
      </c>
      <c r="N3568" s="274"/>
    </row>
    <row r="3569" spans="5:14" ht="13.5" customHeight="1">
      <c r="E3569" s="1" t="s">
        <v>663</v>
      </c>
      <c r="F3569" s="1" t="s">
        <v>2777</v>
      </c>
      <c r="G3569" s="410" t="str">
        <f t="shared" si="53"/>
        <v>16-16</v>
      </c>
      <c r="H3569" s="273" t="e">
        <f ca="1">_xludf.IFNA(VLOOKUP(Aragon!E3569,'Kilter Holds'!$P$37:$AB$662,8,0),0)</f>
        <v>#NAME?</v>
      </c>
      <c r="I3569" s="274"/>
      <c r="J3569" s="274" t="e">
        <f t="shared" ca="1" si="48"/>
        <v>#NAME?</v>
      </c>
      <c r="K3569" s="274">
        <f t="shared" si="49"/>
        <v>0</v>
      </c>
      <c r="N3569" s="274"/>
    </row>
    <row r="3570" spans="5:14" ht="13.5" customHeight="1">
      <c r="E3570" s="1" t="s">
        <v>663</v>
      </c>
      <c r="F3570" s="1" t="s">
        <v>2777</v>
      </c>
      <c r="G3570" s="411" t="str">
        <f t="shared" si="53"/>
        <v>13-01</v>
      </c>
      <c r="H3570" s="273" t="e">
        <f ca="1">_xludf.IFNA(VLOOKUP(Aragon!E3570,'Kilter Holds'!$P$37:$AB$662,9,0),0)</f>
        <v>#NAME?</v>
      </c>
      <c r="I3570" s="274"/>
      <c r="J3570" s="274" t="e">
        <f t="shared" ca="1" si="48"/>
        <v>#NAME?</v>
      </c>
      <c r="K3570" s="274">
        <f t="shared" si="49"/>
        <v>0</v>
      </c>
      <c r="N3570" s="274"/>
    </row>
    <row r="3571" spans="5:14" ht="13.5" customHeight="1">
      <c r="E3571" s="1" t="s">
        <v>663</v>
      </c>
      <c r="F3571" s="1" t="s">
        <v>2777</v>
      </c>
      <c r="G3571" s="413" t="str">
        <f t="shared" si="53"/>
        <v>07-13</v>
      </c>
      <c r="H3571" s="273" t="e">
        <f ca="1">_xludf.IFNA(VLOOKUP(Aragon!E3571,'Kilter Holds'!$P$37:$AB$662,10,0),0)</f>
        <v>#NAME?</v>
      </c>
      <c r="I3571" s="274"/>
      <c r="J3571" s="274" t="e">
        <f t="shared" ca="1" si="48"/>
        <v>#NAME?</v>
      </c>
      <c r="K3571" s="274">
        <f t="shared" si="49"/>
        <v>0</v>
      </c>
      <c r="N3571" s="274"/>
    </row>
    <row r="3572" spans="5:14" ht="13.5" customHeight="1">
      <c r="E3572" s="1" t="s">
        <v>663</v>
      </c>
      <c r="F3572" s="1" t="s">
        <v>2777</v>
      </c>
      <c r="G3572" s="414" t="str">
        <f t="shared" si="53"/>
        <v>11-26</v>
      </c>
      <c r="H3572" s="273" t="e">
        <f ca="1">_xludf.IFNA(VLOOKUP(Aragon!E3572,'Kilter Holds'!$P$37:$AB$662,11,0),0)</f>
        <v>#NAME?</v>
      </c>
      <c r="I3572" s="274"/>
      <c r="J3572" s="274" t="e">
        <f t="shared" ref="J3572:J3826" ca="1" si="54">H3572*I3572</f>
        <v>#NAME?</v>
      </c>
      <c r="K3572" s="274">
        <f t="shared" ref="K3572:K3826" si="55">IF($V$11="Y",J3572*0.05,0)</f>
        <v>0</v>
      </c>
      <c r="N3572" s="274"/>
    </row>
    <row r="3573" spans="5:14" ht="13.5" customHeight="1">
      <c r="E3573" s="1" t="s">
        <v>663</v>
      </c>
      <c r="F3573" s="1" t="s">
        <v>2777</v>
      </c>
      <c r="G3573" s="415" t="str">
        <f t="shared" si="53"/>
        <v>18-01</v>
      </c>
      <c r="H3573" s="273" t="e">
        <f ca="1">_xludf.IFNA(VLOOKUP(Aragon!E3573,'Kilter Holds'!$P$37:$AB$662,12,0),0)</f>
        <v>#NAME?</v>
      </c>
      <c r="I3573" s="274"/>
      <c r="J3573" s="274" t="e">
        <f t="shared" ca="1" si="54"/>
        <v>#NAME?</v>
      </c>
      <c r="K3573" s="274">
        <f t="shared" si="55"/>
        <v>0</v>
      </c>
      <c r="N3573" s="274"/>
    </row>
    <row r="3574" spans="5:14" ht="13.5" customHeight="1">
      <c r="E3574" s="1" t="s">
        <v>663</v>
      </c>
      <c r="F3574" s="1" t="s">
        <v>2777</v>
      </c>
      <c r="G3574" s="416" t="str">
        <f t="shared" si="53"/>
        <v>Color Code</v>
      </c>
      <c r="H3574" s="273" t="e">
        <f ca="1">_xludf.IFNA(VLOOKUP(Aragon!E3574,'Kilter Holds'!$P$37:$AB$662,13,0),0)</f>
        <v>#NAME?</v>
      </c>
      <c r="I3574" s="274"/>
      <c r="J3574" s="274" t="e">
        <f t="shared" ca="1" si="54"/>
        <v>#NAME?</v>
      </c>
      <c r="K3574" s="274">
        <f t="shared" si="55"/>
        <v>0</v>
      </c>
      <c r="N3574" s="274"/>
    </row>
    <row r="3575" spans="5:14" ht="13.5" customHeight="1">
      <c r="E3575" s="1" t="s">
        <v>667</v>
      </c>
      <c r="F3575" s="1" t="s">
        <v>2778</v>
      </c>
      <c r="G3575" s="406" t="str">
        <f>G3143</f>
        <v>11-12</v>
      </c>
      <c r="H3575" s="273" t="e">
        <f ca="1">_xludf.IFNA(VLOOKUP(Aragon!E3575,'Kilter Holds'!$P$37:$AB$662,5,0),0)</f>
        <v>#NAME?</v>
      </c>
      <c r="I3575" s="274"/>
      <c r="J3575" s="274" t="e">
        <f t="shared" ca="1" si="54"/>
        <v>#NAME?</v>
      </c>
      <c r="K3575" s="274">
        <f t="shared" si="55"/>
        <v>0</v>
      </c>
      <c r="N3575" s="274"/>
    </row>
    <row r="3576" spans="5:14" ht="13.5" customHeight="1">
      <c r="E3576" s="1" t="s">
        <v>667</v>
      </c>
      <c r="F3576" s="1" t="s">
        <v>2778</v>
      </c>
      <c r="G3576" s="408" t="str">
        <f t="shared" ref="G3576:G3583" si="56">G3027</f>
        <v>14-01</v>
      </c>
      <c r="H3576" s="273" t="e">
        <f ca="1">_xludf.IFNA(VLOOKUP(Aragon!E3576,'Kilter Holds'!$P$37:$AB$662,6,0),0)</f>
        <v>#NAME?</v>
      </c>
      <c r="I3576" s="274"/>
      <c r="J3576" s="274" t="e">
        <f t="shared" ca="1" si="54"/>
        <v>#NAME?</v>
      </c>
      <c r="K3576" s="274">
        <f t="shared" si="55"/>
        <v>0</v>
      </c>
      <c r="N3576" s="274"/>
    </row>
    <row r="3577" spans="5:14" ht="13.5" customHeight="1">
      <c r="E3577" s="1" t="s">
        <v>667</v>
      </c>
      <c r="F3577" s="1" t="s">
        <v>2778</v>
      </c>
      <c r="G3577" s="409" t="str">
        <f t="shared" si="56"/>
        <v>15-12</v>
      </c>
      <c r="H3577" s="273" t="e">
        <f ca="1">_xludf.IFNA(VLOOKUP(Aragon!E3577,'Kilter Holds'!$P$37:$AB$662,7,0),0)</f>
        <v>#NAME?</v>
      </c>
      <c r="I3577" s="274"/>
      <c r="J3577" s="274" t="e">
        <f t="shared" ca="1" si="54"/>
        <v>#NAME?</v>
      </c>
      <c r="K3577" s="274">
        <f t="shared" si="55"/>
        <v>0</v>
      </c>
      <c r="N3577" s="274"/>
    </row>
    <row r="3578" spans="5:14" ht="13.5" customHeight="1">
      <c r="E3578" s="1" t="s">
        <v>667</v>
      </c>
      <c r="F3578" s="1" t="s">
        <v>2778</v>
      </c>
      <c r="G3578" s="410" t="str">
        <f t="shared" si="56"/>
        <v>16-16</v>
      </c>
      <c r="H3578" s="273" t="e">
        <f ca="1">_xludf.IFNA(VLOOKUP(Aragon!E3578,'Kilter Holds'!$P$37:$AB$662,8,0),0)</f>
        <v>#NAME?</v>
      </c>
      <c r="I3578" s="274"/>
      <c r="J3578" s="274" t="e">
        <f t="shared" ca="1" si="54"/>
        <v>#NAME?</v>
      </c>
      <c r="K3578" s="274">
        <f t="shared" si="55"/>
        <v>0</v>
      </c>
      <c r="N3578" s="274"/>
    </row>
    <row r="3579" spans="5:14" ht="13.5" customHeight="1">
      <c r="E3579" s="1" t="s">
        <v>667</v>
      </c>
      <c r="F3579" s="1" t="s">
        <v>2778</v>
      </c>
      <c r="G3579" s="411" t="str">
        <f t="shared" si="56"/>
        <v>13-01</v>
      </c>
      <c r="H3579" s="273" t="e">
        <f ca="1">_xludf.IFNA(VLOOKUP(Aragon!E3579,'Kilter Holds'!$P$37:$AB$662,9,0),0)</f>
        <v>#NAME?</v>
      </c>
      <c r="I3579" s="274"/>
      <c r="J3579" s="274" t="e">
        <f t="shared" ca="1" si="54"/>
        <v>#NAME?</v>
      </c>
      <c r="K3579" s="274">
        <f t="shared" si="55"/>
        <v>0</v>
      </c>
      <c r="N3579" s="274"/>
    </row>
    <row r="3580" spans="5:14" ht="13.5" customHeight="1">
      <c r="E3580" s="1" t="s">
        <v>667</v>
      </c>
      <c r="F3580" s="1" t="s">
        <v>2778</v>
      </c>
      <c r="G3580" s="413" t="str">
        <f t="shared" si="56"/>
        <v>07-13</v>
      </c>
      <c r="H3580" s="273" t="e">
        <f ca="1">_xludf.IFNA(VLOOKUP(Aragon!E3580,'Kilter Holds'!$P$37:$AB$662,10,0),0)</f>
        <v>#NAME?</v>
      </c>
      <c r="I3580" s="274"/>
      <c r="J3580" s="274" t="e">
        <f t="shared" ca="1" si="54"/>
        <v>#NAME?</v>
      </c>
      <c r="K3580" s="274">
        <f t="shared" si="55"/>
        <v>0</v>
      </c>
      <c r="N3580" s="274"/>
    </row>
    <row r="3581" spans="5:14" ht="13.5" customHeight="1">
      <c r="E3581" s="1" t="s">
        <v>667</v>
      </c>
      <c r="F3581" s="1" t="s">
        <v>2778</v>
      </c>
      <c r="G3581" s="414" t="str">
        <f t="shared" si="56"/>
        <v>11-26</v>
      </c>
      <c r="H3581" s="273" t="e">
        <f ca="1">_xludf.IFNA(VLOOKUP(Aragon!E3581,'Kilter Holds'!$P$37:$AB$662,11,0),0)</f>
        <v>#NAME?</v>
      </c>
      <c r="I3581" s="274"/>
      <c r="J3581" s="274" t="e">
        <f t="shared" ca="1" si="54"/>
        <v>#NAME?</v>
      </c>
      <c r="K3581" s="274">
        <f t="shared" si="55"/>
        <v>0</v>
      </c>
      <c r="N3581" s="274"/>
    </row>
    <row r="3582" spans="5:14" ht="13.5" customHeight="1">
      <c r="E3582" s="1" t="s">
        <v>667</v>
      </c>
      <c r="F3582" s="1" t="s">
        <v>2778</v>
      </c>
      <c r="G3582" s="415" t="str">
        <f t="shared" si="56"/>
        <v>18-01</v>
      </c>
      <c r="H3582" s="273" t="e">
        <f ca="1">_xludf.IFNA(VLOOKUP(Aragon!E3582,'Kilter Holds'!$P$37:$AB$662,12,0),0)</f>
        <v>#NAME?</v>
      </c>
      <c r="I3582" s="274"/>
      <c r="J3582" s="274" t="e">
        <f t="shared" ca="1" si="54"/>
        <v>#NAME?</v>
      </c>
      <c r="K3582" s="274">
        <f t="shared" si="55"/>
        <v>0</v>
      </c>
      <c r="N3582" s="274"/>
    </row>
    <row r="3583" spans="5:14" ht="13.5" customHeight="1">
      <c r="E3583" s="1" t="s">
        <v>667</v>
      </c>
      <c r="F3583" s="1" t="s">
        <v>2778</v>
      </c>
      <c r="G3583" s="416" t="str">
        <f t="shared" si="56"/>
        <v>Color Code</v>
      </c>
      <c r="H3583" s="273" t="e">
        <f ca="1">_xludf.IFNA(VLOOKUP(Aragon!E3583,'Kilter Holds'!$P$37:$AB$662,13,0),0)</f>
        <v>#NAME?</v>
      </c>
      <c r="I3583" s="274"/>
      <c r="J3583" s="274" t="e">
        <f t="shared" ca="1" si="54"/>
        <v>#NAME?</v>
      </c>
      <c r="K3583" s="274">
        <f t="shared" si="55"/>
        <v>0</v>
      </c>
      <c r="N3583" s="274"/>
    </row>
    <row r="3584" spans="5:14" ht="13.5" customHeight="1">
      <c r="E3584" s="1" t="s">
        <v>665</v>
      </c>
      <c r="F3584" s="1" t="s">
        <v>2779</v>
      </c>
      <c r="G3584" s="406" t="str">
        <f>G3152</f>
        <v>11-12</v>
      </c>
      <c r="H3584" s="273" t="e">
        <f ca="1">_xludf.IFNA(VLOOKUP(Aragon!E3584,'Kilter Holds'!$P$37:$AB$662,5,0),0)</f>
        <v>#NAME?</v>
      </c>
      <c r="I3584" s="274"/>
      <c r="J3584" s="274" t="e">
        <f t="shared" ca="1" si="54"/>
        <v>#NAME?</v>
      </c>
      <c r="K3584" s="274">
        <f t="shared" si="55"/>
        <v>0</v>
      </c>
      <c r="N3584" s="274"/>
    </row>
    <row r="3585" spans="5:14" ht="13.5" customHeight="1">
      <c r="E3585" s="1" t="s">
        <v>665</v>
      </c>
      <c r="F3585" s="1" t="s">
        <v>2779</v>
      </c>
      <c r="G3585" s="408" t="str">
        <f t="shared" ref="G3585:G3592" si="57">G3036</f>
        <v>14-01</v>
      </c>
      <c r="H3585" s="273" t="e">
        <f ca="1">_xludf.IFNA(VLOOKUP(Aragon!E3585,'Kilter Holds'!$P$37:$AB$662,6,0),0)</f>
        <v>#NAME?</v>
      </c>
      <c r="I3585" s="274"/>
      <c r="J3585" s="274" t="e">
        <f t="shared" ca="1" si="54"/>
        <v>#NAME?</v>
      </c>
      <c r="K3585" s="274">
        <f t="shared" si="55"/>
        <v>0</v>
      </c>
      <c r="N3585" s="274"/>
    </row>
    <row r="3586" spans="5:14" ht="13.5" customHeight="1">
      <c r="E3586" s="1" t="s">
        <v>665</v>
      </c>
      <c r="F3586" s="1" t="s">
        <v>2779</v>
      </c>
      <c r="G3586" s="409" t="str">
        <f t="shared" si="57"/>
        <v>15-12</v>
      </c>
      <c r="H3586" s="273" t="e">
        <f ca="1">_xludf.IFNA(VLOOKUP(Aragon!E3586,'Kilter Holds'!$P$37:$AB$662,7,0),0)</f>
        <v>#NAME?</v>
      </c>
      <c r="I3586" s="274"/>
      <c r="J3586" s="274" t="e">
        <f t="shared" ca="1" si="54"/>
        <v>#NAME?</v>
      </c>
      <c r="K3586" s="274">
        <f t="shared" si="55"/>
        <v>0</v>
      </c>
      <c r="N3586" s="274"/>
    </row>
    <row r="3587" spans="5:14" ht="13.5" customHeight="1">
      <c r="E3587" s="1" t="s">
        <v>665</v>
      </c>
      <c r="F3587" s="1" t="s">
        <v>2779</v>
      </c>
      <c r="G3587" s="410" t="str">
        <f t="shared" si="57"/>
        <v>16-16</v>
      </c>
      <c r="H3587" s="273" t="e">
        <f ca="1">_xludf.IFNA(VLOOKUP(Aragon!E3587,'Kilter Holds'!$P$37:$AB$662,8,0),0)</f>
        <v>#NAME?</v>
      </c>
      <c r="I3587" s="274"/>
      <c r="J3587" s="274" t="e">
        <f t="shared" ca="1" si="54"/>
        <v>#NAME?</v>
      </c>
      <c r="K3587" s="274">
        <f t="shared" si="55"/>
        <v>0</v>
      </c>
      <c r="N3587" s="274"/>
    </row>
    <row r="3588" spans="5:14" ht="13.5" customHeight="1">
      <c r="E3588" s="1" t="s">
        <v>665</v>
      </c>
      <c r="F3588" s="1" t="s">
        <v>2779</v>
      </c>
      <c r="G3588" s="411" t="str">
        <f t="shared" si="57"/>
        <v>13-01</v>
      </c>
      <c r="H3588" s="273" t="e">
        <f ca="1">_xludf.IFNA(VLOOKUP(Aragon!E3588,'Kilter Holds'!$P$37:$AB$662,9,0),0)</f>
        <v>#NAME?</v>
      </c>
      <c r="I3588" s="274"/>
      <c r="J3588" s="274" t="e">
        <f t="shared" ca="1" si="54"/>
        <v>#NAME?</v>
      </c>
      <c r="K3588" s="274">
        <f t="shared" si="55"/>
        <v>0</v>
      </c>
      <c r="N3588" s="274"/>
    </row>
    <row r="3589" spans="5:14" ht="13.5" customHeight="1">
      <c r="E3589" s="1" t="s">
        <v>665</v>
      </c>
      <c r="F3589" s="1" t="s">
        <v>2779</v>
      </c>
      <c r="G3589" s="413" t="str">
        <f t="shared" si="57"/>
        <v>07-13</v>
      </c>
      <c r="H3589" s="273" t="e">
        <f ca="1">_xludf.IFNA(VLOOKUP(Aragon!E3589,'Kilter Holds'!$P$37:$AB$662,10,0),0)</f>
        <v>#NAME?</v>
      </c>
      <c r="I3589" s="274"/>
      <c r="J3589" s="274" t="e">
        <f t="shared" ca="1" si="54"/>
        <v>#NAME?</v>
      </c>
      <c r="K3589" s="274">
        <f t="shared" si="55"/>
        <v>0</v>
      </c>
      <c r="N3589" s="274"/>
    </row>
    <row r="3590" spans="5:14" ht="13.5" customHeight="1">
      <c r="E3590" s="1" t="s">
        <v>665</v>
      </c>
      <c r="F3590" s="1" t="s">
        <v>2779</v>
      </c>
      <c r="G3590" s="414" t="str">
        <f t="shared" si="57"/>
        <v>11-26</v>
      </c>
      <c r="H3590" s="273" t="e">
        <f ca="1">_xludf.IFNA(VLOOKUP(Aragon!E3590,'Kilter Holds'!$P$37:$AB$662,11,0),0)</f>
        <v>#NAME?</v>
      </c>
      <c r="I3590" s="274"/>
      <c r="J3590" s="274" t="e">
        <f t="shared" ca="1" si="54"/>
        <v>#NAME?</v>
      </c>
      <c r="K3590" s="274">
        <f t="shared" si="55"/>
        <v>0</v>
      </c>
      <c r="N3590" s="274"/>
    </row>
    <row r="3591" spans="5:14" ht="13.5" customHeight="1">
      <c r="E3591" s="1" t="s">
        <v>665</v>
      </c>
      <c r="F3591" s="1" t="s">
        <v>2779</v>
      </c>
      <c r="G3591" s="415" t="str">
        <f t="shared" si="57"/>
        <v>18-01</v>
      </c>
      <c r="H3591" s="273" t="e">
        <f ca="1">_xludf.IFNA(VLOOKUP(Aragon!E3591,'Kilter Holds'!$P$37:$AB$662,12,0),0)</f>
        <v>#NAME?</v>
      </c>
      <c r="I3591" s="274"/>
      <c r="J3591" s="274" t="e">
        <f t="shared" ca="1" si="54"/>
        <v>#NAME?</v>
      </c>
      <c r="K3591" s="274">
        <f t="shared" si="55"/>
        <v>0</v>
      </c>
      <c r="N3591" s="274"/>
    </row>
    <row r="3592" spans="5:14" ht="13.5" customHeight="1">
      <c r="E3592" s="1" t="s">
        <v>665</v>
      </c>
      <c r="F3592" s="1" t="s">
        <v>2779</v>
      </c>
      <c r="G3592" s="416" t="str">
        <f t="shared" si="57"/>
        <v>Color Code</v>
      </c>
      <c r="H3592" s="273" t="e">
        <f ca="1">_xludf.IFNA(VLOOKUP(Aragon!E3592,'Kilter Holds'!$P$37:$AB$662,13,0),0)</f>
        <v>#NAME?</v>
      </c>
      <c r="I3592" s="274"/>
      <c r="J3592" s="274" t="e">
        <f t="shared" ca="1" si="54"/>
        <v>#NAME?</v>
      </c>
      <c r="K3592" s="274">
        <f t="shared" si="55"/>
        <v>0</v>
      </c>
      <c r="N3592" s="274"/>
    </row>
    <row r="3593" spans="5:14" ht="13.5" customHeight="1">
      <c r="E3593" s="1" t="s">
        <v>679</v>
      </c>
      <c r="F3593" s="1" t="s">
        <v>2780</v>
      </c>
      <c r="G3593" s="406" t="str">
        <f>G3161</f>
        <v>11-12</v>
      </c>
      <c r="H3593" s="273" t="e">
        <f ca="1">_xludf.IFNA(VLOOKUP(Aragon!E3593,'Kilter Holds'!$P$37:$AB$662,5,0),0)</f>
        <v>#NAME?</v>
      </c>
      <c r="I3593" s="274"/>
      <c r="J3593" s="274" t="e">
        <f t="shared" ca="1" si="54"/>
        <v>#NAME?</v>
      </c>
      <c r="K3593" s="274">
        <f t="shared" si="55"/>
        <v>0</v>
      </c>
      <c r="N3593" s="274"/>
    </row>
    <row r="3594" spans="5:14" ht="13.5" customHeight="1">
      <c r="E3594" s="1" t="s">
        <v>679</v>
      </c>
      <c r="F3594" s="1" t="s">
        <v>2780</v>
      </c>
      <c r="G3594" s="408" t="str">
        <f t="shared" ref="G3594:G3601" si="58">G3045</f>
        <v>14-01</v>
      </c>
      <c r="H3594" s="273" t="e">
        <f ca="1">_xludf.IFNA(VLOOKUP(Aragon!E3594,'Kilter Holds'!$P$37:$AB$662,6,0),0)</f>
        <v>#NAME?</v>
      </c>
      <c r="I3594" s="274"/>
      <c r="J3594" s="274" t="e">
        <f t="shared" ca="1" si="54"/>
        <v>#NAME?</v>
      </c>
      <c r="K3594" s="274">
        <f t="shared" si="55"/>
        <v>0</v>
      </c>
      <c r="N3594" s="274"/>
    </row>
    <row r="3595" spans="5:14" ht="13.5" customHeight="1">
      <c r="E3595" s="1" t="s">
        <v>679</v>
      </c>
      <c r="F3595" s="1" t="s">
        <v>2780</v>
      </c>
      <c r="G3595" s="409" t="str">
        <f t="shared" si="58"/>
        <v>15-12</v>
      </c>
      <c r="H3595" s="273" t="e">
        <f ca="1">_xludf.IFNA(VLOOKUP(Aragon!E3595,'Kilter Holds'!$P$37:$AB$662,7,0),0)</f>
        <v>#NAME?</v>
      </c>
      <c r="I3595" s="274"/>
      <c r="J3595" s="274" t="e">
        <f t="shared" ca="1" si="54"/>
        <v>#NAME?</v>
      </c>
      <c r="K3595" s="274">
        <f t="shared" si="55"/>
        <v>0</v>
      </c>
      <c r="N3595" s="274"/>
    </row>
    <row r="3596" spans="5:14" ht="13.5" customHeight="1">
      <c r="E3596" s="1" t="s">
        <v>679</v>
      </c>
      <c r="F3596" s="1" t="s">
        <v>2780</v>
      </c>
      <c r="G3596" s="410" t="str">
        <f t="shared" si="58"/>
        <v>16-16</v>
      </c>
      <c r="H3596" s="273" t="e">
        <f ca="1">_xludf.IFNA(VLOOKUP(Aragon!E3596,'Kilter Holds'!$P$37:$AB$662,8,0),0)</f>
        <v>#NAME?</v>
      </c>
      <c r="I3596" s="274"/>
      <c r="J3596" s="274" t="e">
        <f t="shared" ca="1" si="54"/>
        <v>#NAME?</v>
      </c>
      <c r="K3596" s="274">
        <f t="shared" si="55"/>
        <v>0</v>
      </c>
      <c r="N3596" s="274"/>
    </row>
    <row r="3597" spans="5:14" ht="13.5" customHeight="1">
      <c r="E3597" s="1" t="s">
        <v>679</v>
      </c>
      <c r="F3597" s="1" t="s">
        <v>2780</v>
      </c>
      <c r="G3597" s="411" t="str">
        <f t="shared" si="58"/>
        <v>13-01</v>
      </c>
      <c r="H3597" s="273" t="e">
        <f ca="1">_xludf.IFNA(VLOOKUP(Aragon!E3597,'Kilter Holds'!$P$37:$AB$662,9,0),0)</f>
        <v>#NAME?</v>
      </c>
      <c r="I3597" s="274"/>
      <c r="J3597" s="274" t="e">
        <f t="shared" ca="1" si="54"/>
        <v>#NAME?</v>
      </c>
      <c r="K3597" s="274">
        <f t="shared" si="55"/>
        <v>0</v>
      </c>
      <c r="N3597" s="274"/>
    </row>
    <row r="3598" spans="5:14" ht="13.5" customHeight="1">
      <c r="E3598" s="1" t="s">
        <v>679</v>
      </c>
      <c r="F3598" s="1" t="s">
        <v>2780</v>
      </c>
      <c r="G3598" s="413" t="str">
        <f t="shared" si="58"/>
        <v>07-13</v>
      </c>
      <c r="H3598" s="273" t="e">
        <f ca="1">_xludf.IFNA(VLOOKUP(Aragon!E3598,'Kilter Holds'!$P$37:$AB$662,10,0),0)</f>
        <v>#NAME?</v>
      </c>
      <c r="I3598" s="274"/>
      <c r="J3598" s="274" t="e">
        <f t="shared" ca="1" si="54"/>
        <v>#NAME?</v>
      </c>
      <c r="K3598" s="274">
        <f t="shared" si="55"/>
        <v>0</v>
      </c>
      <c r="N3598" s="274"/>
    </row>
    <row r="3599" spans="5:14" ht="13.5" customHeight="1">
      <c r="E3599" s="1" t="s">
        <v>679</v>
      </c>
      <c r="F3599" s="1" t="s">
        <v>2780</v>
      </c>
      <c r="G3599" s="414" t="str">
        <f t="shared" si="58"/>
        <v>11-26</v>
      </c>
      <c r="H3599" s="273" t="e">
        <f ca="1">_xludf.IFNA(VLOOKUP(Aragon!E3599,'Kilter Holds'!$P$37:$AB$662,11,0),0)</f>
        <v>#NAME?</v>
      </c>
      <c r="I3599" s="274"/>
      <c r="J3599" s="274" t="e">
        <f t="shared" ca="1" si="54"/>
        <v>#NAME?</v>
      </c>
      <c r="K3599" s="274">
        <f t="shared" si="55"/>
        <v>0</v>
      </c>
      <c r="N3599" s="274"/>
    </row>
    <row r="3600" spans="5:14" ht="13.5" customHeight="1">
      <c r="E3600" s="1" t="s">
        <v>679</v>
      </c>
      <c r="F3600" s="1" t="s">
        <v>2780</v>
      </c>
      <c r="G3600" s="415" t="str">
        <f t="shared" si="58"/>
        <v>18-01</v>
      </c>
      <c r="H3600" s="273" t="e">
        <f ca="1">_xludf.IFNA(VLOOKUP(Aragon!E3600,'Kilter Holds'!$P$37:$AB$662,12,0),0)</f>
        <v>#NAME?</v>
      </c>
      <c r="I3600" s="274"/>
      <c r="J3600" s="274" t="e">
        <f t="shared" ca="1" si="54"/>
        <v>#NAME?</v>
      </c>
      <c r="K3600" s="274">
        <f t="shared" si="55"/>
        <v>0</v>
      </c>
      <c r="N3600" s="274"/>
    </row>
    <row r="3601" spans="5:14" ht="13.5" customHeight="1">
      <c r="E3601" s="1" t="s">
        <v>679</v>
      </c>
      <c r="F3601" s="1" t="s">
        <v>2780</v>
      </c>
      <c r="G3601" s="416" t="str">
        <f t="shared" si="58"/>
        <v>Color Code</v>
      </c>
      <c r="H3601" s="273" t="e">
        <f ca="1">_xludf.IFNA(VLOOKUP(Aragon!E3601,'Kilter Holds'!$P$37:$AB$662,13,0),0)</f>
        <v>#NAME?</v>
      </c>
      <c r="I3601" s="274"/>
      <c r="J3601" s="274" t="e">
        <f t="shared" ca="1" si="54"/>
        <v>#NAME?</v>
      </c>
      <c r="K3601" s="274">
        <f t="shared" si="55"/>
        <v>0</v>
      </c>
      <c r="N3601" s="274"/>
    </row>
    <row r="3602" spans="5:14" ht="13.5" customHeight="1">
      <c r="E3602" s="209" t="s">
        <v>834</v>
      </c>
      <c r="F3602" s="209" t="s">
        <v>2781</v>
      </c>
      <c r="G3602" s="406" t="str">
        <f>G3152</f>
        <v>11-12</v>
      </c>
      <c r="H3602" s="273" t="e">
        <f ca="1">_xludf.IFNA(VLOOKUP(Aragon!E3602,'Kilter Holds'!$P$37:$AB$662,5,0),0)</f>
        <v>#NAME?</v>
      </c>
      <c r="I3602" s="274"/>
      <c r="J3602" s="274" t="e">
        <f t="shared" ca="1" si="54"/>
        <v>#NAME?</v>
      </c>
      <c r="K3602" s="274">
        <f t="shared" si="55"/>
        <v>0</v>
      </c>
      <c r="N3602" s="274"/>
    </row>
    <row r="3603" spans="5:14" ht="13.5" customHeight="1">
      <c r="E3603" s="209" t="s">
        <v>834</v>
      </c>
      <c r="F3603" s="209" t="s">
        <v>2781</v>
      </c>
      <c r="G3603" s="408" t="str">
        <f t="shared" ref="G3603:G3610" si="59">G3036</f>
        <v>14-01</v>
      </c>
      <c r="H3603" s="273" t="e">
        <f ca="1">_xludf.IFNA(VLOOKUP(Aragon!E3603,'Kilter Holds'!$P$37:$AB$662,6,0),0)</f>
        <v>#NAME?</v>
      </c>
      <c r="I3603" s="274"/>
      <c r="J3603" s="274" t="e">
        <f t="shared" ca="1" si="54"/>
        <v>#NAME?</v>
      </c>
      <c r="K3603" s="274">
        <f t="shared" si="55"/>
        <v>0</v>
      </c>
      <c r="N3603" s="274"/>
    </row>
    <row r="3604" spans="5:14" ht="13.5" customHeight="1">
      <c r="E3604" s="209" t="s">
        <v>834</v>
      </c>
      <c r="F3604" s="209" t="s">
        <v>2781</v>
      </c>
      <c r="G3604" s="409" t="str">
        <f t="shared" si="59"/>
        <v>15-12</v>
      </c>
      <c r="H3604" s="273" t="e">
        <f ca="1">_xludf.IFNA(VLOOKUP(Aragon!E3604,'Kilter Holds'!$P$37:$AB$662,7,0),0)</f>
        <v>#NAME?</v>
      </c>
      <c r="I3604" s="274"/>
      <c r="J3604" s="274" t="e">
        <f t="shared" ca="1" si="54"/>
        <v>#NAME?</v>
      </c>
      <c r="K3604" s="274">
        <f t="shared" si="55"/>
        <v>0</v>
      </c>
      <c r="N3604" s="274"/>
    </row>
    <row r="3605" spans="5:14" ht="13.5" customHeight="1">
      <c r="E3605" s="209" t="s">
        <v>834</v>
      </c>
      <c r="F3605" s="209" t="s">
        <v>2781</v>
      </c>
      <c r="G3605" s="410" t="str">
        <f t="shared" si="59"/>
        <v>16-16</v>
      </c>
      <c r="H3605" s="273" t="e">
        <f ca="1">_xludf.IFNA(VLOOKUP(Aragon!E3605,'Kilter Holds'!$P$37:$AB$662,8,0),0)</f>
        <v>#NAME?</v>
      </c>
      <c r="I3605" s="274"/>
      <c r="J3605" s="274" t="e">
        <f t="shared" ca="1" si="54"/>
        <v>#NAME?</v>
      </c>
      <c r="K3605" s="274">
        <f t="shared" si="55"/>
        <v>0</v>
      </c>
      <c r="N3605" s="274"/>
    </row>
    <row r="3606" spans="5:14" ht="13.5" customHeight="1">
      <c r="E3606" s="209" t="s">
        <v>834</v>
      </c>
      <c r="F3606" s="209" t="s">
        <v>2781</v>
      </c>
      <c r="G3606" s="411" t="str">
        <f t="shared" si="59"/>
        <v>13-01</v>
      </c>
      <c r="H3606" s="273" t="e">
        <f ca="1">_xludf.IFNA(VLOOKUP(Aragon!E3606,'Kilter Holds'!$P$37:$AB$662,9,0),0)</f>
        <v>#NAME?</v>
      </c>
      <c r="I3606" s="274"/>
      <c r="J3606" s="274" t="e">
        <f t="shared" ca="1" si="54"/>
        <v>#NAME?</v>
      </c>
      <c r="K3606" s="274">
        <f t="shared" si="55"/>
        <v>0</v>
      </c>
      <c r="N3606" s="274"/>
    </row>
    <row r="3607" spans="5:14" ht="13.5" customHeight="1">
      <c r="E3607" s="209" t="s">
        <v>834</v>
      </c>
      <c r="F3607" s="209" t="s">
        <v>2781</v>
      </c>
      <c r="G3607" s="413" t="str">
        <f t="shared" si="59"/>
        <v>07-13</v>
      </c>
      <c r="H3607" s="273" t="e">
        <f ca="1">_xludf.IFNA(VLOOKUP(Aragon!E3607,'Kilter Holds'!$P$37:$AB$662,10,0),0)</f>
        <v>#NAME?</v>
      </c>
      <c r="I3607" s="274"/>
      <c r="J3607" s="274" t="e">
        <f t="shared" ca="1" si="54"/>
        <v>#NAME?</v>
      </c>
      <c r="K3607" s="274">
        <f t="shared" si="55"/>
        <v>0</v>
      </c>
      <c r="N3607" s="274"/>
    </row>
    <row r="3608" spans="5:14" ht="13.5" customHeight="1">
      <c r="E3608" s="209" t="s">
        <v>834</v>
      </c>
      <c r="F3608" s="209" t="s">
        <v>2781</v>
      </c>
      <c r="G3608" s="414" t="str">
        <f t="shared" si="59"/>
        <v>11-26</v>
      </c>
      <c r="H3608" s="273" t="e">
        <f ca="1">_xludf.IFNA(VLOOKUP(Aragon!E3608,'Kilter Holds'!$P$37:$AB$662,11,0),0)</f>
        <v>#NAME?</v>
      </c>
      <c r="I3608" s="274"/>
      <c r="J3608" s="274" t="e">
        <f t="shared" ca="1" si="54"/>
        <v>#NAME?</v>
      </c>
      <c r="K3608" s="274">
        <f t="shared" si="55"/>
        <v>0</v>
      </c>
      <c r="N3608" s="274"/>
    </row>
    <row r="3609" spans="5:14" ht="13.5" customHeight="1">
      <c r="E3609" s="209" t="s">
        <v>834</v>
      </c>
      <c r="F3609" s="209" t="s">
        <v>2781</v>
      </c>
      <c r="G3609" s="415" t="str">
        <f t="shared" si="59"/>
        <v>18-01</v>
      </c>
      <c r="H3609" s="273" t="e">
        <f ca="1">_xludf.IFNA(VLOOKUP(Aragon!E3609,'Kilter Holds'!$P$37:$AB$662,12,0),0)</f>
        <v>#NAME?</v>
      </c>
      <c r="I3609" s="274"/>
      <c r="J3609" s="274" t="e">
        <f t="shared" ca="1" si="54"/>
        <v>#NAME?</v>
      </c>
      <c r="K3609" s="274">
        <f t="shared" si="55"/>
        <v>0</v>
      </c>
      <c r="N3609" s="274"/>
    </row>
    <row r="3610" spans="5:14" ht="13.5" customHeight="1">
      <c r="E3610" s="209" t="s">
        <v>834</v>
      </c>
      <c r="F3610" s="209" t="s">
        <v>2781</v>
      </c>
      <c r="G3610" s="416" t="str">
        <f t="shared" si="59"/>
        <v>Color Code</v>
      </c>
      <c r="H3610" s="273" t="e">
        <f ca="1">_xludf.IFNA(VLOOKUP(Aragon!E3610,'Kilter Holds'!$P$37:$AB$662,13,0),0)</f>
        <v>#NAME?</v>
      </c>
      <c r="I3610" s="274"/>
      <c r="J3610" s="274" t="e">
        <f t="shared" ca="1" si="54"/>
        <v>#NAME?</v>
      </c>
      <c r="K3610" s="274">
        <f t="shared" si="55"/>
        <v>0</v>
      </c>
      <c r="N3610" s="274"/>
    </row>
    <row r="3611" spans="5:14" ht="13.5" customHeight="1">
      <c r="E3611" s="209" t="s">
        <v>826</v>
      </c>
      <c r="F3611" s="209" t="s">
        <v>2782</v>
      </c>
      <c r="G3611" s="406" t="str">
        <f t="shared" ref="G3611:G3772" si="60">G3602</f>
        <v>11-12</v>
      </c>
      <c r="H3611" s="273" t="e">
        <f ca="1">_xludf.IFNA(VLOOKUP(Aragon!E3611,'Kilter Holds'!$P$37:$AB$662,5,0),0)</f>
        <v>#NAME?</v>
      </c>
      <c r="I3611" s="274"/>
      <c r="J3611" s="274" t="e">
        <f t="shared" ca="1" si="54"/>
        <v>#NAME?</v>
      </c>
      <c r="K3611" s="274">
        <f t="shared" si="55"/>
        <v>0</v>
      </c>
      <c r="N3611" s="274"/>
    </row>
    <row r="3612" spans="5:14" ht="13.5" customHeight="1">
      <c r="E3612" s="209" t="s">
        <v>826</v>
      </c>
      <c r="F3612" s="209" t="s">
        <v>2782</v>
      </c>
      <c r="G3612" s="408" t="str">
        <f t="shared" si="60"/>
        <v>14-01</v>
      </c>
      <c r="H3612" s="273" t="e">
        <f ca="1">_xludf.IFNA(VLOOKUP(Aragon!E3612,'Kilter Holds'!$P$37:$AB$662,6,0),0)</f>
        <v>#NAME?</v>
      </c>
      <c r="I3612" s="274"/>
      <c r="J3612" s="274" t="e">
        <f t="shared" ca="1" si="54"/>
        <v>#NAME?</v>
      </c>
      <c r="K3612" s="274">
        <f t="shared" si="55"/>
        <v>0</v>
      </c>
      <c r="N3612" s="274"/>
    </row>
    <row r="3613" spans="5:14" ht="13.5" customHeight="1">
      <c r="E3613" s="209" t="s">
        <v>826</v>
      </c>
      <c r="F3613" s="209" t="s">
        <v>2782</v>
      </c>
      <c r="G3613" s="409" t="str">
        <f t="shared" si="60"/>
        <v>15-12</v>
      </c>
      <c r="H3613" s="273" t="e">
        <f ca="1">_xludf.IFNA(VLOOKUP(Aragon!E3613,'Kilter Holds'!$P$37:$AB$662,7,0),0)</f>
        <v>#NAME?</v>
      </c>
      <c r="I3613" s="274"/>
      <c r="J3613" s="274" t="e">
        <f t="shared" ca="1" si="54"/>
        <v>#NAME?</v>
      </c>
      <c r="K3613" s="274">
        <f t="shared" si="55"/>
        <v>0</v>
      </c>
      <c r="N3613" s="274"/>
    </row>
    <row r="3614" spans="5:14" ht="13.5" customHeight="1">
      <c r="E3614" s="209" t="s">
        <v>826</v>
      </c>
      <c r="F3614" s="209" t="s">
        <v>2782</v>
      </c>
      <c r="G3614" s="410" t="str">
        <f t="shared" si="60"/>
        <v>16-16</v>
      </c>
      <c r="H3614" s="273" t="e">
        <f ca="1">_xludf.IFNA(VLOOKUP(Aragon!E3614,'Kilter Holds'!$P$37:$AB$662,8,0),0)</f>
        <v>#NAME?</v>
      </c>
      <c r="I3614" s="274"/>
      <c r="J3614" s="274" t="e">
        <f t="shared" ca="1" si="54"/>
        <v>#NAME?</v>
      </c>
      <c r="K3614" s="274">
        <f t="shared" si="55"/>
        <v>0</v>
      </c>
      <c r="N3614" s="274"/>
    </row>
    <row r="3615" spans="5:14" ht="13.5" customHeight="1">
      <c r="E3615" s="209" t="s">
        <v>826</v>
      </c>
      <c r="F3615" s="209" t="s">
        <v>2782</v>
      </c>
      <c r="G3615" s="411" t="str">
        <f t="shared" si="60"/>
        <v>13-01</v>
      </c>
      <c r="H3615" s="273" t="e">
        <f ca="1">_xludf.IFNA(VLOOKUP(Aragon!E3615,'Kilter Holds'!$P$37:$AB$662,9,0),0)</f>
        <v>#NAME?</v>
      </c>
      <c r="I3615" s="274"/>
      <c r="J3615" s="274" t="e">
        <f t="shared" ca="1" si="54"/>
        <v>#NAME?</v>
      </c>
      <c r="K3615" s="274">
        <f t="shared" si="55"/>
        <v>0</v>
      </c>
      <c r="N3615" s="274"/>
    </row>
    <row r="3616" spans="5:14" ht="13.5" customHeight="1">
      <c r="E3616" s="209" t="s">
        <v>826</v>
      </c>
      <c r="F3616" s="209" t="s">
        <v>2782</v>
      </c>
      <c r="G3616" s="413" t="str">
        <f t="shared" si="60"/>
        <v>07-13</v>
      </c>
      <c r="H3616" s="273" t="e">
        <f ca="1">_xludf.IFNA(VLOOKUP(Aragon!E3616,'Kilter Holds'!$P$37:$AB$662,10,0),0)</f>
        <v>#NAME?</v>
      </c>
      <c r="I3616" s="274"/>
      <c r="J3616" s="274" t="e">
        <f t="shared" ca="1" si="54"/>
        <v>#NAME?</v>
      </c>
      <c r="K3616" s="274">
        <f t="shared" si="55"/>
        <v>0</v>
      </c>
      <c r="N3616" s="274"/>
    </row>
    <row r="3617" spans="5:14" ht="13.5" customHeight="1">
      <c r="E3617" s="209" t="s">
        <v>826</v>
      </c>
      <c r="F3617" s="209" t="s">
        <v>2782</v>
      </c>
      <c r="G3617" s="414" t="str">
        <f t="shared" si="60"/>
        <v>11-26</v>
      </c>
      <c r="H3617" s="273" t="e">
        <f ca="1">_xludf.IFNA(VLOOKUP(Aragon!E3617,'Kilter Holds'!$P$37:$AB$662,11,0),0)</f>
        <v>#NAME?</v>
      </c>
      <c r="I3617" s="274"/>
      <c r="J3617" s="274" t="e">
        <f t="shared" ca="1" si="54"/>
        <v>#NAME?</v>
      </c>
      <c r="K3617" s="274">
        <f t="shared" si="55"/>
        <v>0</v>
      </c>
      <c r="N3617" s="274"/>
    </row>
    <row r="3618" spans="5:14" ht="13.5" customHeight="1">
      <c r="E3618" s="209" t="s">
        <v>826</v>
      </c>
      <c r="F3618" s="209" t="s">
        <v>2782</v>
      </c>
      <c r="G3618" s="415" t="str">
        <f t="shared" si="60"/>
        <v>18-01</v>
      </c>
      <c r="H3618" s="273" t="e">
        <f ca="1">_xludf.IFNA(VLOOKUP(Aragon!E3618,'Kilter Holds'!$P$37:$AB$662,12,0),0)</f>
        <v>#NAME?</v>
      </c>
      <c r="I3618" s="274"/>
      <c r="J3618" s="274" t="e">
        <f t="shared" ca="1" si="54"/>
        <v>#NAME?</v>
      </c>
      <c r="K3618" s="274">
        <f t="shared" si="55"/>
        <v>0</v>
      </c>
      <c r="N3618" s="274"/>
    </row>
    <row r="3619" spans="5:14" ht="13.5" customHeight="1">
      <c r="E3619" s="209" t="s">
        <v>826</v>
      </c>
      <c r="F3619" s="209" t="s">
        <v>2782</v>
      </c>
      <c r="G3619" s="416" t="str">
        <f t="shared" si="60"/>
        <v>Color Code</v>
      </c>
      <c r="H3619" s="273" t="e">
        <f ca="1">_xludf.IFNA(VLOOKUP(Aragon!E3619,'Kilter Holds'!$P$37:$AB$662,13,0),0)</f>
        <v>#NAME?</v>
      </c>
      <c r="I3619" s="274"/>
      <c r="J3619" s="274" t="e">
        <f t="shared" ca="1" si="54"/>
        <v>#NAME?</v>
      </c>
      <c r="K3619" s="274">
        <f t="shared" si="55"/>
        <v>0</v>
      </c>
      <c r="N3619" s="274"/>
    </row>
    <row r="3620" spans="5:14" ht="13.5" customHeight="1">
      <c r="E3620" s="209" t="s">
        <v>828</v>
      </c>
      <c r="F3620" s="209" t="s">
        <v>2783</v>
      </c>
      <c r="G3620" s="406" t="str">
        <f t="shared" si="60"/>
        <v>11-12</v>
      </c>
      <c r="H3620" s="273" t="e">
        <f ca="1">_xludf.IFNA(VLOOKUP(Aragon!E3620,'Kilter Holds'!$P$37:$AB$662,5,0),0)</f>
        <v>#NAME?</v>
      </c>
      <c r="I3620" s="274"/>
      <c r="J3620" s="274" t="e">
        <f t="shared" ca="1" si="54"/>
        <v>#NAME?</v>
      </c>
      <c r="K3620" s="274">
        <f t="shared" si="55"/>
        <v>0</v>
      </c>
      <c r="N3620" s="274"/>
    </row>
    <row r="3621" spans="5:14" ht="13.5" customHeight="1">
      <c r="E3621" s="209" t="s">
        <v>828</v>
      </c>
      <c r="F3621" s="209" t="s">
        <v>2783</v>
      </c>
      <c r="G3621" s="408" t="str">
        <f t="shared" si="60"/>
        <v>14-01</v>
      </c>
      <c r="H3621" s="273" t="e">
        <f ca="1">_xludf.IFNA(VLOOKUP(Aragon!E3621,'Kilter Holds'!$P$37:$AB$662,6,0),0)</f>
        <v>#NAME?</v>
      </c>
      <c r="I3621" s="274"/>
      <c r="J3621" s="274" t="e">
        <f t="shared" ca="1" si="54"/>
        <v>#NAME?</v>
      </c>
      <c r="K3621" s="274">
        <f t="shared" si="55"/>
        <v>0</v>
      </c>
      <c r="N3621" s="274"/>
    </row>
    <row r="3622" spans="5:14" ht="13.5" customHeight="1">
      <c r="E3622" s="209" t="s">
        <v>828</v>
      </c>
      <c r="F3622" s="209" t="s">
        <v>2783</v>
      </c>
      <c r="G3622" s="409" t="str">
        <f t="shared" si="60"/>
        <v>15-12</v>
      </c>
      <c r="H3622" s="273" t="e">
        <f ca="1">_xludf.IFNA(VLOOKUP(Aragon!E3622,'Kilter Holds'!$P$37:$AB$662,7,0),0)</f>
        <v>#NAME?</v>
      </c>
      <c r="I3622" s="274"/>
      <c r="J3622" s="274" t="e">
        <f t="shared" ca="1" si="54"/>
        <v>#NAME?</v>
      </c>
      <c r="K3622" s="274">
        <f t="shared" si="55"/>
        <v>0</v>
      </c>
      <c r="N3622" s="274"/>
    </row>
    <row r="3623" spans="5:14" ht="13.5" customHeight="1">
      <c r="E3623" s="209" t="s">
        <v>828</v>
      </c>
      <c r="F3623" s="209" t="s">
        <v>2783</v>
      </c>
      <c r="G3623" s="410" t="str">
        <f t="shared" si="60"/>
        <v>16-16</v>
      </c>
      <c r="H3623" s="273" t="e">
        <f ca="1">_xludf.IFNA(VLOOKUP(Aragon!E3623,'Kilter Holds'!$P$37:$AB$662,8,0),0)</f>
        <v>#NAME?</v>
      </c>
      <c r="I3623" s="274"/>
      <c r="J3623" s="274" t="e">
        <f t="shared" ca="1" si="54"/>
        <v>#NAME?</v>
      </c>
      <c r="K3623" s="274">
        <f t="shared" si="55"/>
        <v>0</v>
      </c>
      <c r="N3623" s="274"/>
    </row>
    <row r="3624" spans="5:14" ht="13.5" customHeight="1">
      <c r="E3624" s="209" t="s">
        <v>828</v>
      </c>
      <c r="F3624" s="209" t="s">
        <v>2783</v>
      </c>
      <c r="G3624" s="411" t="str">
        <f t="shared" si="60"/>
        <v>13-01</v>
      </c>
      <c r="H3624" s="273" t="e">
        <f ca="1">_xludf.IFNA(VLOOKUP(Aragon!E3624,'Kilter Holds'!$P$37:$AB$662,9,0),0)</f>
        <v>#NAME?</v>
      </c>
      <c r="I3624" s="274"/>
      <c r="J3624" s="274" t="e">
        <f t="shared" ca="1" si="54"/>
        <v>#NAME?</v>
      </c>
      <c r="K3624" s="274">
        <f t="shared" si="55"/>
        <v>0</v>
      </c>
      <c r="N3624" s="274"/>
    </row>
    <row r="3625" spans="5:14" ht="13.5" customHeight="1">
      <c r="E3625" s="209" t="s">
        <v>828</v>
      </c>
      <c r="F3625" s="209" t="s">
        <v>2783</v>
      </c>
      <c r="G3625" s="413" t="str">
        <f t="shared" si="60"/>
        <v>07-13</v>
      </c>
      <c r="H3625" s="273" t="e">
        <f ca="1">_xludf.IFNA(VLOOKUP(Aragon!E3625,'Kilter Holds'!$P$37:$AB$662,10,0),0)</f>
        <v>#NAME?</v>
      </c>
      <c r="I3625" s="274"/>
      <c r="J3625" s="274" t="e">
        <f t="shared" ca="1" si="54"/>
        <v>#NAME?</v>
      </c>
      <c r="K3625" s="274">
        <f t="shared" si="55"/>
        <v>0</v>
      </c>
      <c r="N3625" s="274"/>
    </row>
    <row r="3626" spans="5:14" ht="13.5" customHeight="1">
      <c r="E3626" s="209" t="s">
        <v>828</v>
      </c>
      <c r="F3626" s="209" t="s">
        <v>2783</v>
      </c>
      <c r="G3626" s="414" t="str">
        <f t="shared" si="60"/>
        <v>11-26</v>
      </c>
      <c r="H3626" s="273" t="e">
        <f ca="1">_xludf.IFNA(VLOOKUP(Aragon!E3626,'Kilter Holds'!$P$37:$AB$662,11,0),0)</f>
        <v>#NAME?</v>
      </c>
      <c r="I3626" s="274"/>
      <c r="J3626" s="274" t="e">
        <f t="shared" ca="1" si="54"/>
        <v>#NAME?</v>
      </c>
      <c r="K3626" s="274">
        <f t="shared" si="55"/>
        <v>0</v>
      </c>
      <c r="N3626" s="274"/>
    </row>
    <row r="3627" spans="5:14" ht="13.5" customHeight="1">
      <c r="E3627" s="209" t="s">
        <v>828</v>
      </c>
      <c r="F3627" s="209" t="s">
        <v>2783</v>
      </c>
      <c r="G3627" s="415" t="str">
        <f t="shared" si="60"/>
        <v>18-01</v>
      </c>
      <c r="H3627" s="273" t="e">
        <f ca="1">_xludf.IFNA(VLOOKUP(Aragon!E3627,'Kilter Holds'!$P$37:$AB$662,12,0),0)</f>
        <v>#NAME?</v>
      </c>
      <c r="I3627" s="274"/>
      <c r="J3627" s="274" t="e">
        <f t="shared" ca="1" si="54"/>
        <v>#NAME?</v>
      </c>
      <c r="K3627" s="274">
        <f t="shared" si="55"/>
        <v>0</v>
      </c>
      <c r="N3627" s="274"/>
    </row>
    <row r="3628" spans="5:14" ht="13.5" customHeight="1">
      <c r="E3628" s="209" t="s">
        <v>828</v>
      </c>
      <c r="F3628" s="209" t="s">
        <v>2783</v>
      </c>
      <c r="G3628" s="416" t="str">
        <f t="shared" si="60"/>
        <v>Color Code</v>
      </c>
      <c r="H3628" s="273" t="e">
        <f ca="1">_xludf.IFNA(VLOOKUP(Aragon!E3628,'Kilter Holds'!$P$37:$AB$662,13,0),0)</f>
        <v>#NAME?</v>
      </c>
      <c r="I3628" s="274"/>
      <c r="J3628" s="274" t="e">
        <f t="shared" ca="1" si="54"/>
        <v>#NAME?</v>
      </c>
      <c r="K3628" s="274">
        <f t="shared" si="55"/>
        <v>0</v>
      </c>
      <c r="N3628" s="274"/>
    </row>
    <row r="3629" spans="5:14" ht="13.5" customHeight="1">
      <c r="E3629" s="209" t="s">
        <v>830</v>
      </c>
      <c r="F3629" s="209" t="s">
        <v>2784</v>
      </c>
      <c r="G3629" s="406" t="str">
        <f t="shared" si="60"/>
        <v>11-12</v>
      </c>
      <c r="H3629" s="273" t="e">
        <f ca="1">_xludf.IFNA(VLOOKUP(Aragon!E3629,'Kilter Holds'!$P$37:$AB$662,5,0),0)</f>
        <v>#NAME?</v>
      </c>
      <c r="I3629" s="274"/>
      <c r="J3629" s="274" t="e">
        <f t="shared" ca="1" si="54"/>
        <v>#NAME?</v>
      </c>
      <c r="K3629" s="274">
        <f t="shared" si="55"/>
        <v>0</v>
      </c>
      <c r="N3629" s="274"/>
    </row>
    <row r="3630" spans="5:14" ht="13.5" customHeight="1">
      <c r="E3630" s="209" t="s">
        <v>830</v>
      </c>
      <c r="F3630" s="209" t="s">
        <v>2784</v>
      </c>
      <c r="G3630" s="408" t="str">
        <f t="shared" si="60"/>
        <v>14-01</v>
      </c>
      <c r="H3630" s="273" t="e">
        <f ca="1">_xludf.IFNA(VLOOKUP(Aragon!E3630,'Kilter Holds'!$P$37:$AB$662,6,0),0)</f>
        <v>#NAME?</v>
      </c>
      <c r="I3630" s="274"/>
      <c r="J3630" s="274" t="e">
        <f t="shared" ca="1" si="54"/>
        <v>#NAME?</v>
      </c>
      <c r="K3630" s="274">
        <f t="shared" si="55"/>
        <v>0</v>
      </c>
      <c r="N3630" s="274"/>
    </row>
    <row r="3631" spans="5:14" ht="13.5" customHeight="1">
      <c r="E3631" s="209" t="s">
        <v>830</v>
      </c>
      <c r="F3631" s="209" t="s">
        <v>2784</v>
      </c>
      <c r="G3631" s="409" t="str">
        <f t="shared" si="60"/>
        <v>15-12</v>
      </c>
      <c r="H3631" s="273" t="e">
        <f ca="1">_xludf.IFNA(VLOOKUP(Aragon!E3631,'Kilter Holds'!$P$37:$AB$662,7,0),0)</f>
        <v>#NAME?</v>
      </c>
      <c r="I3631" s="274"/>
      <c r="J3631" s="274" t="e">
        <f t="shared" ca="1" si="54"/>
        <v>#NAME?</v>
      </c>
      <c r="K3631" s="274">
        <f t="shared" si="55"/>
        <v>0</v>
      </c>
      <c r="N3631" s="274"/>
    </row>
    <row r="3632" spans="5:14" ht="13.5" customHeight="1">
      <c r="E3632" s="209" t="s">
        <v>830</v>
      </c>
      <c r="F3632" s="209" t="s">
        <v>2784</v>
      </c>
      <c r="G3632" s="410" t="str">
        <f t="shared" si="60"/>
        <v>16-16</v>
      </c>
      <c r="H3632" s="273" t="e">
        <f ca="1">_xludf.IFNA(VLOOKUP(Aragon!E3632,'Kilter Holds'!$P$37:$AB$662,8,0),0)</f>
        <v>#NAME?</v>
      </c>
      <c r="I3632" s="274"/>
      <c r="J3632" s="274" t="e">
        <f t="shared" ca="1" si="54"/>
        <v>#NAME?</v>
      </c>
      <c r="K3632" s="274">
        <f t="shared" si="55"/>
        <v>0</v>
      </c>
      <c r="N3632" s="274"/>
    </row>
    <row r="3633" spans="5:14" ht="13.5" customHeight="1">
      <c r="E3633" s="209" t="s">
        <v>830</v>
      </c>
      <c r="F3633" s="209" t="s">
        <v>2784</v>
      </c>
      <c r="G3633" s="411" t="str">
        <f t="shared" si="60"/>
        <v>13-01</v>
      </c>
      <c r="H3633" s="273" t="e">
        <f ca="1">_xludf.IFNA(VLOOKUP(Aragon!E3633,'Kilter Holds'!$P$37:$AB$662,9,0),0)</f>
        <v>#NAME?</v>
      </c>
      <c r="I3633" s="274"/>
      <c r="J3633" s="274" t="e">
        <f t="shared" ca="1" si="54"/>
        <v>#NAME?</v>
      </c>
      <c r="K3633" s="274">
        <f t="shared" si="55"/>
        <v>0</v>
      </c>
      <c r="N3633" s="274"/>
    </row>
    <row r="3634" spans="5:14" ht="13.5" customHeight="1">
      <c r="E3634" s="209" t="s">
        <v>830</v>
      </c>
      <c r="F3634" s="209" t="s">
        <v>2784</v>
      </c>
      <c r="G3634" s="413" t="str">
        <f t="shared" si="60"/>
        <v>07-13</v>
      </c>
      <c r="H3634" s="273" t="e">
        <f ca="1">_xludf.IFNA(VLOOKUP(Aragon!E3634,'Kilter Holds'!$P$37:$AB$662,10,0),0)</f>
        <v>#NAME?</v>
      </c>
      <c r="I3634" s="274"/>
      <c r="J3634" s="274" t="e">
        <f t="shared" ca="1" si="54"/>
        <v>#NAME?</v>
      </c>
      <c r="K3634" s="274">
        <f t="shared" si="55"/>
        <v>0</v>
      </c>
      <c r="N3634" s="274"/>
    </row>
    <row r="3635" spans="5:14" ht="13.5" customHeight="1">
      <c r="E3635" s="209" t="s">
        <v>830</v>
      </c>
      <c r="F3635" s="209" t="s">
        <v>2784</v>
      </c>
      <c r="G3635" s="414" t="str">
        <f t="shared" si="60"/>
        <v>11-26</v>
      </c>
      <c r="H3635" s="273" t="e">
        <f ca="1">_xludf.IFNA(VLOOKUP(Aragon!E3635,'Kilter Holds'!$P$37:$AB$662,11,0),0)</f>
        <v>#NAME?</v>
      </c>
      <c r="I3635" s="274"/>
      <c r="J3635" s="274" t="e">
        <f t="shared" ca="1" si="54"/>
        <v>#NAME?</v>
      </c>
      <c r="K3635" s="274">
        <f t="shared" si="55"/>
        <v>0</v>
      </c>
      <c r="N3635" s="274"/>
    </row>
    <row r="3636" spans="5:14" ht="13.5" customHeight="1">
      <c r="E3636" s="209" t="s">
        <v>830</v>
      </c>
      <c r="F3636" s="209" t="s">
        <v>2784</v>
      </c>
      <c r="G3636" s="415" t="str">
        <f t="shared" si="60"/>
        <v>18-01</v>
      </c>
      <c r="H3636" s="273" t="e">
        <f ca="1">_xludf.IFNA(VLOOKUP(Aragon!E3636,'Kilter Holds'!$P$37:$AB$662,12,0),0)</f>
        <v>#NAME?</v>
      </c>
      <c r="I3636" s="274"/>
      <c r="J3636" s="274" t="e">
        <f t="shared" ca="1" si="54"/>
        <v>#NAME?</v>
      </c>
      <c r="K3636" s="274">
        <f t="shared" si="55"/>
        <v>0</v>
      </c>
      <c r="N3636" s="274"/>
    </row>
    <row r="3637" spans="5:14" ht="13.5" customHeight="1">
      <c r="E3637" s="209" t="s">
        <v>830</v>
      </c>
      <c r="F3637" s="209" t="s">
        <v>2784</v>
      </c>
      <c r="G3637" s="416" t="str">
        <f t="shared" si="60"/>
        <v>Color Code</v>
      </c>
      <c r="H3637" s="273" t="e">
        <f ca="1">_xludf.IFNA(VLOOKUP(Aragon!E3637,'Kilter Holds'!$P$37:$AB$662,13,0),0)</f>
        <v>#NAME?</v>
      </c>
      <c r="I3637" s="274"/>
      <c r="J3637" s="274" t="e">
        <f t="shared" ca="1" si="54"/>
        <v>#NAME?</v>
      </c>
      <c r="K3637" s="274">
        <f t="shared" si="55"/>
        <v>0</v>
      </c>
      <c r="N3637" s="274"/>
    </row>
    <row r="3638" spans="5:14" ht="13.5" customHeight="1">
      <c r="E3638" s="209" t="s">
        <v>832</v>
      </c>
      <c r="F3638" s="209" t="s">
        <v>2785</v>
      </c>
      <c r="G3638" s="406" t="str">
        <f t="shared" si="60"/>
        <v>11-12</v>
      </c>
      <c r="H3638" s="273" t="e">
        <f ca="1">_xludf.IFNA(VLOOKUP(Aragon!E3638,'Kilter Holds'!$P$37:$AB$662,5,0),0)</f>
        <v>#NAME?</v>
      </c>
      <c r="I3638" s="274"/>
      <c r="J3638" s="274" t="e">
        <f t="shared" ca="1" si="54"/>
        <v>#NAME?</v>
      </c>
      <c r="K3638" s="274">
        <f t="shared" si="55"/>
        <v>0</v>
      </c>
      <c r="N3638" s="274"/>
    </row>
    <row r="3639" spans="5:14" ht="13.5" customHeight="1">
      <c r="E3639" s="209" t="s">
        <v>832</v>
      </c>
      <c r="F3639" s="209" t="s">
        <v>2785</v>
      </c>
      <c r="G3639" s="408" t="str">
        <f t="shared" si="60"/>
        <v>14-01</v>
      </c>
      <c r="H3639" s="273" t="e">
        <f ca="1">_xludf.IFNA(VLOOKUP(Aragon!E3639,'Kilter Holds'!$P$37:$AB$662,6,0),0)</f>
        <v>#NAME?</v>
      </c>
      <c r="I3639" s="274"/>
      <c r="J3639" s="274" t="e">
        <f t="shared" ca="1" si="54"/>
        <v>#NAME?</v>
      </c>
      <c r="K3639" s="274">
        <f t="shared" si="55"/>
        <v>0</v>
      </c>
      <c r="N3639" s="274"/>
    </row>
    <row r="3640" spans="5:14" ht="13.5" customHeight="1">
      <c r="E3640" s="209" t="s">
        <v>832</v>
      </c>
      <c r="F3640" s="209" t="s">
        <v>2785</v>
      </c>
      <c r="G3640" s="409" t="str">
        <f t="shared" si="60"/>
        <v>15-12</v>
      </c>
      <c r="H3640" s="273" t="e">
        <f ca="1">_xludf.IFNA(VLOOKUP(Aragon!E3640,'Kilter Holds'!$P$37:$AB$662,7,0),0)</f>
        <v>#NAME?</v>
      </c>
      <c r="I3640" s="274"/>
      <c r="J3640" s="274" t="e">
        <f t="shared" ca="1" si="54"/>
        <v>#NAME?</v>
      </c>
      <c r="K3640" s="274">
        <f t="shared" si="55"/>
        <v>0</v>
      </c>
      <c r="N3640" s="274"/>
    </row>
    <row r="3641" spans="5:14" ht="13.5" customHeight="1">
      <c r="E3641" s="209" t="s">
        <v>832</v>
      </c>
      <c r="F3641" s="209" t="s">
        <v>2785</v>
      </c>
      <c r="G3641" s="410" t="str">
        <f t="shared" si="60"/>
        <v>16-16</v>
      </c>
      <c r="H3641" s="273" t="e">
        <f ca="1">_xludf.IFNA(VLOOKUP(Aragon!E3641,'Kilter Holds'!$P$37:$AB$662,8,0),0)</f>
        <v>#NAME?</v>
      </c>
      <c r="I3641" s="274"/>
      <c r="J3641" s="274" t="e">
        <f t="shared" ca="1" si="54"/>
        <v>#NAME?</v>
      </c>
      <c r="K3641" s="274">
        <f t="shared" si="55"/>
        <v>0</v>
      </c>
      <c r="N3641" s="274"/>
    </row>
    <row r="3642" spans="5:14" ht="13.5" customHeight="1">
      <c r="E3642" s="209" t="s">
        <v>832</v>
      </c>
      <c r="F3642" s="209" t="s">
        <v>2785</v>
      </c>
      <c r="G3642" s="411" t="str">
        <f t="shared" si="60"/>
        <v>13-01</v>
      </c>
      <c r="H3642" s="273" t="e">
        <f ca="1">_xludf.IFNA(VLOOKUP(Aragon!E3642,'Kilter Holds'!$P$37:$AB$662,9,0),0)</f>
        <v>#NAME?</v>
      </c>
      <c r="I3642" s="274"/>
      <c r="J3642" s="274" t="e">
        <f t="shared" ca="1" si="54"/>
        <v>#NAME?</v>
      </c>
      <c r="K3642" s="274">
        <f t="shared" si="55"/>
        <v>0</v>
      </c>
      <c r="N3642" s="274"/>
    </row>
    <row r="3643" spans="5:14" ht="13.5" customHeight="1">
      <c r="E3643" s="209" t="s">
        <v>832</v>
      </c>
      <c r="F3643" s="209" t="s">
        <v>2785</v>
      </c>
      <c r="G3643" s="413" t="str">
        <f t="shared" si="60"/>
        <v>07-13</v>
      </c>
      <c r="H3643" s="273" t="e">
        <f ca="1">_xludf.IFNA(VLOOKUP(Aragon!E3643,'Kilter Holds'!$P$37:$AB$662,10,0),0)</f>
        <v>#NAME?</v>
      </c>
      <c r="I3643" s="274"/>
      <c r="J3643" s="274" t="e">
        <f t="shared" ca="1" si="54"/>
        <v>#NAME?</v>
      </c>
      <c r="K3643" s="274">
        <f t="shared" si="55"/>
        <v>0</v>
      </c>
      <c r="N3643" s="274"/>
    </row>
    <row r="3644" spans="5:14" ht="13.5" customHeight="1">
      <c r="E3644" s="209" t="s">
        <v>832</v>
      </c>
      <c r="F3644" s="209" t="s">
        <v>2785</v>
      </c>
      <c r="G3644" s="414" t="str">
        <f t="shared" si="60"/>
        <v>11-26</v>
      </c>
      <c r="H3644" s="273" t="e">
        <f ca="1">_xludf.IFNA(VLOOKUP(Aragon!E3644,'Kilter Holds'!$P$37:$AB$662,11,0),0)</f>
        <v>#NAME?</v>
      </c>
      <c r="I3644" s="274"/>
      <c r="J3644" s="274" t="e">
        <f t="shared" ca="1" si="54"/>
        <v>#NAME?</v>
      </c>
      <c r="K3644" s="274">
        <f t="shared" si="55"/>
        <v>0</v>
      </c>
      <c r="N3644" s="274"/>
    </row>
    <row r="3645" spans="5:14" ht="13.5" customHeight="1">
      <c r="E3645" s="209" t="s">
        <v>832</v>
      </c>
      <c r="F3645" s="209" t="s">
        <v>2785</v>
      </c>
      <c r="G3645" s="415" t="str">
        <f t="shared" si="60"/>
        <v>18-01</v>
      </c>
      <c r="H3645" s="273" t="e">
        <f ca="1">_xludf.IFNA(VLOOKUP(Aragon!E3645,'Kilter Holds'!$P$37:$AB$662,12,0),0)</f>
        <v>#NAME?</v>
      </c>
      <c r="I3645" s="274"/>
      <c r="J3645" s="274" t="e">
        <f t="shared" ca="1" si="54"/>
        <v>#NAME?</v>
      </c>
      <c r="K3645" s="274">
        <f t="shared" si="55"/>
        <v>0</v>
      </c>
      <c r="N3645" s="274"/>
    </row>
    <row r="3646" spans="5:14" ht="13.5" customHeight="1">
      <c r="E3646" s="209" t="s">
        <v>832</v>
      </c>
      <c r="F3646" s="209" t="s">
        <v>2785</v>
      </c>
      <c r="G3646" s="416" t="str">
        <f t="shared" si="60"/>
        <v>Color Code</v>
      </c>
      <c r="H3646" s="273" t="e">
        <f ca="1">_xludf.IFNA(VLOOKUP(Aragon!E3646,'Kilter Holds'!$P$37:$AB$662,13,0),0)</f>
        <v>#NAME?</v>
      </c>
      <c r="I3646" s="274"/>
      <c r="J3646" s="274" t="e">
        <f t="shared" ca="1" si="54"/>
        <v>#NAME?</v>
      </c>
      <c r="K3646" s="274">
        <f t="shared" si="55"/>
        <v>0</v>
      </c>
      <c r="N3646" s="274"/>
    </row>
    <row r="3647" spans="5:14" ht="13.5" customHeight="1">
      <c r="E3647" s="1" t="s">
        <v>804</v>
      </c>
      <c r="F3647" s="1" t="s">
        <v>2786</v>
      </c>
      <c r="G3647" s="406" t="str">
        <f t="shared" si="60"/>
        <v>11-12</v>
      </c>
      <c r="H3647" s="273" t="e">
        <f ca="1">_xludf.IFNA(VLOOKUP(Aragon!E3647,'Kilter Holds'!$P$37:$AB$662,5,0),0)</f>
        <v>#NAME?</v>
      </c>
      <c r="I3647" s="274"/>
      <c r="J3647" s="274" t="e">
        <f t="shared" ca="1" si="54"/>
        <v>#NAME?</v>
      </c>
      <c r="K3647" s="274">
        <f t="shared" si="55"/>
        <v>0</v>
      </c>
      <c r="N3647" s="274"/>
    </row>
    <row r="3648" spans="5:14" ht="13.5" customHeight="1">
      <c r="E3648" s="1" t="s">
        <v>804</v>
      </c>
      <c r="F3648" s="1" t="s">
        <v>2786</v>
      </c>
      <c r="G3648" s="408" t="str">
        <f t="shared" si="60"/>
        <v>14-01</v>
      </c>
      <c r="H3648" s="273" t="e">
        <f ca="1">_xludf.IFNA(VLOOKUP(Aragon!E3648,'Kilter Holds'!$P$37:$AB$662,6,0),0)</f>
        <v>#NAME?</v>
      </c>
      <c r="I3648" s="274"/>
      <c r="J3648" s="274" t="e">
        <f t="shared" ca="1" si="54"/>
        <v>#NAME?</v>
      </c>
      <c r="K3648" s="274">
        <f t="shared" si="55"/>
        <v>0</v>
      </c>
      <c r="N3648" s="274"/>
    </row>
    <row r="3649" spans="5:14" ht="13.5" customHeight="1">
      <c r="E3649" s="1" t="s">
        <v>804</v>
      </c>
      <c r="F3649" s="1" t="s">
        <v>2786</v>
      </c>
      <c r="G3649" s="409" t="str">
        <f t="shared" si="60"/>
        <v>15-12</v>
      </c>
      <c r="H3649" s="273" t="e">
        <f ca="1">_xludf.IFNA(VLOOKUP(Aragon!E3649,'Kilter Holds'!$P$37:$AB$662,7,0),0)</f>
        <v>#NAME?</v>
      </c>
      <c r="I3649" s="274"/>
      <c r="J3649" s="274" t="e">
        <f t="shared" ca="1" si="54"/>
        <v>#NAME?</v>
      </c>
      <c r="K3649" s="274">
        <f t="shared" si="55"/>
        <v>0</v>
      </c>
      <c r="N3649" s="274"/>
    </row>
    <row r="3650" spans="5:14" ht="13.5" customHeight="1">
      <c r="E3650" s="1" t="s">
        <v>804</v>
      </c>
      <c r="F3650" s="1" t="s">
        <v>2786</v>
      </c>
      <c r="G3650" s="410" t="str">
        <f t="shared" si="60"/>
        <v>16-16</v>
      </c>
      <c r="H3650" s="273" t="e">
        <f ca="1">_xludf.IFNA(VLOOKUP(Aragon!E3650,'Kilter Holds'!$P$37:$AB$662,8,0),0)</f>
        <v>#NAME?</v>
      </c>
      <c r="I3650" s="274"/>
      <c r="J3650" s="274" t="e">
        <f t="shared" ca="1" si="54"/>
        <v>#NAME?</v>
      </c>
      <c r="K3650" s="274">
        <f t="shared" si="55"/>
        <v>0</v>
      </c>
      <c r="N3650" s="274"/>
    </row>
    <row r="3651" spans="5:14" ht="13.5" customHeight="1">
      <c r="E3651" s="1" t="s">
        <v>804</v>
      </c>
      <c r="F3651" s="1" t="s">
        <v>2786</v>
      </c>
      <c r="G3651" s="411" t="str">
        <f t="shared" si="60"/>
        <v>13-01</v>
      </c>
      <c r="H3651" s="273" t="e">
        <f ca="1">_xludf.IFNA(VLOOKUP(Aragon!E3651,'Kilter Holds'!$P$37:$AB$662,9,0),0)</f>
        <v>#NAME?</v>
      </c>
      <c r="I3651" s="274"/>
      <c r="J3651" s="274" t="e">
        <f t="shared" ca="1" si="54"/>
        <v>#NAME?</v>
      </c>
      <c r="K3651" s="274">
        <f t="shared" si="55"/>
        <v>0</v>
      </c>
      <c r="N3651" s="274"/>
    </row>
    <row r="3652" spans="5:14" ht="13.5" customHeight="1">
      <c r="E3652" s="1" t="s">
        <v>804</v>
      </c>
      <c r="F3652" s="1" t="s">
        <v>2786</v>
      </c>
      <c r="G3652" s="413" t="str">
        <f t="shared" si="60"/>
        <v>07-13</v>
      </c>
      <c r="H3652" s="273" t="e">
        <f ca="1">_xludf.IFNA(VLOOKUP(Aragon!E3652,'Kilter Holds'!$P$37:$AB$662,10,0),0)</f>
        <v>#NAME?</v>
      </c>
      <c r="I3652" s="274"/>
      <c r="J3652" s="274" t="e">
        <f t="shared" ca="1" si="54"/>
        <v>#NAME?</v>
      </c>
      <c r="K3652" s="274">
        <f t="shared" si="55"/>
        <v>0</v>
      </c>
      <c r="N3652" s="274"/>
    </row>
    <row r="3653" spans="5:14" ht="13.5" customHeight="1">
      <c r="E3653" s="1" t="s">
        <v>804</v>
      </c>
      <c r="F3653" s="1" t="s">
        <v>2786</v>
      </c>
      <c r="G3653" s="414" t="str">
        <f t="shared" si="60"/>
        <v>11-26</v>
      </c>
      <c r="H3653" s="273" t="e">
        <f ca="1">_xludf.IFNA(VLOOKUP(Aragon!E3653,'Kilter Holds'!$P$37:$AB$662,11,0),0)</f>
        <v>#NAME?</v>
      </c>
      <c r="I3653" s="274"/>
      <c r="J3653" s="274" t="e">
        <f t="shared" ca="1" si="54"/>
        <v>#NAME?</v>
      </c>
      <c r="K3653" s="274">
        <f t="shared" si="55"/>
        <v>0</v>
      </c>
      <c r="N3653" s="274"/>
    </row>
    <row r="3654" spans="5:14" ht="13.5" customHeight="1">
      <c r="E3654" s="1" t="s">
        <v>804</v>
      </c>
      <c r="F3654" s="1" t="s">
        <v>2786</v>
      </c>
      <c r="G3654" s="415" t="str">
        <f t="shared" si="60"/>
        <v>18-01</v>
      </c>
      <c r="H3654" s="273" t="e">
        <f ca="1">_xludf.IFNA(VLOOKUP(Aragon!E3654,'Kilter Holds'!$P$37:$AB$662,12,0),0)</f>
        <v>#NAME?</v>
      </c>
      <c r="I3654" s="274"/>
      <c r="J3654" s="274" t="e">
        <f t="shared" ca="1" si="54"/>
        <v>#NAME?</v>
      </c>
      <c r="K3654" s="274">
        <f t="shared" si="55"/>
        <v>0</v>
      </c>
      <c r="N3654" s="274"/>
    </row>
    <row r="3655" spans="5:14" ht="13.5" customHeight="1">
      <c r="E3655" s="1" t="s">
        <v>804</v>
      </c>
      <c r="F3655" s="1" t="s">
        <v>2786</v>
      </c>
      <c r="G3655" s="416" t="str">
        <f t="shared" si="60"/>
        <v>Color Code</v>
      </c>
      <c r="H3655" s="273" t="e">
        <f ca="1">_xludf.IFNA(VLOOKUP(Aragon!E3655,'Kilter Holds'!$P$37:$AB$662,13,0),0)</f>
        <v>#NAME?</v>
      </c>
      <c r="I3655" s="274"/>
      <c r="J3655" s="274" t="e">
        <f t="shared" ca="1" si="54"/>
        <v>#NAME?</v>
      </c>
      <c r="K3655" s="274">
        <f t="shared" si="55"/>
        <v>0</v>
      </c>
      <c r="N3655" s="274"/>
    </row>
    <row r="3656" spans="5:14" ht="13.5" customHeight="1">
      <c r="E3656" s="1" t="s">
        <v>806</v>
      </c>
      <c r="F3656" s="1" t="s">
        <v>2787</v>
      </c>
      <c r="G3656" s="406" t="str">
        <f t="shared" si="60"/>
        <v>11-12</v>
      </c>
      <c r="H3656" s="273" t="e">
        <f ca="1">_xludf.IFNA(VLOOKUP(Aragon!E3656,'Kilter Holds'!$P$37:$AB$662,5,0),0)</f>
        <v>#NAME?</v>
      </c>
      <c r="I3656" s="274"/>
      <c r="J3656" s="274" t="e">
        <f t="shared" ca="1" si="54"/>
        <v>#NAME?</v>
      </c>
      <c r="K3656" s="274">
        <f t="shared" si="55"/>
        <v>0</v>
      </c>
      <c r="N3656" s="274"/>
    </row>
    <row r="3657" spans="5:14" ht="13.5" customHeight="1">
      <c r="E3657" s="1" t="s">
        <v>806</v>
      </c>
      <c r="F3657" s="1" t="s">
        <v>2787</v>
      </c>
      <c r="G3657" s="408" t="str">
        <f t="shared" si="60"/>
        <v>14-01</v>
      </c>
      <c r="H3657" s="273" t="e">
        <f ca="1">_xludf.IFNA(VLOOKUP(Aragon!E3657,'Kilter Holds'!$P$37:$AB$662,6,0),0)</f>
        <v>#NAME?</v>
      </c>
      <c r="I3657" s="274"/>
      <c r="J3657" s="274" t="e">
        <f t="shared" ca="1" si="54"/>
        <v>#NAME?</v>
      </c>
      <c r="K3657" s="274">
        <f t="shared" si="55"/>
        <v>0</v>
      </c>
      <c r="N3657" s="274"/>
    </row>
    <row r="3658" spans="5:14" ht="13.5" customHeight="1">
      <c r="E3658" s="1" t="s">
        <v>806</v>
      </c>
      <c r="F3658" s="1" t="s">
        <v>2787</v>
      </c>
      <c r="G3658" s="409" t="str">
        <f t="shared" si="60"/>
        <v>15-12</v>
      </c>
      <c r="H3658" s="273" t="e">
        <f ca="1">_xludf.IFNA(VLOOKUP(Aragon!E3658,'Kilter Holds'!$P$37:$AB$662,7,0),0)</f>
        <v>#NAME?</v>
      </c>
      <c r="I3658" s="274"/>
      <c r="J3658" s="274" t="e">
        <f t="shared" ca="1" si="54"/>
        <v>#NAME?</v>
      </c>
      <c r="K3658" s="274">
        <f t="shared" si="55"/>
        <v>0</v>
      </c>
      <c r="N3658" s="274"/>
    </row>
    <row r="3659" spans="5:14" ht="13.5" customHeight="1">
      <c r="E3659" s="1" t="s">
        <v>806</v>
      </c>
      <c r="F3659" s="1" t="s">
        <v>2787</v>
      </c>
      <c r="G3659" s="410" t="str">
        <f t="shared" si="60"/>
        <v>16-16</v>
      </c>
      <c r="H3659" s="273" t="e">
        <f ca="1">_xludf.IFNA(VLOOKUP(Aragon!E3659,'Kilter Holds'!$P$37:$AB$662,8,0),0)</f>
        <v>#NAME?</v>
      </c>
      <c r="I3659" s="274"/>
      <c r="J3659" s="274" t="e">
        <f t="shared" ca="1" si="54"/>
        <v>#NAME?</v>
      </c>
      <c r="K3659" s="274">
        <f t="shared" si="55"/>
        <v>0</v>
      </c>
      <c r="N3659" s="274"/>
    </row>
    <row r="3660" spans="5:14" ht="13.5" customHeight="1">
      <c r="E3660" s="1" t="s">
        <v>806</v>
      </c>
      <c r="F3660" s="1" t="s">
        <v>2787</v>
      </c>
      <c r="G3660" s="411" t="str">
        <f t="shared" si="60"/>
        <v>13-01</v>
      </c>
      <c r="H3660" s="273" t="e">
        <f ca="1">_xludf.IFNA(VLOOKUP(Aragon!E3660,'Kilter Holds'!$P$37:$AB$662,9,0),0)</f>
        <v>#NAME?</v>
      </c>
      <c r="I3660" s="274"/>
      <c r="J3660" s="274" t="e">
        <f t="shared" ca="1" si="54"/>
        <v>#NAME?</v>
      </c>
      <c r="K3660" s="274">
        <f t="shared" si="55"/>
        <v>0</v>
      </c>
      <c r="N3660" s="274"/>
    </row>
    <row r="3661" spans="5:14" ht="13.5" customHeight="1">
      <c r="E3661" s="1" t="s">
        <v>806</v>
      </c>
      <c r="F3661" s="1" t="s">
        <v>2787</v>
      </c>
      <c r="G3661" s="413" t="str">
        <f t="shared" si="60"/>
        <v>07-13</v>
      </c>
      <c r="H3661" s="273" t="e">
        <f ca="1">_xludf.IFNA(VLOOKUP(Aragon!E3661,'Kilter Holds'!$P$37:$AB$662,10,0),0)</f>
        <v>#NAME?</v>
      </c>
      <c r="I3661" s="274"/>
      <c r="J3661" s="274" t="e">
        <f t="shared" ca="1" si="54"/>
        <v>#NAME?</v>
      </c>
      <c r="K3661" s="274">
        <f t="shared" si="55"/>
        <v>0</v>
      </c>
      <c r="N3661" s="274"/>
    </row>
    <row r="3662" spans="5:14" ht="13.5" customHeight="1">
      <c r="E3662" s="1" t="s">
        <v>806</v>
      </c>
      <c r="F3662" s="1" t="s">
        <v>2787</v>
      </c>
      <c r="G3662" s="414" t="str">
        <f t="shared" si="60"/>
        <v>11-26</v>
      </c>
      <c r="H3662" s="273" t="e">
        <f ca="1">_xludf.IFNA(VLOOKUP(Aragon!E3662,'Kilter Holds'!$P$37:$AB$662,11,0),0)</f>
        <v>#NAME?</v>
      </c>
      <c r="I3662" s="274"/>
      <c r="J3662" s="274" t="e">
        <f t="shared" ca="1" si="54"/>
        <v>#NAME?</v>
      </c>
      <c r="K3662" s="274">
        <f t="shared" si="55"/>
        <v>0</v>
      </c>
      <c r="N3662" s="274"/>
    </row>
    <row r="3663" spans="5:14" ht="13.5" customHeight="1">
      <c r="E3663" s="1" t="s">
        <v>806</v>
      </c>
      <c r="F3663" s="1" t="s">
        <v>2787</v>
      </c>
      <c r="G3663" s="415" t="str">
        <f t="shared" si="60"/>
        <v>18-01</v>
      </c>
      <c r="H3663" s="273" t="e">
        <f ca="1">_xludf.IFNA(VLOOKUP(Aragon!E3663,'Kilter Holds'!$P$37:$AB$662,12,0),0)</f>
        <v>#NAME?</v>
      </c>
      <c r="I3663" s="274"/>
      <c r="J3663" s="274" t="e">
        <f t="shared" ca="1" si="54"/>
        <v>#NAME?</v>
      </c>
      <c r="K3663" s="274">
        <f t="shared" si="55"/>
        <v>0</v>
      </c>
      <c r="N3663" s="274"/>
    </row>
    <row r="3664" spans="5:14" ht="13.5" customHeight="1">
      <c r="E3664" s="1" t="s">
        <v>806</v>
      </c>
      <c r="F3664" s="1" t="s">
        <v>2787</v>
      </c>
      <c r="G3664" s="416" t="str">
        <f t="shared" si="60"/>
        <v>Color Code</v>
      </c>
      <c r="H3664" s="273" t="e">
        <f ca="1">_xludf.IFNA(VLOOKUP(Aragon!E3664,'Kilter Holds'!$P$37:$AB$662,13,0),0)</f>
        <v>#NAME?</v>
      </c>
      <c r="I3664" s="274"/>
      <c r="J3664" s="274" t="e">
        <f t="shared" ca="1" si="54"/>
        <v>#NAME?</v>
      </c>
      <c r="K3664" s="274">
        <f t="shared" si="55"/>
        <v>0</v>
      </c>
      <c r="N3664" s="274"/>
    </row>
    <row r="3665" spans="5:14" ht="13.5" customHeight="1">
      <c r="E3665" s="1" t="s">
        <v>808</v>
      </c>
      <c r="F3665" s="1" t="s">
        <v>2788</v>
      </c>
      <c r="G3665" s="406" t="str">
        <f t="shared" si="60"/>
        <v>11-12</v>
      </c>
      <c r="H3665" s="273" t="e">
        <f ca="1">_xludf.IFNA(VLOOKUP(Aragon!E3665,'Kilter Holds'!$P$37:$AB$662,5,0),0)</f>
        <v>#NAME?</v>
      </c>
      <c r="I3665" s="274"/>
      <c r="J3665" s="274" t="e">
        <f t="shared" ca="1" si="54"/>
        <v>#NAME?</v>
      </c>
      <c r="K3665" s="274">
        <f t="shared" si="55"/>
        <v>0</v>
      </c>
      <c r="N3665" s="274"/>
    </row>
    <row r="3666" spans="5:14" ht="13.5" customHeight="1">
      <c r="E3666" s="1" t="s">
        <v>808</v>
      </c>
      <c r="F3666" s="1" t="s">
        <v>2788</v>
      </c>
      <c r="G3666" s="408" t="str">
        <f t="shared" si="60"/>
        <v>14-01</v>
      </c>
      <c r="H3666" s="273" t="e">
        <f ca="1">_xludf.IFNA(VLOOKUP(Aragon!E3666,'Kilter Holds'!$P$37:$AB$662,6,0),0)</f>
        <v>#NAME?</v>
      </c>
      <c r="I3666" s="274"/>
      <c r="J3666" s="274" t="e">
        <f t="shared" ca="1" si="54"/>
        <v>#NAME?</v>
      </c>
      <c r="K3666" s="274">
        <f t="shared" si="55"/>
        <v>0</v>
      </c>
      <c r="N3666" s="274"/>
    </row>
    <row r="3667" spans="5:14" ht="13.5" customHeight="1">
      <c r="E3667" s="1" t="s">
        <v>808</v>
      </c>
      <c r="F3667" s="1" t="s">
        <v>2788</v>
      </c>
      <c r="G3667" s="409" t="str">
        <f t="shared" si="60"/>
        <v>15-12</v>
      </c>
      <c r="H3667" s="273" t="e">
        <f ca="1">_xludf.IFNA(VLOOKUP(Aragon!E3667,'Kilter Holds'!$P$37:$AB$662,7,0),0)</f>
        <v>#NAME?</v>
      </c>
      <c r="I3667" s="274"/>
      <c r="J3667" s="274" t="e">
        <f t="shared" ca="1" si="54"/>
        <v>#NAME?</v>
      </c>
      <c r="K3667" s="274">
        <f t="shared" si="55"/>
        <v>0</v>
      </c>
      <c r="N3667" s="274"/>
    </row>
    <row r="3668" spans="5:14" ht="13.5" customHeight="1">
      <c r="E3668" s="1" t="s">
        <v>808</v>
      </c>
      <c r="F3668" s="1" t="s">
        <v>2788</v>
      </c>
      <c r="G3668" s="410" t="str">
        <f t="shared" si="60"/>
        <v>16-16</v>
      </c>
      <c r="H3668" s="273" t="e">
        <f ca="1">_xludf.IFNA(VLOOKUP(Aragon!E3668,'Kilter Holds'!$P$37:$AB$662,8,0),0)</f>
        <v>#NAME?</v>
      </c>
      <c r="I3668" s="274"/>
      <c r="J3668" s="274" t="e">
        <f t="shared" ca="1" si="54"/>
        <v>#NAME?</v>
      </c>
      <c r="K3668" s="274">
        <f t="shared" si="55"/>
        <v>0</v>
      </c>
      <c r="N3668" s="274"/>
    </row>
    <row r="3669" spans="5:14" ht="13.5" customHeight="1">
      <c r="E3669" s="1" t="s">
        <v>808</v>
      </c>
      <c r="F3669" s="1" t="s">
        <v>2788</v>
      </c>
      <c r="G3669" s="411" t="str">
        <f t="shared" si="60"/>
        <v>13-01</v>
      </c>
      <c r="H3669" s="273" t="e">
        <f ca="1">_xludf.IFNA(VLOOKUP(Aragon!E3669,'Kilter Holds'!$P$37:$AB$662,9,0),0)</f>
        <v>#NAME?</v>
      </c>
      <c r="I3669" s="274"/>
      <c r="J3669" s="274" t="e">
        <f t="shared" ca="1" si="54"/>
        <v>#NAME?</v>
      </c>
      <c r="K3669" s="274">
        <f t="shared" si="55"/>
        <v>0</v>
      </c>
      <c r="N3669" s="274"/>
    </row>
    <row r="3670" spans="5:14" ht="13.5" customHeight="1">
      <c r="E3670" s="1" t="s">
        <v>808</v>
      </c>
      <c r="F3670" s="1" t="s">
        <v>2788</v>
      </c>
      <c r="G3670" s="413" t="str">
        <f t="shared" si="60"/>
        <v>07-13</v>
      </c>
      <c r="H3670" s="273" t="e">
        <f ca="1">_xludf.IFNA(VLOOKUP(Aragon!E3670,'Kilter Holds'!$P$37:$AB$662,10,0),0)</f>
        <v>#NAME?</v>
      </c>
      <c r="I3670" s="274"/>
      <c r="J3670" s="274" t="e">
        <f t="shared" ca="1" si="54"/>
        <v>#NAME?</v>
      </c>
      <c r="K3670" s="274">
        <f t="shared" si="55"/>
        <v>0</v>
      </c>
      <c r="N3670" s="274"/>
    </row>
    <row r="3671" spans="5:14" ht="13.5" customHeight="1">
      <c r="E3671" s="1" t="s">
        <v>808</v>
      </c>
      <c r="F3671" s="1" t="s">
        <v>2788</v>
      </c>
      <c r="G3671" s="414" t="str">
        <f t="shared" si="60"/>
        <v>11-26</v>
      </c>
      <c r="H3671" s="273" t="e">
        <f ca="1">_xludf.IFNA(VLOOKUP(Aragon!E3671,'Kilter Holds'!$P$37:$AB$662,11,0),0)</f>
        <v>#NAME?</v>
      </c>
      <c r="I3671" s="274"/>
      <c r="J3671" s="274" t="e">
        <f t="shared" ca="1" si="54"/>
        <v>#NAME?</v>
      </c>
      <c r="K3671" s="274">
        <f t="shared" si="55"/>
        <v>0</v>
      </c>
      <c r="N3671" s="274"/>
    </row>
    <row r="3672" spans="5:14" ht="13.5" customHeight="1">
      <c r="E3672" s="1" t="s">
        <v>808</v>
      </c>
      <c r="F3672" s="1" t="s">
        <v>2788</v>
      </c>
      <c r="G3672" s="415" t="str">
        <f t="shared" si="60"/>
        <v>18-01</v>
      </c>
      <c r="H3672" s="273" t="e">
        <f ca="1">_xludf.IFNA(VLOOKUP(Aragon!E3672,'Kilter Holds'!$P$37:$AB$662,12,0),0)</f>
        <v>#NAME?</v>
      </c>
      <c r="I3672" s="274"/>
      <c r="J3672" s="274" t="e">
        <f t="shared" ca="1" si="54"/>
        <v>#NAME?</v>
      </c>
      <c r="K3672" s="274">
        <f t="shared" si="55"/>
        <v>0</v>
      </c>
      <c r="N3672" s="274"/>
    </row>
    <row r="3673" spans="5:14" ht="13.5" customHeight="1">
      <c r="E3673" s="1" t="s">
        <v>808</v>
      </c>
      <c r="F3673" s="1" t="s">
        <v>2788</v>
      </c>
      <c r="G3673" s="416" t="str">
        <f t="shared" si="60"/>
        <v>Color Code</v>
      </c>
      <c r="H3673" s="273" t="e">
        <f ca="1">_xludf.IFNA(VLOOKUP(Aragon!E3673,'Kilter Holds'!$P$37:$AB$662,13,0),0)</f>
        <v>#NAME?</v>
      </c>
      <c r="I3673" s="274"/>
      <c r="J3673" s="274" t="e">
        <f t="shared" ca="1" si="54"/>
        <v>#NAME?</v>
      </c>
      <c r="K3673" s="274">
        <f t="shared" si="55"/>
        <v>0</v>
      </c>
      <c r="N3673" s="274"/>
    </row>
    <row r="3674" spans="5:14" ht="13.5" customHeight="1">
      <c r="E3674" s="1" t="s">
        <v>810</v>
      </c>
      <c r="F3674" s="1" t="s">
        <v>2789</v>
      </c>
      <c r="G3674" s="406" t="str">
        <f t="shared" si="60"/>
        <v>11-12</v>
      </c>
      <c r="H3674" s="273" t="e">
        <f ca="1">_xludf.IFNA(VLOOKUP(Aragon!E3674,'Kilter Holds'!$P$37:$AB$662,5,0),0)</f>
        <v>#NAME?</v>
      </c>
      <c r="I3674" s="274"/>
      <c r="J3674" s="274" t="e">
        <f t="shared" ca="1" si="54"/>
        <v>#NAME?</v>
      </c>
      <c r="K3674" s="274">
        <f t="shared" si="55"/>
        <v>0</v>
      </c>
      <c r="N3674" s="274"/>
    </row>
    <row r="3675" spans="5:14" ht="13.5" customHeight="1">
      <c r="E3675" s="1" t="s">
        <v>810</v>
      </c>
      <c r="F3675" s="1" t="s">
        <v>2789</v>
      </c>
      <c r="G3675" s="408" t="str">
        <f t="shared" si="60"/>
        <v>14-01</v>
      </c>
      <c r="H3675" s="273" t="e">
        <f ca="1">_xludf.IFNA(VLOOKUP(Aragon!E3675,'Kilter Holds'!$P$37:$AB$662,6,0),0)</f>
        <v>#NAME?</v>
      </c>
      <c r="I3675" s="274"/>
      <c r="J3675" s="274" t="e">
        <f t="shared" ca="1" si="54"/>
        <v>#NAME?</v>
      </c>
      <c r="K3675" s="274">
        <f t="shared" si="55"/>
        <v>0</v>
      </c>
      <c r="N3675" s="274"/>
    </row>
    <row r="3676" spans="5:14" ht="13.5" customHeight="1">
      <c r="E3676" s="1" t="s">
        <v>810</v>
      </c>
      <c r="F3676" s="1" t="s">
        <v>2789</v>
      </c>
      <c r="G3676" s="409" t="str">
        <f t="shared" si="60"/>
        <v>15-12</v>
      </c>
      <c r="H3676" s="273" t="e">
        <f ca="1">_xludf.IFNA(VLOOKUP(Aragon!E3676,'Kilter Holds'!$P$37:$AB$662,7,0),0)</f>
        <v>#NAME?</v>
      </c>
      <c r="I3676" s="274"/>
      <c r="J3676" s="274" t="e">
        <f t="shared" ca="1" si="54"/>
        <v>#NAME?</v>
      </c>
      <c r="K3676" s="274">
        <f t="shared" si="55"/>
        <v>0</v>
      </c>
      <c r="N3676" s="274"/>
    </row>
    <row r="3677" spans="5:14" ht="13.5" customHeight="1">
      <c r="E3677" s="1" t="s">
        <v>810</v>
      </c>
      <c r="F3677" s="1" t="s">
        <v>2789</v>
      </c>
      <c r="G3677" s="410" t="str">
        <f t="shared" si="60"/>
        <v>16-16</v>
      </c>
      <c r="H3677" s="273" t="e">
        <f ca="1">_xludf.IFNA(VLOOKUP(Aragon!E3677,'Kilter Holds'!$P$37:$AB$662,8,0),0)</f>
        <v>#NAME?</v>
      </c>
      <c r="I3677" s="274"/>
      <c r="J3677" s="274" t="e">
        <f t="shared" ca="1" si="54"/>
        <v>#NAME?</v>
      </c>
      <c r="K3677" s="274">
        <f t="shared" si="55"/>
        <v>0</v>
      </c>
      <c r="N3677" s="274"/>
    </row>
    <row r="3678" spans="5:14" ht="13.5" customHeight="1">
      <c r="E3678" s="1" t="s">
        <v>810</v>
      </c>
      <c r="F3678" s="1" t="s">
        <v>2789</v>
      </c>
      <c r="G3678" s="411" t="str">
        <f t="shared" si="60"/>
        <v>13-01</v>
      </c>
      <c r="H3678" s="273" t="e">
        <f ca="1">_xludf.IFNA(VLOOKUP(Aragon!E3678,'Kilter Holds'!$P$37:$AB$662,9,0),0)</f>
        <v>#NAME?</v>
      </c>
      <c r="I3678" s="274"/>
      <c r="J3678" s="274" t="e">
        <f t="shared" ca="1" si="54"/>
        <v>#NAME?</v>
      </c>
      <c r="K3678" s="274">
        <f t="shared" si="55"/>
        <v>0</v>
      </c>
      <c r="N3678" s="274"/>
    </row>
    <row r="3679" spans="5:14" ht="13.5" customHeight="1">
      <c r="E3679" s="1" t="s">
        <v>810</v>
      </c>
      <c r="F3679" s="1" t="s">
        <v>2789</v>
      </c>
      <c r="G3679" s="413" t="str">
        <f t="shared" si="60"/>
        <v>07-13</v>
      </c>
      <c r="H3679" s="273" t="e">
        <f ca="1">_xludf.IFNA(VLOOKUP(Aragon!E3679,'Kilter Holds'!$P$37:$AB$662,10,0),0)</f>
        <v>#NAME?</v>
      </c>
      <c r="I3679" s="274"/>
      <c r="J3679" s="274" t="e">
        <f t="shared" ca="1" si="54"/>
        <v>#NAME?</v>
      </c>
      <c r="K3679" s="274">
        <f t="shared" si="55"/>
        <v>0</v>
      </c>
      <c r="N3679" s="274"/>
    </row>
    <row r="3680" spans="5:14" ht="13.5" customHeight="1">
      <c r="E3680" s="1" t="s">
        <v>810</v>
      </c>
      <c r="F3680" s="1" t="s">
        <v>2789</v>
      </c>
      <c r="G3680" s="414" t="str">
        <f t="shared" si="60"/>
        <v>11-26</v>
      </c>
      <c r="H3680" s="273" t="e">
        <f ca="1">_xludf.IFNA(VLOOKUP(Aragon!E3680,'Kilter Holds'!$P$37:$AB$662,11,0),0)</f>
        <v>#NAME?</v>
      </c>
      <c r="I3680" s="274"/>
      <c r="J3680" s="274" t="e">
        <f t="shared" ca="1" si="54"/>
        <v>#NAME?</v>
      </c>
      <c r="K3680" s="274">
        <f t="shared" si="55"/>
        <v>0</v>
      </c>
      <c r="N3680" s="274"/>
    </row>
    <row r="3681" spans="5:14" ht="13.5" customHeight="1">
      <c r="E3681" s="1" t="s">
        <v>810</v>
      </c>
      <c r="F3681" s="1" t="s">
        <v>2789</v>
      </c>
      <c r="G3681" s="415" t="str">
        <f t="shared" si="60"/>
        <v>18-01</v>
      </c>
      <c r="H3681" s="273" t="e">
        <f ca="1">_xludf.IFNA(VLOOKUP(Aragon!E3681,'Kilter Holds'!$P$37:$AB$662,12,0),0)</f>
        <v>#NAME?</v>
      </c>
      <c r="I3681" s="274"/>
      <c r="J3681" s="274" t="e">
        <f t="shared" ca="1" si="54"/>
        <v>#NAME?</v>
      </c>
      <c r="K3681" s="274">
        <f t="shared" si="55"/>
        <v>0</v>
      </c>
      <c r="N3681" s="274"/>
    </row>
    <row r="3682" spans="5:14" ht="13.5" customHeight="1">
      <c r="E3682" s="1" t="s">
        <v>810</v>
      </c>
      <c r="F3682" s="1" t="s">
        <v>2789</v>
      </c>
      <c r="G3682" s="416" t="str">
        <f t="shared" si="60"/>
        <v>Color Code</v>
      </c>
      <c r="H3682" s="273" t="e">
        <f ca="1">_xludf.IFNA(VLOOKUP(Aragon!E3682,'Kilter Holds'!$P$37:$AB$662,13,0),0)</f>
        <v>#NAME?</v>
      </c>
      <c r="I3682" s="274"/>
      <c r="J3682" s="274" t="e">
        <f t="shared" ca="1" si="54"/>
        <v>#NAME?</v>
      </c>
      <c r="K3682" s="274">
        <f t="shared" si="55"/>
        <v>0</v>
      </c>
      <c r="N3682" s="274"/>
    </row>
    <row r="3683" spans="5:14" ht="13.5" customHeight="1">
      <c r="E3683" s="1" t="s">
        <v>812</v>
      </c>
      <c r="F3683" s="1" t="s">
        <v>2790</v>
      </c>
      <c r="G3683" s="406" t="str">
        <f t="shared" si="60"/>
        <v>11-12</v>
      </c>
      <c r="H3683" s="273" t="e">
        <f ca="1">_xludf.IFNA(VLOOKUP(Aragon!E3683,'Kilter Holds'!$P$37:$AB$662,5,0),0)</f>
        <v>#NAME?</v>
      </c>
      <c r="I3683" s="274"/>
      <c r="J3683" s="274" t="e">
        <f t="shared" ca="1" si="54"/>
        <v>#NAME?</v>
      </c>
      <c r="K3683" s="274">
        <f t="shared" si="55"/>
        <v>0</v>
      </c>
      <c r="N3683" s="274"/>
    </row>
    <row r="3684" spans="5:14" ht="13.5" customHeight="1">
      <c r="E3684" s="1" t="s">
        <v>812</v>
      </c>
      <c r="F3684" s="1" t="s">
        <v>2790</v>
      </c>
      <c r="G3684" s="408" t="str">
        <f t="shared" si="60"/>
        <v>14-01</v>
      </c>
      <c r="H3684" s="273" t="e">
        <f ca="1">_xludf.IFNA(VLOOKUP(Aragon!E3684,'Kilter Holds'!$P$37:$AB$662,6,0),0)</f>
        <v>#NAME?</v>
      </c>
      <c r="I3684" s="274"/>
      <c r="J3684" s="274" t="e">
        <f t="shared" ca="1" si="54"/>
        <v>#NAME?</v>
      </c>
      <c r="K3684" s="274">
        <f t="shared" si="55"/>
        <v>0</v>
      </c>
      <c r="N3684" s="274"/>
    </row>
    <row r="3685" spans="5:14" ht="13.5" customHeight="1">
      <c r="E3685" s="1" t="s">
        <v>812</v>
      </c>
      <c r="F3685" s="1" t="s">
        <v>2790</v>
      </c>
      <c r="G3685" s="409" t="str">
        <f t="shared" si="60"/>
        <v>15-12</v>
      </c>
      <c r="H3685" s="273" t="e">
        <f ca="1">_xludf.IFNA(VLOOKUP(Aragon!E3685,'Kilter Holds'!$P$37:$AB$662,7,0),0)</f>
        <v>#NAME?</v>
      </c>
      <c r="I3685" s="274"/>
      <c r="J3685" s="274" t="e">
        <f t="shared" ca="1" si="54"/>
        <v>#NAME?</v>
      </c>
      <c r="K3685" s="274">
        <f t="shared" si="55"/>
        <v>0</v>
      </c>
      <c r="N3685" s="274"/>
    </row>
    <row r="3686" spans="5:14" ht="13.5" customHeight="1">
      <c r="E3686" s="1" t="s">
        <v>812</v>
      </c>
      <c r="F3686" s="1" t="s">
        <v>2790</v>
      </c>
      <c r="G3686" s="410" t="str">
        <f t="shared" si="60"/>
        <v>16-16</v>
      </c>
      <c r="H3686" s="273" t="e">
        <f ca="1">_xludf.IFNA(VLOOKUP(Aragon!E3686,'Kilter Holds'!$P$37:$AB$662,8,0),0)</f>
        <v>#NAME?</v>
      </c>
      <c r="I3686" s="274"/>
      <c r="J3686" s="274" t="e">
        <f t="shared" ca="1" si="54"/>
        <v>#NAME?</v>
      </c>
      <c r="K3686" s="274">
        <f t="shared" si="55"/>
        <v>0</v>
      </c>
      <c r="N3686" s="274"/>
    </row>
    <row r="3687" spans="5:14" ht="13.5" customHeight="1">
      <c r="E3687" s="1" t="s">
        <v>812</v>
      </c>
      <c r="F3687" s="1" t="s">
        <v>2790</v>
      </c>
      <c r="G3687" s="411" t="str">
        <f t="shared" si="60"/>
        <v>13-01</v>
      </c>
      <c r="H3687" s="273" t="e">
        <f ca="1">_xludf.IFNA(VLOOKUP(Aragon!E3687,'Kilter Holds'!$P$37:$AB$662,9,0),0)</f>
        <v>#NAME?</v>
      </c>
      <c r="I3687" s="274"/>
      <c r="J3687" s="274" t="e">
        <f t="shared" ca="1" si="54"/>
        <v>#NAME?</v>
      </c>
      <c r="K3687" s="274">
        <f t="shared" si="55"/>
        <v>0</v>
      </c>
      <c r="N3687" s="274"/>
    </row>
    <row r="3688" spans="5:14" ht="13.5" customHeight="1">
      <c r="E3688" s="1" t="s">
        <v>812</v>
      </c>
      <c r="F3688" s="1" t="s">
        <v>2790</v>
      </c>
      <c r="G3688" s="413" t="str">
        <f t="shared" si="60"/>
        <v>07-13</v>
      </c>
      <c r="H3688" s="273" t="e">
        <f ca="1">_xludf.IFNA(VLOOKUP(Aragon!E3688,'Kilter Holds'!$P$37:$AB$662,10,0),0)</f>
        <v>#NAME?</v>
      </c>
      <c r="I3688" s="274"/>
      <c r="J3688" s="274" t="e">
        <f t="shared" ca="1" si="54"/>
        <v>#NAME?</v>
      </c>
      <c r="K3688" s="274">
        <f t="shared" si="55"/>
        <v>0</v>
      </c>
      <c r="N3688" s="274"/>
    </row>
    <row r="3689" spans="5:14" ht="13.5" customHeight="1">
      <c r="E3689" s="1" t="s">
        <v>812</v>
      </c>
      <c r="F3689" s="1" t="s">
        <v>2790</v>
      </c>
      <c r="G3689" s="414" t="str">
        <f t="shared" si="60"/>
        <v>11-26</v>
      </c>
      <c r="H3689" s="273" t="e">
        <f ca="1">_xludf.IFNA(VLOOKUP(Aragon!E3689,'Kilter Holds'!$P$37:$AB$662,11,0),0)</f>
        <v>#NAME?</v>
      </c>
      <c r="I3689" s="274"/>
      <c r="J3689" s="274" t="e">
        <f t="shared" ca="1" si="54"/>
        <v>#NAME?</v>
      </c>
      <c r="K3689" s="274">
        <f t="shared" si="55"/>
        <v>0</v>
      </c>
      <c r="N3689" s="274"/>
    </row>
    <row r="3690" spans="5:14" ht="13.5" customHeight="1">
      <c r="E3690" s="1" t="s">
        <v>812</v>
      </c>
      <c r="F3690" s="1" t="s">
        <v>2790</v>
      </c>
      <c r="G3690" s="415" t="str">
        <f t="shared" si="60"/>
        <v>18-01</v>
      </c>
      <c r="H3690" s="273" t="e">
        <f ca="1">_xludf.IFNA(VLOOKUP(Aragon!E3690,'Kilter Holds'!$P$37:$AB$662,12,0),0)</f>
        <v>#NAME?</v>
      </c>
      <c r="I3690" s="274"/>
      <c r="J3690" s="274" t="e">
        <f t="shared" ca="1" si="54"/>
        <v>#NAME?</v>
      </c>
      <c r="K3690" s="274">
        <f t="shared" si="55"/>
        <v>0</v>
      </c>
      <c r="N3690" s="274"/>
    </row>
    <row r="3691" spans="5:14" ht="13.5" customHeight="1">
      <c r="E3691" s="1" t="s">
        <v>812</v>
      </c>
      <c r="F3691" s="1" t="s">
        <v>2790</v>
      </c>
      <c r="G3691" s="416" t="str">
        <f t="shared" si="60"/>
        <v>Color Code</v>
      </c>
      <c r="H3691" s="273" t="e">
        <f ca="1">_xludf.IFNA(VLOOKUP(Aragon!E3691,'Kilter Holds'!$P$37:$AB$662,13,0),0)</f>
        <v>#NAME?</v>
      </c>
      <c r="I3691" s="274"/>
      <c r="J3691" s="274" t="e">
        <f t="shared" ca="1" si="54"/>
        <v>#NAME?</v>
      </c>
      <c r="K3691" s="274">
        <f t="shared" si="55"/>
        <v>0</v>
      </c>
      <c r="N3691" s="274"/>
    </row>
    <row r="3692" spans="5:14" ht="13.5" customHeight="1">
      <c r="E3692" s="1" t="s">
        <v>814</v>
      </c>
      <c r="F3692" s="1" t="s">
        <v>2791</v>
      </c>
      <c r="G3692" s="406" t="str">
        <f t="shared" si="60"/>
        <v>11-12</v>
      </c>
      <c r="H3692" s="273" t="e">
        <f ca="1">_xludf.IFNA(VLOOKUP(Aragon!E3692,'Kilter Holds'!$P$37:$AB$662,5,0),0)</f>
        <v>#NAME?</v>
      </c>
      <c r="I3692" s="274"/>
      <c r="J3692" s="274" t="e">
        <f t="shared" ca="1" si="54"/>
        <v>#NAME?</v>
      </c>
      <c r="K3692" s="274">
        <f t="shared" si="55"/>
        <v>0</v>
      </c>
      <c r="N3692" s="274"/>
    </row>
    <row r="3693" spans="5:14" ht="13.5" customHeight="1">
      <c r="E3693" s="1" t="s">
        <v>814</v>
      </c>
      <c r="F3693" s="1" t="s">
        <v>2791</v>
      </c>
      <c r="G3693" s="408" t="str">
        <f t="shared" si="60"/>
        <v>14-01</v>
      </c>
      <c r="H3693" s="273" t="e">
        <f ca="1">_xludf.IFNA(VLOOKUP(Aragon!E3693,'Kilter Holds'!$P$37:$AB$662,6,0),0)</f>
        <v>#NAME?</v>
      </c>
      <c r="I3693" s="274"/>
      <c r="J3693" s="274" t="e">
        <f t="shared" ca="1" si="54"/>
        <v>#NAME?</v>
      </c>
      <c r="K3693" s="274">
        <f t="shared" si="55"/>
        <v>0</v>
      </c>
      <c r="N3693" s="274"/>
    </row>
    <row r="3694" spans="5:14" ht="13.5" customHeight="1">
      <c r="E3694" s="1" t="s">
        <v>814</v>
      </c>
      <c r="F3694" s="1" t="s">
        <v>2791</v>
      </c>
      <c r="G3694" s="409" t="str">
        <f t="shared" si="60"/>
        <v>15-12</v>
      </c>
      <c r="H3694" s="273" t="e">
        <f ca="1">_xludf.IFNA(VLOOKUP(Aragon!E3694,'Kilter Holds'!$P$37:$AB$662,7,0),0)</f>
        <v>#NAME?</v>
      </c>
      <c r="I3694" s="274"/>
      <c r="J3694" s="274" t="e">
        <f t="shared" ca="1" si="54"/>
        <v>#NAME?</v>
      </c>
      <c r="K3694" s="274">
        <f t="shared" si="55"/>
        <v>0</v>
      </c>
      <c r="N3694" s="274"/>
    </row>
    <row r="3695" spans="5:14" ht="13.5" customHeight="1">
      <c r="E3695" s="1" t="s">
        <v>814</v>
      </c>
      <c r="F3695" s="1" t="s">
        <v>2791</v>
      </c>
      <c r="G3695" s="410" t="str">
        <f t="shared" si="60"/>
        <v>16-16</v>
      </c>
      <c r="H3695" s="273" t="e">
        <f ca="1">_xludf.IFNA(VLOOKUP(Aragon!E3695,'Kilter Holds'!$P$37:$AB$662,8,0),0)</f>
        <v>#NAME?</v>
      </c>
      <c r="I3695" s="274"/>
      <c r="J3695" s="274" t="e">
        <f t="shared" ca="1" si="54"/>
        <v>#NAME?</v>
      </c>
      <c r="K3695" s="274">
        <f t="shared" si="55"/>
        <v>0</v>
      </c>
      <c r="N3695" s="274"/>
    </row>
    <row r="3696" spans="5:14" ht="13.5" customHeight="1">
      <c r="E3696" s="1" t="s">
        <v>814</v>
      </c>
      <c r="F3696" s="1" t="s">
        <v>2791</v>
      </c>
      <c r="G3696" s="411" t="str">
        <f t="shared" si="60"/>
        <v>13-01</v>
      </c>
      <c r="H3696" s="273" t="e">
        <f ca="1">_xludf.IFNA(VLOOKUP(Aragon!E3696,'Kilter Holds'!$P$37:$AB$662,9,0),0)</f>
        <v>#NAME?</v>
      </c>
      <c r="I3696" s="274"/>
      <c r="J3696" s="274" t="e">
        <f t="shared" ca="1" si="54"/>
        <v>#NAME?</v>
      </c>
      <c r="K3696" s="274">
        <f t="shared" si="55"/>
        <v>0</v>
      </c>
      <c r="N3696" s="274"/>
    </row>
    <row r="3697" spans="5:14" ht="13.5" customHeight="1">
      <c r="E3697" s="1" t="s">
        <v>814</v>
      </c>
      <c r="F3697" s="1" t="s">
        <v>2791</v>
      </c>
      <c r="G3697" s="413" t="str">
        <f t="shared" si="60"/>
        <v>07-13</v>
      </c>
      <c r="H3697" s="273" t="e">
        <f ca="1">_xludf.IFNA(VLOOKUP(Aragon!E3697,'Kilter Holds'!$P$37:$AB$662,10,0),0)</f>
        <v>#NAME?</v>
      </c>
      <c r="I3697" s="274"/>
      <c r="J3697" s="274" t="e">
        <f t="shared" ca="1" si="54"/>
        <v>#NAME?</v>
      </c>
      <c r="K3697" s="274">
        <f t="shared" si="55"/>
        <v>0</v>
      </c>
      <c r="N3697" s="274"/>
    </row>
    <row r="3698" spans="5:14" ht="13.5" customHeight="1">
      <c r="E3698" s="1" t="s">
        <v>814</v>
      </c>
      <c r="F3698" s="1" t="s">
        <v>2791</v>
      </c>
      <c r="G3698" s="414" t="str">
        <f t="shared" si="60"/>
        <v>11-26</v>
      </c>
      <c r="H3698" s="273" t="e">
        <f ca="1">_xludf.IFNA(VLOOKUP(Aragon!E3698,'Kilter Holds'!$P$37:$AB$662,11,0),0)</f>
        <v>#NAME?</v>
      </c>
      <c r="I3698" s="274"/>
      <c r="J3698" s="274" t="e">
        <f t="shared" ca="1" si="54"/>
        <v>#NAME?</v>
      </c>
      <c r="K3698" s="274">
        <f t="shared" si="55"/>
        <v>0</v>
      </c>
      <c r="N3698" s="274"/>
    </row>
    <row r="3699" spans="5:14" ht="13.5" customHeight="1">
      <c r="E3699" s="1" t="s">
        <v>814</v>
      </c>
      <c r="F3699" s="1" t="s">
        <v>2791</v>
      </c>
      <c r="G3699" s="415" t="str">
        <f t="shared" si="60"/>
        <v>18-01</v>
      </c>
      <c r="H3699" s="273" t="e">
        <f ca="1">_xludf.IFNA(VLOOKUP(Aragon!E3699,'Kilter Holds'!$P$37:$AB$662,12,0),0)</f>
        <v>#NAME?</v>
      </c>
      <c r="I3699" s="274"/>
      <c r="J3699" s="274" t="e">
        <f t="shared" ca="1" si="54"/>
        <v>#NAME?</v>
      </c>
      <c r="K3699" s="274">
        <f t="shared" si="55"/>
        <v>0</v>
      </c>
      <c r="N3699" s="274"/>
    </row>
    <row r="3700" spans="5:14" ht="13.5" customHeight="1">
      <c r="E3700" s="1" t="s">
        <v>814</v>
      </c>
      <c r="F3700" s="1" t="s">
        <v>2791</v>
      </c>
      <c r="G3700" s="416" t="str">
        <f t="shared" si="60"/>
        <v>Color Code</v>
      </c>
      <c r="H3700" s="273" t="e">
        <f ca="1">_xludf.IFNA(VLOOKUP(Aragon!E3700,'Kilter Holds'!$P$37:$AB$662,13,0),0)</f>
        <v>#NAME?</v>
      </c>
      <c r="I3700" s="274"/>
      <c r="J3700" s="274" t="e">
        <f t="shared" ca="1" si="54"/>
        <v>#NAME?</v>
      </c>
      <c r="K3700" s="274">
        <f t="shared" si="55"/>
        <v>0</v>
      </c>
      <c r="N3700" s="274"/>
    </row>
    <row r="3701" spans="5:14" ht="13.5" customHeight="1">
      <c r="E3701" s="1" t="s">
        <v>820</v>
      </c>
      <c r="F3701" s="1" t="s">
        <v>2792</v>
      </c>
      <c r="G3701" s="406" t="str">
        <f t="shared" si="60"/>
        <v>11-12</v>
      </c>
      <c r="H3701" s="273" t="e">
        <f ca="1">_xludf.IFNA(VLOOKUP(Aragon!E3701,'Kilter Holds'!$P$37:$AB$662,5,0),0)</f>
        <v>#NAME?</v>
      </c>
      <c r="I3701" s="274"/>
      <c r="J3701" s="274" t="e">
        <f t="shared" ca="1" si="54"/>
        <v>#NAME?</v>
      </c>
      <c r="K3701" s="274">
        <f t="shared" si="55"/>
        <v>0</v>
      </c>
      <c r="N3701" s="274"/>
    </row>
    <row r="3702" spans="5:14" ht="13.5" customHeight="1">
      <c r="E3702" s="1" t="s">
        <v>820</v>
      </c>
      <c r="F3702" s="1" t="s">
        <v>2792</v>
      </c>
      <c r="G3702" s="408" t="str">
        <f t="shared" si="60"/>
        <v>14-01</v>
      </c>
      <c r="H3702" s="273" t="e">
        <f ca="1">_xludf.IFNA(VLOOKUP(Aragon!E3702,'Kilter Holds'!$P$37:$AB$662,6,0),0)</f>
        <v>#NAME?</v>
      </c>
      <c r="I3702" s="274"/>
      <c r="J3702" s="274" t="e">
        <f t="shared" ca="1" si="54"/>
        <v>#NAME?</v>
      </c>
      <c r="K3702" s="274">
        <f t="shared" si="55"/>
        <v>0</v>
      </c>
      <c r="N3702" s="274"/>
    </row>
    <row r="3703" spans="5:14" ht="13.5" customHeight="1">
      <c r="E3703" s="1" t="s">
        <v>820</v>
      </c>
      <c r="F3703" s="1" t="s">
        <v>2792</v>
      </c>
      <c r="G3703" s="409" t="str">
        <f t="shared" si="60"/>
        <v>15-12</v>
      </c>
      <c r="H3703" s="273" t="e">
        <f ca="1">_xludf.IFNA(VLOOKUP(Aragon!E3703,'Kilter Holds'!$P$37:$AB$662,7,0),0)</f>
        <v>#NAME?</v>
      </c>
      <c r="I3703" s="274"/>
      <c r="J3703" s="274" t="e">
        <f t="shared" ca="1" si="54"/>
        <v>#NAME?</v>
      </c>
      <c r="K3703" s="274">
        <f t="shared" si="55"/>
        <v>0</v>
      </c>
      <c r="N3703" s="274"/>
    </row>
    <row r="3704" spans="5:14" ht="13.5" customHeight="1">
      <c r="E3704" s="1" t="s">
        <v>820</v>
      </c>
      <c r="F3704" s="1" t="s">
        <v>2792</v>
      </c>
      <c r="G3704" s="410" t="str">
        <f t="shared" si="60"/>
        <v>16-16</v>
      </c>
      <c r="H3704" s="273" t="e">
        <f ca="1">_xludf.IFNA(VLOOKUP(Aragon!E3704,'Kilter Holds'!$P$37:$AB$662,8,0),0)</f>
        <v>#NAME?</v>
      </c>
      <c r="I3704" s="274"/>
      <c r="J3704" s="274" t="e">
        <f t="shared" ca="1" si="54"/>
        <v>#NAME?</v>
      </c>
      <c r="K3704" s="274">
        <f t="shared" si="55"/>
        <v>0</v>
      </c>
      <c r="N3704" s="274"/>
    </row>
    <row r="3705" spans="5:14" ht="13.5" customHeight="1">
      <c r="E3705" s="1" t="s">
        <v>820</v>
      </c>
      <c r="F3705" s="1" t="s">
        <v>2792</v>
      </c>
      <c r="G3705" s="411" t="str">
        <f t="shared" si="60"/>
        <v>13-01</v>
      </c>
      <c r="H3705" s="273" t="e">
        <f ca="1">_xludf.IFNA(VLOOKUP(Aragon!E3705,'Kilter Holds'!$P$37:$AB$662,9,0),0)</f>
        <v>#NAME?</v>
      </c>
      <c r="I3705" s="274"/>
      <c r="J3705" s="274" t="e">
        <f t="shared" ca="1" si="54"/>
        <v>#NAME?</v>
      </c>
      <c r="K3705" s="274">
        <f t="shared" si="55"/>
        <v>0</v>
      </c>
      <c r="N3705" s="274"/>
    </row>
    <row r="3706" spans="5:14" ht="13.5" customHeight="1">
      <c r="E3706" s="1" t="s">
        <v>820</v>
      </c>
      <c r="F3706" s="1" t="s">
        <v>2792</v>
      </c>
      <c r="G3706" s="413" t="str">
        <f t="shared" si="60"/>
        <v>07-13</v>
      </c>
      <c r="H3706" s="273" t="e">
        <f ca="1">_xludf.IFNA(VLOOKUP(Aragon!E3706,'Kilter Holds'!$P$37:$AB$662,10,0),0)</f>
        <v>#NAME?</v>
      </c>
      <c r="I3706" s="274"/>
      <c r="J3706" s="274" t="e">
        <f t="shared" ca="1" si="54"/>
        <v>#NAME?</v>
      </c>
      <c r="K3706" s="274">
        <f t="shared" si="55"/>
        <v>0</v>
      </c>
      <c r="N3706" s="274"/>
    </row>
    <row r="3707" spans="5:14" ht="13.5" customHeight="1">
      <c r="E3707" s="1" t="s">
        <v>820</v>
      </c>
      <c r="F3707" s="1" t="s">
        <v>2792</v>
      </c>
      <c r="G3707" s="414" t="str">
        <f t="shared" si="60"/>
        <v>11-26</v>
      </c>
      <c r="H3707" s="273" t="e">
        <f ca="1">_xludf.IFNA(VLOOKUP(Aragon!E3707,'Kilter Holds'!$P$37:$AB$662,11,0),0)</f>
        <v>#NAME?</v>
      </c>
      <c r="I3707" s="274"/>
      <c r="J3707" s="274" t="e">
        <f t="shared" ca="1" si="54"/>
        <v>#NAME?</v>
      </c>
      <c r="K3707" s="274">
        <f t="shared" si="55"/>
        <v>0</v>
      </c>
      <c r="N3707" s="274"/>
    </row>
    <row r="3708" spans="5:14" ht="13.5" customHeight="1">
      <c r="E3708" s="1" t="s">
        <v>820</v>
      </c>
      <c r="F3708" s="1" t="s">
        <v>2792</v>
      </c>
      <c r="G3708" s="415" t="str">
        <f t="shared" si="60"/>
        <v>18-01</v>
      </c>
      <c r="H3708" s="273" t="e">
        <f ca="1">_xludf.IFNA(VLOOKUP(Aragon!E3708,'Kilter Holds'!$P$37:$AB$662,12,0),0)</f>
        <v>#NAME?</v>
      </c>
      <c r="I3708" s="274"/>
      <c r="J3708" s="274" t="e">
        <f t="shared" ca="1" si="54"/>
        <v>#NAME?</v>
      </c>
      <c r="K3708" s="274">
        <f t="shared" si="55"/>
        <v>0</v>
      </c>
      <c r="N3708" s="274"/>
    </row>
    <row r="3709" spans="5:14" ht="13.5" customHeight="1">
      <c r="E3709" s="1" t="s">
        <v>820</v>
      </c>
      <c r="F3709" s="1" t="s">
        <v>2792</v>
      </c>
      <c r="G3709" s="416" t="str">
        <f t="shared" si="60"/>
        <v>Color Code</v>
      </c>
      <c r="H3709" s="273" t="e">
        <f ca="1">_xludf.IFNA(VLOOKUP(Aragon!E3709,'Kilter Holds'!$P$37:$AB$662,13,0),0)</f>
        <v>#NAME?</v>
      </c>
      <c r="I3709" s="274"/>
      <c r="J3709" s="274" t="e">
        <f t="shared" ca="1" si="54"/>
        <v>#NAME?</v>
      </c>
      <c r="K3709" s="274">
        <f t="shared" si="55"/>
        <v>0</v>
      </c>
      <c r="N3709" s="274"/>
    </row>
    <row r="3710" spans="5:14" ht="13.5" customHeight="1">
      <c r="E3710" s="1" t="s">
        <v>816</v>
      </c>
      <c r="F3710" s="1" t="s">
        <v>2793</v>
      </c>
      <c r="G3710" s="406" t="str">
        <f t="shared" si="60"/>
        <v>11-12</v>
      </c>
      <c r="H3710" s="273" t="e">
        <f ca="1">_xludf.IFNA(VLOOKUP(Aragon!E3710,'Kilter Holds'!$P$37:$AB$662,5,0),0)</f>
        <v>#NAME?</v>
      </c>
      <c r="I3710" s="274"/>
      <c r="J3710" s="274" t="e">
        <f t="shared" ca="1" si="54"/>
        <v>#NAME?</v>
      </c>
      <c r="K3710" s="274">
        <f t="shared" si="55"/>
        <v>0</v>
      </c>
      <c r="N3710" s="274"/>
    </row>
    <row r="3711" spans="5:14" ht="13.5" customHeight="1">
      <c r="E3711" s="1" t="s">
        <v>816</v>
      </c>
      <c r="F3711" s="1" t="s">
        <v>2793</v>
      </c>
      <c r="G3711" s="408" t="str">
        <f t="shared" si="60"/>
        <v>14-01</v>
      </c>
      <c r="H3711" s="273" t="e">
        <f ca="1">_xludf.IFNA(VLOOKUP(Aragon!E3711,'Kilter Holds'!$P$37:$AB$662,6,0),0)</f>
        <v>#NAME?</v>
      </c>
      <c r="I3711" s="274"/>
      <c r="J3711" s="274" t="e">
        <f t="shared" ca="1" si="54"/>
        <v>#NAME?</v>
      </c>
      <c r="K3711" s="274">
        <f t="shared" si="55"/>
        <v>0</v>
      </c>
      <c r="N3711" s="274"/>
    </row>
    <row r="3712" spans="5:14" ht="13.5" customHeight="1">
      <c r="E3712" s="1" t="s">
        <v>816</v>
      </c>
      <c r="F3712" s="1" t="s">
        <v>2793</v>
      </c>
      <c r="G3712" s="409" t="str">
        <f t="shared" si="60"/>
        <v>15-12</v>
      </c>
      <c r="H3712" s="273" t="e">
        <f ca="1">_xludf.IFNA(VLOOKUP(Aragon!E3712,'Kilter Holds'!$P$37:$AB$662,7,0),0)</f>
        <v>#NAME?</v>
      </c>
      <c r="I3712" s="274"/>
      <c r="J3712" s="274" t="e">
        <f t="shared" ca="1" si="54"/>
        <v>#NAME?</v>
      </c>
      <c r="K3712" s="274">
        <f t="shared" si="55"/>
        <v>0</v>
      </c>
      <c r="N3712" s="274"/>
    </row>
    <row r="3713" spans="5:14" ht="13.5" customHeight="1">
      <c r="E3713" s="1" t="s">
        <v>816</v>
      </c>
      <c r="F3713" s="1" t="s">
        <v>2793</v>
      </c>
      <c r="G3713" s="410" t="str">
        <f t="shared" si="60"/>
        <v>16-16</v>
      </c>
      <c r="H3713" s="273" t="e">
        <f ca="1">_xludf.IFNA(VLOOKUP(Aragon!E3713,'Kilter Holds'!$P$37:$AB$662,8,0),0)</f>
        <v>#NAME?</v>
      </c>
      <c r="I3713" s="274"/>
      <c r="J3713" s="274" t="e">
        <f t="shared" ca="1" si="54"/>
        <v>#NAME?</v>
      </c>
      <c r="K3713" s="274">
        <f t="shared" si="55"/>
        <v>0</v>
      </c>
      <c r="N3713" s="274"/>
    </row>
    <row r="3714" spans="5:14" ht="13.5" customHeight="1">
      <c r="E3714" s="1" t="s">
        <v>816</v>
      </c>
      <c r="F3714" s="1" t="s">
        <v>2793</v>
      </c>
      <c r="G3714" s="411" t="str">
        <f t="shared" si="60"/>
        <v>13-01</v>
      </c>
      <c r="H3714" s="273" t="e">
        <f ca="1">_xludf.IFNA(VLOOKUP(Aragon!E3714,'Kilter Holds'!$P$37:$AB$662,9,0),0)</f>
        <v>#NAME?</v>
      </c>
      <c r="I3714" s="274"/>
      <c r="J3714" s="274" t="e">
        <f t="shared" ca="1" si="54"/>
        <v>#NAME?</v>
      </c>
      <c r="K3714" s="274">
        <f t="shared" si="55"/>
        <v>0</v>
      </c>
      <c r="N3714" s="274"/>
    </row>
    <row r="3715" spans="5:14" ht="13.5" customHeight="1">
      <c r="E3715" s="1" t="s">
        <v>816</v>
      </c>
      <c r="F3715" s="1" t="s">
        <v>2793</v>
      </c>
      <c r="G3715" s="413" t="str">
        <f t="shared" si="60"/>
        <v>07-13</v>
      </c>
      <c r="H3715" s="273" t="e">
        <f ca="1">_xludf.IFNA(VLOOKUP(Aragon!E3715,'Kilter Holds'!$P$37:$AB$662,10,0),0)</f>
        <v>#NAME?</v>
      </c>
      <c r="I3715" s="274"/>
      <c r="J3715" s="274" t="e">
        <f t="shared" ca="1" si="54"/>
        <v>#NAME?</v>
      </c>
      <c r="K3715" s="274">
        <f t="shared" si="55"/>
        <v>0</v>
      </c>
      <c r="N3715" s="274"/>
    </row>
    <row r="3716" spans="5:14" ht="13.5" customHeight="1">
      <c r="E3716" s="1" t="s">
        <v>816</v>
      </c>
      <c r="F3716" s="1" t="s">
        <v>2793</v>
      </c>
      <c r="G3716" s="414" t="str">
        <f t="shared" si="60"/>
        <v>11-26</v>
      </c>
      <c r="H3716" s="273" t="e">
        <f ca="1">_xludf.IFNA(VLOOKUP(Aragon!E3716,'Kilter Holds'!$P$37:$AB$662,11,0),0)</f>
        <v>#NAME?</v>
      </c>
      <c r="I3716" s="274"/>
      <c r="J3716" s="274" t="e">
        <f t="shared" ca="1" si="54"/>
        <v>#NAME?</v>
      </c>
      <c r="K3716" s="274">
        <f t="shared" si="55"/>
        <v>0</v>
      </c>
      <c r="N3716" s="274"/>
    </row>
    <row r="3717" spans="5:14" ht="13.5" customHeight="1">
      <c r="E3717" s="1" t="s">
        <v>816</v>
      </c>
      <c r="F3717" s="1" t="s">
        <v>2793</v>
      </c>
      <c r="G3717" s="415" t="str">
        <f t="shared" si="60"/>
        <v>18-01</v>
      </c>
      <c r="H3717" s="273" t="e">
        <f ca="1">_xludf.IFNA(VLOOKUP(Aragon!E3717,'Kilter Holds'!$P$37:$AB$662,12,0),0)</f>
        <v>#NAME?</v>
      </c>
      <c r="I3717" s="274"/>
      <c r="J3717" s="274" t="e">
        <f t="shared" ca="1" si="54"/>
        <v>#NAME?</v>
      </c>
      <c r="K3717" s="274">
        <f t="shared" si="55"/>
        <v>0</v>
      </c>
      <c r="N3717" s="274"/>
    </row>
    <row r="3718" spans="5:14" ht="13.5" customHeight="1">
      <c r="E3718" s="1" t="s">
        <v>816</v>
      </c>
      <c r="F3718" s="1" t="s">
        <v>2793</v>
      </c>
      <c r="G3718" s="416" t="str">
        <f t="shared" si="60"/>
        <v>Color Code</v>
      </c>
      <c r="H3718" s="273" t="e">
        <f ca="1">_xludf.IFNA(VLOOKUP(Aragon!E3718,'Kilter Holds'!$P$37:$AB$662,13,0),0)</f>
        <v>#NAME?</v>
      </c>
      <c r="I3718" s="274"/>
      <c r="J3718" s="274" t="e">
        <f t="shared" ca="1" si="54"/>
        <v>#NAME?</v>
      </c>
      <c r="K3718" s="274">
        <f t="shared" si="55"/>
        <v>0</v>
      </c>
      <c r="N3718" s="274"/>
    </row>
    <row r="3719" spans="5:14" ht="13.5" customHeight="1">
      <c r="E3719" s="1" t="s">
        <v>818</v>
      </c>
      <c r="F3719" s="1" t="s">
        <v>2794</v>
      </c>
      <c r="G3719" s="406" t="str">
        <f t="shared" si="60"/>
        <v>11-12</v>
      </c>
      <c r="H3719" s="273" t="e">
        <f ca="1">_xludf.IFNA(VLOOKUP(Aragon!E3719,'Kilter Holds'!$P$37:$AB$662,5,0),0)</f>
        <v>#NAME?</v>
      </c>
      <c r="I3719" s="274"/>
      <c r="J3719" s="274" t="e">
        <f t="shared" ca="1" si="54"/>
        <v>#NAME?</v>
      </c>
      <c r="K3719" s="274">
        <f t="shared" si="55"/>
        <v>0</v>
      </c>
      <c r="N3719" s="274"/>
    </row>
    <row r="3720" spans="5:14" ht="13.5" customHeight="1">
      <c r="E3720" s="1" t="s">
        <v>818</v>
      </c>
      <c r="F3720" s="1" t="s">
        <v>2794</v>
      </c>
      <c r="G3720" s="408" t="str">
        <f t="shared" si="60"/>
        <v>14-01</v>
      </c>
      <c r="H3720" s="273" t="e">
        <f ca="1">_xludf.IFNA(VLOOKUP(Aragon!E3720,'Kilter Holds'!$P$37:$AB$662,6,0),0)</f>
        <v>#NAME?</v>
      </c>
      <c r="I3720" s="274"/>
      <c r="J3720" s="274" t="e">
        <f t="shared" ca="1" si="54"/>
        <v>#NAME?</v>
      </c>
      <c r="K3720" s="274">
        <f t="shared" si="55"/>
        <v>0</v>
      </c>
      <c r="N3720" s="274"/>
    </row>
    <row r="3721" spans="5:14" ht="13.5" customHeight="1">
      <c r="E3721" s="1" t="s">
        <v>818</v>
      </c>
      <c r="F3721" s="1" t="s">
        <v>2794</v>
      </c>
      <c r="G3721" s="409" t="str">
        <f t="shared" si="60"/>
        <v>15-12</v>
      </c>
      <c r="H3721" s="273" t="e">
        <f ca="1">_xludf.IFNA(VLOOKUP(Aragon!E3721,'Kilter Holds'!$P$37:$AB$662,7,0),0)</f>
        <v>#NAME?</v>
      </c>
      <c r="I3721" s="274"/>
      <c r="J3721" s="274" t="e">
        <f t="shared" ca="1" si="54"/>
        <v>#NAME?</v>
      </c>
      <c r="K3721" s="274">
        <f t="shared" si="55"/>
        <v>0</v>
      </c>
      <c r="N3721" s="274"/>
    </row>
    <row r="3722" spans="5:14" ht="13.5" customHeight="1">
      <c r="E3722" s="1" t="s">
        <v>818</v>
      </c>
      <c r="F3722" s="1" t="s">
        <v>2794</v>
      </c>
      <c r="G3722" s="410" t="str">
        <f t="shared" si="60"/>
        <v>16-16</v>
      </c>
      <c r="H3722" s="273" t="e">
        <f ca="1">_xludf.IFNA(VLOOKUP(Aragon!E3722,'Kilter Holds'!$P$37:$AB$662,8,0),0)</f>
        <v>#NAME?</v>
      </c>
      <c r="I3722" s="274"/>
      <c r="J3722" s="274" t="e">
        <f t="shared" ca="1" si="54"/>
        <v>#NAME?</v>
      </c>
      <c r="K3722" s="274">
        <f t="shared" si="55"/>
        <v>0</v>
      </c>
      <c r="N3722" s="274"/>
    </row>
    <row r="3723" spans="5:14" ht="13.5" customHeight="1">
      <c r="E3723" s="1" t="s">
        <v>818</v>
      </c>
      <c r="F3723" s="1" t="s">
        <v>2794</v>
      </c>
      <c r="G3723" s="411" t="str">
        <f t="shared" si="60"/>
        <v>13-01</v>
      </c>
      <c r="H3723" s="273" t="e">
        <f ca="1">_xludf.IFNA(VLOOKUP(Aragon!E3723,'Kilter Holds'!$P$37:$AB$662,9,0),0)</f>
        <v>#NAME?</v>
      </c>
      <c r="I3723" s="274"/>
      <c r="J3723" s="274" t="e">
        <f t="shared" ca="1" si="54"/>
        <v>#NAME?</v>
      </c>
      <c r="K3723" s="274">
        <f t="shared" si="55"/>
        <v>0</v>
      </c>
      <c r="N3723" s="274"/>
    </row>
    <row r="3724" spans="5:14" ht="13.5" customHeight="1">
      <c r="E3724" s="1" t="s">
        <v>818</v>
      </c>
      <c r="F3724" s="1" t="s">
        <v>2794</v>
      </c>
      <c r="G3724" s="413" t="str">
        <f t="shared" si="60"/>
        <v>07-13</v>
      </c>
      <c r="H3724" s="273" t="e">
        <f ca="1">_xludf.IFNA(VLOOKUP(Aragon!E3724,'Kilter Holds'!$P$37:$AB$662,10,0),0)</f>
        <v>#NAME?</v>
      </c>
      <c r="I3724" s="274"/>
      <c r="J3724" s="274" t="e">
        <f t="shared" ca="1" si="54"/>
        <v>#NAME?</v>
      </c>
      <c r="K3724" s="274">
        <f t="shared" si="55"/>
        <v>0</v>
      </c>
      <c r="N3724" s="274"/>
    </row>
    <row r="3725" spans="5:14" ht="13.5" customHeight="1">
      <c r="E3725" s="1" t="s">
        <v>818</v>
      </c>
      <c r="F3725" s="1" t="s">
        <v>2794</v>
      </c>
      <c r="G3725" s="414" t="str">
        <f t="shared" si="60"/>
        <v>11-26</v>
      </c>
      <c r="H3725" s="273" t="e">
        <f ca="1">_xludf.IFNA(VLOOKUP(Aragon!E3725,'Kilter Holds'!$P$37:$AB$662,11,0),0)</f>
        <v>#NAME?</v>
      </c>
      <c r="I3725" s="274"/>
      <c r="J3725" s="274" t="e">
        <f t="shared" ca="1" si="54"/>
        <v>#NAME?</v>
      </c>
      <c r="K3725" s="274">
        <f t="shared" si="55"/>
        <v>0</v>
      </c>
      <c r="N3725" s="274"/>
    </row>
    <row r="3726" spans="5:14" ht="13.5" customHeight="1">
      <c r="E3726" s="1" t="s">
        <v>818</v>
      </c>
      <c r="F3726" s="1" t="s">
        <v>2794</v>
      </c>
      <c r="G3726" s="415" t="str">
        <f t="shared" si="60"/>
        <v>18-01</v>
      </c>
      <c r="H3726" s="273" t="e">
        <f ca="1">_xludf.IFNA(VLOOKUP(Aragon!E3726,'Kilter Holds'!$P$37:$AB$662,12,0),0)</f>
        <v>#NAME?</v>
      </c>
      <c r="I3726" s="274"/>
      <c r="J3726" s="274" t="e">
        <f t="shared" ca="1" si="54"/>
        <v>#NAME?</v>
      </c>
      <c r="K3726" s="274">
        <f t="shared" si="55"/>
        <v>0</v>
      </c>
      <c r="N3726" s="274"/>
    </row>
    <row r="3727" spans="5:14" ht="13.5" customHeight="1">
      <c r="E3727" s="1" t="s">
        <v>818</v>
      </c>
      <c r="F3727" s="1" t="s">
        <v>2794</v>
      </c>
      <c r="G3727" s="416" t="str">
        <f t="shared" si="60"/>
        <v>Color Code</v>
      </c>
      <c r="H3727" s="273" t="e">
        <f ca="1">_xludf.IFNA(VLOOKUP(Aragon!E3727,'Kilter Holds'!$P$37:$AB$662,13,0),0)</f>
        <v>#NAME?</v>
      </c>
      <c r="I3727" s="274"/>
      <c r="J3727" s="274" t="e">
        <f t="shared" ca="1" si="54"/>
        <v>#NAME?</v>
      </c>
      <c r="K3727" s="274">
        <f t="shared" si="55"/>
        <v>0</v>
      </c>
      <c r="N3727" s="274"/>
    </row>
    <row r="3728" spans="5:14" ht="13.5" customHeight="1">
      <c r="E3728" s="1" t="s">
        <v>2795</v>
      </c>
      <c r="F3728" s="1" t="s">
        <v>2796</v>
      </c>
      <c r="G3728" s="406" t="str">
        <f t="shared" si="60"/>
        <v>11-12</v>
      </c>
      <c r="H3728" s="273" t="e">
        <f ca="1">_xludf.IFNA(VLOOKUP(Aragon!E3728,'Kilter Holds'!$P$37:$AB$662,5,0),0)</f>
        <v>#NAME?</v>
      </c>
      <c r="I3728" s="274"/>
      <c r="J3728" s="274" t="e">
        <f t="shared" ca="1" si="54"/>
        <v>#NAME?</v>
      </c>
      <c r="K3728" s="274">
        <f t="shared" si="55"/>
        <v>0</v>
      </c>
      <c r="N3728" s="274"/>
    </row>
    <row r="3729" spans="5:14" ht="13.5" customHeight="1">
      <c r="E3729" s="1" t="s">
        <v>2795</v>
      </c>
      <c r="F3729" s="1" t="s">
        <v>2796</v>
      </c>
      <c r="G3729" s="408" t="str">
        <f t="shared" si="60"/>
        <v>14-01</v>
      </c>
      <c r="H3729" s="273" t="e">
        <f ca="1">_xludf.IFNA(VLOOKUP(Aragon!E3729,'Kilter Holds'!$P$37:$AB$662,6,0),0)</f>
        <v>#NAME?</v>
      </c>
      <c r="I3729" s="274"/>
      <c r="J3729" s="274" t="e">
        <f t="shared" ca="1" si="54"/>
        <v>#NAME?</v>
      </c>
      <c r="K3729" s="274">
        <f t="shared" si="55"/>
        <v>0</v>
      </c>
      <c r="N3729" s="274"/>
    </row>
    <row r="3730" spans="5:14" ht="13.5" customHeight="1">
      <c r="E3730" s="1" t="s">
        <v>2795</v>
      </c>
      <c r="F3730" s="1" t="s">
        <v>2796</v>
      </c>
      <c r="G3730" s="409" t="str">
        <f t="shared" si="60"/>
        <v>15-12</v>
      </c>
      <c r="H3730" s="273" t="e">
        <f ca="1">_xludf.IFNA(VLOOKUP(Aragon!E3730,'Kilter Holds'!$P$37:$AB$662,7,0),0)</f>
        <v>#NAME?</v>
      </c>
      <c r="I3730" s="274"/>
      <c r="J3730" s="274" t="e">
        <f t="shared" ca="1" si="54"/>
        <v>#NAME?</v>
      </c>
      <c r="K3730" s="274">
        <f t="shared" si="55"/>
        <v>0</v>
      </c>
      <c r="N3730" s="274"/>
    </row>
    <row r="3731" spans="5:14" ht="13.5" customHeight="1">
      <c r="E3731" s="1" t="s">
        <v>2795</v>
      </c>
      <c r="F3731" s="1" t="s">
        <v>2796</v>
      </c>
      <c r="G3731" s="410" t="str">
        <f t="shared" si="60"/>
        <v>16-16</v>
      </c>
      <c r="H3731" s="273" t="e">
        <f ca="1">_xludf.IFNA(VLOOKUP(Aragon!E3731,'Kilter Holds'!$P$37:$AB$662,8,0),0)</f>
        <v>#NAME?</v>
      </c>
      <c r="I3731" s="274"/>
      <c r="J3731" s="274" t="e">
        <f t="shared" ca="1" si="54"/>
        <v>#NAME?</v>
      </c>
      <c r="K3731" s="274">
        <f t="shared" si="55"/>
        <v>0</v>
      </c>
      <c r="N3731" s="274"/>
    </row>
    <row r="3732" spans="5:14" ht="13.5" customHeight="1">
      <c r="E3732" s="1" t="s">
        <v>2795</v>
      </c>
      <c r="F3732" s="1" t="s">
        <v>2796</v>
      </c>
      <c r="G3732" s="411" t="str">
        <f t="shared" si="60"/>
        <v>13-01</v>
      </c>
      <c r="H3732" s="273" t="e">
        <f ca="1">_xludf.IFNA(VLOOKUP(Aragon!E3732,'Kilter Holds'!$P$37:$AB$662,9,0),0)</f>
        <v>#NAME?</v>
      </c>
      <c r="I3732" s="274"/>
      <c r="J3732" s="274" t="e">
        <f t="shared" ca="1" si="54"/>
        <v>#NAME?</v>
      </c>
      <c r="K3732" s="274">
        <f t="shared" si="55"/>
        <v>0</v>
      </c>
      <c r="N3732" s="274"/>
    </row>
    <row r="3733" spans="5:14" ht="13.5" customHeight="1">
      <c r="E3733" s="1" t="s">
        <v>2795</v>
      </c>
      <c r="F3733" s="1" t="s">
        <v>2796</v>
      </c>
      <c r="G3733" s="413" t="str">
        <f t="shared" si="60"/>
        <v>07-13</v>
      </c>
      <c r="H3733" s="273" t="e">
        <f ca="1">_xludf.IFNA(VLOOKUP(Aragon!E3733,'Kilter Holds'!$P$37:$AB$662,10,0),0)</f>
        <v>#NAME?</v>
      </c>
      <c r="I3733" s="274"/>
      <c r="J3733" s="274" t="e">
        <f t="shared" ca="1" si="54"/>
        <v>#NAME?</v>
      </c>
      <c r="K3733" s="274">
        <f t="shared" si="55"/>
        <v>0</v>
      </c>
      <c r="N3733" s="274"/>
    </row>
    <row r="3734" spans="5:14" ht="13.5" customHeight="1">
      <c r="E3734" s="1" t="s">
        <v>2795</v>
      </c>
      <c r="F3734" s="1" t="s">
        <v>2796</v>
      </c>
      <c r="G3734" s="414" t="str">
        <f t="shared" si="60"/>
        <v>11-26</v>
      </c>
      <c r="H3734" s="273" t="e">
        <f ca="1">_xludf.IFNA(VLOOKUP(Aragon!E3734,'Kilter Holds'!$P$37:$AB$662,11,0),0)</f>
        <v>#NAME?</v>
      </c>
      <c r="I3734" s="274"/>
      <c r="J3734" s="274" t="e">
        <f t="shared" ca="1" si="54"/>
        <v>#NAME?</v>
      </c>
      <c r="K3734" s="274">
        <f t="shared" si="55"/>
        <v>0</v>
      </c>
      <c r="N3734" s="274"/>
    </row>
    <row r="3735" spans="5:14" ht="13.5" customHeight="1">
      <c r="E3735" s="1" t="s">
        <v>2795</v>
      </c>
      <c r="F3735" s="1" t="s">
        <v>2796</v>
      </c>
      <c r="G3735" s="415" t="str">
        <f t="shared" si="60"/>
        <v>18-01</v>
      </c>
      <c r="H3735" s="273" t="e">
        <f ca="1">_xludf.IFNA(VLOOKUP(Aragon!E3735,'Kilter Holds'!$P$37:$AB$662,12,0),0)</f>
        <v>#NAME?</v>
      </c>
      <c r="I3735" s="274"/>
      <c r="J3735" s="274" t="e">
        <f t="shared" ca="1" si="54"/>
        <v>#NAME?</v>
      </c>
      <c r="K3735" s="274">
        <f t="shared" si="55"/>
        <v>0</v>
      </c>
      <c r="N3735" s="274"/>
    </row>
    <row r="3736" spans="5:14" ht="13.5" customHeight="1">
      <c r="E3736" s="1" t="s">
        <v>2795</v>
      </c>
      <c r="F3736" s="1" t="s">
        <v>2796</v>
      </c>
      <c r="G3736" s="416" t="str">
        <f t="shared" si="60"/>
        <v>Color Code</v>
      </c>
      <c r="H3736" s="273" t="e">
        <f ca="1">_xludf.IFNA(VLOOKUP(Aragon!E3736,'Kilter Holds'!$P$37:$AB$662,13,0),0)</f>
        <v>#NAME?</v>
      </c>
      <c r="I3736" s="274"/>
      <c r="J3736" s="274" t="e">
        <f t="shared" ca="1" si="54"/>
        <v>#NAME?</v>
      </c>
      <c r="K3736" s="274">
        <f t="shared" si="55"/>
        <v>0</v>
      </c>
      <c r="N3736" s="274"/>
    </row>
    <row r="3737" spans="5:14" ht="13.5" customHeight="1">
      <c r="E3737" s="1" t="s">
        <v>822</v>
      </c>
      <c r="F3737" s="1" t="s">
        <v>2797</v>
      </c>
      <c r="G3737" s="406" t="str">
        <f t="shared" si="60"/>
        <v>11-12</v>
      </c>
      <c r="H3737" s="273" t="e">
        <f ca="1">_xludf.IFNA(VLOOKUP(Aragon!E3737,'Kilter Holds'!$P$37:$AB$662,5,0),0)</f>
        <v>#NAME?</v>
      </c>
      <c r="I3737" s="274"/>
      <c r="J3737" s="274" t="e">
        <f t="shared" ca="1" si="54"/>
        <v>#NAME?</v>
      </c>
      <c r="K3737" s="274">
        <f t="shared" si="55"/>
        <v>0</v>
      </c>
      <c r="N3737" s="274"/>
    </row>
    <row r="3738" spans="5:14" ht="13.5" customHeight="1">
      <c r="E3738" s="1" t="s">
        <v>822</v>
      </c>
      <c r="F3738" s="1" t="s">
        <v>2797</v>
      </c>
      <c r="G3738" s="408" t="str">
        <f t="shared" si="60"/>
        <v>14-01</v>
      </c>
      <c r="H3738" s="273" t="e">
        <f ca="1">_xludf.IFNA(VLOOKUP(Aragon!E3738,'Kilter Holds'!$P$37:$AB$662,6,0),0)</f>
        <v>#NAME?</v>
      </c>
      <c r="I3738" s="274"/>
      <c r="J3738" s="274" t="e">
        <f t="shared" ca="1" si="54"/>
        <v>#NAME?</v>
      </c>
      <c r="K3738" s="274">
        <f t="shared" si="55"/>
        <v>0</v>
      </c>
      <c r="N3738" s="274"/>
    </row>
    <row r="3739" spans="5:14" ht="13.5" customHeight="1">
      <c r="E3739" s="1" t="s">
        <v>822</v>
      </c>
      <c r="F3739" s="1" t="s">
        <v>2797</v>
      </c>
      <c r="G3739" s="409" t="str">
        <f t="shared" si="60"/>
        <v>15-12</v>
      </c>
      <c r="H3739" s="273" t="e">
        <f ca="1">_xludf.IFNA(VLOOKUP(Aragon!E3739,'Kilter Holds'!$P$37:$AB$662,7,0),0)</f>
        <v>#NAME?</v>
      </c>
      <c r="I3739" s="274"/>
      <c r="J3739" s="274" t="e">
        <f t="shared" ca="1" si="54"/>
        <v>#NAME?</v>
      </c>
      <c r="K3739" s="274">
        <f t="shared" si="55"/>
        <v>0</v>
      </c>
      <c r="N3739" s="274"/>
    </row>
    <row r="3740" spans="5:14" ht="13.5" customHeight="1">
      <c r="E3740" s="1" t="s">
        <v>822</v>
      </c>
      <c r="F3740" s="1" t="s">
        <v>2797</v>
      </c>
      <c r="G3740" s="410" t="str">
        <f t="shared" si="60"/>
        <v>16-16</v>
      </c>
      <c r="H3740" s="273" t="e">
        <f ca="1">_xludf.IFNA(VLOOKUP(Aragon!E3740,'Kilter Holds'!$P$37:$AB$662,8,0),0)</f>
        <v>#NAME?</v>
      </c>
      <c r="I3740" s="274"/>
      <c r="J3740" s="274" t="e">
        <f t="shared" ca="1" si="54"/>
        <v>#NAME?</v>
      </c>
      <c r="K3740" s="274">
        <f t="shared" si="55"/>
        <v>0</v>
      </c>
      <c r="N3740" s="274"/>
    </row>
    <row r="3741" spans="5:14" ht="13.5" customHeight="1">
      <c r="E3741" s="1" t="s">
        <v>822</v>
      </c>
      <c r="F3741" s="1" t="s">
        <v>2797</v>
      </c>
      <c r="G3741" s="411" t="str">
        <f t="shared" si="60"/>
        <v>13-01</v>
      </c>
      <c r="H3741" s="273" t="e">
        <f ca="1">_xludf.IFNA(VLOOKUP(Aragon!E3741,'Kilter Holds'!$P$37:$AB$662,9,0),0)</f>
        <v>#NAME?</v>
      </c>
      <c r="I3741" s="274"/>
      <c r="J3741" s="274" t="e">
        <f t="shared" ca="1" si="54"/>
        <v>#NAME?</v>
      </c>
      <c r="K3741" s="274">
        <f t="shared" si="55"/>
        <v>0</v>
      </c>
      <c r="N3741" s="274"/>
    </row>
    <row r="3742" spans="5:14" ht="13.5" customHeight="1">
      <c r="E3742" s="1" t="s">
        <v>822</v>
      </c>
      <c r="F3742" s="1" t="s">
        <v>2797</v>
      </c>
      <c r="G3742" s="413" t="str">
        <f t="shared" si="60"/>
        <v>07-13</v>
      </c>
      <c r="H3742" s="273" t="e">
        <f ca="1">_xludf.IFNA(VLOOKUP(Aragon!E3742,'Kilter Holds'!$P$37:$AB$662,10,0),0)</f>
        <v>#NAME?</v>
      </c>
      <c r="I3742" s="274"/>
      <c r="J3742" s="274" t="e">
        <f t="shared" ca="1" si="54"/>
        <v>#NAME?</v>
      </c>
      <c r="K3742" s="274">
        <f t="shared" si="55"/>
        <v>0</v>
      </c>
      <c r="N3742" s="274"/>
    </row>
    <row r="3743" spans="5:14" ht="13.5" customHeight="1">
      <c r="E3743" s="1" t="s">
        <v>822</v>
      </c>
      <c r="F3743" s="1" t="s">
        <v>2797</v>
      </c>
      <c r="G3743" s="414" t="str">
        <f t="shared" si="60"/>
        <v>11-26</v>
      </c>
      <c r="H3743" s="273" t="e">
        <f ca="1">_xludf.IFNA(VLOOKUP(Aragon!E3743,'Kilter Holds'!$P$37:$AB$662,11,0),0)</f>
        <v>#NAME?</v>
      </c>
      <c r="I3743" s="274"/>
      <c r="J3743" s="274" t="e">
        <f t="shared" ca="1" si="54"/>
        <v>#NAME?</v>
      </c>
      <c r="K3743" s="274">
        <f t="shared" si="55"/>
        <v>0</v>
      </c>
      <c r="N3743" s="274"/>
    </row>
    <row r="3744" spans="5:14" ht="13.5" customHeight="1">
      <c r="E3744" s="1" t="s">
        <v>822</v>
      </c>
      <c r="F3744" s="1" t="s">
        <v>2797</v>
      </c>
      <c r="G3744" s="415" t="str">
        <f t="shared" si="60"/>
        <v>18-01</v>
      </c>
      <c r="H3744" s="273" t="e">
        <f ca="1">_xludf.IFNA(VLOOKUP(Aragon!E3744,'Kilter Holds'!$P$37:$AB$662,12,0),0)</f>
        <v>#NAME?</v>
      </c>
      <c r="I3744" s="274"/>
      <c r="J3744" s="274" t="e">
        <f t="shared" ca="1" si="54"/>
        <v>#NAME?</v>
      </c>
      <c r="K3744" s="274">
        <f t="shared" si="55"/>
        <v>0</v>
      </c>
      <c r="N3744" s="274"/>
    </row>
    <row r="3745" spans="5:14" ht="13.5" customHeight="1">
      <c r="E3745" s="1" t="s">
        <v>822</v>
      </c>
      <c r="F3745" s="1" t="s">
        <v>2797</v>
      </c>
      <c r="G3745" s="416" t="str">
        <f t="shared" si="60"/>
        <v>Color Code</v>
      </c>
      <c r="H3745" s="273" t="e">
        <f ca="1">_xludf.IFNA(VLOOKUP(Aragon!E3745,'Kilter Holds'!$P$37:$AB$662,13,0),0)</f>
        <v>#NAME?</v>
      </c>
      <c r="I3745" s="274"/>
      <c r="J3745" s="274" t="e">
        <f t="shared" ca="1" si="54"/>
        <v>#NAME?</v>
      </c>
      <c r="K3745" s="274">
        <f t="shared" si="55"/>
        <v>0</v>
      </c>
      <c r="N3745" s="274"/>
    </row>
    <row r="3746" spans="5:14" ht="13.5" customHeight="1">
      <c r="E3746" s="1" t="s">
        <v>2798</v>
      </c>
      <c r="F3746" s="1" t="s">
        <v>2799</v>
      </c>
      <c r="G3746" s="406" t="str">
        <f t="shared" si="60"/>
        <v>11-12</v>
      </c>
      <c r="H3746" s="273" t="e">
        <f ca="1">_xludf.IFNA(VLOOKUP(Aragon!E3746,'Kilter Holds'!$P$37:$AB$662,5,0),0)</f>
        <v>#NAME?</v>
      </c>
      <c r="I3746" s="274"/>
      <c r="J3746" s="274" t="e">
        <f t="shared" ca="1" si="54"/>
        <v>#NAME?</v>
      </c>
      <c r="K3746" s="274">
        <f t="shared" si="55"/>
        <v>0</v>
      </c>
      <c r="N3746" s="274"/>
    </row>
    <row r="3747" spans="5:14" ht="13.5" customHeight="1">
      <c r="E3747" s="1" t="s">
        <v>2798</v>
      </c>
      <c r="F3747" s="1" t="s">
        <v>2799</v>
      </c>
      <c r="G3747" s="408" t="str">
        <f t="shared" si="60"/>
        <v>14-01</v>
      </c>
      <c r="H3747" s="273" t="e">
        <f ca="1">_xludf.IFNA(VLOOKUP(Aragon!E3747,'Kilter Holds'!$P$37:$AB$662,6,0),0)</f>
        <v>#NAME?</v>
      </c>
      <c r="I3747" s="274"/>
      <c r="J3747" s="274" t="e">
        <f t="shared" ca="1" si="54"/>
        <v>#NAME?</v>
      </c>
      <c r="K3747" s="274">
        <f t="shared" si="55"/>
        <v>0</v>
      </c>
      <c r="N3747" s="274"/>
    </row>
    <row r="3748" spans="5:14" ht="13.5" customHeight="1">
      <c r="E3748" s="1" t="s">
        <v>2798</v>
      </c>
      <c r="F3748" s="1" t="s">
        <v>2799</v>
      </c>
      <c r="G3748" s="409" t="str">
        <f t="shared" si="60"/>
        <v>15-12</v>
      </c>
      <c r="H3748" s="273" t="e">
        <f ca="1">_xludf.IFNA(VLOOKUP(Aragon!E3748,'Kilter Holds'!$P$37:$AB$662,7,0),0)</f>
        <v>#NAME?</v>
      </c>
      <c r="I3748" s="274"/>
      <c r="J3748" s="274" t="e">
        <f t="shared" ca="1" si="54"/>
        <v>#NAME?</v>
      </c>
      <c r="K3748" s="274">
        <f t="shared" si="55"/>
        <v>0</v>
      </c>
      <c r="N3748" s="274"/>
    </row>
    <row r="3749" spans="5:14" ht="13.5" customHeight="1">
      <c r="E3749" s="1" t="s">
        <v>2798</v>
      </c>
      <c r="F3749" s="1" t="s">
        <v>2799</v>
      </c>
      <c r="G3749" s="410" t="str">
        <f t="shared" si="60"/>
        <v>16-16</v>
      </c>
      <c r="H3749" s="273" t="e">
        <f ca="1">_xludf.IFNA(VLOOKUP(Aragon!E3749,'Kilter Holds'!$P$37:$AB$662,8,0),0)</f>
        <v>#NAME?</v>
      </c>
      <c r="I3749" s="274"/>
      <c r="J3749" s="274" t="e">
        <f t="shared" ca="1" si="54"/>
        <v>#NAME?</v>
      </c>
      <c r="K3749" s="274">
        <f t="shared" si="55"/>
        <v>0</v>
      </c>
      <c r="N3749" s="274"/>
    </row>
    <row r="3750" spans="5:14" ht="13.5" customHeight="1">
      <c r="E3750" s="1" t="s">
        <v>2798</v>
      </c>
      <c r="F3750" s="1" t="s">
        <v>2799</v>
      </c>
      <c r="G3750" s="411" t="str">
        <f t="shared" si="60"/>
        <v>13-01</v>
      </c>
      <c r="H3750" s="273" t="e">
        <f ca="1">_xludf.IFNA(VLOOKUP(Aragon!E3750,'Kilter Holds'!$P$37:$AB$662,9,0),0)</f>
        <v>#NAME?</v>
      </c>
      <c r="I3750" s="274"/>
      <c r="J3750" s="274" t="e">
        <f t="shared" ca="1" si="54"/>
        <v>#NAME?</v>
      </c>
      <c r="K3750" s="274">
        <f t="shared" si="55"/>
        <v>0</v>
      </c>
      <c r="N3750" s="274"/>
    </row>
    <row r="3751" spans="5:14" ht="13.5" customHeight="1">
      <c r="E3751" s="1" t="s">
        <v>2798</v>
      </c>
      <c r="F3751" s="1" t="s">
        <v>2799</v>
      </c>
      <c r="G3751" s="413" t="str">
        <f t="shared" si="60"/>
        <v>07-13</v>
      </c>
      <c r="H3751" s="273" t="e">
        <f ca="1">_xludf.IFNA(VLOOKUP(Aragon!E3751,'Kilter Holds'!$P$37:$AB$662,10,0),0)</f>
        <v>#NAME?</v>
      </c>
      <c r="I3751" s="274"/>
      <c r="J3751" s="274" t="e">
        <f t="shared" ca="1" si="54"/>
        <v>#NAME?</v>
      </c>
      <c r="K3751" s="274">
        <f t="shared" si="55"/>
        <v>0</v>
      </c>
      <c r="N3751" s="274"/>
    </row>
    <row r="3752" spans="5:14" ht="13.5" customHeight="1">
      <c r="E3752" s="1" t="s">
        <v>2798</v>
      </c>
      <c r="F3752" s="1" t="s">
        <v>2799</v>
      </c>
      <c r="G3752" s="414" t="str">
        <f t="shared" si="60"/>
        <v>11-26</v>
      </c>
      <c r="H3752" s="273" t="e">
        <f ca="1">_xludf.IFNA(VLOOKUP(Aragon!E3752,'Kilter Holds'!$P$37:$AB$662,11,0),0)</f>
        <v>#NAME?</v>
      </c>
      <c r="I3752" s="274"/>
      <c r="J3752" s="274" t="e">
        <f t="shared" ca="1" si="54"/>
        <v>#NAME?</v>
      </c>
      <c r="K3752" s="274">
        <f t="shared" si="55"/>
        <v>0</v>
      </c>
      <c r="N3752" s="274"/>
    </row>
    <row r="3753" spans="5:14" ht="13.5" customHeight="1">
      <c r="E3753" s="1" t="s">
        <v>2798</v>
      </c>
      <c r="F3753" s="1" t="s">
        <v>2799</v>
      </c>
      <c r="G3753" s="415" t="str">
        <f t="shared" si="60"/>
        <v>18-01</v>
      </c>
      <c r="H3753" s="273" t="e">
        <f ca="1">_xludf.IFNA(VLOOKUP(Aragon!E3753,'Kilter Holds'!$P$37:$AB$662,12,0),0)</f>
        <v>#NAME?</v>
      </c>
      <c r="I3753" s="274"/>
      <c r="J3753" s="274" t="e">
        <f t="shared" ca="1" si="54"/>
        <v>#NAME?</v>
      </c>
      <c r="K3753" s="274">
        <f t="shared" si="55"/>
        <v>0</v>
      </c>
      <c r="N3753" s="274"/>
    </row>
    <row r="3754" spans="5:14" ht="13.5" customHeight="1">
      <c r="E3754" s="1" t="s">
        <v>2798</v>
      </c>
      <c r="F3754" s="1" t="s">
        <v>2799</v>
      </c>
      <c r="G3754" s="416" t="str">
        <f t="shared" si="60"/>
        <v>Color Code</v>
      </c>
      <c r="H3754" s="273" t="e">
        <f ca="1">_xludf.IFNA(VLOOKUP(Aragon!E3754,'Kilter Holds'!$P$37:$AB$662,13,0),0)</f>
        <v>#NAME?</v>
      </c>
      <c r="I3754" s="274"/>
      <c r="J3754" s="274" t="e">
        <f t="shared" ca="1" si="54"/>
        <v>#NAME?</v>
      </c>
      <c r="K3754" s="274">
        <f t="shared" si="55"/>
        <v>0</v>
      </c>
      <c r="N3754" s="274"/>
    </row>
    <row r="3755" spans="5:14" ht="13.5" customHeight="1">
      <c r="E3755" s="1" t="s">
        <v>836</v>
      </c>
      <c r="F3755" s="1" t="s">
        <v>2800</v>
      </c>
      <c r="G3755" s="406" t="str">
        <f t="shared" si="60"/>
        <v>11-12</v>
      </c>
      <c r="H3755" s="273" t="e">
        <f ca="1">_xludf.IFNA(VLOOKUP(Aragon!E3755,'Kilter Holds'!$P$37:$AB$662,5,0),0)</f>
        <v>#NAME?</v>
      </c>
      <c r="I3755" s="274"/>
      <c r="J3755" s="274" t="e">
        <f t="shared" ca="1" si="54"/>
        <v>#NAME?</v>
      </c>
      <c r="K3755" s="274">
        <f t="shared" si="55"/>
        <v>0</v>
      </c>
      <c r="N3755" s="274"/>
    </row>
    <row r="3756" spans="5:14" ht="13.5" customHeight="1">
      <c r="E3756" s="1" t="s">
        <v>836</v>
      </c>
      <c r="F3756" s="1" t="s">
        <v>2800</v>
      </c>
      <c r="G3756" s="408" t="str">
        <f t="shared" si="60"/>
        <v>14-01</v>
      </c>
      <c r="H3756" s="273" t="e">
        <f ca="1">_xludf.IFNA(VLOOKUP(Aragon!E3756,'Kilter Holds'!$P$37:$AB$662,6,0),0)</f>
        <v>#NAME?</v>
      </c>
      <c r="I3756" s="274"/>
      <c r="J3756" s="274" t="e">
        <f t="shared" ca="1" si="54"/>
        <v>#NAME?</v>
      </c>
      <c r="K3756" s="274">
        <f t="shared" si="55"/>
        <v>0</v>
      </c>
      <c r="N3756" s="274"/>
    </row>
    <row r="3757" spans="5:14" ht="13.5" customHeight="1">
      <c r="E3757" s="1" t="s">
        <v>836</v>
      </c>
      <c r="F3757" s="1" t="s">
        <v>2800</v>
      </c>
      <c r="G3757" s="409" t="str">
        <f t="shared" si="60"/>
        <v>15-12</v>
      </c>
      <c r="H3757" s="273" t="e">
        <f ca="1">_xludf.IFNA(VLOOKUP(Aragon!E3757,'Kilter Holds'!$P$37:$AB$662,7,0),0)</f>
        <v>#NAME?</v>
      </c>
      <c r="I3757" s="274"/>
      <c r="J3757" s="274" t="e">
        <f t="shared" ca="1" si="54"/>
        <v>#NAME?</v>
      </c>
      <c r="K3757" s="274">
        <f t="shared" si="55"/>
        <v>0</v>
      </c>
      <c r="N3757" s="274"/>
    </row>
    <row r="3758" spans="5:14" ht="13.5" customHeight="1">
      <c r="E3758" s="1" t="s">
        <v>836</v>
      </c>
      <c r="F3758" s="1" t="s">
        <v>2800</v>
      </c>
      <c r="G3758" s="410" t="str">
        <f t="shared" si="60"/>
        <v>16-16</v>
      </c>
      <c r="H3758" s="273" t="e">
        <f ca="1">_xludf.IFNA(VLOOKUP(Aragon!E3758,'Kilter Holds'!$P$37:$AB$662,8,0),0)</f>
        <v>#NAME?</v>
      </c>
      <c r="I3758" s="274"/>
      <c r="J3758" s="274" t="e">
        <f t="shared" ca="1" si="54"/>
        <v>#NAME?</v>
      </c>
      <c r="K3758" s="274">
        <f t="shared" si="55"/>
        <v>0</v>
      </c>
      <c r="N3758" s="274"/>
    </row>
    <row r="3759" spans="5:14" ht="13.5" customHeight="1">
      <c r="E3759" s="1" t="s">
        <v>836</v>
      </c>
      <c r="F3759" s="1" t="s">
        <v>2800</v>
      </c>
      <c r="G3759" s="411" t="str">
        <f t="shared" si="60"/>
        <v>13-01</v>
      </c>
      <c r="H3759" s="273" t="e">
        <f ca="1">_xludf.IFNA(VLOOKUP(Aragon!E3759,'Kilter Holds'!$P$37:$AB$662,9,0),0)</f>
        <v>#NAME?</v>
      </c>
      <c r="I3759" s="274"/>
      <c r="J3759" s="274" t="e">
        <f t="shared" ca="1" si="54"/>
        <v>#NAME?</v>
      </c>
      <c r="K3759" s="274">
        <f t="shared" si="55"/>
        <v>0</v>
      </c>
      <c r="N3759" s="274"/>
    </row>
    <row r="3760" spans="5:14" ht="13.5" customHeight="1">
      <c r="E3760" s="1" t="s">
        <v>836</v>
      </c>
      <c r="F3760" s="1" t="s">
        <v>2800</v>
      </c>
      <c r="G3760" s="413" t="str">
        <f t="shared" si="60"/>
        <v>07-13</v>
      </c>
      <c r="H3760" s="273" t="e">
        <f ca="1">_xludf.IFNA(VLOOKUP(Aragon!E3760,'Kilter Holds'!$P$37:$AB$662,10,0),0)</f>
        <v>#NAME?</v>
      </c>
      <c r="I3760" s="274"/>
      <c r="J3760" s="274" t="e">
        <f t="shared" ca="1" si="54"/>
        <v>#NAME?</v>
      </c>
      <c r="K3760" s="274">
        <f t="shared" si="55"/>
        <v>0</v>
      </c>
      <c r="N3760" s="274"/>
    </row>
    <row r="3761" spans="5:14" ht="13.5" customHeight="1">
      <c r="E3761" s="1" t="s">
        <v>836</v>
      </c>
      <c r="F3761" s="1" t="s">
        <v>2800</v>
      </c>
      <c r="G3761" s="414" t="str">
        <f t="shared" si="60"/>
        <v>11-26</v>
      </c>
      <c r="H3761" s="273" t="e">
        <f ca="1">_xludf.IFNA(VLOOKUP(Aragon!E3761,'Kilter Holds'!$P$37:$AB$662,11,0),0)</f>
        <v>#NAME?</v>
      </c>
      <c r="I3761" s="274"/>
      <c r="J3761" s="274" t="e">
        <f t="shared" ca="1" si="54"/>
        <v>#NAME?</v>
      </c>
      <c r="K3761" s="274">
        <f t="shared" si="55"/>
        <v>0</v>
      </c>
      <c r="N3761" s="274"/>
    </row>
    <row r="3762" spans="5:14" ht="13.5" customHeight="1">
      <c r="E3762" s="1" t="s">
        <v>836</v>
      </c>
      <c r="F3762" s="1" t="s">
        <v>2800</v>
      </c>
      <c r="G3762" s="415" t="str">
        <f t="shared" si="60"/>
        <v>18-01</v>
      </c>
      <c r="H3762" s="273" t="e">
        <f ca="1">_xludf.IFNA(VLOOKUP(Aragon!E3762,'Kilter Holds'!$P$37:$AB$662,12,0),0)</f>
        <v>#NAME?</v>
      </c>
      <c r="I3762" s="274"/>
      <c r="J3762" s="274" t="e">
        <f t="shared" ca="1" si="54"/>
        <v>#NAME?</v>
      </c>
      <c r="K3762" s="274">
        <f t="shared" si="55"/>
        <v>0</v>
      </c>
      <c r="N3762" s="274"/>
    </row>
    <row r="3763" spans="5:14" ht="13.5" customHeight="1">
      <c r="E3763" s="1" t="s">
        <v>836</v>
      </c>
      <c r="F3763" s="1" t="s">
        <v>2800</v>
      </c>
      <c r="G3763" s="416" t="str">
        <f t="shared" si="60"/>
        <v>Color Code</v>
      </c>
      <c r="H3763" s="273" t="e">
        <f ca="1">_xludf.IFNA(VLOOKUP(Aragon!E3763,'Kilter Holds'!$P$37:$AB$662,13,0),0)</f>
        <v>#NAME?</v>
      </c>
      <c r="I3763" s="274"/>
      <c r="J3763" s="274" t="e">
        <f t="shared" ca="1" si="54"/>
        <v>#NAME?</v>
      </c>
      <c r="K3763" s="274">
        <f t="shared" si="55"/>
        <v>0</v>
      </c>
      <c r="N3763" s="274"/>
    </row>
    <row r="3764" spans="5:14" ht="13.5" customHeight="1">
      <c r="E3764" s="1" t="s">
        <v>824</v>
      </c>
      <c r="F3764" s="1" t="s">
        <v>2801</v>
      </c>
      <c r="G3764" s="406" t="str">
        <f t="shared" si="60"/>
        <v>11-12</v>
      </c>
      <c r="H3764" s="273" t="e">
        <f ca="1">_xludf.IFNA(VLOOKUP(Aragon!E3764,'Kilter Holds'!$P$37:$AB$662,5,0),0)</f>
        <v>#NAME?</v>
      </c>
      <c r="I3764" s="274"/>
      <c r="J3764" s="274" t="e">
        <f t="shared" ca="1" si="54"/>
        <v>#NAME?</v>
      </c>
      <c r="K3764" s="274">
        <f t="shared" si="55"/>
        <v>0</v>
      </c>
      <c r="N3764" s="274"/>
    </row>
    <row r="3765" spans="5:14" ht="13.5" customHeight="1">
      <c r="E3765" s="1" t="s">
        <v>824</v>
      </c>
      <c r="F3765" s="1" t="s">
        <v>2801</v>
      </c>
      <c r="G3765" s="408" t="str">
        <f t="shared" si="60"/>
        <v>14-01</v>
      </c>
      <c r="H3765" s="273" t="e">
        <f ca="1">_xludf.IFNA(VLOOKUP(Aragon!E3765,'Kilter Holds'!$P$37:$AB$662,6,0),0)</f>
        <v>#NAME?</v>
      </c>
      <c r="I3765" s="274"/>
      <c r="J3765" s="274" t="e">
        <f t="shared" ca="1" si="54"/>
        <v>#NAME?</v>
      </c>
      <c r="K3765" s="274">
        <f t="shared" si="55"/>
        <v>0</v>
      </c>
      <c r="N3765" s="274"/>
    </row>
    <row r="3766" spans="5:14" ht="13.5" customHeight="1">
      <c r="E3766" s="1" t="s">
        <v>824</v>
      </c>
      <c r="F3766" s="1" t="s">
        <v>2801</v>
      </c>
      <c r="G3766" s="409" t="str">
        <f t="shared" si="60"/>
        <v>15-12</v>
      </c>
      <c r="H3766" s="273" t="e">
        <f ca="1">_xludf.IFNA(VLOOKUP(Aragon!E3766,'Kilter Holds'!$P$37:$AB$662,7,0),0)</f>
        <v>#NAME?</v>
      </c>
      <c r="I3766" s="274"/>
      <c r="J3766" s="274" t="e">
        <f t="shared" ca="1" si="54"/>
        <v>#NAME?</v>
      </c>
      <c r="K3766" s="274">
        <f t="shared" si="55"/>
        <v>0</v>
      </c>
      <c r="N3766" s="274"/>
    </row>
    <row r="3767" spans="5:14" ht="13.5" customHeight="1">
      <c r="E3767" s="1" t="s">
        <v>824</v>
      </c>
      <c r="F3767" s="1" t="s">
        <v>2801</v>
      </c>
      <c r="G3767" s="410" t="str">
        <f t="shared" si="60"/>
        <v>16-16</v>
      </c>
      <c r="H3767" s="273" t="e">
        <f ca="1">_xludf.IFNA(VLOOKUP(Aragon!E3767,'Kilter Holds'!$P$37:$AB$662,8,0),0)</f>
        <v>#NAME?</v>
      </c>
      <c r="I3767" s="274"/>
      <c r="J3767" s="274" t="e">
        <f t="shared" ca="1" si="54"/>
        <v>#NAME?</v>
      </c>
      <c r="K3767" s="274">
        <f t="shared" si="55"/>
        <v>0</v>
      </c>
      <c r="N3767" s="274"/>
    </row>
    <row r="3768" spans="5:14" ht="13.5" customHeight="1">
      <c r="E3768" s="1" t="s">
        <v>824</v>
      </c>
      <c r="F3768" s="1" t="s">
        <v>2801</v>
      </c>
      <c r="G3768" s="411" t="str">
        <f t="shared" si="60"/>
        <v>13-01</v>
      </c>
      <c r="H3768" s="273" t="e">
        <f ca="1">_xludf.IFNA(VLOOKUP(Aragon!E3768,'Kilter Holds'!$P$37:$AB$662,9,0),0)</f>
        <v>#NAME?</v>
      </c>
      <c r="I3768" s="274"/>
      <c r="J3768" s="274" t="e">
        <f t="shared" ca="1" si="54"/>
        <v>#NAME?</v>
      </c>
      <c r="K3768" s="274">
        <f t="shared" si="55"/>
        <v>0</v>
      </c>
      <c r="N3768" s="274"/>
    </row>
    <row r="3769" spans="5:14" ht="13.5" customHeight="1">
      <c r="E3769" s="1" t="s">
        <v>824</v>
      </c>
      <c r="F3769" s="1" t="s">
        <v>2801</v>
      </c>
      <c r="G3769" s="413" t="str">
        <f t="shared" si="60"/>
        <v>07-13</v>
      </c>
      <c r="H3769" s="273" t="e">
        <f ca="1">_xludf.IFNA(VLOOKUP(Aragon!E3769,'Kilter Holds'!$P$37:$AB$662,10,0),0)</f>
        <v>#NAME?</v>
      </c>
      <c r="I3769" s="274"/>
      <c r="J3769" s="274" t="e">
        <f t="shared" ca="1" si="54"/>
        <v>#NAME?</v>
      </c>
      <c r="K3769" s="274">
        <f t="shared" si="55"/>
        <v>0</v>
      </c>
      <c r="N3769" s="274"/>
    </row>
    <row r="3770" spans="5:14" ht="13.5" customHeight="1">
      <c r="E3770" s="1" t="s">
        <v>824</v>
      </c>
      <c r="F3770" s="1" t="s">
        <v>2801</v>
      </c>
      <c r="G3770" s="414" t="str">
        <f t="shared" si="60"/>
        <v>11-26</v>
      </c>
      <c r="H3770" s="273" t="e">
        <f ca="1">_xludf.IFNA(VLOOKUP(Aragon!E3770,'Kilter Holds'!$P$37:$AB$662,11,0),0)</f>
        <v>#NAME?</v>
      </c>
      <c r="I3770" s="274"/>
      <c r="J3770" s="274" t="e">
        <f t="shared" ca="1" si="54"/>
        <v>#NAME?</v>
      </c>
      <c r="K3770" s="274">
        <f t="shared" si="55"/>
        <v>0</v>
      </c>
      <c r="N3770" s="274"/>
    </row>
    <row r="3771" spans="5:14" ht="13.5" customHeight="1">
      <c r="E3771" s="1" t="s">
        <v>824</v>
      </c>
      <c r="F3771" s="1" t="s">
        <v>2801</v>
      </c>
      <c r="G3771" s="415" t="str">
        <f t="shared" si="60"/>
        <v>18-01</v>
      </c>
      <c r="H3771" s="273" t="e">
        <f ca="1">_xludf.IFNA(VLOOKUP(Aragon!E3771,'Kilter Holds'!$P$37:$AB$662,12,0),0)</f>
        <v>#NAME?</v>
      </c>
      <c r="I3771" s="274"/>
      <c r="J3771" s="274" t="e">
        <f t="shared" ca="1" si="54"/>
        <v>#NAME?</v>
      </c>
      <c r="K3771" s="274">
        <f t="shared" si="55"/>
        <v>0</v>
      </c>
      <c r="N3771" s="274"/>
    </row>
    <row r="3772" spans="5:14" ht="13.5" customHeight="1">
      <c r="E3772" s="1" t="s">
        <v>824</v>
      </c>
      <c r="F3772" s="1" t="s">
        <v>2801</v>
      </c>
      <c r="G3772" s="416" t="str">
        <f t="shared" si="60"/>
        <v>Color Code</v>
      </c>
      <c r="H3772" s="273" t="e">
        <f ca="1">_xludf.IFNA(VLOOKUP(Aragon!E3772,'Kilter Holds'!$P$37:$AB$662,13,0),0)</f>
        <v>#NAME?</v>
      </c>
      <c r="I3772" s="274"/>
      <c r="J3772" s="274" t="e">
        <f t="shared" ca="1" si="54"/>
        <v>#NAME?</v>
      </c>
      <c r="K3772" s="274">
        <f t="shared" si="55"/>
        <v>0</v>
      </c>
      <c r="N3772" s="274"/>
    </row>
    <row r="3773" spans="5:14" ht="13.5" customHeight="1">
      <c r="E3773" s="209" t="s">
        <v>789</v>
      </c>
      <c r="F3773" s="209" t="s">
        <v>2802</v>
      </c>
      <c r="G3773" s="406" t="str">
        <f t="shared" ref="G3773:G3781" si="61">G3629</f>
        <v>11-12</v>
      </c>
      <c r="H3773" s="273" t="e">
        <f ca="1">_xludf.IFNA(VLOOKUP(Aragon!E3773,'Kilter Holds'!$P$37:$AB$662,5,0),0)</f>
        <v>#NAME?</v>
      </c>
      <c r="I3773" s="274"/>
      <c r="J3773" s="274" t="e">
        <f t="shared" ca="1" si="54"/>
        <v>#NAME?</v>
      </c>
      <c r="K3773" s="274">
        <f t="shared" si="55"/>
        <v>0</v>
      </c>
      <c r="N3773" s="274"/>
    </row>
    <row r="3774" spans="5:14" ht="13.5" customHeight="1">
      <c r="E3774" s="209" t="s">
        <v>789</v>
      </c>
      <c r="F3774" s="209" t="s">
        <v>2802</v>
      </c>
      <c r="G3774" s="408" t="str">
        <f t="shared" si="61"/>
        <v>14-01</v>
      </c>
      <c r="H3774" s="273" t="e">
        <f ca="1">_xludf.IFNA(VLOOKUP(Aragon!E3774,'Kilter Holds'!$P$37:$AB$662,6,0),0)</f>
        <v>#NAME?</v>
      </c>
      <c r="I3774" s="274"/>
      <c r="J3774" s="274" t="e">
        <f t="shared" ca="1" si="54"/>
        <v>#NAME?</v>
      </c>
      <c r="K3774" s="274">
        <f t="shared" si="55"/>
        <v>0</v>
      </c>
      <c r="N3774" s="274"/>
    </row>
    <row r="3775" spans="5:14" ht="13.5" customHeight="1">
      <c r="E3775" s="209" t="s">
        <v>789</v>
      </c>
      <c r="F3775" s="209" t="s">
        <v>2802</v>
      </c>
      <c r="G3775" s="409" t="str">
        <f t="shared" si="61"/>
        <v>15-12</v>
      </c>
      <c r="H3775" s="273" t="e">
        <f ca="1">_xludf.IFNA(VLOOKUP(Aragon!E3775,'Kilter Holds'!$P$37:$AB$662,7,0),0)</f>
        <v>#NAME?</v>
      </c>
      <c r="I3775" s="274"/>
      <c r="J3775" s="274" t="e">
        <f t="shared" ca="1" si="54"/>
        <v>#NAME?</v>
      </c>
      <c r="K3775" s="274">
        <f t="shared" si="55"/>
        <v>0</v>
      </c>
      <c r="N3775" s="274"/>
    </row>
    <row r="3776" spans="5:14" ht="13.5" customHeight="1">
      <c r="E3776" s="209" t="s">
        <v>789</v>
      </c>
      <c r="F3776" s="209" t="s">
        <v>2802</v>
      </c>
      <c r="G3776" s="410" t="str">
        <f t="shared" si="61"/>
        <v>16-16</v>
      </c>
      <c r="H3776" s="273" t="e">
        <f ca="1">_xludf.IFNA(VLOOKUP(Aragon!E3776,'Kilter Holds'!$P$37:$AB$662,8,0),0)</f>
        <v>#NAME?</v>
      </c>
      <c r="I3776" s="274"/>
      <c r="J3776" s="274" t="e">
        <f t="shared" ca="1" si="54"/>
        <v>#NAME?</v>
      </c>
      <c r="K3776" s="274">
        <f t="shared" si="55"/>
        <v>0</v>
      </c>
      <c r="N3776" s="274"/>
    </row>
    <row r="3777" spans="5:14" ht="13.5" customHeight="1">
      <c r="E3777" s="209" t="s">
        <v>789</v>
      </c>
      <c r="F3777" s="209" t="s">
        <v>2802</v>
      </c>
      <c r="G3777" s="411" t="str">
        <f t="shared" si="61"/>
        <v>13-01</v>
      </c>
      <c r="H3777" s="273" t="e">
        <f ca="1">_xludf.IFNA(VLOOKUP(Aragon!E3777,'Kilter Holds'!$P$37:$AB$662,9,0),0)</f>
        <v>#NAME?</v>
      </c>
      <c r="I3777" s="274"/>
      <c r="J3777" s="274" t="e">
        <f t="shared" ca="1" si="54"/>
        <v>#NAME?</v>
      </c>
      <c r="K3777" s="274">
        <f t="shared" si="55"/>
        <v>0</v>
      </c>
      <c r="N3777" s="274"/>
    </row>
    <row r="3778" spans="5:14" ht="13.5" customHeight="1">
      <c r="E3778" s="209" t="s">
        <v>789</v>
      </c>
      <c r="F3778" s="209" t="s">
        <v>2802</v>
      </c>
      <c r="G3778" s="413" t="str">
        <f t="shared" si="61"/>
        <v>07-13</v>
      </c>
      <c r="H3778" s="273" t="e">
        <f ca="1">_xludf.IFNA(VLOOKUP(Aragon!E3778,'Kilter Holds'!$P$37:$AB$662,10,0),0)</f>
        <v>#NAME?</v>
      </c>
      <c r="I3778" s="274"/>
      <c r="J3778" s="274" t="e">
        <f t="shared" ca="1" si="54"/>
        <v>#NAME?</v>
      </c>
      <c r="K3778" s="274">
        <f t="shared" si="55"/>
        <v>0</v>
      </c>
      <c r="N3778" s="274"/>
    </row>
    <row r="3779" spans="5:14" ht="13.5" customHeight="1">
      <c r="E3779" s="209" t="s">
        <v>789</v>
      </c>
      <c r="F3779" s="209" t="s">
        <v>2802</v>
      </c>
      <c r="G3779" s="414" t="str">
        <f t="shared" si="61"/>
        <v>11-26</v>
      </c>
      <c r="H3779" s="273" t="e">
        <f ca="1">_xludf.IFNA(VLOOKUP(Aragon!E3779,'Kilter Holds'!$P$37:$AB$662,11,0),0)</f>
        <v>#NAME?</v>
      </c>
      <c r="I3779" s="274"/>
      <c r="J3779" s="274" t="e">
        <f t="shared" ca="1" si="54"/>
        <v>#NAME?</v>
      </c>
      <c r="K3779" s="274">
        <f t="shared" si="55"/>
        <v>0</v>
      </c>
      <c r="N3779" s="274"/>
    </row>
    <row r="3780" spans="5:14" ht="13.5" customHeight="1">
      <c r="E3780" s="209" t="s">
        <v>789</v>
      </c>
      <c r="F3780" s="209" t="s">
        <v>2802</v>
      </c>
      <c r="G3780" s="415" t="str">
        <f t="shared" si="61"/>
        <v>18-01</v>
      </c>
      <c r="H3780" s="273" t="e">
        <f ca="1">_xludf.IFNA(VLOOKUP(Aragon!E3780,'Kilter Holds'!$P$37:$AB$662,12,0),0)</f>
        <v>#NAME?</v>
      </c>
      <c r="I3780" s="274"/>
      <c r="J3780" s="274" t="e">
        <f t="shared" ca="1" si="54"/>
        <v>#NAME?</v>
      </c>
      <c r="K3780" s="274">
        <f t="shared" si="55"/>
        <v>0</v>
      </c>
      <c r="N3780" s="274"/>
    </row>
    <row r="3781" spans="5:14" ht="13.5" customHeight="1">
      <c r="E3781" s="209" t="s">
        <v>789</v>
      </c>
      <c r="F3781" s="209" t="s">
        <v>2802</v>
      </c>
      <c r="G3781" s="416" t="str">
        <f t="shared" si="61"/>
        <v>Color Code</v>
      </c>
      <c r="H3781" s="273" t="e">
        <f ca="1">_xludf.IFNA(VLOOKUP(Aragon!E3781,'Kilter Holds'!$P$37:$AB$662,13,0),0)</f>
        <v>#NAME?</v>
      </c>
      <c r="I3781" s="274"/>
      <c r="J3781" s="274" t="e">
        <f t="shared" ca="1" si="54"/>
        <v>#NAME?</v>
      </c>
      <c r="K3781" s="274">
        <f t="shared" si="55"/>
        <v>0</v>
      </c>
      <c r="N3781" s="274"/>
    </row>
    <row r="3782" spans="5:14" ht="13.5" customHeight="1">
      <c r="E3782" s="209" t="s">
        <v>760</v>
      </c>
      <c r="F3782" s="209" t="s">
        <v>2803</v>
      </c>
      <c r="G3782" s="406" t="str">
        <f t="shared" ref="G3782:G3988" si="62">G3773</f>
        <v>11-12</v>
      </c>
      <c r="H3782" s="273" t="e">
        <f ca="1">_xludf.IFNA(VLOOKUP(Aragon!E3782,'Kilter Holds'!$P$37:$AB$662,5,0),0)</f>
        <v>#NAME?</v>
      </c>
      <c r="I3782" s="274"/>
      <c r="J3782" s="274" t="e">
        <f t="shared" ca="1" si="54"/>
        <v>#NAME?</v>
      </c>
      <c r="K3782" s="274">
        <f t="shared" si="55"/>
        <v>0</v>
      </c>
      <c r="N3782" s="274"/>
    </row>
    <row r="3783" spans="5:14" ht="13.5" customHeight="1">
      <c r="E3783" s="209" t="s">
        <v>760</v>
      </c>
      <c r="F3783" s="209" t="s">
        <v>2803</v>
      </c>
      <c r="G3783" s="408" t="str">
        <f t="shared" si="62"/>
        <v>14-01</v>
      </c>
      <c r="H3783" s="273" t="e">
        <f ca="1">_xludf.IFNA(VLOOKUP(Aragon!E3783,'Kilter Holds'!$P$37:$AB$662,6,0),0)</f>
        <v>#NAME?</v>
      </c>
      <c r="I3783" s="274"/>
      <c r="J3783" s="274" t="e">
        <f t="shared" ca="1" si="54"/>
        <v>#NAME?</v>
      </c>
      <c r="K3783" s="274">
        <f t="shared" si="55"/>
        <v>0</v>
      </c>
      <c r="N3783" s="274"/>
    </row>
    <row r="3784" spans="5:14" ht="13.5" customHeight="1">
      <c r="E3784" s="209" t="s">
        <v>760</v>
      </c>
      <c r="F3784" s="209" t="s">
        <v>2803</v>
      </c>
      <c r="G3784" s="409" t="str">
        <f t="shared" si="62"/>
        <v>15-12</v>
      </c>
      <c r="H3784" s="273" t="e">
        <f ca="1">_xludf.IFNA(VLOOKUP(Aragon!E3784,'Kilter Holds'!$P$37:$AB$662,7,0),0)</f>
        <v>#NAME?</v>
      </c>
      <c r="I3784" s="274"/>
      <c r="J3784" s="274" t="e">
        <f t="shared" ca="1" si="54"/>
        <v>#NAME?</v>
      </c>
      <c r="K3784" s="274">
        <f t="shared" si="55"/>
        <v>0</v>
      </c>
      <c r="N3784" s="274"/>
    </row>
    <row r="3785" spans="5:14" ht="13.5" customHeight="1">
      <c r="E3785" s="209" t="s">
        <v>760</v>
      </c>
      <c r="F3785" s="209" t="s">
        <v>2803</v>
      </c>
      <c r="G3785" s="410" t="str">
        <f t="shared" si="62"/>
        <v>16-16</v>
      </c>
      <c r="H3785" s="273" t="e">
        <f ca="1">_xludf.IFNA(VLOOKUP(Aragon!E3785,'Kilter Holds'!$P$37:$AB$662,8,0),0)</f>
        <v>#NAME?</v>
      </c>
      <c r="I3785" s="274"/>
      <c r="J3785" s="274" t="e">
        <f t="shared" ca="1" si="54"/>
        <v>#NAME?</v>
      </c>
      <c r="K3785" s="274">
        <f t="shared" si="55"/>
        <v>0</v>
      </c>
      <c r="N3785" s="274"/>
    </row>
    <row r="3786" spans="5:14" ht="13.5" customHeight="1">
      <c r="E3786" s="209" t="s">
        <v>760</v>
      </c>
      <c r="F3786" s="209" t="s">
        <v>2803</v>
      </c>
      <c r="G3786" s="411" t="str">
        <f t="shared" si="62"/>
        <v>13-01</v>
      </c>
      <c r="H3786" s="273" t="e">
        <f ca="1">_xludf.IFNA(VLOOKUP(Aragon!E3786,'Kilter Holds'!$P$37:$AB$662,9,0),0)</f>
        <v>#NAME?</v>
      </c>
      <c r="I3786" s="274"/>
      <c r="J3786" s="274" t="e">
        <f t="shared" ca="1" si="54"/>
        <v>#NAME?</v>
      </c>
      <c r="K3786" s="274">
        <f t="shared" si="55"/>
        <v>0</v>
      </c>
      <c r="N3786" s="274"/>
    </row>
    <row r="3787" spans="5:14" ht="13.5" customHeight="1">
      <c r="E3787" s="209" t="s">
        <v>760</v>
      </c>
      <c r="F3787" s="209" t="s">
        <v>2803</v>
      </c>
      <c r="G3787" s="413" t="str">
        <f t="shared" si="62"/>
        <v>07-13</v>
      </c>
      <c r="H3787" s="273" t="e">
        <f ca="1">_xludf.IFNA(VLOOKUP(Aragon!E3787,'Kilter Holds'!$P$37:$AB$662,10,0),0)</f>
        <v>#NAME?</v>
      </c>
      <c r="I3787" s="274"/>
      <c r="J3787" s="274" t="e">
        <f t="shared" ca="1" si="54"/>
        <v>#NAME?</v>
      </c>
      <c r="K3787" s="274">
        <f t="shared" si="55"/>
        <v>0</v>
      </c>
      <c r="N3787" s="274"/>
    </row>
    <row r="3788" spans="5:14" ht="13.5" customHeight="1">
      <c r="E3788" s="209" t="s">
        <v>760</v>
      </c>
      <c r="F3788" s="209" t="s">
        <v>2803</v>
      </c>
      <c r="G3788" s="414" t="str">
        <f t="shared" si="62"/>
        <v>11-26</v>
      </c>
      <c r="H3788" s="273" t="e">
        <f ca="1">_xludf.IFNA(VLOOKUP(Aragon!E3788,'Kilter Holds'!$P$37:$AB$662,11,0),0)</f>
        <v>#NAME?</v>
      </c>
      <c r="I3788" s="274"/>
      <c r="J3788" s="274" t="e">
        <f t="shared" ca="1" si="54"/>
        <v>#NAME?</v>
      </c>
      <c r="K3788" s="274">
        <f t="shared" si="55"/>
        <v>0</v>
      </c>
      <c r="N3788" s="274"/>
    </row>
    <row r="3789" spans="5:14" ht="13.5" customHeight="1">
      <c r="E3789" s="209" t="s">
        <v>760</v>
      </c>
      <c r="F3789" s="209" t="s">
        <v>2803</v>
      </c>
      <c r="G3789" s="415" t="str">
        <f t="shared" si="62"/>
        <v>18-01</v>
      </c>
      <c r="H3789" s="273" t="e">
        <f ca="1">_xludf.IFNA(VLOOKUP(Aragon!E3789,'Kilter Holds'!$P$37:$AB$662,12,0),0)</f>
        <v>#NAME?</v>
      </c>
      <c r="I3789" s="274"/>
      <c r="J3789" s="274" t="e">
        <f t="shared" ca="1" si="54"/>
        <v>#NAME?</v>
      </c>
      <c r="K3789" s="274">
        <f t="shared" si="55"/>
        <v>0</v>
      </c>
      <c r="N3789" s="274"/>
    </row>
    <row r="3790" spans="5:14" ht="13.5" customHeight="1">
      <c r="E3790" s="209" t="s">
        <v>760</v>
      </c>
      <c r="F3790" s="209" t="s">
        <v>2803</v>
      </c>
      <c r="G3790" s="416" t="str">
        <f t="shared" si="62"/>
        <v>Color Code</v>
      </c>
      <c r="H3790" s="273" t="e">
        <f ca="1">_xludf.IFNA(VLOOKUP(Aragon!E3790,'Kilter Holds'!$P$37:$AB$662,13,0),0)</f>
        <v>#NAME?</v>
      </c>
      <c r="I3790" s="274"/>
      <c r="J3790" s="274" t="e">
        <f t="shared" ca="1" si="54"/>
        <v>#NAME?</v>
      </c>
      <c r="K3790" s="274">
        <f t="shared" si="55"/>
        <v>0</v>
      </c>
      <c r="N3790" s="274"/>
    </row>
    <row r="3791" spans="5:14" ht="13.5" customHeight="1">
      <c r="E3791" s="209" t="s">
        <v>762</v>
      </c>
      <c r="F3791" s="209" t="s">
        <v>2804</v>
      </c>
      <c r="G3791" s="406" t="str">
        <f t="shared" si="62"/>
        <v>11-12</v>
      </c>
      <c r="H3791" s="273" t="e">
        <f ca="1">_xludf.IFNA(VLOOKUP(Aragon!E3791,'Kilter Holds'!$P$37:$AB$662,5,0),0)</f>
        <v>#NAME?</v>
      </c>
      <c r="I3791" s="274"/>
      <c r="J3791" s="274" t="e">
        <f t="shared" ca="1" si="54"/>
        <v>#NAME?</v>
      </c>
      <c r="K3791" s="274">
        <f t="shared" si="55"/>
        <v>0</v>
      </c>
      <c r="N3791" s="274"/>
    </row>
    <row r="3792" spans="5:14" ht="13.5" customHeight="1">
      <c r="E3792" s="209" t="s">
        <v>762</v>
      </c>
      <c r="F3792" s="209" t="s">
        <v>2804</v>
      </c>
      <c r="G3792" s="408" t="str">
        <f t="shared" si="62"/>
        <v>14-01</v>
      </c>
      <c r="H3792" s="273" t="e">
        <f ca="1">_xludf.IFNA(VLOOKUP(Aragon!E3792,'Kilter Holds'!$P$37:$AB$662,6,0),0)</f>
        <v>#NAME?</v>
      </c>
      <c r="I3792" s="274"/>
      <c r="J3792" s="274" t="e">
        <f t="shared" ca="1" si="54"/>
        <v>#NAME?</v>
      </c>
      <c r="K3792" s="274">
        <f t="shared" si="55"/>
        <v>0</v>
      </c>
      <c r="N3792" s="274"/>
    </row>
    <row r="3793" spans="5:14" ht="13.5" customHeight="1">
      <c r="E3793" s="209" t="s">
        <v>762</v>
      </c>
      <c r="F3793" s="209" t="s">
        <v>2804</v>
      </c>
      <c r="G3793" s="409" t="str">
        <f t="shared" si="62"/>
        <v>15-12</v>
      </c>
      <c r="H3793" s="273" t="e">
        <f ca="1">_xludf.IFNA(VLOOKUP(Aragon!E3793,'Kilter Holds'!$P$37:$AB$662,7,0),0)</f>
        <v>#NAME?</v>
      </c>
      <c r="I3793" s="274"/>
      <c r="J3793" s="274" t="e">
        <f t="shared" ca="1" si="54"/>
        <v>#NAME?</v>
      </c>
      <c r="K3793" s="274">
        <f t="shared" si="55"/>
        <v>0</v>
      </c>
      <c r="N3793" s="274"/>
    </row>
    <row r="3794" spans="5:14" ht="13.5" customHeight="1">
      <c r="E3794" s="209" t="s">
        <v>762</v>
      </c>
      <c r="F3794" s="209" t="s">
        <v>2804</v>
      </c>
      <c r="G3794" s="410" t="str">
        <f t="shared" si="62"/>
        <v>16-16</v>
      </c>
      <c r="H3794" s="273" t="e">
        <f ca="1">_xludf.IFNA(VLOOKUP(Aragon!E3794,'Kilter Holds'!$P$37:$AB$662,8,0),0)</f>
        <v>#NAME?</v>
      </c>
      <c r="I3794" s="274"/>
      <c r="J3794" s="274" t="e">
        <f t="shared" ca="1" si="54"/>
        <v>#NAME?</v>
      </c>
      <c r="K3794" s="274">
        <f t="shared" si="55"/>
        <v>0</v>
      </c>
      <c r="N3794" s="274"/>
    </row>
    <row r="3795" spans="5:14" ht="13.5" customHeight="1">
      <c r="E3795" s="209" t="s">
        <v>762</v>
      </c>
      <c r="F3795" s="209" t="s">
        <v>2804</v>
      </c>
      <c r="G3795" s="411" t="str">
        <f t="shared" si="62"/>
        <v>13-01</v>
      </c>
      <c r="H3795" s="273" t="e">
        <f ca="1">_xludf.IFNA(VLOOKUP(Aragon!E3795,'Kilter Holds'!$P$37:$AB$662,9,0),0)</f>
        <v>#NAME?</v>
      </c>
      <c r="I3795" s="274"/>
      <c r="J3795" s="274" t="e">
        <f t="shared" ca="1" si="54"/>
        <v>#NAME?</v>
      </c>
      <c r="K3795" s="274">
        <f t="shared" si="55"/>
        <v>0</v>
      </c>
      <c r="N3795" s="274"/>
    </row>
    <row r="3796" spans="5:14" ht="13.5" customHeight="1">
      <c r="E3796" s="209" t="s">
        <v>762</v>
      </c>
      <c r="F3796" s="209" t="s">
        <v>2804</v>
      </c>
      <c r="G3796" s="413" t="str">
        <f t="shared" si="62"/>
        <v>07-13</v>
      </c>
      <c r="H3796" s="273" t="e">
        <f ca="1">_xludf.IFNA(VLOOKUP(Aragon!E3796,'Kilter Holds'!$P$37:$AB$662,10,0),0)</f>
        <v>#NAME?</v>
      </c>
      <c r="I3796" s="274"/>
      <c r="J3796" s="274" t="e">
        <f t="shared" ca="1" si="54"/>
        <v>#NAME?</v>
      </c>
      <c r="K3796" s="274">
        <f t="shared" si="55"/>
        <v>0</v>
      </c>
      <c r="N3796" s="274"/>
    </row>
    <row r="3797" spans="5:14" ht="13.5" customHeight="1">
      <c r="E3797" s="209" t="s">
        <v>762</v>
      </c>
      <c r="F3797" s="209" t="s">
        <v>2804</v>
      </c>
      <c r="G3797" s="414" t="str">
        <f t="shared" si="62"/>
        <v>11-26</v>
      </c>
      <c r="H3797" s="273" t="e">
        <f ca="1">_xludf.IFNA(VLOOKUP(Aragon!E3797,'Kilter Holds'!$P$37:$AB$662,11,0),0)</f>
        <v>#NAME?</v>
      </c>
      <c r="I3797" s="274"/>
      <c r="J3797" s="274" t="e">
        <f t="shared" ca="1" si="54"/>
        <v>#NAME?</v>
      </c>
      <c r="K3797" s="274">
        <f t="shared" si="55"/>
        <v>0</v>
      </c>
      <c r="N3797" s="274"/>
    </row>
    <row r="3798" spans="5:14" ht="13.5" customHeight="1">
      <c r="E3798" s="209" t="s">
        <v>762</v>
      </c>
      <c r="F3798" s="209" t="s">
        <v>2804</v>
      </c>
      <c r="G3798" s="415" t="str">
        <f t="shared" si="62"/>
        <v>18-01</v>
      </c>
      <c r="H3798" s="273" t="e">
        <f ca="1">_xludf.IFNA(VLOOKUP(Aragon!E3798,'Kilter Holds'!$P$37:$AB$662,12,0),0)</f>
        <v>#NAME?</v>
      </c>
      <c r="I3798" s="274"/>
      <c r="J3798" s="274" t="e">
        <f t="shared" ca="1" si="54"/>
        <v>#NAME?</v>
      </c>
      <c r="K3798" s="274">
        <f t="shared" si="55"/>
        <v>0</v>
      </c>
      <c r="N3798" s="274"/>
    </row>
    <row r="3799" spans="5:14" ht="13.5" customHeight="1">
      <c r="E3799" s="209" t="s">
        <v>762</v>
      </c>
      <c r="F3799" s="209" t="s">
        <v>2804</v>
      </c>
      <c r="G3799" s="416" t="str">
        <f t="shared" si="62"/>
        <v>Color Code</v>
      </c>
      <c r="H3799" s="273" t="e">
        <f ca="1">_xludf.IFNA(VLOOKUP(Aragon!E3799,'Kilter Holds'!$P$37:$AB$662,13,0),0)</f>
        <v>#NAME?</v>
      </c>
      <c r="I3799" s="274"/>
      <c r="J3799" s="274" t="e">
        <f t="shared" ca="1" si="54"/>
        <v>#NAME?</v>
      </c>
      <c r="K3799" s="274">
        <f t="shared" si="55"/>
        <v>0</v>
      </c>
      <c r="N3799" s="274"/>
    </row>
    <row r="3800" spans="5:14" ht="13.5" customHeight="1">
      <c r="E3800" s="209" t="s">
        <v>764</v>
      </c>
      <c r="F3800" s="209" t="s">
        <v>2805</v>
      </c>
      <c r="G3800" s="406" t="str">
        <f t="shared" si="62"/>
        <v>11-12</v>
      </c>
      <c r="H3800" s="273" t="e">
        <f ca="1">_xludf.IFNA(VLOOKUP(Aragon!E3800,'Kilter Holds'!$P$37:$AB$662,5,0),0)</f>
        <v>#NAME?</v>
      </c>
      <c r="I3800" s="274"/>
      <c r="J3800" s="274" t="e">
        <f t="shared" ca="1" si="54"/>
        <v>#NAME?</v>
      </c>
      <c r="K3800" s="274">
        <f t="shared" si="55"/>
        <v>0</v>
      </c>
      <c r="N3800" s="274"/>
    </row>
    <row r="3801" spans="5:14" ht="13.5" customHeight="1">
      <c r="E3801" s="209" t="s">
        <v>764</v>
      </c>
      <c r="F3801" s="209" t="s">
        <v>2805</v>
      </c>
      <c r="G3801" s="408" t="str">
        <f t="shared" si="62"/>
        <v>14-01</v>
      </c>
      <c r="H3801" s="273" t="e">
        <f ca="1">_xludf.IFNA(VLOOKUP(Aragon!E3801,'Kilter Holds'!$P$37:$AB$662,6,0),0)</f>
        <v>#NAME?</v>
      </c>
      <c r="I3801" s="274"/>
      <c r="J3801" s="274" t="e">
        <f t="shared" ca="1" si="54"/>
        <v>#NAME?</v>
      </c>
      <c r="K3801" s="274">
        <f t="shared" si="55"/>
        <v>0</v>
      </c>
      <c r="N3801" s="274"/>
    </row>
    <row r="3802" spans="5:14" ht="13.5" customHeight="1">
      <c r="E3802" s="209" t="s">
        <v>764</v>
      </c>
      <c r="F3802" s="209" t="s">
        <v>2805</v>
      </c>
      <c r="G3802" s="409" t="str">
        <f t="shared" si="62"/>
        <v>15-12</v>
      </c>
      <c r="H3802" s="273" t="e">
        <f ca="1">_xludf.IFNA(VLOOKUP(Aragon!E3802,'Kilter Holds'!$P$37:$AB$662,7,0),0)</f>
        <v>#NAME?</v>
      </c>
      <c r="I3802" s="274"/>
      <c r="J3802" s="274" t="e">
        <f t="shared" ca="1" si="54"/>
        <v>#NAME?</v>
      </c>
      <c r="K3802" s="274">
        <f t="shared" si="55"/>
        <v>0</v>
      </c>
      <c r="N3802" s="274"/>
    </row>
    <row r="3803" spans="5:14" ht="13.5" customHeight="1">
      <c r="E3803" s="209" t="s">
        <v>764</v>
      </c>
      <c r="F3803" s="209" t="s">
        <v>2805</v>
      </c>
      <c r="G3803" s="410" t="str">
        <f t="shared" si="62"/>
        <v>16-16</v>
      </c>
      <c r="H3803" s="273" t="e">
        <f ca="1">_xludf.IFNA(VLOOKUP(Aragon!E3803,'Kilter Holds'!$P$37:$AB$662,8,0),0)</f>
        <v>#NAME?</v>
      </c>
      <c r="I3803" s="274"/>
      <c r="J3803" s="274" t="e">
        <f t="shared" ca="1" si="54"/>
        <v>#NAME?</v>
      </c>
      <c r="K3803" s="274">
        <f t="shared" si="55"/>
        <v>0</v>
      </c>
      <c r="N3803" s="274"/>
    </row>
    <row r="3804" spans="5:14" ht="13.5" customHeight="1">
      <c r="E3804" s="209" t="s">
        <v>764</v>
      </c>
      <c r="F3804" s="209" t="s">
        <v>2805</v>
      </c>
      <c r="G3804" s="411" t="str">
        <f t="shared" si="62"/>
        <v>13-01</v>
      </c>
      <c r="H3804" s="273" t="e">
        <f ca="1">_xludf.IFNA(VLOOKUP(Aragon!E3804,'Kilter Holds'!$P$37:$AB$662,9,0),0)</f>
        <v>#NAME?</v>
      </c>
      <c r="I3804" s="274"/>
      <c r="J3804" s="274" t="e">
        <f t="shared" ca="1" si="54"/>
        <v>#NAME?</v>
      </c>
      <c r="K3804" s="274">
        <f t="shared" si="55"/>
        <v>0</v>
      </c>
      <c r="N3804" s="274"/>
    </row>
    <row r="3805" spans="5:14" ht="13.5" customHeight="1">
      <c r="E3805" s="209" t="s">
        <v>764</v>
      </c>
      <c r="F3805" s="209" t="s">
        <v>2805</v>
      </c>
      <c r="G3805" s="413" t="str">
        <f t="shared" si="62"/>
        <v>07-13</v>
      </c>
      <c r="H3805" s="273" t="e">
        <f ca="1">_xludf.IFNA(VLOOKUP(Aragon!E3805,'Kilter Holds'!$P$37:$AB$662,10,0),0)</f>
        <v>#NAME?</v>
      </c>
      <c r="I3805" s="274"/>
      <c r="J3805" s="274" t="e">
        <f t="shared" ca="1" si="54"/>
        <v>#NAME?</v>
      </c>
      <c r="K3805" s="274">
        <f t="shared" si="55"/>
        <v>0</v>
      </c>
      <c r="N3805" s="274"/>
    </row>
    <row r="3806" spans="5:14" ht="13.5" customHeight="1">
      <c r="E3806" s="209" t="s">
        <v>764</v>
      </c>
      <c r="F3806" s="209" t="s">
        <v>2805</v>
      </c>
      <c r="G3806" s="414" t="str">
        <f t="shared" si="62"/>
        <v>11-26</v>
      </c>
      <c r="H3806" s="273" t="e">
        <f ca="1">_xludf.IFNA(VLOOKUP(Aragon!E3806,'Kilter Holds'!$P$37:$AB$662,11,0),0)</f>
        <v>#NAME?</v>
      </c>
      <c r="I3806" s="274"/>
      <c r="J3806" s="274" t="e">
        <f t="shared" ca="1" si="54"/>
        <v>#NAME?</v>
      </c>
      <c r="K3806" s="274">
        <f t="shared" si="55"/>
        <v>0</v>
      </c>
      <c r="N3806" s="274"/>
    </row>
    <row r="3807" spans="5:14" ht="13.5" customHeight="1">
      <c r="E3807" s="209" t="s">
        <v>764</v>
      </c>
      <c r="F3807" s="209" t="s">
        <v>2805</v>
      </c>
      <c r="G3807" s="415" t="str">
        <f t="shared" si="62"/>
        <v>18-01</v>
      </c>
      <c r="H3807" s="273" t="e">
        <f ca="1">_xludf.IFNA(VLOOKUP(Aragon!E3807,'Kilter Holds'!$P$37:$AB$662,12,0),0)</f>
        <v>#NAME?</v>
      </c>
      <c r="I3807" s="274"/>
      <c r="J3807" s="274" t="e">
        <f t="shared" ca="1" si="54"/>
        <v>#NAME?</v>
      </c>
      <c r="K3807" s="274">
        <f t="shared" si="55"/>
        <v>0</v>
      </c>
      <c r="N3807" s="274"/>
    </row>
    <row r="3808" spans="5:14" ht="13.5" customHeight="1">
      <c r="E3808" s="209" t="s">
        <v>764</v>
      </c>
      <c r="F3808" s="209" t="s">
        <v>2805</v>
      </c>
      <c r="G3808" s="416" t="str">
        <f t="shared" si="62"/>
        <v>Color Code</v>
      </c>
      <c r="H3808" s="273" t="e">
        <f ca="1">_xludf.IFNA(VLOOKUP(Aragon!E3808,'Kilter Holds'!$P$37:$AB$662,13,0),0)</f>
        <v>#NAME?</v>
      </c>
      <c r="I3808" s="274"/>
      <c r="J3808" s="274" t="e">
        <f t="shared" ca="1" si="54"/>
        <v>#NAME?</v>
      </c>
      <c r="K3808" s="274">
        <f t="shared" si="55"/>
        <v>0</v>
      </c>
      <c r="N3808" s="274"/>
    </row>
    <row r="3809" spans="5:14" ht="13.5" customHeight="1">
      <c r="E3809" s="209" t="s">
        <v>766</v>
      </c>
      <c r="F3809" s="209" t="s">
        <v>2806</v>
      </c>
      <c r="G3809" s="406" t="str">
        <f t="shared" si="62"/>
        <v>11-12</v>
      </c>
      <c r="H3809" s="273" t="e">
        <f ca="1">_xludf.IFNA(VLOOKUP(Aragon!E3809,'Kilter Holds'!$P$37:$AB$662,5,0),0)</f>
        <v>#NAME?</v>
      </c>
      <c r="I3809" s="274"/>
      <c r="J3809" s="274" t="e">
        <f t="shared" ca="1" si="54"/>
        <v>#NAME?</v>
      </c>
      <c r="K3809" s="274">
        <f t="shared" si="55"/>
        <v>0</v>
      </c>
      <c r="N3809" s="274"/>
    </row>
    <row r="3810" spans="5:14" ht="13.5" customHeight="1">
      <c r="E3810" s="209" t="s">
        <v>766</v>
      </c>
      <c r="F3810" s="209" t="s">
        <v>2806</v>
      </c>
      <c r="G3810" s="408" t="str">
        <f t="shared" si="62"/>
        <v>14-01</v>
      </c>
      <c r="H3810" s="273" t="e">
        <f ca="1">_xludf.IFNA(VLOOKUP(Aragon!E3810,'Kilter Holds'!$P$37:$AB$662,6,0),0)</f>
        <v>#NAME?</v>
      </c>
      <c r="I3810" s="274"/>
      <c r="J3810" s="274" t="e">
        <f t="shared" ca="1" si="54"/>
        <v>#NAME?</v>
      </c>
      <c r="K3810" s="274">
        <f t="shared" si="55"/>
        <v>0</v>
      </c>
      <c r="N3810" s="274"/>
    </row>
    <row r="3811" spans="5:14" ht="13.5" customHeight="1">
      <c r="E3811" s="209" t="s">
        <v>766</v>
      </c>
      <c r="F3811" s="209" t="s">
        <v>2806</v>
      </c>
      <c r="G3811" s="409" t="str">
        <f t="shared" si="62"/>
        <v>15-12</v>
      </c>
      <c r="H3811" s="273" t="e">
        <f ca="1">_xludf.IFNA(VLOOKUP(Aragon!E3811,'Kilter Holds'!$P$37:$AB$662,7,0),0)</f>
        <v>#NAME?</v>
      </c>
      <c r="I3811" s="274"/>
      <c r="J3811" s="274" t="e">
        <f t="shared" ca="1" si="54"/>
        <v>#NAME?</v>
      </c>
      <c r="K3811" s="274">
        <f t="shared" si="55"/>
        <v>0</v>
      </c>
      <c r="N3811" s="274"/>
    </row>
    <row r="3812" spans="5:14" ht="13.5" customHeight="1">
      <c r="E3812" s="209" t="s">
        <v>766</v>
      </c>
      <c r="F3812" s="209" t="s">
        <v>2806</v>
      </c>
      <c r="G3812" s="410" t="str">
        <f t="shared" si="62"/>
        <v>16-16</v>
      </c>
      <c r="H3812" s="273" t="e">
        <f ca="1">_xludf.IFNA(VLOOKUP(Aragon!E3812,'Kilter Holds'!$P$37:$AB$662,8,0),0)</f>
        <v>#NAME?</v>
      </c>
      <c r="I3812" s="274"/>
      <c r="J3812" s="274" t="e">
        <f t="shared" ca="1" si="54"/>
        <v>#NAME?</v>
      </c>
      <c r="K3812" s="274">
        <f t="shared" si="55"/>
        <v>0</v>
      </c>
      <c r="N3812" s="274"/>
    </row>
    <row r="3813" spans="5:14" ht="13.5" customHeight="1">
      <c r="E3813" s="209" t="s">
        <v>766</v>
      </c>
      <c r="F3813" s="209" t="s">
        <v>2806</v>
      </c>
      <c r="G3813" s="411" t="str">
        <f t="shared" si="62"/>
        <v>13-01</v>
      </c>
      <c r="H3813" s="273" t="e">
        <f ca="1">_xludf.IFNA(VLOOKUP(Aragon!E3813,'Kilter Holds'!$P$37:$AB$662,9,0),0)</f>
        <v>#NAME?</v>
      </c>
      <c r="I3813" s="274"/>
      <c r="J3813" s="274" t="e">
        <f t="shared" ca="1" si="54"/>
        <v>#NAME?</v>
      </c>
      <c r="K3813" s="274">
        <f t="shared" si="55"/>
        <v>0</v>
      </c>
      <c r="N3813" s="274"/>
    </row>
    <row r="3814" spans="5:14" ht="13.5" customHeight="1">
      <c r="E3814" s="209" t="s">
        <v>766</v>
      </c>
      <c r="F3814" s="209" t="s">
        <v>2806</v>
      </c>
      <c r="G3814" s="413" t="str">
        <f t="shared" si="62"/>
        <v>07-13</v>
      </c>
      <c r="H3814" s="273" t="e">
        <f ca="1">_xludf.IFNA(VLOOKUP(Aragon!E3814,'Kilter Holds'!$P$37:$AB$662,10,0),0)</f>
        <v>#NAME?</v>
      </c>
      <c r="I3814" s="274"/>
      <c r="J3814" s="274" t="e">
        <f t="shared" ca="1" si="54"/>
        <v>#NAME?</v>
      </c>
      <c r="K3814" s="274">
        <f t="shared" si="55"/>
        <v>0</v>
      </c>
      <c r="N3814" s="274"/>
    </row>
    <row r="3815" spans="5:14" ht="13.5" customHeight="1">
      <c r="E3815" s="209" t="s">
        <v>766</v>
      </c>
      <c r="F3815" s="209" t="s">
        <v>2806</v>
      </c>
      <c r="G3815" s="414" t="str">
        <f t="shared" si="62"/>
        <v>11-26</v>
      </c>
      <c r="H3815" s="273" t="e">
        <f ca="1">_xludf.IFNA(VLOOKUP(Aragon!E3815,'Kilter Holds'!$P$37:$AB$662,11,0),0)</f>
        <v>#NAME?</v>
      </c>
      <c r="I3815" s="274"/>
      <c r="J3815" s="274" t="e">
        <f t="shared" ca="1" si="54"/>
        <v>#NAME?</v>
      </c>
      <c r="K3815" s="274">
        <f t="shared" si="55"/>
        <v>0</v>
      </c>
      <c r="N3815" s="274"/>
    </row>
    <row r="3816" spans="5:14" ht="13.5" customHeight="1">
      <c r="E3816" s="209" t="s">
        <v>766</v>
      </c>
      <c r="F3816" s="209" t="s">
        <v>2806</v>
      </c>
      <c r="G3816" s="415" t="str">
        <f t="shared" si="62"/>
        <v>18-01</v>
      </c>
      <c r="H3816" s="273" t="e">
        <f ca="1">_xludf.IFNA(VLOOKUP(Aragon!E3816,'Kilter Holds'!$P$37:$AB$662,12,0),0)</f>
        <v>#NAME?</v>
      </c>
      <c r="I3816" s="274"/>
      <c r="J3816" s="274" t="e">
        <f t="shared" ca="1" si="54"/>
        <v>#NAME?</v>
      </c>
      <c r="K3816" s="274">
        <f t="shared" si="55"/>
        <v>0</v>
      </c>
      <c r="N3816" s="274"/>
    </row>
    <row r="3817" spans="5:14" ht="13.5" customHeight="1">
      <c r="E3817" s="209" t="s">
        <v>766</v>
      </c>
      <c r="F3817" s="209" t="s">
        <v>2806</v>
      </c>
      <c r="G3817" s="416" t="str">
        <f t="shared" si="62"/>
        <v>Color Code</v>
      </c>
      <c r="H3817" s="273" t="e">
        <f ca="1">_xludf.IFNA(VLOOKUP(Aragon!E3817,'Kilter Holds'!$P$37:$AB$662,13,0),0)</f>
        <v>#NAME?</v>
      </c>
      <c r="I3817" s="274"/>
      <c r="J3817" s="274" t="e">
        <f t="shared" ca="1" si="54"/>
        <v>#NAME?</v>
      </c>
      <c r="K3817" s="274">
        <f t="shared" si="55"/>
        <v>0</v>
      </c>
      <c r="N3817" s="274"/>
    </row>
    <row r="3818" spans="5:14" ht="13.5" customHeight="1">
      <c r="E3818" s="209" t="s">
        <v>783</v>
      </c>
      <c r="F3818" s="209" t="s">
        <v>2807</v>
      </c>
      <c r="G3818" s="406" t="str">
        <f t="shared" si="62"/>
        <v>11-12</v>
      </c>
      <c r="H3818" s="273" t="e">
        <f ca="1">_xludf.IFNA(VLOOKUP(Aragon!E3818,'Kilter Holds'!$P$37:$AB$662,5,0),0)</f>
        <v>#NAME?</v>
      </c>
      <c r="I3818" s="274"/>
      <c r="J3818" s="274" t="e">
        <f t="shared" ca="1" si="54"/>
        <v>#NAME?</v>
      </c>
      <c r="K3818" s="274">
        <f t="shared" si="55"/>
        <v>0</v>
      </c>
      <c r="N3818" s="274"/>
    </row>
    <row r="3819" spans="5:14" ht="13.5" customHeight="1">
      <c r="E3819" s="209" t="s">
        <v>783</v>
      </c>
      <c r="F3819" s="209" t="s">
        <v>2807</v>
      </c>
      <c r="G3819" s="408" t="str">
        <f t="shared" si="62"/>
        <v>14-01</v>
      </c>
      <c r="H3819" s="273" t="e">
        <f ca="1">_xludf.IFNA(VLOOKUP(Aragon!E3819,'Kilter Holds'!$P$37:$AB$662,6,0),0)</f>
        <v>#NAME?</v>
      </c>
      <c r="I3819" s="274"/>
      <c r="J3819" s="274" t="e">
        <f t="shared" ca="1" si="54"/>
        <v>#NAME?</v>
      </c>
      <c r="K3819" s="274">
        <f t="shared" si="55"/>
        <v>0</v>
      </c>
      <c r="N3819" s="274"/>
    </row>
    <row r="3820" spans="5:14" ht="13.5" customHeight="1">
      <c r="E3820" s="209" t="s">
        <v>783</v>
      </c>
      <c r="F3820" s="209" t="s">
        <v>2807</v>
      </c>
      <c r="G3820" s="409" t="str">
        <f t="shared" si="62"/>
        <v>15-12</v>
      </c>
      <c r="H3820" s="273" t="e">
        <f ca="1">_xludf.IFNA(VLOOKUP(Aragon!E3820,'Kilter Holds'!$P$37:$AB$662,7,0),0)</f>
        <v>#NAME?</v>
      </c>
      <c r="I3820" s="274"/>
      <c r="J3820" s="274" t="e">
        <f t="shared" ca="1" si="54"/>
        <v>#NAME?</v>
      </c>
      <c r="K3820" s="274">
        <f t="shared" si="55"/>
        <v>0</v>
      </c>
      <c r="N3820" s="274"/>
    </row>
    <row r="3821" spans="5:14" ht="13.5" customHeight="1">
      <c r="E3821" s="209" t="s">
        <v>783</v>
      </c>
      <c r="F3821" s="209" t="s">
        <v>2807</v>
      </c>
      <c r="G3821" s="410" t="str">
        <f t="shared" si="62"/>
        <v>16-16</v>
      </c>
      <c r="H3821" s="273" t="e">
        <f ca="1">_xludf.IFNA(VLOOKUP(Aragon!E3821,'Kilter Holds'!$P$37:$AB$662,8,0),0)</f>
        <v>#NAME?</v>
      </c>
      <c r="I3821" s="274"/>
      <c r="J3821" s="274" t="e">
        <f t="shared" ca="1" si="54"/>
        <v>#NAME?</v>
      </c>
      <c r="K3821" s="274">
        <f t="shared" si="55"/>
        <v>0</v>
      </c>
      <c r="N3821" s="274"/>
    </row>
    <row r="3822" spans="5:14" ht="13.5" customHeight="1">
      <c r="E3822" s="209" t="s">
        <v>783</v>
      </c>
      <c r="F3822" s="209" t="s">
        <v>2807</v>
      </c>
      <c r="G3822" s="411" t="str">
        <f t="shared" si="62"/>
        <v>13-01</v>
      </c>
      <c r="H3822" s="273" t="e">
        <f ca="1">_xludf.IFNA(VLOOKUP(Aragon!E3822,'Kilter Holds'!$P$37:$AB$662,9,0),0)</f>
        <v>#NAME?</v>
      </c>
      <c r="I3822" s="274"/>
      <c r="J3822" s="274" t="e">
        <f t="shared" ca="1" si="54"/>
        <v>#NAME?</v>
      </c>
      <c r="K3822" s="274">
        <f t="shared" si="55"/>
        <v>0</v>
      </c>
      <c r="N3822" s="274"/>
    </row>
    <row r="3823" spans="5:14" ht="13.5" customHeight="1">
      <c r="E3823" s="209" t="s">
        <v>783</v>
      </c>
      <c r="F3823" s="209" t="s">
        <v>2807</v>
      </c>
      <c r="G3823" s="413" t="str">
        <f t="shared" si="62"/>
        <v>07-13</v>
      </c>
      <c r="H3823" s="273" t="e">
        <f ca="1">_xludf.IFNA(VLOOKUP(Aragon!E3823,'Kilter Holds'!$P$37:$AB$662,10,0),0)</f>
        <v>#NAME?</v>
      </c>
      <c r="I3823" s="274"/>
      <c r="J3823" s="274" t="e">
        <f t="shared" ca="1" si="54"/>
        <v>#NAME?</v>
      </c>
      <c r="K3823" s="274">
        <f t="shared" si="55"/>
        <v>0</v>
      </c>
      <c r="N3823" s="274"/>
    </row>
    <row r="3824" spans="5:14" ht="13.5" customHeight="1">
      <c r="E3824" s="209" t="s">
        <v>783</v>
      </c>
      <c r="F3824" s="209" t="s">
        <v>2807</v>
      </c>
      <c r="G3824" s="414" t="str">
        <f t="shared" si="62"/>
        <v>11-26</v>
      </c>
      <c r="H3824" s="273" t="e">
        <f ca="1">_xludf.IFNA(VLOOKUP(Aragon!E3824,'Kilter Holds'!$P$37:$AB$662,11,0),0)</f>
        <v>#NAME?</v>
      </c>
      <c r="I3824" s="274"/>
      <c r="J3824" s="274" t="e">
        <f t="shared" ca="1" si="54"/>
        <v>#NAME?</v>
      </c>
      <c r="K3824" s="274">
        <f t="shared" si="55"/>
        <v>0</v>
      </c>
      <c r="N3824" s="274"/>
    </row>
    <row r="3825" spans="5:14" ht="13.5" customHeight="1">
      <c r="E3825" s="209" t="s">
        <v>783</v>
      </c>
      <c r="F3825" s="209" t="s">
        <v>2807</v>
      </c>
      <c r="G3825" s="415" t="str">
        <f t="shared" si="62"/>
        <v>18-01</v>
      </c>
      <c r="H3825" s="273" t="e">
        <f ca="1">_xludf.IFNA(VLOOKUP(Aragon!E3825,'Kilter Holds'!$P$37:$AB$662,12,0),0)</f>
        <v>#NAME?</v>
      </c>
      <c r="I3825" s="274"/>
      <c r="J3825" s="274" t="e">
        <f t="shared" ca="1" si="54"/>
        <v>#NAME?</v>
      </c>
      <c r="K3825" s="274">
        <f t="shared" si="55"/>
        <v>0</v>
      </c>
      <c r="N3825" s="274"/>
    </row>
    <row r="3826" spans="5:14" ht="13.5" customHeight="1">
      <c r="E3826" s="209" t="s">
        <v>783</v>
      </c>
      <c r="F3826" s="209" t="s">
        <v>2807</v>
      </c>
      <c r="G3826" s="416" t="str">
        <f t="shared" si="62"/>
        <v>Color Code</v>
      </c>
      <c r="H3826" s="273" t="e">
        <f ca="1">_xludf.IFNA(VLOOKUP(Aragon!E3826,'Kilter Holds'!$P$37:$AB$662,13,0),0)</f>
        <v>#NAME?</v>
      </c>
      <c r="I3826" s="274"/>
      <c r="J3826" s="274" t="e">
        <f t="shared" ca="1" si="54"/>
        <v>#NAME?</v>
      </c>
      <c r="K3826" s="274">
        <f t="shared" si="55"/>
        <v>0</v>
      </c>
      <c r="N3826" s="274"/>
    </row>
    <row r="3827" spans="5:14" ht="13.5" customHeight="1">
      <c r="E3827" s="209" t="s">
        <v>777</v>
      </c>
      <c r="F3827" s="209" t="s">
        <v>2808</v>
      </c>
      <c r="G3827" s="406" t="str">
        <f t="shared" si="62"/>
        <v>11-12</v>
      </c>
      <c r="H3827" s="273" t="e">
        <f ca="1">_xludf.IFNA(VLOOKUP(Aragon!E3827,'Kilter Holds'!$P$37:$AB$662,5,0),0)</f>
        <v>#NAME?</v>
      </c>
      <c r="I3827" s="274"/>
      <c r="J3827" s="274" t="e">
        <f t="shared" ref="J3827:J4081" ca="1" si="63">H3827*I3827</f>
        <v>#NAME?</v>
      </c>
      <c r="K3827" s="274">
        <f t="shared" ref="K3827:K4081" si="64">IF($V$11="Y",J3827*0.05,0)</f>
        <v>0</v>
      </c>
      <c r="N3827" s="274"/>
    </row>
    <row r="3828" spans="5:14" ht="13.5" customHeight="1">
      <c r="E3828" s="209" t="s">
        <v>777</v>
      </c>
      <c r="F3828" s="209" t="s">
        <v>2808</v>
      </c>
      <c r="G3828" s="408" t="str">
        <f t="shared" si="62"/>
        <v>14-01</v>
      </c>
      <c r="H3828" s="273" t="e">
        <f ca="1">_xludf.IFNA(VLOOKUP(Aragon!E3828,'Kilter Holds'!$P$37:$AB$662,6,0),0)</f>
        <v>#NAME?</v>
      </c>
      <c r="I3828" s="274"/>
      <c r="J3828" s="274" t="e">
        <f t="shared" ca="1" si="63"/>
        <v>#NAME?</v>
      </c>
      <c r="K3828" s="274">
        <f t="shared" si="64"/>
        <v>0</v>
      </c>
      <c r="N3828" s="274"/>
    </row>
    <row r="3829" spans="5:14" ht="13.5" customHeight="1">
      <c r="E3829" s="209" t="s">
        <v>777</v>
      </c>
      <c r="F3829" s="209" t="s">
        <v>2808</v>
      </c>
      <c r="G3829" s="409" t="str">
        <f t="shared" si="62"/>
        <v>15-12</v>
      </c>
      <c r="H3829" s="273" t="e">
        <f ca="1">_xludf.IFNA(VLOOKUP(Aragon!E3829,'Kilter Holds'!$P$37:$AB$662,7,0),0)</f>
        <v>#NAME?</v>
      </c>
      <c r="I3829" s="274"/>
      <c r="J3829" s="274" t="e">
        <f t="shared" ca="1" si="63"/>
        <v>#NAME?</v>
      </c>
      <c r="K3829" s="274">
        <f t="shared" si="64"/>
        <v>0</v>
      </c>
      <c r="N3829" s="274"/>
    </row>
    <row r="3830" spans="5:14" ht="13.5" customHeight="1">
      <c r="E3830" s="209" t="s">
        <v>777</v>
      </c>
      <c r="F3830" s="209" t="s">
        <v>2808</v>
      </c>
      <c r="G3830" s="410" t="str">
        <f t="shared" si="62"/>
        <v>16-16</v>
      </c>
      <c r="H3830" s="273" t="e">
        <f ca="1">_xludf.IFNA(VLOOKUP(Aragon!E3830,'Kilter Holds'!$P$37:$AB$662,8,0),0)</f>
        <v>#NAME?</v>
      </c>
      <c r="I3830" s="274"/>
      <c r="J3830" s="274" t="e">
        <f t="shared" ca="1" si="63"/>
        <v>#NAME?</v>
      </c>
      <c r="K3830" s="274">
        <f t="shared" si="64"/>
        <v>0</v>
      </c>
      <c r="N3830" s="274"/>
    </row>
    <row r="3831" spans="5:14" ht="13.5" customHeight="1">
      <c r="E3831" s="209" t="s">
        <v>777</v>
      </c>
      <c r="F3831" s="209" t="s">
        <v>2808</v>
      </c>
      <c r="G3831" s="411" t="str">
        <f t="shared" si="62"/>
        <v>13-01</v>
      </c>
      <c r="H3831" s="273" t="e">
        <f ca="1">_xludf.IFNA(VLOOKUP(Aragon!E3831,'Kilter Holds'!$P$37:$AB$662,9,0),0)</f>
        <v>#NAME?</v>
      </c>
      <c r="I3831" s="274"/>
      <c r="J3831" s="274" t="e">
        <f t="shared" ca="1" si="63"/>
        <v>#NAME?</v>
      </c>
      <c r="K3831" s="274">
        <f t="shared" si="64"/>
        <v>0</v>
      </c>
      <c r="N3831" s="274"/>
    </row>
    <row r="3832" spans="5:14" ht="13.5" customHeight="1">
      <c r="E3832" s="209" t="s">
        <v>777</v>
      </c>
      <c r="F3832" s="209" t="s">
        <v>2808</v>
      </c>
      <c r="G3832" s="413" t="str">
        <f t="shared" si="62"/>
        <v>07-13</v>
      </c>
      <c r="H3832" s="273" t="e">
        <f ca="1">_xludf.IFNA(VLOOKUP(Aragon!E3832,'Kilter Holds'!$P$37:$AB$662,10,0),0)</f>
        <v>#NAME?</v>
      </c>
      <c r="I3832" s="274"/>
      <c r="J3832" s="274" t="e">
        <f t="shared" ca="1" si="63"/>
        <v>#NAME?</v>
      </c>
      <c r="K3832" s="274">
        <f t="shared" si="64"/>
        <v>0</v>
      </c>
      <c r="N3832" s="274"/>
    </row>
    <row r="3833" spans="5:14" ht="13.5" customHeight="1">
      <c r="E3833" s="209" t="s">
        <v>777</v>
      </c>
      <c r="F3833" s="209" t="s">
        <v>2808</v>
      </c>
      <c r="G3833" s="414" t="str">
        <f t="shared" si="62"/>
        <v>11-26</v>
      </c>
      <c r="H3833" s="273" t="e">
        <f ca="1">_xludf.IFNA(VLOOKUP(Aragon!E3833,'Kilter Holds'!$P$37:$AB$662,11,0),0)</f>
        <v>#NAME?</v>
      </c>
      <c r="I3833" s="274"/>
      <c r="J3833" s="274" t="e">
        <f t="shared" ca="1" si="63"/>
        <v>#NAME?</v>
      </c>
      <c r="K3833" s="274">
        <f t="shared" si="64"/>
        <v>0</v>
      </c>
      <c r="N3833" s="274"/>
    </row>
    <row r="3834" spans="5:14" ht="13.5" customHeight="1">
      <c r="E3834" s="209" t="s">
        <v>777</v>
      </c>
      <c r="F3834" s="209" t="s">
        <v>2808</v>
      </c>
      <c r="G3834" s="415" t="str">
        <f t="shared" si="62"/>
        <v>18-01</v>
      </c>
      <c r="H3834" s="273" t="e">
        <f ca="1">_xludf.IFNA(VLOOKUP(Aragon!E3834,'Kilter Holds'!$P$37:$AB$662,12,0),0)</f>
        <v>#NAME?</v>
      </c>
      <c r="I3834" s="274"/>
      <c r="J3834" s="274" t="e">
        <f t="shared" ca="1" si="63"/>
        <v>#NAME?</v>
      </c>
      <c r="K3834" s="274">
        <f t="shared" si="64"/>
        <v>0</v>
      </c>
      <c r="N3834" s="274"/>
    </row>
    <row r="3835" spans="5:14" ht="13.5" customHeight="1">
      <c r="E3835" s="209" t="s">
        <v>777</v>
      </c>
      <c r="F3835" s="209" t="s">
        <v>2808</v>
      </c>
      <c r="G3835" s="416" t="str">
        <f t="shared" si="62"/>
        <v>Color Code</v>
      </c>
      <c r="H3835" s="273" t="e">
        <f ca="1">_xludf.IFNA(VLOOKUP(Aragon!E3835,'Kilter Holds'!$P$37:$AB$662,13,0),0)</f>
        <v>#NAME?</v>
      </c>
      <c r="I3835" s="274"/>
      <c r="J3835" s="274" t="e">
        <f t="shared" ca="1" si="63"/>
        <v>#NAME?</v>
      </c>
      <c r="K3835" s="274">
        <f t="shared" si="64"/>
        <v>0</v>
      </c>
      <c r="N3835" s="274"/>
    </row>
    <row r="3836" spans="5:14" ht="13.5" customHeight="1">
      <c r="E3836" s="209" t="s">
        <v>779</v>
      </c>
      <c r="F3836" s="209" t="s">
        <v>2809</v>
      </c>
      <c r="G3836" s="406" t="str">
        <f t="shared" si="62"/>
        <v>11-12</v>
      </c>
      <c r="H3836" s="273" t="e">
        <f ca="1">_xludf.IFNA(VLOOKUP(Aragon!E3836,'Kilter Holds'!$P$37:$AB$662,5,0),0)</f>
        <v>#NAME?</v>
      </c>
      <c r="I3836" s="274"/>
      <c r="J3836" s="274" t="e">
        <f t="shared" ca="1" si="63"/>
        <v>#NAME?</v>
      </c>
      <c r="K3836" s="274">
        <f t="shared" si="64"/>
        <v>0</v>
      </c>
      <c r="N3836" s="274"/>
    </row>
    <row r="3837" spans="5:14" ht="13.5" customHeight="1">
      <c r="E3837" s="209" t="s">
        <v>779</v>
      </c>
      <c r="F3837" s="209" t="s">
        <v>2809</v>
      </c>
      <c r="G3837" s="408" t="str">
        <f t="shared" si="62"/>
        <v>14-01</v>
      </c>
      <c r="H3837" s="273" t="e">
        <f ca="1">_xludf.IFNA(VLOOKUP(Aragon!E3837,'Kilter Holds'!$P$37:$AB$662,6,0),0)</f>
        <v>#NAME?</v>
      </c>
      <c r="I3837" s="274"/>
      <c r="J3837" s="274" t="e">
        <f t="shared" ca="1" si="63"/>
        <v>#NAME?</v>
      </c>
      <c r="K3837" s="274">
        <f t="shared" si="64"/>
        <v>0</v>
      </c>
      <c r="N3837" s="274"/>
    </row>
    <row r="3838" spans="5:14" ht="13.5" customHeight="1">
      <c r="E3838" s="209" t="s">
        <v>779</v>
      </c>
      <c r="F3838" s="209" t="s">
        <v>2809</v>
      </c>
      <c r="G3838" s="409" t="str">
        <f t="shared" si="62"/>
        <v>15-12</v>
      </c>
      <c r="H3838" s="273" t="e">
        <f ca="1">_xludf.IFNA(VLOOKUP(Aragon!E3838,'Kilter Holds'!$P$37:$AB$662,7,0),0)</f>
        <v>#NAME?</v>
      </c>
      <c r="I3838" s="274"/>
      <c r="J3838" s="274" t="e">
        <f t="shared" ca="1" si="63"/>
        <v>#NAME?</v>
      </c>
      <c r="K3838" s="274">
        <f t="shared" si="64"/>
        <v>0</v>
      </c>
      <c r="N3838" s="274"/>
    </row>
    <row r="3839" spans="5:14" ht="13.5" customHeight="1">
      <c r="E3839" s="209" t="s">
        <v>779</v>
      </c>
      <c r="F3839" s="209" t="s">
        <v>2809</v>
      </c>
      <c r="G3839" s="410" t="str">
        <f t="shared" si="62"/>
        <v>16-16</v>
      </c>
      <c r="H3839" s="273" t="e">
        <f ca="1">_xludf.IFNA(VLOOKUP(Aragon!E3839,'Kilter Holds'!$P$37:$AB$662,8,0),0)</f>
        <v>#NAME?</v>
      </c>
      <c r="I3839" s="274"/>
      <c r="J3839" s="274" t="e">
        <f t="shared" ca="1" si="63"/>
        <v>#NAME?</v>
      </c>
      <c r="K3839" s="274">
        <f t="shared" si="64"/>
        <v>0</v>
      </c>
      <c r="N3839" s="274"/>
    </row>
    <row r="3840" spans="5:14" ht="13.5" customHeight="1">
      <c r="E3840" s="209" t="s">
        <v>779</v>
      </c>
      <c r="F3840" s="209" t="s">
        <v>2809</v>
      </c>
      <c r="G3840" s="411" t="str">
        <f t="shared" si="62"/>
        <v>13-01</v>
      </c>
      <c r="H3840" s="273" t="e">
        <f ca="1">_xludf.IFNA(VLOOKUP(Aragon!E3840,'Kilter Holds'!$P$37:$AB$662,9,0),0)</f>
        <v>#NAME?</v>
      </c>
      <c r="I3840" s="274"/>
      <c r="J3840" s="274" t="e">
        <f t="shared" ca="1" si="63"/>
        <v>#NAME?</v>
      </c>
      <c r="K3840" s="274">
        <f t="shared" si="64"/>
        <v>0</v>
      </c>
      <c r="N3840" s="274"/>
    </row>
    <row r="3841" spans="5:14" ht="13.5" customHeight="1">
      <c r="E3841" s="209" t="s">
        <v>779</v>
      </c>
      <c r="F3841" s="209" t="s">
        <v>2809</v>
      </c>
      <c r="G3841" s="413" t="str">
        <f t="shared" si="62"/>
        <v>07-13</v>
      </c>
      <c r="H3841" s="273" t="e">
        <f ca="1">_xludf.IFNA(VLOOKUP(Aragon!E3841,'Kilter Holds'!$P$37:$AB$662,10,0),0)</f>
        <v>#NAME?</v>
      </c>
      <c r="I3841" s="274"/>
      <c r="J3841" s="274" t="e">
        <f t="shared" ca="1" si="63"/>
        <v>#NAME?</v>
      </c>
      <c r="K3841" s="274">
        <f t="shared" si="64"/>
        <v>0</v>
      </c>
      <c r="N3841" s="274"/>
    </row>
    <row r="3842" spans="5:14" ht="13.5" customHeight="1">
      <c r="E3842" s="209" t="s">
        <v>779</v>
      </c>
      <c r="F3842" s="209" t="s">
        <v>2809</v>
      </c>
      <c r="G3842" s="414" t="str">
        <f t="shared" si="62"/>
        <v>11-26</v>
      </c>
      <c r="H3842" s="273" t="e">
        <f ca="1">_xludf.IFNA(VLOOKUP(Aragon!E3842,'Kilter Holds'!$P$37:$AB$662,11,0),0)</f>
        <v>#NAME?</v>
      </c>
      <c r="I3842" s="274"/>
      <c r="J3842" s="274" t="e">
        <f t="shared" ca="1" si="63"/>
        <v>#NAME?</v>
      </c>
      <c r="K3842" s="274">
        <f t="shared" si="64"/>
        <v>0</v>
      </c>
      <c r="N3842" s="274"/>
    </row>
    <row r="3843" spans="5:14" ht="13.5" customHeight="1">
      <c r="E3843" s="209" t="s">
        <v>779</v>
      </c>
      <c r="F3843" s="209" t="s">
        <v>2809</v>
      </c>
      <c r="G3843" s="415" t="str">
        <f t="shared" si="62"/>
        <v>18-01</v>
      </c>
      <c r="H3843" s="273" t="e">
        <f ca="1">_xludf.IFNA(VLOOKUP(Aragon!E3843,'Kilter Holds'!$P$37:$AB$662,12,0),0)</f>
        <v>#NAME?</v>
      </c>
      <c r="I3843" s="274"/>
      <c r="J3843" s="274" t="e">
        <f t="shared" ca="1" si="63"/>
        <v>#NAME?</v>
      </c>
      <c r="K3843" s="274">
        <f t="shared" si="64"/>
        <v>0</v>
      </c>
      <c r="N3843" s="274"/>
    </row>
    <row r="3844" spans="5:14" ht="13.5" customHeight="1">
      <c r="E3844" s="209" t="s">
        <v>779</v>
      </c>
      <c r="F3844" s="209" t="s">
        <v>2809</v>
      </c>
      <c r="G3844" s="416" t="str">
        <f t="shared" si="62"/>
        <v>Color Code</v>
      </c>
      <c r="H3844" s="273" t="e">
        <f ca="1">_xludf.IFNA(VLOOKUP(Aragon!E3844,'Kilter Holds'!$P$37:$AB$662,13,0),0)</f>
        <v>#NAME?</v>
      </c>
      <c r="I3844" s="274"/>
      <c r="J3844" s="274" t="e">
        <f t="shared" ca="1" si="63"/>
        <v>#NAME?</v>
      </c>
      <c r="K3844" s="274">
        <f t="shared" si="64"/>
        <v>0</v>
      </c>
      <c r="N3844" s="274"/>
    </row>
    <row r="3845" spans="5:14" ht="13.5" customHeight="1">
      <c r="E3845" s="209" t="s">
        <v>795</v>
      </c>
      <c r="F3845" s="209" t="s">
        <v>2810</v>
      </c>
      <c r="G3845" s="406" t="str">
        <f t="shared" si="62"/>
        <v>11-12</v>
      </c>
      <c r="H3845" s="273" t="e">
        <f ca="1">_xludf.IFNA(VLOOKUP(Aragon!E3845,'Kilter Holds'!$P$37:$AB$662,5,0),0)</f>
        <v>#NAME?</v>
      </c>
      <c r="I3845" s="274"/>
      <c r="J3845" s="274" t="e">
        <f t="shared" ca="1" si="63"/>
        <v>#NAME?</v>
      </c>
      <c r="K3845" s="274">
        <f t="shared" si="64"/>
        <v>0</v>
      </c>
      <c r="N3845" s="274"/>
    </row>
    <row r="3846" spans="5:14" ht="13.5" customHeight="1">
      <c r="E3846" s="209" t="s">
        <v>795</v>
      </c>
      <c r="F3846" s="209" t="s">
        <v>2810</v>
      </c>
      <c r="G3846" s="408" t="str">
        <f t="shared" si="62"/>
        <v>14-01</v>
      </c>
      <c r="H3846" s="273" t="e">
        <f ca="1">_xludf.IFNA(VLOOKUP(Aragon!E3846,'Kilter Holds'!$P$37:$AB$662,6,0),0)</f>
        <v>#NAME?</v>
      </c>
      <c r="I3846" s="274"/>
      <c r="J3846" s="274" t="e">
        <f t="shared" ca="1" si="63"/>
        <v>#NAME?</v>
      </c>
      <c r="K3846" s="274">
        <f t="shared" si="64"/>
        <v>0</v>
      </c>
      <c r="N3846" s="274"/>
    </row>
    <row r="3847" spans="5:14" ht="13.5" customHeight="1">
      <c r="E3847" s="209" t="s">
        <v>795</v>
      </c>
      <c r="F3847" s="209" t="s">
        <v>2810</v>
      </c>
      <c r="G3847" s="409" t="str">
        <f t="shared" si="62"/>
        <v>15-12</v>
      </c>
      <c r="H3847" s="273" t="e">
        <f ca="1">_xludf.IFNA(VLOOKUP(Aragon!E3847,'Kilter Holds'!$P$37:$AB$662,7,0),0)</f>
        <v>#NAME?</v>
      </c>
      <c r="I3847" s="274"/>
      <c r="J3847" s="274" t="e">
        <f t="shared" ca="1" si="63"/>
        <v>#NAME?</v>
      </c>
      <c r="K3847" s="274">
        <f t="shared" si="64"/>
        <v>0</v>
      </c>
      <c r="N3847" s="274"/>
    </row>
    <row r="3848" spans="5:14" ht="13.5" customHeight="1">
      <c r="E3848" s="209" t="s">
        <v>795</v>
      </c>
      <c r="F3848" s="209" t="s">
        <v>2810</v>
      </c>
      <c r="G3848" s="410" t="str">
        <f t="shared" si="62"/>
        <v>16-16</v>
      </c>
      <c r="H3848" s="273" t="e">
        <f ca="1">_xludf.IFNA(VLOOKUP(Aragon!E3848,'Kilter Holds'!$P$37:$AB$662,8,0),0)</f>
        <v>#NAME?</v>
      </c>
      <c r="I3848" s="274"/>
      <c r="J3848" s="274" t="e">
        <f t="shared" ca="1" si="63"/>
        <v>#NAME?</v>
      </c>
      <c r="K3848" s="274">
        <f t="shared" si="64"/>
        <v>0</v>
      </c>
      <c r="N3848" s="274"/>
    </row>
    <row r="3849" spans="5:14" ht="13.5" customHeight="1">
      <c r="E3849" s="209" t="s">
        <v>795</v>
      </c>
      <c r="F3849" s="209" t="s">
        <v>2810</v>
      </c>
      <c r="G3849" s="411" t="str">
        <f t="shared" si="62"/>
        <v>13-01</v>
      </c>
      <c r="H3849" s="273" t="e">
        <f ca="1">_xludf.IFNA(VLOOKUP(Aragon!E3849,'Kilter Holds'!$P$37:$AB$662,9,0),0)</f>
        <v>#NAME?</v>
      </c>
      <c r="I3849" s="274"/>
      <c r="J3849" s="274" t="e">
        <f t="shared" ca="1" si="63"/>
        <v>#NAME?</v>
      </c>
      <c r="K3849" s="274">
        <f t="shared" si="64"/>
        <v>0</v>
      </c>
      <c r="N3849" s="274"/>
    </row>
    <row r="3850" spans="5:14" ht="13.5" customHeight="1">
      <c r="E3850" s="209" t="s">
        <v>795</v>
      </c>
      <c r="F3850" s="209" t="s">
        <v>2810</v>
      </c>
      <c r="G3850" s="413" t="str">
        <f t="shared" si="62"/>
        <v>07-13</v>
      </c>
      <c r="H3850" s="273" t="e">
        <f ca="1">_xludf.IFNA(VLOOKUP(Aragon!E3850,'Kilter Holds'!$P$37:$AB$662,10,0),0)</f>
        <v>#NAME?</v>
      </c>
      <c r="I3850" s="274"/>
      <c r="J3850" s="274" t="e">
        <f t="shared" ca="1" si="63"/>
        <v>#NAME?</v>
      </c>
      <c r="K3850" s="274">
        <f t="shared" si="64"/>
        <v>0</v>
      </c>
      <c r="N3850" s="274"/>
    </row>
    <row r="3851" spans="5:14" ht="13.5" customHeight="1">
      <c r="E3851" s="209" t="s">
        <v>795</v>
      </c>
      <c r="F3851" s="209" t="s">
        <v>2810</v>
      </c>
      <c r="G3851" s="414" t="str">
        <f t="shared" si="62"/>
        <v>11-26</v>
      </c>
      <c r="H3851" s="273" t="e">
        <f ca="1">_xludf.IFNA(VLOOKUP(Aragon!E3851,'Kilter Holds'!$P$37:$AB$662,11,0),0)</f>
        <v>#NAME?</v>
      </c>
      <c r="I3851" s="274"/>
      <c r="J3851" s="274" t="e">
        <f t="shared" ca="1" si="63"/>
        <v>#NAME?</v>
      </c>
      <c r="K3851" s="274">
        <f t="shared" si="64"/>
        <v>0</v>
      </c>
      <c r="N3851" s="274"/>
    </row>
    <row r="3852" spans="5:14" ht="13.5" customHeight="1">
      <c r="E3852" s="209" t="s">
        <v>795</v>
      </c>
      <c r="F3852" s="209" t="s">
        <v>2810</v>
      </c>
      <c r="G3852" s="415" t="str">
        <f t="shared" si="62"/>
        <v>18-01</v>
      </c>
      <c r="H3852" s="273" t="e">
        <f ca="1">_xludf.IFNA(VLOOKUP(Aragon!E3852,'Kilter Holds'!$P$37:$AB$662,12,0),0)</f>
        <v>#NAME?</v>
      </c>
      <c r="I3852" s="274"/>
      <c r="J3852" s="274" t="e">
        <f t="shared" ca="1" si="63"/>
        <v>#NAME?</v>
      </c>
      <c r="K3852" s="274">
        <f t="shared" si="64"/>
        <v>0</v>
      </c>
      <c r="N3852" s="274"/>
    </row>
    <row r="3853" spans="5:14" ht="13.5" customHeight="1">
      <c r="E3853" s="209" t="s">
        <v>795</v>
      </c>
      <c r="F3853" s="209" t="s">
        <v>2810</v>
      </c>
      <c r="G3853" s="416" t="str">
        <f t="shared" si="62"/>
        <v>Color Code</v>
      </c>
      <c r="H3853" s="273" t="e">
        <f ca="1">_xludf.IFNA(VLOOKUP(Aragon!E3853,'Kilter Holds'!$P$37:$AB$662,13,0),0)</f>
        <v>#NAME?</v>
      </c>
      <c r="I3853" s="274"/>
      <c r="J3853" s="274" t="e">
        <f t="shared" ca="1" si="63"/>
        <v>#NAME?</v>
      </c>
      <c r="K3853" s="274">
        <f t="shared" si="64"/>
        <v>0</v>
      </c>
      <c r="N3853" s="274"/>
    </row>
    <row r="3854" spans="5:14" ht="13.5" customHeight="1">
      <c r="E3854" s="209" t="s">
        <v>797</v>
      </c>
      <c r="F3854" s="209" t="s">
        <v>2811</v>
      </c>
      <c r="G3854" s="406" t="str">
        <f t="shared" si="62"/>
        <v>11-12</v>
      </c>
      <c r="H3854" s="273" t="e">
        <f ca="1">_xludf.IFNA(VLOOKUP(Aragon!E3854,'Kilter Holds'!$P$37:$AB$662,5,0),0)</f>
        <v>#NAME?</v>
      </c>
      <c r="I3854" s="274"/>
      <c r="J3854" s="274" t="e">
        <f t="shared" ca="1" si="63"/>
        <v>#NAME?</v>
      </c>
      <c r="K3854" s="274">
        <f t="shared" si="64"/>
        <v>0</v>
      </c>
      <c r="N3854" s="274"/>
    </row>
    <row r="3855" spans="5:14" ht="13.5" customHeight="1">
      <c r="E3855" s="209" t="s">
        <v>797</v>
      </c>
      <c r="F3855" s="209" t="s">
        <v>2811</v>
      </c>
      <c r="G3855" s="408" t="str">
        <f t="shared" si="62"/>
        <v>14-01</v>
      </c>
      <c r="H3855" s="273" t="e">
        <f ca="1">_xludf.IFNA(VLOOKUP(Aragon!E3855,'Kilter Holds'!$P$37:$AB$662,6,0),0)</f>
        <v>#NAME?</v>
      </c>
      <c r="I3855" s="274"/>
      <c r="J3855" s="274" t="e">
        <f t="shared" ca="1" si="63"/>
        <v>#NAME?</v>
      </c>
      <c r="K3855" s="274">
        <f t="shared" si="64"/>
        <v>0</v>
      </c>
      <c r="N3855" s="274"/>
    </row>
    <row r="3856" spans="5:14" ht="13.5" customHeight="1">
      <c r="E3856" s="209" t="s">
        <v>797</v>
      </c>
      <c r="F3856" s="209" t="s">
        <v>2811</v>
      </c>
      <c r="G3856" s="409" t="str">
        <f t="shared" si="62"/>
        <v>15-12</v>
      </c>
      <c r="H3856" s="273" t="e">
        <f ca="1">_xludf.IFNA(VLOOKUP(Aragon!E3856,'Kilter Holds'!$P$37:$AB$662,7,0),0)</f>
        <v>#NAME?</v>
      </c>
      <c r="I3856" s="274"/>
      <c r="J3856" s="274" t="e">
        <f t="shared" ca="1" si="63"/>
        <v>#NAME?</v>
      </c>
      <c r="K3856" s="274">
        <f t="shared" si="64"/>
        <v>0</v>
      </c>
      <c r="N3856" s="274"/>
    </row>
    <row r="3857" spans="5:14" ht="13.5" customHeight="1">
      <c r="E3857" s="209" t="s">
        <v>797</v>
      </c>
      <c r="F3857" s="209" t="s">
        <v>2811</v>
      </c>
      <c r="G3857" s="410" t="str">
        <f t="shared" si="62"/>
        <v>16-16</v>
      </c>
      <c r="H3857" s="273" t="e">
        <f ca="1">_xludf.IFNA(VLOOKUP(Aragon!E3857,'Kilter Holds'!$P$37:$AB$662,8,0),0)</f>
        <v>#NAME?</v>
      </c>
      <c r="I3857" s="274"/>
      <c r="J3857" s="274" t="e">
        <f t="shared" ca="1" si="63"/>
        <v>#NAME?</v>
      </c>
      <c r="K3857" s="274">
        <f t="shared" si="64"/>
        <v>0</v>
      </c>
      <c r="N3857" s="274"/>
    </row>
    <row r="3858" spans="5:14" ht="13.5" customHeight="1">
      <c r="E3858" s="209" t="s">
        <v>797</v>
      </c>
      <c r="F3858" s="209" t="s">
        <v>2811</v>
      </c>
      <c r="G3858" s="411" t="str">
        <f t="shared" si="62"/>
        <v>13-01</v>
      </c>
      <c r="H3858" s="273" t="e">
        <f ca="1">_xludf.IFNA(VLOOKUP(Aragon!E3858,'Kilter Holds'!$P$37:$AB$662,9,0),0)</f>
        <v>#NAME?</v>
      </c>
      <c r="I3858" s="274"/>
      <c r="J3858" s="274" t="e">
        <f t="shared" ca="1" si="63"/>
        <v>#NAME?</v>
      </c>
      <c r="K3858" s="274">
        <f t="shared" si="64"/>
        <v>0</v>
      </c>
      <c r="N3858" s="274"/>
    </row>
    <row r="3859" spans="5:14" ht="13.5" customHeight="1">
      <c r="E3859" s="209" t="s">
        <v>797</v>
      </c>
      <c r="F3859" s="209" t="s">
        <v>2811</v>
      </c>
      <c r="G3859" s="413" t="str">
        <f t="shared" si="62"/>
        <v>07-13</v>
      </c>
      <c r="H3859" s="273" t="e">
        <f ca="1">_xludf.IFNA(VLOOKUP(Aragon!E3859,'Kilter Holds'!$P$37:$AB$662,10,0),0)</f>
        <v>#NAME?</v>
      </c>
      <c r="I3859" s="274"/>
      <c r="J3859" s="274" t="e">
        <f t="shared" ca="1" si="63"/>
        <v>#NAME?</v>
      </c>
      <c r="K3859" s="274">
        <f t="shared" si="64"/>
        <v>0</v>
      </c>
      <c r="N3859" s="274"/>
    </row>
    <row r="3860" spans="5:14" ht="13.5" customHeight="1">
      <c r="E3860" s="209" t="s">
        <v>797</v>
      </c>
      <c r="F3860" s="209" t="s">
        <v>2811</v>
      </c>
      <c r="G3860" s="414" t="str">
        <f t="shared" si="62"/>
        <v>11-26</v>
      </c>
      <c r="H3860" s="273" t="e">
        <f ca="1">_xludf.IFNA(VLOOKUP(Aragon!E3860,'Kilter Holds'!$P$37:$AB$662,11,0),0)</f>
        <v>#NAME?</v>
      </c>
      <c r="I3860" s="274"/>
      <c r="J3860" s="274" t="e">
        <f t="shared" ca="1" si="63"/>
        <v>#NAME?</v>
      </c>
      <c r="K3860" s="274">
        <f t="shared" si="64"/>
        <v>0</v>
      </c>
      <c r="N3860" s="274"/>
    </row>
    <row r="3861" spans="5:14" ht="13.5" customHeight="1">
      <c r="E3861" s="209" t="s">
        <v>797</v>
      </c>
      <c r="F3861" s="209" t="s">
        <v>2811</v>
      </c>
      <c r="G3861" s="415" t="str">
        <f t="shared" si="62"/>
        <v>18-01</v>
      </c>
      <c r="H3861" s="273" t="e">
        <f ca="1">_xludf.IFNA(VLOOKUP(Aragon!E3861,'Kilter Holds'!$P$37:$AB$662,12,0),0)</f>
        <v>#NAME?</v>
      </c>
      <c r="I3861" s="274"/>
      <c r="J3861" s="274" t="e">
        <f t="shared" ca="1" si="63"/>
        <v>#NAME?</v>
      </c>
      <c r="K3861" s="274">
        <f t="shared" si="64"/>
        <v>0</v>
      </c>
      <c r="N3861" s="274"/>
    </row>
    <row r="3862" spans="5:14" ht="13.5" customHeight="1">
      <c r="E3862" s="209" t="s">
        <v>797</v>
      </c>
      <c r="F3862" s="209" t="s">
        <v>2811</v>
      </c>
      <c r="G3862" s="416" t="str">
        <f t="shared" si="62"/>
        <v>Color Code</v>
      </c>
      <c r="H3862" s="273" t="e">
        <f ca="1">_xludf.IFNA(VLOOKUP(Aragon!E3862,'Kilter Holds'!$P$37:$AB$662,13,0),0)</f>
        <v>#NAME?</v>
      </c>
      <c r="I3862" s="274"/>
      <c r="J3862" s="274" t="e">
        <f t="shared" ca="1" si="63"/>
        <v>#NAME?</v>
      </c>
      <c r="K3862" s="274">
        <f t="shared" si="64"/>
        <v>0</v>
      </c>
      <c r="N3862" s="274"/>
    </row>
    <row r="3863" spans="5:14" ht="13.5" customHeight="1">
      <c r="E3863" s="209" t="s">
        <v>785</v>
      </c>
      <c r="F3863" s="209" t="s">
        <v>2812</v>
      </c>
      <c r="G3863" s="406" t="str">
        <f t="shared" si="62"/>
        <v>11-12</v>
      </c>
      <c r="H3863" s="273" t="e">
        <f ca="1">_xludf.IFNA(VLOOKUP(Aragon!E3863,'Kilter Holds'!$P$37:$AB$662,5,0),0)</f>
        <v>#NAME?</v>
      </c>
      <c r="I3863" s="274"/>
      <c r="J3863" s="274" t="e">
        <f t="shared" ca="1" si="63"/>
        <v>#NAME?</v>
      </c>
      <c r="K3863" s="274">
        <f t="shared" si="64"/>
        <v>0</v>
      </c>
      <c r="N3863" s="274"/>
    </row>
    <row r="3864" spans="5:14" ht="13.5" customHeight="1">
      <c r="E3864" s="209" t="s">
        <v>785</v>
      </c>
      <c r="F3864" s="209" t="s">
        <v>2812</v>
      </c>
      <c r="G3864" s="408" t="str">
        <f t="shared" si="62"/>
        <v>14-01</v>
      </c>
      <c r="H3864" s="273" t="e">
        <f ca="1">_xludf.IFNA(VLOOKUP(Aragon!E3864,'Kilter Holds'!$P$37:$AB$662,6,0),0)</f>
        <v>#NAME?</v>
      </c>
      <c r="I3864" s="274"/>
      <c r="J3864" s="274" t="e">
        <f t="shared" ca="1" si="63"/>
        <v>#NAME?</v>
      </c>
      <c r="K3864" s="274">
        <f t="shared" si="64"/>
        <v>0</v>
      </c>
      <c r="N3864" s="274"/>
    </row>
    <row r="3865" spans="5:14" ht="13.5" customHeight="1">
      <c r="E3865" s="209" t="s">
        <v>785</v>
      </c>
      <c r="F3865" s="209" t="s">
        <v>2812</v>
      </c>
      <c r="G3865" s="409" t="str">
        <f t="shared" si="62"/>
        <v>15-12</v>
      </c>
      <c r="H3865" s="273" t="e">
        <f ca="1">_xludf.IFNA(VLOOKUP(Aragon!E3865,'Kilter Holds'!$P$37:$AB$662,7,0),0)</f>
        <v>#NAME?</v>
      </c>
      <c r="I3865" s="274"/>
      <c r="J3865" s="274" t="e">
        <f t="shared" ca="1" si="63"/>
        <v>#NAME?</v>
      </c>
      <c r="K3865" s="274">
        <f t="shared" si="64"/>
        <v>0</v>
      </c>
      <c r="N3865" s="274"/>
    </row>
    <row r="3866" spans="5:14" ht="13.5" customHeight="1">
      <c r="E3866" s="209" t="s">
        <v>785</v>
      </c>
      <c r="F3866" s="209" t="s">
        <v>2812</v>
      </c>
      <c r="G3866" s="410" t="str">
        <f t="shared" si="62"/>
        <v>16-16</v>
      </c>
      <c r="H3866" s="273" t="e">
        <f ca="1">_xludf.IFNA(VLOOKUP(Aragon!E3866,'Kilter Holds'!$P$37:$AB$662,8,0),0)</f>
        <v>#NAME?</v>
      </c>
      <c r="I3866" s="274"/>
      <c r="J3866" s="274" t="e">
        <f t="shared" ca="1" si="63"/>
        <v>#NAME?</v>
      </c>
      <c r="K3866" s="274">
        <f t="shared" si="64"/>
        <v>0</v>
      </c>
      <c r="N3866" s="274"/>
    </row>
    <row r="3867" spans="5:14" ht="13.5" customHeight="1">
      <c r="E3867" s="209" t="s">
        <v>785</v>
      </c>
      <c r="F3867" s="209" t="s">
        <v>2812</v>
      </c>
      <c r="G3867" s="411" t="str">
        <f t="shared" si="62"/>
        <v>13-01</v>
      </c>
      <c r="H3867" s="273" t="e">
        <f ca="1">_xludf.IFNA(VLOOKUP(Aragon!E3867,'Kilter Holds'!$P$37:$AB$662,9,0),0)</f>
        <v>#NAME?</v>
      </c>
      <c r="I3867" s="274"/>
      <c r="J3867" s="274" t="e">
        <f t="shared" ca="1" si="63"/>
        <v>#NAME?</v>
      </c>
      <c r="K3867" s="274">
        <f t="shared" si="64"/>
        <v>0</v>
      </c>
      <c r="N3867" s="274"/>
    </row>
    <row r="3868" spans="5:14" ht="13.5" customHeight="1">
      <c r="E3868" s="209" t="s">
        <v>785</v>
      </c>
      <c r="F3868" s="209" t="s">
        <v>2812</v>
      </c>
      <c r="G3868" s="413" t="str">
        <f t="shared" si="62"/>
        <v>07-13</v>
      </c>
      <c r="H3868" s="273" t="e">
        <f ca="1">_xludf.IFNA(VLOOKUP(Aragon!E3868,'Kilter Holds'!$P$37:$AB$662,10,0),0)</f>
        <v>#NAME?</v>
      </c>
      <c r="I3868" s="274"/>
      <c r="J3868" s="274" t="e">
        <f t="shared" ca="1" si="63"/>
        <v>#NAME?</v>
      </c>
      <c r="K3868" s="274">
        <f t="shared" si="64"/>
        <v>0</v>
      </c>
      <c r="N3868" s="274"/>
    </row>
    <row r="3869" spans="5:14" ht="13.5" customHeight="1">
      <c r="E3869" s="209" t="s">
        <v>785</v>
      </c>
      <c r="F3869" s="209" t="s">
        <v>2812</v>
      </c>
      <c r="G3869" s="414" t="str">
        <f t="shared" si="62"/>
        <v>11-26</v>
      </c>
      <c r="H3869" s="273" t="e">
        <f ca="1">_xludf.IFNA(VLOOKUP(Aragon!E3869,'Kilter Holds'!$P$37:$AB$662,11,0),0)</f>
        <v>#NAME?</v>
      </c>
      <c r="I3869" s="274"/>
      <c r="J3869" s="274" t="e">
        <f t="shared" ca="1" si="63"/>
        <v>#NAME?</v>
      </c>
      <c r="K3869" s="274">
        <f t="shared" si="64"/>
        <v>0</v>
      </c>
      <c r="N3869" s="274"/>
    </row>
    <row r="3870" spans="5:14" ht="13.5" customHeight="1">
      <c r="E3870" s="209" t="s">
        <v>785</v>
      </c>
      <c r="F3870" s="209" t="s">
        <v>2812</v>
      </c>
      <c r="G3870" s="415" t="str">
        <f t="shared" si="62"/>
        <v>18-01</v>
      </c>
      <c r="H3870" s="273" t="e">
        <f ca="1">_xludf.IFNA(VLOOKUP(Aragon!E3870,'Kilter Holds'!$P$37:$AB$662,12,0),0)</f>
        <v>#NAME?</v>
      </c>
      <c r="I3870" s="274"/>
      <c r="J3870" s="274" t="e">
        <f t="shared" ca="1" si="63"/>
        <v>#NAME?</v>
      </c>
      <c r="K3870" s="274">
        <f t="shared" si="64"/>
        <v>0</v>
      </c>
      <c r="N3870" s="274"/>
    </row>
    <row r="3871" spans="5:14" ht="13.5" customHeight="1">
      <c r="E3871" s="209" t="s">
        <v>785</v>
      </c>
      <c r="F3871" s="209" t="s">
        <v>2812</v>
      </c>
      <c r="G3871" s="416" t="str">
        <f t="shared" si="62"/>
        <v>Color Code</v>
      </c>
      <c r="H3871" s="273" t="e">
        <f ca="1">_xludf.IFNA(VLOOKUP(Aragon!E3871,'Kilter Holds'!$P$37:$AB$662,13,0),0)</f>
        <v>#NAME?</v>
      </c>
      <c r="I3871" s="274"/>
      <c r="J3871" s="274" t="e">
        <f t="shared" ca="1" si="63"/>
        <v>#NAME?</v>
      </c>
      <c r="K3871" s="274">
        <f t="shared" si="64"/>
        <v>0</v>
      </c>
      <c r="N3871" s="274"/>
    </row>
    <row r="3872" spans="5:14" ht="13.5" customHeight="1">
      <c r="E3872" s="209" t="s">
        <v>801</v>
      </c>
      <c r="F3872" s="209" t="s">
        <v>2813</v>
      </c>
      <c r="G3872" s="406" t="str">
        <f t="shared" si="62"/>
        <v>11-12</v>
      </c>
      <c r="H3872" s="273" t="e">
        <f ca="1">_xludf.IFNA(VLOOKUP(Aragon!E3872,'Kilter Holds'!$P$37:$AB$662,5,0),0)</f>
        <v>#NAME?</v>
      </c>
      <c r="I3872" s="274"/>
      <c r="J3872" s="274" t="e">
        <f t="shared" ca="1" si="63"/>
        <v>#NAME?</v>
      </c>
      <c r="K3872" s="274">
        <f t="shared" si="64"/>
        <v>0</v>
      </c>
      <c r="N3872" s="274"/>
    </row>
    <row r="3873" spans="5:14" ht="13.5" customHeight="1">
      <c r="E3873" s="209" t="s">
        <v>801</v>
      </c>
      <c r="F3873" s="209" t="s">
        <v>2813</v>
      </c>
      <c r="G3873" s="408" t="str">
        <f t="shared" si="62"/>
        <v>14-01</v>
      </c>
      <c r="H3873" s="273" t="e">
        <f ca="1">_xludf.IFNA(VLOOKUP(Aragon!E3873,'Kilter Holds'!$P$37:$AB$662,6,0),0)</f>
        <v>#NAME?</v>
      </c>
      <c r="I3873" s="274"/>
      <c r="J3873" s="274" t="e">
        <f t="shared" ca="1" si="63"/>
        <v>#NAME?</v>
      </c>
      <c r="K3873" s="274">
        <f t="shared" si="64"/>
        <v>0</v>
      </c>
      <c r="N3873" s="274"/>
    </row>
    <row r="3874" spans="5:14" ht="13.5" customHeight="1">
      <c r="E3874" s="209" t="s">
        <v>801</v>
      </c>
      <c r="F3874" s="209" t="s">
        <v>2813</v>
      </c>
      <c r="G3874" s="409" t="str">
        <f t="shared" si="62"/>
        <v>15-12</v>
      </c>
      <c r="H3874" s="273" t="e">
        <f ca="1">_xludf.IFNA(VLOOKUP(Aragon!E3874,'Kilter Holds'!$P$37:$AB$662,7,0),0)</f>
        <v>#NAME?</v>
      </c>
      <c r="I3874" s="274"/>
      <c r="J3874" s="274" t="e">
        <f t="shared" ca="1" si="63"/>
        <v>#NAME?</v>
      </c>
      <c r="K3874" s="274">
        <f t="shared" si="64"/>
        <v>0</v>
      </c>
      <c r="N3874" s="274"/>
    </row>
    <row r="3875" spans="5:14" ht="13.5" customHeight="1">
      <c r="E3875" s="209" t="s">
        <v>801</v>
      </c>
      <c r="F3875" s="209" t="s">
        <v>2813</v>
      </c>
      <c r="G3875" s="410" t="str">
        <f t="shared" si="62"/>
        <v>16-16</v>
      </c>
      <c r="H3875" s="273" t="e">
        <f ca="1">_xludf.IFNA(VLOOKUP(Aragon!E3875,'Kilter Holds'!$P$37:$AB$662,8,0),0)</f>
        <v>#NAME?</v>
      </c>
      <c r="I3875" s="274"/>
      <c r="J3875" s="274" t="e">
        <f t="shared" ca="1" si="63"/>
        <v>#NAME?</v>
      </c>
      <c r="K3875" s="274">
        <f t="shared" si="64"/>
        <v>0</v>
      </c>
      <c r="N3875" s="274"/>
    </row>
    <row r="3876" spans="5:14" ht="13.5" customHeight="1">
      <c r="E3876" s="209" t="s">
        <v>801</v>
      </c>
      <c r="F3876" s="209" t="s">
        <v>2813</v>
      </c>
      <c r="G3876" s="411" t="str">
        <f t="shared" si="62"/>
        <v>13-01</v>
      </c>
      <c r="H3876" s="273" t="e">
        <f ca="1">_xludf.IFNA(VLOOKUP(Aragon!E3876,'Kilter Holds'!$P$37:$AB$662,9,0),0)</f>
        <v>#NAME?</v>
      </c>
      <c r="I3876" s="274"/>
      <c r="J3876" s="274" t="e">
        <f t="shared" ca="1" si="63"/>
        <v>#NAME?</v>
      </c>
      <c r="K3876" s="274">
        <f t="shared" si="64"/>
        <v>0</v>
      </c>
      <c r="N3876" s="274"/>
    </row>
    <row r="3877" spans="5:14" ht="13.5" customHeight="1">
      <c r="E3877" s="209" t="s">
        <v>801</v>
      </c>
      <c r="F3877" s="209" t="s">
        <v>2813</v>
      </c>
      <c r="G3877" s="413" t="str">
        <f t="shared" si="62"/>
        <v>07-13</v>
      </c>
      <c r="H3877" s="273" t="e">
        <f ca="1">_xludf.IFNA(VLOOKUP(Aragon!E3877,'Kilter Holds'!$P$37:$AB$662,10,0),0)</f>
        <v>#NAME?</v>
      </c>
      <c r="I3877" s="274"/>
      <c r="J3877" s="274" t="e">
        <f t="shared" ca="1" si="63"/>
        <v>#NAME?</v>
      </c>
      <c r="K3877" s="274">
        <f t="shared" si="64"/>
        <v>0</v>
      </c>
      <c r="N3877" s="274"/>
    </row>
    <row r="3878" spans="5:14" ht="13.5" customHeight="1">
      <c r="E3878" s="209" t="s">
        <v>801</v>
      </c>
      <c r="F3878" s="209" t="s">
        <v>2813</v>
      </c>
      <c r="G3878" s="414" t="str">
        <f t="shared" si="62"/>
        <v>11-26</v>
      </c>
      <c r="H3878" s="273" t="e">
        <f ca="1">_xludf.IFNA(VLOOKUP(Aragon!E3878,'Kilter Holds'!$P$37:$AB$662,11,0),0)</f>
        <v>#NAME?</v>
      </c>
      <c r="I3878" s="274"/>
      <c r="J3878" s="274" t="e">
        <f t="shared" ca="1" si="63"/>
        <v>#NAME?</v>
      </c>
      <c r="K3878" s="274">
        <f t="shared" si="64"/>
        <v>0</v>
      </c>
      <c r="N3878" s="274"/>
    </row>
    <row r="3879" spans="5:14" ht="13.5" customHeight="1">
      <c r="E3879" s="209" t="s">
        <v>801</v>
      </c>
      <c r="F3879" s="209" t="s">
        <v>2813</v>
      </c>
      <c r="G3879" s="415" t="str">
        <f t="shared" si="62"/>
        <v>18-01</v>
      </c>
      <c r="H3879" s="273" t="e">
        <f ca="1">_xludf.IFNA(VLOOKUP(Aragon!E3879,'Kilter Holds'!$P$37:$AB$662,12,0),0)</f>
        <v>#NAME?</v>
      </c>
      <c r="I3879" s="274"/>
      <c r="J3879" s="274" t="e">
        <f t="shared" ca="1" si="63"/>
        <v>#NAME?</v>
      </c>
      <c r="K3879" s="274">
        <f t="shared" si="64"/>
        <v>0</v>
      </c>
      <c r="N3879" s="274"/>
    </row>
    <row r="3880" spans="5:14" ht="13.5" customHeight="1">
      <c r="E3880" s="209" t="s">
        <v>801</v>
      </c>
      <c r="F3880" s="209" t="s">
        <v>2813</v>
      </c>
      <c r="G3880" s="416" t="str">
        <f t="shared" si="62"/>
        <v>Color Code</v>
      </c>
      <c r="H3880" s="273" t="e">
        <f ca="1">_xludf.IFNA(VLOOKUP(Aragon!E3880,'Kilter Holds'!$P$37:$AB$662,13,0),0)</f>
        <v>#NAME?</v>
      </c>
      <c r="I3880" s="274"/>
      <c r="J3880" s="274" t="e">
        <f t="shared" ca="1" si="63"/>
        <v>#NAME?</v>
      </c>
      <c r="K3880" s="274">
        <f t="shared" si="64"/>
        <v>0</v>
      </c>
      <c r="N3880" s="274"/>
    </row>
    <row r="3881" spans="5:14" ht="13.5" customHeight="1">
      <c r="E3881" s="209" t="s">
        <v>799</v>
      </c>
      <c r="F3881" s="209" t="s">
        <v>2814</v>
      </c>
      <c r="G3881" s="406" t="str">
        <f t="shared" si="62"/>
        <v>11-12</v>
      </c>
      <c r="H3881" s="273" t="e">
        <f ca="1">_xludf.IFNA(VLOOKUP(Aragon!E3881,'Kilter Holds'!$P$37:$AB$662,5,0),0)</f>
        <v>#NAME?</v>
      </c>
      <c r="I3881" s="274"/>
      <c r="J3881" s="274" t="e">
        <f t="shared" ca="1" si="63"/>
        <v>#NAME?</v>
      </c>
      <c r="K3881" s="274">
        <f t="shared" si="64"/>
        <v>0</v>
      </c>
      <c r="N3881" s="274"/>
    </row>
    <row r="3882" spans="5:14" ht="13.5" customHeight="1">
      <c r="E3882" s="209" t="s">
        <v>799</v>
      </c>
      <c r="F3882" s="209" t="s">
        <v>2814</v>
      </c>
      <c r="G3882" s="408" t="str">
        <f t="shared" si="62"/>
        <v>14-01</v>
      </c>
      <c r="H3882" s="273" t="e">
        <f ca="1">_xludf.IFNA(VLOOKUP(Aragon!E3882,'Kilter Holds'!$P$37:$AB$662,6,0),0)</f>
        <v>#NAME?</v>
      </c>
      <c r="I3882" s="274"/>
      <c r="J3882" s="274" t="e">
        <f t="shared" ca="1" si="63"/>
        <v>#NAME?</v>
      </c>
      <c r="K3882" s="274">
        <f t="shared" si="64"/>
        <v>0</v>
      </c>
      <c r="N3882" s="274"/>
    </row>
    <row r="3883" spans="5:14" ht="13.5" customHeight="1">
      <c r="E3883" s="209" t="s">
        <v>799</v>
      </c>
      <c r="F3883" s="209" t="s">
        <v>2814</v>
      </c>
      <c r="G3883" s="409" t="str">
        <f t="shared" si="62"/>
        <v>15-12</v>
      </c>
      <c r="H3883" s="273" t="e">
        <f ca="1">_xludf.IFNA(VLOOKUP(Aragon!E3883,'Kilter Holds'!$P$37:$AB$662,7,0),0)</f>
        <v>#NAME?</v>
      </c>
      <c r="I3883" s="274"/>
      <c r="J3883" s="274" t="e">
        <f t="shared" ca="1" si="63"/>
        <v>#NAME?</v>
      </c>
      <c r="K3883" s="274">
        <f t="shared" si="64"/>
        <v>0</v>
      </c>
      <c r="N3883" s="274"/>
    </row>
    <row r="3884" spans="5:14" ht="13.5" customHeight="1">
      <c r="E3884" s="209" t="s">
        <v>799</v>
      </c>
      <c r="F3884" s="209" t="s">
        <v>2814</v>
      </c>
      <c r="G3884" s="410" t="str">
        <f t="shared" si="62"/>
        <v>16-16</v>
      </c>
      <c r="H3884" s="273" t="e">
        <f ca="1">_xludf.IFNA(VLOOKUP(Aragon!E3884,'Kilter Holds'!$P$37:$AB$662,8,0),0)</f>
        <v>#NAME?</v>
      </c>
      <c r="I3884" s="274"/>
      <c r="J3884" s="274" t="e">
        <f t="shared" ca="1" si="63"/>
        <v>#NAME?</v>
      </c>
      <c r="K3884" s="274">
        <f t="shared" si="64"/>
        <v>0</v>
      </c>
      <c r="N3884" s="274"/>
    </row>
    <row r="3885" spans="5:14" ht="13.5" customHeight="1">
      <c r="E3885" s="209" t="s">
        <v>799</v>
      </c>
      <c r="F3885" s="209" t="s">
        <v>2814</v>
      </c>
      <c r="G3885" s="411" t="str">
        <f t="shared" si="62"/>
        <v>13-01</v>
      </c>
      <c r="H3885" s="273" t="e">
        <f ca="1">_xludf.IFNA(VLOOKUP(Aragon!E3885,'Kilter Holds'!$P$37:$AB$662,9,0),0)</f>
        <v>#NAME?</v>
      </c>
      <c r="I3885" s="274"/>
      <c r="J3885" s="274" t="e">
        <f t="shared" ca="1" si="63"/>
        <v>#NAME?</v>
      </c>
      <c r="K3885" s="274">
        <f t="shared" si="64"/>
        <v>0</v>
      </c>
      <c r="N3885" s="274"/>
    </row>
    <row r="3886" spans="5:14" ht="13.5" customHeight="1">
      <c r="E3886" s="209" t="s">
        <v>799</v>
      </c>
      <c r="F3886" s="209" t="s">
        <v>2814</v>
      </c>
      <c r="G3886" s="413" t="str">
        <f t="shared" si="62"/>
        <v>07-13</v>
      </c>
      <c r="H3886" s="273" t="e">
        <f ca="1">_xludf.IFNA(VLOOKUP(Aragon!E3886,'Kilter Holds'!$P$37:$AB$662,10,0),0)</f>
        <v>#NAME?</v>
      </c>
      <c r="I3886" s="274"/>
      <c r="J3886" s="274" t="e">
        <f t="shared" ca="1" si="63"/>
        <v>#NAME?</v>
      </c>
      <c r="K3886" s="274">
        <f t="shared" si="64"/>
        <v>0</v>
      </c>
      <c r="N3886" s="274"/>
    </row>
    <row r="3887" spans="5:14" ht="13.5" customHeight="1">
      <c r="E3887" s="209" t="s">
        <v>799</v>
      </c>
      <c r="F3887" s="209" t="s">
        <v>2814</v>
      </c>
      <c r="G3887" s="414" t="str">
        <f t="shared" si="62"/>
        <v>11-26</v>
      </c>
      <c r="H3887" s="273" t="e">
        <f ca="1">_xludf.IFNA(VLOOKUP(Aragon!E3887,'Kilter Holds'!$P$37:$AB$662,11,0),0)</f>
        <v>#NAME?</v>
      </c>
      <c r="I3887" s="274"/>
      <c r="J3887" s="274" t="e">
        <f t="shared" ca="1" si="63"/>
        <v>#NAME?</v>
      </c>
      <c r="K3887" s="274">
        <f t="shared" si="64"/>
        <v>0</v>
      </c>
      <c r="N3887" s="274"/>
    </row>
    <row r="3888" spans="5:14" ht="13.5" customHeight="1">
      <c r="E3888" s="209" t="s">
        <v>799</v>
      </c>
      <c r="F3888" s="209" t="s">
        <v>2814</v>
      </c>
      <c r="G3888" s="415" t="str">
        <f t="shared" si="62"/>
        <v>18-01</v>
      </c>
      <c r="H3888" s="273" t="e">
        <f ca="1">_xludf.IFNA(VLOOKUP(Aragon!E3888,'Kilter Holds'!$P$37:$AB$662,12,0),0)</f>
        <v>#NAME?</v>
      </c>
      <c r="I3888" s="274"/>
      <c r="J3888" s="274" t="e">
        <f t="shared" ca="1" si="63"/>
        <v>#NAME?</v>
      </c>
      <c r="K3888" s="274">
        <f t="shared" si="64"/>
        <v>0</v>
      </c>
      <c r="N3888" s="274"/>
    </row>
    <row r="3889" spans="5:14" ht="13.5" customHeight="1">
      <c r="E3889" s="209" t="s">
        <v>799</v>
      </c>
      <c r="F3889" s="209" t="s">
        <v>2814</v>
      </c>
      <c r="G3889" s="416" t="str">
        <f t="shared" si="62"/>
        <v>Color Code</v>
      </c>
      <c r="H3889" s="273" t="e">
        <f ca="1">_xludf.IFNA(VLOOKUP(Aragon!E3889,'Kilter Holds'!$P$37:$AB$662,13,0),0)</f>
        <v>#NAME?</v>
      </c>
      <c r="I3889" s="274"/>
      <c r="J3889" s="274" t="e">
        <f t="shared" ca="1" si="63"/>
        <v>#NAME?</v>
      </c>
      <c r="K3889" s="274">
        <f t="shared" si="64"/>
        <v>0</v>
      </c>
      <c r="N3889" s="274"/>
    </row>
    <row r="3890" spans="5:14" ht="13.5" customHeight="1">
      <c r="E3890" s="209" t="s">
        <v>781</v>
      </c>
      <c r="F3890" s="209" t="s">
        <v>2815</v>
      </c>
      <c r="G3890" s="406" t="str">
        <f t="shared" si="62"/>
        <v>11-12</v>
      </c>
      <c r="H3890" s="273" t="e">
        <f ca="1">_xludf.IFNA(VLOOKUP(Aragon!E3890,'Kilter Holds'!$P$37:$AB$662,5,0),0)</f>
        <v>#NAME?</v>
      </c>
      <c r="I3890" s="274"/>
      <c r="J3890" s="274" t="e">
        <f t="shared" ca="1" si="63"/>
        <v>#NAME?</v>
      </c>
      <c r="K3890" s="274">
        <f t="shared" si="64"/>
        <v>0</v>
      </c>
      <c r="N3890" s="274"/>
    </row>
    <row r="3891" spans="5:14" ht="13.5" customHeight="1">
      <c r="E3891" s="209" t="s">
        <v>781</v>
      </c>
      <c r="F3891" s="209" t="s">
        <v>2815</v>
      </c>
      <c r="G3891" s="408" t="str">
        <f t="shared" si="62"/>
        <v>14-01</v>
      </c>
      <c r="H3891" s="273" t="e">
        <f ca="1">_xludf.IFNA(VLOOKUP(Aragon!E3891,'Kilter Holds'!$P$37:$AB$662,6,0),0)</f>
        <v>#NAME?</v>
      </c>
      <c r="I3891" s="274"/>
      <c r="J3891" s="274" t="e">
        <f t="shared" ca="1" si="63"/>
        <v>#NAME?</v>
      </c>
      <c r="K3891" s="274">
        <f t="shared" si="64"/>
        <v>0</v>
      </c>
      <c r="N3891" s="274"/>
    </row>
    <row r="3892" spans="5:14" ht="13.5" customHeight="1">
      <c r="E3892" s="209" t="s">
        <v>781</v>
      </c>
      <c r="F3892" s="209" t="s">
        <v>2815</v>
      </c>
      <c r="G3892" s="409" t="str">
        <f t="shared" si="62"/>
        <v>15-12</v>
      </c>
      <c r="H3892" s="273" t="e">
        <f ca="1">_xludf.IFNA(VLOOKUP(Aragon!E3892,'Kilter Holds'!$P$37:$AB$662,7,0),0)</f>
        <v>#NAME?</v>
      </c>
      <c r="I3892" s="274"/>
      <c r="J3892" s="274" t="e">
        <f t="shared" ca="1" si="63"/>
        <v>#NAME?</v>
      </c>
      <c r="K3892" s="274">
        <f t="shared" si="64"/>
        <v>0</v>
      </c>
      <c r="N3892" s="274"/>
    </row>
    <row r="3893" spans="5:14" ht="13.5" customHeight="1">
      <c r="E3893" s="209" t="s">
        <v>781</v>
      </c>
      <c r="F3893" s="209" t="s">
        <v>2815</v>
      </c>
      <c r="G3893" s="410" t="str">
        <f t="shared" si="62"/>
        <v>16-16</v>
      </c>
      <c r="H3893" s="273" t="e">
        <f ca="1">_xludf.IFNA(VLOOKUP(Aragon!E3893,'Kilter Holds'!$P$37:$AB$662,8,0),0)</f>
        <v>#NAME?</v>
      </c>
      <c r="I3893" s="274"/>
      <c r="J3893" s="274" t="e">
        <f t="shared" ca="1" si="63"/>
        <v>#NAME?</v>
      </c>
      <c r="K3893" s="274">
        <f t="shared" si="64"/>
        <v>0</v>
      </c>
      <c r="N3893" s="274"/>
    </row>
    <row r="3894" spans="5:14" ht="13.5" customHeight="1">
      <c r="E3894" s="209" t="s">
        <v>781</v>
      </c>
      <c r="F3894" s="209" t="s">
        <v>2815</v>
      </c>
      <c r="G3894" s="411" t="str">
        <f t="shared" si="62"/>
        <v>13-01</v>
      </c>
      <c r="H3894" s="273" t="e">
        <f ca="1">_xludf.IFNA(VLOOKUP(Aragon!E3894,'Kilter Holds'!$P$37:$AB$662,9,0),0)</f>
        <v>#NAME?</v>
      </c>
      <c r="I3894" s="274"/>
      <c r="J3894" s="274" t="e">
        <f t="shared" ca="1" si="63"/>
        <v>#NAME?</v>
      </c>
      <c r="K3894" s="274">
        <f t="shared" si="64"/>
        <v>0</v>
      </c>
      <c r="N3894" s="274"/>
    </row>
    <row r="3895" spans="5:14" ht="13.5" customHeight="1">
      <c r="E3895" s="209" t="s">
        <v>781</v>
      </c>
      <c r="F3895" s="209" t="s">
        <v>2815</v>
      </c>
      <c r="G3895" s="413" t="str">
        <f t="shared" si="62"/>
        <v>07-13</v>
      </c>
      <c r="H3895" s="273" t="e">
        <f ca="1">_xludf.IFNA(VLOOKUP(Aragon!E3895,'Kilter Holds'!$P$37:$AB$662,10,0),0)</f>
        <v>#NAME?</v>
      </c>
      <c r="I3895" s="274"/>
      <c r="J3895" s="274" t="e">
        <f t="shared" ca="1" si="63"/>
        <v>#NAME?</v>
      </c>
      <c r="K3895" s="274">
        <f t="shared" si="64"/>
        <v>0</v>
      </c>
      <c r="N3895" s="274"/>
    </row>
    <row r="3896" spans="5:14" ht="13.5" customHeight="1">
      <c r="E3896" s="209" t="s">
        <v>781</v>
      </c>
      <c r="F3896" s="209" t="s">
        <v>2815</v>
      </c>
      <c r="G3896" s="414" t="str">
        <f t="shared" si="62"/>
        <v>11-26</v>
      </c>
      <c r="H3896" s="273" t="e">
        <f ca="1">_xludf.IFNA(VLOOKUP(Aragon!E3896,'Kilter Holds'!$P$37:$AB$662,11,0),0)</f>
        <v>#NAME?</v>
      </c>
      <c r="I3896" s="274"/>
      <c r="J3896" s="274" t="e">
        <f t="shared" ca="1" si="63"/>
        <v>#NAME?</v>
      </c>
      <c r="K3896" s="274">
        <f t="shared" si="64"/>
        <v>0</v>
      </c>
      <c r="N3896" s="274"/>
    </row>
    <row r="3897" spans="5:14" ht="13.5" customHeight="1">
      <c r="E3897" s="209" t="s">
        <v>781</v>
      </c>
      <c r="F3897" s="209" t="s">
        <v>2815</v>
      </c>
      <c r="G3897" s="415" t="str">
        <f t="shared" si="62"/>
        <v>18-01</v>
      </c>
      <c r="H3897" s="273" t="e">
        <f ca="1">_xludf.IFNA(VLOOKUP(Aragon!E3897,'Kilter Holds'!$P$37:$AB$662,12,0),0)</f>
        <v>#NAME?</v>
      </c>
      <c r="I3897" s="274"/>
      <c r="J3897" s="274" t="e">
        <f t="shared" ca="1" si="63"/>
        <v>#NAME?</v>
      </c>
      <c r="K3897" s="274">
        <f t="shared" si="64"/>
        <v>0</v>
      </c>
      <c r="N3897" s="274"/>
    </row>
    <row r="3898" spans="5:14" ht="13.5" customHeight="1">
      <c r="E3898" s="209" t="s">
        <v>781</v>
      </c>
      <c r="F3898" s="209" t="s">
        <v>2815</v>
      </c>
      <c r="G3898" s="416" t="str">
        <f t="shared" si="62"/>
        <v>Color Code</v>
      </c>
      <c r="H3898" s="273" t="e">
        <f ca="1">_xludf.IFNA(VLOOKUP(Aragon!E3898,'Kilter Holds'!$P$37:$AB$662,13,0),0)</f>
        <v>#NAME?</v>
      </c>
      <c r="I3898" s="274"/>
      <c r="J3898" s="274" t="e">
        <f t="shared" ca="1" si="63"/>
        <v>#NAME?</v>
      </c>
      <c r="K3898" s="274">
        <f t="shared" si="64"/>
        <v>0</v>
      </c>
      <c r="N3898" s="274"/>
    </row>
    <row r="3899" spans="5:14" ht="13.5" customHeight="1">
      <c r="E3899" s="209" t="s">
        <v>787</v>
      </c>
      <c r="F3899" s="209" t="s">
        <v>2816</v>
      </c>
      <c r="G3899" s="406" t="str">
        <f t="shared" si="62"/>
        <v>11-12</v>
      </c>
      <c r="H3899" s="273" t="e">
        <f ca="1">_xludf.IFNA(VLOOKUP(Aragon!E3899,'Kilter Holds'!$P$37:$AB$662,5,0),0)</f>
        <v>#NAME?</v>
      </c>
      <c r="I3899" s="274"/>
      <c r="J3899" s="274" t="e">
        <f t="shared" ca="1" si="63"/>
        <v>#NAME?</v>
      </c>
      <c r="K3899" s="274">
        <f t="shared" si="64"/>
        <v>0</v>
      </c>
      <c r="N3899" s="274"/>
    </row>
    <row r="3900" spans="5:14" ht="13.5" customHeight="1">
      <c r="E3900" s="209" t="s">
        <v>787</v>
      </c>
      <c r="F3900" s="209" t="s">
        <v>2816</v>
      </c>
      <c r="G3900" s="408" t="str">
        <f t="shared" si="62"/>
        <v>14-01</v>
      </c>
      <c r="H3900" s="273" t="e">
        <f ca="1">_xludf.IFNA(VLOOKUP(Aragon!E3900,'Kilter Holds'!$P$37:$AB$662,6,0),0)</f>
        <v>#NAME?</v>
      </c>
      <c r="I3900" s="274"/>
      <c r="J3900" s="274" t="e">
        <f t="shared" ca="1" si="63"/>
        <v>#NAME?</v>
      </c>
      <c r="K3900" s="274">
        <f t="shared" si="64"/>
        <v>0</v>
      </c>
      <c r="N3900" s="274"/>
    </row>
    <row r="3901" spans="5:14" ht="13.5" customHeight="1">
      <c r="E3901" s="209" t="s">
        <v>787</v>
      </c>
      <c r="F3901" s="209" t="s">
        <v>2816</v>
      </c>
      <c r="G3901" s="409" t="str">
        <f t="shared" si="62"/>
        <v>15-12</v>
      </c>
      <c r="H3901" s="273" t="e">
        <f ca="1">_xludf.IFNA(VLOOKUP(Aragon!E3901,'Kilter Holds'!$P$37:$AB$662,7,0),0)</f>
        <v>#NAME?</v>
      </c>
      <c r="I3901" s="274"/>
      <c r="J3901" s="274" t="e">
        <f t="shared" ca="1" si="63"/>
        <v>#NAME?</v>
      </c>
      <c r="K3901" s="274">
        <f t="shared" si="64"/>
        <v>0</v>
      </c>
      <c r="N3901" s="274"/>
    </row>
    <row r="3902" spans="5:14" ht="13.5" customHeight="1">
      <c r="E3902" s="209" t="s">
        <v>787</v>
      </c>
      <c r="F3902" s="209" t="s">
        <v>2816</v>
      </c>
      <c r="G3902" s="410" t="str">
        <f t="shared" si="62"/>
        <v>16-16</v>
      </c>
      <c r="H3902" s="273" t="e">
        <f ca="1">_xludf.IFNA(VLOOKUP(Aragon!E3902,'Kilter Holds'!$P$37:$AB$662,8,0),0)</f>
        <v>#NAME?</v>
      </c>
      <c r="I3902" s="274"/>
      <c r="J3902" s="274" t="e">
        <f t="shared" ca="1" si="63"/>
        <v>#NAME?</v>
      </c>
      <c r="K3902" s="274">
        <f t="shared" si="64"/>
        <v>0</v>
      </c>
      <c r="N3902" s="274"/>
    </row>
    <row r="3903" spans="5:14" ht="13.5" customHeight="1">
      <c r="E3903" s="209" t="s">
        <v>787</v>
      </c>
      <c r="F3903" s="209" t="s">
        <v>2816</v>
      </c>
      <c r="G3903" s="411" t="str">
        <f t="shared" si="62"/>
        <v>13-01</v>
      </c>
      <c r="H3903" s="273" t="e">
        <f ca="1">_xludf.IFNA(VLOOKUP(Aragon!E3903,'Kilter Holds'!$P$37:$AB$662,9,0),0)</f>
        <v>#NAME?</v>
      </c>
      <c r="I3903" s="274"/>
      <c r="J3903" s="274" t="e">
        <f t="shared" ca="1" si="63"/>
        <v>#NAME?</v>
      </c>
      <c r="K3903" s="274">
        <f t="shared" si="64"/>
        <v>0</v>
      </c>
      <c r="N3903" s="274"/>
    </row>
    <row r="3904" spans="5:14" ht="13.5" customHeight="1">
      <c r="E3904" s="209" t="s">
        <v>787</v>
      </c>
      <c r="F3904" s="209" t="s">
        <v>2816</v>
      </c>
      <c r="G3904" s="413" t="str">
        <f t="shared" si="62"/>
        <v>07-13</v>
      </c>
      <c r="H3904" s="273" t="e">
        <f ca="1">_xludf.IFNA(VLOOKUP(Aragon!E3904,'Kilter Holds'!$P$37:$AB$662,10,0),0)</f>
        <v>#NAME?</v>
      </c>
      <c r="I3904" s="274"/>
      <c r="J3904" s="274" t="e">
        <f t="shared" ca="1" si="63"/>
        <v>#NAME?</v>
      </c>
      <c r="K3904" s="274">
        <f t="shared" si="64"/>
        <v>0</v>
      </c>
      <c r="N3904" s="274"/>
    </row>
    <row r="3905" spans="5:14" ht="13.5" customHeight="1">
      <c r="E3905" s="209" t="s">
        <v>787</v>
      </c>
      <c r="F3905" s="209" t="s">
        <v>2816</v>
      </c>
      <c r="G3905" s="414" t="str">
        <f t="shared" si="62"/>
        <v>11-26</v>
      </c>
      <c r="H3905" s="273" t="e">
        <f ca="1">_xludf.IFNA(VLOOKUP(Aragon!E3905,'Kilter Holds'!$P$37:$AB$662,11,0),0)</f>
        <v>#NAME?</v>
      </c>
      <c r="I3905" s="274"/>
      <c r="J3905" s="274" t="e">
        <f t="shared" ca="1" si="63"/>
        <v>#NAME?</v>
      </c>
      <c r="K3905" s="274">
        <f t="shared" si="64"/>
        <v>0</v>
      </c>
      <c r="N3905" s="274"/>
    </row>
    <row r="3906" spans="5:14" ht="13.5" customHeight="1">
      <c r="E3906" s="209" t="s">
        <v>787</v>
      </c>
      <c r="F3906" s="209" t="s">
        <v>2816</v>
      </c>
      <c r="G3906" s="415" t="str">
        <f t="shared" si="62"/>
        <v>18-01</v>
      </c>
      <c r="H3906" s="273" t="e">
        <f ca="1">_xludf.IFNA(VLOOKUP(Aragon!E3906,'Kilter Holds'!$P$37:$AB$662,12,0),0)</f>
        <v>#NAME?</v>
      </c>
      <c r="I3906" s="274"/>
      <c r="J3906" s="274" t="e">
        <f t="shared" ca="1" si="63"/>
        <v>#NAME?</v>
      </c>
      <c r="K3906" s="274">
        <f t="shared" si="64"/>
        <v>0</v>
      </c>
      <c r="N3906" s="274"/>
    </row>
    <row r="3907" spans="5:14" ht="13.5" customHeight="1">
      <c r="E3907" s="209" t="s">
        <v>787</v>
      </c>
      <c r="F3907" s="209" t="s">
        <v>2816</v>
      </c>
      <c r="G3907" s="416" t="str">
        <f t="shared" si="62"/>
        <v>Color Code</v>
      </c>
      <c r="H3907" s="273" t="e">
        <f ca="1">_xludf.IFNA(VLOOKUP(Aragon!E3907,'Kilter Holds'!$P$37:$AB$662,13,0),0)</f>
        <v>#NAME?</v>
      </c>
      <c r="I3907" s="274"/>
      <c r="J3907" s="274" t="e">
        <f t="shared" ca="1" si="63"/>
        <v>#NAME?</v>
      </c>
      <c r="K3907" s="274">
        <f t="shared" si="64"/>
        <v>0</v>
      </c>
      <c r="N3907" s="274"/>
    </row>
    <row r="3908" spans="5:14" ht="13.5" customHeight="1">
      <c r="E3908" s="209" t="s">
        <v>791</v>
      </c>
      <c r="F3908" s="209" t="s">
        <v>2817</v>
      </c>
      <c r="G3908" s="406" t="str">
        <f t="shared" si="62"/>
        <v>11-12</v>
      </c>
      <c r="H3908" s="273" t="e">
        <f ca="1">_xludf.IFNA(VLOOKUP(Aragon!E3908,'Kilter Holds'!$P$37:$AB$662,5,0),0)</f>
        <v>#NAME?</v>
      </c>
      <c r="I3908" s="274"/>
      <c r="J3908" s="274" t="e">
        <f t="shared" ca="1" si="63"/>
        <v>#NAME?</v>
      </c>
      <c r="K3908" s="274">
        <f t="shared" si="64"/>
        <v>0</v>
      </c>
      <c r="N3908" s="274"/>
    </row>
    <row r="3909" spans="5:14" ht="13.5" customHeight="1">
      <c r="E3909" s="209" t="s">
        <v>791</v>
      </c>
      <c r="F3909" s="209" t="s">
        <v>2817</v>
      </c>
      <c r="G3909" s="408" t="str">
        <f t="shared" si="62"/>
        <v>14-01</v>
      </c>
      <c r="H3909" s="273" t="e">
        <f ca="1">_xludf.IFNA(VLOOKUP(Aragon!E3909,'Kilter Holds'!$P$37:$AB$662,6,0),0)</f>
        <v>#NAME?</v>
      </c>
      <c r="I3909" s="274"/>
      <c r="J3909" s="274" t="e">
        <f t="shared" ca="1" si="63"/>
        <v>#NAME?</v>
      </c>
      <c r="K3909" s="274">
        <f t="shared" si="64"/>
        <v>0</v>
      </c>
      <c r="N3909" s="274"/>
    </row>
    <row r="3910" spans="5:14" ht="13.5" customHeight="1">
      <c r="E3910" s="209" t="s">
        <v>791</v>
      </c>
      <c r="F3910" s="209" t="s">
        <v>2817</v>
      </c>
      <c r="G3910" s="409" t="str">
        <f t="shared" si="62"/>
        <v>15-12</v>
      </c>
      <c r="H3910" s="273" t="e">
        <f ca="1">_xludf.IFNA(VLOOKUP(Aragon!E3910,'Kilter Holds'!$P$37:$AB$662,7,0),0)</f>
        <v>#NAME?</v>
      </c>
      <c r="I3910" s="274"/>
      <c r="J3910" s="274" t="e">
        <f t="shared" ca="1" si="63"/>
        <v>#NAME?</v>
      </c>
      <c r="K3910" s="274">
        <f t="shared" si="64"/>
        <v>0</v>
      </c>
      <c r="N3910" s="274"/>
    </row>
    <row r="3911" spans="5:14" ht="13.5" customHeight="1">
      <c r="E3911" s="209" t="s">
        <v>791</v>
      </c>
      <c r="F3911" s="209" t="s">
        <v>2817</v>
      </c>
      <c r="G3911" s="410" t="str">
        <f t="shared" si="62"/>
        <v>16-16</v>
      </c>
      <c r="H3911" s="273" t="e">
        <f ca="1">_xludf.IFNA(VLOOKUP(Aragon!E3911,'Kilter Holds'!$P$37:$AB$662,8,0),0)</f>
        <v>#NAME?</v>
      </c>
      <c r="I3911" s="274"/>
      <c r="J3911" s="274" t="e">
        <f t="shared" ca="1" si="63"/>
        <v>#NAME?</v>
      </c>
      <c r="K3911" s="274">
        <f t="shared" si="64"/>
        <v>0</v>
      </c>
      <c r="N3911" s="274"/>
    </row>
    <row r="3912" spans="5:14" ht="13.5" customHeight="1">
      <c r="E3912" s="209" t="s">
        <v>791</v>
      </c>
      <c r="F3912" s="209" t="s">
        <v>2817</v>
      </c>
      <c r="G3912" s="411" t="str">
        <f t="shared" si="62"/>
        <v>13-01</v>
      </c>
      <c r="H3912" s="273" t="e">
        <f ca="1">_xludf.IFNA(VLOOKUP(Aragon!E3912,'Kilter Holds'!$P$37:$AB$662,9,0),0)</f>
        <v>#NAME?</v>
      </c>
      <c r="I3912" s="274"/>
      <c r="J3912" s="274" t="e">
        <f t="shared" ca="1" si="63"/>
        <v>#NAME?</v>
      </c>
      <c r="K3912" s="274">
        <f t="shared" si="64"/>
        <v>0</v>
      </c>
      <c r="N3912" s="274"/>
    </row>
    <row r="3913" spans="5:14" ht="13.5" customHeight="1">
      <c r="E3913" s="209" t="s">
        <v>791</v>
      </c>
      <c r="F3913" s="209" t="s">
        <v>2817</v>
      </c>
      <c r="G3913" s="413" t="str">
        <f t="shared" si="62"/>
        <v>07-13</v>
      </c>
      <c r="H3913" s="273" t="e">
        <f ca="1">_xludf.IFNA(VLOOKUP(Aragon!E3913,'Kilter Holds'!$P$37:$AB$662,10,0),0)</f>
        <v>#NAME?</v>
      </c>
      <c r="I3913" s="274"/>
      <c r="J3913" s="274" t="e">
        <f t="shared" ca="1" si="63"/>
        <v>#NAME?</v>
      </c>
      <c r="K3913" s="274">
        <f t="shared" si="64"/>
        <v>0</v>
      </c>
      <c r="N3913" s="274"/>
    </row>
    <row r="3914" spans="5:14" ht="13.5" customHeight="1">
      <c r="E3914" s="209" t="s">
        <v>791</v>
      </c>
      <c r="F3914" s="209" t="s">
        <v>2817</v>
      </c>
      <c r="G3914" s="414" t="str">
        <f t="shared" si="62"/>
        <v>11-26</v>
      </c>
      <c r="H3914" s="273" t="e">
        <f ca="1">_xludf.IFNA(VLOOKUP(Aragon!E3914,'Kilter Holds'!$P$37:$AB$662,11,0),0)</f>
        <v>#NAME?</v>
      </c>
      <c r="I3914" s="274"/>
      <c r="J3914" s="274" t="e">
        <f t="shared" ca="1" si="63"/>
        <v>#NAME?</v>
      </c>
      <c r="K3914" s="274">
        <f t="shared" si="64"/>
        <v>0</v>
      </c>
      <c r="N3914" s="274"/>
    </row>
    <row r="3915" spans="5:14" ht="13.5" customHeight="1">
      <c r="E3915" s="209" t="s">
        <v>791</v>
      </c>
      <c r="F3915" s="209" t="s">
        <v>2817</v>
      </c>
      <c r="G3915" s="415" t="str">
        <f t="shared" si="62"/>
        <v>18-01</v>
      </c>
      <c r="H3915" s="273" t="e">
        <f ca="1">_xludf.IFNA(VLOOKUP(Aragon!E3915,'Kilter Holds'!$P$37:$AB$662,12,0),0)</f>
        <v>#NAME?</v>
      </c>
      <c r="I3915" s="274"/>
      <c r="J3915" s="274" t="e">
        <f t="shared" ca="1" si="63"/>
        <v>#NAME?</v>
      </c>
      <c r="K3915" s="274">
        <f t="shared" si="64"/>
        <v>0</v>
      </c>
      <c r="N3915" s="274"/>
    </row>
    <row r="3916" spans="5:14" ht="13.5" customHeight="1">
      <c r="E3916" s="209" t="s">
        <v>791</v>
      </c>
      <c r="F3916" s="209" t="s">
        <v>2817</v>
      </c>
      <c r="G3916" s="416" t="str">
        <f t="shared" si="62"/>
        <v>Color Code</v>
      </c>
      <c r="H3916" s="273" t="e">
        <f ca="1">_xludf.IFNA(VLOOKUP(Aragon!E3916,'Kilter Holds'!$P$37:$AB$662,13,0),0)</f>
        <v>#NAME?</v>
      </c>
      <c r="I3916" s="274"/>
      <c r="J3916" s="274" t="e">
        <f t="shared" ca="1" si="63"/>
        <v>#NAME?</v>
      </c>
      <c r="K3916" s="274">
        <f t="shared" si="64"/>
        <v>0</v>
      </c>
      <c r="N3916" s="274"/>
    </row>
    <row r="3917" spans="5:14" ht="13.5" customHeight="1">
      <c r="E3917" s="209" t="s">
        <v>793</v>
      </c>
      <c r="F3917" s="209" t="s">
        <v>2818</v>
      </c>
      <c r="G3917" s="406" t="str">
        <f t="shared" si="62"/>
        <v>11-12</v>
      </c>
      <c r="H3917" s="273" t="e">
        <f ca="1">_xludf.IFNA(VLOOKUP(Aragon!E3917,'Kilter Holds'!$P$37:$AB$662,5,0),0)</f>
        <v>#NAME?</v>
      </c>
      <c r="I3917" s="274"/>
      <c r="J3917" s="274" t="e">
        <f t="shared" ca="1" si="63"/>
        <v>#NAME?</v>
      </c>
      <c r="K3917" s="274">
        <f t="shared" si="64"/>
        <v>0</v>
      </c>
      <c r="N3917" s="274"/>
    </row>
    <row r="3918" spans="5:14" ht="13.5" customHeight="1">
      <c r="E3918" s="209" t="s">
        <v>793</v>
      </c>
      <c r="F3918" s="209" t="s">
        <v>2818</v>
      </c>
      <c r="G3918" s="408" t="str">
        <f t="shared" si="62"/>
        <v>14-01</v>
      </c>
      <c r="H3918" s="273" t="e">
        <f ca="1">_xludf.IFNA(VLOOKUP(Aragon!E3918,'Kilter Holds'!$P$37:$AB$662,6,0),0)</f>
        <v>#NAME?</v>
      </c>
      <c r="I3918" s="274"/>
      <c r="J3918" s="274" t="e">
        <f t="shared" ca="1" si="63"/>
        <v>#NAME?</v>
      </c>
      <c r="K3918" s="274">
        <f t="shared" si="64"/>
        <v>0</v>
      </c>
      <c r="N3918" s="274"/>
    </row>
    <row r="3919" spans="5:14" ht="13.5" customHeight="1">
      <c r="E3919" s="209" t="s">
        <v>793</v>
      </c>
      <c r="F3919" s="209" t="s">
        <v>2818</v>
      </c>
      <c r="G3919" s="409" t="str">
        <f t="shared" si="62"/>
        <v>15-12</v>
      </c>
      <c r="H3919" s="273" t="e">
        <f ca="1">_xludf.IFNA(VLOOKUP(Aragon!E3919,'Kilter Holds'!$P$37:$AB$662,7,0),0)</f>
        <v>#NAME?</v>
      </c>
      <c r="I3919" s="274"/>
      <c r="J3919" s="274" t="e">
        <f t="shared" ca="1" si="63"/>
        <v>#NAME?</v>
      </c>
      <c r="K3919" s="274">
        <f t="shared" si="64"/>
        <v>0</v>
      </c>
      <c r="N3919" s="274"/>
    </row>
    <row r="3920" spans="5:14" ht="13.5" customHeight="1">
      <c r="E3920" s="209" t="s">
        <v>793</v>
      </c>
      <c r="F3920" s="209" t="s">
        <v>2818</v>
      </c>
      <c r="G3920" s="410" t="str">
        <f t="shared" si="62"/>
        <v>16-16</v>
      </c>
      <c r="H3920" s="273" t="e">
        <f ca="1">_xludf.IFNA(VLOOKUP(Aragon!E3920,'Kilter Holds'!$P$37:$AB$662,8,0),0)</f>
        <v>#NAME?</v>
      </c>
      <c r="I3920" s="274"/>
      <c r="J3920" s="274" t="e">
        <f t="shared" ca="1" si="63"/>
        <v>#NAME?</v>
      </c>
      <c r="K3920" s="274">
        <f t="shared" si="64"/>
        <v>0</v>
      </c>
      <c r="N3920" s="274"/>
    </row>
    <row r="3921" spans="5:14" ht="13.5" customHeight="1">
      <c r="E3921" s="209" t="s">
        <v>793</v>
      </c>
      <c r="F3921" s="209" t="s">
        <v>2818</v>
      </c>
      <c r="G3921" s="411" t="str">
        <f t="shared" si="62"/>
        <v>13-01</v>
      </c>
      <c r="H3921" s="273" t="e">
        <f ca="1">_xludf.IFNA(VLOOKUP(Aragon!E3921,'Kilter Holds'!$P$37:$AB$662,9,0),0)</f>
        <v>#NAME?</v>
      </c>
      <c r="I3921" s="274"/>
      <c r="J3921" s="274" t="e">
        <f t="shared" ca="1" si="63"/>
        <v>#NAME?</v>
      </c>
      <c r="K3921" s="274">
        <f t="shared" si="64"/>
        <v>0</v>
      </c>
      <c r="N3921" s="274"/>
    </row>
    <row r="3922" spans="5:14" ht="13.5" customHeight="1">
      <c r="E3922" s="209" t="s">
        <v>793</v>
      </c>
      <c r="F3922" s="209" t="s">
        <v>2818</v>
      </c>
      <c r="G3922" s="413" t="str">
        <f t="shared" si="62"/>
        <v>07-13</v>
      </c>
      <c r="H3922" s="273" t="e">
        <f ca="1">_xludf.IFNA(VLOOKUP(Aragon!E3922,'Kilter Holds'!$P$37:$AB$662,10,0),0)</f>
        <v>#NAME?</v>
      </c>
      <c r="I3922" s="274"/>
      <c r="J3922" s="274" t="e">
        <f t="shared" ca="1" si="63"/>
        <v>#NAME?</v>
      </c>
      <c r="K3922" s="274">
        <f t="shared" si="64"/>
        <v>0</v>
      </c>
      <c r="N3922" s="274"/>
    </row>
    <row r="3923" spans="5:14" ht="13.5" customHeight="1">
      <c r="E3923" s="209" t="s">
        <v>793</v>
      </c>
      <c r="F3923" s="209" t="s">
        <v>2818</v>
      </c>
      <c r="G3923" s="414" t="str">
        <f t="shared" si="62"/>
        <v>11-26</v>
      </c>
      <c r="H3923" s="273" t="e">
        <f ca="1">_xludf.IFNA(VLOOKUP(Aragon!E3923,'Kilter Holds'!$P$37:$AB$662,11,0),0)</f>
        <v>#NAME?</v>
      </c>
      <c r="I3923" s="274"/>
      <c r="J3923" s="274" t="e">
        <f t="shared" ca="1" si="63"/>
        <v>#NAME?</v>
      </c>
      <c r="K3923" s="274">
        <f t="shared" si="64"/>
        <v>0</v>
      </c>
      <c r="N3923" s="274"/>
    </row>
    <row r="3924" spans="5:14" ht="13.5" customHeight="1">
      <c r="E3924" s="209" t="s">
        <v>793</v>
      </c>
      <c r="F3924" s="209" t="s">
        <v>2818</v>
      </c>
      <c r="G3924" s="415" t="str">
        <f t="shared" si="62"/>
        <v>18-01</v>
      </c>
      <c r="H3924" s="273" t="e">
        <f ca="1">_xludf.IFNA(VLOOKUP(Aragon!E3924,'Kilter Holds'!$P$37:$AB$662,12,0),0)</f>
        <v>#NAME?</v>
      </c>
      <c r="I3924" s="274"/>
      <c r="J3924" s="274" t="e">
        <f t="shared" ca="1" si="63"/>
        <v>#NAME?</v>
      </c>
      <c r="K3924" s="274">
        <f t="shared" si="64"/>
        <v>0</v>
      </c>
      <c r="N3924" s="274"/>
    </row>
    <row r="3925" spans="5:14" ht="13.5" customHeight="1">
      <c r="E3925" s="209" t="s">
        <v>793</v>
      </c>
      <c r="F3925" s="209" t="s">
        <v>2818</v>
      </c>
      <c r="G3925" s="416" t="str">
        <f t="shared" si="62"/>
        <v>Color Code</v>
      </c>
      <c r="H3925" s="273" t="e">
        <f ca="1">_xludf.IFNA(VLOOKUP(Aragon!E3925,'Kilter Holds'!$P$37:$AB$662,13,0),0)</f>
        <v>#NAME?</v>
      </c>
      <c r="I3925" s="274"/>
      <c r="J3925" s="274" t="e">
        <f t="shared" ca="1" si="63"/>
        <v>#NAME?</v>
      </c>
      <c r="K3925" s="274">
        <f t="shared" si="64"/>
        <v>0</v>
      </c>
      <c r="N3925" s="274"/>
    </row>
    <row r="3926" spans="5:14" ht="13.5" customHeight="1">
      <c r="E3926" s="1" t="s">
        <v>768</v>
      </c>
      <c r="F3926" s="1" t="s">
        <v>2819</v>
      </c>
      <c r="G3926" s="406" t="str">
        <f t="shared" si="62"/>
        <v>11-12</v>
      </c>
      <c r="H3926" s="273" t="e">
        <f ca="1">_xludf.IFNA(VLOOKUP(Aragon!E3926,'Kilter Holds'!$P$37:$AB$662,5,0),0)</f>
        <v>#NAME?</v>
      </c>
      <c r="I3926" s="274"/>
      <c r="J3926" s="274" t="e">
        <f t="shared" ca="1" si="63"/>
        <v>#NAME?</v>
      </c>
      <c r="K3926" s="274">
        <f t="shared" si="64"/>
        <v>0</v>
      </c>
      <c r="N3926" s="274"/>
    </row>
    <row r="3927" spans="5:14" ht="13.5" customHeight="1">
      <c r="E3927" s="1" t="s">
        <v>768</v>
      </c>
      <c r="F3927" s="1" t="s">
        <v>2819</v>
      </c>
      <c r="G3927" s="408" t="str">
        <f t="shared" si="62"/>
        <v>14-01</v>
      </c>
      <c r="H3927" s="273" t="e">
        <f ca="1">_xludf.IFNA(VLOOKUP(Aragon!E3927,'Kilter Holds'!$P$37:$AB$662,6,0),0)</f>
        <v>#NAME?</v>
      </c>
      <c r="I3927" s="274"/>
      <c r="J3927" s="274" t="e">
        <f t="shared" ca="1" si="63"/>
        <v>#NAME?</v>
      </c>
      <c r="K3927" s="274">
        <f t="shared" si="64"/>
        <v>0</v>
      </c>
      <c r="N3927" s="274"/>
    </row>
    <row r="3928" spans="5:14" ht="13.5" customHeight="1">
      <c r="E3928" s="1" t="s">
        <v>768</v>
      </c>
      <c r="F3928" s="1" t="s">
        <v>2819</v>
      </c>
      <c r="G3928" s="409" t="str">
        <f t="shared" si="62"/>
        <v>15-12</v>
      </c>
      <c r="H3928" s="273" t="e">
        <f ca="1">_xludf.IFNA(VLOOKUP(Aragon!E3928,'Kilter Holds'!$P$37:$AB$662,7,0),0)</f>
        <v>#NAME?</v>
      </c>
      <c r="I3928" s="274"/>
      <c r="J3928" s="274" t="e">
        <f t="shared" ca="1" si="63"/>
        <v>#NAME?</v>
      </c>
      <c r="K3928" s="274">
        <f t="shared" si="64"/>
        <v>0</v>
      </c>
      <c r="N3928" s="274"/>
    </row>
    <row r="3929" spans="5:14" ht="13.5" customHeight="1">
      <c r="E3929" s="1" t="s">
        <v>768</v>
      </c>
      <c r="F3929" s="1" t="s">
        <v>2819</v>
      </c>
      <c r="G3929" s="410" t="str">
        <f t="shared" si="62"/>
        <v>16-16</v>
      </c>
      <c r="H3929" s="273" t="e">
        <f ca="1">_xludf.IFNA(VLOOKUP(Aragon!E3929,'Kilter Holds'!$P$37:$AB$662,8,0),0)</f>
        <v>#NAME?</v>
      </c>
      <c r="I3929" s="274"/>
      <c r="J3929" s="274" t="e">
        <f t="shared" ca="1" si="63"/>
        <v>#NAME?</v>
      </c>
      <c r="K3929" s="274">
        <f t="shared" si="64"/>
        <v>0</v>
      </c>
      <c r="N3929" s="274"/>
    </row>
    <row r="3930" spans="5:14" ht="13.5" customHeight="1">
      <c r="E3930" s="1" t="s">
        <v>768</v>
      </c>
      <c r="F3930" s="1" t="s">
        <v>2819</v>
      </c>
      <c r="G3930" s="411" t="str">
        <f t="shared" si="62"/>
        <v>13-01</v>
      </c>
      <c r="H3930" s="273" t="e">
        <f ca="1">_xludf.IFNA(VLOOKUP(Aragon!E3930,'Kilter Holds'!$P$37:$AB$662,9,0),0)</f>
        <v>#NAME?</v>
      </c>
      <c r="I3930" s="274"/>
      <c r="J3930" s="274" t="e">
        <f t="shared" ca="1" si="63"/>
        <v>#NAME?</v>
      </c>
      <c r="K3930" s="274">
        <f t="shared" si="64"/>
        <v>0</v>
      </c>
      <c r="N3930" s="274"/>
    </row>
    <row r="3931" spans="5:14" ht="13.5" customHeight="1">
      <c r="E3931" s="1" t="s">
        <v>768</v>
      </c>
      <c r="F3931" s="1" t="s">
        <v>2819</v>
      </c>
      <c r="G3931" s="413" t="str">
        <f t="shared" si="62"/>
        <v>07-13</v>
      </c>
      <c r="H3931" s="273" t="e">
        <f ca="1">_xludf.IFNA(VLOOKUP(Aragon!E3931,'Kilter Holds'!$P$37:$AB$662,10,0),0)</f>
        <v>#NAME?</v>
      </c>
      <c r="I3931" s="274"/>
      <c r="J3931" s="274" t="e">
        <f t="shared" ca="1" si="63"/>
        <v>#NAME?</v>
      </c>
      <c r="K3931" s="274">
        <f t="shared" si="64"/>
        <v>0</v>
      </c>
      <c r="N3931" s="274"/>
    </row>
    <row r="3932" spans="5:14" ht="13.5" customHeight="1">
      <c r="E3932" s="1" t="s">
        <v>768</v>
      </c>
      <c r="F3932" s="1" t="s">
        <v>2819</v>
      </c>
      <c r="G3932" s="414" t="str">
        <f t="shared" si="62"/>
        <v>11-26</v>
      </c>
      <c r="H3932" s="273" t="e">
        <f ca="1">_xludf.IFNA(VLOOKUP(Aragon!E3932,'Kilter Holds'!$P$37:$AB$662,11,0),0)</f>
        <v>#NAME?</v>
      </c>
      <c r="I3932" s="274"/>
      <c r="J3932" s="274" t="e">
        <f t="shared" ca="1" si="63"/>
        <v>#NAME?</v>
      </c>
      <c r="K3932" s="274">
        <f t="shared" si="64"/>
        <v>0</v>
      </c>
      <c r="N3932" s="274"/>
    </row>
    <row r="3933" spans="5:14" ht="13.5" customHeight="1">
      <c r="E3933" s="1" t="s">
        <v>768</v>
      </c>
      <c r="F3933" s="1" t="s">
        <v>2819</v>
      </c>
      <c r="G3933" s="415" t="str">
        <f t="shared" si="62"/>
        <v>18-01</v>
      </c>
      <c r="H3933" s="273" t="e">
        <f ca="1">_xludf.IFNA(VLOOKUP(Aragon!E3933,'Kilter Holds'!$P$37:$AB$662,12,0),0)</f>
        <v>#NAME?</v>
      </c>
      <c r="I3933" s="274"/>
      <c r="J3933" s="274" t="e">
        <f t="shared" ca="1" si="63"/>
        <v>#NAME?</v>
      </c>
      <c r="K3933" s="274">
        <f t="shared" si="64"/>
        <v>0</v>
      </c>
      <c r="N3933" s="274"/>
    </row>
    <row r="3934" spans="5:14" ht="13.5" customHeight="1">
      <c r="E3934" s="1" t="s">
        <v>768</v>
      </c>
      <c r="F3934" s="1" t="s">
        <v>2819</v>
      </c>
      <c r="G3934" s="416" t="str">
        <f t="shared" si="62"/>
        <v>Color Code</v>
      </c>
      <c r="H3934" s="273" t="e">
        <f ca="1">_xludf.IFNA(VLOOKUP(Aragon!E3934,'Kilter Holds'!$P$37:$AB$662,13,0),0)</f>
        <v>#NAME?</v>
      </c>
      <c r="I3934" s="274"/>
      <c r="J3934" s="274" t="e">
        <f t="shared" ca="1" si="63"/>
        <v>#NAME?</v>
      </c>
      <c r="K3934" s="274">
        <f t="shared" si="64"/>
        <v>0</v>
      </c>
      <c r="N3934" s="274"/>
    </row>
    <row r="3935" spans="5:14" ht="13.5" customHeight="1">
      <c r="E3935" s="1" t="s">
        <v>771</v>
      </c>
      <c r="F3935" s="1" t="s">
        <v>2820</v>
      </c>
      <c r="G3935" s="406" t="str">
        <f t="shared" si="62"/>
        <v>11-12</v>
      </c>
      <c r="H3935" s="273" t="e">
        <f ca="1">_xludf.IFNA(VLOOKUP(Aragon!E3935,'Kilter Holds'!$P$37:$AB$662,5,0),0)</f>
        <v>#NAME?</v>
      </c>
      <c r="I3935" s="274"/>
      <c r="J3935" s="274" t="e">
        <f t="shared" ca="1" si="63"/>
        <v>#NAME?</v>
      </c>
      <c r="K3935" s="274">
        <f t="shared" si="64"/>
        <v>0</v>
      </c>
      <c r="N3935" s="274"/>
    </row>
    <row r="3936" spans="5:14" ht="13.5" customHeight="1">
      <c r="E3936" s="1" t="s">
        <v>771</v>
      </c>
      <c r="F3936" s="1" t="s">
        <v>2820</v>
      </c>
      <c r="G3936" s="408" t="str">
        <f t="shared" si="62"/>
        <v>14-01</v>
      </c>
      <c r="H3936" s="273" t="e">
        <f ca="1">_xludf.IFNA(VLOOKUP(Aragon!E3936,'Kilter Holds'!$P$37:$AB$662,6,0),0)</f>
        <v>#NAME?</v>
      </c>
      <c r="I3936" s="274"/>
      <c r="J3936" s="274" t="e">
        <f t="shared" ca="1" si="63"/>
        <v>#NAME?</v>
      </c>
      <c r="K3936" s="274">
        <f t="shared" si="64"/>
        <v>0</v>
      </c>
      <c r="N3936" s="274"/>
    </row>
    <row r="3937" spans="5:14" ht="13.5" customHeight="1">
      <c r="E3937" s="1" t="s">
        <v>771</v>
      </c>
      <c r="F3937" s="1" t="s">
        <v>2820</v>
      </c>
      <c r="G3937" s="409" t="str">
        <f t="shared" si="62"/>
        <v>15-12</v>
      </c>
      <c r="H3937" s="273" t="e">
        <f ca="1">_xludf.IFNA(VLOOKUP(Aragon!E3937,'Kilter Holds'!$P$37:$AB$662,7,0),0)</f>
        <v>#NAME?</v>
      </c>
      <c r="I3937" s="274"/>
      <c r="J3937" s="274" t="e">
        <f t="shared" ca="1" si="63"/>
        <v>#NAME?</v>
      </c>
      <c r="K3937" s="274">
        <f t="shared" si="64"/>
        <v>0</v>
      </c>
      <c r="N3937" s="274"/>
    </row>
    <row r="3938" spans="5:14" ht="13.5" customHeight="1">
      <c r="E3938" s="1" t="s">
        <v>771</v>
      </c>
      <c r="F3938" s="1" t="s">
        <v>2820</v>
      </c>
      <c r="G3938" s="410" t="str">
        <f t="shared" si="62"/>
        <v>16-16</v>
      </c>
      <c r="H3938" s="273" t="e">
        <f ca="1">_xludf.IFNA(VLOOKUP(Aragon!E3938,'Kilter Holds'!$P$37:$AB$662,8,0),0)</f>
        <v>#NAME?</v>
      </c>
      <c r="I3938" s="274"/>
      <c r="J3938" s="274" t="e">
        <f t="shared" ca="1" si="63"/>
        <v>#NAME?</v>
      </c>
      <c r="K3938" s="274">
        <f t="shared" si="64"/>
        <v>0</v>
      </c>
      <c r="N3938" s="274"/>
    </row>
    <row r="3939" spans="5:14" ht="13.5" customHeight="1">
      <c r="E3939" s="1" t="s">
        <v>771</v>
      </c>
      <c r="F3939" s="1" t="s">
        <v>2820</v>
      </c>
      <c r="G3939" s="411" t="str">
        <f t="shared" si="62"/>
        <v>13-01</v>
      </c>
      <c r="H3939" s="273" t="e">
        <f ca="1">_xludf.IFNA(VLOOKUP(Aragon!E3939,'Kilter Holds'!$P$37:$AB$662,9,0),0)</f>
        <v>#NAME?</v>
      </c>
      <c r="I3939" s="274"/>
      <c r="J3939" s="274" t="e">
        <f t="shared" ca="1" si="63"/>
        <v>#NAME?</v>
      </c>
      <c r="K3939" s="274">
        <f t="shared" si="64"/>
        <v>0</v>
      </c>
      <c r="N3939" s="274"/>
    </row>
    <row r="3940" spans="5:14" ht="13.5" customHeight="1">
      <c r="E3940" s="1" t="s">
        <v>771</v>
      </c>
      <c r="F3940" s="1" t="s">
        <v>2820</v>
      </c>
      <c r="G3940" s="413" t="str">
        <f t="shared" si="62"/>
        <v>07-13</v>
      </c>
      <c r="H3940" s="273" t="e">
        <f ca="1">_xludf.IFNA(VLOOKUP(Aragon!E3940,'Kilter Holds'!$P$37:$AB$662,10,0),0)</f>
        <v>#NAME?</v>
      </c>
      <c r="I3940" s="274"/>
      <c r="J3940" s="274" t="e">
        <f t="shared" ca="1" si="63"/>
        <v>#NAME?</v>
      </c>
      <c r="K3940" s="274">
        <f t="shared" si="64"/>
        <v>0</v>
      </c>
      <c r="N3940" s="274"/>
    </row>
    <row r="3941" spans="5:14" ht="13.5" customHeight="1">
      <c r="E3941" s="1" t="s">
        <v>771</v>
      </c>
      <c r="F3941" s="1" t="s">
        <v>2820</v>
      </c>
      <c r="G3941" s="414" t="str">
        <f t="shared" si="62"/>
        <v>11-26</v>
      </c>
      <c r="H3941" s="273" t="e">
        <f ca="1">_xludf.IFNA(VLOOKUP(Aragon!E3941,'Kilter Holds'!$P$37:$AB$662,11,0),0)</f>
        <v>#NAME?</v>
      </c>
      <c r="I3941" s="274"/>
      <c r="J3941" s="274" t="e">
        <f t="shared" ca="1" si="63"/>
        <v>#NAME?</v>
      </c>
      <c r="K3941" s="274">
        <f t="shared" si="64"/>
        <v>0</v>
      </c>
      <c r="N3941" s="274"/>
    </row>
    <row r="3942" spans="5:14" ht="13.5" customHeight="1">
      <c r="E3942" s="1" t="s">
        <v>771</v>
      </c>
      <c r="F3942" s="1" t="s">
        <v>2820</v>
      </c>
      <c r="G3942" s="415" t="str">
        <f t="shared" si="62"/>
        <v>18-01</v>
      </c>
      <c r="H3942" s="273" t="e">
        <f ca="1">_xludf.IFNA(VLOOKUP(Aragon!E3942,'Kilter Holds'!$P$37:$AB$662,12,0),0)</f>
        <v>#NAME?</v>
      </c>
      <c r="I3942" s="274"/>
      <c r="J3942" s="274" t="e">
        <f t="shared" ca="1" si="63"/>
        <v>#NAME?</v>
      </c>
      <c r="K3942" s="274">
        <f t="shared" si="64"/>
        <v>0</v>
      </c>
      <c r="N3942" s="274"/>
    </row>
    <row r="3943" spans="5:14" ht="13.5" customHeight="1">
      <c r="E3943" s="1" t="s">
        <v>771</v>
      </c>
      <c r="F3943" s="1" t="s">
        <v>2820</v>
      </c>
      <c r="G3943" s="416" t="str">
        <f t="shared" si="62"/>
        <v>Color Code</v>
      </c>
      <c r="H3943" s="273" t="e">
        <f ca="1">_xludf.IFNA(VLOOKUP(Aragon!E3943,'Kilter Holds'!$P$37:$AB$662,13,0),0)</f>
        <v>#NAME?</v>
      </c>
      <c r="I3943" s="274"/>
      <c r="J3943" s="274" t="e">
        <f t="shared" ca="1" si="63"/>
        <v>#NAME?</v>
      </c>
      <c r="K3943" s="274">
        <f t="shared" si="64"/>
        <v>0</v>
      </c>
      <c r="N3943" s="274"/>
    </row>
    <row r="3944" spans="5:14" ht="13.5" customHeight="1">
      <c r="E3944" s="1" t="s">
        <v>773</v>
      </c>
      <c r="F3944" s="1" t="s">
        <v>2821</v>
      </c>
      <c r="G3944" s="406" t="str">
        <f t="shared" si="62"/>
        <v>11-12</v>
      </c>
      <c r="H3944" s="273" t="e">
        <f ca="1">_xludf.IFNA(VLOOKUP(Aragon!E3944,'Kilter Holds'!$P$37:$AB$662,5,0),0)</f>
        <v>#NAME?</v>
      </c>
      <c r="I3944" s="274"/>
      <c r="J3944" s="274" t="e">
        <f t="shared" ca="1" si="63"/>
        <v>#NAME?</v>
      </c>
      <c r="K3944" s="274">
        <f t="shared" si="64"/>
        <v>0</v>
      </c>
      <c r="N3944" s="274"/>
    </row>
    <row r="3945" spans="5:14" ht="13.5" customHeight="1">
      <c r="E3945" s="1" t="s">
        <v>773</v>
      </c>
      <c r="F3945" s="1" t="s">
        <v>2821</v>
      </c>
      <c r="G3945" s="408" t="str">
        <f t="shared" si="62"/>
        <v>14-01</v>
      </c>
      <c r="H3945" s="273" t="e">
        <f ca="1">_xludf.IFNA(VLOOKUP(Aragon!E3945,'Kilter Holds'!$P$37:$AB$662,6,0),0)</f>
        <v>#NAME?</v>
      </c>
      <c r="I3945" s="274"/>
      <c r="J3945" s="274" t="e">
        <f t="shared" ca="1" si="63"/>
        <v>#NAME?</v>
      </c>
      <c r="K3945" s="274">
        <f t="shared" si="64"/>
        <v>0</v>
      </c>
      <c r="N3945" s="274"/>
    </row>
    <row r="3946" spans="5:14" ht="13.5" customHeight="1">
      <c r="E3946" s="1" t="s">
        <v>773</v>
      </c>
      <c r="F3946" s="1" t="s">
        <v>2821</v>
      </c>
      <c r="G3946" s="409" t="str">
        <f t="shared" si="62"/>
        <v>15-12</v>
      </c>
      <c r="H3946" s="273" t="e">
        <f ca="1">_xludf.IFNA(VLOOKUP(Aragon!E3946,'Kilter Holds'!$P$37:$AB$662,7,0),0)</f>
        <v>#NAME?</v>
      </c>
      <c r="I3946" s="274"/>
      <c r="J3946" s="274" t="e">
        <f t="shared" ca="1" si="63"/>
        <v>#NAME?</v>
      </c>
      <c r="K3946" s="274">
        <f t="shared" si="64"/>
        <v>0</v>
      </c>
      <c r="N3946" s="274"/>
    </row>
    <row r="3947" spans="5:14" ht="13.5" customHeight="1">
      <c r="E3947" s="1" t="s">
        <v>773</v>
      </c>
      <c r="F3947" s="1" t="s">
        <v>2821</v>
      </c>
      <c r="G3947" s="410" t="str">
        <f t="shared" si="62"/>
        <v>16-16</v>
      </c>
      <c r="H3947" s="273" t="e">
        <f ca="1">_xludf.IFNA(VLOOKUP(Aragon!E3947,'Kilter Holds'!$P$37:$AB$662,8,0),0)</f>
        <v>#NAME?</v>
      </c>
      <c r="I3947" s="274"/>
      <c r="J3947" s="274" t="e">
        <f t="shared" ca="1" si="63"/>
        <v>#NAME?</v>
      </c>
      <c r="K3947" s="274">
        <f t="shared" si="64"/>
        <v>0</v>
      </c>
      <c r="N3947" s="274"/>
    </row>
    <row r="3948" spans="5:14" ht="13.5" customHeight="1">
      <c r="E3948" s="1" t="s">
        <v>773</v>
      </c>
      <c r="F3948" s="1" t="s">
        <v>2821</v>
      </c>
      <c r="G3948" s="411" t="str">
        <f t="shared" si="62"/>
        <v>13-01</v>
      </c>
      <c r="H3948" s="273" t="e">
        <f ca="1">_xludf.IFNA(VLOOKUP(Aragon!E3948,'Kilter Holds'!$P$37:$AB$662,9,0),0)</f>
        <v>#NAME?</v>
      </c>
      <c r="I3948" s="274"/>
      <c r="J3948" s="274" t="e">
        <f t="shared" ca="1" si="63"/>
        <v>#NAME?</v>
      </c>
      <c r="K3948" s="274">
        <f t="shared" si="64"/>
        <v>0</v>
      </c>
      <c r="N3948" s="274"/>
    </row>
    <row r="3949" spans="5:14" ht="13.5" customHeight="1">
      <c r="E3949" s="1" t="s">
        <v>773</v>
      </c>
      <c r="F3949" s="1" t="s">
        <v>2821</v>
      </c>
      <c r="G3949" s="413" t="str">
        <f t="shared" si="62"/>
        <v>07-13</v>
      </c>
      <c r="H3949" s="273" t="e">
        <f ca="1">_xludf.IFNA(VLOOKUP(Aragon!E3949,'Kilter Holds'!$P$37:$AB$662,10,0),0)</f>
        <v>#NAME?</v>
      </c>
      <c r="I3949" s="274"/>
      <c r="J3949" s="274" t="e">
        <f t="shared" ca="1" si="63"/>
        <v>#NAME?</v>
      </c>
      <c r="K3949" s="274">
        <f t="shared" si="64"/>
        <v>0</v>
      </c>
      <c r="N3949" s="274"/>
    </row>
    <row r="3950" spans="5:14" ht="13.5" customHeight="1">
      <c r="E3950" s="1" t="s">
        <v>773</v>
      </c>
      <c r="F3950" s="1" t="s">
        <v>2821</v>
      </c>
      <c r="G3950" s="414" t="str">
        <f t="shared" si="62"/>
        <v>11-26</v>
      </c>
      <c r="H3950" s="273" t="e">
        <f ca="1">_xludf.IFNA(VLOOKUP(Aragon!E3950,'Kilter Holds'!$P$37:$AB$662,11,0),0)</f>
        <v>#NAME?</v>
      </c>
      <c r="I3950" s="274"/>
      <c r="J3950" s="274" t="e">
        <f t="shared" ca="1" si="63"/>
        <v>#NAME?</v>
      </c>
      <c r="K3950" s="274">
        <f t="shared" si="64"/>
        <v>0</v>
      </c>
      <c r="N3950" s="274"/>
    </row>
    <row r="3951" spans="5:14" ht="13.5" customHeight="1">
      <c r="E3951" s="1" t="s">
        <v>773</v>
      </c>
      <c r="F3951" s="1" t="s">
        <v>2821</v>
      </c>
      <c r="G3951" s="415" t="str">
        <f t="shared" si="62"/>
        <v>18-01</v>
      </c>
      <c r="H3951" s="273" t="e">
        <f ca="1">_xludf.IFNA(VLOOKUP(Aragon!E3951,'Kilter Holds'!$P$37:$AB$662,12,0),0)</f>
        <v>#NAME?</v>
      </c>
      <c r="I3951" s="274"/>
      <c r="J3951" s="274" t="e">
        <f t="shared" ca="1" si="63"/>
        <v>#NAME?</v>
      </c>
      <c r="K3951" s="274">
        <f t="shared" si="64"/>
        <v>0</v>
      </c>
      <c r="N3951" s="274"/>
    </row>
    <row r="3952" spans="5:14" ht="13.5" customHeight="1">
      <c r="E3952" s="1" t="s">
        <v>773</v>
      </c>
      <c r="F3952" s="1" t="s">
        <v>2821</v>
      </c>
      <c r="G3952" s="416" t="str">
        <f t="shared" si="62"/>
        <v>Color Code</v>
      </c>
      <c r="H3952" s="273" t="e">
        <f ca="1">_xludf.IFNA(VLOOKUP(Aragon!E3952,'Kilter Holds'!$P$37:$AB$662,13,0),0)</f>
        <v>#NAME?</v>
      </c>
      <c r="I3952" s="274"/>
      <c r="J3952" s="274" t="e">
        <f t="shared" ca="1" si="63"/>
        <v>#NAME?</v>
      </c>
      <c r="K3952" s="274">
        <f t="shared" si="64"/>
        <v>0</v>
      </c>
      <c r="N3952" s="274"/>
    </row>
    <row r="3953" spans="5:14" ht="13.5" customHeight="1">
      <c r="E3953" s="1" t="s">
        <v>775</v>
      </c>
      <c r="F3953" s="1" t="s">
        <v>2822</v>
      </c>
      <c r="G3953" s="406" t="str">
        <f t="shared" si="62"/>
        <v>11-12</v>
      </c>
      <c r="H3953" s="273" t="e">
        <f ca="1">_xludf.IFNA(VLOOKUP(Aragon!E3953,'Kilter Holds'!$P$37:$AB$662,5,0),0)</f>
        <v>#NAME?</v>
      </c>
      <c r="I3953" s="274"/>
      <c r="J3953" s="274" t="e">
        <f t="shared" ca="1" si="63"/>
        <v>#NAME?</v>
      </c>
      <c r="K3953" s="274">
        <f t="shared" si="64"/>
        <v>0</v>
      </c>
      <c r="N3953" s="274"/>
    </row>
    <row r="3954" spans="5:14" ht="13.5" customHeight="1">
      <c r="E3954" s="1" t="s">
        <v>775</v>
      </c>
      <c r="F3954" s="1" t="s">
        <v>2822</v>
      </c>
      <c r="G3954" s="408" t="str">
        <f t="shared" si="62"/>
        <v>14-01</v>
      </c>
      <c r="H3954" s="273" t="e">
        <f ca="1">_xludf.IFNA(VLOOKUP(Aragon!E3954,'Kilter Holds'!$P$37:$AB$662,6,0),0)</f>
        <v>#NAME?</v>
      </c>
      <c r="I3954" s="274"/>
      <c r="J3954" s="274" t="e">
        <f t="shared" ca="1" si="63"/>
        <v>#NAME?</v>
      </c>
      <c r="K3954" s="274">
        <f t="shared" si="64"/>
        <v>0</v>
      </c>
      <c r="N3954" s="274"/>
    </row>
    <row r="3955" spans="5:14" ht="13.5" customHeight="1">
      <c r="E3955" s="1" t="s">
        <v>775</v>
      </c>
      <c r="F3955" s="1" t="s">
        <v>2822</v>
      </c>
      <c r="G3955" s="409" t="str">
        <f t="shared" si="62"/>
        <v>15-12</v>
      </c>
      <c r="H3955" s="273" t="e">
        <f ca="1">_xludf.IFNA(VLOOKUP(Aragon!E3955,'Kilter Holds'!$P$37:$AB$662,7,0),0)</f>
        <v>#NAME?</v>
      </c>
      <c r="I3955" s="274"/>
      <c r="J3955" s="274" t="e">
        <f t="shared" ca="1" si="63"/>
        <v>#NAME?</v>
      </c>
      <c r="K3955" s="274">
        <f t="shared" si="64"/>
        <v>0</v>
      </c>
      <c r="N3955" s="274"/>
    </row>
    <row r="3956" spans="5:14" ht="13.5" customHeight="1">
      <c r="E3956" s="1" t="s">
        <v>775</v>
      </c>
      <c r="F3956" s="1" t="s">
        <v>2822</v>
      </c>
      <c r="G3956" s="410" t="str">
        <f t="shared" si="62"/>
        <v>16-16</v>
      </c>
      <c r="H3956" s="273" t="e">
        <f ca="1">_xludf.IFNA(VLOOKUP(Aragon!E3956,'Kilter Holds'!$P$37:$AB$662,8,0),0)</f>
        <v>#NAME?</v>
      </c>
      <c r="I3956" s="274"/>
      <c r="J3956" s="274" t="e">
        <f t="shared" ca="1" si="63"/>
        <v>#NAME?</v>
      </c>
      <c r="K3956" s="274">
        <f t="shared" si="64"/>
        <v>0</v>
      </c>
      <c r="N3956" s="274"/>
    </row>
    <row r="3957" spans="5:14" ht="13.5" customHeight="1">
      <c r="E3957" s="1" t="s">
        <v>775</v>
      </c>
      <c r="F3957" s="1" t="s">
        <v>2822</v>
      </c>
      <c r="G3957" s="411" t="str">
        <f t="shared" si="62"/>
        <v>13-01</v>
      </c>
      <c r="H3957" s="273" t="e">
        <f ca="1">_xludf.IFNA(VLOOKUP(Aragon!E3957,'Kilter Holds'!$P$37:$AB$662,9,0),0)</f>
        <v>#NAME?</v>
      </c>
      <c r="I3957" s="274"/>
      <c r="J3957" s="274" t="e">
        <f t="shared" ca="1" si="63"/>
        <v>#NAME?</v>
      </c>
      <c r="K3957" s="274">
        <f t="shared" si="64"/>
        <v>0</v>
      </c>
      <c r="N3957" s="274"/>
    </row>
    <row r="3958" spans="5:14" ht="13.5" customHeight="1">
      <c r="E3958" s="1" t="s">
        <v>775</v>
      </c>
      <c r="F3958" s="1" t="s">
        <v>2822</v>
      </c>
      <c r="G3958" s="413" t="str">
        <f t="shared" si="62"/>
        <v>07-13</v>
      </c>
      <c r="H3958" s="273" t="e">
        <f ca="1">_xludf.IFNA(VLOOKUP(Aragon!E3958,'Kilter Holds'!$P$37:$AB$662,10,0),0)</f>
        <v>#NAME?</v>
      </c>
      <c r="I3958" s="274"/>
      <c r="J3958" s="274" t="e">
        <f t="shared" ca="1" si="63"/>
        <v>#NAME?</v>
      </c>
      <c r="K3958" s="274">
        <f t="shared" si="64"/>
        <v>0</v>
      </c>
      <c r="N3958" s="274"/>
    </row>
    <row r="3959" spans="5:14" ht="13.5" customHeight="1">
      <c r="E3959" s="1" t="s">
        <v>775</v>
      </c>
      <c r="F3959" s="1" t="s">
        <v>2822</v>
      </c>
      <c r="G3959" s="414" t="str">
        <f t="shared" si="62"/>
        <v>11-26</v>
      </c>
      <c r="H3959" s="273" t="e">
        <f ca="1">_xludf.IFNA(VLOOKUP(Aragon!E3959,'Kilter Holds'!$P$37:$AB$662,11,0),0)</f>
        <v>#NAME?</v>
      </c>
      <c r="I3959" s="274"/>
      <c r="J3959" s="274" t="e">
        <f t="shared" ca="1" si="63"/>
        <v>#NAME?</v>
      </c>
      <c r="K3959" s="274">
        <f t="shared" si="64"/>
        <v>0</v>
      </c>
      <c r="N3959" s="274"/>
    </row>
    <row r="3960" spans="5:14" ht="13.5" customHeight="1">
      <c r="E3960" s="1" t="s">
        <v>775</v>
      </c>
      <c r="F3960" s="1" t="s">
        <v>2822</v>
      </c>
      <c r="G3960" s="415" t="str">
        <f t="shared" si="62"/>
        <v>18-01</v>
      </c>
      <c r="H3960" s="273" t="e">
        <f ca="1">_xludf.IFNA(VLOOKUP(Aragon!E3960,'Kilter Holds'!$P$37:$AB$662,12,0),0)</f>
        <v>#NAME?</v>
      </c>
      <c r="I3960" s="274"/>
      <c r="J3960" s="274" t="e">
        <f t="shared" ca="1" si="63"/>
        <v>#NAME?</v>
      </c>
      <c r="K3960" s="274">
        <f t="shared" si="64"/>
        <v>0</v>
      </c>
      <c r="N3960" s="274"/>
    </row>
    <row r="3961" spans="5:14" ht="13.5" customHeight="1">
      <c r="E3961" s="1" t="s">
        <v>775</v>
      </c>
      <c r="F3961" s="1" t="s">
        <v>2822</v>
      </c>
      <c r="G3961" s="416" t="str">
        <f t="shared" si="62"/>
        <v>Color Code</v>
      </c>
      <c r="H3961" s="273" t="e">
        <f ca="1">_xludf.IFNA(VLOOKUP(Aragon!E3961,'Kilter Holds'!$P$37:$AB$662,13,0),0)</f>
        <v>#NAME?</v>
      </c>
      <c r="I3961" s="274"/>
      <c r="J3961" s="274" t="e">
        <f t="shared" ca="1" si="63"/>
        <v>#NAME?</v>
      </c>
      <c r="K3961" s="274">
        <f t="shared" si="64"/>
        <v>0</v>
      </c>
      <c r="N3961" s="274"/>
    </row>
    <row r="3962" spans="5:14" ht="13.5" customHeight="1">
      <c r="E3962" s="1" t="s">
        <v>687</v>
      </c>
      <c r="F3962" s="1" t="s">
        <v>2823</v>
      </c>
      <c r="G3962" s="406" t="str">
        <f t="shared" si="62"/>
        <v>11-12</v>
      </c>
      <c r="H3962" s="273" t="e">
        <f ca="1">_xludf.IFNA(VLOOKUP(Aragon!E3962,'Kilter Holds'!$P$37:$AB$662,5,0),0)</f>
        <v>#NAME?</v>
      </c>
      <c r="I3962" s="274"/>
      <c r="J3962" s="274" t="e">
        <f t="shared" ca="1" si="63"/>
        <v>#NAME?</v>
      </c>
      <c r="K3962" s="274">
        <f t="shared" si="64"/>
        <v>0</v>
      </c>
      <c r="N3962" s="274"/>
    </row>
    <row r="3963" spans="5:14" ht="13.5" customHeight="1">
      <c r="E3963" s="1" t="s">
        <v>687</v>
      </c>
      <c r="F3963" s="1" t="s">
        <v>2823</v>
      </c>
      <c r="G3963" s="408" t="str">
        <f t="shared" si="62"/>
        <v>14-01</v>
      </c>
      <c r="H3963" s="273" t="e">
        <f ca="1">_xludf.IFNA(VLOOKUP(Aragon!E3963,'Kilter Holds'!$P$37:$AB$662,6,0),0)</f>
        <v>#NAME?</v>
      </c>
      <c r="I3963" s="274"/>
      <c r="J3963" s="274" t="e">
        <f t="shared" ca="1" si="63"/>
        <v>#NAME?</v>
      </c>
      <c r="K3963" s="274">
        <f t="shared" si="64"/>
        <v>0</v>
      </c>
      <c r="N3963" s="274"/>
    </row>
    <row r="3964" spans="5:14" ht="13.5" customHeight="1">
      <c r="E3964" s="1" t="s">
        <v>687</v>
      </c>
      <c r="F3964" s="1" t="s">
        <v>2823</v>
      </c>
      <c r="G3964" s="409" t="str">
        <f t="shared" si="62"/>
        <v>15-12</v>
      </c>
      <c r="H3964" s="273" t="e">
        <f ca="1">_xludf.IFNA(VLOOKUP(Aragon!E3964,'Kilter Holds'!$P$37:$AB$662,7,0),0)</f>
        <v>#NAME?</v>
      </c>
      <c r="I3964" s="274"/>
      <c r="J3964" s="274" t="e">
        <f t="shared" ca="1" si="63"/>
        <v>#NAME?</v>
      </c>
      <c r="K3964" s="274">
        <f t="shared" si="64"/>
        <v>0</v>
      </c>
      <c r="N3964" s="274"/>
    </row>
    <row r="3965" spans="5:14" ht="13.5" customHeight="1">
      <c r="E3965" s="1" t="s">
        <v>687</v>
      </c>
      <c r="F3965" s="1" t="s">
        <v>2823</v>
      </c>
      <c r="G3965" s="410" t="str">
        <f t="shared" si="62"/>
        <v>16-16</v>
      </c>
      <c r="H3965" s="273" t="e">
        <f ca="1">_xludf.IFNA(VLOOKUP(Aragon!E3965,'Kilter Holds'!$P$37:$AB$662,8,0),0)</f>
        <v>#NAME?</v>
      </c>
      <c r="I3965" s="274"/>
      <c r="J3965" s="274" t="e">
        <f t="shared" ca="1" si="63"/>
        <v>#NAME?</v>
      </c>
      <c r="K3965" s="274">
        <f t="shared" si="64"/>
        <v>0</v>
      </c>
      <c r="N3965" s="274"/>
    </row>
    <row r="3966" spans="5:14" ht="13.5" customHeight="1">
      <c r="E3966" s="1" t="s">
        <v>687</v>
      </c>
      <c r="F3966" s="1" t="s">
        <v>2823</v>
      </c>
      <c r="G3966" s="411" t="str">
        <f t="shared" si="62"/>
        <v>13-01</v>
      </c>
      <c r="H3966" s="273" t="e">
        <f ca="1">_xludf.IFNA(VLOOKUP(Aragon!E3966,'Kilter Holds'!$P$37:$AB$662,9,0),0)</f>
        <v>#NAME?</v>
      </c>
      <c r="I3966" s="274"/>
      <c r="J3966" s="274" t="e">
        <f t="shared" ca="1" si="63"/>
        <v>#NAME?</v>
      </c>
      <c r="K3966" s="274">
        <f t="shared" si="64"/>
        <v>0</v>
      </c>
      <c r="N3966" s="274"/>
    </row>
    <row r="3967" spans="5:14" ht="13.5" customHeight="1">
      <c r="E3967" s="1" t="s">
        <v>687</v>
      </c>
      <c r="F3967" s="1" t="s">
        <v>2823</v>
      </c>
      <c r="G3967" s="413" t="str">
        <f t="shared" si="62"/>
        <v>07-13</v>
      </c>
      <c r="H3967" s="273" t="e">
        <f ca="1">_xludf.IFNA(VLOOKUP(Aragon!E3967,'Kilter Holds'!$P$37:$AB$662,10,0),0)</f>
        <v>#NAME?</v>
      </c>
      <c r="I3967" s="274"/>
      <c r="J3967" s="274" t="e">
        <f t="shared" ca="1" si="63"/>
        <v>#NAME?</v>
      </c>
      <c r="K3967" s="274">
        <f t="shared" si="64"/>
        <v>0</v>
      </c>
      <c r="N3967" s="274"/>
    </row>
    <row r="3968" spans="5:14" ht="13.5" customHeight="1">
      <c r="E3968" s="1" t="s">
        <v>687</v>
      </c>
      <c r="F3968" s="1" t="s">
        <v>2823</v>
      </c>
      <c r="G3968" s="414" t="str">
        <f t="shared" si="62"/>
        <v>11-26</v>
      </c>
      <c r="H3968" s="273" t="e">
        <f ca="1">_xludf.IFNA(VLOOKUP(Aragon!E3968,'Kilter Holds'!$P$37:$AB$662,11,0),0)</f>
        <v>#NAME?</v>
      </c>
      <c r="I3968" s="274"/>
      <c r="J3968" s="274" t="e">
        <f t="shared" ca="1" si="63"/>
        <v>#NAME?</v>
      </c>
      <c r="K3968" s="274">
        <f t="shared" si="64"/>
        <v>0</v>
      </c>
      <c r="N3968" s="274"/>
    </row>
    <row r="3969" spans="5:14" ht="13.5" customHeight="1">
      <c r="E3969" s="1" t="s">
        <v>687</v>
      </c>
      <c r="F3969" s="1" t="s">
        <v>2823</v>
      </c>
      <c r="G3969" s="415" t="str">
        <f t="shared" si="62"/>
        <v>18-01</v>
      </c>
      <c r="H3969" s="273" t="e">
        <f ca="1">_xludf.IFNA(VLOOKUP(Aragon!E3969,'Kilter Holds'!$P$37:$AB$662,12,0),0)</f>
        <v>#NAME?</v>
      </c>
      <c r="I3969" s="274"/>
      <c r="J3969" s="274" t="e">
        <f t="shared" ca="1" si="63"/>
        <v>#NAME?</v>
      </c>
      <c r="K3969" s="274">
        <f t="shared" si="64"/>
        <v>0</v>
      </c>
      <c r="N3969" s="274"/>
    </row>
    <row r="3970" spans="5:14" ht="13.5" customHeight="1">
      <c r="E3970" s="1" t="s">
        <v>687</v>
      </c>
      <c r="F3970" s="1" t="s">
        <v>2823</v>
      </c>
      <c r="G3970" s="416" t="str">
        <f t="shared" si="62"/>
        <v>Color Code</v>
      </c>
      <c r="H3970" s="273" t="e">
        <f ca="1">_xludf.IFNA(VLOOKUP(Aragon!E3970,'Kilter Holds'!$P$37:$AB$662,13,0),0)</f>
        <v>#NAME?</v>
      </c>
      <c r="I3970" s="274"/>
      <c r="J3970" s="274" t="e">
        <f t="shared" ca="1" si="63"/>
        <v>#NAME?</v>
      </c>
      <c r="K3970" s="274">
        <f t="shared" si="64"/>
        <v>0</v>
      </c>
      <c r="N3970" s="274"/>
    </row>
    <row r="3971" spans="5:14" ht="13.5" customHeight="1">
      <c r="E3971" s="1" t="s">
        <v>689</v>
      </c>
      <c r="F3971" s="1" t="s">
        <v>2824</v>
      </c>
      <c r="G3971" s="406" t="str">
        <f t="shared" si="62"/>
        <v>11-12</v>
      </c>
      <c r="H3971" s="273" t="e">
        <f ca="1">_xludf.IFNA(VLOOKUP(Aragon!E3971,'Kilter Holds'!$P$37:$AB$662,5,0),0)</f>
        <v>#NAME?</v>
      </c>
      <c r="I3971" s="274"/>
      <c r="J3971" s="274" t="e">
        <f t="shared" ca="1" si="63"/>
        <v>#NAME?</v>
      </c>
      <c r="K3971" s="274">
        <f t="shared" si="64"/>
        <v>0</v>
      </c>
      <c r="N3971" s="274"/>
    </row>
    <row r="3972" spans="5:14" ht="13.5" customHeight="1">
      <c r="E3972" s="1" t="s">
        <v>689</v>
      </c>
      <c r="F3972" s="1" t="s">
        <v>2824</v>
      </c>
      <c r="G3972" s="408" t="str">
        <f t="shared" si="62"/>
        <v>14-01</v>
      </c>
      <c r="H3972" s="273" t="e">
        <f ca="1">_xludf.IFNA(VLOOKUP(Aragon!E3972,'Kilter Holds'!$P$37:$AB$662,6,0),0)</f>
        <v>#NAME?</v>
      </c>
      <c r="I3972" s="274"/>
      <c r="J3972" s="274" t="e">
        <f t="shared" ca="1" si="63"/>
        <v>#NAME?</v>
      </c>
      <c r="K3972" s="274">
        <f t="shared" si="64"/>
        <v>0</v>
      </c>
      <c r="N3972" s="274"/>
    </row>
    <row r="3973" spans="5:14" ht="13.5" customHeight="1">
      <c r="E3973" s="1" t="s">
        <v>689</v>
      </c>
      <c r="F3973" s="1" t="s">
        <v>2824</v>
      </c>
      <c r="G3973" s="409" t="str">
        <f t="shared" si="62"/>
        <v>15-12</v>
      </c>
      <c r="H3973" s="273" t="e">
        <f ca="1">_xludf.IFNA(VLOOKUP(Aragon!E3973,'Kilter Holds'!$P$37:$AB$662,7,0),0)</f>
        <v>#NAME?</v>
      </c>
      <c r="I3973" s="274"/>
      <c r="J3973" s="274" t="e">
        <f t="shared" ca="1" si="63"/>
        <v>#NAME?</v>
      </c>
      <c r="K3973" s="274">
        <f t="shared" si="64"/>
        <v>0</v>
      </c>
      <c r="N3973" s="274"/>
    </row>
    <row r="3974" spans="5:14" ht="13.5" customHeight="1">
      <c r="E3974" s="1" t="s">
        <v>689</v>
      </c>
      <c r="F3974" s="1" t="s">
        <v>2824</v>
      </c>
      <c r="G3974" s="410" t="str">
        <f t="shared" si="62"/>
        <v>16-16</v>
      </c>
      <c r="H3974" s="273" t="e">
        <f ca="1">_xludf.IFNA(VLOOKUP(Aragon!E3974,'Kilter Holds'!$P$37:$AB$662,8,0),0)</f>
        <v>#NAME?</v>
      </c>
      <c r="I3974" s="274"/>
      <c r="J3974" s="274" t="e">
        <f t="shared" ca="1" si="63"/>
        <v>#NAME?</v>
      </c>
      <c r="K3974" s="274">
        <f t="shared" si="64"/>
        <v>0</v>
      </c>
      <c r="N3974" s="274"/>
    </row>
    <row r="3975" spans="5:14" ht="13.5" customHeight="1">
      <c r="E3975" s="1" t="s">
        <v>689</v>
      </c>
      <c r="F3975" s="1" t="s">
        <v>2824</v>
      </c>
      <c r="G3975" s="411" t="str">
        <f t="shared" si="62"/>
        <v>13-01</v>
      </c>
      <c r="H3975" s="273" t="e">
        <f ca="1">_xludf.IFNA(VLOOKUP(Aragon!E3975,'Kilter Holds'!$P$37:$AB$662,9,0),0)</f>
        <v>#NAME?</v>
      </c>
      <c r="I3975" s="274"/>
      <c r="J3975" s="274" t="e">
        <f t="shared" ca="1" si="63"/>
        <v>#NAME?</v>
      </c>
      <c r="K3975" s="274">
        <f t="shared" si="64"/>
        <v>0</v>
      </c>
      <c r="N3975" s="274"/>
    </row>
    <row r="3976" spans="5:14" ht="13.5" customHeight="1">
      <c r="E3976" s="1" t="s">
        <v>689</v>
      </c>
      <c r="F3976" s="1" t="s">
        <v>2824</v>
      </c>
      <c r="G3976" s="413" t="str">
        <f t="shared" si="62"/>
        <v>07-13</v>
      </c>
      <c r="H3976" s="273" t="e">
        <f ca="1">_xludf.IFNA(VLOOKUP(Aragon!E3976,'Kilter Holds'!$P$37:$AB$662,10,0),0)</f>
        <v>#NAME?</v>
      </c>
      <c r="I3976" s="274"/>
      <c r="J3976" s="274" t="e">
        <f t="shared" ca="1" si="63"/>
        <v>#NAME?</v>
      </c>
      <c r="K3976" s="274">
        <f t="shared" si="64"/>
        <v>0</v>
      </c>
      <c r="N3976" s="274"/>
    </row>
    <row r="3977" spans="5:14" ht="13.5" customHeight="1">
      <c r="E3977" s="1" t="s">
        <v>689</v>
      </c>
      <c r="F3977" s="1" t="s">
        <v>2824</v>
      </c>
      <c r="G3977" s="414" t="str">
        <f t="shared" si="62"/>
        <v>11-26</v>
      </c>
      <c r="H3977" s="273" t="e">
        <f ca="1">_xludf.IFNA(VLOOKUP(Aragon!E3977,'Kilter Holds'!$P$37:$AB$662,11,0),0)</f>
        <v>#NAME?</v>
      </c>
      <c r="I3977" s="274"/>
      <c r="J3977" s="274" t="e">
        <f t="shared" ca="1" si="63"/>
        <v>#NAME?</v>
      </c>
      <c r="K3977" s="274">
        <f t="shared" si="64"/>
        <v>0</v>
      </c>
      <c r="N3977" s="274"/>
    </row>
    <row r="3978" spans="5:14" ht="13.5" customHeight="1">
      <c r="E3978" s="1" t="s">
        <v>689</v>
      </c>
      <c r="F3978" s="1" t="s">
        <v>2824</v>
      </c>
      <c r="G3978" s="415" t="str">
        <f t="shared" si="62"/>
        <v>18-01</v>
      </c>
      <c r="H3978" s="273" t="e">
        <f ca="1">_xludf.IFNA(VLOOKUP(Aragon!E3978,'Kilter Holds'!$P$37:$AB$662,12,0),0)</f>
        <v>#NAME?</v>
      </c>
      <c r="I3978" s="274"/>
      <c r="J3978" s="274" t="e">
        <f t="shared" ca="1" si="63"/>
        <v>#NAME?</v>
      </c>
      <c r="K3978" s="274">
        <f t="shared" si="64"/>
        <v>0</v>
      </c>
      <c r="N3978" s="274"/>
    </row>
    <row r="3979" spans="5:14" ht="13.5" customHeight="1">
      <c r="E3979" s="1" t="s">
        <v>689</v>
      </c>
      <c r="F3979" s="1" t="s">
        <v>2824</v>
      </c>
      <c r="G3979" s="416" t="str">
        <f t="shared" si="62"/>
        <v>Color Code</v>
      </c>
      <c r="H3979" s="273" t="e">
        <f ca="1">_xludf.IFNA(VLOOKUP(Aragon!E3979,'Kilter Holds'!$P$37:$AB$662,13,0),0)</f>
        <v>#NAME?</v>
      </c>
      <c r="I3979" s="274"/>
      <c r="J3979" s="274" t="e">
        <f t="shared" ca="1" si="63"/>
        <v>#NAME?</v>
      </c>
      <c r="K3979" s="274">
        <f t="shared" si="64"/>
        <v>0</v>
      </c>
      <c r="N3979" s="274"/>
    </row>
    <row r="3980" spans="5:14" ht="13.5" customHeight="1">
      <c r="E3980" s="1" t="s">
        <v>691</v>
      </c>
      <c r="F3980" s="1" t="s">
        <v>2825</v>
      </c>
      <c r="G3980" s="406" t="str">
        <f t="shared" si="62"/>
        <v>11-12</v>
      </c>
      <c r="H3980" s="273" t="e">
        <f ca="1">_xludf.IFNA(VLOOKUP(Aragon!E3980,'Kilter Holds'!$P$37:$AB$662,5,0),0)</f>
        <v>#NAME?</v>
      </c>
      <c r="I3980" s="274"/>
      <c r="J3980" s="274" t="e">
        <f t="shared" ca="1" si="63"/>
        <v>#NAME?</v>
      </c>
      <c r="K3980" s="274">
        <f t="shared" si="64"/>
        <v>0</v>
      </c>
      <c r="N3980" s="274"/>
    </row>
    <row r="3981" spans="5:14" ht="13.5" customHeight="1">
      <c r="E3981" s="1" t="s">
        <v>691</v>
      </c>
      <c r="F3981" s="1" t="s">
        <v>2825</v>
      </c>
      <c r="G3981" s="408" t="str">
        <f t="shared" si="62"/>
        <v>14-01</v>
      </c>
      <c r="H3981" s="273" t="e">
        <f ca="1">_xludf.IFNA(VLOOKUP(Aragon!E3981,'Kilter Holds'!$P$37:$AB$662,6,0),0)</f>
        <v>#NAME?</v>
      </c>
      <c r="I3981" s="274"/>
      <c r="J3981" s="274" t="e">
        <f t="shared" ca="1" si="63"/>
        <v>#NAME?</v>
      </c>
      <c r="K3981" s="274">
        <f t="shared" si="64"/>
        <v>0</v>
      </c>
      <c r="N3981" s="274"/>
    </row>
    <row r="3982" spans="5:14" ht="13.5" customHeight="1">
      <c r="E3982" s="1" t="s">
        <v>691</v>
      </c>
      <c r="F3982" s="1" t="s">
        <v>2825</v>
      </c>
      <c r="G3982" s="409" t="str">
        <f t="shared" si="62"/>
        <v>15-12</v>
      </c>
      <c r="H3982" s="273" t="e">
        <f ca="1">_xludf.IFNA(VLOOKUP(Aragon!E3982,'Kilter Holds'!$P$37:$AB$662,7,0),0)</f>
        <v>#NAME?</v>
      </c>
      <c r="I3982" s="274"/>
      <c r="J3982" s="274" t="e">
        <f t="shared" ca="1" si="63"/>
        <v>#NAME?</v>
      </c>
      <c r="K3982" s="274">
        <f t="shared" si="64"/>
        <v>0</v>
      </c>
      <c r="N3982" s="274"/>
    </row>
    <row r="3983" spans="5:14" ht="13.5" customHeight="1">
      <c r="E3983" s="1" t="s">
        <v>691</v>
      </c>
      <c r="F3983" s="1" t="s">
        <v>2825</v>
      </c>
      <c r="G3983" s="410" t="str">
        <f t="shared" si="62"/>
        <v>16-16</v>
      </c>
      <c r="H3983" s="273" t="e">
        <f ca="1">_xludf.IFNA(VLOOKUP(Aragon!E3983,'Kilter Holds'!$P$37:$AB$662,8,0),0)</f>
        <v>#NAME?</v>
      </c>
      <c r="I3983" s="274"/>
      <c r="J3983" s="274" t="e">
        <f t="shared" ca="1" si="63"/>
        <v>#NAME?</v>
      </c>
      <c r="K3983" s="274">
        <f t="shared" si="64"/>
        <v>0</v>
      </c>
      <c r="N3983" s="274"/>
    </row>
    <row r="3984" spans="5:14" ht="13.5" customHeight="1">
      <c r="E3984" s="1" t="s">
        <v>691</v>
      </c>
      <c r="F3984" s="1" t="s">
        <v>2825</v>
      </c>
      <c r="G3984" s="411" t="str">
        <f t="shared" si="62"/>
        <v>13-01</v>
      </c>
      <c r="H3984" s="273" t="e">
        <f ca="1">_xludf.IFNA(VLOOKUP(Aragon!E3984,'Kilter Holds'!$P$37:$AB$662,9,0),0)</f>
        <v>#NAME?</v>
      </c>
      <c r="I3984" s="274"/>
      <c r="J3984" s="274" t="e">
        <f t="shared" ca="1" si="63"/>
        <v>#NAME?</v>
      </c>
      <c r="K3984" s="274">
        <f t="shared" si="64"/>
        <v>0</v>
      </c>
      <c r="N3984" s="274"/>
    </row>
    <row r="3985" spans="5:14" ht="13.5" customHeight="1">
      <c r="E3985" s="1" t="s">
        <v>691</v>
      </c>
      <c r="F3985" s="1" t="s">
        <v>2825</v>
      </c>
      <c r="G3985" s="413" t="str">
        <f t="shared" si="62"/>
        <v>07-13</v>
      </c>
      <c r="H3985" s="273" t="e">
        <f ca="1">_xludf.IFNA(VLOOKUP(Aragon!E3985,'Kilter Holds'!$P$37:$AB$662,10,0),0)</f>
        <v>#NAME?</v>
      </c>
      <c r="I3985" s="274"/>
      <c r="J3985" s="274" t="e">
        <f t="shared" ca="1" si="63"/>
        <v>#NAME?</v>
      </c>
      <c r="K3985" s="274">
        <f t="shared" si="64"/>
        <v>0</v>
      </c>
      <c r="N3985" s="274"/>
    </row>
    <row r="3986" spans="5:14" ht="13.5" customHeight="1">
      <c r="E3986" s="1" t="s">
        <v>691</v>
      </c>
      <c r="F3986" s="1" t="s">
        <v>2825</v>
      </c>
      <c r="G3986" s="414" t="str">
        <f t="shared" si="62"/>
        <v>11-26</v>
      </c>
      <c r="H3986" s="273" t="e">
        <f ca="1">_xludf.IFNA(VLOOKUP(Aragon!E3986,'Kilter Holds'!$P$37:$AB$662,11,0),0)</f>
        <v>#NAME?</v>
      </c>
      <c r="I3986" s="274"/>
      <c r="J3986" s="274" t="e">
        <f t="shared" ca="1" si="63"/>
        <v>#NAME?</v>
      </c>
      <c r="K3986" s="274">
        <f t="shared" si="64"/>
        <v>0</v>
      </c>
      <c r="N3986" s="274"/>
    </row>
    <row r="3987" spans="5:14" ht="13.5" customHeight="1">
      <c r="E3987" s="1" t="s">
        <v>691</v>
      </c>
      <c r="F3987" s="1" t="s">
        <v>2825</v>
      </c>
      <c r="G3987" s="415" t="str">
        <f t="shared" si="62"/>
        <v>18-01</v>
      </c>
      <c r="H3987" s="273" t="e">
        <f ca="1">_xludf.IFNA(VLOOKUP(Aragon!E3987,'Kilter Holds'!$P$37:$AB$662,12,0),0)</f>
        <v>#NAME?</v>
      </c>
      <c r="I3987" s="274"/>
      <c r="J3987" s="274" t="e">
        <f t="shared" ca="1" si="63"/>
        <v>#NAME?</v>
      </c>
      <c r="K3987" s="274">
        <f t="shared" si="64"/>
        <v>0</v>
      </c>
      <c r="N3987" s="274"/>
    </row>
    <row r="3988" spans="5:14" ht="13.5" customHeight="1">
      <c r="E3988" s="1" t="s">
        <v>691</v>
      </c>
      <c r="F3988" s="1" t="s">
        <v>2825</v>
      </c>
      <c r="G3988" s="416" t="str">
        <f t="shared" si="62"/>
        <v>Color Code</v>
      </c>
      <c r="H3988" s="273" t="e">
        <f ca="1">_xludf.IFNA(VLOOKUP(Aragon!E3988,'Kilter Holds'!$P$37:$AB$662,13,0),0)</f>
        <v>#NAME?</v>
      </c>
      <c r="I3988" s="274"/>
      <c r="J3988" s="274" t="e">
        <f t="shared" ca="1" si="63"/>
        <v>#NAME?</v>
      </c>
      <c r="K3988" s="274">
        <f t="shared" si="64"/>
        <v>0</v>
      </c>
      <c r="N3988" s="274"/>
    </row>
    <row r="3989" spans="5:14" ht="13.5" customHeight="1">
      <c r="E3989" s="209" t="s">
        <v>716</v>
      </c>
      <c r="F3989" s="209" t="s">
        <v>2826</v>
      </c>
      <c r="G3989" s="406" t="str">
        <f t="shared" ref="G3989:G3997" si="65">G3917</f>
        <v>11-12</v>
      </c>
      <c r="H3989" s="273" t="e">
        <f ca="1">_xludf.IFNA(VLOOKUP(Aragon!E3989,'Kilter Holds'!$P$37:$AB$662,5,0),0)</f>
        <v>#NAME?</v>
      </c>
      <c r="I3989" s="274"/>
      <c r="J3989" s="274" t="e">
        <f t="shared" ca="1" si="63"/>
        <v>#NAME?</v>
      </c>
      <c r="K3989" s="274">
        <f t="shared" si="64"/>
        <v>0</v>
      </c>
      <c r="N3989" s="274"/>
    </row>
    <row r="3990" spans="5:14" ht="13.5" customHeight="1">
      <c r="E3990" s="209" t="s">
        <v>716</v>
      </c>
      <c r="F3990" s="209" t="s">
        <v>2826</v>
      </c>
      <c r="G3990" s="408" t="str">
        <f t="shared" si="65"/>
        <v>14-01</v>
      </c>
      <c r="H3990" s="273" t="e">
        <f ca="1">_xludf.IFNA(VLOOKUP(Aragon!E3990,'Kilter Holds'!$P$37:$AB$662,6,0),0)</f>
        <v>#NAME?</v>
      </c>
      <c r="I3990" s="274"/>
      <c r="J3990" s="274" t="e">
        <f t="shared" ca="1" si="63"/>
        <v>#NAME?</v>
      </c>
      <c r="K3990" s="274">
        <f t="shared" si="64"/>
        <v>0</v>
      </c>
      <c r="N3990" s="274"/>
    </row>
    <row r="3991" spans="5:14" ht="13.5" customHeight="1">
      <c r="E3991" s="209" t="s">
        <v>716</v>
      </c>
      <c r="F3991" s="209" t="s">
        <v>2826</v>
      </c>
      <c r="G3991" s="409" t="str">
        <f t="shared" si="65"/>
        <v>15-12</v>
      </c>
      <c r="H3991" s="273" t="e">
        <f ca="1">_xludf.IFNA(VLOOKUP(Aragon!E3991,'Kilter Holds'!$P$37:$AB$662,7,0),0)</f>
        <v>#NAME?</v>
      </c>
      <c r="I3991" s="274"/>
      <c r="J3991" s="274" t="e">
        <f t="shared" ca="1" si="63"/>
        <v>#NAME?</v>
      </c>
      <c r="K3991" s="274">
        <f t="shared" si="64"/>
        <v>0</v>
      </c>
      <c r="N3991" s="274"/>
    </row>
    <row r="3992" spans="5:14" ht="13.5" customHeight="1">
      <c r="E3992" s="209" t="s">
        <v>716</v>
      </c>
      <c r="F3992" s="209" t="s">
        <v>2826</v>
      </c>
      <c r="G3992" s="410" t="str">
        <f t="shared" si="65"/>
        <v>16-16</v>
      </c>
      <c r="H3992" s="273" t="e">
        <f ca="1">_xludf.IFNA(VLOOKUP(Aragon!E3992,'Kilter Holds'!$P$37:$AB$662,8,0),0)</f>
        <v>#NAME?</v>
      </c>
      <c r="I3992" s="274"/>
      <c r="J3992" s="274" t="e">
        <f t="shared" ca="1" si="63"/>
        <v>#NAME?</v>
      </c>
      <c r="K3992" s="274">
        <f t="shared" si="64"/>
        <v>0</v>
      </c>
      <c r="N3992" s="274"/>
    </row>
    <row r="3993" spans="5:14" ht="13.5" customHeight="1">
      <c r="E3993" s="209" t="s">
        <v>716</v>
      </c>
      <c r="F3993" s="209" t="s">
        <v>2826</v>
      </c>
      <c r="G3993" s="411" t="str">
        <f t="shared" si="65"/>
        <v>13-01</v>
      </c>
      <c r="H3993" s="273" t="e">
        <f ca="1">_xludf.IFNA(VLOOKUP(Aragon!E3993,'Kilter Holds'!$P$37:$AB$662,9,0),0)</f>
        <v>#NAME?</v>
      </c>
      <c r="I3993" s="274"/>
      <c r="J3993" s="274" t="e">
        <f t="shared" ca="1" si="63"/>
        <v>#NAME?</v>
      </c>
      <c r="K3993" s="274">
        <f t="shared" si="64"/>
        <v>0</v>
      </c>
      <c r="N3993" s="274"/>
    </row>
    <row r="3994" spans="5:14" ht="13.5" customHeight="1">
      <c r="E3994" s="209" t="s">
        <v>716</v>
      </c>
      <c r="F3994" s="209" t="s">
        <v>2826</v>
      </c>
      <c r="G3994" s="413" t="str">
        <f t="shared" si="65"/>
        <v>07-13</v>
      </c>
      <c r="H3994" s="273" t="e">
        <f ca="1">_xludf.IFNA(VLOOKUP(Aragon!E3994,'Kilter Holds'!$P$37:$AB$662,10,0),0)</f>
        <v>#NAME?</v>
      </c>
      <c r="I3994" s="274"/>
      <c r="J3994" s="274" t="e">
        <f t="shared" ca="1" si="63"/>
        <v>#NAME?</v>
      </c>
      <c r="K3994" s="274">
        <f t="shared" si="64"/>
        <v>0</v>
      </c>
      <c r="N3994" s="274"/>
    </row>
    <row r="3995" spans="5:14" ht="13.5" customHeight="1">
      <c r="E3995" s="209" t="s">
        <v>716</v>
      </c>
      <c r="F3995" s="209" t="s">
        <v>2826</v>
      </c>
      <c r="G3995" s="414" t="str">
        <f t="shared" si="65"/>
        <v>11-26</v>
      </c>
      <c r="H3995" s="273" t="e">
        <f ca="1">_xludf.IFNA(VLOOKUP(Aragon!E3995,'Kilter Holds'!$P$37:$AB$662,11,0),0)</f>
        <v>#NAME?</v>
      </c>
      <c r="I3995" s="274"/>
      <c r="J3995" s="274" t="e">
        <f t="shared" ca="1" si="63"/>
        <v>#NAME?</v>
      </c>
      <c r="K3995" s="274">
        <f t="shared" si="64"/>
        <v>0</v>
      </c>
      <c r="N3995" s="274"/>
    </row>
    <row r="3996" spans="5:14" ht="13.5" customHeight="1">
      <c r="E3996" s="209" t="s">
        <v>716</v>
      </c>
      <c r="F3996" s="209" t="s">
        <v>2826</v>
      </c>
      <c r="G3996" s="415" t="str">
        <f t="shared" si="65"/>
        <v>18-01</v>
      </c>
      <c r="H3996" s="273" t="e">
        <f ca="1">_xludf.IFNA(VLOOKUP(Aragon!E3996,'Kilter Holds'!$P$37:$AB$662,12,0),0)</f>
        <v>#NAME?</v>
      </c>
      <c r="I3996" s="274"/>
      <c r="J3996" s="274" t="e">
        <f t="shared" ca="1" si="63"/>
        <v>#NAME?</v>
      </c>
      <c r="K3996" s="274">
        <f t="shared" si="64"/>
        <v>0</v>
      </c>
      <c r="N3996" s="274"/>
    </row>
    <row r="3997" spans="5:14" ht="13.5" customHeight="1">
      <c r="E3997" s="209" t="s">
        <v>716</v>
      </c>
      <c r="F3997" s="209" t="s">
        <v>2826</v>
      </c>
      <c r="G3997" s="416" t="str">
        <f t="shared" si="65"/>
        <v>Color Code</v>
      </c>
      <c r="H3997" s="273" t="e">
        <f ca="1">_xludf.IFNA(VLOOKUP(Aragon!E3997,'Kilter Holds'!$P$37:$AB$662,13,0),0)</f>
        <v>#NAME?</v>
      </c>
      <c r="I3997" s="274"/>
      <c r="J3997" s="274" t="e">
        <f t="shared" ca="1" si="63"/>
        <v>#NAME?</v>
      </c>
      <c r="K3997" s="274">
        <f t="shared" si="64"/>
        <v>0</v>
      </c>
      <c r="N3997" s="274"/>
    </row>
    <row r="3998" spans="5:14" ht="13.5" customHeight="1">
      <c r="E3998" s="209" t="s">
        <v>718</v>
      </c>
      <c r="F3998" s="209" t="s">
        <v>2827</v>
      </c>
      <c r="G3998" s="406" t="str">
        <f t="shared" ref="G3998:G4252" si="66">G3989</f>
        <v>11-12</v>
      </c>
      <c r="H3998" s="273" t="e">
        <f ca="1">_xludf.IFNA(VLOOKUP(Aragon!E3998,'Kilter Holds'!$P$37:$AB$662,5,0),0)</f>
        <v>#NAME?</v>
      </c>
      <c r="I3998" s="274"/>
      <c r="J3998" s="274" t="e">
        <f t="shared" ca="1" si="63"/>
        <v>#NAME?</v>
      </c>
      <c r="K3998" s="274">
        <f t="shared" si="64"/>
        <v>0</v>
      </c>
      <c r="N3998" s="274"/>
    </row>
    <row r="3999" spans="5:14" ht="13.5" customHeight="1">
      <c r="E3999" s="209" t="s">
        <v>718</v>
      </c>
      <c r="F3999" s="209" t="s">
        <v>2827</v>
      </c>
      <c r="G3999" s="408" t="str">
        <f t="shared" si="66"/>
        <v>14-01</v>
      </c>
      <c r="H3999" s="273" t="e">
        <f ca="1">_xludf.IFNA(VLOOKUP(Aragon!E3999,'Kilter Holds'!$P$37:$AB$662,6,0),0)</f>
        <v>#NAME?</v>
      </c>
      <c r="I3999" s="274"/>
      <c r="J3999" s="274" t="e">
        <f t="shared" ca="1" si="63"/>
        <v>#NAME?</v>
      </c>
      <c r="K3999" s="274">
        <f t="shared" si="64"/>
        <v>0</v>
      </c>
      <c r="N3999" s="274"/>
    </row>
    <row r="4000" spans="5:14" ht="13.5" customHeight="1">
      <c r="E4000" s="209" t="s">
        <v>718</v>
      </c>
      <c r="F4000" s="209" t="s">
        <v>2827</v>
      </c>
      <c r="G4000" s="409" t="str">
        <f t="shared" si="66"/>
        <v>15-12</v>
      </c>
      <c r="H4000" s="273" t="e">
        <f ca="1">_xludf.IFNA(VLOOKUP(Aragon!E4000,'Kilter Holds'!$P$37:$AB$662,7,0),0)</f>
        <v>#NAME?</v>
      </c>
      <c r="I4000" s="274"/>
      <c r="J4000" s="274" t="e">
        <f t="shared" ca="1" si="63"/>
        <v>#NAME?</v>
      </c>
      <c r="K4000" s="274">
        <f t="shared" si="64"/>
        <v>0</v>
      </c>
      <c r="N4000" s="274"/>
    </row>
    <row r="4001" spans="5:14" ht="13.5" customHeight="1">
      <c r="E4001" s="209" t="s">
        <v>718</v>
      </c>
      <c r="F4001" s="209" t="s">
        <v>2827</v>
      </c>
      <c r="G4001" s="410" t="str">
        <f t="shared" si="66"/>
        <v>16-16</v>
      </c>
      <c r="H4001" s="273" t="e">
        <f ca="1">_xludf.IFNA(VLOOKUP(Aragon!E4001,'Kilter Holds'!$P$37:$AB$662,8,0),0)</f>
        <v>#NAME?</v>
      </c>
      <c r="I4001" s="274"/>
      <c r="J4001" s="274" t="e">
        <f t="shared" ca="1" si="63"/>
        <v>#NAME?</v>
      </c>
      <c r="K4001" s="274">
        <f t="shared" si="64"/>
        <v>0</v>
      </c>
      <c r="N4001" s="274"/>
    </row>
    <row r="4002" spans="5:14" ht="13.5" customHeight="1">
      <c r="E4002" s="209" t="s">
        <v>718</v>
      </c>
      <c r="F4002" s="209" t="s">
        <v>2827</v>
      </c>
      <c r="G4002" s="411" t="str">
        <f t="shared" si="66"/>
        <v>13-01</v>
      </c>
      <c r="H4002" s="273" t="e">
        <f ca="1">_xludf.IFNA(VLOOKUP(Aragon!E4002,'Kilter Holds'!$P$37:$AB$662,9,0),0)</f>
        <v>#NAME?</v>
      </c>
      <c r="I4002" s="274"/>
      <c r="J4002" s="274" t="e">
        <f t="shared" ca="1" si="63"/>
        <v>#NAME?</v>
      </c>
      <c r="K4002" s="274">
        <f t="shared" si="64"/>
        <v>0</v>
      </c>
      <c r="N4002" s="274"/>
    </row>
    <row r="4003" spans="5:14" ht="13.5" customHeight="1">
      <c r="E4003" s="209" t="s">
        <v>718</v>
      </c>
      <c r="F4003" s="209" t="s">
        <v>2827</v>
      </c>
      <c r="G4003" s="413" t="str">
        <f t="shared" si="66"/>
        <v>07-13</v>
      </c>
      <c r="H4003" s="273" t="e">
        <f ca="1">_xludf.IFNA(VLOOKUP(Aragon!E4003,'Kilter Holds'!$P$37:$AB$662,10,0),0)</f>
        <v>#NAME?</v>
      </c>
      <c r="I4003" s="274"/>
      <c r="J4003" s="274" t="e">
        <f t="shared" ca="1" si="63"/>
        <v>#NAME?</v>
      </c>
      <c r="K4003" s="274">
        <f t="shared" si="64"/>
        <v>0</v>
      </c>
      <c r="N4003" s="274"/>
    </row>
    <row r="4004" spans="5:14" ht="13.5" customHeight="1">
      <c r="E4004" s="209" t="s">
        <v>718</v>
      </c>
      <c r="F4004" s="209" t="s">
        <v>2827</v>
      </c>
      <c r="G4004" s="414" t="str">
        <f t="shared" si="66"/>
        <v>11-26</v>
      </c>
      <c r="H4004" s="273" t="e">
        <f ca="1">_xludf.IFNA(VLOOKUP(Aragon!E4004,'Kilter Holds'!$P$37:$AB$662,11,0),0)</f>
        <v>#NAME?</v>
      </c>
      <c r="I4004" s="274"/>
      <c r="J4004" s="274" t="e">
        <f t="shared" ca="1" si="63"/>
        <v>#NAME?</v>
      </c>
      <c r="K4004" s="274">
        <f t="shared" si="64"/>
        <v>0</v>
      </c>
      <c r="N4004" s="274"/>
    </row>
    <row r="4005" spans="5:14" ht="13.5" customHeight="1">
      <c r="E4005" s="209" t="s">
        <v>718</v>
      </c>
      <c r="F4005" s="209" t="s">
        <v>2827</v>
      </c>
      <c r="G4005" s="415" t="str">
        <f t="shared" si="66"/>
        <v>18-01</v>
      </c>
      <c r="H4005" s="273" t="e">
        <f ca="1">_xludf.IFNA(VLOOKUP(Aragon!E4005,'Kilter Holds'!$P$37:$AB$662,12,0),0)</f>
        <v>#NAME?</v>
      </c>
      <c r="I4005" s="274"/>
      <c r="J4005" s="274" t="e">
        <f t="shared" ca="1" si="63"/>
        <v>#NAME?</v>
      </c>
      <c r="K4005" s="274">
        <f t="shared" si="64"/>
        <v>0</v>
      </c>
      <c r="N4005" s="274"/>
    </row>
    <row r="4006" spans="5:14" ht="13.5" customHeight="1">
      <c r="E4006" s="209" t="s">
        <v>718</v>
      </c>
      <c r="F4006" s="209" t="s">
        <v>2827</v>
      </c>
      <c r="G4006" s="416" t="str">
        <f t="shared" si="66"/>
        <v>Color Code</v>
      </c>
      <c r="H4006" s="273" t="e">
        <f ca="1">_xludf.IFNA(VLOOKUP(Aragon!E4006,'Kilter Holds'!$P$37:$AB$662,13,0),0)</f>
        <v>#NAME?</v>
      </c>
      <c r="I4006" s="274"/>
      <c r="J4006" s="274" t="e">
        <f t="shared" ca="1" si="63"/>
        <v>#NAME?</v>
      </c>
      <c r="K4006" s="274">
        <f t="shared" si="64"/>
        <v>0</v>
      </c>
      <c r="N4006" s="274"/>
    </row>
    <row r="4007" spans="5:14" ht="13.5" customHeight="1">
      <c r="E4007" s="209" t="s">
        <v>720</v>
      </c>
      <c r="F4007" s="209" t="s">
        <v>2828</v>
      </c>
      <c r="G4007" s="406" t="str">
        <f t="shared" si="66"/>
        <v>11-12</v>
      </c>
      <c r="H4007" s="273" t="e">
        <f ca="1">_xludf.IFNA(VLOOKUP(Aragon!E4007,'Kilter Holds'!$P$37:$AB$662,5,0),0)</f>
        <v>#NAME?</v>
      </c>
      <c r="I4007" s="274"/>
      <c r="J4007" s="274" t="e">
        <f t="shared" ca="1" si="63"/>
        <v>#NAME?</v>
      </c>
      <c r="K4007" s="274">
        <f t="shared" si="64"/>
        <v>0</v>
      </c>
      <c r="N4007" s="274"/>
    </row>
    <row r="4008" spans="5:14" ht="13.5" customHeight="1">
      <c r="E4008" s="209" t="s">
        <v>720</v>
      </c>
      <c r="F4008" s="209" t="s">
        <v>2828</v>
      </c>
      <c r="G4008" s="408" t="str">
        <f t="shared" si="66"/>
        <v>14-01</v>
      </c>
      <c r="H4008" s="273" t="e">
        <f ca="1">_xludf.IFNA(VLOOKUP(Aragon!E4008,'Kilter Holds'!$P$37:$AB$662,6,0),0)</f>
        <v>#NAME?</v>
      </c>
      <c r="I4008" s="274"/>
      <c r="J4008" s="274" t="e">
        <f t="shared" ca="1" si="63"/>
        <v>#NAME?</v>
      </c>
      <c r="K4008" s="274">
        <f t="shared" si="64"/>
        <v>0</v>
      </c>
      <c r="N4008" s="274"/>
    </row>
    <row r="4009" spans="5:14" ht="13.5" customHeight="1">
      <c r="E4009" s="209" t="s">
        <v>720</v>
      </c>
      <c r="F4009" s="209" t="s">
        <v>2828</v>
      </c>
      <c r="G4009" s="409" t="str">
        <f t="shared" si="66"/>
        <v>15-12</v>
      </c>
      <c r="H4009" s="273" t="e">
        <f ca="1">_xludf.IFNA(VLOOKUP(Aragon!E4009,'Kilter Holds'!$P$37:$AB$662,7,0),0)</f>
        <v>#NAME?</v>
      </c>
      <c r="I4009" s="274"/>
      <c r="J4009" s="274" t="e">
        <f t="shared" ca="1" si="63"/>
        <v>#NAME?</v>
      </c>
      <c r="K4009" s="274">
        <f t="shared" si="64"/>
        <v>0</v>
      </c>
      <c r="N4009" s="274"/>
    </row>
    <row r="4010" spans="5:14" ht="13.5" customHeight="1">
      <c r="E4010" s="209" t="s">
        <v>720</v>
      </c>
      <c r="F4010" s="209" t="s">
        <v>2828</v>
      </c>
      <c r="G4010" s="410" t="str">
        <f t="shared" si="66"/>
        <v>16-16</v>
      </c>
      <c r="H4010" s="273" t="e">
        <f ca="1">_xludf.IFNA(VLOOKUP(Aragon!E4010,'Kilter Holds'!$P$37:$AB$662,8,0),0)</f>
        <v>#NAME?</v>
      </c>
      <c r="I4010" s="274"/>
      <c r="J4010" s="274" t="e">
        <f t="shared" ca="1" si="63"/>
        <v>#NAME?</v>
      </c>
      <c r="K4010" s="274">
        <f t="shared" si="64"/>
        <v>0</v>
      </c>
      <c r="N4010" s="274"/>
    </row>
    <row r="4011" spans="5:14" ht="13.5" customHeight="1">
      <c r="E4011" s="209" t="s">
        <v>720</v>
      </c>
      <c r="F4011" s="209" t="s">
        <v>2828</v>
      </c>
      <c r="G4011" s="411" t="str">
        <f t="shared" si="66"/>
        <v>13-01</v>
      </c>
      <c r="H4011" s="273" t="e">
        <f ca="1">_xludf.IFNA(VLOOKUP(Aragon!E4011,'Kilter Holds'!$P$37:$AB$662,9,0),0)</f>
        <v>#NAME?</v>
      </c>
      <c r="I4011" s="274"/>
      <c r="J4011" s="274" t="e">
        <f t="shared" ca="1" si="63"/>
        <v>#NAME?</v>
      </c>
      <c r="K4011" s="274">
        <f t="shared" si="64"/>
        <v>0</v>
      </c>
      <c r="N4011" s="274"/>
    </row>
    <row r="4012" spans="5:14" ht="13.5" customHeight="1">
      <c r="E4012" s="209" t="s">
        <v>720</v>
      </c>
      <c r="F4012" s="209" t="s">
        <v>2828</v>
      </c>
      <c r="G4012" s="413" t="str">
        <f t="shared" si="66"/>
        <v>07-13</v>
      </c>
      <c r="H4012" s="273" t="e">
        <f ca="1">_xludf.IFNA(VLOOKUP(Aragon!E4012,'Kilter Holds'!$P$37:$AB$662,10,0),0)</f>
        <v>#NAME?</v>
      </c>
      <c r="I4012" s="274"/>
      <c r="J4012" s="274" t="e">
        <f t="shared" ca="1" si="63"/>
        <v>#NAME?</v>
      </c>
      <c r="K4012" s="274">
        <f t="shared" si="64"/>
        <v>0</v>
      </c>
      <c r="N4012" s="274"/>
    </row>
    <row r="4013" spans="5:14" ht="13.5" customHeight="1">
      <c r="E4013" s="209" t="s">
        <v>720</v>
      </c>
      <c r="F4013" s="209" t="s">
        <v>2828</v>
      </c>
      <c r="G4013" s="414" t="str">
        <f t="shared" si="66"/>
        <v>11-26</v>
      </c>
      <c r="H4013" s="273" t="e">
        <f ca="1">_xludf.IFNA(VLOOKUP(Aragon!E4013,'Kilter Holds'!$P$37:$AB$662,11,0),0)</f>
        <v>#NAME?</v>
      </c>
      <c r="I4013" s="274"/>
      <c r="J4013" s="274" t="e">
        <f t="shared" ca="1" si="63"/>
        <v>#NAME?</v>
      </c>
      <c r="K4013" s="274">
        <f t="shared" si="64"/>
        <v>0</v>
      </c>
      <c r="N4013" s="274"/>
    </row>
    <row r="4014" spans="5:14" ht="13.5" customHeight="1">
      <c r="E4014" s="209" t="s">
        <v>720</v>
      </c>
      <c r="F4014" s="209" t="s">
        <v>2828</v>
      </c>
      <c r="G4014" s="415" t="str">
        <f t="shared" si="66"/>
        <v>18-01</v>
      </c>
      <c r="H4014" s="273" t="e">
        <f ca="1">_xludf.IFNA(VLOOKUP(Aragon!E4014,'Kilter Holds'!$P$37:$AB$662,12,0),0)</f>
        <v>#NAME?</v>
      </c>
      <c r="I4014" s="274"/>
      <c r="J4014" s="274" t="e">
        <f t="shared" ca="1" si="63"/>
        <v>#NAME?</v>
      </c>
      <c r="K4014" s="274">
        <f t="shared" si="64"/>
        <v>0</v>
      </c>
      <c r="N4014" s="274"/>
    </row>
    <row r="4015" spans="5:14" ht="13.5" customHeight="1">
      <c r="E4015" s="209" t="s">
        <v>720</v>
      </c>
      <c r="F4015" s="209" t="s">
        <v>2828</v>
      </c>
      <c r="G4015" s="416" t="str">
        <f t="shared" si="66"/>
        <v>Color Code</v>
      </c>
      <c r="H4015" s="273" t="e">
        <f ca="1">_xludf.IFNA(VLOOKUP(Aragon!E4015,'Kilter Holds'!$P$37:$AB$662,13,0),0)</f>
        <v>#NAME?</v>
      </c>
      <c r="I4015" s="274"/>
      <c r="J4015" s="274" t="e">
        <f t="shared" ca="1" si="63"/>
        <v>#NAME?</v>
      </c>
      <c r="K4015" s="274">
        <f t="shared" si="64"/>
        <v>0</v>
      </c>
      <c r="N4015" s="274"/>
    </row>
    <row r="4016" spans="5:14" ht="13.5" customHeight="1">
      <c r="E4016" s="209" t="s">
        <v>722</v>
      </c>
      <c r="F4016" s="209" t="s">
        <v>2829</v>
      </c>
      <c r="G4016" s="406" t="str">
        <f t="shared" si="66"/>
        <v>11-12</v>
      </c>
      <c r="H4016" s="273" t="e">
        <f ca="1">_xludf.IFNA(VLOOKUP(Aragon!E4016,'Kilter Holds'!$P$37:$AB$662,5,0),0)</f>
        <v>#NAME?</v>
      </c>
      <c r="I4016" s="274"/>
      <c r="J4016" s="274" t="e">
        <f t="shared" ca="1" si="63"/>
        <v>#NAME?</v>
      </c>
      <c r="K4016" s="274">
        <f t="shared" si="64"/>
        <v>0</v>
      </c>
      <c r="N4016" s="274"/>
    </row>
    <row r="4017" spans="5:14" ht="13.5" customHeight="1">
      <c r="E4017" s="209" t="s">
        <v>722</v>
      </c>
      <c r="F4017" s="209" t="s">
        <v>2829</v>
      </c>
      <c r="G4017" s="408" t="str">
        <f t="shared" si="66"/>
        <v>14-01</v>
      </c>
      <c r="H4017" s="273" t="e">
        <f ca="1">_xludf.IFNA(VLOOKUP(Aragon!E4017,'Kilter Holds'!$P$37:$AB$662,6,0),0)</f>
        <v>#NAME?</v>
      </c>
      <c r="I4017" s="274"/>
      <c r="J4017" s="274" t="e">
        <f t="shared" ca="1" si="63"/>
        <v>#NAME?</v>
      </c>
      <c r="K4017" s="274">
        <f t="shared" si="64"/>
        <v>0</v>
      </c>
      <c r="N4017" s="274"/>
    </row>
    <row r="4018" spans="5:14" ht="13.5" customHeight="1">
      <c r="E4018" s="209" t="s">
        <v>722</v>
      </c>
      <c r="F4018" s="209" t="s">
        <v>2829</v>
      </c>
      <c r="G4018" s="409" t="str">
        <f t="shared" si="66"/>
        <v>15-12</v>
      </c>
      <c r="H4018" s="273" t="e">
        <f ca="1">_xludf.IFNA(VLOOKUP(Aragon!E4018,'Kilter Holds'!$P$37:$AB$662,7,0),0)</f>
        <v>#NAME?</v>
      </c>
      <c r="I4018" s="274"/>
      <c r="J4018" s="274" t="e">
        <f t="shared" ca="1" si="63"/>
        <v>#NAME?</v>
      </c>
      <c r="K4018" s="274">
        <f t="shared" si="64"/>
        <v>0</v>
      </c>
      <c r="N4018" s="274"/>
    </row>
    <row r="4019" spans="5:14" ht="13.5" customHeight="1">
      <c r="E4019" s="209" t="s">
        <v>722</v>
      </c>
      <c r="F4019" s="209" t="s">
        <v>2829</v>
      </c>
      <c r="G4019" s="410" t="str">
        <f t="shared" si="66"/>
        <v>16-16</v>
      </c>
      <c r="H4019" s="273" t="e">
        <f ca="1">_xludf.IFNA(VLOOKUP(Aragon!E4019,'Kilter Holds'!$P$37:$AB$662,8,0),0)</f>
        <v>#NAME?</v>
      </c>
      <c r="I4019" s="274"/>
      <c r="J4019" s="274" t="e">
        <f t="shared" ca="1" si="63"/>
        <v>#NAME?</v>
      </c>
      <c r="K4019" s="274">
        <f t="shared" si="64"/>
        <v>0</v>
      </c>
      <c r="N4019" s="274"/>
    </row>
    <row r="4020" spans="5:14" ht="13.5" customHeight="1">
      <c r="E4020" s="209" t="s">
        <v>722</v>
      </c>
      <c r="F4020" s="209" t="s">
        <v>2829</v>
      </c>
      <c r="G4020" s="411" t="str">
        <f t="shared" si="66"/>
        <v>13-01</v>
      </c>
      <c r="H4020" s="273" t="e">
        <f ca="1">_xludf.IFNA(VLOOKUP(Aragon!E4020,'Kilter Holds'!$P$37:$AB$662,9,0),0)</f>
        <v>#NAME?</v>
      </c>
      <c r="I4020" s="274"/>
      <c r="J4020" s="274" t="e">
        <f t="shared" ca="1" si="63"/>
        <v>#NAME?</v>
      </c>
      <c r="K4020" s="274">
        <f t="shared" si="64"/>
        <v>0</v>
      </c>
      <c r="N4020" s="274"/>
    </row>
    <row r="4021" spans="5:14" ht="13.5" customHeight="1">
      <c r="E4021" s="209" t="s">
        <v>722</v>
      </c>
      <c r="F4021" s="209" t="s">
        <v>2829</v>
      </c>
      <c r="G4021" s="413" t="str">
        <f t="shared" si="66"/>
        <v>07-13</v>
      </c>
      <c r="H4021" s="273" t="e">
        <f ca="1">_xludf.IFNA(VLOOKUP(Aragon!E4021,'Kilter Holds'!$P$37:$AB$662,10,0),0)</f>
        <v>#NAME?</v>
      </c>
      <c r="I4021" s="274"/>
      <c r="J4021" s="274" t="e">
        <f t="shared" ca="1" si="63"/>
        <v>#NAME?</v>
      </c>
      <c r="K4021" s="274">
        <f t="shared" si="64"/>
        <v>0</v>
      </c>
      <c r="N4021" s="274"/>
    </row>
    <row r="4022" spans="5:14" ht="13.5" customHeight="1">
      <c r="E4022" s="209" t="s">
        <v>722</v>
      </c>
      <c r="F4022" s="209" t="s">
        <v>2829</v>
      </c>
      <c r="G4022" s="414" t="str">
        <f t="shared" si="66"/>
        <v>11-26</v>
      </c>
      <c r="H4022" s="273" t="e">
        <f ca="1">_xludf.IFNA(VLOOKUP(Aragon!E4022,'Kilter Holds'!$P$37:$AB$662,11,0),0)</f>
        <v>#NAME?</v>
      </c>
      <c r="I4022" s="274"/>
      <c r="J4022" s="274" t="e">
        <f t="shared" ca="1" si="63"/>
        <v>#NAME?</v>
      </c>
      <c r="K4022" s="274">
        <f t="shared" si="64"/>
        <v>0</v>
      </c>
      <c r="N4022" s="274"/>
    </row>
    <row r="4023" spans="5:14" ht="13.5" customHeight="1">
      <c r="E4023" s="209" t="s">
        <v>722</v>
      </c>
      <c r="F4023" s="209" t="s">
        <v>2829</v>
      </c>
      <c r="G4023" s="415" t="str">
        <f t="shared" si="66"/>
        <v>18-01</v>
      </c>
      <c r="H4023" s="273" t="e">
        <f ca="1">_xludf.IFNA(VLOOKUP(Aragon!E4023,'Kilter Holds'!$P$37:$AB$662,12,0),0)</f>
        <v>#NAME?</v>
      </c>
      <c r="I4023" s="274"/>
      <c r="J4023" s="274" t="e">
        <f t="shared" ca="1" si="63"/>
        <v>#NAME?</v>
      </c>
      <c r="K4023" s="274">
        <f t="shared" si="64"/>
        <v>0</v>
      </c>
      <c r="N4023" s="274"/>
    </row>
    <row r="4024" spans="5:14" ht="13.5" customHeight="1">
      <c r="E4024" s="209" t="s">
        <v>722</v>
      </c>
      <c r="F4024" s="209" t="s">
        <v>2829</v>
      </c>
      <c r="G4024" s="416" t="str">
        <f t="shared" si="66"/>
        <v>Color Code</v>
      </c>
      <c r="H4024" s="273" t="e">
        <f ca="1">_xludf.IFNA(VLOOKUP(Aragon!E4024,'Kilter Holds'!$P$37:$AB$662,13,0),0)</f>
        <v>#NAME?</v>
      </c>
      <c r="I4024" s="274"/>
      <c r="J4024" s="274" t="e">
        <f t="shared" ca="1" si="63"/>
        <v>#NAME?</v>
      </c>
      <c r="K4024" s="274">
        <f t="shared" si="64"/>
        <v>0</v>
      </c>
      <c r="N4024" s="274"/>
    </row>
    <row r="4025" spans="5:14" ht="13.5" customHeight="1">
      <c r="E4025" s="209" t="s">
        <v>708</v>
      </c>
      <c r="F4025" s="209" t="s">
        <v>2830</v>
      </c>
      <c r="G4025" s="406" t="str">
        <f t="shared" si="66"/>
        <v>11-12</v>
      </c>
      <c r="H4025" s="273" t="e">
        <f ca="1">_xludf.IFNA(VLOOKUP(Aragon!E4025,'Kilter Holds'!$P$37:$AB$662,5,0),0)</f>
        <v>#NAME?</v>
      </c>
      <c r="I4025" s="274"/>
      <c r="J4025" s="274" t="e">
        <f t="shared" ca="1" si="63"/>
        <v>#NAME?</v>
      </c>
      <c r="K4025" s="274">
        <f t="shared" si="64"/>
        <v>0</v>
      </c>
      <c r="N4025" s="274"/>
    </row>
    <row r="4026" spans="5:14" ht="13.5" customHeight="1">
      <c r="E4026" s="209" t="s">
        <v>708</v>
      </c>
      <c r="F4026" s="209" t="s">
        <v>2830</v>
      </c>
      <c r="G4026" s="408" t="str">
        <f t="shared" si="66"/>
        <v>14-01</v>
      </c>
      <c r="H4026" s="273" t="e">
        <f ca="1">_xludf.IFNA(VLOOKUP(Aragon!E4026,'Kilter Holds'!$P$37:$AB$662,6,0),0)</f>
        <v>#NAME?</v>
      </c>
      <c r="I4026" s="274"/>
      <c r="J4026" s="274" t="e">
        <f t="shared" ca="1" si="63"/>
        <v>#NAME?</v>
      </c>
      <c r="K4026" s="274">
        <f t="shared" si="64"/>
        <v>0</v>
      </c>
      <c r="N4026" s="274"/>
    </row>
    <row r="4027" spans="5:14" ht="13.5" customHeight="1">
      <c r="E4027" s="209" t="s">
        <v>708</v>
      </c>
      <c r="F4027" s="209" t="s">
        <v>2830</v>
      </c>
      <c r="G4027" s="409" t="str">
        <f t="shared" si="66"/>
        <v>15-12</v>
      </c>
      <c r="H4027" s="273" t="e">
        <f ca="1">_xludf.IFNA(VLOOKUP(Aragon!E4027,'Kilter Holds'!$P$37:$AB$662,7,0),0)</f>
        <v>#NAME?</v>
      </c>
      <c r="I4027" s="274"/>
      <c r="J4027" s="274" t="e">
        <f t="shared" ca="1" si="63"/>
        <v>#NAME?</v>
      </c>
      <c r="K4027" s="274">
        <f t="shared" si="64"/>
        <v>0</v>
      </c>
      <c r="N4027" s="274"/>
    </row>
    <row r="4028" spans="5:14" ht="13.5" customHeight="1">
      <c r="E4028" s="209" t="s">
        <v>708</v>
      </c>
      <c r="F4028" s="209" t="s">
        <v>2830</v>
      </c>
      <c r="G4028" s="410" t="str">
        <f t="shared" si="66"/>
        <v>16-16</v>
      </c>
      <c r="H4028" s="273" t="e">
        <f ca="1">_xludf.IFNA(VLOOKUP(Aragon!E4028,'Kilter Holds'!$P$37:$AB$662,8,0),0)</f>
        <v>#NAME?</v>
      </c>
      <c r="I4028" s="274"/>
      <c r="J4028" s="274" t="e">
        <f t="shared" ca="1" si="63"/>
        <v>#NAME?</v>
      </c>
      <c r="K4028" s="274">
        <f t="shared" si="64"/>
        <v>0</v>
      </c>
      <c r="N4028" s="274"/>
    </row>
    <row r="4029" spans="5:14" ht="13.5" customHeight="1">
      <c r="E4029" s="209" t="s">
        <v>708</v>
      </c>
      <c r="F4029" s="209" t="s">
        <v>2830</v>
      </c>
      <c r="G4029" s="411" t="str">
        <f t="shared" si="66"/>
        <v>13-01</v>
      </c>
      <c r="H4029" s="273" t="e">
        <f ca="1">_xludf.IFNA(VLOOKUP(Aragon!E4029,'Kilter Holds'!$P$37:$AB$662,9,0),0)</f>
        <v>#NAME?</v>
      </c>
      <c r="I4029" s="274"/>
      <c r="J4029" s="274" t="e">
        <f t="shared" ca="1" si="63"/>
        <v>#NAME?</v>
      </c>
      <c r="K4029" s="274">
        <f t="shared" si="64"/>
        <v>0</v>
      </c>
      <c r="N4029" s="274"/>
    </row>
    <row r="4030" spans="5:14" ht="13.5" customHeight="1">
      <c r="E4030" s="209" t="s">
        <v>708</v>
      </c>
      <c r="F4030" s="209" t="s">
        <v>2830</v>
      </c>
      <c r="G4030" s="413" t="str">
        <f t="shared" si="66"/>
        <v>07-13</v>
      </c>
      <c r="H4030" s="273" t="e">
        <f ca="1">_xludf.IFNA(VLOOKUP(Aragon!E4030,'Kilter Holds'!$P$37:$AB$662,10,0),0)</f>
        <v>#NAME?</v>
      </c>
      <c r="I4030" s="274"/>
      <c r="J4030" s="274" t="e">
        <f t="shared" ca="1" si="63"/>
        <v>#NAME?</v>
      </c>
      <c r="K4030" s="274">
        <f t="shared" si="64"/>
        <v>0</v>
      </c>
      <c r="N4030" s="274"/>
    </row>
    <row r="4031" spans="5:14" ht="13.5" customHeight="1">
      <c r="E4031" s="209" t="s">
        <v>708</v>
      </c>
      <c r="F4031" s="209" t="s">
        <v>2830</v>
      </c>
      <c r="G4031" s="414" t="str">
        <f t="shared" si="66"/>
        <v>11-26</v>
      </c>
      <c r="H4031" s="273" t="e">
        <f ca="1">_xludf.IFNA(VLOOKUP(Aragon!E4031,'Kilter Holds'!$P$37:$AB$662,11,0),0)</f>
        <v>#NAME?</v>
      </c>
      <c r="I4031" s="274"/>
      <c r="J4031" s="274" t="e">
        <f t="shared" ca="1" si="63"/>
        <v>#NAME?</v>
      </c>
      <c r="K4031" s="274">
        <f t="shared" si="64"/>
        <v>0</v>
      </c>
      <c r="N4031" s="274"/>
    </row>
    <row r="4032" spans="5:14" ht="13.5" customHeight="1">
      <c r="E4032" s="209" t="s">
        <v>708</v>
      </c>
      <c r="F4032" s="209" t="s">
        <v>2830</v>
      </c>
      <c r="G4032" s="415" t="str">
        <f t="shared" si="66"/>
        <v>18-01</v>
      </c>
      <c r="H4032" s="273" t="e">
        <f ca="1">_xludf.IFNA(VLOOKUP(Aragon!E4032,'Kilter Holds'!$P$37:$AB$662,12,0),0)</f>
        <v>#NAME?</v>
      </c>
      <c r="I4032" s="274"/>
      <c r="J4032" s="274" t="e">
        <f t="shared" ca="1" si="63"/>
        <v>#NAME?</v>
      </c>
      <c r="K4032" s="274">
        <f t="shared" si="64"/>
        <v>0</v>
      </c>
      <c r="N4032" s="274"/>
    </row>
    <row r="4033" spans="5:14" ht="13.5" customHeight="1">
      <c r="E4033" s="209" t="s">
        <v>708</v>
      </c>
      <c r="F4033" s="209" t="s">
        <v>2830</v>
      </c>
      <c r="G4033" s="416" t="str">
        <f t="shared" si="66"/>
        <v>Color Code</v>
      </c>
      <c r="H4033" s="273" t="e">
        <f ca="1">_xludf.IFNA(VLOOKUP(Aragon!E4033,'Kilter Holds'!$P$37:$AB$662,13,0),0)</f>
        <v>#NAME?</v>
      </c>
      <c r="I4033" s="274"/>
      <c r="J4033" s="274" t="e">
        <f t="shared" ca="1" si="63"/>
        <v>#NAME?</v>
      </c>
      <c r="K4033" s="274">
        <f t="shared" si="64"/>
        <v>0</v>
      </c>
      <c r="N4033" s="274"/>
    </row>
    <row r="4034" spans="5:14" ht="13.5" customHeight="1">
      <c r="E4034" s="209" t="s">
        <v>702</v>
      </c>
      <c r="F4034" s="209" t="s">
        <v>2831</v>
      </c>
      <c r="G4034" s="406" t="str">
        <f t="shared" si="66"/>
        <v>11-12</v>
      </c>
      <c r="H4034" s="273" t="e">
        <f ca="1">_xludf.IFNA(VLOOKUP(Aragon!E4034,'Kilter Holds'!$P$37:$AB$662,5,0),0)</f>
        <v>#NAME?</v>
      </c>
      <c r="I4034" s="274"/>
      <c r="J4034" s="274" t="e">
        <f t="shared" ca="1" si="63"/>
        <v>#NAME?</v>
      </c>
      <c r="K4034" s="274">
        <f t="shared" si="64"/>
        <v>0</v>
      </c>
      <c r="N4034" s="274"/>
    </row>
    <row r="4035" spans="5:14" ht="13.5" customHeight="1">
      <c r="E4035" s="209" t="s">
        <v>702</v>
      </c>
      <c r="F4035" s="209" t="s">
        <v>2831</v>
      </c>
      <c r="G4035" s="408" t="str">
        <f t="shared" si="66"/>
        <v>14-01</v>
      </c>
      <c r="H4035" s="273" t="e">
        <f ca="1">_xludf.IFNA(VLOOKUP(Aragon!E4035,'Kilter Holds'!$P$37:$AB$662,6,0),0)</f>
        <v>#NAME?</v>
      </c>
      <c r="I4035" s="274"/>
      <c r="J4035" s="274" t="e">
        <f t="shared" ca="1" si="63"/>
        <v>#NAME?</v>
      </c>
      <c r="K4035" s="274">
        <f t="shared" si="64"/>
        <v>0</v>
      </c>
      <c r="N4035" s="274"/>
    </row>
    <row r="4036" spans="5:14" ht="13.5" customHeight="1">
      <c r="E4036" s="209" t="s">
        <v>702</v>
      </c>
      <c r="F4036" s="209" t="s">
        <v>2831</v>
      </c>
      <c r="G4036" s="409" t="str">
        <f t="shared" si="66"/>
        <v>15-12</v>
      </c>
      <c r="H4036" s="273" t="e">
        <f ca="1">_xludf.IFNA(VLOOKUP(Aragon!E4036,'Kilter Holds'!$P$37:$AB$662,7,0),0)</f>
        <v>#NAME?</v>
      </c>
      <c r="I4036" s="274"/>
      <c r="J4036" s="274" t="e">
        <f t="shared" ca="1" si="63"/>
        <v>#NAME?</v>
      </c>
      <c r="K4036" s="274">
        <f t="shared" si="64"/>
        <v>0</v>
      </c>
      <c r="N4036" s="274"/>
    </row>
    <row r="4037" spans="5:14" ht="13.5" customHeight="1">
      <c r="E4037" s="209" t="s">
        <v>702</v>
      </c>
      <c r="F4037" s="209" t="s">
        <v>2831</v>
      </c>
      <c r="G4037" s="410" t="str">
        <f t="shared" si="66"/>
        <v>16-16</v>
      </c>
      <c r="H4037" s="273" t="e">
        <f ca="1">_xludf.IFNA(VLOOKUP(Aragon!E4037,'Kilter Holds'!$P$37:$AB$662,8,0),0)</f>
        <v>#NAME?</v>
      </c>
      <c r="I4037" s="274"/>
      <c r="J4037" s="274" t="e">
        <f t="shared" ca="1" si="63"/>
        <v>#NAME?</v>
      </c>
      <c r="K4037" s="274">
        <f t="shared" si="64"/>
        <v>0</v>
      </c>
      <c r="N4037" s="274"/>
    </row>
    <row r="4038" spans="5:14" ht="13.5" customHeight="1">
      <c r="E4038" s="209" t="s">
        <v>702</v>
      </c>
      <c r="F4038" s="209" t="s">
        <v>2831</v>
      </c>
      <c r="G4038" s="411" t="str">
        <f t="shared" si="66"/>
        <v>13-01</v>
      </c>
      <c r="H4038" s="273" t="e">
        <f ca="1">_xludf.IFNA(VLOOKUP(Aragon!E4038,'Kilter Holds'!$P$37:$AB$662,9,0),0)</f>
        <v>#NAME?</v>
      </c>
      <c r="I4038" s="274"/>
      <c r="J4038" s="274" t="e">
        <f t="shared" ca="1" si="63"/>
        <v>#NAME?</v>
      </c>
      <c r="K4038" s="274">
        <f t="shared" si="64"/>
        <v>0</v>
      </c>
      <c r="N4038" s="274"/>
    </row>
    <row r="4039" spans="5:14" ht="13.5" customHeight="1">
      <c r="E4039" s="209" t="s">
        <v>702</v>
      </c>
      <c r="F4039" s="209" t="s">
        <v>2831</v>
      </c>
      <c r="G4039" s="413" t="str">
        <f t="shared" si="66"/>
        <v>07-13</v>
      </c>
      <c r="H4039" s="273" t="e">
        <f ca="1">_xludf.IFNA(VLOOKUP(Aragon!E4039,'Kilter Holds'!$P$37:$AB$662,10,0),0)</f>
        <v>#NAME?</v>
      </c>
      <c r="I4039" s="274"/>
      <c r="J4039" s="274" t="e">
        <f t="shared" ca="1" si="63"/>
        <v>#NAME?</v>
      </c>
      <c r="K4039" s="274">
        <f t="shared" si="64"/>
        <v>0</v>
      </c>
      <c r="N4039" s="274"/>
    </row>
    <row r="4040" spans="5:14" ht="13.5" customHeight="1">
      <c r="E4040" s="209" t="s">
        <v>702</v>
      </c>
      <c r="F4040" s="209" t="s">
        <v>2831</v>
      </c>
      <c r="G4040" s="414" t="str">
        <f t="shared" si="66"/>
        <v>11-26</v>
      </c>
      <c r="H4040" s="273" t="e">
        <f ca="1">_xludf.IFNA(VLOOKUP(Aragon!E4040,'Kilter Holds'!$P$37:$AB$662,11,0),0)</f>
        <v>#NAME?</v>
      </c>
      <c r="I4040" s="274"/>
      <c r="J4040" s="274" t="e">
        <f t="shared" ca="1" si="63"/>
        <v>#NAME?</v>
      </c>
      <c r="K4040" s="274">
        <f t="shared" si="64"/>
        <v>0</v>
      </c>
      <c r="N4040" s="274"/>
    </row>
    <row r="4041" spans="5:14" ht="13.5" customHeight="1">
      <c r="E4041" s="209" t="s">
        <v>702</v>
      </c>
      <c r="F4041" s="209" t="s">
        <v>2831</v>
      </c>
      <c r="G4041" s="415" t="str">
        <f t="shared" si="66"/>
        <v>18-01</v>
      </c>
      <c r="H4041" s="273" t="e">
        <f ca="1">_xludf.IFNA(VLOOKUP(Aragon!E4041,'Kilter Holds'!$P$37:$AB$662,12,0),0)</f>
        <v>#NAME?</v>
      </c>
      <c r="I4041" s="274"/>
      <c r="J4041" s="274" t="e">
        <f t="shared" ca="1" si="63"/>
        <v>#NAME?</v>
      </c>
      <c r="K4041" s="274">
        <f t="shared" si="64"/>
        <v>0</v>
      </c>
      <c r="N4041" s="274"/>
    </row>
    <row r="4042" spans="5:14" ht="13.5" customHeight="1">
      <c r="E4042" s="209" t="s">
        <v>702</v>
      </c>
      <c r="F4042" s="209" t="s">
        <v>2831</v>
      </c>
      <c r="G4042" s="416" t="str">
        <f t="shared" si="66"/>
        <v>Color Code</v>
      </c>
      <c r="H4042" s="273" t="e">
        <f ca="1">_xludf.IFNA(VLOOKUP(Aragon!E4042,'Kilter Holds'!$P$37:$AB$662,13,0),0)</f>
        <v>#NAME?</v>
      </c>
      <c r="I4042" s="274"/>
      <c r="J4042" s="274" t="e">
        <f t="shared" ca="1" si="63"/>
        <v>#NAME?</v>
      </c>
      <c r="K4042" s="274">
        <f t="shared" si="64"/>
        <v>0</v>
      </c>
      <c r="N4042" s="274"/>
    </row>
    <row r="4043" spans="5:14" ht="13.5" customHeight="1">
      <c r="E4043" s="209" t="s">
        <v>694</v>
      </c>
      <c r="F4043" s="209" t="s">
        <v>2832</v>
      </c>
      <c r="G4043" s="406" t="str">
        <f t="shared" si="66"/>
        <v>11-12</v>
      </c>
      <c r="H4043" s="273" t="e">
        <f ca="1">_xludf.IFNA(VLOOKUP(Aragon!E4043,'Kilter Holds'!$P$37:$AB$662,5,0),0)</f>
        <v>#NAME?</v>
      </c>
      <c r="I4043" s="274"/>
      <c r="J4043" s="274" t="e">
        <f t="shared" ca="1" si="63"/>
        <v>#NAME?</v>
      </c>
      <c r="K4043" s="274">
        <f t="shared" si="64"/>
        <v>0</v>
      </c>
      <c r="N4043" s="274"/>
    </row>
    <row r="4044" spans="5:14" ht="13.5" customHeight="1">
      <c r="E4044" s="209" t="s">
        <v>694</v>
      </c>
      <c r="F4044" s="209" t="s">
        <v>2832</v>
      </c>
      <c r="G4044" s="408" t="str">
        <f t="shared" si="66"/>
        <v>14-01</v>
      </c>
      <c r="H4044" s="273" t="e">
        <f ca="1">_xludf.IFNA(VLOOKUP(Aragon!E4044,'Kilter Holds'!$P$37:$AB$662,6,0),0)</f>
        <v>#NAME?</v>
      </c>
      <c r="I4044" s="274"/>
      <c r="J4044" s="274" t="e">
        <f t="shared" ca="1" si="63"/>
        <v>#NAME?</v>
      </c>
      <c r="K4044" s="274">
        <f t="shared" si="64"/>
        <v>0</v>
      </c>
      <c r="N4044" s="274"/>
    </row>
    <row r="4045" spans="5:14" ht="13.5" customHeight="1">
      <c r="E4045" s="209" t="s">
        <v>694</v>
      </c>
      <c r="F4045" s="209" t="s">
        <v>2832</v>
      </c>
      <c r="G4045" s="409" t="str">
        <f t="shared" si="66"/>
        <v>15-12</v>
      </c>
      <c r="H4045" s="273" t="e">
        <f ca="1">_xludf.IFNA(VLOOKUP(Aragon!E4045,'Kilter Holds'!$P$37:$AB$662,7,0),0)</f>
        <v>#NAME?</v>
      </c>
      <c r="I4045" s="274"/>
      <c r="J4045" s="274" t="e">
        <f t="shared" ca="1" si="63"/>
        <v>#NAME?</v>
      </c>
      <c r="K4045" s="274">
        <f t="shared" si="64"/>
        <v>0</v>
      </c>
      <c r="N4045" s="274"/>
    </row>
    <row r="4046" spans="5:14" ht="13.5" customHeight="1">
      <c r="E4046" s="209" t="s">
        <v>694</v>
      </c>
      <c r="F4046" s="209" t="s">
        <v>2832</v>
      </c>
      <c r="G4046" s="410" t="str">
        <f t="shared" si="66"/>
        <v>16-16</v>
      </c>
      <c r="H4046" s="273" t="e">
        <f ca="1">_xludf.IFNA(VLOOKUP(Aragon!E4046,'Kilter Holds'!$P$37:$AB$662,8,0),0)</f>
        <v>#NAME?</v>
      </c>
      <c r="I4046" s="274"/>
      <c r="J4046" s="274" t="e">
        <f t="shared" ca="1" si="63"/>
        <v>#NAME?</v>
      </c>
      <c r="K4046" s="274">
        <f t="shared" si="64"/>
        <v>0</v>
      </c>
      <c r="N4046" s="274"/>
    </row>
    <row r="4047" spans="5:14" ht="13.5" customHeight="1">
      <c r="E4047" s="209" t="s">
        <v>694</v>
      </c>
      <c r="F4047" s="209" t="s">
        <v>2832</v>
      </c>
      <c r="G4047" s="411" t="str">
        <f t="shared" si="66"/>
        <v>13-01</v>
      </c>
      <c r="H4047" s="273" t="e">
        <f ca="1">_xludf.IFNA(VLOOKUP(Aragon!E4047,'Kilter Holds'!$P$37:$AB$662,9,0),0)</f>
        <v>#NAME?</v>
      </c>
      <c r="I4047" s="274"/>
      <c r="J4047" s="274" t="e">
        <f t="shared" ca="1" si="63"/>
        <v>#NAME?</v>
      </c>
      <c r="K4047" s="274">
        <f t="shared" si="64"/>
        <v>0</v>
      </c>
      <c r="N4047" s="274"/>
    </row>
    <row r="4048" spans="5:14" ht="13.5" customHeight="1">
      <c r="E4048" s="209" t="s">
        <v>694</v>
      </c>
      <c r="F4048" s="209" t="s">
        <v>2832</v>
      </c>
      <c r="G4048" s="413" t="str">
        <f t="shared" si="66"/>
        <v>07-13</v>
      </c>
      <c r="H4048" s="273" t="e">
        <f ca="1">_xludf.IFNA(VLOOKUP(Aragon!E4048,'Kilter Holds'!$P$37:$AB$662,10,0),0)</f>
        <v>#NAME?</v>
      </c>
      <c r="I4048" s="274"/>
      <c r="J4048" s="274" t="e">
        <f t="shared" ca="1" si="63"/>
        <v>#NAME?</v>
      </c>
      <c r="K4048" s="274">
        <f t="shared" si="64"/>
        <v>0</v>
      </c>
      <c r="N4048" s="274"/>
    </row>
    <row r="4049" spans="5:14" ht="13.5" customHeight="1">
      <c r="E4049" s="209" t="s">
        <v>694</v>
      </c>
      <c r="F4049" s="209" t="s">
        <v>2832</v>
      </c>
      <c r="G4049" s="414" t="str">
        <f t="shared" si="66"/>
        <v>11-26</v>
      </c>
      <c r="H4049" s="273" t="e">
        <f ca="1">_xludf.IFNA(VLOOKUP(Aragon!E4049,'Kilter Holds'!$P$37:$AB$662,11,0),0)</f>
        <v>#NAME?</v>
      </c>
      <c r="I4049" s="274"/>
      <c r="J4049" s="274" t="e">
        <f t="shared" ca="1" si="63"/>
        <v>#NAME?</v>
      </c>
      <c r="K4049" s="274">
        <f t="shared" si="64"/>
        <v>0</v>
      </c>
      <c r="N4049" s="274"/>
    </row>
    <row r="4050" spans="5:14" ht="13.5" customHeight="1">
      <c r="E4050" s="209" t="s">
        <v>694</v>
      </c>
      <c r="F4050" s="209" t="s">
        <v>2832</v>
      </c>
      <c r="G4050" s="415" t="str">
        <f t="shared" si="66"/>
        <v>18-01</v>
      </c>
      <c r="H4050" s="273" t="e">
        <f ca="1">_xludf.IFNA(VLOOKUP(Aragon!E4050,'Kilter Holds'!$P$37:$AB$662,12,0),0)</f>
        <v>#NAME?</v>
      </c>
      <c r="I4050" s="274"/>
      <c r="J4050" s="274" t="e">
        <f t="shared" ca="1" si="63"/>
        <v>#NAME?</v>
      </c>
      <c r="K4050" s="274">
        <f t="shared" si="64"/>
        <v>0</v>
      </c>
      <c r="N4050" s="274"/>
    </row>
    <row r="4051" spans="5:14" ht="13.5" customHeight="1">
      <c r="E4051" s="209" t="s">
        <v>694</v>
      </c>
      <c r="F4051" s="209" t="s">
        <v>2832</v>
      </c>
      <c r="G4051" s="416" t="str">
        <f t="shared" si="66"/>
        <v>Color Code</v>
      </c>
      <c r="H4051" s="273" t="e">
        <f ca="1">_xludf.IFNA(VLOOKUP(Aragon!E4051,'Kilter Holds'!$P$37:$AB$662,13,0),0)</f>
        <v>#NAME?</v>
      </c>
      <c r="I4051" s="274"/>
      <c r="J4051" s="274" t="e">
        <f t="shared" ca="1" si="63"/>
        <v>#NAME?</v>
      </c>
      <c r="K4051" s="274">
        <f t="shared" si="64"/>
        <v>0</v>
      </c>
      <c r="N4051" s="274"/>
    </row>
    <row r="4052" spans="5:14" ht="13.5" customHeight="1">
      <c r="E4052" s="209" t="s">
        <v>696</v>
      </c>
      <c r="F4052" s="209" t="s">
        <v>2833</v>
      </c>
      <c r="G4052" s="406" t="str">
        <f t="shared" si="66"/>
        <v>11-12</v>
      </c>
      <c r="H4052" s="273" t="e">
        <f ca="1">_xludf.IFNA(VLOOKUP(Aragon!E4052,'Kilter Holds'!$P$37:$AB$662,5,0),0)</f>
        <v>#NAME?</v>
      </c>
      <c r="I4052" s="274"/>
      <c r="J4052" s="274" t="e">
        <f t="shared" ca="1" si="63"/>
        <v>#NAME?</v>
      </c>
      <c r="K4052" s="274">
        <f t="shared" si="64"/>
        <v>0</v>
      </c>
      <c r="N4052" s="274"/>
    </row>
    <row r="4053" spans="5:14" ht="13.5" customHeight="1">
      <c r="E4053" s="209" t="s">
        <v>696</v>
      </c>
      <c r="F4053" s="209" t="s">
        <v>2833</v>
      </c>
      <c r="G4053" s="408" t="str">
        <f t="shared" si="66"/>
        <v>14-01</v>
      </c>
      <c r="H4053" s="273" t="e">
        <f ca="1">_xludf.IFNA(VLOOKUP(Aragon!E4053,'Kilter Holds'!$P$37:$AB$662,6,0),0)</f>
        <v>#NAME?</v>
      </c>
      <c r="I4053" s="274"/>
      <c r="J4053" s="274" t="e">
        <f t="shared" ca="1" si="63"/>
        <v>#NAME?</v>
      </c>
      <c r="K4053" s="274">
        <f t="shared" si="64"/>
        <v>0</v>
      </c>
      <c r="N4053" s="274"/>
    </row>
    <row r="4054" spans="5:14" ht="13.5" customHeight="1">
      <c r="E4054" s="209" t="s">
        <v>696</v>
      </c>
      <c r="F4054" s="209" t="s">
        <v>2833</v>
      </c>
      <c r="G4054" s="409" t="str">
        <f t="shared" si="66"/>
        <v>15-12</v>
      </c>
      <c r="H4054" s="273" t="e">
        <f ca="1">_xludf.IFNA(VLOOKUP(Aragon!E4054,'Kilter Holds'!$P$37:$AB$662,7,0),0)</f>
        <v>#NAME?</v>
      </c>
      <c r="I4054" s="274"/>
      <c r="J4054" s="274" t="e">
        <f t="shared" ca="1" si="63"/>
        <v>#NAME?</v>
      </c>
      <c r="K4054" s="274">
        <f t="shared" si="64"/>
        <v>0</v>
      </c>
      <c r="N4054" s="274"/>
    </row>
    <row r="4055" spans="5:14" ht="13.5" customHeight="1">
      <c r="E4055" s="209" t="s">
        <v>696</v>
      </c>
      <c r="F4055" s="209" t="s">
        <v>2833</v>
      </c>
      <c r="G4055" s="410" t="str">
        <f t="shared" si="66"/>
        <v>16-16</v>
      </c>
      <c r="H4055" s="273" t="e">
        <f ca="1">_xludf.IFNA(VLOOKUP(Aragon!E4055,'Kilter Holds'!$P$37:$AB$662,8,0),0)</f>
        <v>#NAME?</v>
      </c>
      <c r="I4055" s="274"/>
      <c r="J4055" s="274" t="e">
        <f t="shared" ca="1" si="63"/>
        <v>#NAME?</v>
      </c>
      <c r="K4055" s="274">
        <f t="shared" si="64"/>
        <v>0</v>
      </c>
      <c r="N4055" s="274"/>
    </row>
    <row r="4056" spans="5:14" ht="13.5" customHeight="1">
      <c r="E4056" s="209" t="s">
        <v>696</v>
      </c>
      <c r="F4056" s="209" t="s">
        <v>2833</v>
      </c>
      <c r="G4056" s="411" t="str">
        <f t="shared" si="66"/>
        <v>13-01</v>
      </c>
      <c r="H4056" s="273" t="e">
        <f ca="1">_xludf.IFNA(VLOOKUP(Aragon!E4056,'Kilter Holds'!$P$37:$AB$662,9,0),0)</f>
        <v>#NAME?</v>
      </c>
      <c r="I4056" s="274"/>
      <c r="J4056" s="274" t="e">
        <f t="shared" ca="1" si="63"/>
        <v>#NAME?</v>
      </c>
      <c r="K4056" s="274">
        <f t="shared" si="64"/>
        <v>0</v>
      </c>
      <c r="N4056" s="274"/>
    </row>
    <row r="4057" spans="5:14" ht="13.5" customHeight="1">
      <c r="E4057" s="209" t="s">
        <v>696</v>
      </c>
      <c r="F4057" s="209" t="s">
        <v>2833</v>
      </c>
      <c r="G4057" s="413" t="str">
        <f t="shared" si="66"/>
        <v>07-13</v>
      </c>
      <c r="H4057" s="273" t="e">
        <f ca="1">_xludf.IFNA(VLOOKUP(Aragon!E4057,'Kilter Holds'!$P$37:$AB$662,10,0),0)</f>
        <v>#NAME?</v>
      </c>
      <c r="I4057" s="274"/>
      <c r="J4057" s="274" t="e">
        <f t="shared" ca="1" si="63"/>
        <v>#NAME?</v>
      </c>
      <c r="K4057" s="274">
        <f t="shared" si="64"/>
        <v>0</v>
      </c>
      <c r="N4057" s="274"/>
    </row>
    <row r="4058" spans="5:14" ht="13.5" customHeight="1">
      <c r="E4058" s="209" t="s">
        <v>696</v>
      </c>
      <c r="F4058" s="209" t="s">
        <v>2833</v>
      </c>
      <c r="G4058" s="414" t="str">
        <f t="shared" si="66"/>
        <v>11-26</v>
      </c>
      <c r="H4058" s="273" t="e">
        <f ca="1">_xludf.IFNA(VLOOKUP(Aragon!E4058,'Kilter Holds'!$P$37:$AB$662,11,0),0)</f>
        <v>#NAME?</v>
      </c>
      <c r="I4058" s="274"/>
      <c r="J4058" s="274" t="e">
        <f t="shared" ca="1" si="63"/>
        <v>#NAME?</v>
      </c>
      <c r="K4058" s="274">
        <f t="shared" si="64"/>
        <v>0</v>
      </c>
      <c r="N4058" s="274"/>
    </row>
    <row r="4059" spans="5:14" ht="13.5" customHeight="1">
      <c r="E4059" s="209" t="s">
        <v>696</v>
      </c>
      <c r="F4059" s="209" t="s">
        <v>2833</v>
      </c>
      <c r="G4059" s="415" t="str">
        <f t="shared" si="66"/>
        <v>18-01</v>
      </c>
      <c r="H4059" s="273" t="e">
        <f ca="1">_xludf.IFNA(VLOOKUP(Aragon!E4059,'Kilter Holds'!$P$37:$AB$662,12,0),0)</f>
        <v>#NAME?</v>
      </c>
      <c r="I4059" s="274"/>
      <c r="J4059" s="274" t="e">
        <f t="shared" ca="1" si="63"/>
        <v>#NAME?</v>
      </c>
      <c r="K4059" s="274">
        <f t="shared" si="64"/>
        <v>0</v>
      </c>
      <c r="N4059" s="274"/>
    </row>
    <row r="4060" spans="5:14" ht="13.5" customHeight="1">
      <c r="E4060" s="209" t="s">
        <v>696</v>
      </c>
      <c r="F4060" s="209" t="s">
        <v>2833</v>
      </c>
      <c r="G4060" s="416" t="str">
        <f t="shared" si="66"/>
        <v>Color Code</v>
      </c>
      <c r="H4060" s="273" t="e">
        <f ca="1">_xludf.IFNA(VLOOKUP(Aragon!E4060,'Kilter Holds'!$P$37:$AB$662,13,0),0)</f>
        <v>#NAME?</v>
      </c>
      <c r="I4060" s="274"/>
      <c r="J4060" s="274" t="e">
        <f t="shared" ca="1" si="63"/>
        <v>#NAME?</v>
      </c>
      <c r="K4060" s="274">
        <f t="shared" si="64"/>
        <v>0</v>
      </c>
      <c r="N4060" s="274"/>
    </row>
    <row r="4061" spans="5:14" ht="13.5" customHeight="1">
      <c r="E4061" s="209" t="s">
        <v>698</v>
      </c>
      <c r="F4061" s="209" t="s">
        <v>2834</v>
      </c>
      <c r="G4061" s="406" t="str">
        <f t="shared" si="66"/>
        <v>11-12</v>
      </c>
      <c r="H4061" s="273" t="e">
        <f ca="1">_xludf.IFNA(VLOOKUP(Aragon!E4061,'Kilter Holds'!$P$37:$AB$662,5,0),0)</f>
        <v>#NAME?</v>
      </c>
      <c r="I4061" s="274"/>
      <c r="J4061" s="274" t="e">
        <f t="shared" ca="1" si="63"/>
        <v>#NAME?</v>
      </c>
      <c r="K4061" s="274">
        <f t="shared" si="64"/>
        <v>0</v>
      </c>
      <c r="N4061" s="274"/>
    </row>
    <row r="4062" spans="5:14" ht="13.5" customHeight="1">
      <c r="E4062" s="209" t="s">
        <v>698</v>
      </c>
      <c r="F4062" s="209" t="s">
        <v>2834</v>
      </c>
      <c r="G4062" s="408" t="str">
        <f t="shared" si="66"/>
        <v>14-01</v>
      </c>
      <c r="H4062" s="273" t="e">
        <f ca="1">_xludf.IFNA(VLOOKUP(Aragon!E4062,'Kilter Holds'!$P$37:$AB$662,6,0),0)</f>
        <v>#NAME?</v>
      </c>
      <c r="I4062" s="274"/>
      <c r="J4062" s="274" t="e">
        <f t="shared" ca="1" si="63"/>
        <v>#NAME?</v>
      </c>
      <c r="K4062" s="274">
        <f t="shared" si="64"/>
        <v>0</v>
      </c>
      <c r="N4062" s="274"/>
    </row>
    <row r="4063" spans="5:14" ht="13.5" customHeight="1">
      <c r="E4063" s="209" t="s">
        <v>698</v>
      </c>
      <c r="F4063" s="209" t="s">
        <v>2834</v>
      </c>
      <c r="G4063" s="409" t="str">
        <f t="shared" si="66"/>
        <v>15-12</v>
      </c>
      <c r="H4063" s="273" t="e">
        <f ca="1">_xludf.IFNA(VLOOKUP(Aragon!E4063,'Kilter Holds'!$P$37:$AB$662,7,0),0)</f>
        <v>#NAME?</v>
      </c>
      <c r="I4063" s="274"/>
      <c r="J4063" s="274" t="e">
        <f t="shared" ca="1" si="63"/>
        <v>#NAME?</v>
      </c>
      <c r="K4063" s="274">
        <f t="shared" si="64"/>
        <v>0</v>
      </c>
      <c r="N4063" s="274"/>
    </row>
    <row r="4064" spans="5:14" ht="13.5" customHeight="1">
      <c r="E4064" s="209" t="s">
        <v>698</v>
      </c>
      <c r="F4064" s="209" t="s">
        <v>2834</v>
      </c>
      <c r="G4064" s="410" t="str">
        <f t="shared" si="66"/>
        <v>16-16</v>
      </c>
      <c r="H4064" s="273" t="e">
        <f ca="1">_xludf.IFNA(VLOOKUP(Aragon!E4064,'Kilter Holds'!$P$37:$AB$662,8,0),0)</f>
        <v>#NAME?</v>
      </c>
      <c r="I4064" s="274"/>
      <c r="J4064" s="274" t="e">
        <f t="shared" ca="1" si="63"/>
        <v>#NAME?</v>
      </c>
      <c r="K4064" s="274">
        <f t="shared" si="64"/>
        <v>0</v>
      </c>
      <c r="N4064" s="274"/>
    </row>
    <row r="4065" spans="1:14" ht="13.5" customHeight="1">
      <c r="E4065" s="209" t="s">
        <v>698</v>
      </c>
      <c r="F4065" s="209" t="s">
        <v>2834</v>
      </c>
      <c r="G4065" s="411" t="str">
        <f t="shared" si="66"/>
        <v>13-01</v>
      </c>
      <c r="H4065" s="273" t="e">
        <f ca="1">_xludf.IFNA(VLOOKUP(Aragon!E4065,'Kilter Holds'!$P$37:$AB$662,9,0),0)</f>
        <v>#NAME?</v>
      </c>
      <c r="I4065" s="274"/>
      <c r="J4065" s="274" t="e">
        <f t="shared" ca="1" si="63"/>
        <v>#NAME?</v>
      </c>
      <c r="K4065" s="274">
        <f t="shared" si="64"/>
        <v>0</v>
      </c>
      <c r="N4065" s="274"/>
    </row>
    <row r="4066" spans="1:14" ht="13.5" customHeight="1">
      <c r="E4066" s="209" t="s">
        <v>698</v>
      </c>
      <c r="F4066" s="209" t="s">
        <v>2834</v>
      </c>
      <c r="G4066" s="413" t="str">
        <f t="shared" si="66"/>
        <v>07-13</v>
      </c>
      <c r="H4066" s="273" t="e">
        <f ca="1">_xludf.IFNA(VLOOKUP(Aragon!E4066,'Kilter Holds'!$P$37:$AB$662,10,0),0)</f>
        <v>#NAME?</v>
      </c>
      <c r="I4066" s="274"/>
      <c r="J4066" s="274" t="e">
        <f t="shared" ca="1" si="63"/>
        <v>#NAME?</v>
      </c>
      <c r="K4066" s="274">
        <f t="shared" si="64"/>
        <v>0</v>
      </c>
      <c r="N4066" s="274"/>
    </row>
    <row r="4067" spans="1:14" ht="13.5" customHeight="1">
      <c r="E4067" s="209" t="s">
        <v>698</v>
      </c>
      <c r="F4067" s="209" t="s">
        <v>2834</v>
      </c>
      <c r="G4067" s="414" t="str">
        <f t="shared" si="66"/>
        <v>11-26</v>
      </c>
      <c r="H4067" s="273" t="e">
        <f ca="1">_xludf.IFNA(VLOOKUP(Aragon!E4067,'Kilter Holds'!$P$37:$AB$662,11,0),0)</f>
        <v>#NAME?</v>
      </c>
      <c r="I4067" s="274"/>
      <c r="J4067" s="274" t="e">
        <f t="shared" ca="1" si="63"/>
        <v>#NAME?</v>
      </c>
      <c r="K4067" s="274">
        <f t="shared" si="64"/>
        <v>0</v>
      </c>
      <c r="N4067" s="274"/>
    </row>
    <row r="4068" spans="1:14" ht="13.5" customHeight="1">
      <c r="E4068" s="209" t="s">
        <v>698</v>
      </c>
      <c r="F4068" s="209" t="s">
        <v>2834</v>
      </c>
      <c r="G4068" s="415" t="str">
        <f t="shared" si="66"/>
        <v>18-01</v>
      </c>
      <c r="H4068" s="273" t="e">
        <f ca="1">_xludf.IFNA(VLOOKUP(Aragon!E4068,'Kilter Holds'!$P$37:$AB$662,12,0),0)</f>
        <v>#NAME?</v>
      </c>
      <c r="I4068" s="274"/>
      <c r="J4068" s="274" t="e">
        <f t="shared" ca="1" si="63"/>
        <v>#NAME?</v>
      </c>
      <c r="K4068" s="274">
        <f t="shared" si="64"/>
        <v>0</v>
      </c>
      <c r="N4068" s="274"/>
    </row>
    <row r="4069" spans="1:14" ht="13.5" customHeight="1">
      <c r="E4069" s="209" t="s">
        <v>698</v>
      </c>
      <c r="F4069" s="209" t="s">
        <v>2834</v>
      </c>
      <c r="G4069" s="416" t="str">
        <f t="shared" si="66"/>
        <v>Color Code</v>
      </c>
      <c r="H4069" s="273" t="e">
        <f ca="1">_xludf.IFNA(VLOOKUP(Aragon!E4069,'Kilter Holds'!$P$37:$AB$662,13,0),0)</f>
        <v>#NAME?</v>
      </c>
      <c r="I4069" s="274"/>
      <c r="J4069" s="274" t="e">
        <f t="shared" ca="1" si="63"/>
        <v>#NAME?</v>
      </c>
      <c r="K4069" s="274">
        <f t="shared" si="64"/>
        <v>0</v>
      </c>
      <c r="N4069" s="274"/>
    </row>
    <row r="4070" spans="1:14" ht="13.5" customHeight="1">
      <c r="E4070" s="209" t="s">
        <v>700</v>
      </c>
      <c r="F4070" s="209" t="s">
        <v>2835</v>
      </c>
      <c r="G4070" s="406" t="str">
        <f t="shared" si="66"/>
        <v>11-12</v>
      </c>
      <c r="H4070" s="273" t="e">
        <f ca="1">_xludf.IFNA(VLOOKUP(Aragon!E4070,'Kilter Holds'!$P$37:$AB$662,5,0),0)</f>
        <v>#NAME?</v>
      </c>
      <c r="I4070" s="274"/>
      <c r="J4070" s="274" t="e">
        <f t="shared" ca="1" si="63"/>
        <v>#NAME?</v>
      </c>
      <c r="K4070" s="274">
        <f t="shared" si="64"/>
        <v>0</v>
      </c>
      <c r="N4070" s="274"/>
    </row>
    <row r="4071" spans="1:14" ht="13.5" customHeight="1">
      <c r="E4071" s="209" t="s">
        <v>700</v>
      </c>
      <c r="F4071" s="209" t="s">
        <v>2835</v>
      </c>
      <c r="G4071" s="408" t="str">
        <f t="shared" si="66"/>
        <v>14-01</v>
      </c>
      <c r="H4071" s="273" t="e">
        <f ca="1">_xludf.IFNA(VLOOKUP(Aragon!E4071,'Kilter Holds'!$P$37:$AB$662,6,0),0)</f>
        <v>#NAME?</v>
      </c>
      <c r="I4071" s="274"/>
      <c r="J4071" s="274" t="e">
        <f t="shared" ca="1" si="63"/>
        <v>#NAME?</v>
      </c>
      <c r="K4071" s="274">
        <f t="shared" si="64"/>
        <v>0</v>
      </c>
      <c r="N4071" s="274"/>
    </row>
    <row r="4072" spans="1:14" ht="13.5" customHeight="1">
      <c r="E4072" s="209" t="s">
        <v>700</v>
      </c>
      <c r="F4072" s="209" t="s">
        <v>2835</v>
      </c>
      <c r="G4072" s="409" t="str">
        <f t="shared" si="66"/>
        <v>15-12</v>
      </c>
      <c r="H4072" s="273" t="e">
        <f ca="1">_xludf.IFNA(VLOOKUP(Aragon!E4072,'Kilter Holds'!$P$37:$AB$662,7,0),0)</f>
        <v>#NAME?</v>
      </c>
      <c r="I4072" s="274"/>
      <c r="J4072" s="274" t="e">
        <f t="shared" ca="1" si="63"/>
        <v>#NAME?</v>
      </c>
      <c r="K4072" s="274">
        <f t="shared" si="64"/>
        <v>0</v>
      </c>
      <c r="N4072" s="274"/>
    </row>
    <row r="4073" spans="1:14" ht="13.5" customHeight="1">
      <c r="E4073" s="209" t="s">
        <v>700</v>
      </c>
      <c r="F4073" s="209" t="s">
        <v>2835</v>
      </c>
      <c r="G4073" s="410" t="str">
        <f t="shared" si="66"/>
        <v>16-16</v>
      </c>
      <c r="H4073" s="273" t="e">
        <f ca="1">_xludf.IFNA(VLOOKUP(Aragon!E4073,'Kilter Holds'!$P$37:$AB$662,8,0),0)</f>
        <v>#NAME?</v>
      </c>
      <c r="I4073" s="274"/>
      <c r="J4073" s="274" t="e">
        <f t="shared" ca="1" si="63"/>
        <v>#NAME?</v>
      </c>
      <c r="K4073" s="274">
        <f t="shared" si="64"/>
        <v>0</v>
      </c>
      <c r="N4073" s="274"/>
    </row>
    <row r="4074" spans="1:14" ht="13.5" customHeight="1">
      <c r="E4074" s="209" t="s">
        <v>700</v>
      </c>
      <c r="F4074" s="209" t="s">
        <v>2835</v>
      </c>
      <c r="G4074" s="411" t="str">
        <f t="shared" si="66"/>
        <v>13-01</v>
      </c>
      <c r="H4074" s="273" t="e">
        <f ca="1">_xludf.IFNA(VLOOKUP(Aragon!E4074,'Kilter Holds'!$P$37:$AB$662,9,0),0)</f>
        <v>#NAME?</v>
      </c>
      <c r="I4074" s="274"/>
      <c r="J4074" s="274" t="e">
        <f t="shared" ca="1" si="63"/>
        <v>#NAME?</v>
      </c>
      <c r="K4074" s="274">
        <f t="shared" si="64"/>
        <v>0</v>
      </c>
      <c r="N4074" s="274"/>
    </row>
    <row r="4075" spans="1:14" ht="13.5" customHeight="1">
      <c r="E4075" s="209" t="s">
        <v>700</v>
      </c>
      <c r="F4075" s="209" t="s">
        <v>2835</v>
      </c>
      <c r="G4075" s="413" t="str">
        <f t="shared" si="66"/>
        <v>07-13</v>
      </c>
      <c r="H4075" s="273" t="e">
        <f ca="1">_xludf.IFNA(VLOOKUP(Aragon!E4075,'Kilter Holds'!$P$37:$AB$662,10,0),0)</f>
        <v>#NAME?</v>
      </c>
      <c r="I4075" s="274"/>
      <c r="J4075" s="274" t="e">
        <f t="shared" ca="1" si="63"/>
        <v>#NAME?</v>
      </c>
      <c r="K4075" s="274">
        <f t="shared" si="64"/>
        <v>0</v>
      </c>
      <c r="N4075" s="274"/>
    </row>
    <row r="4076" spans="1:14" ht="13.5" customHeight="1">
      <c r="E4076" s="209" t="s">
        <v>700</v>
      </c>
      <c r="F4076" s="209" t="s">
        <v>2835</v>
      </c>
      <c r="G4076" s="414" t="str">
        <f t="shared" si="66"/>
        <v>11-26</v>
      </c>
      <c r="H4076" s="273" t="e">
        <f ca="1">_xludf.IFNA(VLOOKUP(Aragon!E4076,'Kilter Holds'!$P$37:$AB$662,11,0),0)</f>
        <v>#NAME?</v>
      </c>
      <c r="I4076" s="274"/>
      <c r="J4076" s="274" t="e">
        <f t="shared" ca="1" si="63"/>
        <v>#NAME?</v>
      </c>
      <c r="K4076" s="274">
        <f t="shared" si="64"/>
        <v>0</v>
      </c>
      <c r="N4076" s="274"/>
    </row>
    <row r="4077" spans="1:14" ht="13.5" customHeight="1">
      <c r="E4077" s="209" t="s">
        <v>700</v>
      </c>
      <c r="F4077" s="209" t="s">
        <v>2835</v>
      </c>
      <c r="G4077" s="415" t="str">
        <f t="shared" si="66"/>
        <v>18-01</v>
      </c>
      <c r="H4077" s="273" t="e">
        <f ca="1">_xludf.IFNA(VLOOKUP(Aragon!E4077,'Kilter Holds'!$P$37:$AB$662,12,0),0)</f>
        <v>#NAME?</v>
      </c>
      <c r="I4077" s="274"/>
      <c r="J4077" s="274" t="e">
        <f t="shared" ca="1" si="63"/>
        <v>#NAME?</v>
      </c>
      <c r="K4077" s="274">
        <f t="shared" si="64"/>
        <v>0</v>
      </c>
      <c r="N4077" s="274"/>
    </row>
    <row r="4078" spans="1:14" ht="13.5" customHeight="1">
      <c r="E4078" s="209" t="s">
        <v>700</v>
      </c>
      <c r="F4078" s="209" t="s">
        <v>2835</v>
      </c>
      <c r="G4078" s="416" t="str">
        <f t="shared" si="66"/>
        <v>Color Code</v>
      </c>
      <c r="H4078" s="273" t="e">
        <f ca="1">_xludf.IFNA(VLOOKUP(Aragon!E4078,'Kilter Holds'!$P$37:$AB$662,13,0),0)</f>
        <v>#NAME?</v>
      </c>
      <c r="I4078" s="274"/>
      <c r="J4078" s="274" t="e">
        <f t="shared" ca="1" si="63"/>
        <v>#NAME?</v>
      </c>
      <c r="K4078" s="274">
        <f t="shared" si="64"/>
        <v>0</v>
      </c>
      <c r="N4078" s="274"/>
    </row>
    <row r="4079" spans="1:14" ht="13.5" customHeight="1">
      <c r="A4079" s="1" t="s">
        <v>1237</v>
      </c>
      <c r="E4079" s="209" t="s">
        <v>710</v>
      </c>
      <c r="F4079" s="209" t="s">
        <v>2836</v>
      </c>
      <c r="G4079" s="406" t="str">
        <f t="shared" si="66"/>
        <v>11-12</v>
      </c>
      <c r="H4079" s="273" t="e">
        <f ca="1">_xludf.IFNA(VLOOKUP(Aragon!E4079,'Kilter Holds'!$P$37:$AB$662,5,0),0)+_xludf.IFNA(VLOOKUP(Aragon!A4079,'Kilter Holds'!$P$37:$AB$662,5,0),0)</f>
        <v>#NAME?</v>
      </c>
      <c r="I4079" s="274"/>
      <c r="J4079" s="274" t="e">
        <f t="shared" ca="1" si="63"/>
        <v>#NAME?</v>
      </c>
      <c r="K4079" s="274">
        <f t="shared" si="64"/>
        <v>0</v>
      </c>
      <c r="N4079" s="274"/>
    </row>
    <row r="4080" spans="1:14" ht="13.5" customHeight="1">
      <c r="A4080" s="1" t="s">
        <v>1237</v>
      </c>
      <c r="E4080" s="209" t="s">
        <v>710</v>
      </c>
      <c r="F4080" s="209" t="s">
        <v>2836</v>
      </c>
      <c r="G4080" s="408" t="str">
        <f t="shared" si="66"/>
        <v>14-01</v>
      </c>
      <c r="H4080" s="273" t="e">
        <f ca="1">_xludf.IFNA(VLOOKUP(Aragon!E4080,'Kilter Holds'!$P$37:$AB$662,6,0),0)+_xludf.IFNA(VLOOKUP(Aragon!A4080,'Kilter Holds'!$P$37:$AB$662,6,0),0)</f>
        <v>#NAME?</v>
      </c>
      <c r="I4080" s="274"/>
      <c r="J4080" s="274" t="e">
        <f t="shared" ca="1" si="63"/>
        <v>#NAME?</v>
      </c>
      <c r="K4080" s="274">
        <f t="shared" si="64"/>
        <v>0</v>
      </c>
      <c r="N4080" s="274"/>
    </row>
    <row r="4081" spans="1:14" ht="13.5" customHeight="1">
      <c r="A4081" s="1" t="s">
        <v>1237</v>
      </c>
      <c r="E4081" s="209" t="s">
        <v>710</v>
      </c>
      <c r="F4081" s="209" t="s">
        <v>2836</v>
      </c>
      <c r="G4081" s="409" t="str">
        <f t="shared" si="66"/>
        <v>15-12</v>
      </c>
      <c r="H4081" s="273" t="e">
        <f ca="1">_xludf.IFNA(VLOOKUP(Aragon!E4081,'Kilter Holds'!$P$37:$AB$662,7,0),0)+_xludf.IFNA(VLOOKUP(Aragon!A4081,'Kilter Holds'!$P$37:$AB$662,7,0),0)</f>
        <v>#NAME?</v>
      </c>
      <c r="I4081" s="274"/>
      <c r="J4081" s="274" t="e">
        <f t="shared" ca="1" si="63"/>
        <v>#NAME?</v>
      </c>
      <c r="K4081" s="274">
        <f t="shared" si="64"/>
        <v>0</v>
      </c>
      <c r="N4081" s="274"/>
    </row>
    <row r="4082" spans="1:14" ht="13.5" customHeight="1">
      <c r="A4082" s="1" t="s">
        <v>1237</v>
      </c>
      <c r="E4082" s="209" t="s">
        <v>710</v>
      </c>
      <c r="F4082" s="209" t="s">
        <v>2836</v>
      </c>
      <c r="G4082" s="410" t="str">
        <f t="shared" si="66"/>
        <v>16-16</v>
      </c>
      <c r="H4082" s="273" t="e">
        <f ca="1">_xludf.IFNA(VLOOKUP(Aragon!E4082,'Kilter Holds'!$P$37:$AB$662,8,0),0)+_xludf.IFNA(VLOOKUP(Aragon!A4082,'Kilter Holds'!$P$37:$AB$662,8,0),0)</f>
        <v>#NAME?</v>
      </c>
      <c r="I4082" s="274"/>
      <c r="J4082" s="274" t="e">
        <f t="shared" ref="J4082:J4336" ca="1" si="67">H4082*I4082</f>
        <v>#NAME?</v>
      </c>
      <c r="K4082" s="274">
        <f t="shared" ref="K4082:K4336" si="68">IF($V$11="Y",J4082*0.05,0)</f>
        <v>0</v>
      </c>
      <c r="N4082" s="274"/>
    </row>
    <row r="4083" spans="1:14" ht="13.5" customHeight="1">
      <c r="A4083" s="1" t="s">
        <v>1237</v>
      </c>
      <c r="E4083" s="209" t="s">
        <v>710</v>
      </c>
      <c r="F4083" s="209" t="s">
        <v>2836</v>
      </c>
      <c r="G4083" s="411" t="str">
        <f t="shared" si="66"/>
        <v>13-01</v>
      </c>
      <c r="H4083" s="273" t="e">
        <f ca="1">_xludf.IFNA(VLOOKUP(Aragon!E4083,'Kilter Holds'!$P$37:$AB$662,9,0),0)+_xludf.IFNA(VLOOKUP(Aragon!A4083,'Kilter Holds'!$P$37:$AB$662,9,0),0)</f>
        <v>#NAME?</v>
      </c>
      <c r="I4083" s="274"/>
      <c r="J4083" s="274" t="e">
        <f t="shared" ca="1" si="67"/>
        <v>#NAME?</v>
      </c>
      <c r="K4083" s="274">
        <f t="shared" si="68"/>
        <v>0</v>
      </c>
      <c r="N4083" s="274"/>
    </row>
    <row r="4084" spans="1:14" ht="13.5" customHeight="1">
      <c r="A4084" s="1" t="s">
        <v>1237</v>
      </c>
      <c r="E4084" s="209" t="s">
        <v>710</v>
      </c>
      <c r="F4084" s="209" t="s">
        <v>2836</v>
      </c>
      <c r="G4084" s="413" t="str">
        <f t="shared" si="66"/>
        <v>07-13</v>
      </c>
      <c r="H4084" s="273" t="e">
        <f ca="1">_xludf.IFNA(VLOOKUP(Aragon!E4084,'Kilter Holds'!$P$37:$AB$662,10,0),0)+_xludf.IFNA(VLOOKUP(Aragon!A4084,'Kilter Holds'!$P$37:$AB$662,10,0),0)</f>
        <v>#NAME?</v>
      </c>
      <c r="I4084" s="274"/>
      <c r="J4084" s="274" t="e">
        <f t="shared" ca="1" si="67"/>
        <v>#NAME?</v>
      </c>
      <c r="K4084" s="274">
        <f t="shared" si="68"/>
        <v>0</v>
      </c>
      <c r="N4084" s="274"/>
    </row>
    <row r="4085" spans="1:14" ht="13.5" customHeight="1">
      <c r="A4085" s="1" t="s">
        <v>1237</v>
      </c>
      <c r="E4085" s="209" t="s">
        <v>710</v>
      </c>
      <c r="F4085" s="209" t="s">
        <v>2836</v>
      </c>
      <c r="G4085" s="414" t="str">
        <f t="shared" si="66"/>
        <v>11-26</v>
      </c>
      <c r="H4085" s="273" t="e">
        <f ca="1">_xludf.IFNA(VLOOKUP(Aragon!E4085,'Kilter Holds'!$P$37:$AB$662,11,0),0)+_xludf.IFNA(VLOOKUP(Aragon!A4085,'Kilter Holds'!$P$37:$AB$662,11,0),0)</f>
        <v>#NAME?</v>
      </c>
      <c r="I4085" s="274"/>
      <c r="J4085" s="274" t="e">
        <f t="shared" ca="1" si="67"/>
        <v>#NAME?</v>
      </c>
      <c r="K4085" s="274">
        <f t="shared" si="68"/>
        <v>0</v>
      </c>
      <c r="N4085" s="274"/>
    </row>
    <row r="4086" spans="1:14" ht="13.5" customHeight="1">
      <c r="A4086" s="1" t="s">
        <v>1237</v>
      </c>
      <c r="E4086" s="209" t="s">
        <v>710</v>
      </c>
      <c r="F4086" s="209" t="s">
        <v>2836</v>
      </c>
      <c r="G4086" s="415" t="str">
        <f t="shared" si="66"/>
        <v>18-01</v>
      </c>
      <c r="H4086" s="273" t="e">
        <f ca="1">_xludf.IFNA(VLOOKUP(Aragon!E4086,'Kilter Holds'!$P$37:$AB$662,12,0),0)+_xludf.IFNA(VLOOKUP(Aragon!A4086,'Kilter Holds'!$P$37:$AB$662,12,0),0)</f>
        <v>#NAME?</v>
      </c>
      <c r="I4086" s="274"/>
      <c r="J4086" s="274" t="e">
        <f t="shared" ca="1" si="67"/>
        <v>#NAME?</v>
      </c>
      <c r="K4086" s="274">
        <f t="shared" si="68"/>
        <v>0</v>
      </c>
      <c r="N4086" s="274"/>
    </row>
    <row r="4087" spans="1:14" ht="13.5" customHeight="1">
      <c r="A4087" s="1" t="s">
        <v>1237</v>
      </c>
      <c r="E4087" s="209" t="s">
        <v>710</v>
      </c>
      <c r="F4087" s="209" t="s">
        <v>2836</v>
      </c>
      <c r="G4087" s="416" t="str">
        <f t="shared" si="66"/>
        <v>Color Code</v>
      </c>
      <c r="H4087" s="273" t="e">
        <f ca="1">_xludf.IFNA(VLOOKUP(Aragon!E4087,'Kilter Holds'!$P$37:$AB$662,13,0),0)+_xludf.IFNA(VLOOKUP(Aragon!A4087,'Kilter Holds'!$P$37:$AB$662,13,0),0)</f>
        <v>#NAME?</v>
      </c>
      <c r="I4087" s="274"/>
      <c r="J4087" s="274" t="e">
        <f t="shared" ca="1" si="67"/>
        <v>#NAME?</v>
      </c>
      <c r="K4087" s="274">
        <f t="shared" si="68"/>
        <v>0</v>
      </c>
      <c r="N4087" s="274"/>
    </row>
    <row r="4088" spans="1:14" ht="13.5" customHeight="1">
      <c r="A4088" s="1" t="s">
        <v>1233</v>
      </c>
      <c r="B4088" s="1" t="s">
        <v>1235</v>
      </c>
      <c r="C4088" s="1" t="s">
        <v>1237</v>
      </c>
      <c r="D4088" s="1" t="s">
        <v>1239</v>
      </c>
      <c r="E4088" s="209" t="s">
        <v>724</v>
      </c>
      <c r="F4088" s="209" t="s">
        <v>2837</v>
      </c>
      <c r="G4088" s="406" t="str">
        <f t="shared" si="66"/>
        <v>11-12</v>
      </c>
      <c r="H4088" s="273" t="e">
        <f ca="1">_xludf.IFNA(VLOOKUP(Aragon!E4088,'Kilter Holds'!$P$37:$AB$662,5,0),0)+_xludf.IFNA(VLOOKUP(Aragon!A4088,'Kilter Holds'!$P$37:$AB$662,5,0),0)+_xludf.IFNA(VLOOKUP(Aragon!B4088,'Kilter Holds'!$P$37:$AB$662,5,0),0)+_xludf.IFNA(VLOOKUP(Aragon!C4088,'Kilter Holds'!$P$37:$AB$662,5,0),0)+_xludf.IFNA(VLOOKUP(Aragon!D4088,'Kilter Holds'!$P$37:$AB$662,5,0),0)</f>
        <v>#NAME?</v>
      </c>
      <c r="I4088" s="274"/>
      <c r="J4088" s="274" t="e">
        <f t="shared" ca="1" si="67"/>
        <v>#NAME?</v>
      </c>
      <c r="K4088" s="274">
        <f t="shared" si="68"/>
        <v>0</v>
      </c>
      <c r="N4088" s="274"/>
    </row>
    <row r="4089" spans="1:14" ht="13.5" customHeight="1">
      <c r="A4089" s="1" t="s">
        <v>1233</v>
      </c>
      <c r="B4089" s="1" t="s">
        <v>1235</v>
      </c>
      <c r="C4089" s="1" t="s">
        <v>1237</v>
      </c>
      <c r="D4089" s="1" t="s">
        <v>1239</v>
      </c>
      <c r="E4089" s="209" t="s">
        <v>724</v>
      </c>
      <c r="F4089" s="209" t="s">
        <v>2837</v>
      </c>
      <c r="G4089" s="408" t="str">
        <f t="shared" si="66"/>
        <v>14-01</v>
      </c>
      <c r="H4089" s="273" t="e">
        <f ca="1">_xludf.IFNA(VLOOKUP(Aragon!E4089,'Kilter Holds'!$P$37:$AB$662,6,0),0)+_xludf.IFNA(VLOOKUP(Aragon!A4089,'Kilter Holds'!$P$37:$AB$662,6,0),0)+_xludf.IFNA(VLOOKUP(Aragon!B4089,'Kilter Holds'!$P$37:$AB$662,6,0),0)+_xludf.IFNA(VLOOKUP(Aragon!C4089,'Kilter Holds'!$P$37:$AB$662,6,0),0)+_xludf.IFNA(VLOOKUP(Aragon!D4089,'Kilter Holds'!$P$37:$AB$662,6,0),0)</f>
        <v>#NAME?</v>
      </c>
      <c r="I4089" s="274"/>
      <c r="J4089" s="274" t="e">
        <f t="shared" ca="1" si="67"/>
        <v>#NAME?</v>
      </c>
      <c r="K4089" s="274">
        <f t="shared" si="68"/>
        <v>0</v>
      </c>
      <c r="N4089" s="274"/>
    </row>
    <row r="4090" spans="1:14" ht="13.5" customHeight="1">
      <c r="A4090" s="1" t="s">
        <v>1233</v>
      </c>
      <c r="B4090" s="1" t="s">
        <v>1235</v>
      </c>
      <c r="C4090" s="1" t="s">
        <v>1237</v>
      </c>
      <c r="D4090" s="1" t="s">
        <v>1239</v>
      </c>
      <c r="E4090" s="209" t="s">
        <v>724</v>
      </c>
      <c r="F4090" s="209" t="s">
        <v>2837</v>
      </c>
      <c r="G4090" s="409" t="str">
        <f t="shared" si="66"/>
        <v>15-12</v>
      </c>
      <c r="H4090" s="273" t="e">
        <f ca="1">_xludf.IFNA(VLOOKUP(Aragon!E4090,'Kilter Holds'!$P$37:$AB$662,7,0),0)+_xludf.IFNA(VLOOKUP(Aragon!A4090,'Kilter Holds'!$P$37:$AB$662,7,0),0)+_xludf.IFNA(VLOOKUP(Aragon!B4090,'Kilter Holds'!$P$37:$AB$662,7,0),0)+_xludf.IFNA(VLOOKUP(Aragon!C4090,'Kilter Holds'!$P$37:$AB$662,7,0),0)+_xludf.IFNA(VLOOKUP(Aragon!D4090,'Kilter Holds'!$P$37:$AB$662,7,0),0)</f>
        <v>#NAME?</v>
      </c>
      <c r="I4090" s="274"/>
      <c r="J4090" s="274" t="e">
        <f t="shared" ca="1" si="67"/>
        <v>#NAME?</v>
      </c>
      <c r="K4090" s="274">
        <f t="shared" si="68"/>
        <v>0</v>
      </c>
      <c r="N4090" s="274"/>
    </row>
    <row r="4091" spans="1:14" ht="13.5" customHeight="1">
      <c r="A4091" s="1" t="s">
        <v>1233</v>
      </c>
      <c r="B4091" s="1" t="s">
        <v>1235</v>
      </c>
      <c r="C4091" s="1" t="s">
        <v>1237</v>
      </c>
      <c r="D4091" s="1" t="s">
        <v>1239</v>
      </c>
      <c r="E4091" s="209" t="s">
        <v>724</v>
      </c>
      <c r="F4091" s="209" t="s">
        <v>2837</v>
      </c>
      <c r="G4091" s="410" t="str">
        <f t="shared" si="66"/>
        <v>16-16</v>
      </c>
      <c r="H4091" s="273" t="e">
        <f ca="1">_xludf.IFNA(VLOOKUP(Aragon!E4091,'Kilter Holds'!$P$37:$AB$662,8,0),0)+_xludf.IFNA(VLOOKUP(Aragon!A4091,'Kilter Holds'!$P$37:$AB$662,8,0),0)+_xludf.IFNA(VLOOKUP(Aragon!B4091,'Kilter Holds'!$P$37:$AB$662,8,0),0)+_xludf.IFNA(VLOOKUP(Aragon!C4091,'Kilter Holds'!$P$37:$AB$662,8,0),0)+_xludf.IFNA(VLOOKUP(Aragon!D4091,'Kilter Holds'!$P$37:$AB$662,8,0),0)</f>
        <v>#NAME?</v>
      </c>
      <c r="I4091" s="274"/>
      <c r="J4091" s="274" t="e">
        <f t="shared" ca="1" si="67"/>
        <v>#NAME?</v>
      </c>
      <c r="K4091" s="274">
        <f t="shared" si="68"/>
        <v>0</v>
      </c>
      <c r="N4091" s="274"/>
    </row>
    <row r="4092" spans="1:14" ht="13.5" customHeight="1">
      <c r="A4092" s="1" t="s">
        <v>1233</v>
      </c>
      <c r="B4092" s="1" t="s">
        <v>1235</v>
      </c>
      <c r="C4092" s="1" t="s">
        <v>1237</v>
      </c>
      <c r="D4092" s="1" t="s">
        <v>1239</v>
      </c>
      <c r="E4092" s="209" t="s">
        <v>724</v>
      </c>
      <c r="F4092" s="209" t="s">
        <v>2837</v>
      </c>
      <c r="G4092" s="411" t="str">
        <f t="shared" si="66"/>
        <v>13-01</v>
      </c>
      <c r="H4092" s="273" t="e">
        <f ca="1">_xludf.IFNA(VLOOKUP(Aragon!E4092,'Kilter Holds'!$P$37:$AB$662,9,0),0)+_xludf.IFNA(VLOOKUP(Aragon!A4092,'Kilter Holds'!$P$37:$AB$662,9,0),0)+_xludf.IFNA(VLOOKUP(Aragon!B4092,'Kilter Holds'!$P$37:$AB$662,9,0),0)+_xludf.IFNA(VLOOKUP(Aragon!C4092,'Kilter Holds'!$P$37:$AB$662,9,0),0)+_xludf.IFNA(VLOOKUP(Aragon!D4092,'Kilter Holds'!$P$37:$AB$662,9,0),0)</f>
        <v>#NAME?</v>
      </c>
      <c r="I4092" s="274"/>
      <c r="J4092" s="274" t="e">
        <f t="shared" ca="1" si="67"/>
        <v>#NAME?</v>
      </c>
      <c r="K4092" s="274">
        <f t="shared" si="68"/>
        <v>0</v>
      </c>
      <c r="N4092" s="274"/>
    </row>
    <row r="4093" spans="1:14" ht="13.5" customHeight="1">
      <c r="A4093" s="1" t="s">
        <v>1233</v>
      </c>
      <c r="B4093" s="1" t="s">
        <v>1235</v>
      </c>
      <c r="C4093" s="1" t="s">
        <v>1237</v>
      </c>
      <c r="D4093" s="1" t="s">
        <v>1239</v>
      </c>
      <c r="E4093" s="209" t="s">
        <v>724</v>
      </c>
      <c r="F4093" s="209" t="s">
        <v>2837</v>
      </c>
      <c r="G4093" s="413" t="str">
        <f t="shared" si="66"/>
        <v>07-13</v>
      </c>
      <c r="H4093" s="273" t="e">
        <f ca="1">_xludf.IFNA(VLOOKUP(Aragon!E4093,'Kilter Holds'!$P$37:$AB$662,10,0),0)+_xludf.IFNA(VLOOKUP(Aragon!A4093,'Kilter Holds'!$P$37:$AB$662,10,0),0)+_xludf.IFNA(VLOOKUP(Aragon!B4093,'Kilter Holds'!$P$37:$AB$662,10,0),0)+_xludf.IFNA(VLOOKUP(Aragon!C4093,'Kilter Holds'!$P$37:$AB$662,10,0),0)+_xludf.IFNA(VLOOKUP(Aragon!D4093,'Kilter Holds'!$P$37:$AB$662,10,0),0)</f>
        <v>#NAME?</v>
      </c>
      <c r="I4093" s="274"/>
      <c r="J4093" s="274" t="e">
        <f t="shared" ca="1" si="67"/>
        <v>#NAME?</v>
      </c>
      <c r="K4093" s="274">
        <f t="shared" si="68"/>
        <v>0</v>
      </c>
      <c r="N4093" s="274"/>
    </row>
    <row r="4094" spans="1:14" ht="13.5" customHeight="1">
      <c r="A4094" s="1" t="s">
        <v>1233</v>
      </c>
      <c r="B4094" s="1" t="s">
        <v>1235</v>
      </c>
      <c r="C4094" s="1" t="s">
        <v>1237</v>
      </c>
      <c r="D4094" s="1" t="s">
        <v>1239</v>
      </c>
      <c r="E4094" s="209" t="s">
        <v>724</v>
      </c>
      <c r="F4094" s="209" t="s">
        <v>2837</v>
      </c>
      <c r="G4094" s="414" t="str">
        <f t="shared" si="66"/>
        <v>11-26</v>
      </c>
      <c r="H4094" s="273" t="e">
        <f ca="1">_xludf.IFNA(VLOOKUP(Aragon!E4094,'Kilter Holds'!$P$37:$AB$662,11,0),0)+_xludf.IFNA(VLOOKUP(Aragon!A4094,'Kilter Holds'!$P$37:$AB$662,11,0),0)+_xludf.IFNA(VLOOKUP(Aragon!B4094,'Kilter Holds'!$P$37:$AB$662,11,0),0)+_xludf.IFNA(VLOOKUP(Aragon!C4094,'Kilter Holds'!$P$37:$AB$662,11,0),0)+_xludf.IFNA(VLOOKUP(Aragon!D4094,'Kilter Holds'!$P$37:$AB$662,11,0),0)</f>
        <v>#NAME?</v>
      </c>
      <c r="I4094" s="274"/>
      <c r="J4094" s="274" t="e">
        <f t="shared" ca="1" si="67"/>
        <v>#NAME?</v>
      </c>
      <c r="K4094" s="274">
        <f t="shared" si="68"/>
        <v>0</v>
      </c>
      <c r="N4094" s="274"/>
    </row>
    <row r="4095" spans="1:14" ht="13.5" customHeight="1">
      <c r="A4095" s="1" t="s">
        <v>1233</v>
      </c>
      <c r="B4095" s="1" t="s">
        <v>1235</v>
      </c>
      <c r="C4095" s="1" t="s">
        <v>1237</v>
      </c>
      <c r="D4095" s="1" t="s">
        <v>1239</v>
      </c>
      <c r="E4095" s="209" t="s">
        <v>724</v>
      </c>
      <c r="F4095" s="209" t="s">
        <v>2837</v>
      </c>
      <c r="G4095" s="415" t="str">
        <f t="shared" si="66"/>
        <v>18-01</v>
      </c>
      <c r="H4095" s="273" t="e">
        <f ca="1">_xludf.IFNA(VLOOKUP(Aragon!E4095,'Kilter Holds'!$P$37:$AB$662,12,0),0)+_xludf.IFNA(VLOOKUP(Aragon!A4095,'Kilter Holds'!$P$37:$AB$662,12,0),0)+_xludf.IFNA(VLOOKUP(Aragon!B4095,'Kilter Holds'!$P$37:$AB$662,12,0),0)+_xludf.IFNA(VLOOKUP(Aragon!C4095,'Kilter Holds'!$P$37:$AB$662,12,0),0)+_xludf.IFNA(VLOOKUP(Aragon!D4095,'Kilter Holds'!$P$37:$AB$662,12,0),0)</f>
        <v>#NAME?</v>
      </c>
      <c r="I4095" s="274"/>
      <c r="J4095" s="274" t="e">
        <f t="shared" ca="1" si="67"/>
        <v>#NAME?</v>
      </c>
      <c r="K4095" s="274">
        <f t="shared" si="68"/>
        <v>0</v>
      </c>
      <c r="N4095" s="274"/>
    </row>
    <row r="4096" spans="1:14" ht="13.5" customHeight="1">
      <c r="A4096" s="1" t="s">
        <v>1233</v>
      </c>
      <c r="B4096" s="1" t="s">
        <v>1235</v>
      </c>
      <c r="C4096" s="1" t="s">
        <v>1237</v>
      </c>
      <c r="D4096" s="1" t="s">
        <v>1239</v>
      </c>
      <c r="E4096" s="209" t="s">
        <v>724</v>
      </c>
      <c r="F4096" s="209" t="s">
        <v>2837</v>
      </c>
      <c r="G4096" s="416" t="str">
        <f t="shared" si="66"/>
        <v>Color Code</v>
      </c>
      <c r="H4096" s="273" t="e">
        <f ca="1">_xludf.IFNA(VLOOKUP(Aragon!E4096,'Kilter Holds'!$P$37:$AB$662,13,0),0)+_xludf.IFNA(VLOOKUP(Aragon!A4096,'Kilter Holds'!$P$37:$AB$662,13,0),0)+_xludf.IFNA(VLOOKUP(Aragon!B4096,'Kilter Holds'!$P$37:$AB$662,13,0),0)+_xludf.IFNA(VLOOKUP(Aragon!C4096,'Kilter Holds'!$P$37:$AB$662,13,0),0)+_xludf.IFNA(VLOOKUP(Aragon!D4096,'Kilter Holds'!$P$37:$AB$662,13,0),0)</f>
        <v>#NAME?</v>
      </c>
      <c r="I4096" s="274"/>
      <c r="J4096" s="274" t="e">
        <f t="shared" ca="1" si="67"/>
        <v>#NAME?</v>
      </c>
      <c r="K4096" s="274">
        <f t="shared" si="68"/>
        <v>0</v>
      </c>
      <c r="N4096" s="274"/>
    </row>
    <row r="4097" spans="1:14" ht="13.5" customHeight="1">
      <c r="E4097" s="209" t="s">
        <v>712</v>
      </c>
      <c r="F4097" s="209" t="s">
        <v>2838</v>
      </c>
      <c r="G4097" s="406" t="str">
        <f t="shared" si="66"/>
        <v>11-12</v>
      </c>
      <c r="H4097" s="273" t="e">
        <f ca="1">_xludf.IFNA(VLOOKUP(Aragon!E4097,'Kilter Holds'!$P$37:$AB$662,5,0),0)</f>
        <v>#NAME?</v>
      </c>
      <c r="I4097" s="274"/>
      <c r="J4097" s="274" t="e">
        <f t="shared" ca="1" si="67"/>
        <v>#NAME?</v>
      </c>
      <c r="K4097" s="274">
        <f t="shared" si="68"/>
        <v>0</v>
      </c>
      <c r="N4097" s="274"/>
    </row>
    <row r="4098" spans="1:14" ht="13.5" customHeight="1">
      <c r="E4098" s="209" t="s">
        <v>712</v>
      </c>
      <c r="F4098" s="209" t="s">
        <v>2838</v>
      </c>
      <c r="G4098" s="408" t="str">
        <f t="shared" si="66"/>
        <v>14-01</v>
      </c>
      <c r="H4098" s="273" t="e">
        <f ca="1">_xludf.IFNA(VLOOKUP(Aragon!E4098,'Kilter Holds'!$P$37:$AB$662,6,0),0)</f>
        <v>#NAME?</v>
      </c>
      <c r="I4098" s="274"/>
      <c r="J4098" s="274" t="e">
        <f t="shared" ca="1" si="67"/>
        <v>#NAME?</v>
      </c>
      <c r="K4098" s="274">
        <f t="shared" si="68"/>
        <v>0</v>
      </c>
      <c r="N4098" s="274"/>
    </row>
    <row r="4099" spans="1:14" ht="13.5" customHeight="1">
      <c r="E4099" s="209" t="s">
        <v>712</v>
      </c>
      <c r="F4099" s="209" t="s">
        <v>2838</v>
      </c>
      <c r="G4099" s="409" t="str">
        <f t="shared" si="66"/>
        <v>15-12</v>
      </c>
      <c r="H4099" s="273" t="e">
        <f ca="1">_xludf.IFNA(VLOOKUP(Aragon!E4099,'Kilter Holds'!$P$37:$AB$662,7,0),0)</f>
        <v>#NAME?</v>
      </c>
      <c r="I4099" s="274"/>
      <c r="J4099" s="274" t="e">
        <f t="shared" ca="1" si="67"/>
        <v>#NAME?</v>
      </c>
      <c r="K4099" s="274">
        <f t="shared" si="68"/>
        <v>0</v>
      </c>
      <c r="N4099" s="274"/>
    </row>
    <row r="4100" spans="1:14" ht="13.5" customHeight="1">
      <c r="E4100" s="209" t="s">
        <v>712</v>
      </c>
      <c r="F4100" s="209" t="s">
        <v>2838</v>
      </c>
      <c r="G4100" s="410" t="str">
        <f t="shared" si="66"/>
        <v>16-16</v>
      </c>
      <c r="H4100" s="273" t="e">
        <f ca="1">_xludf.IFNA(VLOOKUP(Aragon!E4100,'Kilter Holds'!$P$37:$AB$662,8,0),0)</f>
        <v>#NAME?</v>
      </c>
      <c r="I4100" s="274"/>
      <c r="J4100" s="274" t="e">
        <f t="shared" ca="1" si="67"/>
        <v>#NAME?</v>
      </c>
      <c r="K4100" s="274">
        <f t="shared" si="68"/>
        <v>0</v>
      </c>
      <c r="N4100" s="274"/>
    </row>
    <row r="4101" spans="1:14" ht="13.5" customHeight="1">
      <c r="E4101" s="209" t="s">
        <v>712</v>
      </c>
      <c r="F4101" s="209" t="s">
        <v>2838</v>
      </c>
      <c r="G4101" s="411" t="str">
        <f t="shared" si="66"/>
        <v>13-01</v>
      </c>
      <c r="H4101" s="273" t="e">
        <f ca="1">_xludf.IFNA(VLOOKUP(Aragon!E4101,'Kilter Holds'!$P$37:$AB$662,9,0),0)</f>
        <v>#NAME?</v>
      </c>
      <c r="I4101" s="274"/>
      <c r="J4101" s="274" t="e">
        <f t="shared" ca="1" si="67"/>
        <v>#NAME?</v>
      </c>
      <c r="K4101" s="274">
        <f t="shared" si="68"/>
        <v>0</v>
      </c>
      <c r="N4101" s="274"/>
    </row>
    <row r="4102" spans="1:14" ht="13.5" customHeight="1">
      <c r="E4102" s="209" t="s">
        <v>712</v>
      </c>
      <c r="F4102" s="209" t="s">
        <v>2838</v>
      </c>
      <c r="G4102" s="413" t="str">
        <f t="shared" si="66"/>
        <v>07-13</v>
      </c>
      <c r="H4102" s="273" t="e">
        <f ca="1">_xludf.IFNA(VLOOKUP(Aragon!E4102,'Kilter Holds'!$P$37:$AB$662,10,0),0)</f>
        <v>#NAME?</v>
      </c>
      <c r="I4102" s="274"/>
      <c r="J4102" s="274" t="e">
        <f t="shared" ca="1" si="67"/>
        <v>#NAME?</v>
      </c>
      <c r="K4102" s="274">
        <f t="shared" si="68"/>
        <v>0</v>
      </c>
      <c r="N4102" s="274"/>
    </row>
    <row r="4103" spans="1:14" ht="13.5" customHeight="1">
      <c r="E4103" s="209" t="s">
        <v>712</v>
      </c>
      <c r="F4103" s="209" t="s">
        <v>2838</v>
      </c>
      <c r="G4103" s="414" t="str">
        <f t="shared" si="66"/>
        <v>11-26</v>
      </c>
      <c r="H4103" s="273" t="e">
        <f ca="1">_xludf.IFNA(VLOOKUP(Aragon!E4103,'Kilter Holds'!$P$37:$AB$662,11,0),0)</f>
        <v>#NAME?</v>
      </c>
      <c r="I4103" s="274"/>
      <c r="J4103" s="274" t="e">
        <f t="shared" ca="1" si="67"/>
        <v>#NAME?</v>
      </c>
      <c r="K4103" s="274">
        <f t="shared" si="68"/>
        <v>0</v>
      </c>
      <c r="N4103" s="274"/>
    </row>
    <row r="4104" spans="1:14" ht="13.5" customHeight="1">
      <c r="E4104" s="209" t="s">
        <v>712</v>
      </c>
      <c r="F4104" s="209" t="s">
        <v>2838</v>
      </c>
      <c r="G4104" s="415" t="str">
        <f t="shared" si="66"/>
        <v>18-01</v>
      </c>
      <c r="H4104" s="273" t="e">
        <f ca="1">_xludf.IFNA(VLOOKUP(Aragon!E4104,'Kilter Holds'!$P$37:$AB$662,12,0),0)</f>
        <v>#NAME?</v>
      </c>
      <c r="I4104" s="274"/>
      <c r="J4104" s="274" t="e">
        <f t="shared" ca="1" si="67"/>
        <v>#NAME?</v>
      </c>
      <c r="K4104" s="274">
        <f t="shared" si="68"/>
        <v>0</v>
      </c>
      <c r="N4104" s="274"/>
    </row>
    <row r="4105" spans="1:14" ht="13.5" customHeight="1">
      <c r="E4105" s="209" t="s">
        <v>712</v>
      </c>
      <c r="F4105" s="209" t="s">
        <v>2838</v>
      </c>
      <c r="G4105" s="416" t="str">
        <f t="shared" si="66"/>
        <v>Color Code</v>
      </c>
      <c r="H4105" s="273" t="e">
        <f ca="1">_xludf.IFNA(VLOOKUP(Aragon!E4105,'Kilter Holds'!$P$37:$AB$662,13,0),0)</f>
        <v>#NAME?</v>
      </c>
      <c r="I4105" s="274"/>
      <c r="J4105" s="274" t="e">
        <f t="shared" ca="1" si="67"/>
        <v>#NAME?</v>
      </c>
      <c r="K4105" s="274">
        <f t="shared" si="68"/>
        <v>0</v>
      </c>
      <c r="N4105" s="274"/>
    </row>
    <row r="4106" spans="1:14" ht="13.5" customHeight="1">
      <c r="A4106" s="1" t="s">
        <v>1237</v>
      </c>
      <c r="E4106" s="209" t="s">
        <v>714</v>
      </c>
      <c r="F4106" s="209" t="s">
        <v>2839</v>
      </c>
      <c r="G4106" s="406" t="str">
        <f t="shared" si="66"/>
        <v>11-12</v>
      </c>
      <c r="H4106" s="273" t="e">
        <f ca="1">_xludf.IFNA(VLOOKUP(Aragon!E4106,'Kilter Holds'!$P$37:$AB$662,5,0),0)+_xludf.IFNA(VLOOKUP(Aragon!A4106,'Kilter Holds'!$P$37:$AB$662,5,0),0)</f>
        <v>#NAME?</v>
      </c>
      <c r="I4106" s="274"/>
      <c r="J4106" s="274" t="e">
        <f t="shared" ca="1" si="67"/>
        <v>#NAME?</v>
      </c>
      <c r="K4106" s="274">
        <f t="shared" si="68"/>
        <v>0</v>
      </c>
      <c r="N4106" s="274"/>
    </row>
    <row r="4107" spans="1:14" ht="13.5" customHeight="1">
      <c r="A4107" s="1" t="s">
        <v>1237</v>
      </c>
      <c r="E4107" s="209" t="s">
        <v>714</v>
      </c>
      <c r="F4107" s="209" t="s">
        <v>2839</v>
      </c>
      <c r="G4107" s="408" t="str">
        <f t="shared" si="66"/>
        <v>14-01</v>
      </c>
      <c r="H4107" s="273" t="e">
        <f ca="1">_xludf.IFNA(VLOOKUP(Aragon!E4107,'Kilter Holds'!$P$37:$AB$662,6,0),0)+_xludf.IFNA(VLOOKUP(Aragon!A4107,'Kilter Holds'!$P$37:$AB$662,6,0),0)</f>
        <v>#NAME?</v>
      </c>
      <c r="I4107" s="274"/>
      <c r="J4107" s="274" t="e">
        <f t="shared" ca="1" si="67"/>
        <v>#NAME?</v>
      </c>
      <c r="K4107" s="274">
        <f t="shared" si="68"/>
        <v>0</v>
      </c>
      <c r="N4107" s="274"/>
    </row>
    <row r="4108" spans="1:14" ht="13.5" customHeight="1">
      <c r="A4108" s="1" t="s">
        <v>1237</v>
      </c>
      <c r="E4108" s="209" t="s">
        <v>714</v>
      </c>
      <c r="F4108" s="209" t="s">
        <v>2839</v>
      </c>
      <c r="G4108" s="409" t="str">
        <f t="shared" si="66"/>
        <v>15-12</v>
      </c>
      <c r="H4108" s="273" t="e">
        <f ca="1">_xludf.IFNA(VLOOKUP(Aragon!E4108,'Kilter Holds'!$P$37:$AB$662,7,0),0)+_xludf.IFNA(VLOOKUP(Aragon!A4108,'Kilter Holds'!$P$37:$AB$662,7,0),0)</f>
        <v>#NAME?</v>
      </c>
      <c r="I4108" s="274"/>
      <c r="J4108" s="274" t="e">
        <f t="shared" ca="1" si="67"/>
        <v>#NAME?</v>
      </c>
      <c r="K4108" s="274">
        <f t="shared" si="68"/>
        <v>0</v>
      </c>
      <c r="N4108" s="274"/>
    </row>
    <row r="4109" spans="1:14" ht="13.5" customHeight="1">
      <c r="A4109" s="1" t="s">
        <v>1237</v>
      </c>
      <c r="E4109" s="209" t="s">
        <v>714</v>
      </c>
      <c r="F4109" s="209" t="s">
        <v>2839</v>
      </c>
      <c r="G4109" s="410" t="str">
        <f t="shared" si="66"/>
        <v>16-16</v>
      </c>
      <c r="H4109" s="273" t="e">
        <f ca="1">_xludf.IFNA(VLOOKUP(Aragon!E4109,'Kilter Holds'!$P$37:$AB$662,8,0),0)+_xludf.IFNA(VLOOKUP(Aragon!A4109,'Kilter Holds'!$P$37:$AB$662,8,0),0)</f>
        <v>#NAME?</v>
      </c>
      <c r="I4109" s="274"/>
      <c r="J4109" s="274" t="e">
        <f t="shared" ca="1" si="67"/>
        <v>#NAME?</v>
      </c>
      <c r="K4109" s="274">
        <f t="shared" si="68"/>
        <v>0</v>
      </c>
      <c r="N4109" s="274"/>
    </row>
    <row r="4110" spans="1:14" ht="13.5" customHeight="1">
      <c r="A4110" s="1" t="s">
        <v>1237</v>
      </c>
      <c r="E4110" s="209" t="s">
        <v>714</v>
      </c>
      <c r="F4110" s="209" t="s">
        <v>2839</v>
      </c>
      <c r="G4110" s="411" t="str">
        <f t="shared" si="66"/>
        <v>13-01</v>
      </c>
      <c r="H4110" s="273" t="e">
        <f ca="1">_xludf.IFNA(VLOOKUP(Aragon!E4110,'Kilter Holds'!$P$37:$AB$662,9,0),0)+_xludf.IFNA(VLOOKUP(Aragon!A4110,'Kilter Holds'!$P$37:$AB$662,9,0),0)</f>
        <v>#NAME?</v>
      </c>
      <c r="I4110" s="274"/>
      <c r="J4110" s="274" t="e">
        <f t="shared" ca="1" si="67"/>
        <v>#NAME?</v>
      </c>
      <c r="K4110" s="274">
        <f t="shared" si="68"/>
        <v>0</v>
      </c>
      <c r="N4110" s="274"/>
    </row>
    <row r="4111" spans="1:14" ht="13.5" customHeight="1">
      <c r="A4111" s="1" t="s">
        <v>1237</v>
      </c>
      <c r="E4111" s="209" t="s">
        <v>714</v>
      </c>
      <c r="F4111" s="209" t="s">
        <v>2839</v>
      </c>
      <c r="G4111" s="413" t="str">
        <f t="shared" si="66"/>
        <v>07-13</v>
      </c>
      <c r="H4111" s="273" t="e">
        <f ca="1">_xludf.IFNA(VLOOKUP(Aragon!E4111,'Kilter Holds'!$P$37:$AB$662,10,0),0)+_xludf.IFNA(VLOOKUP(Aragon!A4111,'Kilter Holds'!$P$37:$AB$662,10,0),0)</f>
        <v>#NAME?</v>
      </c>
      <c r="I4111" s="274"/>
      <c r="J4111" s="274" t="e">
        <f t="shared" ca="1" si="67"/>
        <v>#NAME?</v>
      </c>
      <c r="K4111" s="274">
        <f t="shared" si="68"/>
        <v>0</v>
      </c>
      <c r="N4111" s="274"/>
    </row>
    <row r="4112" spans="1:14" ht="13.5" customHeight="1">
      <c r="A4112" s="1" t="s">
        <v>1237</v>
      </c>
      <c r="E4112" s="209" t="s">
        <v>714</v>
      </c>
      <c r="F4112" s="209" t="s">
        <v>2839</v>
      </c>
      <c r="G4112" s="414" t="str">
        <f t="shared" si="66"/>
        <v>11-26</v>
      </c>
      <c r="H4112" s="273" t="e">
        <f ca="1">_xludf.IFNA(VLOOKUP(Aragon!E4112,'Kilter Holds'!$P$37:$AB$662,11,0),0)+_xludf.IFNA(VLOOKUP(Aragon!A4112,'Kilter Holds'!$P$37:$AB$662,11,0),0)</f>
        <v>#NAME?</v>
      </c>
      <c r="I4112" s="274"/>
      <c r="J4112" s="274" t="e">
        <f t="shared" ca="1" si="67"/>
        <v>#NAME?</v>
      </c>
      <c r="K4112" s="274">
        <f t="shared" si="68"/>
        <v>0</v>
      </c>
      <c r="N4112" s="274"/>
    </row>
    <row r="4113" spans="1:14" ht="13.5" customHeight="1">
      <c r="A4113" s="1" t="s">
        <v>1237</v>
      </c>
      <c r="E4113" s="209" t="s">
        <v>714</v>
      </c>
      <c r="F4113" s="209" t="s">
        <v>2839</v>
      </c>
      <c r="G4113" s="415" t="str">
        <f t="shared" si="66"/>
        <v>18-01</v>
      </c>
      <c r="H4113" s="273" t="e">
        <f ca="1">_xludf.IFNA(VLOOKUP(Aragon!E4113,'Kilter Holds'!$P$37:$AB$662,12,0),0)+_xludf.IFNA(VLOOKUP(Aragon!A4113,'Kilter Holds'!$P$37:$AB$662,12,0),0)</f>
        <v>#NAME?</v>
      </c>
      <c r="I4113" s="274"/>
      <c r="J4113" s="274" t="e">
        <f t="shared" ca="1" si="67"/>
        <v>#NAME?</v>
      </c>
      <c r="K4113" s="274">
        <f t="shared" si="68"/>
        <v>0</v>
      </c>
      <c r="N4113" s="274"/>
    </row>
    <row r="4114" spans="1:14" ht="13.5" customHeight="1">
      <c r="A4114" s="1" t="s">
        <v>1237</v>
      </c>
      <c r="E4114" s="209" t="s">
        <v>714</v>
      </c>
      <c r="F4114" s="209" t="s">
        <v>2839</v>
      </c>
      <c r="G4114" s="416" t="str">
        <f t="shared" si="66"/>
        <v>Color Code</v>
      </c>
      <c r="H4114" s="273" t="e">
        <f ca="1">_xludf.IFNA(VLOOKUP(Aragon!E4114,'Kilter Holds'!$P$37:$AB$662,13,0),0)+_xludf.IFNA(VLOOKUP(Aragon!A4114,'Kilter Holds'!$P$37:$AB$662,13,0),0)</f>
        <v>#NAME?</v>
      </c>
      <c r="I4114" s="274"/>
      <c r="J4114" s="274" t="e">
        <f t="shared" ca="1" si="67"/>
        <v>#NAME?</v>
      </c>
      <c r="K4114" s="274">
        <f t="shared" si="68"/>
        <v>0</v>
      </c>
      <c r="N4114" s="274"/>
    </row>
    <row r="4115" spans="1:14" ht="13.5" customHeight="1">
      <c r="E4115" s="209" t="s">
        <v>706</v>
      </c>
      <c r="F4115" s="209" t="s">
        <v>2840</v>
      </c>
      <c r="G4115" s="406" t="str">
        <f t="shared" si="66"/>
        <v>11-12</v>
      </c>
      <c r="H4115" s="273" t="e">
        <f ca="1">_xludf.IFNA(VLOOKUP(Aragon!E4115,'Kilter Holds'!$P$37:$AB$662,5,0),0)</f>
        <v>#NAME?</v>
      </c>
      <c r="I4115" s="274"/>
      <c r="J4115" s="274" t="e">
        <f t="shared" ca="1" si="67"/>
        <v>#NAME?</v>
      </c>
      <c r="K4115" s="274">
        <f t="shared" si="68"/>
        <v>0</v>
      </c>
      <c r="N4115" s="274"/>
    </row>
    <row r="4116" spans="1:14" ht="13.5" customHeight="1">
      <c r="E4116" s="209" t="s">
        <v>706</v>
      </c>
      <c r="F4116" s="209" t="s">
        <v>2840</v>
      </c>
      <c r="G4116" s="408" t="str">
        <f t="shared" si="66"/>
        <v>14-01</v>
      </c>
      <c r="H4116" s="273" t="e">
        <f ca="1">_xludf.IFNA(VLOOKUP(Aragon!E4116,'Kilter Holds'!$P$37:$AB$662,6,0),0)</f>
        <v>#NAME?</v>
      </c>
      <c r="I4116" s="274"/>
      <c r="J4116" s="274" t="e">
        <f t="shared" ca="1" si="67"/>
        <v>#NAME?</v>
      </c>
      <c r="K4116" s="274">
        <f t="shared" si="68"/>
        <v>0</v>
      </c>
      <c r="N4116" s="274"/>
    </row>
    <row r="4117" spans="1:14" ht="13.5" customHeight="1">
      <c r="E4117" s="209" t="s">
        <v>706</v>
      </c>
      <c r="F4117" s="209" t="s">
        <v>2840</v>
      </c>
      <c r="G4117" s="409" t="str">
        <f t="shared" si="66"/>
        <v>15-12</v>
      </c>
      <c r="H4117" s="273" t="e">
        <f ca="1">_xludf.IFNA(VLOOKUP(Aragon!E4117,'Kilter Holds'!$P$37:$AB$662,7,0),0)</f>
        <v>#NAME?</v>
      </c>
      <c r="I4117" s="274"/>
      <c r="J4117" s="274" t="e">
        <f t="shared" ca="1" si="67"/>
        <v>#NAME?</v>
      </c>
      <c r="K4117" s="274">
        <f t="shared" si="68"/>
        <v>0</v>
      </c>
      <c r="N4117" s="274"/>
    </row>
    <row r="4118" spans="1:14" ht="13.5" customHeight="1">
      <c r="E4118" s="209" t="s">
        <v>706</v>
      </c>
      <c r="F4118" s="209" t="s">
        <v>2840</v>
      </c>
      <c r="G4118" s="410" t="str">
        <f t="shared" si="66"/>
        <v>16-16</v>
      </c>
      <c r="H4118" s="273" t="e">
        <f ca="1">_xludf.IFNA(VLOOKUP(Aragon!E4118,'Kilter Holds'!$P$37:$AB$662,8,0),0)</f>
        <v>#NAME?</v>
      </c>
      <c r="I4118" s="274"/>
      <c r="J4118" s="274" t="e">
        <f t="shared" ca="1" si="67"/>
        <v>#NAME?</v>
      </c>
      <c r="K4118" s="274">
        <f t="shared" si="68"/>
        <v>0</v>
      </c>
      <c r="N4118" s="274"/>
    </row>
    <row r="4119" spans="1:14" ht="13.5" customHeight="1">
      <c r="E4119" s="209" t="s">
        <v>706</v>
      </c>
      <c r="F4119" s="209" t="s">
        <v>2840</v>
      </c>
      <c r="G4119" s="411" t="str">
        <f t="shared" si="66"/>
        <v>13-01</v>
      </c>
      <c r="H4119" s="273" t="e">
        <f ca="1">_xludf.IFNA(VLOOKUP(Aragon!E4119,'Kilter Holds'!$P$37:$AB$662,9,0),0)</f>
        <v>#NAME?</v>
      </c>
      <c r="I4119" s="274"/>
      <c r="J4119" s="274" t="e">
        <f t="shared" ca="1" si="67"/>
        <v>#NAME?</v>
      </c>
      <c r="K4119" s="274">
        <f t="shared" si="68"/>
        <v>0</v>
      </c>
      <c r="N4119" s="274"/>
    </row>
    <row r="4120" spans="1:14" ht="13.5" customHeight="1">
      <c r="E4120" s="209" t="s">
        <v>706</v>
      </c>
      <c r="F4120" s="209" t="s">
        <v>2840</v>
      </c>
      <c r="G4120" s="413" t="str">
        <f t="shared" si="66"/>
        <v>07-13</v>
      </c>
      <c r="H4120" s="273" t="e">
        <f ca="1">_xludf.IFNA(VLOOKUP(Aragon!E4120,'Kilter Holds'!$P$37:$AB$662,10,0),0)</f>
        <v>#NAME?</v>
      </c>
      <c r="I4120" s="274"/>
      <c r="J4120" s="274" t="e">
        <f t="shared" ca="1" si="67"/>
        <v>#NAME?</v>
      </c>
      <c r="K4120" s="274">
        <f t="shared" si="68"/>
        <v>0</v>
      </c>
      <c r="N4120" s="274"/>
    </row>
    <row r="4121" spans="1:14" ht="13.5" customHeight="1">
      <c r="E4121" s="209" t="s">
        <v>706</v>
      </c>
      <c r="F4121" s="209" t="s">
        <v>2840</v>
      </c>
      <c r="G4121" s="414" t="str">
        <f t="shared" si="66"/>
        <v>11-26</v>
      </c>
      <c r="H4121" s="273" t="e">
        <f ca="1">_xludf.IFNA(VLOOKUP(Aragon!E4121,'Kilter Holds'!$P$37:$AB$662,11,0),0)</f>
        <v>#NAME?</v>
      </c>
      <c r="I4121" s="274"/>
      <c r="J4121" s="274" t="e">
        <f t="shared" ca="1" si="67"/>
        <v>#NAME?</v>
      </c>
      <c r="K4121" s="274">
        <f t="shared" si="68"/>
        <v>0</v>
      </c>
      <c r="N4121" s="274"/>
    </row>
    <row r="4122" spans="1:14" ht="13.5" customHeight="1">
      <c r="E4122" s="209" t="s">
        <v>706</v>
      </c>
      <c r="F4122" s="209" t="s">
        <v>2840</v>
      </c>
      <c r="G4122" s="415" t="str">
        <f t="shared" si="66"/>
        <v>18-01</v>
      </c>
      <c r="H4122" s="273" t="e">
        <f ca="1">_xludf.IFNA(VLOOKUP(Aragon!E4122,'Kilter Holds'!$P$37:$AB$662,12,0),0)</f>
        <v>#NAME?</v>
      </c>
      <c r="I4122" s="274"/>
      <c r="J4122" s="274" t="e">
        <f t="shared" ca="1" si="67"/>
        <v>#NAME?</v>
      </c>
      <c r="K4122" s="274">
        <f t="shared" si="68"/>
        <v>0</v>
      </c>
      <c r="N4122" s="274"/>
    </row>
    <row r="4123" spans="1:14" ht="13.5" customHeight="1">
      <c r="E4123" s="209" t="s">
        <v>706</v>
      </c>
      <c r="F4123" s="209" t="s">
        <v>2840</v>
      </c>
      <c r="G4123" s="416" t="str">
        <f t="shared" si="66"/>
        <v>Color Code</v>
      </c>
      <c r="H4123" s="273" t="e">
        <f ca="1">_xludf.IFNA(VLOOKUP(Aragon!E4123,'Kilter Holds'!$P$37:$AB$662,13,0),0)</f>
        <v>#NAME?</v>
      </c>
      <c r="I4123" s="274"/>
      <c r="J4123" s="274" t="e">
        <f t="shared" ca="1" si="67"/>
        <v>#NAME?</v>
      </c>
      <c r="K4123" s="274">
        <f t="shared" si="68"/>
        <v>0</v>
      </c>
      <c r="N4123" s="274"/>
    </row>
    <row r="4124" spans="1:14" ht="13.5" customHeight="1">
      <c r="E4124" s="209" t="s">
        <v>704</v>
      </c>
      <c r="F4124" s="209" t="s">
        <v>2841</v>
      </c>
      <c r="G4124" s="406" t="str">
        <f t="shared" si="66"/>
        <v>11-12</v>
      </c>
      <c r="H4124" s="273" t="e">
        <f ca="1">_xludf.IFNA(VLOOKUP(Aragon!E4124,'Kilter Holds'!$P$37:$AB$662,5,0),0)</f>
        <v>#NAME?</v>
      </c>
      <c r="I4124" s="274"/>
      <c r="J4124" s="274" t="e">
        <f t="shared" ca="1" si="67"/>
        <v>#NAME?</v>
      </c>
      <c r="K4124" s="274">
        <f t="shared" si="68"/>
        <v>0</v>
      </c>
      <c r="N4124" s="274"/>
    </row>
    <row r="4125" spans="1:14" ht="13.5" customHeight="1">
      <c r="E4125" s="209" t="s">
        <v>704</v>
      </c>
      <c r="F4125" s="209" t="s">
        <v>2841</v>
      </c>
      <c r="G4125" s="408" t="str">
        <f t="shared" si="66"/>
        <v>14-01</v>
      </c>
      <c r="H4125" s="273" t="e">
        <f ca="1">_xludf.IFNA(VLOOKUP(Aragon!E4125,'Kilter Holds'!$P$37:$AB$662,6,0),0)</f>
        <v>#NAME?</v>
      </c>
      <c r="I4125" s="274"/>
      <c r="J4125" s="274" t="e">
        <f t="shared" ca="1" si="67"/>
        <v>#NAME?</v>
      </c>
      <c r="K4125" s="274">
        <f t="shared" si="68"/>
        <v>0</v>
      </c>
      <c r="N4125" s="274"/>
    </row>
    <row r="4126" spans="1:14" ht="13.5" customHeight="1">
      <c r="E4126" s="209" t="s">
        <v>704</v>
      </c>
      <c r="F4126" s="209" t="s">
        <v>2841</v>
      </c>
      <c r="G4126" s="409" t="str">
        <f t="shared" si="66"/>
        <v>15-12</v>
      </c>
      <c r="H4126" s="273" t="e">
        <f ca="1">_xludf.IFNA(VLOOKUP(Aragon!E4126,'Kilter Holds'!$P$37:$AB$662,7,0),0)</f>
        <v>#NAME?</v>
      </c>
      <c r="I4126" s="274"/>
      <c r="J4126" s="274" t="e">
        <f t="shared" ca="1" si="67"/>
        <v>#NAME?</v>
      </c>
      <c r="K4126" s="274">
        <f t="shared" si="68"/>
        <v>0</v>
      </c>
      <c r="N4126" s="274"/>
    </row>
    <row r="4127" spans="1:14" ht="13.5" customHeight="1">
      <c r="E4127" s="209" t="s">
        <v>704</v>
      </c>
      <c r="F4127" s="209" t="s">
        <v>2841</v>
      </c>
      <c r="G4127" s="410" t="str">
        <f t="shared" si="66"/>
        <v>16-16</v>
      </c>
      <c r="H4127" s="273" t="e">
        <f ca="1">_xludf.IFNA(VLOOKUP(Aragon!E4127,'Kilter Holds'!$P$37:$AB$662,8,0),0)</f>
        <v>#NAME?</v>
      </c>
      <c r="I4127" s="274"/>
      <c r="J4127" s="274" t="e">
        <f t="shared" ca="1" si="67"/>
        <v>#NAME?</v>
      </c>
      <c r="K4127" s="274">
        <f t="shared" si="68"/>
        <v>0</v>
      </c>
      <c r="N4127" s="274"/>
    </row>
    <row r="4128" spans="1:14" ht="13.5" customHeight="1">
      <c r="E4128" s="209" t="s">
        <v>704</v>
      </c>
      <c r="F4128" s="209" t="s">
        <v>2841</v>
      </c>
      <c r="G4128" s="411" t="str">
        <f t="shared" si="66"/>
        <v>13-01</v>
      </c>
      <c r="H4128" s="273" t="e">
        <f ca="1">_xludf.IFNA(VLOOKUP(Aragon!E4128,'Kilter Holds'!$P$37:$AB$662,9,0),0)</f>
        <v>#NAME?</v>
      </c>
      <c r="I4128" s="274"/>
      <c r="J4128" s="274" t="e">
        <f t="shared" ca="1" si="67"/>
        <v>#NAME?</v>
      </c>
      <c r="K4128" s="274">
        <f t="shared" si="68"/>
        <v>0</v>
      </c>
      <c r="N4128" s="274"/>
    </row>
    <row r="4129" spans="5:14" ht="13.5" customHeight="1">
      <c r="E4129" s="209" t="s">
        <v>704</v>
      </c>
      <c r="F4129" s="209" t="s">
        <v>2841</v>
      </c>
      <c r="G4129" s="413" t="str">
        <f t="shared" si="66"/>
        <v>07-13</v>
      </c>
      <c r="H4129" s="273" t="e">
        <f ca="1">_xludf.IFNA(VLOOKUP(Aragon!E4129,'Kilter Holds'!$P$37:$AB$662,10,0),0)</f>
        <v>#NAME?</v>
      </c>
      <c r="I4129" s="274"/>
      <c r="J4129" s="274" t="e">
        <f t="shared" ca="1" si="67"/>
        <v>#NAME?</v>
      </c>
      <c r="K4129" s="274">
        <f t="shared" si="68"/>
        <v>0</v>
      </c>
      <c r="N4129" s="274"/>
    </row>
    <row r="4130" spans="5:14" ht="13.5" customHeight="1">
      <c r="E4130" s="209" t="s">
        <v>704</v>
      </c>
      <c r="F4130" s="209" t="s">
        <v>2841</v>
      </c>
      <c r="G4130" s="414" t="str">
        <f t="shared" si="66"/>
        <v>11-26</v>
      </c>
      <c r="H4130" s="273" t="e">
        <f ca="1">_xludf.IFNA(VLOOKUP(Aragon!E4130,'Kilter Holds'!$P$37:$AB$662,11,0),0)</f>
        <v>#NAME?</v>
      </c>
      <c r="I4130" s="274"/>
      <c r="J4130" s="274" t="e">
        <f t="shared" ca="1" si="67"/>
        <v>#NAME?</v>
      </c>
      <c r="K4130" s="274">
        <f t="shared" si="68"/>
        <v>0</v>
      </c>
      <c r="N4130" s="274"/>
    </row>
    <row r="4131" spans="5:14" ht="13.5" customHeight="1">
      <c r="E4131" s="209" t="s">
        <v>704</v>
      </c>
      <c r="F4131" s="209" t="s">
        <v>2841</v>
      </c>
      <c r="G4131" s="415" t="str">
        <f t="shared" si="66"/>
        <v>18-01</v>
      </c>
      <c r="H4131" s="273" t="e">
        <f ca="1">_xludf.IFNA(VLOOKUP(Aragon!E4131,'Kilter Holds'!$P$37:$AB$662,12,0),0)</f>
        <v>#NAME?</v>
      </c>
      <c r="I4131" s="274"/>
      <c r="J4131" s="274" t="e">
        <f t="shared" ca="1" si="67"/>
        <v>#NAME?</v>
      </c>
      <c r="K4131" s="274">
        <f t="shared" si="68"/>
        <v>0</v>
      </c>
      <c r="N4131" s="274"/>
    </row>
    <row r="4132" spans="5:14" ht="13.5" customHeight="1">
      <c r="E4132" s="209" t="s">
        <v>704</v>
      </c>
      <c r="F4132" s="209" t="s">
        <v>2841</v>
      </c>
      <c r="G4132" s="416" t="str">
        <f t="shared" si="66"/>
        <v>Color Code</v>
      </c>
      <c r="H4132" s="273" t="e">
        <f ca="1">_xludf.IFNA(VLOOKUP(Aragon!E4132,'Kilter Holds'!$P$37:$AB$662,13,0),0)</f>
        <v>#NAME?</v>
      </c>
      <c r="I4132" s="274"/>
      <c r="J4132" s="274" t="e">
        <f t="shared" ca="1" si="67"/>
        <v>#NAME?</v>
      </c>
      <c r="K4132" s="274">
        <f t="shared" si="68"/>
        <v>0</v>
      </c>
      <c r="N4132" s="274"/>
    </row>
    <row r="4133" spans="5:14" ht="13.5" customHeight="1">
      <c r="E4133" s="209" t="s">
        <v>381</v>
      </c>
      <c r="F4133" s="209" t="s">
        <v>2842</v>
      </c>
      <c r="G4133" s="406" t="str">
        <f t="shared" si="66"/>
        <v>11-12</v>
      </c>
      <c r="H4133" s="273" t="e">
        <f ca="1">_xludf.IFNA(VLOOKUP(Aragon!E4133,'Kilter Holds'!$P$37:$AB$662,5,0),0)</f>
        <v>#NAME?</v>
      </c>
      <c r="I4133" s="274"/>
      <c r="J4133" s="274" t="e">
        <f t="shared" ca="1" si="67"/>
        <v>#NAME?</v>
      </c>
      <c r="K4133" s="274">
        <f t="shared" si="68"/>
        <v>0</v>
      </c>
      <c r="N4133" s="274"/>
    </row>
    <row r="4134" spans="5:14" ht="13.5" customHeight="1">
      <c r="E4134" s="209" t="s">
        <v>381</v>
      </c>
      <c r="F4134" s="209" t="s">
        <v>2842</v>
      </c>
      <c r="G4134" s="408" t="str">
        <f t="shared" si="66"/>
        <v>14-01</v>
      </c>
      <c r="H4134" s="273" t="e">
        <f ca="1">_xludf.IFNA(VLOOKUP(Aragon!E4134,'Kilter Holds'!$P$37:$AB$662,6,0),0)</f>
        <v>#NAME?</v>
      </c>
      <c r="I4134" s="274"/>
      <c r="J4134" s="274" t="e">
        <f t="shared" ca="1" si="67"/>
        <v>#NAME?</v>
      </c>
      <c r="K4134" s="274">
        <f t="shared" si="68"/>
        <v>0</v>
      </c>
      <c r="N4134" s="274"/>
    </row>
    <row r="4135" spans="5:14" ht="13.5" customHeight="1">
      <c r="E4135" s="209" t="s">
        <v>381</v>
      </c>
      <c r="F4135" s="209" t="s">
        <v>2842</v>
      </c>
      <c r="G4135" s="409" t="str">
        <f t="shared" si="66"/>
        <v>15-12</v>
      </c>
      <c r="H4135" s="273" t="e">
        <f ca="1">_xludf.IFNA(VLOOKUP(Aragon!E4135,'Kilter Holds'!$P$37:$AB$662,7,0),0)</f>
        <v>#NAME?</v>
      </c>
      <c r="I4135" s="274"/>
      <c r="J4135" s="274" t="e">
        <f t="shared" ca="1" si="67"/>
        <v>#NAME?</v>
      </c>
      <c r="K4135" s="274">
        <f t="shared" si="68"/>
        <v>0</v>
      </c>
      <c r="N4135" s="274"/>
    </row>
    <row r="4136" spans="5:14" ht="13.5" customHeight="1">
      <c r="E4136" s="209" t="s">
        <v>381</v>
      </c>
      <c r="F4136" s="209" t="s">
        <v>2842</v>
      </c>
      <c r="G4136" s="410" t="str">
        <f t="shared" si="66"/>
        <v>16-16</v>
      </c>
      <c r="H4136" s="273" t="e">
        <f ca="1">_xludf.IFNA(VLOOKUP(Aragon!E4136,'Kilter Holds'!$P$37:$AB$662,8,0),0)</f>
        <v>#NAME?</v>
      </c>
      <c r="I4136" s="274"/>
      <c r="J4136" s="274" t="e">
        <f t="shared" ca="1" si="67"/>
        <v>#NAME?</v>
      </c>
      <c r="K4136" s="274">
        <f t="shared" si="68"/>
        <v>0</v>
      </c>
      <c r="N4136" s="274"/>
    </row>
    <row r="4137" spans="5:14" ht="13.5" customHeight="1">
      <c r="E4137" s="209" t="s">
        <v>381</v>
      </c>
      <c r="F4137" s="209" t="s">
        <v>2842</v>
      </c>
      <c r="G4137" s="411" t="str">
        <f t="shared" si="66"/>
        <v>13-01</v>
      </c>
      <c r="H4137" s="273" t="e">
        <f ca="1">_xludf.IFNA(VLOOKUP(Aragon!E4137,'Kilter Holds'!$P$37:$AB$662,9,0),0)</f>
        <v>#NAME?</v>
      </c>
      <c r="I4137" s="274"/>
      <c r="J4137" s="274" t="e">
        <f t="shared" ca="1" si="67"/>
        <v>#NAME?</v>
      </c>
      <c r="K4137" s="274">
        <f t="shared" si="68"/>
        <v>0</v>
      </c>
      <c r="N4137" s="274"/>
    </row>
    <row r="4138" spans="5:14" ht="13.5" customHeight="1">
      <c r="E4138" s="209" t="s">
        <v>381</v>
      </c>
      <c r="F4138" s="209" t="s">
        <v>2842</v>
      </c>
      <c r="G4138" s="413" t="str">
        <f t="shared" si="66"/>
        <v>07-13</v>
      </c>
      <c r="H4138" s="273" t="e">
        <f ca="1">_xludf.IFNA(VLOOKUP(Aragon!E4138,'Kilter Holds'!$P$37:$AB$662,10,0),0)</f>
        <v>#NAME?</v>
      </c>
      <c r="I4138" s="274"/>
      <c r="J4138" s="274" t="e">
        <f t="shared" ca="1" si="67"/>
        <v>#NAME?</v>
      </c>
      <c r="K4138" s="274">
        <f t="shared" si="68"/>
        <v>0</v>
      </c>
      <c r="N4138" s="274"/>
    </row>
    <row r="4139" spans="5:14" ht="13.5" customHeight="1">
      <c r="E4139" s="209" t="s">
        <v>381</v>
      </c>
      <c r="F4139" s="209" t="s">
        <v>2842</v>
      </c>
      <c r="G4139" s="414" t="str">
        <f t="shared" si="66"/>
        <v>11-26</v>
      </c>
      <c r="H4139" s="273" t="e">
        <f ca="1">_xludf.IFNA(VLOOKUP(Aragon!E4139,'Kilter Holds'!$P$37:$AB$662,11,0),0)</f>
        <v>#NAME?</v>
      </c>
      <c r="I4139" s="274"/>
      <c r="J4139" s="274" t="e">
        <f t="shared" ca="1" si="67"/>
        <v>#NAME?</v>
      </c>
      <c r="K4139" s="274">
        <f t="shared" si="68"/>
        <v>0</v>
      </c>
      <c r="N4139" s="274"/>
    </row>
    <row r="4140" spans="5:14" ht="13.5" customHeight="1">
      <c r="E4140" s="209" t="s">
        <v>381</v>
      </c>
      <c r="F4140" s="209" t="s">
        <v>2842</v>
      </c>
      <c r="G4140" s="415" t="str">
        <f t="shared" si="66"/>
        <v>18-01</v>
      </c>
      <c r="H4140" s="273" t="e">
        <f ca="1">_xludf.IFNA(VLOOKUP(Aragon!E4140,'Kilter Holds'!$P$37:$AB$662,12,0),0)</f>
        <v>#NAME?</v>
      </c>
      <c r="I4140" s="274"/>
      <c r="J4140" s="274" t="e">
        <f t="shared" ca="1" si="67"/>
        <v>#NAME?</v>
      </c>
      <c r="K4140" s="274">
        <f t="shared" si="68"/>
        <v>0</v>
      </c>
      <c r="N4140" s="274"/>
    </row>
    <row r="4141" spans="5:14" ht="13.5" customHeight="1">
      <c r="E4141" s="209" t="s">
        <v>381</v>
      </c>
      <c r="F4141" s="209" t="s">
        <v>2842</v>
      </c>
      <c r="G4141" s="416" t="str">
        <f t="shared" si="66"/>
        <v>Color Code</v>
      </c>
      <c r="H4141" s="273" t="e">
        <f ca="1">_xludf.IFNA(VLOOKUP(Aragon!E4141,'Kilter Holds'!$P$37:$AB$662,13,0),0)</f>
        <v>#NAME?</v>
      </c>
      <c r="I4141" s="274"/>
      <c r="J4141" s="274" t="e">
        <f t="shared" ca="1" si="67"/>
        <v>#NAME?</v>
      </c>
      <c r="K4141" s="274">
        <f t="shared" si="68"/>
        <v>0</v>
      </c>
      <c r="N4141" s="274"/>
    </row>
    <row r="4142" spans="5:14" ht="13.5" customHeight="1">
      <c r="E4142" s="209" t="s">
        <v>391</v>
      </c>
      <c r="F4142" s="209" t="s">
        <v>2843</v>
      </c>
      <c r="G4142" s="406" t="str">
        <f t="shared" si="66"/>
        <v>11-12</v>
      </c>
      <c r="H4142" s="273" t="e">
        <f ca="1">_xludf.IFNA(VLOOKUP(Aragon!E4142,'Kilter Holds'!$P$37:$AB$662,5,0),0)</f>
        <v>#NAME?</v>
      </c>
      <c r="I4142" s="274"/>
      <c r="J4142" s="274" t="e">
        <f t="shared" ca="1" si="67"/>
        <v>#NAME?</v>
      </c>
      <c r="K4142" s="274">
        <f t="shared" si="68"/>
        <v>0</v>
      </c>
      <c r="N4142" s="274"/>
    </row>
    <row r="4143" spans="5:14" ht="13.5" customHeight="1">
      <c r="E4143" s="209" t="s">
        <v>391</v>
      </c>
      <c r="F4143" s="209" t="s">
        <v>2843</v>
      </c>
      <c r="G4143" s="408" t="str">
        <f t="shared" si="66"/>
        <v>14-01</v>
      </c>
      <c r="H4143" s="273" t="e">
        <f ca="1">_xludf.IFNA(VLOOKUP(Aragon!E4143,'Kilter Holds'!$P$37:$AB$662,6,0),0)</f>
        <v>#NAME?</v>
      </c>
      <c r="I4143" s="274"/>
      <c r="J4143" s="274" t="e">
        <f t="shared" ca="1" si="67"/>
        <v>#NAME?</v>
      </c>
      <c r="K4143" s="274">
        <f t="shared" si="68"/>
        <v>0</v>
      </c>
      <c r="N4143" s="274"/>
    </row>
    <row r="4144" spans="5:14" ht="13.5" customHeight="1">
      <c r="E4144" s="209" t="s">
        <v>391</v>
      </c>
      <c r="F4144" s="209" t="s">
        <v>2843</v>
      </c>
      <c r="G4144" s="409" t="str">
        <f t="shared" si="66"/>
        <v>15-12</v>
      </c>
      <c r="H4144" s="273" t="e">
        <f ca="1">_xludf.IFNA(VLOOKUP(Aragon!E4144,'Kilter Holds'!$P$37:$AB$662,7,0),0)</f>
        <v>#NAME?</v>
      </c>
      <c r="I4144" s="274"/>
      <c r="J4144" s="274" t="e">
        <f t="shared" ca="1" si="67"/>
        <v>#NAME?</v>
      </c>
      <c r="K4144" s="274">
        <f t="shared" si="68"/>
        <v>0</v>
      </c>
      <c r="N4144" s="274"/>
    </row>
    <row r="4145" spans="5:14" ht="13.5" customHeight="1">
      <c r="E4145" s="209" t="s">
        <v>391</v>
      </c>
      <c r="F4145" s="209" t="s">
        <v>2843</v>
      </c>
      <c r="G4145" s="410" t="str">
        <f t="shared" si="66"/>
        <v>16-16</v>
      </c>
      <c r="H4145" s="273" t="e">
        <f ca="1">_xludf.IFNA(VLOOKUP(Aragon!E4145,'Kilter Holds'!$P$37:$AB$662,8,0),0)</f>
        <v>#NAME?</v>
      </c>
      <c r="I4145" s="274"/>
      <c r="J4145" s="274" t="e">
        <f t="shared" ca="1" si="67"/>
        <v>#NAME?</v>
      </c>
      <c r="K4145" s="274">
        <f t="shared" si="68"/>
        <v>0</v>
      </c>
      <c r="N4145" s="274"/>
    </row>
    <row r="4146" spans="5:14" ht="13.5" customHeight="1">
      <c r="E4146" s="209" t="s">
        <v>391</v>
      </c>
      <c r="F4146" s="209" t="s">
        <v>2843</v>
      </c>
      <c r="G4146" s="411" t="str">
        <f t="shared" si="66"/>
        <v>13-01</v>
      </c>
      <c r="H4146" s="273" t="e">
        <f ca="1">_xludf.IFNA(VLOOKUP(Aragon!E4146,'Kilter Holds'!$P$37:$AB$662,9,0),0)</f>
        <v>#NAME?</v>
      </c>
      <c r="I4146" s="274"/>
      <c r="J4146" s="274" t="e">
        <f t="shared" ca="1" si="67"/>
        <v>#NAME?</v>
      </c>
      <c r="K4146" s="274">
        <f t="shared" si="68"/>
        <v>0</v>
      </c>
      <c r="N4146" s="274"/>
    </row>
    <row r="4147" spans="5:14" ht="13.5" customHeight="1">
      <c r="E4147" s="209" t="s">
        <v>391</v>
      </c>
      <c r="F4147" s="209" t="s">
        <v>2843</v>
      </c>
      <c r="G4147" s="413" t="str">
        <f t="shared" si="66"/>
        <v>07-13</v>
      </c>
      <c r="H4147" s="273" t="e">
        <f ca="1">_xludf.IFNA(VLOOKUP(Aragon!E4147,'Kilter Holds'!$P$37:$AB$662,10,0),0)</f>
        <v>#NAME?</v>
      </c>
      <c r="I4147" s="274"/>
      <c r="J4147" s="274" t="e">
        <f t="shared" ca="1" si="67"/>
        <v>#NAME?</v>
      </c>
      <c r="K4147" s="274">
        <f t="shared" si="68"/>
        <v>0</v>
      </c>
      <c r="N4147" s="274"/>
    </row>
    <row r="4148" spans="5:14" ht="13.5" customHeight="1">
      <c r="E4148" s="209" t="s">
        <v>391</v>
      </c>
      <c r="F4148" s="209" t="s">
        <v>2843</v>
      </c>
      <c r="G4148" s="414" t="str">
        <f t="shared" si="66"/>
        <v>11-26</v>
      </c>
      <c r="H4148" s="273" t="e">
        <f ca="1">_xludf.IFNA(VLOOKUP(Aragon!E4148,'Kilter Holds'!$P$37:$AB$662,11,0),0)</f>
        <v>#NAME?</v>
      </c>
      <c r="I4148" s="274"/>
      <c r="J4148" s="274" t="e">
        <f t="shared" ca="1" si="67"/>
        <v>#NAME?</v>
      </c>
      <c r="K4148" s="274">
        <f t="shared" si="68"/>
        <v>0</v>
      </c>
      <c r="N4148" s="274"/>
    </row>
    <row r="4149" spans="5:14" ht="13.5" customHeight="1">
      <c r="E4149" s="209" t="s">
        <v>391</v>
      </c>
      <c r="F4149" s="209" t="s">
        <v>2843</v>
      </c>
      <c r="G4149" s="415" t="str">
        <f t="shared" si="66"/>
        <v>18-01</v>
      </c>
      <c r="H4149" s="273" t="e">
        <f ca="1">_xludf.IFNA(VLOOKUP(Aragon!E4149,'Kilter Holds'!$P$37:$AB$662,12,0),0)</f>
        <v>#NAME?</v>
      </c>
      <c r="I4149" s="274"/>
      <c r="J4149" s="274" t="e">
        <f t="shared" ca="1" si="67"/>
        <v>#NAME?</v>
      </c>
      <c r="K4149" s="274">
        <f t="shared" si="68"/>
        <v>0</v>
      </c>
      <c r="N4149" s="274"/>
    </row>
    <row r="4150" spans="5:14" ht="13.5" customHeight="1">
      <c r="E4150" s="209" t="s">
        <v>391</v>
      </c>
      <c r="F4150" s="209" t="s">
        <v>2843</v>
      </c>
      <c r="G4150" s="416" t="str">
        <f t="shared" si="66"/>
        <v>Color Code</v>
      </c>
      <c r="H4150" s="273" t="e">
        <f ca="1">_xludf.IFNA(VLOOKUP(Aragon!E4150,'Kilter Holds'!$P$37:$AB$662,13,0),0)</f>
        <v>#NAME?</v>
      </c>
      <c r="I4150" s="274"/>
      <c r="J4150" s="274" t="e">
        <f t="shared" ca="1" si="67"/>
        <v>#NAME?</v>
      </c>
      <c r="K4150" s="274">
        <f t="shared" si="68"/>
        <v>0</v>
      </c>
      <c r="N4150" s="274"/>
    </row>
    <row r="4151" spans="5:14" ht="13.5" customHeight="1">
      <c r="E4151" s="209" t="s">
        <v>387</v>
      </c>
      <c r="F4151" s="209" t="s">
        <v>2844</v>
      </c>
      <c r="G4151" s="406" t="str">
        <f t="shared" si="66"/>
        <v>11-12</v>
      </c>
      <c r="H4151" s="273" t="e">
        <f ca="1">_xludf.IFNA(VLOOKUP(Aragon!E4151,'Kilter Holds'!$P$37:$AB$662,5,0),0)</f>
        <v>#NAME?</v>
      </c>
      <c r="I4151" s="274"/>
      <c r="J4151" s="274" t="e">
        <f t="shared" ca="1" si="67"/>
        <v>#NAME?</v>
      </c>
      <c r="K4151" s="274">
        <f t="shared" si="68"/>
        <v>0</v>
      </c>
      <c r="N4151" s="274"/>
    </row>
    <row r="4152" spans="5:14" ht="13.5" customHeight="1">
      <c r="E4152" s="209" t="s">
        <v>387</v>
      </c>
      <c r="F4152" s="209" t="s">
        <v>2844</v>
      </c>
      <c r="G4152" s="408" t="str">
        <f t="shared" si="66"/>
        <v>14-01</v>
      </c>
      <c r="H4152" s="273" t="e">
        <f ca="1">_xludf.IFNA(VLOOKUP(Aragon!E4152,'Kilter Holds'!$P$37:$AB$662,6,0),0)</f>
        <v>#NAME?</v>
      </c>
      <c r="I4152" s="274"/>
      <c r="J4152" s="274" t="e">
        <f t="shared" ca="1" si="67"/>
        <v>#NAME?</v>
      </c>
      <c r="K4152" s="274">
        <f t="shared" si="68"/>
        <v>0</v>
      </c>
      <c r="N4152" s="274"/>
    </row>
    <row r="4153" spans="5:14" ht="13.5" customHeight="1">
      <c r="E4153" s="209" t="s">
        <v>387</v>
      </c>
      <c r="F4153" s="209" t="s">
        <v>2844</v>
      </c>
      <c r="G4153" s="409" t="str">
        <f t="shared" si="66"/>
        <v>15-12</v>
      </c>
      <c r="H4153" s="273" t="e">
        <f ca="1">_xludf.IFNA(VLOOKUP(Aragon!E4153,'Kilter Holds'!$P$37:$AB$662,7,0),0)</f>
        <v>#NAME?</v>
      </c>
      <c r="I4153" s="274"/>
      <c r="J4153" s="274" t="e">
        <f t="shared" ca="1" si="67"/>
        <v>#NAME?</v>
      </c>
      <c r="K4153" s="274">
        <f t="shared" si="68"/>
        <v>0</v>
      </c>
      <c r="N4153" s="274"/>
    </row>
    <row r="4154" spans="5:14" ht="13.5" customHeight="1">
      <c r="E4154" s="209" t="s">
        <v>387</v>
      </c>
      <c r="F4154" s="209" t="s">
        <v>2844</v>
      </c>
      <c r="G4154" s="410" t="str">
        <f t="shared" si="66"/>
        <v>16-16</v>
      </c>
      <c r="H4154" s="273" t="e">
        <f ca="1">_xludf.IFNA(VLOOKUP(Aragon!E4154,'Kilter Holds'!$P$37:$AB$662,8,0),0)</f>
        <v>#NAME?</v>
      </c>
      <c r="I4154" s="274"/>
      <c r="J4154" s="274" t="e">
        <f t="shared" ca="1" si="67"/>
        <v>#NAME?</v>
      </c>
      <c r="K4154" s="274">
        <f t="shared" si="68"/>
        <v>0</v>
      </c>
      <c r="N4154" s="274"/>
    </row>
    <row r="4155" spans="5:14" ht="13.5" customHeight="1">
      <c r="E4155" s="209" t="s">
        <v>387</v>
      </c>
      <c r="F4155" s="209" t="s">
        <v>2844</v>
      </c>
      <c r="G4155" s="411" t="str">
        <f t="shared" si="66"/>
        <v>13-01</v>
      </c>
      <c r="H4155" s="273" t="e">
        <f ca="1">_xludf.IFNA(VLOOKUP(Aragon!E4155,'Kilter Holds'!$P$37:$AB$662,9,0),0)</f>
        <v>#NAME?</v>
      </c>
      <c r="I4155" s="274"/>
      <c r="J4155" s="274" t="e">
        <f t="shared" ca="1" si="67"/>
        <v>#NAME?</v>
      </c>
      <c r="K4155" s="274">
        <f t="shared" si="68"/>
        <v>0</v>
      </c>
      <c r="N4155" s="274"/>
    </row>
    <row r="4156" spans="5:14" ht="13.5" customHeight="1">
      <c r="E4156" s="209" t="s">
        <v>387</v>
      </c>
      <c r="F4156" s="209" t="s">
        <v>2844</v>
      </c>
      <c r="G4156" s="413" t="str">
        <f t="shared" si="66"/>
        <v>07-13</v>
      </c>
      <c r="H4156" s="273" t="e">
        <f ca="1">_xludf.IFNA(VLOOKUP(Aragon!E4156,'Kilter Holds'!$P$37:$AB$662,10,0),0)</f>
        <v>#NAME?</v>
      </c>
      <c r="I4156" s="274"/>
      <c r="J4156" s="274" t="e">
        <f t="shared" ca="1" si="67"/>
        <v>#NAME?</v>
      </c>
      <c r="K4156" s="274">
        <f t="shared" si="68"/>
        <v>0</v>
      </c>
      <c r="N4156" s="274"/>
    </row>
    <row r="4157" spans="5:14" ht="13.5" customHeight="1">
      <c r="E4157" s="209" t="s">
        <v>387</v>
      </c>
      <c r="F4157" s="209" t="s">
        <v>2844</v>
      </c>
      <c r="G4157" s="414" t="str">
        <f t="shared" si="66"/>
        <v>11-26</v>
      </c>
      <c r="H4157" s="273" t="e">
        <f ca="1">_xludf.IFNA(VLOOKUP(Aragon!E4157,'Kilter Holds'!$P$37:$AB$662,11,0),0)</f>
        <v>#NAME?</v>
      </c>
      <c r="I4157" s="274"/>
      <c r="J4157" s="274" t="e">
        <f t="shared" ca="1" si="67"/>
        <v>#NAME?</v>
      </c>
      <c r="K4157" s="274">
        <f t="shared" si="68"/>
        <v>0</v>
      </c>
      <c r="N4157" s="274"/>
    </row>
    <row r="4158" spans="5:14" ht="13.5" customHeight="1">
      <c r="E4158" s="209" t="s">
        <v>387</v>
      </c>
      <c r="F4158" s="209" t="s">
        <v>2844</v>
      </c>
      <c r="G4158" s="415" t="str">
        <f t="shared" si="66"/>
        <v>18-01</v>
      </c>
      <c r="H4158" s="273" t="e">
        <f ca="1">_xludf.IFNA(VLOOKUP(Aragon!E4158,'Kilter Holds'!$P$37:$AB$662,12,0),0)</f>
        <v>#NAME?</v>
      </c>
      <c r="I4158" s="274"/>
      <c r="J4158" s="274" t="e">
        <f t="shared" ca="1" si="67"/>
        <v>#NAME?</v>
      </c>
      <c r="K4158" s="274">
        <f t="shared" si="68"/>
        <v>0</v>
      </c>
      <c r="N4158" s="274"/>
    </row>
    <row r="4159" spans="5:14" ht="13.5" customHeight="1">
      <c r="E4159" s="209" t="s">
        <v>387</v>
      </c>
      <c r="F4159" s="209" t="s">
        <v>2844</v>
      </c>
      <c r="G4159" s="416" t="str">
        <f t="shared" si="66"/>
        <v>Color Code</v>
      </c>
      <c r="H4159" s="273" t="e">
        <f ca="1">_xludf.IFNA(VLOOKUP(Aragon!E4159,'Kilter Holds'!$P$37:$AB$662,13,0),0)</f>
        <v>#NAME?</v>
      </c>
      <c r="I4159" s="274"/>
      <c r="J4159" s="274" t="e">
        <f t="shared" ca="1" si="67"/>
        <v>#NAME?</v>
      </c>
      <c r="K4159" s="274">
        <f t="shared" si="68"/>
        <v>0</v>
      </c>
      <c r="N4159" s="274"/>
    </row>
    <row r="4160" spans="5:14" ht="13.5" customHeight="1">
      <c r="E4160" s="209" t="s">
        <v>383</v>
      </c>
      <c r="F4160" s="209" t="s">
        <v>2845</v>
      </c>
      <c r="G4160" s="406" t="str">
        <f t="shared" si="66"/>
        <v>11-12</v>
      </c>
      <c r="H4160" s="273" t="e">
        <f ca="1">_xludf.IFNA(VLOOKUP(Aragon!E4160,'Kilter Holds'!$P$37:$AB$662,5,0),0)</f>
        <v>#NAME?</v>
      </c>
      <c r="I4160" s="274"/>
      <c r="J4160" s="274" t="e">
        <f t="shared" ca="1" si="67"/>
        <v>#NAME?</v>
      </c>
      <c r="K4160" s="274">
        <f t="shared" si="68"/>
        <v>0</v>
      </c>
      <c r="N4160" s="274"/>
    </row>
    <row r="4161" spans="5:14" ht="13.5" customHeight="1">
      <c r="E4161" s="209" t="s">
        <v>383</v>
      </c>
      <c r="F4161" s="209" t="s">
        <v>2845</v>
      </c>
      <c r="G4161" s="408" t="str">
        <f t="shared" si="66"/>
        <v>14-01</v>
      </c>
      <c r="H4161" s="273" t="e">
        <f ca="1">_xludf.IFNA(VLOOKUP(Aragon!E4161,'Kilter Holds'!$P$37:$AB$662,6,0),0)</f>
        <v>#NAME?</v>
      </c>
      <c r="I4161" s="274"/>
      <c r="J4161" s="274" t="e">
        <f t="shared" ca="1" si="67"/>
        <v>#NAME?</v>
      </c>
      <c r="K4161" s="274">
        <f t="shared" si="68"/>
        <v>0</v>
      </c>
      <c r="N4161" s="274"/>
    </row>
    <row r="4162" spans="5:14" ht="13.5" customHeight="1">
      <c r="E4162" s="209" t="s">
        <v>383</v>
      </c>
      <c r="F4162" s="209" t="s">
        <v>2845</v>
      </c>
      <c r="G4162" s="409" t="str">
        <f t="shared" si="66"/>
        <v>15-12</v>
      </c>
      <c r="H4162" s="273" t="e">
        <f ca="1">_xludf.IFNA(VLOOKUP(Aragon!E4162,'Kilter Holds'!$P$37:$AB$662,7,0),0)</f>
        <v>#NAME?</v>
      </c>
      <c r="I4162" s="274"/>
      <c r="J4162" s="274" t="e">
        <f t="shared" ca="1" si="67"/>
        <v>#NAME?</v>
      </c>
      <c r="K4162" s="274">
        <f t="shared" si="68"/>
        <v>0</v>
      </c>
      <c r="N4162" s="274"/>
    </row>
    <row r="4163" spans="5:14" ht="13.5" customHeight="1">
      <c r="E4163" s="209" t="s">
        <v>383</v>
      </c>
      <c r="F4163" s="209" t="s">
        <v>2845</v>
      </c>
      <c r="G4163" s="410" t="str">
        <f t="shared" si="66"/>
        <v>16-16</v>
      </c>
      <c r="H4163" s="273" t="e">
        <f ca="1">_xludf.IFNA(VLOOKUP(Aragon!E4163,'Kilter Holds'!$P$37:$AB$662,8,0),0)</f>
        <v>#NAME?</v>
      </c>
      <c r="I4163" s="274"/>
      <c r="J4163" s="274" t="e">
        <f t="shared" ca="1" si="67"/>
        <v>#NAME?</v>
      </c>
      <c r="K4163" s="274">
        <f t="shared" si="68"/>
        <v>0</v>
      </c>
      <c r="N4163" s="274"/>
    </row>
    <row r="4164" spans="5:14" ht="13.5" customHeight="1">
      <c r="E4164" s="209" t="s">
        <v>383</v>
      </c>
      <c r="F4164" s="209" t="s">
        <v>2845</v>
      </c>
      <c r="G4164" s="411" t="str">
        <f t="shared" si="66"/>
        <v>13-01</v>
      </c>
      <c r="H4164" s="273" t="e">
        <f ca="1">_xludf.IFNA(VLOOKUP(Aragon!E4164,'Kilter Holds'!$P$37:$AB$662,9,0),0)</f>
        <v>#NAME?</v>
      </c>
      <c r="I4164" s="274"/>
      <c r="J4164" s="274" t="e">
        <f t="shared" ca="1" si="67"/>
        <v>#NAME?</v>
      </c>
      <c r="K4164" s="274">
        <f t="shared" si="68"/>
        <v>0</v>
      </c>
      <c r="N4164" s="274"/>
    </row>
    <row r="4165" spans="5:14" ht="13.5" customHeight="1">
      <c r="E4165" s="209" t="s">
        <v>383</v>
      </c>
      <c r="F4165" s="209" t="s">
        <v>2845</v>
      </c>
      <c r="G4165" s="413" t="str">
        <f t="shared" si="66"/>
        <v>07-13</v>
      </c>
      <c r="H4165" s="273" t="e">
        <f ca="1">_xludf.IFNA(VLOOKUP(Aragon!E4165,'Kilter Holds'!$P$37:$AB$662,10,0),0)</f>
        <v>#NAME?</v>
      </c>
      <c r="I4165" s="274"/>
      <c r="J4165" s="274" t="e">
        <f t="shared" ca="1" si="67"/>
        <v>#NAME?</v>
      </c>
      <c r="K4165" s="274">
        <f t="shared" si="68"/>
        <v>0</v>
      </c>
      <c r="N4165" s="274"/>
    </row>
    <row r="4166" spans="5:14" ht="13.5" customHeight="1">
      <c r="E4166" s="209" t="s">
        <v>383</v>
      </c>
      <c r="F4166" s="209" t="s">
        <v>2845</v>
      </c>
      <c r="G4166" s="414" t="str">
        <f t="shared" si="66"/>
        <v>11-26</v>
      </c>
      <c r="H4166" s="273" t="e">
        <f ca="1">_xludf.IFNA(VLOOKUP(Aragon!E4166,'Kilter Holds'!$P$37:$AB$662,11,0),0)</f>
        <v>#NAME?</v>
      </c>
      <c r="I4166" s="274"/>
      <c r="J4166" s="274" t="e">
        <f t="shared" ca="1" si="67"/>
        <v>#NAME?</v>
      </c>
      <c r="K4166" s="274">
        <f t="shared" si="68"/>
        <v>0</v>
      </c>
      <c r="N4166" s="274"/>
    </row>
    <row r="4167" spans="5:14" ht="13.5" customHeight="1">
      <c r="E4167" s="209" t="s">
        <v>383</v>
      </c>
      <c r="F4167" s="209" t="s">
        <v>2845</v>
      </c>
      <c r="G4167" s="415" t="str">
        <f t="shared" si="66"/>
        <v>18-01</v>
      </c>
      <c r="H4167" s="273" t="e">
        <f ca="1">_xludf.IFNA(VLOOKUP(Aragon!E4167,'Kilter Holds'!$P$37:$AB$662,12,0),0)</f>
        <v>#NAME?</v>
      </c>
      <c r="I4167" s="274"/>
      <c r="J4167" s="274" t="e">
        <f t="shared" ca="1" si="67"/>
        <v>#NAME?</v>
      </c>
      <c r="K4167" s="274">
        <f t="shared" si="68"/>
        <v>0</v>
      </c>
      <c r="N4167" s="274"/>
    </row>
    <row r="4168" spans="5:14" ht="13.5" customHeight="1">
      <c r="E4168" s="209" t="s">
        <v>383</v>
      </c>
      <c r="F4168" s="209" t="s">
        <v>2845</v>
      </c>
      <c r="G4168" s="416" t="str">
        <f t="shared" si="66"/>
        <v>Color Code</v>
      </c>
      <c r="H4168" s="273" t="e">
        <f ca="1">_xludf.IFNA(VLOOKUP(Aragon!E4168,'Kilter Holds'!$P$37:$AB$662,13,0),0)</f>
        <v>#NAME?</v>
      </c>
      <c r="I4168" s="274"/>
      <c r="J4168" s="274" t="e">
        <f t="shared" ca="1" si="67"/>
        <v>#NAME?</v>
      </c>
      <c r="K4168" s="274">
        <f t="shared" si="68"/>
        <v>0</v>
      </c>
      <c r="N4168" s="274"/>
    </row>
    <row r="4169" spans="5:14" ht="13.5" customHeight="1">
      <c r="E4169" s="209" t="s">
        <v>385</v>
      </c>
      <c r="F4169" s="209" t="s">
        <v>2846</v>
      </c>
      <c r="G4169" s="406" t="str">
        <f t="shared" si="66"/>
        <v>11-12</v>
      </c>
      <c r="H4169" s="273" t="e">
        <f ca="1">_xludf.IFNA(VLOOKUP(Aragon!E4169,'Kilter Holds'!$P$37:$AB$662,5,0),0)</f>
        <v>#NAME?</v>
      </c>
      <c r="I4169" s="274"/>
      <c r="J4169" s="274" t="e">
        <f t="shared" ca="1" si="67"/>
        <v>#NAME?</v>
      </c>
      <c r="K4169" s="274">
        <f t="shared" si="68"/>
        <v>0</v>
      </c>
      <c r="N4169" s="274"/>
    </row>
    <row r="4170" spans="5:14" ht="13.5" customHeight="1">
      <c r="E4170" s="209" t="s">
        <v>385</v>
      </c>
      <c r="F4170" s="209" t="s">
        <v>2846</v>
      </c>
      <c r="G4170" s="408" t="str">
        <f t="shared" si="66"/>
        <v>14-01</v>
      </c>
      <c r="H4170" s="273" t="e">
        <f ca="1">_xludf.IFNA(VLOOKUP(Aragon!E4170,'Kilter Holds'!$P$37:$AB$662,6,0),0)</f>
        <v>#NAME?</v>
      </c>
      <c r="I4170" s="274"/>
      <c r="J4170" s="274" t="e">
        <f t="shared" ca="1" si="67"/>
        <v>#NAME?</v>
      </c>
      <c r="K4170" s="274">
        <f t="shared" si="68"/>
        <v>0</v>
      </c>
      <c r="N4170" s="274"/>
    </row>
    <row r="4171" spans="5:14" ht="13.5" customHeight="1">
      <c r="E4171" s="209" t="s">
        <v>385</v>
      </c>
      <c r="F4171" s="209" t="s">
        <v>2846</v>
      </c>
      <c r="G4171" s="409" t="str">
        <f t="shared" si="66"/>
        <v>15-12</v>
      </c>
      <c r="H4171" s="273" t="e">
        <f ca="1">_xludf.IFNA(VLOOKUP(Aragon!E4171,'Kilter Holds'!$P$37:$AB$662,7,0),0)</f>
        <v>#NAME?</v>
      </c>
      <c r="I4171" s="274"/>
      <c r="J4171" s="274" t="e">
        <f t="shared" ca="1" si="67"/>
        <v>#NAME?</v>
      </c>
      <c r="K4171" s="274">
        <f t="shared" si="68"/>
        <v>0</v>
      </c>
      <c r="N4171" s="274"/>
    </row>
    <row r="4172" spans="5:14" ht="13.5" customHeight="1">
      <c r="E4172" s="209" t="s">
        <v>385</v>
      </c>
      <c r="F4172" s="209" t="s">
        <v>2846</v>
      </c>
      <c r="G4172" s="410" t="str">
        <f t="shared" si="66"/>
        <v>16-16</v>
      </c>
      <c r="H4172" s="273" t="e">
        <f ca="1">_xludf.IFNA(VLOOKUP(Aragon!E4172,'Kilter Holds'!$P$37:$AB$662,8,0),0)</f>
        <v>#NAME?</v>
      </c>
      <c r="I4172" s="274"/>
      <c r="J4172" s="274" t="e">
        <f t="shared" ca="1" si="67"/>
        <v>#NAME?</v>
      </c>
      <c r="K4172" s="274">
        <f t="shared" si="68"/>
        <v>0</v>
      </c>
      <c r="N4172" s="274"/>
    </row>
    <row r="4173" spans="5:14" ht="13.5" customHeight="1">
      <c r="E4173" s="209" t="s">
        <v>385</v>
      </c>
      <c r="F4173" s="209" t="s">
        <v>2846</v>
      </c>
      <c r="G4173" s="411" t="str">
        <f t="shared" si="66"/>
        <v>13-01</v>
      </c>
      <c r="H4173" s="273" t="e">
        <f ca="1">_xludf.IFNA(VLOOKUP(Aragon!E4173,'Kilter Holds'!$P$37:$AB$662,9,0),0)</f>
        <v>#NAME?</v>
      </c>
      <c r="I4173" s="274"/>
      <c r="J4173" s="274" t="e">
        <f t="shared" ca="1" si="67"/>
        <v>#NAME?</v>
      </c>
      <c r="K4173" s="274">
        <f t="shared" si="68"/>
        <v>0</v>
      </c>
      <c r="N4173" s="274"/>
    </row>
    <row r="4174" spans="5:14" ht="13.5" customHeight="1">
      <c r="E4174" s="209" t="s">
        <v>385</v>
      </c>
      <c r="F4174" s="209" t="s">
        <v>2846</v>
      </c>
      <c r="G4174" s="413" t="str">
        <f t="shared" si="66"/>
        <v>07-13</v>
      </c>
      <c r="H4174" s="273" t="e">
        <f ca="1">_xludf.IFNA(VLOOKUP(Aragon!E4174,'Kilter Holds'!$P$37:$AB$662,10,0),0)</f>
        <v>#NAME?</v>
      </c>
      <c r="I4174" s="274"/>
      <c r="J4174" s="274" t="e">
        <f t="shared" ca="1" si="67"/>
        <v>#NAME?</v>
      </c>
      <c r="K4174" s="274">
        <f t="shared" si="68"/>
        <v>0</v>
      </c>
      <c r="N4174" s="274"/>
    </row>
    <row r="4175" spans="5:14" ht="13.5" customHeight="1">
      <c r="E4175" s="209" t="s">
        <v>385</v>
      </c>
      <c r="F4175" s="209" t="s">
        <v>2846</v>
      </c>
      <c r="G4175" s="414" t="str">
        <f t="shared" si="66"/>
        <v>11-26</v>
      </c>
      <c r="H4175" s="273" t="e">
        <f ca="1">_xludf.IFNA(VLOOKUP(Aragon!E4175,'Kilter Holds'!$P$37:$AB$662,11,0),0)</f>
        <v>#NAME?</v>
      </c>
      <c r="I4175" s="274"/>
      <c r="J4175" s="274" t="e">
        <f t="shared" ca="1" si="67"/>
        <v>#NAME?</v>
      </c>
      <c r="K4175" s="274">
        <f t="shared" si="68"/>
        <v>0</v>
      </c>
      <c r="N4175" s="274"/>
    </row>
    <row r="4176" spans="5:14" ht="13.5" customHeight="1">
      <c r="E4176" s="209" t="s">
        <v>385</v>
      </c>
      <c r="F4176" s="209" t="s">
        <v>2846</v>
      </c>
      <c r="G4176" s="415" t="str">
        <f t="shared" si="66"/>
        <v>18-01</v>
      </c>
      <c r="H4176" s="273" t="e">
        <f ca="1">_xludf.IFNA(VLOOKUP(Aragon!E4176,'Kilter Holds'!$P$37:$AB$662,12,0),0)</f>
        <v>#NAME?</v>
      </c>
      <c r="I4176" s="274"/>
      <c r="J4176" s="274" t="e">
        <f t="shared" ca="1" si="67"/>
        <v>#NAME?</v>
      </c>
      <c r="K4176" s="274">
        <f t="shared" si="68"/>
        <v>0</v>
      </c>
      <c r="N4176" s="274"/>
    </row>
    <row r="4177" spans="5:14" ht="13.5" customHeight="1">
      <c r="E4177" s="209" t="s">
        <v>385</v>
      </c>
      <c r="F4177" s="209" t="s">
        <v>2846</v>
      </c>
      <c r="G4177" s="416" t="str">
        <f t="shared" si="66"/>
        <v>Color Code</v>
      </c>
      <c r="H4177" s="273" t="e">
        <f ca="1">_xludf.IFNA(VLOOKUP(Aragon!E4177,'Kilter Holds'!$P$37:$AB$662,13,0),0)</f>
        <v>#NAME?</v>
      </c>
      <c r="I4177" s="274"/>
      <c r="J4177" s="274" t="e">
        <f t="shared" ca="1" si="67"/>
        <v>#NAME?</v>
      </c>
      <c r="K4177" s="274">
        <f t="shared" si="68"/>
        <v>0</v>
      </c>
      <c r="N4177" s="274"/>
    </row>
    <row r="4178" spans="5:14" ht="13.5" customHeight="1">
      <c r="E4178" s="209" t="s">
        <v>389</v>
      </c>
      <c r="F4178" s="209" t="s">
        <v>2847</v>
      </c>
      <c r="G4178" s="406" t="str">
        <f t="shared" si="66"/>
        <v>11-12</v>
      </c>
      <c r="H4178" s="273" t="e">
        <f ca="1">_xludf.IFNA(VLOOKUP(Aragon!E4178,'Kilter Holds'!$P$37:$AB$662,5,0),0)</f>
        <v>#NAME?</v>
      </c>
      <c r="I4178" s="274"/>
      <c r="J4178" s="274" t="e">
        <f t="shared" ca="1" si="67"/>
        <v>#NAME?</v>
      </c>
      <c r="K4178" s="274">
        <f t="shared" si="68"/>
        <v>0</v>
      </c>
      <c r="N4178" s="274"/>
    </row>
    <row r="4179" spans="5:14" ht="13.5" customHeight="1">
      <c r="E4179" s="209" t="s">
        <v>389</v>
      </c>
      <c r="F4179" s="209" t="s">
        <v>2847</v>
      </c>
      <c r="G4179" s="408" t="str">
        <f t="shared" si="66"/>
        <v>14-01</v>
      </c>
      <c r="H4179" s="273" t="e">
        <f ca="1">_xludf.IFNA(VLOOKUP(Aragon!E4179,'Kilter Holds'!$P$37:$AB$662,6,0),0)</f>
        <v>#NAME?</v>
      </c>
      <c r="I4179" s="274"/>
      <c r="J4179" s="274" t="e">
        <f t="shared" ca="1" si="67"/>
        <v>#NAME?</v>
      </c>
      <c r="K4179" s="274">
        <f t="shared" si="68"/>
        <v>0</v>
      </c>
      <c r="N4179" s="274"/>
    </row>
    <row r="4180" spans="5:14" ht="13.5" customHeight="1">
      <c r="E4180" s="209" t="s">
        <v>389</v>
      </c>
      <c r="F4180" s="209" t="s">
        <v>2847</v>
      </c>
      <c r="G4180" s="409" t="str">
        <f t="shared" si="66"/>
        <v>15-12</v>
      </c>
      <c r="H4180" s="273" t="e">
        <f ca="1">_xludf.IFNA(VLOOKUP(Aragon!E4180,'Kilter Holds'!$P$37:$AB$662,7,0),0)</f>
        <v>#NAME?</v>
      </c>
      <c r="I4180" s="274"/>
      <c r="J4180" s="274" t="e">
        <f t="shared" ca="1" si="67"/>
        <v>#NAME?</v>
      </c>
      <c r="K4180" s="274">
        <f t="shared" si="68"/>
        <v>0</v>
      </c>
      <c r="N4180" s="274"/>
    </row>
    <row r="4181" spans="5:14" ht="13.5" customHeight="1">
      <c r="E4181" s="209" t="s">
        <v>389</v>
      </c>
      <c r="F4181" s="209" t="s">
        <v>2847</v>
      </c>
      <c r="G4181" s="410" t="str">
        <f t="shared" si="66"/>
        <v>16-16</v>
      </c>
      <c r="H4181" s="273" t="e">
        <f ca="1">_xludf.IFNA(VLOOKUP(Aragon!E4181,'Kilter Holds'!$P$37:$AB$662,8,0),0)</f>
        <v>#NAME?</v>
      </c>
      <c r="I4181" s="274"/>
      <c r="J4181" s="274" t="e">
        <f t="shared" ca="1" si="67"/>
        <v>#NAME?</v>
      </c>
      <c r="K4181" s="274">
        <f t="shared" si="68"/>
        <v>0</v>
      </c>
      <c r="N4181" s="274"/>
    </row>
    <row r="4182" spans="5:14" ht="13.5" customHeight="1">
      <c r="E4182" s="209" t="s">
        <v>389</v>
      </c>
      <c r="F4182" s="209" t="s">
        <v>2847</v>
      </c>
      <c r="G4182" s="411" t="str">
        <f t="shared" si="66"/>
        <v>13-01</v>
      </c>
      <c r="H4182" s="273" t="e">
        <f ca="1">_xludf.IFNA(VLOOKUP(Aragon!E4182,'Kilter Holds'!$P$37:$AB$662,9,0),0)</f>
        <v>#NAME?</v>
      </c>
      <c r="I4182" s="274"/>
      <c r="J4182" s="274" t="e">
        <f t="shared" ca="1" si="67"/>
        <v>#NAME?</v>
      </c>
      <c r="K4182" s="274">
        <f t="shared" si="68"/>
        <v>0</v>
      </c>
      <c r="N4182" s="274"/>
    </row>
    <row r="4183" spans="5:14" ht="13.5" customHeight="1">
      <c r="E4183" s="209" t="s">
        <v>389</v>
      </c>
      <c r="F4183" s="209" t="s">
        <v>2847</v>
      </c>
      <c r="G4183" s="413" t="str">
        <f t="shared" si="66"/>
        <v>07-13</v>
      </c>
      <c r="H4183" s="273" t="e">
        <f ca="1">_xludf.IFNA(VLOOKUP(Aragon!E4183,'Kilter Holds'!$P$37:$AB$662,10,0),0)</f>
        <v>#NAME?</v>
      </c>
      <c r="I4183" s="274"/>
      <c r="J4183" s="274" t="e">
        <f t="shared" ca="1" si="67"/>
        <v>#NAME?</v>
      </c>
      <c r="K4183" s="274">
        <f t="shared" si="68"/>
        <v>0</v>
      </c>
      <c r="N4183" s="274"/>
    </row>
    <row r="4184" spans="5:14" ht="13.5" customHeight="1">
      <c r="E4184" s="209" t="s">
        <v>389</v>
      </c>
      <c r="F4184" s="209" t="s">
        <v>2847</v>
      </c>
      <c r="G4184" s="414" t="str">
        <f t="shared" si="66"/>
        <v>11-26</v>
      </c>
      <c r="H4184" s="273" t="e">
        <f ca="1">_xludf.IFNA(VLOOKUP(Aragon!E4184,'Kilter Holds'!$P$37:$AB$662,11,0),0)</f>
        <v>#NAME?</v>
      </c>
      <c r="I4184" s="274"/>
      <c r="J4184" s="274" t="e">
        <f t="shared" ca="1" si="67"/>
        <v>#NAME?</v>
      </c>
      <c r="K4184" s="274">
        <f t="shared" si="68"/>
        <v>0</v>
      </c>
      <c r="N4184" s="274"/>
    </row>
    <row r="4185" spans="5:14" ht="13.5" customHeight="1">
      <c r="E4185" s="209" t="s">
        <v>389</v>
      </c>
      <c r="F4185" s="209" t="s">
        <v>2847</v>
      </c>
      <c r="G4185" s="415" t="str">
        <f t="shared" si="66"/>
        <v>18-01</v>
      </c>
      <c r="H4185" s="273" t="e">
        <f ca="1">_xludf.IFNA(VLOOKUP(Aragon!E4185,'Kilter Holds'!$P$37:$AB$662,12,0),0)</f>
        <v>#NAME?</v>
      </c>
      <c r="I4185" s="274"/>
      <c r="J4185" s="274" t="e">
        <f t="shared" ca="1" si="67"/>
        <v>#NAME?</v>
      </c>
      <c r="K4185" s="274">
        <f t="shared" si="68"/>
        <v>0</v>
      </c>
      <c r="N4185" s="274"/>
    </row>
    <row r="4186" spans="5:14" ht="13.5" customHeight="1">
      <c r="E4186" s="209" t="s">
        <v>389</v>
      </c>
      <c r="F4186" s="209" t="s">
        <v>2847</v>
      </c>
      <c r="G4186" s="416" t="str">
        <f t="shared" si="66"/>
        <v>Color Code</v>
      </c>
      <c r="H4186" s="273" t="e">
        <f ca="1">_xludf.IFNA(VLOOKUP(Aragon!E4186,'Kilter Holds'!$P$37:$AB$662,13,0),0)</f>
        <v>#NAME?</v>
      </c>
      <c r="I4186" s="274"/>
      <c r="J4186" s="274" t="e">
        <f t="shared" ca="1" si="67"/>
        <v>#NAME?</v>
      </c>
      <c r="K4186" s="274">
        <f t="shared" si="68"/>
        <v>0</v>
      </c>
      <c r="N4186" s="274"/>
    </row>
    <row r="4187" spans="5:14" ht="13.5" customHeight="1">
      <c r="E4187" s="209" t="s">
        <v>1226</v>
      </c>
      <c r="F4187" s="209" t="s">
        <v>2848</v>
      </c>
      <c r="G4187" s="406" t="str">
        <f t="shared" si="66"/>
        <v>11-12</v>
      </c>
      <c r="H4187" s="273" t="e">
        <f ca="1">_xludf.IFNA(VLOOKUP(Aragon!E4187,'Kilter Holds'!$P$37:$AB$662,5,0),0)</f>
        <v>#NAME?</v>
      </c>
      <c r="I4187" s="274"/>
      <c r="J4187" s="274" t="e">
        <f t="shared" ca="1" si="67"/>
        <v>#NAME?</v>
      </c>
      <c r="K4187" s="274">
        <f t="shared" si="68"/>
        <v>0</v>
      </c>
      <c r="N4187" s="274"/>
    </row>
    <row r="4188" spans="5:14" ht="13.5" customHeight="1">
      <c r="E4188" s="209" t="s">
        <v>1226</v>
      </c>
      <c r="F4188" s="209" t="s">
        <v>2848</v>
      </c>
      <c r="G4188" s="408" t="str">
        <f t="shared" si="66"/>
        <v>14-01</v>
      </c>
      <c r="H4188" s="273" t="e">
        <f ca="1">_xludf.IFNA(VLOOKUP(Aragon!E4188,'Kilter Holds'!$P$37:$AB$662,6,0),0)</f>
        <v>#NAME?</v>
      </c>
      <c r="I4188" s="274"/>
      <c r="J4188" s="274" t="e">
        <f t="shared" ca="1" si="67"/>
        <v>#NAME?</v>
      </c>
      <c r="K4188" s="274">
        <f t="shared" si="68"/>
        <v>0</v>
      </c>
      <c r="N4188" s="274"/>
    </row>
    <row r="4189" spans="5:14" ht="13.5" customHeight="1">
      <c r="E4189" s="209" t="s">
        <v>1226</v>
      </c>
      <c r="F4189" s="209" t="s">
        <v>2848</v>
      </c>
      <c r="G4189" s="409" t="str">
        <f t="shared" si="66"/>
        <v>15-12</v>
      </c>
      <c r="H4189" s="273" t="e">
        <f ca="1">_xludf.IFNA(VLOOKUP(Aragon!E4189,'Kilter Holds'!$P$37:$AB$662,7,0),0)</f>
        <v>#NAME?</v>
      </c>
      <c r="I4189" s="274"/>
      <c r="J4189" s="274" t="e">
        <f t="shared" ca="1" si="67"/>
        <v>#NAME?</v>
      </c>
      <c r="K4189" s="274">
        <f t="shared" si="68"/>
        <v>0</v>
      </c>
      <c r="N4189" s="274"/>
    </row>
    <row r="4190" spans="5:14" ht="13.5" customHeight="1">
      <c r="E4190" s="209" t="s">
        <v>1226</v>
      </c>
      <c r="F4190" s="209" t="s">
        <v>2848</v>
      </c>
      <c r="G4190" s="410" t="str">
        <f t="shared" si="66"/>
        <v>16-16</v>
      </c>
      <c r="H4190" s="273" t="e">
        <f ca="1">_xludf.IFNA(VLOOKUP(Aragon!E4190,'Kilter Holds'!$P$37:$AB$662,8,0),0)</f>
        <v>#NAME?</v>
      </c>
      <c r="I4190" s="274"/>
      <c r="J4190" s="274" t="e">
        <f t="shared" ca="1" si="67"/>
        <v>#NAME?</v>
      </c>
      <c r="K4190" s="274">
        <f t="shared" si="68"/>
        <v>0</v>
      </c>
      <c r="N4190" s="274"/>
    </row>
    <row r="4191" spans="5:14" ht="13.5" customHeight="1">
      <c r="E4191" s="209" t="s">
        <v>1226</v>
      </c>
      <c r="F4191" s="209" t="s">
        <v>2848</v>
      </c>
      <c r="G4191" s="411" t="str">
        <f t="shared" si="66"/>
        <v>13-01</v>
      </c>
      <c r="H4191" s="273" t="e">
        <f ca="1">_xludf.IFNA(VLOOKUP(Aragon!E4191,'Kilter Holds'!$P$37:$AB$662,9,0),0)</f>
        <v>#NAME?</v>
      </c>
      <c r="I4191" s="274"/>
      <c r="J4191" s="274" t="e">
        <f t="shared" ca="1" si="67"/>
        <v>#NAME?</v>
      </c>
      <c r="K4191" s="274">
        <f t="shared" si="68"/>
        <v>0</v>
      </c>
      <c r="N4191" s="274"/>
    </row>
    <row r="4192" spans="5:14" ht="13.5" customHeight="1">
      <c r="E4192" s="209" t="s">
        <v>1226</v>
      </c>
      <c r="F4192" s="209" t="s">
        <v>2848</v>
      </c>
      <c r="G4192" s="413" t="str">
        <f t="shared" si="66"/>
        <v>07-13</v>
      </c>
      <c r="H4192" s="273" t="e">
        <f ca="1">_xludf.IFNA(VLOOKUP(Aragon!E4192,'Kilter Holds'!$P$37:$AB$662,10,0),0)</f>
        <v>#NAME?</v>
      </c>
      <c r="I4192" s="274"/>
      <c r="J4192" s="274" t="e">
        <f t="shared" ca="1" si="67"/>
        <v>#NAME?</v>
      </c>
      <c r="K4192" s="274">
        <f t="shared" si="68"/>
        <v>0</v>
      </c>
      <c r="N4192" s="274"/>
    </row>
    <row r="4193" spans="5:14" ht="13.5" customHeight="1">
      <c r="E4193" s="209" t="s">
        <v>1226</v>
      </c>
      <c r="F4193" s="209" t="s">
        <v>2848</v>
      </c>
      <c r="G4193" s="414" t="str">
        <f t="shared" si="66"/>
        <v>11-26</v>
      </c>
      <c r="H4193" s="273" t="e">
        <f ca="1">_xludf.IFNA(VLOOKUP(Aragon!E4193,'Kilter Holds'!$P$37:$AB$662,11,0),0)</f>
        <v>#NAME?</v>
      </c>
      <c r="I4193" s="274"/>
      <c r="J4193" s="274" t="e">
        <f t="shared" ca="1" si="67"/>
        <v>#NAME?</v>
      </c>
      <c r="K4193" s="274">
        <f t="shared" si="68"/>
        <v>0</v>
      </c>
      <c r="N4193" s="274"/>
    </row>
    <row r="4194" spans="5:14" ht="13.5" customHeight="1">
      <c r="E4194" s="209" t="s">
        <v>1226</v>
      </c>
      <c r="F4194" s="209" t="s">
        <v>2848</v>
      </c>
      <c r="G4194" s="415" t="str">
        <f t="shared" si="66"/>
        <v>18-01</v>
      </c>
      <c r="H4194" s="273" t="e">
        <f ca="1">_xludf.IFNA(VLOOKUP(Aragon!E4194,'Kilter Holds'!$P$37:$AB$662,12,0),0)</f>
        <v>#NAME?</v>
      </c>
      <c r="I4194" s="274"/>
      <c r="J4194" s="274" t="e">
        <f t="shared" ca="1" si="67"/>
        <v>#NAME?</v>
      </c>
      <c r="K4194" s="274">
        <f t="shared" si="68"/>
        <v>0</v>
      </c>
      <c r="N4194" s="274"/>
    </row>
    <row r="4195" spans="5:14" ht="13.5" customHeight="1">
      <c r="E4195" s="209" t="s">
        <v>1226</v>
      </c>
      <c r="F4195" s="209" t="s">
        <v>2848</v>
      </c>
      <c r="G4195" s="416" t="str">
        <f t="shared" si="66"/>
        <v>Color Code</v>
      </c>
      <c r="H4195" s="273" t="e">
        <f ca="1">_xludf.IFNA(VLOOKUP(Aragon!E4195,'Kilter Holds'!$P$37:$AB$662,13,0),0)</f>
        <v>#NAME?</v>
      </c>
      <c r="I4195" s="274"/>
      <c r="J4195" s="274" t="e">
        <f t="shared" ca="1" si="67"/>
        <v>#NAME?</v>
      </c>
      <c r="K4195" s="274">
        <f t="shared" si="68"/>
        <v>0</v>
      </c>
      <c r="N4195" s="274"/>
    </row>
    <row r="4196" spans="5:14" ht="13.5" customHeight="1">
      <c r="E4196" s="209" t="s">
        <v>845</v>
      </c>
      <c r="F4196" s="209" t="s">
        <v>2849</v>
      </c>
      <c r="G4196" s="406" t="str">
        <f t="shared" si="66"/>
        <v>11-12</v>
      </c>
      <c r="H4196" s="273" t="e">
        <f ca="1">_xludf.IFNA(VLOOKUP(Aragon!E4196,'Kilter Holds'!$P$37:$AB$662,5,0),0)</f>
        <v>#NAME?</v>
      </c>
      <c r="I4196" s="274"/>
      <c r="J4196" s="274" t="e">
        <f t="shared" ca="1" si="67"/>
        <v>#NAME?</v>
      </c>
      <c r="K4196" s="274">
        <f t="shared" si="68"/>
        <v>0</v>
      </c>
      <c r="N4196" s="274"/>
    </row>
    <row r="4197" spans="5:14" ht="13.5" customHeight="1">
      <c r="E4197" s="209" t="s">
        <v>845</v>
      </c>
      <c r="F4197" s="209" t="s">
        <v>2849</v>
      </c>
      <c r="G4197" s="408" t="str">
        <f t="shared" si="66"/>
        <v>14-01</v>
      </c>
      <c r="H4197" s="273" t="e">
        <f ca="1">_xludf.IFNA(VLOOKUP(Aragon!E4197,'Kilter Holds'!$P$37:$AB$662,6,0),0)</f>
        <v>#NAME?</v>
      </c>
      <c r="I4197" s="274"/>
      <c r="J4197" s="274" t="e">
        <f t="shared" ca="1" si="67"/>
        <v>#NAME?</v>
      </c>
      <c r="K4197" s="274">
        <f t="shared" si="68"/>
        <v>0</v>
      </c>
      <c r="N4197" s="274"/>
    </row>
    <row r="4198" spans="5:14" ht="13.5" customHeight="1">
      <c r="E4198" s="209" t="s">
        <v>845</v>
      </c>
      <c r="F4198" s="209" t="s">
        <v>2849</v>
      </c>
      <c r="G4198" s="409" t="str">
        <f t="shared" si="66"/>
        <v>15-12</v>
      </c>
      <c r="H4198" s="273" t="e">
        <f ca="1">_xludf.IFNA(VLOOKUP(Aragon!E4198,'Kilter Holds'!$P$37:$AB$662,7,0),0)</f>
        <v>#NAME?</v>
      </c>
      <c r="I4198" s="274"/>
      <c r="J4198" s="274" t="e">
        <f t="shared" ca="1" si="67"/>
        <v>#NAME?</v>
      </c>
      <c r="K4198" s="274">
        <f t="shared" si="68"/>
        <v>0</v>
      </c>
      <c r="N4198" s="274"/>
    </row>
    <row r="4199" spans="5:14" ht="13.5" customHeight="1">
      <c r="E4199" s="209" t="s">
        <v>845</v>
      </c>
      <c r="F4199" s="209" t="s">
        <v>2849</v>
      </c>
      <c r="G4199" s="410" t="str">
        <f t="shared" si="66"/>
        <v>16-16</v>
      </c>
      <c r="H4199" s="273" t="e">
        <f ca="1">_xludf.IFNA(VLOOKUP(Aragon!E4199,'Kilter Holds'!$P$37:$AB$662,8,0),0)</f>
        <v>#NAME?</v>
      </c>
      <c r="I4199" s="274"/>
      <c r="J4199" s="274" t="e">
        <f t="shared" ca="1" si="67"/>
        <v>#NAME?</v>
      </c>
      <c r="K4199" s="274">
        <f t="shared" si="68"/>
        <v>0</v>
      </c>
      <c r="N4199" s="274"/>
    </row>
    <row r="4200" spans="5:14" ht="13.5" customHeight="1">
      <c r="E4200" s="209" t="s">
        <v>845</v>
      </c>
      <c r="F4200" s="209" t="s">
        <v>2849</v>
      </c>
      <c r="G4200" s="411" t="str">
        <f t="shared" si="66"/>
        <v>13-01</v>
      </c>
      <c r="H4200" s="273" t="e">
        <f ca="1">_xludf.IFNA(VLOOKUP(Aragon!E4200,'Kilter Holds'!$P$37:$AB$662,9,0),0)</f>
        <v>#NAME?</v>
      </c>
      <c r="I4200" s="274"/>
      <c r="J4200" s="274" t="e">
        <f t="shared" ca="1" si="67"/>
        <v>#NAME?</v>
      </c>
      <c r="K4200" s="274">
        <f t="shared" si="68"/>
        <v>0</v>
      </c>
      <c r="N4200" s="274"/>
    </row>
    <row r="4201" spans="5:14" ht="13.5" customHeight="1">
      <c r="E4201" s="209" t="s">
        <v>845</v>
      </c>
      <c r="F4201" s="209" t="s">
        <v>2849</v>
      </c>
      <c r="G4201" s="413" t="str">
        <f t="shared" si="66"/>
        <v>07-13</v>
      </c>
      <c r="H4201" s="273" t="e">
        <f ca="1">_xludf.IFNA(VLOOKUP(Aragon!E4201,'Kilter Holds'!$P$37:$AB$662,10,0),0)</f>
        <v>#NAME?</v>
      </c>
      <c r="I4201" s="274"/>
      <c r="J4201" s="274" t="e">
        <f t="shared" ca="1" si="67"/>
        <v>#NAME?</v>
      </c>
      <c r="K4201" s="274">
        <f t="shared" si="68"/>
        <v>0</v>
      </c>
      <c r="N4201" s="274"/>
    </row>
    <row r="4202" spans="5:14" ht="13.5" customHeight="1">
      <c r="E4202" s="209" t="s">
        <v>845</v>
      </c>
      <c r="F4202" s="209" t="s">
        <v>2849</v>
      </c>
      <c r="G4202" s="414" t="str">
        <f t="shared" si="66"/>
        <v>11-26</v>
      </c>
      <c r="H4202" s="273" t="e">
        <f ca="1">_xludf.IFNA(VLOOKUP(Aragon!E4202,'Kilter Holds'!$P$37:$AB$662,11,0),0)</f>
        <v>#NAME?</v>
      </c>
      <c r="I4202" s="274"/>
      <c r="J4202" s="274" t="e">
        <f t="shared" ca="1" si="67"/>
        <v>#NAME?</v>
      </c>
      <c r="K4202" s="274">
        <f t="shared" si="68"/>
        <v>0</v>
      </c>
      <c r="N4202" s="274"/>
    </row>
    <row r="4203" spans="5:14" ht="13.5" customHeight="1">
      <c r="E4203" s="209" t="s">
        <v>845</v>
      </c>
      <c r="F4203" s="209" t="s">
        <v>2849</v>
      </c>
      <c r="G4203" s="415" t="str">
        <f t="shared" si="66"/>
        <v>18-01</v>
      </c>
      <c r="H4203" s="273" t="e">
        <f ca="1">_xludf.IFNA(VLOOKUP(Aragon!E4203,'Kilter Holds'!$P$37:$AB$662,12,0),0)</f>
        <v>#NAME?</v>
      </c>
      <c r="I4203" s="274"/>
      <c r="J4203" s="274" t="e">
        <f t="shared" ca="1" si="67"/>
        <v>#NAME?</v>
      </c>
      <c r="K4203" s="274">
        <f t="shared" si="68"/>
        <v>0</v>
      </c>
      <c r="N4203" s="274"/>
    </row>
    <row r="4204" spans="5:14" ht="13.5" customHeight="1">
      <c r="E4204" s="209" t="s">
        <v>845</v>
      </c>
      <c r="F4204" s="209" t="s">
        <v>2849</v>
      </c>
      <c r="G4204" s="416" t="str">
        <f t="shared" si="66"/>
        <v>Color Code</v>
      </c>
      <c r="H4204" s="273" t="e">
        <f ca="1">_xludf.IFNA(VLOOKUP(Aragon!E4204,'Kilter Holds'!$P$37:$AB$662,13,0),0)</f>
        <v>#NAME?</v>
      </c>
      <c r="I4204" s="274"/>
      <c r="J4204" s="274" t="e">
        <f t="shared" ca="1" si="67"/>
        <v>#NAME?</v>
      </c>
      <c r="K4204" s="274">
        <f t="shared" si="68"/>
        <v>0</v>
      </c>
      <c r="N4204" s="274"/>
    </row>
    <row r="4205" spans="5:14" ht="13.5" customHeight="1">
      <c r="E4205" s="209" t="s">
        <v>853</v>
      </c>
      <c r="F4205" s="209" t="s">
        <v>2850</v>
      </c>
      <c r="G4205" s="406" t="str">
        <f t="shared" si="66"/>
        <v>11-12</v>
      </c>
      <c r="H4205" s="273" t="e">
        <f ca="1">_xludf.IFNA(VLOOKUP(Aragon!E4205,'Kilter Holds'!$P$37:$AB$662,5,0),0)</f>
        <v>#NAME?</v>
      </c>
      <c r="I4205" s="274"/>
      <c r="J4205" s="274" t="e">
        <f t="shared" ca="1" si="67"/>
        <v>#NAME?</v>
      </c>
      <c r="K4205" s="274">
        <f t="shared" si="68"/>
        <v>0</v>
      </c>
      <c r="N4205" s="274"/>
    </row>
    <row r="4206" spans="5:14" ht="13.5" customHeight="1">
      <c r="E4206" s="209" t="s">
        <v>853</v>
      </c>
      <c r="F4206" s="209" t="s">
        <v>2850</v>
      </c>
      <c r="G4206" s="408" t="str">
        <f t="shared" si="66"/>
        <v>14-01</v>
      </c>
      <c r="H4206" s="273" t="e">
        <f ca="1">_xludf.IFNA(VLOOKUP(Aragon!E4206,'Kilter Holds'!$P$37:$AB$662,6,0),0)</f>
        <v>#NAME?</v>
      </c>
      <c r="I4206" s="274"/>
      <c r="J4206" s="274" t="e">
        <f t="shared" ca="1" si="67"/>
        <v>#NAME?</v>
      </c>
      <c r="K4206" s="274">
        <f t="shared" si="68"/>
        <v>0</v>
      </c>
      <c r="N4206" s="274"/>
    </row>
    <row r="4207" spans="5:14" ht="13.5" customHeight="1">
      <c r="E4207" s="209" t="s">
        <v>853</v>
      </c>
      <c r="F4207" s="209" t="s">
        <v>2850</v>
      </c>
      <c r="G4207" s="409" t="str">
        <f t="shared" si="66"/>
        <v>15-12</v>
      </c>
      <c r="H4207" s="273" t="e">
        <f ca="1">_xludf.IFNA(VLOOKUP(Aragon!E4207,'Kilter Holds'!$P$37:$AB$662,7,0),0)</f>
        <v>#NAME?</v>
      </c>
      <c r="I4207" s="274"/>
      <c r="J4207" s="274" t="e">
        <f t="shared" ca="1" si="67"/>
        <v>#NAME?</v>
      </c>
      <c r="K4207" s="274">
        <f t="shared" si="68"/>
        <v>0</v>
      </c>
      <c r="N4207" s="274"/>
    </row>
    <row r="4208" spans="5:14" ht="13.5" customHeight="1">
      <c r="E4208" s="209" t="s">
        <v>853</v>
      </c>
      <c r="F4208" s="209" t="s">
        <v>2850</v>
      </c>
      <c r="G4208" s="410" t="str">
        <f t="shared" si="66"/>
        <v>16-16</v>
      </c>
      <c r="H4208" s="273" t="e">
        <f ca="1">_xludf.IFNA(VLOOKUP(Aragon!E4208,'Kilter Holds'!$P$37:$AB$662,8,0),0)</f>
        <v>#NAME?</v>
      </c>
      <c r="I4208" s="274"/>
      <c r="J4208" s="274" t="e">
        <f t="shared" ca="1" si="67"/>
        <v>#NAME?</v>
      </c>
      <c r="K4208" s="274">
        <f t="shared" si="68"/>
        <v>0</v>
      </c>
      <c r="N4208" s="274"/>
    </row>
    <row r="4209" spans="5:14" ht="13.5" customHeight="1">
      <c r="E4209" s="209" t="s">
        <v>853</v>
      </c>
      <c r="F4209" s="209" t="s">
        <v>2850</v>
      </c>
      <c r="G4209" s="411" t="str">
        <f t="shared" si="66"/>
        <v>13-01</v>
      </c>
      <c r="H4209" s="273" t="e">
        <f ca="1">_xludf.IFNA(VLOOKUP(Aragon!E4209,'Kilter Holds'!$P$37:$AB$662,9,0),0)</f>
        <v>#NAME?</v>
      </c>
      <c r="I4209" s="274"/>
      <c r="J4209" s="274" t="e">
        <f t="shared" ca="1" si="67"/>
        <v>#NAME?</v>
      </c>
      <c r="K4209" s="274">
        <f t="shared" si="68"/>
        <v>0</v>
      </c>
      <c r="N4209" s="274"/>
    </row>
    <row r="4210" spans="5:14" ht="13.5" customHeight="1">
      <c r="E4210" s="209" t="s">
        <v>853</v>
      </c>
      <c r="F4210" s="209" t="s">
        <v>2850</v>
      </c>
      <c r="G4210" s="413" t="str">
        <f t="shared" si="66"/>
        <v>07-13</v>
      </c>
      <c r="H4210" s="273" t="e">
        <f ca="1">_xludf.IFNA(VLOOKUP(Aragon!E4210,'Kilter Holds'!$P$37:$AB$662,10,0),0)</f>
        <v>#NAME?</v>
      </c>
      <c r="I4210" s="274"/>
      <c r="J4210" s="274" t="e">
        <f t="shared" ca="1" si="67"/>
        <v>#NAME?</v>
      </c>
      <c r="K4210" s="274">
        <f t="shared" si="68"/>
        <v>0</v>
      </c>
      <c r="N4210" s="274"/>
    </row>
    <row r="4211" spans="5:14" ht="13.5" customHeight="1">
      <c r="E4211" s="209" t="s">
        <v>853</v>
      </c>
      <c r="F4211" s="209" t="s">
        <v>2850</v>
      </c>
      <c r="G4211" s="414" t="str">
        <f t="shared" si="66"/>
        <v>11-26</v>
      </c>
      <c r="H4211" s="273" t="e">
        <f ca="1">_xludf.IFNA(VLOOKUP(Aragon!E4211,'Kilter Holds'!$P$37:$AB$662,11,0),0)</f>
        <v>#NAME?</v>
      </c>
      <c r="I4211" s="274"/>
      <c r="J4211" s="274" t="e">
        <f t="shared" ca="1" si="67"/>
        <v>#NAME?</v>
      </c>
      <c r="K4211" s="274">
        <f t="shared" si="68"/>
        <v>0</v>
      </c>
      <c r="N4211" s="274"/>
    </row>
    <row r="4212" spans="5:14" ht="13.5" customHeight="1">
      <c r="E4212" s="209" t="s">
        <v>853</v>
      </c>
      <c r="F4212" s="209" t="s">
        <v>2850</v>
      </c>
      <c r="G4212" s="415" t="str">
        <f t="shared" si="66"/>
        <v>18-01</v>
      </c>
      <c r="H4212" s="273" t="e">
        <f ca="1">_xludf.IFNA(VLOOKUP(Aragon!E4212,'Kilter Holds'!$P$37:$AB$662,12,0),0)</f>
        <v>#NAME?</v>
      </c>
      <c r="I4212" s="274"/>
      <c r="J4212" s="274" t="e">
        <f t="shared" ca="1" si="67"/>
        <v>#NAME?</v>
      </c>
      <c r="K4212" s="274">
        <f t="shared" si="68"/>
        <v>0</v>
      </c>
      <c r="N4212" s="274"/>
    </row>
    <row r="4213" spans="5:14" ht="13.5" customHeight="1">
      <c r="E4213" s="209" t="s">
        <v>853</v>
      </c>
      <c r="F4213" s="209" t="s">
        <v>2850</v>
      </c>
      <c r="G4213" s="416" t="str">
        <f t="shared" si="66"/>
        <v>Color Code</v>
      </c>
      <c r="H4213" s="273" t="e">
        <f ca="1">_xludf.IFNA(VLOOKUP(Aragon!E4213,'Kilter Holds'!$P$37:$AB$662,13,0),0)</f>
        <v>#NAME?</v>
      </c>
      <c r="I4213" s="274"/>
      <c r="J4213" s="274" t="e">
        <f t="shared" ca="1" si="67"/>
        <v>#NAME?</v>
      </c>
      <c r="K4213" s="274">
        <f t="shared" si="68"/>
        <v>0</v>
      </c>
      <c r="N4213" s="274"/>
    </row>
    <row r="4214" spans="5:14" ht="13.5" customHeight="1">
      <c r="E4214" s="209" t="s">
        <v>855</v>
      </c>
      <c r="F4214" s="209" t="s">
        <v>2851</v>
      </c>
      <c r="G4214" s="406" t="str">
        <f t="shared" si="66"/>
        <v>11-12</v>
      </c>
      <c r="H4214" s="273" t="e">
        <f ca="1">_xludf.IFNA(VLOOKUP(Aragon!E4214,'Kilter Holds'!$P$37:$AB$662,5,0),0)</f>
        <v>#NAME?</v>
      </c>
      <c r="I4214" s="274"/>
      <c r="J4214" s="274" t="e">
        <f t="shared" ca="1" si="67"/>
        <v>#NAME?</v>
      </c>
      <c r="K4214" s="274">
        <f t="shared" si="68"/>
        <v>0</v>
      </c>
      <c r="N4214" s="274"/>
    </row>
    <row r="4215" spans="5:14" ht="13.5" customHeight="1">
      <c r="E4215" s="209" t="s">
        <v>855</v>
      </c>
      <c r="F4215" s="209" t="s">
        <v>2851</v>
      </c>
      <c r="G4215" s="408" t="str">
        <f t="shared" si="66"/>
        <v>14-01</v>
      </c>
      <c r="H4215" s="273" t="e">
        <f ca="1">_xludf.IFNA(VLOOKUP(Aragon!E4215,'Kilter Holds'!$P$37:$AB$662,6,0),0)</f>
        <v>#NAME?</v>
      </c>
      <c r="I4215" s="274"/>
      <c r="J4215" s="274" t="e">
        <f t="shared" ca="1" si="67"/>
        <v>#NAME?</v>
      </c>
      <c r="K4215" s="274">
        <f t="shared" si="68"/>
        <v>0</v>
      </c>
      <c r="N4215" s="274"/>
    </row>
    <row r="4216" spans="5:14" ht="13.5" customHeight="1">
      <c r="E4216" s="209" t="s">
        <v>855</v>
      </c>
      <c r="F4216" s="209" t="s">
        <v>2851</v>
      </c>
      <c r="G4216" s="409" t="str">
        <f t="shared" si="66"/>
        <v>15-12</v>
      </c>
      <c r="H4216" s="273" t="e">
        <f ca="1">_xludf.IFNA(VLOOKUP(Aragon!E4216,'Kilter Holds'!$P$37:$AB$662,7,0),0)</f>
        <v>#NAME?</v>
      </c>
      <c r="I4216" s="274"/>
      <c r="J4216" s="274" t="e">
        <f t="shared" ca="1" si="67"/>
        <v>#NAME?</v>
      </c>
      <c r="K4216" s="274">
        <f t="shared" si="68"/>
        <v>0</v>
      </c>
      <c r="N4216" s="274"/>
    </row>
    <row r="4217" spans="5:14" ht="13.5" customHeight="1">
      <c r="E4217" s="209" t="s">
        <v>855</v>
      </c>
      <c r="F4217" s="209" t="s">
        <v>2851</v>
      </c>
      <c r="G4217" s="410" t="str">
        <f t="shared" si="66"/>
        <v>16-16</v>
      </c>
      <c r="H4217" s="273" t="e">
        <f ca="1">_xludf.IFNA(VLOOKUP(Aragon!E4217,'Kilter Holds'!$P$37:$AB$662,8,0),0)</f>
        <v>#NAME?</v>
      </c>
      <c r="I4217" s="274"/>
      <c r="J4217" s="274" t="e">
        <f t="shared" ca="1" si="67"/>
        <v>#NAME?</v>
      </c>
      <c r="K4217" s="274">
        <f t="shared" si="68"/>
        <v>0</v>
      </c>
      <c r="N4217" s="274"/>
    </row>
    <row r="4218" spans="5:14" ht="13.5" customHeight="1">
      <c r="E4218" s="209" t="s">
        <v>855</v>
      </c>
      <c r="F4218" s="209" t="s">
        <v>2851</v>
      </c>
      <c r="G4218" s="411" t="str">
        <f t="shared" si="66"/>
        <v>13-01</v>
      </c>
      <c r="H4218" s="273" t="e">
        <f ca="1">_xludf.IFNA(VLOOKUP(Aragon!E4218,'Kilter Holds'!$P$37:$AB$662,9,0),0)</f>
        <v>#NAME?</v>
      </c>
      <c r="I4218" s="274"/>
      <c r="J4218" s="274" t="e">
        <f t="shared" ca="1" si="67"/>
        <v>#NAME?</v>
      </c>
      <c r="K4218" s="274">
        <f t="shared" si="68"/>
        <v>0</v>
      </c>
      <c r="N4218" s="274"/>
    </row>
    <row r="4219" spans="5:14" ht="13.5" customHeight="1">
      <c r="E4219" s="209" t="s">
        <v>855</v>
      </c>
      <c r="F4219" s="209" t="s">
        <v>2851</v>
      </c>
      <c r="G4219" s="413" t="str">
        <f t="shared" si="66"/>
        <v>07-13</v>
      </c>
      <c r="H4219" s="273" t="e">
        <f ca="1">_xludf.IFNA(VLOOKUP(Aragon!E4219,'Kilter Holds'!$P$37:$AB$662,10,0),0)</f>
        <v>#NAME?</v>
      </c>
      <c r="I4219" s="274"/>
      <c r="J4219" s="274" t="e">
        <f t="shared" ca="1" si="67"/>
        <v>#NAME?</v>
      </c>
      <c r="K4219" s="274">
        <f t="shared" si="68"/>
        <v>0</v>
      </c>
      <c r="N4219" s="274"/>
    </row>
    <row r="4220" spans="5:14" ht="13.5" customHeight="1">
      <c r="E4220" s="209" t="s">
        <v>855</v>
      </c>
      <c r="F4220" s="209" t="s">
        <v>2851</v>
      </c>
      <c r="G4220" s="414" t="str">
        <f t="shared" si="66"/>
        <v>11-26</v>
      </c>
      <c r="H4220" s="273" t="e">
        <f ca="1">_xludf.IFNA(VLOOKUP(Aragon!E4220,'Kilter Holds'!$P$37:$AB$662,11,0),0)</f>
        <v>#NAME?</v>
      </c>
      <c r="I4220" s="274"/>
      <c r="J4220" s="274" t="e">
        <f t="shared" ca="1" si="67"/>
        <v>#NAME?</v>
      </c>
      <c r="K4220" s="274">
        <f t="shared" si="68"/>
        <v>0</v>
      </c>
      <c r="N4220" s="274"/>
    </row>
    <row r="4221" spans="5:14" ht="13.5" customHeight="1">
      <c r="E4221" s="209" t="s">
        <v>855</v>
      </c>
      <c r="F4221" s="209" t="s">
        <v>2851</v>
      </c>
      <c r="G4221" s="415" t="str">
        <f t="shared" si="66"/>
        <v>18-01</v>
      </c>
      <c r="H4221" s="273" t="e">
        <f ca="1">_xludf.IFNA(VLOOKUP(Aragon!E4221,'Kilter Holds'!$P$37:$AB$662,12,0),0)</f>
        <v>#NAME?</v>
      </c>
      <c r="I4221" s="274"/>
      <c r="J4221" s="274" t="e">
        <f t="shared" ca="1" si="67"/>
        <v>#NAME?</v>
      </c>
      <c r="K4221" s="274">
        <f t="shared" si="68"/>
        <v>0</v>
      </c>
      <c r="N4221" s="274"/>
    </row>
    <row r="4222" spans="5:14" ht="13.5" customHeight="1">
      <c r="E4222" s="209" t="s">
        <v>855</v>
      </c>
      <c r="F4222" s="209" t="s">
        <v>2851</v>
      </c>
      <c r="G4222" s="416" t="str">
        <f t="shared" si="66"/>
        <v>Color Code</v>
      </c>
      <c r="H4222" s="273" t="e">
        <f ca="1">_xludf.IFNA(VLOOKUP(Aragon!E4222,'Kilter Holds'!$P$37:$AB$662,13,0),0)</f>
        <v>#NAME?</v>
      </c>
      <c r="I4222" s="274"/>
      <c r="J4222" s="274" t="e">
        <f t="shared" ca="1" si="67"/>
        <v>#NAME?</v>
      </c>
      <c r="K4222" s="274">
        <f t="shared" si="68"/>
        <v>0</v>
      </c>
      <c r="N4222" s="274"/>
    </row>
    <row r="4223" spans="5:14" ht="13.5" customHeight="1">
      <c r="E4223" s="209" t="s">
        <v>867</v>
      </c>
      <c r="F4223" s="209" t="s">
        <v>2852</v>
      </c>
      <c r="G4223" s="406" t="str">
        <f t="shared" si="66"/>
        <v>11-12</v>
      </c>
      <c r="H4223" s="273" t="e">
        <f ca="1">_xludf.IFNA(VLOOKUP(Aragon!E4223,'Kilter Holds'!$P$37:$AB$662,5,0),0)</f>
        <v>#NAME?</v>
      </c>
      <c r="I4223" s="274"/>
      <c r="J4223" s="274" t="e">
        <f t="shared" ca="1" si="67"/>
        <v>#NAME?</v>
      </c>
      <c r="K4223" s="274">
        <f t="shared" si="68"/>
        <v>0</v>
      </c>
      <c r="N4223" s="274"/>
    </row>
    <row r="4224" spans="5:14" ht="13.5" customHeight="1">
      <c r="E4224" s="209" t="s">
        <v>867</v>
      </c>
      <c r="F4224" s="209" t="s">
        <v>2852</v>
      </c>
      <c r="G4224" s="408" t="str">
        <f t="shared" si="66"/>
        <v>14-01</v>
      </c>
      <c r="H4224" s="273" t="e">
        <f ca="1">_xludf.IFNA(VLOOKUP(Aragon!E4224,'Kilter Holds'!$P$37:$AB$662,6,0),0)</f>
        <v>#NAME?</v>
      </c>
      <c r="I4224" s="274"/>
      <c r="J4224" s="274" t="e">
        <f t="shared" ca="1" si="67"/>
        <v>#NAME?</v>
      </c>
      <c r="K4224" s="274">
        <f t="shared" si="68"/>
        <v>0</v>
      </c>
      <c r="N4224" s="274"/>
    </row>
    <row r="4225" spans="5:14" ht="13.5" customHeight="1">
      <c r="E4225" s="209" t="s">
        <v>867</v>
      </c>
      <c r="F4225" s="209" t="s">
        <v>2852</v>
      </c>
      <c r="G4225" s="409" t="str">
        <f t="shared" si="66"/>
        <v>15-12</v>
      </c>
      <c r="H4225" s="273" t="e">
        <f ca="1">_xludf.IFNA(VLOOKUP(Aragon!E4225,'Kilter Holds'!$P$37:$AB$662,7,0),0)</f>
        <v>#NAME?</v>
      </c>
      <c r="I4225" s="274"/>
      <c r="J4225" s="274" t="e">
        <f t="shared" ca="1" si="67"/>
        <v>#NAME?</v>
      </c>
      <c r="K4225" s="274">
        <f t="shared" si="68"/>
        <v>0</v>
      </c>
      <c r="N4225" s="274"/>
    </row>
    <row r="4226" spans="5:14" ht="13.5" customHeight="1">
      <c r="E4226" s="209" t="s">
        <v>867</v>
      </c>
      <c r="F4226" s="209" t="s">
        <v>2852</v>
      </c>
      <c r="G4226" s="410" t="str">
        <f t="shared" si="66"/>
        <v>16-16</v>
      </c>
      <c r="H4226" s="273" t="e">
        <f ca="1">_xludf.IFNA(VLOOKUP(Aragon!E4226,'Kilter Holds'!$P$37:$AB$662,8,0),0)</f>
        <v>#NAME?</v>
      </c>
      <c r="I4226" s="274"/>
      <c r="J4226" s="274" t="e">
        <f t="shared" ca="1" si="67"/>
        <v>#NAME?</v>
      </c>
      <c r="K4226" s="274">
        <f t="shared" si="68"/>
        <v>0</v>
      </c>
      <c r="N4226" s="274"/>
    </row>
    <row r="4227" spans="5:14" ht="13.5" customHeight="1">
      <c r="E4227" s="209" t="s">
        <v>867</v>
      </c>
      <c r="F4227" s="209" t="s">
        <v>2852</v>
      </c>
      <c r="G4227" s="411" t="str">
        <f t="shared" si="66"/>
        <v>13-01</v>
      </c>
      <c r="H4227" s="273" t="e">
        <f ca="1">_xludf.IFNA(VLOOKUP(Aragon!E4227,'Kilter Holds'!$P$37:$AB$662,9,0),0)</f>
        <v>#NAME?</v>
      </c>
      <c r="I4227" s="274"/>
      <c r="J4227" s="274" t="e">
        <f t="shared" ca="1" si="67"/>
        <v>#NAME?</v>
      </c>
      <c r="K4227" s="274">
        <f t="shared" si="68"/>
        <v>0</v>
      </c>
      <c r="N4227" s="274"/>
    </row>
    <row r="4228" spans="5:14" ht="13.5" customHeight="1">
      <c r="E4228" s="209" t="s">
        <v>867</v>
      </c>
      <c r="F4228" s="209" t="s">
        <v>2852</v>
      </c>
      <c r="G4228" s="413" t="str">
        <f t="shared" si="66"/>
        <v>07-13</v>
      </c>
      <c r="H4228" s="273" t="e">
        <f ca="1">_xludf.IFNA(VLOOKUP(Aragon!E4228,'Kilter Holds'!$P$37:$AB$662,10,0),0)</f>
        <v>#NAME?</v>
      </c>
      <c r="I4228" s="274"/>
      <c r="J4228" s="274" t="e">
        <f t="shared" ca="1" si="67"/>
        <v>#NAME?</v>
      </c>
      <c r="K4228" s="274">
        <f t="shared" si="68"/>
        <v>0</v>
      </c>
      <c r="N4228" s="274"/>
    </row>
    <row r="4229" spans="5:14" ht="13.5" customHeight="1">
      <c r="E4229" s="209" t="s">
        <v>867</v>
      </c>
      <c r="F4229" s="209" t="s">
        <v>2852</v>
      </c>
      <c r="G4229" s="414" t="str">
        <f t="shared" si="66"/>
        <v>11-26</v>
      </c>
      <c r="H4229" s="273" t="e">
        <f ca="1">_xludf.IFNA(VLOOKUP(Aragon!E4229,'Kilter Holds'!$P$37:$AB$662,11,0),0)</f>
        <v>#NAME?</v>
      </c>
      <c r="I4229" s="274"/>
      <c r="J4229" s="274" t="e">
        <f t="shared" ca="1" si="67"/>
        <v>#NAME?</v>
      </c>
      <c r="K4229" s="274">
        <f t="shared" si="68"/>
        <v>0</v>
      </c>
      <c r="N4229" s="274"/>
    </row>
    <row r="4230" spans="5:14" ht="13.5" customHeight="1">
      <c r="E4230" s="209" t="s">
        <v>867</v>
      </c>
      <c r="F4230" s="209" t="s">
        <v>2852</v>
      </c>
      <c r="G4230" s="415" t="str">
        <f t="shared" si="66"/>
        <v>18-01</v>
      </c>
      <c r="H4230" s="273" t="e">
        <f ca="1">_xludf.IFNA(VLOOKUP(Aragon!E4230,'Kilter Holds'!$P$37:$AB$662,12,0),0)</f>
        <v>#NAME?</v>
      </c>
      <c r="I4230" s="274"/>
      <c r="J4230" s="274" t="e">
        <f t="shared" ca="1" si="67"/>
        <v>#NAME?</v>
      </c>
      <c r="K4230" s="274">
        <f t="shared" si="68"/>
        <v>0</v>
      </c>
      <c r="N4230" s="274"/>
    </row>
    <row r="4231" spans="5:14" ht="13.5" customHeight="1">
      <c r="E4231" s="209" t="s">
        <v>867</v>
      </c>
      <c r="F4231" s="209" t="s">
        <v>2852</v>
      </c>
      <c r="G4231" s="416" t="str">
        <f t="shared" si="66"/>
        <v>Color Code</v>
      </c>
      <c r="H4231" s="273" t="e">
        <f ca="1">_xludf.IFNA(VLOOKUP(Aragon!E4231,'Kilter Holds'!$P$37:$AB$662,13,0),0)</f>
        <v>#NAME?</v>
      </c>
      <c r="I4231" s="274"/>
      <c r="J4231" s="274" t="e">
        <f t="shared" ca="1" si="67"/>
        <v>#NAME?</v>
      </c>
      <c r="K4231" s="274">
        <f t="shared" si="68"/>
        <v>0</v>
      </c>
      <c r="N4231" s="274"/>
    </row>
    <row r="4232" spans="5:14" ht="13.5" customHeight="1">
      <c r="E4232" s="209" t="s">
        <v>869</v>
      </c>
      <c r="F4232" s="209" t="s">
        <v>2853</v>
      </c>
      <c r="G4232" s="406" t="str">
        <f t="shared" si="66"/>
        <v>11-12</v>
      </c>
      <c r="H4232" s="273" t="e">
        <f ca="1">_xludf.IFNA(VLOOKUP(Aragon!E4232,'Kilter Holds'!$P$37:$AB$662,5,0),0)</f>
        <v>#NAME?</v>
      </c>
      <c r="I4232" s="274"/>
      <c r="J4232" s="274" t="e">
        <f t="shared" ca="1" si="67"/>
        <v>#NAME?</v>
      </c>
      <c r="K4232" s="274">
        <f t="shared" si="68"/>
        <v>0</v>
      </c>
      <c r="N4232" s="274"/>
    </row>
    <row r="4233" spans="5:14" ht="13.5" customHeight="1">
      <c r="E4233" s="209" t="s">
        <v>869</v>
      </c>
      <c r="F4233" s="209" t="s">
        <v>2853</v>
      </c>
      <c r="G4233" s="408" t="str">
        <f t="shared" si="66"/>
        <v>14-01</v>
      </c>
      <c r="H4233" s="273" t="e">
        <f ca="1">_xludf.IFNA(VLOOKUP(Aragon!E4233,'Kilter Holds'!$P$37:$AB$662,6,0),0)</f>
        <v>#NAME?</v>
      </c>
      <c r="I4233" s="274"/>
      <c r="J4233" s="274" t="e">
        <f t="shared" ca="1" si="67"/>
        <v>#NAME?</v>
      </c>
      <c r="K4233" s="274">
        <f t="shared" si="68"/>
        <v>0</v>
      </c>
      <c r="N4233" s="274"/>
    </row>
    <row r="4234" spans="5:14" ht="13.5" customHeight="1">
      <c r="E4234" s="209" t="s">
        <v>869</v>
      </c>
      <c r="F4234" s="209" t="s">
        <v>2853</v>
      </c>
      <c r="G4234" s="409" t="str">
        <f t="shared" si="66"/>
        <v>15-12</v>
      </c>
      <c r="H4234" s="273" t="e">
        <f ca="1">_xludf.IFNA(VLOOKUP(Aragon!E4234,'Kilter Holds'!$P$37:$AB$662,7,0),0)</f>
        <v>#NAME?</v>
      </c>
      <c r="I4234" s="274"/>
      <c r="J4234" s="274" t="e">
        <f t="shared" ca="1" si="67"/>
        <v>#NAME?</v>
      </c>
      <c r="K4234" s="274">
        <f t="shared" si="68"/>
        <v>0</v>
      </c>
      <c r="N4234" s="274"/>
    </row>
    <row r="4235" spans="5:14" ht="13.5" customHeight="1">
      <c r="E4235" s="209" t="s">
        <v>869</v>
      </c>
      <c r="F4235" s="209" t="s">
        <v>2853</v>
      </c>
      <c r="G4235" s="410" t="str">
        <f t="shared" si="66"/>
        <v>16-16</v>
      </c>
      <c r="H4235" s="273" t="e">
        <f ca="1">_xludf.IFNA(VLOOKUP(Aragon!E4235,'Kilter Holds'!$P$37:$AB$662,8,0),0)</f>
        <v>#NAME?</v>
      </c>
      <c r="I4235" s="274"/>
      <c r="J4235" s="274" t="e">
        <f t="shared" ca="1" si="67"/>
        <v>#NAME?</v>
      </c>
      <c r="K4235" s="274">
        <f t="shared" si="68"/>
        <v>0</v>
      </c>
      <c r="N4235" s="274"/>
    </row>
    <row r="4236" spans="5:14" ht="13.5" customHeight="1">
      <c r="E4236" s="209" t="s">
        <v>869</v>
      </c>
      <c r="F4236" s="209" t="s">
        <v>2853</v>
      </c>
      <c r="G4236" s="411" t="str">
        <f t="shared" si="66"/>
        <v>13-01</v>
      </c>
      <c r="H4236" s="273" t="e">
        <f ca="1">_xludf.IFNA(VLOOKUP(Aragon!E4236,'Kilter Holds'!$P$37:$AB$662,9,0),0)</f>
        <v>#NAME?</v>
      </c>
      <c r="I4236" s="274"/>
      <c r="J4236" s="274" t="e">
        <f t="shared" ca="1" si="67"/>
        <v>#NAME?</v>
      </c>
      <c r="K4236" s="274">
        <f t="shared" si="68"/>
        <v>0</v>
      </c>
      <c r="N4236" s="274"/>
    </row>
    <row r="4237" spans="5:14" ht="13.5" customHeight="1">
      <c r="E4237" s="209" t="s">
        <v>869</v>
      </c>
      <c r="F4237" s="209" t="s">
        <v>2853</v>
      </c>
      <c r="G4237" s="413" t="str">
        <f t="shared" si="66"/>
        <v>07-13</v>
      </c>
      <c r="H4237" s="273" t="e">
        <f ca="1">_xludf.IFNA(VLOOKUP(Aragon!E4237,'Kilter Holds'!$P$37:$AB$662,10,0),0)</f>
        <v>#NAME?</v>
      </c>
      <c r="I4237" s="274"/>
      <c r="J4237" s="274" t="e">
        <f t="shared" ca="1" si="67"/>
        <v>#NAME?</v>
      </c>
      <c r="K4237" s="274">
        <f t="shared" si="68"/>
        <v>0</v>
      </c>
      <c r="N4237" s="274"/>
    </row>
    <row r="4238" spans="5:14" ht="13.5" customHeight="1">
      <c r="E4238" s="209" t="s">
        <v>869</v>
      </c>
      <c r="F4238" s="209" t="s">
        <v>2853</v>
      </c>
      <c r="G4238" s="414" t="str">
        <f t="shared" si="66"/>
        <v>11-26</v>
      </c>
      <c r="H4238" s="273" t="e">
        <f ca="1">_xludf.IFNA(VLOOKUP(Aragon!E4238,'Kilter Holds'!$P$37:$AB$662,11,0),0)</f>
        <v>#NAME?</v>
      </c>
      <c r="I4238" s="274"/>
      <c r="J4238" s="274" t="e">
        <f t="shared" ca="1" si="67"/>
        <v>#NAME?</v>
      </c>
      <c r="K4238" s="274">
        <f t="shared" si="68"/>
        <v>0</v>
      </c>
      <c r="N4238" s="274"/>
    </row>
    <row r="4239" spans="5:14" ht="13.5" customHeight="1">
      <c r="E4239" s="209" t="s">
        <v>869</v>
      </c>
      <c r="F4239" s="209" t="s">
        <v>2853</v>
      </c>
      <c r="G4239" s="415" t="str">
        <f t="shared" si="66"/>
        <v>18-01</v>
      </c>
      <c r="H4239" s="273" t="e">
        <f ca="1">_xludf.IFNA(VLOOKUP(Aragon!E4239,'Kilter Holds'!$P$37:$AB$662,12,0),0)</f>
        <v>#NAME?</v>
      </c>
      <c r="I4239" s="274"/>
      <c r="J4239" s="274" t="e">
        <f t="shared" ca="1" si="67"/>
        <v>#NAME?</v>
      </c>
      <c r="K4239" s="274">
        <f t="shared" si="68"/>
        <v>0</v>
      </c>
      <c r="N4239" s="274"/>
    </row>
    <row r="4240" spans="5:14" ht="13.5" customHeight="1">
      <c r="E4240" s="209" t="s">
        <v>869</v>
      </c>
      <c r="F4240" s="209" t="s">
        <v>2853</v>
      </c>
      <c r="G4240" s="416" t="str">
        <f t="shared" si="66"/>
        <v>Color Code</v>
      </c>
      <c r="H4240" s="273" t="e">
        <f ca="1">_xludf.IFNA(VLOOKUP(Aragon!E4240,'Kilter Holds'!$P$37:$AB$662,13,0),0)</f>
        <v>#NAME?</v>
      </c>
      <c r="I4240" s="274"/>
      <c r="J4240" s="274" t="e">
        <f t="shared" ca="1" si="67"/>
        <v>#NAME?</v>
      </c>
      <c r="K4240" s="274">
        <f t="shared" si="68"/>
        <v>0</v>
      </c>
      <c r="N4240" s="274"/>
    </row>
    <row r="4241" spans="5:14" ht="13.5" customHeight="1">
      <c r="E4241" s="209" t="s">
        <v>873</v>
      </c>
      <c r="F4241" s="209" t="s">
        <v>2854</v>
      </c>
      <c r="G4241" s="406" t="str">
        <f t="shared" si="66"/>
        <v>11-12</v>
      </c>
      <c r="H4241" s="273" t="e">
        <f ca="1">_xludf.IFNA(VLOOKUP(Aragon!E4241,'Kilter Holds'!$P$37:$AB$662,5,0),0)</f>
        <v>#NAME?</v>
      </c>
      <c r="I4241" s="274"/>
      <c r="J4241" s="274" t="e">
        <f t="shared" ca="1" si="67"/>
        <v>#NAME?</v>
      </c>
      <c r="K4241" s="274">
        <f t="shared" si="68"/>
        <v>0</v>
      </c>
      <c r="N4241" s="274"/>
    </row>
    <row r="4242" spans="5:14" ht="13.5" customHeight="1">
      <c r="E4242" s="209" t="s">
        <v>873</v>
      </c>
      <c r="F4242" s="209" t="s">
        <v>2854</v>
      </c>
      <c r="G4242" s="408" t="str">
        <f t="shared" si="66"/>
        <v>14-01</v>
      </c>
      <c r="H4242" s="273" t="e">
        <f ca="1">_xludf.IFNA(VLOOKUP(Aragon!E4242,'Kilter Holds'!$P$37:$AB$662,6,0),0)</f>
        <v>#NAME?</v>
      </c>
      <c r="I4242" s="274"/>
      <c r="J4242" s="274" t="e">
        <f t="shared" ca="1" si="67"/>
        <v>#NAME?</v>
      </c>
      <c r="K4242" s="274">
        <f t="shared" si="68"/>
        <v>0</v>
      </c>
      <c r="N4242" s="274"/>
    </row>
    <row r="4243" spans="5:14" ht="13.5" customHeight="1">
      <c r="E4243" s="209" t="s">
        <v>873</v>
      </c>
      <c r="F4243" s="209" t="s">
        <v>2854</v>
      </c>
      <c r="G4243" s="409" t="str">
        <f t="shared" si="66"/>
        <v>15-12</v>
      </c>
      <c r="H4243" s="273" t="e">
        <f ca="1">_xludf.IFNA(VLOOKUP(Aragon!E4243,'Kilter Holds'!$P$37:$AB$662,7,0),0)</f>
        <v>#NAME?</v>
      </c>
      <c r="I4243" s="274"/>
      <c r="J4243" s="274" t="e">
        <f t="shared" ca="1" si="67"/>
        <v>#NAME?</v>
      </c>
      <c r="K4243" s="274">
        <f t="shared" si="68"/>
        <v>0</v>
      </c>
      <c r="N4243" s="274"/>
    </row>
    <row r="4244" spans="5:14" ht="13.5" customHeight="1">
      <c r="E4244" s="209" t="s">
        <v>873</v>
      </c>
      <c r="F4244" s="209" t="s">
        <v>2854</v>
      </c>
      <c r="G4244" s="410" t="str">
        <f t="shared" si="66"/>
        <v>16-16</v>
      </c>
      <c r="H4244" s="273" t="e">
        <f ca="1">_xludf.IFNA(VLOOKUP(Aragon!E4244,'Kilter Holds'!$P$37:$AB$662,8,0),0)</f>
        <v>#NAME?</v>
      </c>
      <c r="I4244" s="274"/>
      <c r="J4244" s="274" t="e">
        <f t="shared" ca="1" si="67"/>
        <v>#NAME?</v>
      </c>
      <c r="K4244" s="274">
        <f t="shared" si="68"/>
        <v>0</v>
      </c>
      <c r="N4244" s="274"/>
    </row>
    <row r="4245" spans="5:14" ht="13.5" customHeight="1">
      <c r="E4245" s="209" t="s">
        <v>873</v>
      </c>
      <c r="F4245" s="209" t="s">
        <v>2854</v>
      </c>
      <c r="G4245" s="411" t="str">
        <f t="shared" si="66"/>
        <v>13-01</v>
      </c>
      <c r="H4245" s="273" t="e">
        <f ca="1">_xludf.IFNA(VLOOKUP(Aragon!E4245,'Kilter Holds'!$P$37:$AB$662,9,0),0)</f>
        <v>#NAME?</v>
      </c>
      <c r="I4245" s="274"/>
      <c r="J4245" s="274" t="e">
        <f t="shared" ca="1" si="67"/>
        <v>#NAME?</v>
      </c>
      <c r="K4245" s="274">
        <f t="shared" si="68"/>
        <v>0</v>
      </c>
      <c r="N4245" s="274"/>
    </row>
    <row r="4246" spans="5:14" ht="13.5" customHeight="1">
      <c r="E4246" s="209" t="s">
        <v>873</v>
      </c>
      <c r="F4246" s="209" t="s">
        <v>2854</v>
      </c>
      <c r="G4246" s="413" t="str">
        <f t="shared" si="66"/>
        <v>07-13</v>
      </c>
      <c r="H4246" s="273" t="e">
        <f ca="1">_xludf.IFNA(VLOOKUP(Aragon!E4246,'Kilter Holds'!$P$37:$AB$662,10,0),0)</f>
        <v>#NAME?</v>
      </c>
      <c r="I4246" s="274"/>
      <c r="J4246" s="274" t="e">
        <f t="shared" ca="1" si="67"/>
        <v>#NAME?</v>
      </c>
      <c r="K4246" s="274">
        <f t="shared" si="68"/>
        <v>0</v>
      </c>
      <c r="N4246" s="274"/>
    </row>
    <row r="4247" spans="5:14" ht="13.5" customHeight="1">
      <c r="E4247" s="209" t="s">
        <v>873</v>
      </c>
      <c r="F4247" s="209" t="s">
        <v>2854</v>
      </c>
      <c r="G4247" s="414" t="str">
        <f t="shared" si="66"/>
        <v>11-26</v>
      </c>
      <c r="H4247" s="273" t="e">
        <f ca="1">_xludf.IFNA(VLOOKUP(Aragon!E4247,'Kilter Holds'!$P$37:$AB$662,11,0),0)</f>
        <v>#NAME?</v>
      </c>
      <c r="I4247" s="274"/>
      <c r="J4247" s="274" t="e">
        <f t="shared" ca="1" si="67"/>
        <v>#NAME?</v>
      </c>
      <c r="K4247" s="274">
        <f t="shared" si="68"/>
        <v>0</v>
      </c>
      <c r="N4247" s="274"/>
    </row>
    <row r="4248" spans="5:14" ht="13.5" customHeight="1">
      <c r="E4248" s="209" t="s">
        <v>873</v>
      </c>
      <c r="F4248" s="209" t="s">
        <v>2854</v>
      </c>
      <c r="G4248" s="415" t="str">
        <f t="shared" si="66"/>
        <v>18-01</v>
      </c>
      <c r="H4248" s="273" t="e">
        <f ca="1">_xludf.IFNA(VLOOKUP(Aragon!E4248,'Kilter Holds'!$P$37:$AB$662,12,0),0)</f>
        <v>#NAME?</v>
      </c>
      <c r="I4248" s="274"/>
      <c r="J4248" s="274" t="e">
        <f t="shared" ca="1" si="67"/>
        <v>#NAME?</v>
      </c>
      <c r="K4248" s="274">
        <f t="shared" si="68"/>
        <v>0</v>
      </c>
      <c r="N4248" s="274"/>
    </row>
    <row r="4249" spans="5:14" ht="13.5" customHeight="1">
      <c r="E4249" s="209" t="s">
        <v>873</v>
      </c>
      <c r="F4249" s="209" t="s">
        <v>2854</v>
      </c>
      <c r="G4249" s="416" t="str">
        <f t="shared" si="66"/>
        <v>Color Code</v>
      </c>
      <c r="H4249" s="273" t="e">
        <f ca="1">_xludf.IFNA(VLOOKUP(Aragon!E4249,'Kilter Holds'!$P$37:$AB$662,13,0),0)</f>
        <v>#NAME?</v>
      </c>
      <c r="I4249" s="274"/>
      <c r="J4249" s="274" t="e">
        <f t="shared" ca="1" si="67"/>
        <v>#NAME?</v>
      </c>
      <c r="K4249" s="274">
        <f t="shared" si="68"/>
        <v>0</v>
      </c>
      <c r="N4249" s="274"/>
    </row>
    <row r="4250" spans="5:14" ht="13.5" customHeight="1">
      <c r="E4250" s="209" t="s">
        <v>859</v>
      </c>
      <c r="F4250" s="209" t="s">
        <v>2855</v>
      </c>
      <c r="G4250" s="406" t="str">
        <f t="shared" si="66"/>
        <v>11-12</v>
      </c>
      <c r="H4250" s="273" t="e">
        <f ca="1">_xludf.IFNA(VLOOKUP(Aragon!E4250,'Kilter Holds'!$P$37:$AB$662,5,0),0)</f>
        <v>#NAME?</v>
      </c>
      <c r="I4250" s="274"/>
      <c r="J4250" s="274" t="e">
        <f t="shared" ca="1" si="67"/>
        <v>#NAME?</v>
      </c>
      <c r="K4250" s="274">
        <f t="shared" si="68"/>
        <v>0</v>
      </c>
      <c r="N4250" s="274"/>
    </row>
    <row r="4251" spans="5:14" ht="13.5" customHeight="1">
      <c r="E4251" s="209" t="s">
        <v>859</v>
      </c>
      <c r="F4251" s="209" t="s">
        <v>2855</v>
      </c>
      <c r="G4251" s="408" t="str">
        <f t="shared" si="66"/>
        <v>14-01</v>
      </c>
      <c r="H4251" s="273" t="e">
        <f ca="1">_xludf.IFNA(VLOOKUP(Aragon!E4251,'Kilter Holds'!$P$37:$AB$662,6,0),0)</f>
        <v>#NAME?</v>
      </c>
      <c r="I4251" s="274"/>
      <c r="J4251" s="274" t="e">
        <f t="shared" ca="1" si="67"/>
        <v>#NAME?</v>
      </c>
      <c r="K4251" s="274">
        <f t="shared" si="68"/>
        <v>0</v>
      </c>
      <c r="N4251" s="274"/>
    </row>
    <row r="4252" spans="5:14" ht="13.5" customHeight="1">
      <c r="E4252" s="209" t="s">
        <v>859</v>
      </c>
      <c r="F4252" s="209" t="s">
        <v>2855</v>
      </c>
      <c r="G4252" s="409" t="str">
        <f t="shared" si="66"/>
        <v>15-12</v>
      </c>
      <c r="H4252" s="273" t="e">
        <f ca="1">_xludf.IFNA(VLOOKUP(Aragon!E4252,'Kilter Holds'!$P$37:$AB$662,7,0),0)</f>
        <v>#NAME?</v>
      </c>
      <c r="I4252" s="274"/>
      <c r="J4252" s="274" t="e">
        <f t="shared" ca="1" si="67"/>
        <v>#NAME?</v>
      </c>
      <c r="K4252" s="274">
        <f t="shared" si="68"/>
        <v>0</v>
      </c>
      <c r="N4252" s="274"/>
    </row>
    <row r="4253" spans="5:14" ht="13.5" customHeight="1">
      <c r="E4253" s="209" t="s">
        <v>859</v>
      </c>
      <c r="F4253" s="209" t="s">
        <v>2855</v>
      </c>
      <c r="G4253" s="410" t="str">
        <f t="shared" ref="G4253:G4276" si="69">G4244</f>
        <v>16-16</v>
      </c>
      <c r="H4253" s="273" t="e">
        <f ca="1">_xludf.IFNA(VLOOKUP(Aragon!E4253,'Kilter Holds'!$P$37:$AB$662,8,0),0)</f>
        <v>#NAME?</v>
      </c>
      <c r="I4253" s="274"/>
      <c r="J4253" s="274" t="e">
        <f t="shared" ca="1" si="67"/>
        <v>#NAME?</v>
      </c>
      <c r="K4253" s="274">
        <f t="shared" si="68"/>
        <v>0</v>
      </c>
      <c r="N4253" s="274"/>
    </row>
    <row r="4254" spans="5:14" ht="13.5" customHeight="1">
      <c r="E4254" s="209" t="s">
        <v>859</v>
      </c>
      <c r="F4254" s="209" t="s">
        <v>2855</v>
      </c>
      <c r="G4254" s="411" t="str">
        <f t="shared" si="69"/>
        <v>13-01</v>
      </c>
      <c r="H4254" s="273" t="e">
        <f ca="1">_xludf.IFNA(VLOOKUP(Aragon!E4254,'Kilter Holds'!$P$37:$AB$662,9,0),0)</f>
        <v>#NAME?</v>
      </c>
      <c r="I4254" s="274"/>
      <c r="J4254" s="274" t="e">
        <f t="shared" ca="1" si="67"/>
        <v>#NAME?</v>
      </c>
      <c r="K4254" s="274">
        <f t="shared" si="68"/>
        <v>0</v>
      </c>
      <c r="N4254" s="274"/>
    </row>
    <row r="4255" spans="5:14" ht="13.5" customHeight="1">
      <c r="E4255" s="209" t="s">
        <v>859</v>
      </c>
      <c r="F4255" s="209" t="s">
        <v>2855</v>
      </c>
      <c r="G4255" s="413" t="str">
        <f t="shared" si="69"/>
        <v>07-13</v>
      </c>
      <c r="H4255" s="273" t="e">
        <f ca="1">_xludf.IFNA(VLOOKUP(Aragon!E4255,'Kilter Holds'!$P$37:$AB$662,10,0),0)</f>
        <v>#NAME?</v>
      </c>
      <c r="I4255" s="274"/>
      <c r="J4255" s="274" t="e">
        <f t="shared" ca="1" si="67"/>
        <v>#NAME?</v>
      </c>
      <c r="K4255" s="274">
        <f t="shared" si="68"/>
        <v>0</v>
      </c>
      <c r="N4255" s="274"/>
    </row>
    <row r="4256" spans="5:14" ht="13.5" customHeight="1">
      <c r="E4256" s="209" t="s">
        <v>859</v>
      </c>
      <c r="F4256" s="209" t="s">
        <v>2855</v>
      </c>
      <c r="G4256" s="414" t="str">
        <f t="shared" si="69"/>
        <v>11-26</v>
      </c>
      <c r="H4256" s="273" t="e">
        <f ca="1">_xludf.IFNA(VLOOKUP(Aragon!E4256,'Kilter Holds'!$P$37:$AB$662,11,0),0)</f>
        <v>#NAME?</v>
      </c>
      <c r="I4256" s="274"/>
      <c r="J4256" s="274" t="e">
        <f t="shared" ca="1" si="67"/>
        <v>#NAME?</v>
      </c>
      <c r="K4256" s="274">
        <f t="shared" si="68"/>
        <v>0</v>
      </c>
      <c r="N4256" s="274"/>
    </row>
    <row r="4257" spans="5:14" ht="13.5" customHeight="1">
      <c r="E4257" s="209" t="s">
        <v>859</v>
      </c>
      <c r="F4257" s="209" t="s">
        <v>2855</v>
      </c>
      <c r="G4257" s="415" t="str">
        <f t="shared" si="69"/>
        <v>18-01</v>
      </c>
      <c r="H4257" s="273" t="e">
        <f ca="1">_xludf.IFNA(VLOOKUP(Aragon!E4257,'Kilter Holds'!$P$37:$AB$662,12,0),0)</f>
        <v>#NAME?</v>
      </c>
      <c r="I4257" s="274"/>
      <c r="J4257" s="274" t="e">
        <f t="shared" ca="1" si="67"/>
        <v>#NAME?</v>
      </c>
      <c r="K4257" s="274">
        <f t="shared" si="68"/>
        <v>0</v>
      </c>
      <c r="N4257" s="274"/>
    </row>
    <row r="4258" spans="5:14" ht="13.5" customHeight="1">
      <c r="E4258" s="209" t="s">
        <v>859</v>
      </c>
      <c r="F4258" s="209" t="s">
        <v>2855</v>
      </c>
      <c r="G4258" s="416" t="str">
        <f t="shared" si="69"/>
        <v>Color Code</v>
      </c>
      <c r="H4258" s="273" t="e">
        <f ca="1">_xludf.IFNA(VLOOKUP(Aragon!E4258,'Kilter Holds'!$P$37:$AB$662,13,0),0)</f>
        <v>#NAME?</v>
      </c>
      <c r="I4258" s="274"/>
      <c r="J4258" s="274" t="e">
        <f t="shared" ca="1" si="67"/>
        <v>#NAME?</v>
      </c>
      <c r="K4258" s="274">
        <f t="shared" si="68"/>
        <v>0</v>
      </c>
      <c r="N4258" s="274"/>
    </row>
    <row r="4259" spans="5:14" ht="13.5" customHeight="1">
      <c r="E4259" s="209" t="s">
        <v>861</v>
      </c>
      <c r="F4259" s="209" t="s">
        <v>2856</v>
      </c>
      <c r="G4259" s="406" t="str">
        <f t="shared" si="69"/>
        <v>11-12</v>
      </c>
      <c r="H4259" s="273" t="e">
        <f ca="1">_xludf.IFNA(VLOOKUP(Aragon!E4259,'Kilter Holds'!$P$37:$AB$662,5,0),0)</f>
        <v>#NAME?</v>
      </c>
      <c r="I4259" s="274"/>
      <c r="J4259" s="274" t="e">
        <f t="shared" ca="1" si="67"/>
        <v>#NAME?</v>
      </c>
      <c r="K4259" s="274">
        <f t="shared" si="68"/>
        <v>0</v>
      </c>
      <c r="N4259" s="274"/>
    </row>
    <row r="4260" spans="5:14" ht="13.5" customHeight="1">
      <c r="E4260" s="209" t="s">
        <v>861</v>
      </c>
      <c r="F4260" s="209" t="s">
        <v>2856</v>
      </c>
      <c r="G4260" s="408" t="str">
        <f t="shared" si="69"/>
        <v>14-01</v>
      </c>
      <c r="H4260" s="273" t="e">
        <f ca="1">_xludf.IFNA(VLOOKUP(Aragon!E4260,'Kilter Holds'!$P$37:$AB$662,6,0),0)</f>
        <v>#NAME?</v>
      </c>
      <c r="I4260" s="274"/>
      <c r="J4260" s="274" t="e">
        <f t="shared" ca="1" si="67"/>
        <v>#NAME?</v>
      </c>
      <c r="K4260" s="274">
        <f t="shared" si="68"/>
        <v>0</v>
      </c>
      <c r="N4260" s="274"/>
    </row>
    <row r="4261" spans="5:14" ht="13.5" customHeight="1">
      <c r="E4261" s="209" t="s">
        <v>861</v>
      </c>
      <c r="F4261" s="209" t="s">
        <v>2856</v>
      </c>
      <c r="G4261" s="409" t="str">
        <f t="shared" si="69"/>
        <v>15-12</v>
      </c>
      <c r="H4261" s="273" t="e">
        <f ca="1">_xludf.IFNA(VLOOKUP(Aragon!E4261,'Kilter Holds'!$P$37:$AB$662,7,0),0)</f>
        <v>#NAME?</v>
      </c>
      <c r="I4261" s="274"/>
      <c r="J4261" s="274" t="e">
        <f t="shared" ca="1" si="67"/>
        <v>#NAME?</v>
      </c>
      <c r="K4261" s="274">
        <f t="shared" si="68"/>
        <v>0</v>
      </c>
      <c r="N4261" s="274"/>
    </row>
    <row r="4262" spans="5:14" ht="13.5" customHeight="1">
      <c r="E4262" s="209" t="s">
        <v>861</v>
      </c>
      <c r="F4262" s="209" t="s">
        <v>2856</v>
      </c>
      <c r="G4262" s="410" t="str">
        <f t="shared" si="69"/>
        <v>16-16</v>
      </c>
      <c r="H4262" s="273" t="e">
        <f ca="1">_xludf.IFNA(VLOOKUP(Aragon!E4262,'Kilter Holds'!$P$37:$AB$662,8,0),0)</f>
        <v>#NAME?</v>
      </c>
      <c r="I4262" s="274"/>
      <c r="J4262" s="274" t="e">
        <f t="shared" ca="1" si="67"/>
        <v>#NAME?</v>
      </c>
      <c r="K4262" s="274">
        <f t="shared" si="68"/>
        <v>0</v>
      </c>
      <c r="N4262" s="274"/>
    </row>
    <row r="4263" spans="5:14" ht="13.5" customHeight="1">
      <c r="E4263" s="209" t="s">
        <v>861</v>
      </c>
      <c r="F4263" s="209" t="s">
        <v>2856</v>
      </c>
      <c r="G4263" s="411" t="str">
        <f t="shared" si="69"/>
        <v>13-01</v>
      </c>
      <c r="H4263" s="273" t="e">
        <f ca="1">_xludf.IFNA(VLOOKUP(Aragon!E4263,'Kilter Holds'!$P$37:$AB$662,9,0),0)</f>
        <v>#NAME?</v>
      </c>
      <c r="I4263" s="274"/>
      <c r="J4263" s="274" t="e">
        <f t="shared" ca="1" si="67"/>
        <v>#NAME?</v>
      </c>
      <c r="K4263" s="274">
        <f t="shared" si="68"/>
        <v>0</v>
      </c>
      <c r="N4263" s="274"/>
    </row>
    <row r="4264" spans="5:14" ht="13.5" customHeight="1">
      <c r="E4264" s="209" t="s">
        <v>861</v>
      </c>
      <c r="F4264" s="209" t="s">
        <v>2856</v>
      </c>
      <c r="G4264" s="413" t="str">
        <f t="shared" si="69"/>
        <v>07-13</v>
      </c>
      <c r="H4264" s="273" t="e">
        <f ca="1">_xludf.IFNA(VLOOKUP(Aragon!E4264,'Kilter Holds'!$P$37:$AB$662,10,0),0)</f>
        <v>#NAME?</v>
      </c>
      <c r="I4264" s="274"/>
      <c r="J4264" s="274" t="e">
        <f t="shared" ca="1" si="67"/>
        <v>#NAME?</v>
      </c>
      <c r="K4264" s="274">
        <f t="shared" si="68"/>
        <v>0</v>
      </c>
      <c r="N4264" s="274"/>
    </row>
    <row r="4265" spans="5:14" ht="13.5" customHeight="1">
      <c r="E4265" s="209" t="s">
        <v>861</v>
      </c>
      <c r="F4265" s="209" t="s">
        <v>2856</v>
      </c>
      <c r="G4265" s="414" t="str">
        <f t="shared" si="69"/>
        <v>11-26</v>
      </c>
      <c r="H4265" s="273" t="e">
        <f ca="1">_xludf.IFNA(VLOOKUP(Aragon!E4265,'Kilter Holds'!$P$37:$AB$662,11,0),0)</f>
        <v>#NAME?</v>
      </c>
      <c r="I4265" s="274"/>
      <c r="J4265" s="274" t="e">
        <f t="shared" ca="1" si="67"/>
        <v>#NAME?</v>
      </c>
      <c r="K4265" s="274">
        <f t="shared" si="68"/>
        <v>0</v>
      </c>
      <c r="N4265" s="274"/>
    </row>
    <row r="4266" spans="5:14" ht="13.5" customHeight="1">
      <c r="E4266" s="209" t="s">
        <v>861</v>
      </c>
      <c r="F4266" s="209" t="s">
        <v>2856</v>
      </c>
      <c r="G4266" s="415" t="str">
        <f t="shared" si="69"/>
        <v>18-01</v>
      </c>
      <c r="H4266" s="273" t="e">
        <f ca="1">_xludf.IFNA(VLOOKUP(Aragon!E4266,'Kilter Holds'!$P$37:$AB$662,12,0),0)</f>
        <v>#NAME?</v>
      </c>
      <c r="I4266" s="274"/>
      <c r="J4266" s="274" t="e">
        <f t="shared" ca="1" si="67"/>
        <v>#NAME?</v>
      </c>
      <c r="K4266" s="274">
        <f t="shared" si="68"/>
        <v>0</v>
      </c>
      <c r="N4266" s="274"/>
    </row>
    <row r="4267" spans="5:14" ht="13.5" customHeight="1">
      <c r="E4267" s="209" t="s">
        <v>861</v>
      </c>
      <c r="F4267" s="209" t="s">
        <v>2856</v>
      </c>
      <c r="G4267" s="416" t="str">
        <f t="shared" si="69"/>
        <v>Color Code</v>
      </c>
      <c r="H4267" s="273" t="e">
        <f ca="1">_xludf.IFNA(VLOOKUP(Aragon!E4267,'Kilter Holds'!$P$37:$AB$662,13,0),0)</f>
        <v>#NAME?</v>
      </c>
      <c r="I4267" s="274"/>
      <c r="J4267" s="274" t="e">
        <f t="shared" ca="1" si="67"/>
        <v>#NAME?</v>
      </c>
      <c r="K4267" s="274">
        <f t="shared" si="68"/>
        <v>0</v>
      </c>
      <c r="N4267" s="274"/>
    </row>
    <row r="4268" spans="5:14" ht="13.5" customHeight="1">
      <c r="E4268" s="209" t="s">
        <v>863</v>
      </c>
      <c r="F4268" s="209" t="s">
        <v>2857</v>
      </c>
      <c r="G4268" s="406" t="str">
        <f t="shared" si="69"/>
        <v>11-12</v>
      </c>
      <c r="H4268" s="273" t="e">
        <f ca="1">_xludf.IFNA(VLOOKUP(Aragon!E4268,'Kilter Holds'!$P$37:$AB$662,5,0),0)</f>
        <v>#NAME?</v>
      </c>
      <c r="I4268" s="274"/>
      <c r="J4268" s="274" t="e">
        <f t="shared" ca="1" si="67"/>
        <v>#NAME?</v>
      </c>
      <c r="K4268" s="274">
        <f t="shared" si="68"/>
        <v>0</v>
      </c>
      <c r="N4268" s="274"/>
    </row>
    <row r="4269" spans="5:14" ht="13.5" customHeight="1">
      <c r="E4269" s="209" t="s">
        <v>863</v>
      </c>
      <c r="F4269" s="209" t="s">
        <v>2857</v>
      </c>
      <c r="G4269" s="408" t="str">
        <f t="shared" si="69"/>
        <v>14-01</v>
      </c>
      <c r="H4269" s="273" t="e">
        <f ca="1">_xludf.IFNA(VLOOKUP(Aragon!E4269,'Kilter Holds'!$P$37:$AB$662,6,0),0)</f>
        <v>#NAME?</v>
      </c>
      <c r="I4269" s="274"/>
      <c r="J4269" s="274" t="e">
        <f t="shared" ca="1" si="67"/>
        <v>#NAME?</v>
      </c>
      <c r="K4269" s="274">
        <f t="shared" si="68"/>
        <v>0</v>
      </c>
      <c r="N4269" s="274"/>
    </row>
    <row r="4270" spans="5:14" ht="13.5" customHeight="1">
      <c r="E4270" s="209" t="s">
        <v>863</v>
      </c>
      <c r="F4270" s="209" t="s">
        <v>2857</v>
      </c>
      <c r="G4270" s="409" t="str">
        <f t="shared" si="69"/>
        <v>15-12</v>
      </c>
      <c r="H4270" s="273" t="e">
        <f ca="1">_xludf.IFNA(VLOOKUP(Aragon!E4270,'Kilter Holds'!$P$37:$AB$662,7,0),0)</f>
        <v>#NAME?</v>
      </c>
      <c r="I4270" s="274"/>
      <c r="J4270" s="274" t="e">
        <f t="shared" ca="1" si="67"/>
        <v>#NAME?</v>
      </c>
      <c r="K4270" s="274">
        <f t="shared" si="68"/>
        <v>0</v>
      </c>
      <c r="N4270" s="274"/>
    </row>
    <row r="4271" spans="5:14" ht="13.5" customHeight="1">
      <c r="E4271" s="209" t="s">
        <v>863</v>
      </c>
      <c r="F4271" s="209" t="s">
        <v>2857</v>
      </c>
      <c r="G4271" s="410" t="str">
        <f t="shared" si="69"/>
        <v>16-16</v>
      </c>
      <c r="H4271" s="273" t="e">
        <f ca="1">_xludf.IFNA(VLOOKUP(Aragon!E4271,'Kilter Holds'!$P$37:$AB$662,8,0),0)</f>
        <v>#NAME?</v>
      </c>
      <c r="I4271" s="274"/>
      <c r="J4271" s="274" t="e">
        <f t="shared" ca="1" si="67"/>
        <v>#NAME?</v>
      </c>
      <c r="K4271" s="274">
        <f t="shared" si="68"/>
        <v>0</v>
      </c>
      <c r="N4271" s="274"/>
    </row>
    <row r="4272" spans="5:14" ht="13.5" customHeight="1">
      <c r="E4272" s="209" t="s">
        <v>863</v>
      </c>
      <c r="F4272" s="209" t="s">
        <v>2857</v>
      </c>
      <c r="G4272" s="411" t="str">
        <f t="shared" si="69"/>
        <v>13-01</v>
      </c>
      <c r="H4272" s="273" t="e">
        <f ca="1">_xludf.IFNA(VLOOKUP(Aragon!E4272,'Kilter Holds'!$P$37:$AB$662,9,0),0)</f>
        <v>#NAME?</v>
      </c>
      <c r="I4272" s="274"/>
      <c r="J4272" s="274" t="e">
        <f t="shared" ca="1" si="67"/>
        <v>#NAME?</v>
      </c>
      <c r="K4272" s="274">
        <f t="shared" si="68"/>
        <v>0</v>
      </c>
      <c r="N4272" s="274"/>
    </row>
    <row r="4273" spans="5:14" ht="13.5" customHeight="1">
      <c r="E4273" s="209" t="s">
        <v>863</v>
      </c>
      <c r="F4273" s="209" t="s">
        <v>2857</v>
      </c>
      <c r="G4273" s="413" t="str">
        <f t="shared" si="69"/>
        <v>07-13</v>
      </c>
      <c r="H4273" s="273" t="e">
        <f ca="1">_xludf.IFNA(VLOOKUP(Aragon!E4273,'Kilter Holds'!$P$37:$AB$662,10,0),0)</f>
        <v>#NAME?</v>
      </c>
      <c r="I4273" s="274"/>
      <c r="J4273" s="274" t="e">
        <f t="shared" ca="1" si="67"/>
        <v>#NAME?</v>
      </c>
      <c r="K4273" s="274">
        <f t="shared" si="68"/>
        <v>0</v>
      </c>
      <c r="N4273" s="274"/>
    </row>
    <row r="4274" spans="5:14" ht="13.5" customHeight="1">
      <c r="E4274" s="209" t="s">
        <v>863</v>
      </c>
      <c r="F4274" s="209" t="s">
        <v>2857</v>
      </c>
      <c r="G4274" s="414" t="str">
        <f t="shared" si="69"/>
        <v>11-26</v>
      </c>
      <c r="H4274" s="273" t="e">
        <f ca="1">_xludf.IFNA(VLOOKUP(Aragon!E4274,'Kilter Holds'!$P$37:$AB$662,11,0),0)</f>
        <v>#NAME?</v>
      </c>
      <c r="I4274" s="274"/>
      <c r="J4274" s="274" t="e">
        <f t="shared" ca="1" si="67"/>
        <v>#NAME?</v>
      </c>
      <c r="K4274" s="274">
        <f t="shared" si="68"/>
        <v>0</v>
      </c>
      <c r="N4274" s="274"/>
    </row>
    <row r="4275" spans="5:14" ht="13.5" customHeight="1">
      <c r="E4275" s="209" t="s">
        <v>863</v>
      </c>
      <c r="F4275" s="209" t="s">
        <v>2857</v>
      </c>
      <c r="G4275" s="415" t="str">
        <f t="shared" si="69"/>
        <v>18-01</v>
      </c>
      <c r="H4275" s="273" t="e">
        <f ca="1">_xludf.IFNA(VLOOKUP(Aragon!E4275,'Kilter Holds'!$P$37:$AB$662,12,0),0)</f>
        <v>#NAME?</v>
      </c>
      <c r="I4275" s="274"/>
      <c r="J4275" s="274" t="e">
        <f t="shared" ca="1" si="67"/>
        <v>#NAME?</v>
      </c>
      <c r="K4275" s="274">
        <f t="shared" si="68"/>
        <v>0</v>
      </c>
      <c r="N4275" s="274"/>
    </row>
    <row r="4276" spans="5:14" ht="13.5" customHeight="1">
      <c r="E4276" s="209" t="s">
        <v>863</v>
      </c>
      <c r="F4276" s="209" t="s">
        <v>2857</v>
      </c>
      <c r="G4276" s="416" t="str">
        <f t="shared" si="69"/>
        <v>Color Code</v>
      </c>
      <c r="H4276" s="273" t="e">
        <f ca="1">_xludf.IFNA(VLOOKUP(Aragon!E4276,'Kilter Holds'!$P$37:$AB$662,13,0),0)</f>
        <v>#NAME?</v>
      </c>
      <c r="I4276" s="274"/>
      <c r="J4276" s="274" t="e">
        <f t="shared" ca="1" si="67"/>
        <v>#NAME?</v>
      </c>
      <c r="K4276" s="274">
        <f t="shared" si="68"/>
        <v>0</v>
      </c>
      <c r="N4276" s="274"/>
    </row>
    <row r="4277" spans="5:14" ht="13.5" customHeight="1">
      <c r="E4277" s="209" t="s">
        <v>624</v>
      </c>
      <c r="F4277" s="209" t="s">
        <v>2858</v>
      </c>
      <c r="G4277" s="406" t="str">
        <f t="shared" ref="G4277:G4285" si="70">G4259</f>
        <v>11-12</v>
      </c>
      <c r="H4277" s="273" t="e">
        <f ca="1">_xludf.IFNA(VLOOKUP(Aragon!E4277,'Kilter Holds'!$P$37:$AB$662,5,0),0)</f>
        <v>#NAME?</v>
      </c>
      <c r="I4277" s="274"/>
      <c r="J4277" s="274" t="e">
        <f t="shared" ca="1" si="67"/>
        <v>#NAME?</v>
      </c>
      <c r="K4277" s="274">
        <f t="shared" si="68"/>
        <v>0</v>
      </c>
      <c r="N4277" s="274"/>
    </row>
    <row r="4278" spans="5:14" ht="13.5" customHeight="1">
      <c r="E4278" s="209" t="s">
        <v>624</v>
      </c>
      <c r="F4278" s="209" t="s">
        <v>2858</v>
      </c>
      <c r="G4278" s="408" t="str">
        <f t="shared" si="70"/>
        <v>14-01</v>
      </c>
      <c r="H4278" s="273" t="e">
        <f ca="1">_xludf.IFNA(VLOOKUP(Aragon!E4278,'Kilter Holds'!$P$37:$AB$662,6,0),0)</f>
        <v>#NAME?</v>
      </c>
      <c r="I4278" s="274"/>
      <c r="J4278" s="274" t="e">
        <f t="shared" ca="1" si="67"/>
        <v>#NAME?</v>
      </c>
      <c r="K4278" s="274">
        <f t="shared" si="68"/>
        <v>0</v>
      </c>
      <c r="N4278" s="274"/>
    </row>
    <row r="4279" spans="5:14" ht="13.5" customHeight="1">
      <c r="E4279" s="209" t="s">
        <v>624</v>
      </c>
      <c r="F4279" s="209" t="s">
        <v>2858</v>
      </c>
      <c r="G4279" s="409" t="str">
        <f t="shared" si="70"/>
        <v>15-12</v>
      </c>
      <c r="H4279" s="273" t="e">
        <f ca="1">_xludf.IFNA(VLOOKUP(Aragon!E4279,'Kilter Holds'!$P$37:$AB$662,7,0),0)</f>
        <v>#NAME?</v>
      </c>
      <c r="I4279" s="274"/>
      <c r="J4279" s="274" t="e">
        <f t="shared" ca="1" si="67"/>
        <v>#NAME?</v>
      </c>
      <c r="K4279" s="274">
        <f t="shared" si="68"/>
        <v>0</v>
      </c>
      <c r="N4279" s="274"/>
    </row>
    <row r="4280" spans="5:14" ht="13.5" customHeight="1">
      <c r="E4280" s="209" t="s">
        <v>624</v>
      </c>
      <c r="F4280" s="209" t="s">
        <v>2858</v>
      </c>
      <c r="G4280" s="410" t="str">
        <f t="shared" si="70"/>
        <v>16-16</v>
      </c>
      <c r="H4280" s="273" t="e">
        <f ca="1">_xludf.IFNA(VLOOKUP(Aragon!E4280,'Kilter Holds'!$P$37:$AB$662,8,0),0)</f>
        <v>#NAME?</v>
      </c>
      <c r="I4280" s="274"/>
      <c r="J4280" s="274" t="e">
        <f t="shared" ca="1" si="67"/>
        <v>#NAME?</v>
      </c>
      <c r="K4280" s="274">
        <f t="shared" si="68"/>
        <v>0</v>
      </c>
      <c r="N4280" s="274"/>
    </row>
    <row r="4281" spans="5:14" ht="13.5" customHeight="1">
      <c r="E4281" s="209" t="s">
        <v>624</v>
      </c>
      <c r="F4281" s="209" t="s">
        <v>2858</v>
      </c>
      <c r="G4281" s="411" t="str">
        <f t="shared" si="70"/>
        <v>13-01</v>
      </c>
      <c r="H4281" s="273" t="e">
        <f ca="1">_xludf.IFNA(VLOOKUP(Aragon!E4281,'Kilter Holds'!$P$37:$AB$662,9,0),0)</f>
        <v>#NAME?</v>
      </c>
      <c r="I4281" s="274"/>
      <c r="J4281" s="274" t="e">
        <f t="shared" ca="1" si="67"/>
        <v>#NAME?</v>
      </c>
      <c r="K4281" s="274">
        <f t="shared" si="68"/>
        <v>0</v>
      </c>
      <c r="N4281" s="274"/>
    </row>
    <row r="4282" spans="5:14" ht="13.5" customHeight="1">
      <c r="E4282" s="209" t="s">
        <v>624</v>
      </c>
      <c r="F4282" s="209" t="s">
        <v>2858</v>
      </c>
      <c r="G4282" s="413" t="str">
        <f t="shared" si="70"/>
        <v>07-13</v>
      </c>
      <c r="H4282" s="273" t="e">
        <f ca="1">_xludf.IFNA(VLOOKUP(Aragon!E4282,'Kilter Holds'!$P$37:$AB$662,10,0),0)</f>
        <v>#NAME?</v>
      </c>
      <c r="I4282" s="274"/>
      <c r="J4282" s="274" t="e">
        <f t="shared" ca="1" si="67"/>
        <v>#NAME?</v>
      </c>
      <c r="K4282" s="274">
        <f t="shared" si="68"/>
        <v>0</v>
      </c>
      <c r="N4282" s="274"/>
    </row>
    <row r="4283" spans="5:14" ht="13.5" customHeight="1">
      <c r="E4283" s="209" t="s">
        <v>624</v>
      </c>
      <c r="F4283" s="209" t="s">
        <v>2858</v>
      </c>
      <c r="G4283" s="414" t="str">
        <f t="shared" si="70"/>
        <v>11-26</v>
      </c>
      <c r="H4283" s="273" t="e">
        <f ca="1">_xludf.IFNA(VLOOKUP(Aragon!E4283,'Kilter Holds'!$P$37:$AB$662,11,0),0)</f>
        <v>#NAME?</v>
      </c>
      <c r="I4283" s="274"/>
      <c r="J4283" s="274" t="e">
        <f t="shared" ca="1" si="67"/>
        <v>#NAME?</v>
      </c>
      <c r="K4283" s="274">
        <f t="shared" si="68"/>
        <v>0</v>
      </c>
      <c r="N4283" s="274"/>
    </row>
    <row r="4284" spans="5:14" ht="13.5" customHeight="1">
      <c r="E4284" s="209" t="s">
        <v>624</v>
      </c>
      <c r="F4284" s="209" t="s">
        <v>2858</v>
      </c>
      <c r="G4284" s="415" t="str">
        <f t="shared" si="70"/>
        <v>18-01</v>
      </c>
      <c r="H4284" s="273" t="e">
        <f ca="1">_xludf.IFNA(VLOOKUP(Aragon!E4284,'Kilter Holds'!$P$37:$AB$662,12,0),0)</f>
        <v>#NAME?</v>
      </c>
      <c r="I4284" s="274"/>
      <c r="J4284" s="274" t="e">
        <f t="shared" ca="1" si="67"/>
        <v>#NAME?</v>
      </c>
      <c r="K4284" s="274">
        <f t="shared" si="68"/>
        <v>0</v>
      </c>
      <c r="N4284" s="274"/>
    </row>
    <row r="4285" spans="5:14" ht="13.5" customHeight="1">
      <c r="E4285" s="209" t="s">
        <v>624</v>
      </c>
      <c r="F4285" s="209" t="s">
        <v>2858</v>
      </c>
      <c r="G4285" s="416" t="str">
        <f t="shared" si="70"/>
        <v>Color Code</v>
      </c>
      <c r="H4285" s="273" t="e">
        <f ca="1">_xludf.IFNA(VLOOKUP(Aragon!E4285,'Kilter Holds'!$P$37:$AB$662,13,0),0)</f>
        <v>#NAME?</v>
      </c>
      <c r="I4285" s="274"/>
      <c r="J4285" s="274" t="e">
        <f t="shared" ca="1" si="67"/>
        <v>#NAME?</v>
      </c>
      <c r="K4285" s="274">
        <f t="shared" si="68"/>
        <v>0</v>
      </c>
      <c r="N4285" s="274"/>
    </row>
    <row r="4286" spans="5:14" ht="13.5" customHeight="1">
      <c r="E4286" s="209" t="s">
        <v>628</v>
      </c>
      <c r="F4286" s="209" t="s">
        <v>2859</v>
      </c>
      <c r="G4286" s="406" t="str">
        <f t="shared" ref="G4286:G4357" si="71">G4205</f>
        <v>11-12</v>
      </c>
      <c r="H4286" s="273" t="e">
        <f ca="1">_xludf.IFNA(VLOOKUP(Aragon!E4286,'Kilter Holds'!$P$37:$AB$662,5,0),0)</f>
        <v>#NAME?</v>
      </c>
      <c r="I4286" s="274"/>
      <c r="J4286" s="274" t="e">
        <f t="shared" ca="1" si="67"/>
        <v>#NAME?</v>
      </c>
      <c r="K4286" s="274">
        <f t="shared" si="68"/>
        <v>0</v>
      </c>
      <c r="N4286" s="274"/>
    </row>
    <row r="4287" spans="5:14" ht="13.5" customHeight="1">
      <c r="E4287" s="209" t="s">
        <v>628</v>
      </c>
      <c r="F4287" s="209" t="s">
        <v>2859</v>
      </c>
      <c r="G4287" s="408" t="str">
        <f t="shared" si="71"/>
        <v>14-01</v>
      </c>
      <c r="H4287" s="273" t="e">
        <f ca="1">_xludf.IFNA(VLOOKUP(Aragon!E4287,'Kilter Holds'!$P$37:$AB$662,6,0),0)</f>
        <v>#NAME?</v>
      </c>
      <c r="I4287" s="274"/>
      <c r="J4287" s="274" t="e">
        <f t="shared" ca="1" si="67"/>
        <v>#NAME?</v>
      </c>
      <c r="K4287" s="274">
        <f t="shared" si="68"/>
        <v>0</v>
      </c>
      <c r="N4287" s="274"/>
    </row>
    <row r="4288" spans="5:14" ht="13.5" customHeight="1">
      <c r="E4288" s="209" t="s">
        <v>628</v>
      </c>
      <c r="F4288" s="209" t="s">
        <v>2859</v>
      </c>
      <c r="G4288" s="409" t="str">
        <f t="shared" si="71"/>
        <v>15-12</v>
      </c>
      <c r="H4288" s="273" t="e">
        <f ca="1">_xludf.IFNA(VLOOKUP(Aragon!E4288,'Kilter Holds'!$P$37:$AB$662,7,0),0)</f>
        <v>#NAME?</v>
      </c>
      <c r="I4288" s="274"/>
      <c r="J4288" s="274" t="e">
        <f t="shared" ca="1" si="67"/>
        <v>#NAME?</v>
      </c>
      <c r="K4288" s="274">
        <f t="shared" si="68"/>
        <v>0</v>
      </c>
      <c r="N4288" s="274"/>
    </row>
    <row r="4289" spans="5:14" ht="13.5" customHeight="1">
      <c r="E4289" s="209" t="s">
        <v>628</v>
      </c>
      <c r="F4289" s="209" t="s">
        <v>2859</v>
      </c>
      <c r="G4289" s="410" t="str">
        <f t="shared" si="71"/>
        <v>16-16</v>
      </c>
      <c r="H4289" s="273" t="e">
        <f ca="1">_xludf.IFNA(VLOOKUP(Aragon!E4289,'Kilter Holds'!$P$37:$AB$662,8,0),0)</f>
        <v>#NAME?</v>
      </c>
      <c r="I4289" s="274"/>
      <c r="J4289" s="274" t="e">
        <f t="shared" ca="1" si="67"/>
        <v>#NAME?</v>
      </c>
      <c r="K4289" s="274">
        <f t="shared" si="68"/>
        <v>0</v>
      </c>
      <c r="N4289" s="274"/>
    </row>
    <row r="4290" spans="5:14" ht="13.5" customHeight="1">
      <c r="E4290" s="209" t="s">
        <v>628</v>
      </c>
      <c r="F4290" s="209" t="s">
        <v>2859</v>
      </c>
      <c r="G4290" s="411" t="str">
        <f t="shared" si="71"/>
        <v>13-01</v>
      </c>
      <c r="H4290" s="273" t="e">
        <f ca="1">_xludf.IFNA(VLOOKUP(Aragon!E4290,'Kilter Holds'!$P$37:$AB$662,9,0),0)</f>
        <v>#NAME?</v>
      </c>
      <c r="I4290" s="274"/>
      <c r="J4290" s="274" t="e">
        <f t="shared" ca="1" si="67"/>
        <v>#NAME?</v>
      </c>
      <c r="K4290" s="274">
        <f t="shared" si="68"/>
        <v>0</v>
      </c>
      <c r="N4290" s="274"/>
    </row>
    <row r="4291" spans="5:14" ht="13.5" customHeight="1">
      <c r="E4291" s="209" t="s">
        <v>628</v>
      </c>
      <c r="F4291" s="209" t="s">
        <v>2859</v>
      </c>
      <c r="G4291" s="413" t="str">
        <f t="shared" si="71"/>
        <v>07-13</v>
      </c>
      <c r="H4291" s="273" t="e">
        <f ca="1">_xludf.IFNA(VLOOKUP(Aragon!E4291,'Kilter Holds'!$P$37:$AB$662,10,0),0)</f>
        <v>#NAME?</v>
      </c>
      <c r="I4291" s="274"/>
      <c r="J4291" s="274" t="e">
        <f t="shared" ca="1" si="67"/>
        <v>#NAME?</v>
      </c>
      <c r="K4291" s="274">
        <f t="shared" si="68"/>
        <v>0</v>
      </c>
      <c r="N4291" s="274"/>
    </row>
    <row r="4292" spans="5:14" ht="13.5" customHeight="1">
      <c r="E4292" s="209" t="s">
        <v>628</v>
      </c>
      <c r="F4292" s="209" t="s">
        <v>2859</v>
      </c>
      <c r="G4292" s="414" t="str">
        <f t="shared" si="71"/>
        <v>11-26</v>
      </c>
      <c r="H4292" s="273" t="e">
        <f ca="1">_xludf.IFNA(VLOOKUP(Aragon!E4292,'Kilter Holds'!$P$37:$AB$662,11,0),0)</f>
        <v>#NAME?</v>
      </c>
      <c r="I4292" s="274"/>
      <c r="J4292" s="274" t="e">
        <f t="shared" ca="1" si="67"/>
        <v>#NAME?</v>
      </c>
      <c r="K4292" s="274">
        <f t="shared" si="68"/>
        <v>0</v>
      </c>
      <c r="N4292" s="274"/>
    </row>
    <row r="4293" spans="5:14" ht="13.5" customHeight="1">
      <c r="E4293" s="209" t="s">
        <v>628</v>
      </c>
      <c r="F4293" s="209" t="s">
        <v>2859</v>
      </c>
      <c r="G4293" s="415" t="str">
        <f t="shared" si="71"/>
        <v>18-01</v>
      </c>
      <c r="H4293" s="273" t="e">
        <f ca="1">_xludf.IFNA(VLOOKUP(Aragon!E4293,'Kilter Holds'!$P$37:$AB$662,12,0),0)</f>
        <v>#NAME?</v>
      </c>
      <c r="I4293" s="274"/>
      <c r="J4293" s="274" t="e">
        <f t="shared" ca="1" si="67"/>
        <v>#NAME?</v>
      </c>
      <c r="K4293" s="274">
        <f t="shared" si="68"/>
        <v>0</v>
      </c>
      <c r="N4293" s="274"/>
    </row>
    <row r="4294" spans="5:14" ht="13.5" customHeight="1">
      <c r="E4294" s="209" t="s">
        <v>628</v>
      </c>
      <c r="F4294" s="209" t="s">
        <v>2859</v>
      </c>
      <c r="G4294" s="416" t="str">
        <f t="shared" si="71"/>
        <v>Color Code</v>
      </c>
      <c r="H4294" s="273" t="e">
        <f ca="1">_xludf.IFNA(VLOOKUP(Aragon!E4294,'Kilter Holds'!$P$37:$AB$662,13,0),0)</f>
        <v>#NAME?</v>
      </c>
      <c r="I4294" s="274"/>
      <c r="J4294" s="274" t="e">
        <f t="shared" ca="1" si="67"/>
        <v>#NAME?</v>
      </c>
      <c r="K4294" s="274">
        <f t="shared" si="68"/>
        <v>0</v>
      </c>
      <c r="N4294" s="274"/>
    </row>
    <row r="4295" spans="5:14" ht="13.5" customHeight="1">
      <c r="E4295" s="209" t="s">
        <v>865</v>
      </c>
      <c r="F4295" s="209" t="s">
        <v>2860</v>
      </c>
      <c r="G4295" s="406" t="str">
        <f t="shared" si="71"/>
        <v>11-12</v>
      </c>
      <c r="H4295" s="273" t="e">
        <f ca="1">_xludf.IFNA(VLOOKUP(Aragon!E4295,'Kilter Holds'!$P$37:$AB$662,5,0),0)</f>
        <v>#NAME?</v>
      </c>
      <c r="I4295" s="274"/>
      <c r="J4295" s="274" t="e">
        <f t="shared" ca="1" si="67"/>
        <v>#NAME?</v>
      </c>
      <c r="K4295" s="274">
        <f t="shared" si="68"/>
        <v>0</v>
      </c>
      <c r="N4295" s="274"/>
    </row>
    <row r="4296" spans="5:14" ht="13.5" customHeight="1">
      <c r="E4296" s="209" t="s">
        <v>865</v>
      </c>
      <c r="F4296" s="209" t="s">
        <v>2860</v>
      </c>
      <c r="G4296" s="408" t="str">
        <f t="shared" si="71"/>
        <v>14-01</v>
      </c>
      <c r="H4296" s="273" t="e">
        <f ca="1">_xludf.IFNA(VLOOKUP(Aragon!E4296,'Kilter Holds'!$P$37:$AB$662,6,0),0)</f>
        <v>#NAME?</v>
      </c>
      <c r="I4296" s="274"/>
      <c r="J4296" s="274" t="e">
        <f t="shared" ca="1" si="67"/>
        <v>#NAME?</v>
      </c>
      <c r="K4296" s="274">
        <f t="shared" si="68"/>
        <v>0</v>
      </c>
      <c r="N4296" s="274"/>
    </row>
    <row r="4297" spans="5:14" ht="13.5" customHeight="1">
      <c r="E4297" s="209" t="s">
        <v>865</v>
      </c>
      <c r="F4297" s="209" t="s">
        <v>2860</v>
      </c>
      <c r="G4297" s="409" t="str">
        <f t="shared" si="71"/>
        <v>15-12</v>
      </c>
      <c r="H4297" s="273" t="e">
        <f ca="1">_xludf.IFNA(VLOOKUP(Aragon!E4297,'Kilter Holds'!$P$37:$AB$662,7,0),0)</f>
        <v>#NAME?</v>
      </c>
      <c r="I4297" s="274"/>
      <c r="J4297" s="274" t="e">
        <f t="shared" ca="1" si="67"/>
        <v>#NAME?</v>
      </c>
      <c r="K4297" s="274">
        <f t="shared" si="68"/>
        <v>0</v>
      </c>
      <c r="N4297" s="274"/>
    </row>
    <row r="4298" spans="5:14" ht="13.5" customHeight="1">
      <c r="E4298" s="209" t="s">
        <v>865</v>
      </c>
      <c r="F4298" s="209" t="s">
        <v>2860</v>
      </c>
      <c r="G4298" s="410" t="str">
        <f t="shared" si="71"/>
        <v>16-16</v>
      </c>
      <c r="H4298" s="273" t="e">
        <f ca="1">_xludf.IFNA(VLOOKUP(Aragon!E4298,'Kilter Holds'!$P$37:$AB$662,8,0),0)</f>
        <v>#NAME?</v>
      </c>
      <c r="I4298" s="274"/>
      <c r="J4298" s="274" t="e">
        <f t="shared" ca="1" si="67"/>
        <v>#NAME?</v>
      </c>
      <c r="K4298" s="274">
        <f t="shared" si="68"/>
        <v>0</v>
      </c>
      <c r="N4298" s="274"/>
    </row>
    <row r="4299" spans="5:14" ht="13.5" customHeight="1">
      <c r="E4299" s="209" t="s">
        <v>865</v>
      </c>
      <c r="F4299" s="209" t="s">
        <v>2860</v>
      </c>
      <c r="G4299" s="411" t="str">
        <f t="shared" si="71"/>
        <v>13-01</v>
      </c>
      <c r="H4299" s="273" t="e">
        <f ca="1">_xludf.IFNA(VLOOKUP(Aragon!E4299,'Kilter Holds'!$P$37:$AB$662,9,0),0)</f>
        <v>#NAME?</v>
      </c>
      <c r="I4299" s="274"/>
      <c r="J4299" s="274" t="e">
        <f t="shared" ca="1" si="67"/>
        <v>#NAME?</v>
      </c>
      <c r="K4299" s="274">
        <f t="shared" si="68"/>
        <v>0</v>
      </c>
      <c r="N4299" s="274"/>
    </row>
    <row r="4300" spans="5:14" ht="13.5" customHeight="1">
      <c r="E4300" s="209" t="s">
        <v>865</v>
      </c>
      <c r="F4300" s="209" t="s">
        <v>2860</v>
      </c>
      <c r="G4300" s="413" t="str">
        <f t="shared" si="71"/>
        <v>07-13</v>
      </c>
      <c r="H4300" s="273" t="e">
        <f ca="1">_xludf.IFNA(VLOOKUP(Aragon!E4300,'Kilter Holds'!$P$37:$AB$662,10,0),0)</f>
        <v>#NAME?</v>
      </c>
      <c r="I4300" s="274"/>
      <c r="J4300" s="274" t="e">
        <f t="shared" ca="1" si="67"/>
        <v>#NAME?</v>
      </c>
      <c r="K4300" s="274">
        <f t="shared" si="68"/>
        <v>0</v>
      </c>
      <c r="N4300" s="274"/>
    </row>
    <row r="4301" spans="5:14" ht="13.5" customHeight="1">
      <c r="E4301" s="209" t="s">
        <v>865</v>
      </c>
      <c r="F4301" s="209" t="s">
        <v>2860</v>
      </c>
      <c r="G4301" s="414" t="str">
        <f t="shared" si="71"/>
        <v>11-26</v>
      </c>
      <c r="H4301" s="273" t="e">
        <f ca="1">_xludf.IFNA(VLOOKUP(Aragon!E4301,'Kilter Holds'!$P$37:$AB$662,11,0),0)</f>
        <v>#NAME?</v>
      </c>
      <c r="I4301" s="274"/>
      <c r="J4301" s="274" t="e">
        <f t="shared" ca="1" si="67"/>
        <v>#NAME?</v>
      </c>
      <c r="K4301" s="274">
        <f t="shared" si="68"/>
        <v>0</v>
      </c>
      <c r="N4301" s="274"/>
    </row>
    <row r="4302" spans="5:14" ht="13.5" customHeight="1">
      <c r="E4302" s="209" t="s">
        <v>865</v>
      </c>
      <c r="F4302" s="209" t="s">
        <v>2860</v>
      </c>
      <c r="G4302" s="415" t="str">
        <f t="shared" si="71"/>
        <v>18-01</v>
      </c>
      <c r="H4302" s="273" t="e">
        <f ca="1">_xludf.IFNA(VLOOKUP(Aragon!E4302,'Kilter Holds'!$P$37:$AB$662,12,0),0)</f>
        <v>#NAME?</v>
      </c>
      <c r="I4302" s="274"/>
      <c r="J4302" s="274" t="e">
        <f t="shared" ca="1" si="67"/>
        <v>#NAME?</v>
      </c>
      <c r="K4302" s="274">
        <f t="shared" si="68"/>
        <v>0</v>
      </c>
      <c r="N4302" s="274"/>
    </row>
    <row r="4303" spans="5:14" ht="13.5" customHeight="1">
      <c r="E4303" s="209" t="s">
        <v>865</v>
      </c>
      <c r="F4303" s="209" t="s">
        <v>2860</v>
      </c>
      <c r="G4303" s="416" t="str">
        <f t="shared" si="71"/>
        <v>Color Code</v>
      </c>
      <c r="H4303" s="273" t="e">
        <f ca="1">_xludf.IFNA(VLOOKUP(Aragon!E4303,'Kilter Holds'!$P$37:$AB$662,13,0),0)</f>
        <v>#NAME?</v>
      </c>
      <c r="I4303" s="274"/>
      <c r="J4303" s="274" t="e">
        <f t="shared" ca="1" si="67"/>
        <v>#NAME?</v>
      </c>
      <c r="K4303" s="274">
        <f t="shared" si="68"/>
        <v>0</v>
      </c>
      <c r="N4303" s="274"/>
    </row>
    <row r="4304" spans="5:14" ht="13.5" customHeight="1">
      <c r="E4304" s="209" t="s">
        <v>871</v>
      </c>
      <c r="F4304" s="209" t="s">
        <v>2861</v>
      </c>
      <c r="G4304" s="406" t="str">
        <f t="shared" si="71"/>
        <v>11-12</v>
      </c>
      <c r="H4304" s="273" t="e">
        <f ca="1">_xludf.IFNA(VLOOKUP(Aragon!E4304,'Kilter Holds'!$P$37:$AB$662,5,0),0)</f>
        <v>#NAME?</v>
      </c>
      <c r="I4304" s="274"/>
      <c r="J4304" s="274" t="e">
        <f t="shared" ca="1" si="67"/>
        <v>#NAME?</v>
      </c>
      <c r="K4304" s="274">
        <f t="shared" si="68"/>
        <v>0</v>
      </c>
      <c r="N4304" s="274"/>
    </row>
    <row r="4305" spans="5:14" ht="13.5" customHeight="1">
      <c r="E4305" s="209" t="s">
        <v>871</v>
      </c>
      <c r="F4305" s="209" t="s">
        <v>2861</v>
      </c>
      <c r="G4305" s="408" t="str">
        <f t="shared" si="71"/>
        <v>14-01</v>
      </c>
      <c r="H4305" s="273" t="e">
        <f ca="1">_xludf.IFNA(VLOOKUP(Aragon!E4305,'Kilter Holds'!$P$37:$AB$662,6,0),0)</f>
        <v>#NAME?</v>
      </c>
      <c r="I4305" s="274"/>
      <c r="J4305" s="274" t="e">
        <f t="shared" ca="1" si="67"/>
        <v>#NAME?</v>
      </c>
      <c r="K4305" s="274">
        <f t="shared" si="68"/>
        <v>0</v>
      </c>
      <c r="N4305" s="274"/>
    </row>
    <row r="4306" spans="5:14" ht="13.5" customHeight="1">
      <c r="E4306" s="209" t="s">
        <v>871</v>
      </c>
      <c r="F4306" s="209" t="s">
        <v>2861</v>
      </c>
      <c r="G4306" s="409" t="str">
        <f t="shared" si="71"/>
        <v>15-12</v>
      </c>
      <c r="H4306" s="273" t="e">
        <f ca="1">_xludf.IFNA(VLOOKUP(Aragon!E4306,'Kilter Holds'!$P$37:$AB$662,7,0),0)</f>
        <v>#NAME?</v>
      </c>
      <c r="I4306" s="274"/>
      <c r="J4306" s="274" t="e">
        <f t="shared" ca="1" si="67"/>
        <v>#NAME?</v>
      </c>
      <c r="K4306" s="274">
        <f t="shared" si="68"/>
        <v>0</v>
      </c>
      <c r="N4306" s="274"/>
    </row>
    <row r="4307" spans="5:14" ht="13.5" customHeight="1">
      <c r="E4307" s="209" t="s">
        <v>871</v>
      </c>
      <c r="F4307" s="209" t="s">
        <v>2861</v>
      </c>
      <c r="G4307" s="410" t="str">
        <f t="shared" si="71"/>
        <v>16-16</v>
      </c>
      <c r="H4307" s="273" t="e">
        <f ca="1">_xludf.IFNA(VLOOKUP(Aragon!E4307,'Kilter Holds'!$P$37:$AB$662,8,0),0)</f>
        <v>#NAME?</v>
      </c>
      <c r="I4307" s="274"/>
      <c r="J4307" s="274" t="e">
        <f t="shared" ca="1" si="67"/>
        <v>#NAME?</v>
      </c>
      <c r="K4307" s="274">
        <f t="shared" si="68"/>
        <v>0</v>
      </c>
      <c r="N4307" s="274"/>
    </row>
    <row r="4308" spans="5:14" ht="13.5" customHeight="1">
      <c r="E4308" s="209" t="s">
        <v>871</v>
      </c>
      <c r="F4308" s="209" t="s">
        <v>2861</v>
      </c>
      <c r="G4308" s="411" t="str">
        <f t="shared" si="71"/>
        <v>13-01</v>
      </c>
      <c r="H4308" s="273" t="e">
        <f ca="1">_xludf.IFNA(VLOOKUP(Aragon!E4308,'Kilter Holds'!$P$37:$AB$662,9,0),0)</f>
        <v>#NAME?</v>
      </c>
      <c r="I4308" s="274"/>
      <c r="J4308" s="274" t="e">
        <f t="shared" ca="1" si="67"/>
        <v>#NAME?</v>
      </c>
      <c r="K4308" s="274">
        <f t="shared" si="68"/>
        <v>0</v>
      </c>
      <c r="N4308" s="274"/>
    </row>
    <row r="4309" spans="5:14" ht="13.5" customHeight="1">
      <c r="E4309" s="209" t="s">
        <v>871</v>
      </c>
      <c r="F4309" s="209" t="s">
        <v>2861</v>
      </c>
      <c r="G4309" s="413" t="str">
        <f t="shared" si="71"/>
        <v>07-13</v>
      </c>
      <c r="H4309" s="273" t="e">
        <f ca="1">_xludf.IFNA(VLOOKUP(Aragon!E4309,'Kilter Holds'!$P$37:$AB$662,10,0),0)</f>
        <v>#NAME?</v>
      </c>
      <c r="I4309" s="274"/>
      <c r="J4309" s="274" t="e">
        <f t="shared" ca="1" si="67"/>
        <v>#NAME?</v>
      </c>
      <c r="K4309" s="274">
        <f t="shared" si="68"/>
        <v>0</v>
      </c>
      <c r="N4309" s="274"/>
    </row>
    <row r="4310" spans="5:14" ht="13.5" customHeight="1">
      <c r="E4310" s="209" t="s">
        <v>871</v>
      </c>
      <c r="F4310" s="209" t="s">
        <v>2861</v>
      </c>
      <c r="G4310" s="414" t="str">
        <f t="shared" si="71"/>
        <v>11-26</v>
      </c>
      <c r="H4310" s="273" t="e">
        <f ca="1">_xludf.IFNA(VLOOKUP(Aragon!E4310,'Kilter Holds'!$P$37:$AB$662,11,0),0)</f>
        <v>#NAME?</v>
      </c>
      <c r="I4310" s="274"/>
      <c r="J4310" s="274" t="e">
        <f t="shared" ca="1" si="67"/>
        <v>#NAME?</v>
      </c>
      <c r="K4310" s="274">
        <f t="shared" si="68"/>
        <v>0</v>
      </c>
      <c r="N4310" s="274"/>
    </row>
    <row r="4311" spans="5:14" ht="13.5" customHeight="1">
      <c r="E4311" s="209" t="s">
        <v>871</v>
      </c>
      <c r="F4311" s="209" t="s">
        <v>2861</v>
      </c>
      <c r="G4311" s="415" t="str">
        <f t="shared" si="71"/>
        <v>18-01</v>
      </c>
      <c r="H4311" s="273" t="e">
        <f ca="1">_xludf.IFNA(VLOOKUP(Aragon!E4311,'Kilter Holds'!$P$37:$AB$662,12,0),0)</f>
        <v>#NAME?</v>
      </c>
      <c r="I4311" s="274"/>
      <c r="J4311" s="274" t="e">
        <f t="shared" ca="1" si="67"/>
        <v>#NAME?</v>
      </c>
      <c r="K4311" s="274">
        <f t="shared" si="68"/>
        <v>0</v>
      </c>
      <c r="N4311" s="274"/>
    </row>
    <row r="4312" spans="5:14" ht="13.5" customHeight="1">
      <c r="E4312" s="209" t="s">
        <v>871</v>
      </c>
      <c r="F4312" s="209" t="s">
        <v>2861</v>
      </c>
      <c r="G4312" s="416" t="str">
        <f t="shared" si="71"/>
        <v>Color Code</v>
      </c>
      <c r="H4312" s="273" t="e">
        <f ca="1">_xludf.IFNA(VLOOKUP(Aragon!E4312,'Kilter Holds'!$P$37:$AB$662,13,0),0)</f>
        <v>#NAME?</v>
      </c>
      <c r="I4312" s="274"/>
      <c r="J4312" s="274" t="e">
        <f t="shared" ca="1" si="67"/>
        <v>#NAME?</v>
      </c>
      <c r="K4312" s="274">
        <f t="shared" si="68"/>
        <v>0</v>
      </c>
      <c r="N4312" s="274"/>
    </row>
    <row r="4313" spans="5:14" ht="13.5" customHeight="1">
      <c r="E4313" s="209" t="s">
        <v>847</v>
      </c>
      <c r="F4313" s="209" t="s">
        <v>2862</v>
      </c>
      <c r="G4313" s="406" t="str">
        <f t="shared" si="71"/>
        <v>11-12</v>
      </c>
      <c r="H4313" s="273" t="e">
        <f ca="1">_xludf.IFNA(VLOOKUP(Aragon!E4313,'Kilter Holds'!$P$37:$AB$662,5,0),0)</f>
        <v>#NAME?</v>
      </c>
      <c r="I4313" s="274"/>
      <c r="J4313" s="274" t="e">
        <f t="shared" ca="1" si="67"/>
        <v>#NAME?</v>
      </c>
      <c r="K4313" s="274">
        <f t="shared" si="68"/>
        <v>0</v>
      </c>
      <c r="N4313" s="274"/>
    </row>
    <row r="4314" spans="5:14" ht="13.5" customHeight="1">
      <c r="E4314" s="209" t="s">
        <v>847</v>
      </c>
      <c r="F4314" s="209" t="s">
        <v>2862</v>
      </c>
      <c r="G4314" s="408" t="str">
        <f t="shared" si="71"/>
        <v>14-01</v>
      </c>
      <c r="H4314" s="273" t="e">
        <f ca="1">_xludf.IFNA(VLOOKUP(Aragon!E4314,'Kilter Holds'!$P$37:$AB$662,6,0),0)</f>
        <v>#NAME?</v>
      </c>
      <c r="I4314" s="274"/>
      <c r="J4314" s="274" t="e">
        <f t="shared" ca="1" si="67"/>
        <v>#NAME?</v>
      </c>
      <c r="K4314" s="274">
        <f t="shared" si="68"/>
        <v>0</v>
      </c>
      <c r="N4314" s="274"/>
    </row>
    <row r="4315" spans="5:14" ht="13.5" customHeight="1">
      <c r="E4315" s="209" t="s">
        <v>847</v>
      </c>
      <c r="F4315" s="209" t="s">
        <v>2862</v>
      </c>
      <c r="G4315" s="409" t="str">
        <f t="shared" si="71"/>
        <v>15-12</v>
      </c>
      <c r="H4315" s="273" t="e">
        <f ca="1">_xludf.IFNA(VLOOKUP(Aragon!E4315,'Kilter Holds'!$P$37:$AB$662,7,0),0)</f>
        <v>#NAME?</v>
      </c>
      <c r="I4315" s="274"/>
      <c r="J4315" s="274" t="e">
        <f t="shared" ca="1" si="67"/>
        <v>#NAME?</v>
      </c>
      <c r="K4315" s="274">
        <f t="shared" si="68"/>
        <v>0</v>
      </c>
      <c r="N4315" s="274"/>
    </row>
    <row r="4316" spans="5:14" ht="13.5" customHeight="1">
      <c r="E4316" s="209" t="s">
        <v>847</v>
      </c>
      <c r="F4316" s="209" t="s">
        <v>2862</v>
      </c>
      <c r="G4316" s="410" t="str">
        <f t="shared" si="71"/>
        <v>16-16</v>
      </c>
      <c r="H4316" s="273" t="e">
        <f ca="1">_xludf.IFNA(VLOOKUP(Aragon!E4316,'Kilter Holds'!$P$37:$AB$662,8,0),0)</f>
        <v>#NAME?</v>
      </c>
      <c r="I4316" s="274"/>
      <c r="J4316" s="274" t="e">
        <f t="shared" ca="1" si="67"/>
        <v>#NAME?</v>
      </c>
      <c r="K4316" s="274">
        <f t="shared" si="68"/>
        <v>0</v>
      </c>
      <c r="N4316" s="274"/>
    </row>
    <row r="4317" spans="5:14" ht="13.5" customHeight="1">
      <c r="E4317" s="209" t="s">
        <v>847</v>
      </c>
      <c r="F4317" s="209" t="s">
        <v>2862</v>
      </c>
      <c r="G4317" s="411" t="str">
        <f t="shared" si="71"/>
        <v>13-01</v>
      </c>
      <c r="H4317" s="273" t="e">
        <f ca="1">_xludf.IFNA(VLOOKUP(Aragon!E4317,'Kilter Holds'!$P$37:$AB$662,9,0),0)</f>
        <v>#NAME?</v>
      </c>
      <c r="I4317" s="274"/>
      <c r="J4317" s="274" t="e">
        <f t="shared" ca="1" si="67"/>
        <v>#NAME?</v>
      </c>
      <c r="K4317" s="274">
        <f t="shared" si="68"/>
        <v>0</v>
      </c>
      <c r="N4317" s="274"/>
    </row>
    <row r="4318" spans="5:14" ht="13.5" customHeight="1">
      <c r="E4318" s="209" t="s">
        <v>847</v>
      </c>
      <c r="F4318" s="209" t="s">
        <v>2862</v>
      </c>
      <c r="G4318" s="413" t="str">
        <f t="shared" si="71"/>
        <v>07-13</v>
      </c>
      <c r="H4318" s="273" t="e">
        <f ca="1">_xludf.IFNA(VLOOKUP(Aragon!E4318,'Kilter Holds'!$P$37:$AB$662,10,0),0)</f>
        <v>#NAME?</v>
      </c>
      <c r="I4318" s="274"/>
      <c r="J4318" s="274" t="e">
        <f t="shared" ca="1" si="67"/>
        <v>#NAME?</v>
      </c>
      <c r="K4318" s="274">
        <f t="shared" si="68"/>
        <v>0</v>
      </c>
      <c r="N4318" s="274"/>
    </row>
    <row r="4319" spans="5:14" ht="13.5" customHeight="1">
      <c r="E4319" s="209" t="s">
        <v>847</v>
      </c>
      <c r="F4319" s="209" t="s">
        <v>2862</v>
      </c>
      <c r="G4319" s="414" t="str">
        <f t="shared" si="71"/>
        <v>11-26</v>
      </c>
      <c r="H4319" s="273" t="e">
        <f ca="1">_xludf.IFNA(VLOOKUP(Aragon!E4319,'Kilter Holds'!$P$37:$AB$662,11,0),0)</f>
        <v>#NAME?</v>
      </c>
      <c r="I4319" s="274"/>
      <c r="J4319" s="274" t="e">
        <f t="shared" ca="1" si="67"/>
        <v>#NAME?</v>
      </c>
      <c r="K4319" s="274">
        <f t="shared" si="68"/>
        <v>0</v>
      </c>
      <c r="N4319" s="274"/>
    </row>
    <row r="4320" spans="5:14" ht="13.5" customHeight="1">
      <c r="E4320" s="209" t="s">
        <v>847</v>
      </c>
      <c r="F4320" s="209" t="s">
        <v>2862</v>
      </c>
      <c r="G4320" s="415" t="str">
        <f t="shared" si="71"/>
        <v>18-01</v>
      </c>
      <c r="H4320" s="273" t="e">
        <f ca="1">_xludf.IFNA(VLOOKUP(Aragon!E4320,'Kilter Holds'!$P$37:$AB$662,12,0),0)</f>
        <v>#NAME?</v>
      </c>
      <c r="I4320" s="274"/>
      <c r="J4320" s="274" t="e">
        <f t="shared" ca="1" si="67"/>
        <v>#NAME?</v>
      </c>
      <c r="K4320" s="274">
        <f t="shared" si="68"/>
        <v>0</v>
      </c>
      <c r="N4320" s="274"/>
    </row>
    <row r="4321" spans="5:14" ht="13.5" customHeight="1">
      <c r="E4321" s="209" t="s">
        <v>847</v>
      </c>
      <c r="F4321" s="209" t="s">
        <v>2862</v>
      </c>
      <c r="G4321" s="416" t="str">
        <f t="shared" si="71"/>
        <v>Color Code</v>
      </c>
      <c r="H4321" s="273" t="e">
        <f ca="1">_xludf.IFNA(VLOOKUP(Aragon!E4321,'Kilter Holds'!$P$37:$AB$662,13,0),0)</f>
        <v>#NAME?</v>
      </c>
      <c r="I4321" s="274"/>
      <c r="J4321" s="274" t="e">
        <f t="shared" ca="1" si="67"/>
        <v>#NAME?</v>
      </c>
      <c r="K4321" s="274">
        <f t="shared" si="68"/>
        <v>0</v>
      </c>
      <c r="N4321" s="274"/>
    </row>
    <row r="4322" spans="5:14" ht="13.5" customHeight="1">
      <c r="E4322" s="1" t="s">
        <v>849</v>
      </c>
      <c r="F4322" s="1" t="s">
        <v>2863</v>
      </c>
      <c r="G4322" s="406" t="str">
        <f t="shared" si="71"/>
        <v>11-12</v>
      </c>
      <c r="H4322" s="273" t="e">
        <f ca="1">_xludf.IFNA(VLOOKUP(Aragon!E4322,'Kilter Holds'!$P$37:$AB$662,5,0),0)</f>
        <v>#NAME?</v>
      </c>
      <c r="I4322" s="274"/>
      <c r="J4322" s="274" t="e">
        <f t="shared" ca="1" si="67"/>
        <v>#NAME?</v>
      </c>
      <c r="K4322" s="274">
        <f t="shared" si="68"/>
        <v>0</v>
      </c>
      <c r="N4322" s="274"/>
    </row>
    <row r="4323" spans="5:14" ht="13.5" customHeight="1">
      <c r="E4323" s="1" t="s">
        <v>849</v>
      </c>
      <c r="F4323" s="1" t="s">
        <v>2863</v>
      </c>
      <c r="G4323" s="408" t="str">
        <f t="shared" si="71"/>
        <v>14-01</v>
      </c>
      <c r="H4323" s="273" t="e">
        <f ca="1">_xludf.IFNA(VLOOKUP(Aragon!E4323,'Kilter Holds'!$P$37:$AB$662,6,0),0)</f>
        <v>#NAME?</v>
      </c>
      <c r="I4323" s="274"/>
      <c r="J4323" s="274" t="e">
        <f t="shared" ca="1" si="67"/>
        <v>#NAME?</v>
      </c>
      <c r="K4323" s="274">
        <f t="shared" si="68"/>
        <v>0</v>
      </c>
      <c r="N4323" s="274"/>
    </row>
    <row r="4324" spans="5:14" ht="13.5" customHeight="1">
      <c r="E4324" s="1" t="s">
        <v>849</v>
      </c>
      <c r="F4324" s="1" t="s">
        <v>2863</v>
      </c>
      <c r="G4324" s="409" t="str">
        <f t="shared" si="71"/>
        <v>15-12</v>
      </c>
      <c r="H4324" s="273" t="e">
        <f ca="1">_xludf.IFNA(VLOOKUP(Aragon!E4324,'Kilter Holds'!$P$37:$AB$662,7,0),0)</f>
        <v>#NAME?</v>
      </c>
      <c r="I4324" s="274"/>
      <c r="J4324" s="274" t="e">
        <f t="shared" ca="1" si="67"/>
        <v>#NAME?</v>
      </c>
      <c r="K4324" s="274">
        <f t="shared" si="68"/>
        <v>0</v>
      </c>
      <c r="N4324" s="274"/>
    </row>
    <row r="4325" spans="5:14" ht="13.5" customHeight="1">
      <c r="E4325" s="1" t="s">
        <v>849</v>
      </c>
      <c r="F4325" s="1" t="s">
        <v>2863</v>
      </c>
      <c r="G4325" s="410" t="str">
        <f t="shared" si="71"/>
        <v>16-16</v>
      </c>
      <c r="H4325" s="273" t="e">
        <f ca="1">_xludf.IFNA(VLOOKUP(Aragon!E4325,'Kilter Holds'!$P$37:$AB$662,8,0),0)</f>
        <v>#NAME?</v>
      </c>
      <c r="I4325" s="274"/>
      <c r="J4325" s="274" t="e">
        <f t="shared" ca="1" si="67"/>
        <v>#NAME?</v>
      </c>
      <c r="K4325" s="274">
        <f t="shared" si="68"/>
        <v>0</v>
      </c>
      <c r="N4325" s="274"/>
    </row>
    <row r="4326" spans="5:14" ht="13.5" customHeight="1">
      <c r="E4326" s="1" t="s">
        <v>849</v>
      </c>
      <c r="F4326" s="1" t="s">
        <v>2863</v>
      </c>
      <c r="G4326" s="411" t="str">
        <f t="shared" si="71"/>
        <v>13-01</v>
      </c>
      <c r="H4326" s="273" t="e">
        <f ca="1">_xludf.IFNA(VLOOKUP(Aragon!E4326,'Kilter Holds'!$P$37:$AB$662,9,0),0)</f>
        <v>#NAME?</v>
      </c>
      <c r="I4326" s="274"/>
      <c r="J4326" s="274" t="e">
        <f t="shared" ca="1" si="67"/>
        <v>#NAME?</v>
      </c>
      <c r="K4326" s="274">
        <f t="shared" si="68"/>
        <v>0</v>
      </c>
      <c r="N4326" s="274"/>
    </row>
    <row r="4327" spans="5:14" ht="13.5" customHeight="1">
      <c r="E4327" s="1" t="s">
        <v>849</v>
      </c>
      <c r="F4327" s="1" t="s">
        <v>2863</v>
      </c>
      <c r="G4327" s="413" t="str">
        <f t="shared" si="71"/>
        <v>07-13</v>
      </c>
      <c r="H4327" s="273" t="e">
        <f ca="1">_xludf.IFNA(VLOOKUP(Aragon!E4327,'Kilter Holds'!$P$37:$AB$662,10,0),0)</f>
        <v>#NAME?</v>
      </c>
      <c r="I4327" s="274"/>
      <c r="J4327" s="274" t="e">
        <f t="shared" ca="1" si="67"/>
        <v>#NAME?</v>
      </c>
      <c r="K4327" s="274">
        <f t="shared" si="68"/>
        <v>0</v>
      </c>
      <c r="N4327" s="274"/>
    </row>
    <row r="4328" spans="5:14" ht="13.5" customHeight="1">
      <c r="E4328" s="1" t="s">
        <v>849</v>
      </c>
      <c r="F4328" s="1" t="s">
        <v>2863</v>
      </c>
      <c r="G4328" s="414" t="str">
        <f t="shared" si="71"/>
        <v>11-26</v>
      </c>
      <c r="H4328" s="273" t="e">
        <f ca="1">_xludf.IFNA(VLOOKUP(Aragon!E4328,'Kilter Holds'!$P$37:$AB$662,11,0),0)</f>
        <v>#NAME?</v>
      </c>
      <c r="I4328" s="274"/>
      <c r="J4328" s="274" t="e">
        <f t="shared" ca="1" si="67"/>
        <v>#NAME?</v>
      </c>
      <c r="K4328" s="274">
        <f t="shared" si="68"/>
        <v>0</v>
      </c>
      <c r="N4328" s="274"/>
    </row>
    <row r="4329" spans="5:14" ht="13.5" customHeight="1">
      <c r="E4329" s="1" t="s">
        <v>849</v>
      </c>
      <c r="F4329" s="1" t="s">
        <v>2863</v>
      </c>
      <c r="G4329" s="415" t="str">
        <f t="shared" si="71"/>
        <v>18-01</v>
      </c>
      <c r="H4329" s="273" t="e">
        <f ca="1">_xludf.IFNA(VLOOKUP(Aragon!E4329,'Kilter Holds'!$P$37:$AB$662,12,0),0)</f>
        <v>#NAME?</v>
      </c>
      <c r="I4329" s="274"/>
      <c r="J4329" s="274" t="e">
        <f t="shared" ca="1" si="67"/>
        <v>#NAME?</v>
      </c>
      <c r="K4329" s="274">
        <f t="shared" si="68"/>
        <v>0</v>
      </c>
      <c r="N4329" s="274"/>
    </row>
    <row r="4330" spans="5:14" ht="13.5" customHeight="1">
      <c r="E4330" s="1" t="s">
        <v>849</v>
      </c>
      <c r="F4330" s="1" t="s">
        <v>2863</v>
      </c>
      <c r="G4330" s="416" t="str">
        <f t="shared" si="71"/>
        <v>Color Code</v>
      </c>
      <c r="H4330" s="273" t="e">
        <f ca="1">_xludf.IFNA(VLOOKUP(Aragon!E4330,'Kilter Holds'!$P$37:$AB$662,13,0),0)</f>
        <v>#NAME?</v>
      </c>
      <c r="I4330" s="274"/>
      <c r="J4330" s="274" t="e">
        <f t="shared" ca="1" si="67"/>
        <v>#NAME?</v>
      </c>
      <c r="K4330" s="274">
        <f t="shared" si="68"/>
        <v>0</v>
      </c>
      <c r="N4330" s="274"/>
    </row>
    <row r="4331" spans="5:14" ht="13.5" customHeight="1">
      <c r="E4331" s="1" t="s">
        <v>839</v>
      </c>
      <c r="F4331" s="1" t="s">
        <v>2864</v>
      </c>
      <c r="G4331" s="406" t="str">
        <f t="shared" si="71"/>
        <v>11-12</v>
      </c>
      <c r="H4331" s="273" t="e">
        <f ca="1">_xludf.IFNA(VLOOKUP(Aragon!E4331,'Kilter Holds'!$P$37:$AB$662,5,0),0)</f>
        <v>#NAME?</v>
      </c>
      <c r="I4331" s="274"/>
      <c r="J4331" s="274" t="e">
        <f t="shared" ca="1" si="67"/>
        <v>#NAME?</v>
      </c>
      <c r="K4331" s="274">
        <f t="shared" si="68"/>
        <v>0</v>
      </c>
      <c r="N4331" s="274"/>
    </row>
    <row r="4332" spans="5:14" ht="13.5" customHeight="1">
      <c r="E4332" s="1" t="s">
        <v>839</v>
      </c>
      <c r="F4332" s="1" t="s">
        <v>2864</v>
      </c>
      <c r="G4332" s="408" t="str">
        <f t="shared" si="71"/>
        <v>14-01</v>
      </c>
      <c r="H4332" s="273" t="e">
        <f ca="1">_xludf.IFNA(VLOOKUP(Aragon!E4332,'Kilter Holds'!$P$37:$AB$662,6,0),0)</f>
        <v>#NAME?</v>
      </c>
      <c r="I4332" s="274"/>
      <c r="J4332" s="274" t="e">
        <f t="shared" ca="1" si="67"/>
        <v>#NAME?</v>
      </c>
      <c r="K4332" s="274">
        <f t="shared" si="68"/>
        <v>0</v>
      </c>
      <c r="N4332" s="274"/>
    </row>
    <row r="4333" spans="5:14" ht="13.5" customHeight="1">
      <c r="E4333" s="1" t="s">
        <v>839</v>
      </c>
      <c r="F4333" s="1" t="s">
        <v>2864</v>
      </c>
      <c r="G4333" s="409" t="str">
        <f t="shared" si="71"/>
        <v>15-12</v>
      </c>
      <c r="H4333" s="273" t="e">
        <f ca="1">_xludf.IFNA(VLOOKUP(Aragon!E4333,'Kilter Holds'!$P$37:$AB$662,7,0),0)</f>
        <v>#NAME?</v>
      </c>
      <c r="I4333" s="274"/>
      <c r="J4333" s="274" t="e">
        <f t="shared" ca="1" si="67"/>
        <v>#NAME?</v>
      </c>
      <c r="K4333" s="274">
        <f t="shared" si="68"/>
        <v>0</v>
      </c>
      <c r="N4333" s="274"/>
    </row>
    <row r="4334" spans="5:14" ht="13.5" customHeight="1">
      <c r="E4334" s="1" t="s">
        <v>839</v>
      </c>
      <c r="F4334" s="1" t="s">
        <v>2864</v>
      </c>
      <c r="G4334" s="410" t="str">
        <f t="shared" si="71"/>
        <v>16-16</v>
      </c>
      <c r="H4334" s="273" t="e">
        <f ca="1">_xludf.IFNA(VLOOKUP(Aragon!E4334,'Kilter Holds'!$P$37:$AB$662,8,0),0)</f>
        <v>#NAME?</v>
      </c>
      <c r="I4334" s="274"/>
      <c r="J4334" s="274" t="e">
        <f t="shared" ca="1" si="67"/>
        <v>#NAME?</v>
      </c>
      <c r="K4334" s="274">
        <f t="shared" si="68"/>
        <v>0</v>
      </c>
      <c r="N4334" s="274"/>
    </row>
    <row r="4335" spans="5:14" ht="13.5" customHeight="1">
      <c r="E4335" s="1" t="s">
        <v>839</v>
      </c>
      <c r="F4335" s="1" t="s">
        <v>2864</v>
      </c>
      <c r="G4335" s="411" t="str">
        <f t="shared" si="71"/>
        <v>13-01</v>
      </c>
      <c r="H4335" s="273" t="e">
        <f ca="1">_xludf.IFNA(VLOOKUP(Aragon!E4335,'Kilter Holds'!$P$37:$AB$662,9,0),0)</f>
        <v>#NAME?</v>
      </c>
      <c r="I4335" s="274"/>
      <c r="J4335" s="274" t="e">
        <f t="shared" ca="1" si="67"/>
        <v>#NAME?</v>
      </c>
      <c r="K4335" s="274">
        <f t="shared" si="68"/>
        <v>0</v>
      </c>
      <c r="N4335" s="274"/>
    </row>
    <row r="4336" spans="5:14" ht="13.5" customHeight="1">
      <c r="E4336" s="1" t="s">
        <v>839</v>
      </c>
      <c r="F4336" s="1" t="s">
        <v>2864</v>
      </c>
      <c r="G4336" s="413" t="str">
        <f t="shared" si="71"/>
        <v>07-13</v>
      </c>
      <c r="H4336" s="273" t="e">
        <f ca="1">_xludf.IFNA(VLOOKUP(Aragon!E4336,'Kilter Holds'!$P$37:$AB$662,10,0),0)</f>
        <v>#NAME?</v>
      </c>
      <c r="I4336" s="274"/>
      <c r="J4336" s="274" t="e">
        <f t="shared" ca="1" si="67"/>
        <v>#NAME?</v>
      </c>
      <c r="K4336" s="274">
        <f t="shared" si="68"/>
        <v>0</v>
      </c>
      <c r="N4336" s="274"/>
    </row>
    <row r="4337" spans="5:14" ht="13.5" customHeight="1">
      <c r="E4337" s="1" t="s">
        <v>839</v>
      </c>
      <c r="F4337" s="1" t="s">
        <v>2864</v>
      </c>
      <c r="G4337" s="414" t="str">
        <f t="shared" si="71"/>
        <v>11-26</v>
      </c>
      <c r="H4337" s="273" t="e">
        <f ca="1">_xludf.IFNA(VLOOKUP(Aragon!E4337,'Kilter Holds'!$P$37:$AB$662,11,0),0)</f>
        <v>#NAME?</v>
      </c>
      <c r="I4337" s="274"/>
      <c r="J4337" s="274" t="e">
        <f t="shared" ref="J4337:J4591" ca="1" si="72">H4337*I4337</f>
        <v>#NAME?</v>
      </c>
      <c r="K4337" s="274">
        <f t="shared" ref="K4337:K4591" si="73">IF($V$11="Y",J4337*0.05,0)</f>
        <v>0</v>
      </c>
      <c r="N4337" s="274"/>
    </row>
    <row r="4338" spans="5:14" ht="13.5" customHeight="1">
      <c r="E4338" s="1" t="s">
        <v>839</v>
      </c>
      <c r="F4338" s="1" t="s">
        <v>2864</v>
      </c>
      <c r="G4338" s="415" t="str">
        <f t="shared" si="71"/>
        <v>18-01</v>
      </c>
      <c r="H4338" s="273" t="e">
        <f ca="1">_xludf.IFNA(VLOOKUP(Aragon!E4338,'Kilter Holds'!$P$37:$AB$662,12,0),0)</f>
        <v>#NAME?</v>
      </c>
      <c r="I4338" s="274"/>
      <c r="J4338" s="274" t="e">
        <f t="shared" ca="1" si="72"/>
        <v>#NAME?</v>
      </c>
      <c r="K4338" s="274">
        <f t="shared" si="73"/>
        <v>0</v>
      </c>
      <c r="N4338" s="274"/>
    </row>
    <row r="4339" spans="5:14" ht="13.5" customHeight="1">
      <c r="E4339" s="1" t="s">
        <v>839</v>
      </c>
      <c r="F4339" s="1" t="s">
        <v>2864</v>
      </c>
      <c r="G4339" s="416" t="str">
        <f t="shared" si="71"/>
        <v>Color Code</v>
      </c>
      <c r="H4339" s="273" t="e">
        <f ca="1">_xludf.IFNA(VLOOKUP(Aragon!E4339,'Kilter Holds'!$P$37:$AB$662,13,0),0)</f>
        <v>#NAME?</v>
      </c>
      <c r="I4339" s="274"/>
      <c r="J4339" s="274" t="e">
        <f t="shared" ca="1" si="72"/>
        <v>#NAME?</v>
      </c>
      <c r="K4339" s="274">
        <f t="shared" si="73"/>
        <v>0</v>
      </c>
      <c r="N4339" s="274"/>
    </row>
    <row r="4340" spans="5:14" ht="13.5" customHeight="1">
      <c r="E4340" s="1" t="s">
        <v>841</v>
      </c>
      <c r="F4340" s="1" t="s">
        <v>2865</v>
      </c>
      <c r="G4340" s="406" t="str">
        <f t="shared" si="71"/>
        <v>11-12</v>
      </c>
      <c r="H4340" s="273" t="e">
        <f ca="1">_xludf.IFNA(VLOOKUP(Aragon!E4340,'Kilter Holds'!$P$37:$AB$662,5,0),0)</f>
        <v>#NAME?</v>
      </c>
      <c r="I4340" s="274"/>
      <c r="J4340" s="274" t="e">
        <f t="shared" ca="1" si="72"/>
        <v>#NAME?</v>
      </c>
      <c r="K4340" s="274">
        <f t="shared" si="73"/>
        <v>0</v>
      </c>
      <c r="N4340" s="274"/>
    </row>
    <row r="4341" spans="5:14" ht="13.5" customHeight="1">
      <c r="E4341" s="1" t="s">
        <v>841</v>
      </c>
      <c r="F4341" s="1" t="s">
        <v>2865</v>
      </c>
      <c r="G4341" s="408" t="str">
        <f t="shared" si="71"/>
        <v>14-01</v>
      </c>
      <c r="H4341" s="273" t="e">
        <f ca="1">_xludf.IFNA(VLOOKUP(Aragon!E4341,'Kilter Holds'!$P$37:$AB$662,6,0),0)</f>
        <v>#NAME?</v>
      </c>
      <c r="I4341" s="274"/>
      <c r="J4341" s="274" t="e">
        <f t="shared" ca="1" si="72"/>
        <v>#NAME?</v>
      </c>
      <c r="K4341" s="274">
        <f t="shared" si="73"/>
        <v>0</v>
      </c>
      <c r="N4341" s="274"/>
    </row>
    <row r="4342" spans="5:14" ht="13.5" customHeight="1">
      <c r="E4342" s="1" t="s">
        <v>841</v>
      </c>
      <c r="F4342" s="1" t="s">
        <v>2865</v>
      </c>
      <c r="G4342" s="409" t="str">
        <f t="shared" si="71"/>
        <v>15-12</v>
      </c>
      <c r="H4342" s="273" t="e">
        <f ca="1">_xludf.IFNA(VLOOKUP(Aragon!E4342,'Kilter Holds'!$P$37:$AB$662,7,0),0)</f>
        <v>#NAME?</v>
      </c>
      <c r="I4342" s="274"/>
      <c r="J4342" s="274" t="e">
        <f t="shared" ca="1" si="72"/>
        <v>#NAME?</v>
      </c>
      <c r="K4342" s="274">
        <f t="shared" si="73"/>
        <v>0</v>
      </c>
      <c r="N4342" s="274"/>
    </row>
    <row r="4343" spans="5:14" ht="13.5" customHeight="1">
      <c r="E4343" s="1" t="s">
        <v>841</v>
      </c>
      <c r="F4343" s="1" t="s">
        <v>2865</v>
      </c>
      <c r="G4343" s="410" t="str">
        <f t="shared" si="71"/>
        <v>16-16</v>
      </c>
      <c r="H4343" s="273" t="e">
        <f ca="1">_xludf.IFNA(VLOOKUP(Aragon!E4343,'Kilter Holds'!$P$37:$AB$662,8,0),0)</f>
        <v>#NAME?</v>
      </c>
      <c r="I4343" s="274"/>
      <c r="J4343" s="274" t="e">
        <f t="shared" ca="1" si="72"/>
        <v>#NAME?</v>
      </c>
      <c r="K4343" s="274">
        <f t="shared" si="73"/>
        <v>0</v>
      </c>
      <c r="N4343" s="274"/>
    </row>
    <row r="4344" spans="5:14" ht="13.5" customHeight="1">
      <c r="E4344" s="1" t="s">
        <v>841</v>
      </c>
      <c r="F4344" s="1" t="s">
        <v>2865</v>
      </c>
      <c r="G4344" s="411" t="str">
        <f t="shared" si="71"/>
        <v>13-01</v>
      </c>
      <c r="H4344" s="273" t="e">
        <f ca="1">_xludf.IFNA(VLOOKUP(Aragon!E4344,'Kilter Holds'!$P$37:$AB$662,9,0),0)</f>
        <v>#NAME?</v>
      </c>
      <c r="I4344" s="274"/>
      <c r="J4344" s="274" t="e">
        <f t="shared" ca="1" si="72"/>
        <v>#NAME?</v>
      </c>
      <c r="K4344" s="274">
        <f t="shared" si="73"/>
        <v>0</v>
      </c>
      <c r="N4344" s="274"/>
    </row>
    <row r="4345" spans="5:14" ht="13.5" customHeight="1">
      <c r="E4345" s="1" t="s">
        <v>841</v>
      </c>
      <c r="F4345" s="1" t="s">
        <v>2865</v>
      </c>
      <c r="G4345" s="413" t="str">
        <f t="shared" si="71"/>
        <v>07-13</v>
      </c>
      <c r="H4345" s="273" t="e">
        <f ca="1">_xludf.IFNA(VLOOKUP(Aragon!E4345,'Kilter Holds'!$P$37:$AB$662,10,0),0)</f>
        <v>#NAME?</v>
      </c>
      <c r="I4345" s="274"/>
      <c r="J4345" s="274" t="e">
        <f t="shared" ca="1" si="72"/>
        <v>#NAME?</v>
      </c>
      <c r="K4345" s="274">
        <f t="shared" si="73"/>
        <v>0</v>
      </c>
      <c r="N4345" s="274"/>
    </row>
    <row r="4346" spans="5:14" ht="13.5" customHeight="1">
      <c r="E4346" s="1" t="s">
        <v>841</v>
      </c>
      <c r="F4346" s="1" t="s">
        <v>2865</v>
      </c>
      <c r="G4346" s="414" t="str">
        <f t="shared" si="71"/>
        <v>11-26</v>
      </c>
      <c r="H4346" s="273" t="e">
        <f ca="1">_xludf.IFNA(VLOOKUP(Aragon!E4346,'Kilter Holds'!$P$37:$AB$662,11,0),0)</f>
        <v>#NAME?</v>
      </c>
      <c r="I4346" s="274"/>
      <c r="J4346" s="274" t="e">
        <f t="shared" ca="1" si="72"/>
        <v>#NAME?</v>
      </c>
      <c r="K4346" s="274">
        <f t="shared" si="73"/>
        <v>0</v>
      </c>
      <c r="N4346" s="274"/>
    </row>
    <row r="4347" spans="5:14" ht="13.5" customHeight="1">
      <c r="E4347" s="1" t="s">
        <v>841</v>
      </c>
      <c r="F4347" s="1" t="s">
        <v>2865</v>
      </c>
      <c r="G4347" s="415" t="str">
        <f t="shared" si="71"/>
        <v>18-01</v>
      </c>
      <c r="H4347" s="273" t="e">
        <f ca="1">_xludf.IFNA(VLOOKUP(Aragon!E4347,'Kilter Holds'!$P$37:$AB$662,12,0),0)</f>
        <v>#NAME?</v>
      </c>
      <c r="I4347" s="274"/>
      <c r="J4347" s="274" t="e">
        <f t="shared" ca="1" si="72"/>
        <v>#NAME?</v>
      </c>
      <c r="K4347" s="274">
        <f t="shared" si="73"/>
        <v>0</v>
      </c>
      <c r="N4347" s="274"/>
    </row>
    <row r="4348" spans="5:14" ht="13.5" customHeight="1">
      <c r="E4348" s="1" t="s">
        <v>841</v>
      </c>
      <c r="F4348" s="1" t="s">
        <v>2865</v>
      </c>
      <c r="G4348" s="416" t="str">
        <f t="shared" si="71"/>
        <v>Color Code</v>
      </c>
      <c r="H4348" s="273" t="e">
        <f ca="1">_xludf.IFNA(VLOOKUP(Aragon!E4348,'Kilter Holds'!$P$37:$AB$662,13,0),0)</f>
        <v>#NAME?</v>
      </c>
      <c r="I4348" s="274"/>
      <c r="J4348" s="274" t="e">
        <f t="shared" ca="1" si="72"/>
        <v>#NAME?</v>
      </c>
      <c r="K4348" s="274">
        <f t="shared" si="73"/>
        <v>0</v>
      </c>
      <c r="N4348" s="274"/>
    </row>
    <row r="4349" spans="5:14" ht="13.5" customHeight="1">
      <c r="E4349" s="1" t="s">
        <v>857</v>
      </c>
      <c r="F4349" s="1" t="s">
        <v>2866</v>
      </c>
      <c r="G4349" s="406" t="str">
        <f t="shared" si="71"/>
        <v>11-12</v>
      </c>
      <c r="H4349" s="273" t="e">
        <f ca="1">_xludf.IFNA(VLOOKUP(Aragon!E4349,'Kilter Holds'!$P$37:$AB$662,5,0),0)</f>
        <v>#NAME?</v>
      </c>
      <c r="I4349" s="274"/>
      <c r="J4349" s="274" t="e">
        <f t="shared" ca="1" si="72"/>
        <v>#NAME?</v>
      </c>
      <c r="K4349" s="274">
        <f t="shared" si="73"/>
        <v>0</v>
      </c>
      <c r="N4349" s="274"/>
    </row>
    <row r="4350" spans="5:14" ht="13.5" customHeight="1">
      <c r="E4350" s="1" t="s">
        <v>857</v>
      </c>
      <c r="F4350" s="1" t="s">
        <v>2866</v>
      </c>
      <c r="G4350" s="408" t="str">
        <f t="shared" si="71"/>
        <v>14-01</v>
      </c>
      <c r="H4350" s="273" t="e">
        <f ca="1">_xludf.IFNA(VLOOKUP(Aragon!E4350,'Kilter Holds'!$P$37:$AB$662,6,0),0)</f>
        <v>#NAME?</v>
      </c>
      <c r="I4350" s="274"/>
      <c r="J4350" s="274" t="e">
        <f t="shared" ca="1" si="72"/>
        <v>#NAME?</v>
      </c>
      <c r="K4350" s="274">
        <f t="shared" si="73"/>
        <v>0</v>
      </c>
      <c r="N4350" s="274"/>
    </row>
    <row r="4351" spans="5:14" ht="13.5" customHeight="1">
      <c r="E4351" s="1" t="s">
        <v>857</v>
      </c>
      <c r="F4351" s="1" t="s">
        <v>2866</v>
      </c>
      <c r="G4351" s="409" t="str">
        <f t="shared" si="71"/>
        <v>15-12</v>
      </c>
      <c r="H4351" s="273" t="e">
        <f ca="1">_xludf.IFNA(VLOOKUP(Aragon!E4351,'Kilter Holds'!$P$37:$AB$662,7,0),0)</f>
        <v>#NAME?</v>
      </c>
      <c r="I4351" s="274"/>
      <c r="J4351" s="274" t="e">
        <f t="shared" ca="1" si="72"/>
        <v>#NAME?</v>
      </c>
      <c r="K4351" s="274">
        <f t="shared" si="73"/>
        <v>0</v>
      </c>
      <c r="N4351" s="274"/>
    </row>
    <row r="4352" spans="5:14" ht="13.5" customHeight="1">
      <c r="E4352" s="1" t="s">
        <v>857</v>
      </c>
      <c r="F4352" s="1" t="s">
        <v>2866</v>
      </c>
      <c r="G4352" s="410" t="str">
        <f t="shared" si="71"/>
        <v>16-16</v>
      </c>
      <c r="H4352" s="273" t="e">
        <f ca="1">_xludf.IFNA(VLOOKUP(Aragon!E4352,'Kilter Holds'!$P$37:$AB$662,8,0),0)</f>
        <v>#NAME?</v>
      </c>
      <c r="I4352" s="274"/>
      <c r="J4352" s="274" t="e">
        <f t="shared" ca="1" si="72"/>
        <v>#NAME?</v>
      </c>
      <c r="K4352" s="274">
        <f t="shared" si="73"/>
        <v>0</v>
      </c>
      <c r="N4352" s="274"/>
    </row>
    <row r="4353" spans="5:14" ht="13.5" customHeight="1">
      <c r="E4353" s="1" t="s">
        <v>857</v>
      </c>
      <c r="F4353" s="1" t="s">
        <v>2866</v>
      </c>
      <c r="G4353" s="411" t="str">
        <f t="shared" si="71"/>
        <v>13-01</v>
      </c>
      <c r="H4353" s="273" t="e">
        <f ca="1">_xludf.IFNA(VLOOKUP(Aragon!E4353,'Kilter Holds'!$P$37:$AB$662,9,0),0)</f>
        <v>#NAME?</v>
      </c>
      <c r="I4353" s="274"/>
      <c r="J4353" s="274" t="e">
        <f t="shared" ca="1" si="72"/>
        <v>#NAME?</v>
      </c>
      <c r="K4353" s="274">
        <f t="shared" si="73"/>
        <v>0</v>
      </c>
      <c r="N4353" s="274"/>
    </row>
    <row r="4354" spans="5:14" ht="13.5" customHeight="1">
      <c r="E4354" s="1" t="s">
        <v>857</v>
      </c>
      <c r="F4354" s="1" t="s">
        <v>2866</v>
      </c>
      <c r="G4354" s="413" t="str">
        <f t="shared" si="71"/>
        <v>07-13</v>
      </c>
      <c r="H4354" s="273" t="e">
        <f ca="1">_xludf.IFNA(VLOOKUP(Aragon!E4354,'Kilter Holds'!$P$37:$AB$662,10,0),0)</f>
        <v>#NAME?</v>
      </c>
      <c r="I4354" s="274"/>
      <c r="J4354" s="274" t="e">
        <f t="shared" ca="1" si="72"/>
        <v>#NAME?</v>
      </c>
      <c r="K4354" s="274">
        <f t="shared" si="73"/>
        <v>0</v>
      </c>
      <c r="N4354" s="274"/>
    </row>
    <row r="4355" spans="5:14" ht="13.5" customHeight="1">
      <c r="E4355" s="1" t="s">
        <v>857</v>
      </c>
      <c r="F4355" s="1" t="s">
        <v>2866</v>
      </c>
      <c r="G4355" s="414" t="str">
        <f t="shared" si="71"/>
        <v>11-26</v>
      </c>
      <c r="H4355" s="273" t="e">
        <f ca="1">_xludf.IFNA(VLOOKUP(Aragon!E4355,'Kilter Holds'!$P$37:$AB$662,11,0),0)</f>
        <v>#NAME?</v>
      </c>
      <c r="I4355" s="274"/>
      <c r="J4355" s="274" t="e">
        <f t="shared" ca="1" si="72"/>
        <v>#NAME?</v>
      </c>
      <c r="K4355" s="274">
        <f t="shared" si="73"/>
        <v>0</v>
      </c>
      <c r="N4355" s="274"/>
    </row>
    <row r="4356" spans="5:14" ht="13.5" customHeight="1">
      <c r="E4356" s="1" t="s">
        <v>857</v>
      </c>
      <c r="F4356" s="1" t="s">
        <v>2866</v>
      </c>
      <c r="G4356" s="415" t="str">
        <f t="shared" si="71"/>
        <v>18-01</v>
      </c>
      <c r="H4356" s="273" t="e">
        <f ca="1">_xludf.IFNA(VLOOKUP(Aragon!E4356,'Kilter Holds'!$P$37:$AB$662,12,0),0)</f>
        <v>#NAME?</v>
      </c>
      <c r="I4356" s="274"/>
      <c r="J4356" s="274" t="e">
        <f t="shared" ca="1" si="72"/>
        <v>#NAME?</v>
      </c>
      <c r="K4356" s="274">
        <f t="shared" si="73"/>
        <v>0</v>
      </c>
      <c r="N4356" s="274"/>
    </row>
    <row r="4357" spans="5:14" ht="13.5" customHeight="1">
      <c r="E4357" s="1" t="s">
        <v>857</v>
      </c>
      <c r="F4357" s="1" t="s">
        <v>2866</v>
      </c>
      <c r="G4357" s="416" t="str">
        <f t="shared" si="71"/>
        <v>Color Code</v>
      </c>
      <c r="H4357" s="273" t="e">
        <f ca="1">_xludf.IFNA(VLOOKUP(Aragon!E4357,'Kilter Holds'!$P$37:$AB$662,13,0),0)</f>
        <v>#NAME?</v>
      </c>
      <c r="I4357" s="274"/>
      <c r="J4357" s="274" t="e">
        <f t="shared" ca="1" si="72"/>
        <v>#NAME?</v>
      </c>
      <c r="K4357" s="274">
        <f t="shared" si="73"/>
        <v>0</v>
      </c>
      <c r="N4357" s="274"/>
    </row>
    <row r="4358" spans="5:14" ht="13.5" customHeight="1">
      <c r="E4358" s="1" t="s">
        <v>843</v>
      </c>
      <c r="F4358" s="1" t="s">
        <v>2867</v>
      </c>
      <c r="G4358" s="406" t="str">
        <f t="shared" ref="G4358:G4402" si="74">G4268</f>
        <v>11-12</v>
      </c>
      <c r="H4358" s="273" t="e">
        <f ca="1">_xludf.IFNA(VLOOKUP(Aragon!E4358,'Kilter Holds'!$P$37:$AB$662,5,0),0)</f>
        <v>#NAME?</v>
      </c>
      <c r="I4358" s="274"/>
      <c r="J4358" s="274" t="e">
        <f t="shared" ca="1" si="72"/>
        <v>#NAME?</v>
      </c>
      <c r="K4358" s="274">
        <f t="shared" si="73"/>
        <v>0</v>
      </c>
      <c r="N4358" s="274"/>
    </row>
    <row r="4359" spans="5:14" ht="13.5" customHeight="1">
      <c r="E4359" s="1" t="s">
        <v>843</v>
      </c>
      <c r="F4359" s="1" t="s">
        <v>2867</v>
      </c>
      <c r="G4359" s="408" t="str">
        <f t="shared" si="74"/>
        <v>14-01</v>
      </c>
      <c r="H4359" s="273" t="e">
        <f ca="1">_xludf.IFNA(VLOOKUP(Aragon!E4359,'Kilter Holds'!$P$37:$AB$662,6,0),0)</f>
        <v>#NAME?</v>
      </c>
      <c r="I4359" s="274"/>
      <c r="J4359" s="274" t="e">
        <f t="shared" ca="1" si="72"/>
        <v>#NAME?</v>
      </c>
      <c r="K4359" s="274">
        <f t="shared" si="73"/>
        <v>0</v>
      </c>
      <c r="N4359" s="274"/>
    </row>
    <row r="4360" spans="5:14" ht="13.5" customHeight="1">
      <c r="E4360" s="1" t="s">
        <v>843</v>
      </c>
      <c r="F4360" s="1" t="s">
        <v>2867</v>
      </c>
      <c r="G4360" s="409" t="str">
        <f t="shared" si="74"/>
        <v>15-12</v>
      </c>
      <c r="H4360" s="273" t="e">
        <f ca="1">_xludf.IFNA(VLOOKUP(Aragon!E4360,'Kilter Holds'!$P$37:$AB$662,7,0),0)</f>
        <v>#NAME?</v>
      </c>
      <c r="I4360" s="274"/>
      <c r="J4360" s="274" t="e">
        <f t="shared" ca="1" si="72"/>
        <v>#NAME?</v>
      </c>
      <c r="K4360" s="274">
        <f t="shared" si="73"/>
        <v>0</v>
      </c>
      <c r="N4360" s="274"/>
    </row>
    <row r="4361" spans="5:14" ht="13.5" customHeight="1">
      <c r="E4361" s="1" t="s">
        <v>843</v>
      </c>
      <c r="F4361" s="1" t="s">
        <v>2867</v>
      </c>
      <c r="G4361" s="410" t="str">
        <f t="shared" si="74"/>
        <v>16-16</v>
      </c>
      <c r="H4361" s="273" t="e">
        <f ca="1">_xludf.IFNA(VLOOKUP(Aragon!E4361,'Kilter Holds'!$P$37:$AB$662,8,0),0)</f>
        <v>#NAME?</v>
      </c>
      <c r="I4361" s="274"/>
      <c r="J4361" s="274" t="e">
        <f t="shared" ca="1" si="72"/>
        <v>#NAME?</v>
      </c>
      <c r="K4361" s="274">
        <f t="shared" si="73"/>
        <v>0</v>
      </c>
      <c r="N4361" s="274"/>
    </row>
    <row r="4362" spans="5:14" ht="13.5" customHeight="1">
      <c r="E4362" s="1" t="s">
        <v>843</v>
      </c>
      <c r="F4362" s="1" t="s">
        <v>2867</v>
      </c>
      <c r="G4362" s="411" t="str">
        <f t="shared" si="74"/>
        <v>13-01</v>
      </c>
      <c r="H4362" s="273" t="e">
        <f ca="1">_xludf.IFNA(VLOOKUP(Aragon!E4362,'Kilter Holds'!$P$37:$AB$662,9,0),0)</f>
        <v>#NAME?</v>
      </c>
      <c r="I4362" s="274"/>
      <c r="J4362" s="274" t="e">
        <f t="shared" ca="1" si="72"/>
        <v>#NAME?</v>
      </c>
      <c r="K4362" s="274">
        <f t="shared" si="73"/>
        <v>0</v>
      </c>
      <c r="N4362" s="274"/>
    </row>
    <row r="4363" spans="5:14" ht="13.5" customHeight="1">
      <c r="E4363" s="1" t="s">
        <v>843</v>
      </c>
      <c r="F4363" s="1" t="s">
        <v>2867</v>
      </c>
      <c r="G4363" s="413" t="str">
        <f t="shared" si="74"/>
        <v>07-13</v>
      </c>
      <c r="H4363" s="273" t="e">
        <f ca="1">_xludf.IFNA(VLOOKUP(Aragon!E4363,'Kilter Holds'!$P$37:$AB$662,10,0),0)</f>
        <v>#NAME?</v>
      </c>
      <c r="I4363" s="274"/>
      <c r="J4363" s="274" t="e">
        <f t="shared" ca="1" si="72"/>
        <v>#NAME?</v>
      </c>
      <c r="K4363" s="274">
        <f t="shared" si="73"/>
        <v>0</v>
      </c>
      <c r="N4363" s="274"/>
    </row>
    <row r="4364" spans="5:14" ht="13.5" customHeight="1">
      <c r="E4364" s="1" t="s">
        <v>843</v>
      </c>
      <c r="F4364" s="1" t="s">
        <v>2867</v>
      </c>
      <c r="G4364" s="414" t="str">
        <f t="shared" si="74"/>
        <v>11-26</v>
      </c>
      <c r="H4364" s="273" t="e">
        <f ca="1">_xludf.IFNA(VLOOKUP(Aragon!E4364,'Kilter Holds'!$P$37:$AB$662,11,0),0)</f>
        <v>#NAME?</v>
      </c>
      <c r="I4364" s="274"/>
      <c r="J4364" s="274" t="e">
        <f t="shared" ca="1" si="72"/>
        <v>#NAME?</v>
      </c>
      <c r="K4364" s="274">
        <f t="shared" si="73"/>
        <v>0</v>
      </c>
      <c r="N4364" s="274"/>
    </row>
    <row r="4365" spans="5:14" ht="13.5" customHeight="1">
      <c r="E4365" s="1" t="s">
        <v>843</v>
      </c>
      <c r="F4365" s="1" t="s">
        <v>2867</v>
      </c>
      <c r="G4365" s="415" t="str">
        <f t="shared" si="74"/>
        <v>18-01</v>
      </c>
      <c r="H4365" s="273" t="e">
        <f ca="1">_xludf.IFNA(VLOOKUP(Aragon!E4365,'Kilter Holds'!$P$37:$AB$662,12,0),0)</f>
        <v>#NAME?</v>
      </c>
      <c r="I4365" s="274"/>
      <c r="J4365" s="274" t="e">
        <f t="shared" ca="1" si="72"/>
        <v>#NAME?</v>
      </c>
      <c r="K4365" s="274">
        <f t="shared" si="73"/>
        <v>0</v>
      </c>
      <c r="N4365" s="274"/>
    </row>
    <row r="4366" spans="5:14" ht="13.5" customHeight="1">
      <c r="E4366" s="1" t="s">
        <v>843</v>
      </c>
      <c r="F4366" s="1" t="s">
        <v>2867</v>
      </c>
      <c r="G4366" s="416" t="str">
        <f t="shared" si="74"/>
        <v>Color Code</v>
      </c>
      <c r="H4366" s="273" t="e">
        <f ca="1">_xludf.IFNA(VLOOKUP(Aragon!E4366,'Kilter Holds'!$P$37:$AB$662,13,0),0)</f>
        <v>#NAME?</v>
      </c>
      <c r="I4366" s="274"/>
      <c r="J4366" s="274" t="e">
        <f t="shared" ca="1" si="72"/>
        <v>#NAME?</v>
      </c>
      <c r="K4366" s="274">
        <f t="shared" si="73"/>
        <v>0</v>
      </c>
      <c r="N4366" s="274"/>
    </row>
    <row r="4367" spans="5:14" ht="13.5" customHeight="1">
      <c r="E4367" s="1" t="s">
        <v>851</v>
      </c>
      <c r="F4367" s="1" t="s">
        <v>2868</v>
      </c>
      <c r="G4367" s="406" t="str">
        <f t="shared" si="74"/>
        <v>11-12</v>
      </c>
      <c r="H4367" s="273" t="e">
        <f ca="1">_xludf.IFNA(VLOOKUP(Aragon!E4367,'Kilter Holds'!$P$37:$AB$662,5,0),0)</f>
        <v>#NAME?</v>
      </c>
      <c r="I4367" s="274"/>
      <c r="J4367" s="274" t="e">
        <f t="shared" ca="1" si="72"/>
        <v>#NAME?</v>
      </c>
      <c r="K4367" s="274">
        <f t="shared" si="73"/>
        <v>0</v>
      </c>
      <c r="N4367" s="274"/>
    </row>
    <row r="4368" spans="5:14" ht="13.5" customHeight="1">
      <c r="E4368" s="1" t="s">
        <v>851</v>
      </c>
      <c r="F4368" s="1" t="s">
        <v>2868</v>
      </c>
      <c r="G4368" s="408" t="str">
        <f t="shared" si="74"/>
        <v>14-01</v>
      </c>
      <c r="H4368" s="273" t="e">
        <f ca="1">_xludf.IFNA(VLOOKUP(Aragon!E4368,'Kilter Holds'!$P$37:$AB$662,6,0),0)</f>
        <v>#NAME?</v>
      </c>
      <c r="I4368" s="274"/>
      <c r="J4368" s="274" t="e">
        <f t="shared" ca="1" si="72"/>
        <v>#NAME?</v>
      </c>
      <c r="K4368" s="274">
        <f t="shared" si="73"/>
        <v>0</v>
      </c>
      <c r="N4368" s="274"/>
    </row>
    <row r="4369" spans="5:14" ht="13.5" customHeight="1">
      <c r="E4369" s="1" t="s">
        <v>851</v>
      </c>
      <c r="F4369" s="1" t="s">
        <v>2868</v>
      </c>
      <c r="G4369" s="409" t="str">
        <f t="shared" si="74"/>
        <v>15-12</v>
      </c>
      <c r="H4369" s="273" t="e">
        <f ca="1">_xludf.IFNA(VLOOKUP(Aragon!E4369,'Kilter Holds'!$P$37:$AB$662,7,0),0)</f>
        <v>#NAME?</v>
      </c>
      <c r="I4369" s="274"/>
      <c r="J4369" s="274" t="e">
        <f t="shared" ca="1" si="72"/>
        <v>#NAME?</v>
      </c>
      <c r="K4369" s="274">
        <f t="shared" si="73"/>
        <v>0</v>
      </c>
      <c r="N4369" s="274"/>
    </row>
    <row r="4370" spans="5:14" ht="13.5" customHeight="1">
      <c r="E4370" s="1" t="s">
        <v>851</v>
      </c>
      <c r="F4370" s="1" t="s">
        <v>2868</v>
      </c>
      <c r="G4370" s="410" t="str">
        <f t="shared" si="74"/>
        <v>16-16</v>
      </c>
      <c r="H4370" s="273" t="e">
        <f ca="1">_xludf.IFNA(VLOOKUP(Aragon!E4370,'Kilter Holds'!$P$37:$AB$662,8,0),0)</f>
        <v>#NAME?</v>
      </c>
      <c r="I4370" s="274"/>
      <c r="J4370" s="274" t="e">
        <f t="shared" ca="1" si="72"/>
        <v>#NAME?</v>
      </c>
      <c r="K4370" s="274">
        <f t="shared" si="73"/>
        <v>0</v>
      </c>
      <c r="N4370" s="274"/>
    </row>
    <row r="4371" spans="5:14" ht="13.5" customHeight="1">
      <c r="E4371" s="1" t="s">
        <v>851</v>
      </c>
      <c r="F4371" s="1" t="s">
        <v>2868</v>
      </c>
      <c r="G4371" s="411" t="str">
        <f t="shared" si="74"/>
        <v>13-01</v>
      </c>
      <c r="H4371" s="273" t="e">
        <f ca="1">_xludf.IFNA(VLOOKUP(Aragon!E4371,'Kilter Holds'!$P$37:$AB$662,9,0),0)</f>
        <v>#NAME?</v>
      </c>
      <c r="I4371" s="274"/>
      <c r="J4371" s="274" t="e">
        <f t="shared" ca="1" si="72"/>
        <v>#NAME?</v>
      </c>
      <c r="K4371" s="274">
        <f t="shared" si="73"/>
        <v>0</v>
      </c>
      <c r="N4371" s="274"/>
    </row>
    <row r="4372" spans="5:14" ht="13.5" customHeight="1">
      <c r="E4372" s="1" t="s">
        <v>851</v>
      </c>
      <c r="F4372" s="1" t="s">
        <v>2868</v>
      </c>
      <c r="G4372" s="413" t="str">
        <f t="shared" si="74"/>
        <v>07-13</v>
      </c>
      <c r="H4372" s="273" t="e">
        <f ca="1">_xludf.IFNA(VLOOKUP(Aragon!E4372,'Kilter Holds'!$P$37:$AB$662,10,0),0)</f>
        <v>#NAME?</v>
      </c>
      <c r="I4372" s="274"/>
      <c r="J4372" s="274" t="e">
        <f t="shared" ca="1" si="72"/>
        <v>#NAME?</v>
      </c>
      <c r="K4372" s="274">
        <f t="shared" si="73"/>
        <v>0</v>
      </c>
      <c r="N4372" s="274"/>
    </row>
    <row r="4373" spans="5:14" ht="13.5" customHeight="1">
      <c r="E4373" s="1" t="s">
        <v>851</v>
      </c>
      <c r="F4373" s="1" t="s">
        <v>2868</v>
      </c>
      <c r="G4373" s="414" t="str">
        <f t="shared" si="74"/>
        <v>11-26</v>
      </c>
      <c r="H4373" s="273" t="e">
        <f ca="1">_xludf.IFNA(VLOOKUP(Aragon!E4373,'Kilter Holds'!$P$37:$AB$662,11,0),0)</f>
        <v>#NAME?</v>
      </c>
      <c r="I4373" s="274"/>
      <c r="J4373" s="274" t="e">
        <f t="shared" ca="1" si="72"/>
        <v>#NAME?</v>
      </c>
      <c r="K4373" s="274">
        <f t="shared" si="73"/>
        <v>0</v>
      </c>
      <c r="N4373" s="274"/>
    </row>
    <row r="4374" spans="5:14" ht="13.5" customHeight="1">
      <c r="E4374" s="1" t="s">
        <v>851</v>
      </c>
      <c r="F4374" s="1" t="s">
        <v>2868</v>
      </c>
      <c r="G4374" s="415" t="str">
        <f t="shared" si="74"/>
        <v>18-01</v>
      </c>
      <c r="H4374" s="273" t="e">
        <f ca="1">_xludf.IFNA(VLOOKUP(Aragon!E4374,'Kilter Holds'!$P$37:$AB$662,12,0),0)</f>
        <v>#NAME?</v>
      </c>
      <c r="I4374" s="274"/>
      <c r="J4374" s="274" t="e">
        <f t="shared" ca="1" si="72"/>
        <v>#NAME?</v>
      </c>
      <c r="K4374" s="274">
        <f t="shared" si="73"/>
        <v>0</v>
      </c>
      <c r="N4374" s="274"/>
    </row>
    <row r="4375" spans="5:14" ht="13.5" customHeight="1">
      <c r="E4375" s="1" t="s">
        <v>851</v>
      </c>
      <c r="F4375" s="1" t="s">
        <v>2868</v>
      </c>
      <c r="G4375" s="416" t="str">
        <f t="shared" si="74"/>
        <v>Color Code</v>
      </c>
      <c r="H4375" s="273" t="e">
        <f ca="1">_xludf.IFNA(VLOOKUP(Aragon!E4375,'Kilter Holds'!$P$37:$AB$662,13,0),0)</f>
        <v>#NAME?</v>
      </c>
      <c r="I4375" s="274"/>
      <c r="J4375" s="274" t="e">
        <f t="shared" ca="1" si="72"/>
        <v>#NAME?</v>
      </c>
      <c r="K4375" s="274">
        <f t="shared" si="73"/>
        <v>0</v>
      </c>
      <c r="N4375" s="274"/>
    </row>
    <row r="4376" spans="5:14" ht="13.5" customHeight="1">
      <c r="E4376" s="1" t="s">
        <v>2869</v>
      </c>
      <c r="F4376" s="1" t="s">
        <v>2870</v>
      </c>
      <c r="G4376" s="406" t="str">
        <f t="shared" si="74"/>
        <v>11-12</v>
      </c>
      <c r="H4376" s="273" t="e">
        <f ca="1">_xludf.IFNA(VLOOKUP(Aragon!E4376,'Kilter Holds'!$P$37:$AB$662,5,0),0)</f>
        <v>#NAME?</v>
      </c>
      <c r="I4376" s="274"/>
      <c r="J4376" s="274" t="e">
        <f t="shared" ca="1" si="72"/>
        <v>#NAME?</v>
      </c>
      <c r="K4376" s="274">
        <f t="shared" si="73"/>
        <v>0</v>
      </c>
      <c r="N4376" s="274"/>
    </row>
    <row r="4377" spans="5:14" ht="13.5" customHeight="1">
      <c r="E4377" s="1" t="s">
        <v>2869</v>
      </c>
      <c r="F4377" s="1" t="s">
        <v>2870</v>
      </c>
      <c r="G4377" s="408" t="str">
        <f t="shared" si="74"/>
        <v>14-01</v>
      </c>
      <c r="H4377" s="273" t="e">
        <f ca="1">_xludf.IFNA(VLOOKUP(Aragon!E4377,'Kilter Holds'!$P$37:$AB$662,6,0),0)</f>
        <v>#NAME?</v>
      </c>
      <c r="I4377" s="274"/>
      <c r="J4377" s="274" t="e">
        <f t="shared" ca="1" si="72"/>
        <v>#NAME?</v>
      </c>
      <c r="K4377" s="274">
        <f t="shared" si="73"/>
        <v>0</v>
      </c>
      <c r="N4377" s="274"/>
    </row>
    <row r="4378" spans="5:14" ht="13.5" customHeight="1">
      <c r="E4378" s="1" t="s">
        <v>2869</v>
      </c>
      <c r="F4378" s="1" t="s">
        <v>2870</v>
      </c>
      <c r="G4378" s="409" t="str">
        <f t="shared" si="74"/>
        <v>15-12</v>
      </c>
      <c r="H4378" s="273" t="e">
        <f ca="1">_xludf.IFNA(VLOOKUP(Aragon!E4378,'Kilter Holds'!$P$37:$AB$662,7,0),0)</f>
        <v>#NAME?</v>
      </c>
      <c r="I4378" s="274"/>
      <c r="J4378" s="274" t="e">
        <f t="shared" ca="1" si="72"/>
        <v>#NAME?</v>
      </c>
      <c r="K4378" s="274">
        <f t="shared" si="73"/>
        <v>0</v>
      </c>
      <c r="N4378" s="274"/>
    </row>
    <row r="4379" spans="5:14" ht="13.5" customHeight="1">
      <c r="E4379" s="1" t="s">
        <v>2869</v>
      </c>
      <c r="F4379" s="1" t="s">
        <v>2870</v>
      </c>
      <c r="G4379" s="410" t="str">
        <f t="shared" si="74"/>
        <v>16-16</v>
      </c>
      <c r="H4379" s="273" t="e">
        <f ca="1">_xludf.IFNA(VLOOKUP(Aragon!E4379,'Kilter Holds'!$P$37:$AB$662,8,0),0)</f>
        <v>#NAME?</v>
      </c>
      <c r="I4379" s="274"/>
      <c r="J4379" s="274" t="e">
        <f t="shared" ca="1" si="72"/>
        <v>#NAME?</v>
      </c>
      <c r="K4379" s="274">
        <f t="shared" si="73"/>
        <v>0</v>
      </c>
      <c r="N4379" s="274"/>
    </row>
    <row r="4380" spans="5:14" ht="13.5" customHeight="1">
      <c r="E4380" s="1" t="s">
        <v>2869</v>
      </c>
      <c r="F4380" s="1" t="s">
        <v>2870</v>
      </c>
      <c r="G4380" s="411" t="str">
        <f t="shared" si="74"/>
        <v>13-01</v>
      </c>
      <c r="H4380" s="273" t="e">
        <f ca="1">_xludf.IFNA(VLOOKUP(Aragon!E4380,'Kilter Holds'!$P$37:$AB$662,9,0),0)</f>
        <v>#NAME?</v>
      </c>
      <c r="I4380" s="274"/>
      <c r="J4380" s="274" t="e">
        <f t="shared" ca="1" si="72"/>
        <v>#NAME?</v>
      </c>
      <c r="K4380" s="274">
        <f t="shared" si="73"/>
        <v>0</v>
      </c>
      <c r="N4380" s="274"/>
    </row>
    <row r="4381" spans="5:14" ht="13.5" customHeight="1">
      <c r="E4381" s="1" t="s">
        <v>2869</v>
      </c>
      <c r="F4381" s="1" t="s">
        <v>2870</v>
      </c>
      <c r="G4381" s="413" t="str">
        <f t="shared" si="74"/>
        <v>07-13</v>
      </c>
      <c r="H4381" s="273" t="e">
        <f ca="1">_xludf.IFNA(VLOOKUP(Aragon!E4381,'Kilter Holds'!$P$37:$AB$662,10,0),0)</f>
        <v>#NAME?</v>
      </c>
      <c r="I4381" s="274"/>
      <c r="J4381" s="274" t="e">
        <f t="shared" ca="1" si="72"/>
        <v>#NAME?</v>
      </c>
      <c r="K4381" s="274">
        <f t="shared" si="73"/>
        <v>0</v>
      </c>
      <c r="N4381" s="274"/>
    </row>
    <row r="4382" spans="5:14" ht="13.5" customHeight="1">
      <c r="E4382" s="1" t="s">
        <v>2869</v>
      </c>
      <c r="F4382" s="1" t="s">
        <v>2870</v>
      </c>
      <c r="G4382" s="414" t="str">
        <f t="shared" si="74"/>
        <v>11-26</v>
      </c>
      <c r="H4382" s="273" t="e">
        <f ca="1">_xludf.IFNA(VLOOKUP(Aragon!E4382,'Kilter Holds'!$P$37:$AB$662,11,0),0)</f>
        <v>#NAME?</v>
      </c>
      <c r="I4382" s="274"/>
      <c r="J4382" s="274" t="e">
        <f t="shared" ca="1" si="72"/>
        <v>#NAME?</v>
      </c>
      <c r="K4382" s="274">
        <f t="shared" si="73"/>
        <v>0</v>
      </c>
      <c r="N4382" s="274"/>
    </row>
    <row r="4383" spans="5:14" ht="13.5" customHeight="1">
      <c r="E4383" s="1" t="s">
        <v>2869</v>
      </c>
      <c r="F4383" s="1" t="s">
        <v>2870</v>
      </c>
      <c r="G4383" s="415" t="str">
        <f t="shared" si="74"/>
        <v>18-01</v>
      </c>
      <c r="H4383" s="273" t="e">
        <f ca="1">_xludf.IFNA(VLOOKUP(Aragon!E4383,'Kilter Holds'!$P$37:$AB$662,12,0),0)</f>
        <v>#NAME?</v>
      </c>
      <c r="I4383" s="274"/>
      <c r="J4383" s="274" t="e">
        <f t="shared" ca="1" si="72"/>
        <v>#NAME?</v>
      </c>
      <c r="K4383" s="274">
        <f t="shared" si="73"/>
        <v>0</v>
      </c>
      <c r="N4383" s="274"/>
    </row>
    <row r="4384" spans="5:14" ht="13.5" customHeight="1">
      <c r="E4384" s="1" t="s">
        <v>2869</v>
      </c>
      <c r="F4384" s="1" t="s">
        <v>2870</v>
      </c>
      <c r="G4384" s="416" t="str">
        <f t="shared" si="74"/>
        <v>Color Code</v>
      </c>
      <c r="H4384" s="273" t="e">
        <f ca="1">_xludf.IFNA(VLOOKUP(Aragon!E4384,'Kilter Holds'!$P$37:$AB$662,13,0),0)</f>
        <v>#NAME?</v>
      </c>
      <c r="I4384" s="274"/>
      <c r="J4384" s="274" t="e">
        <f t="shared" ca="1" si="72"/>
        <v>#NAME?</v>
      </c>
      <c r="K4384" s="274">
        <f t="shared" si="73"/>
        <v>0</v>
      </c>
      <c r="N4384" s="274"/>
    </row>
    <row r="4385" spans="5:14" ht="13.5" customHeight="1">
      <c r="E4385" s="1" t="s">
        <v>1229</v>
      </c>
      <c r="F4385" s="1" t="s">
        <v>2871</v>
      </c>
      <c r="G4385" s="406" t="str">
        <f t="shared" si="74"/>
        <v>11-12</v>
      </c>
      <c r="H4385" s="273" t="e">
        <f ca="1">_xludf.IFNA(VLOOKUP(Aragon!E4385,'Kilter Holds'!$P$37:$AB$662,5,0),0)</f>
        <v>#NAME?</v>
      </c>
      <c r="I4385" s="274"/>
      <c r="J4385" s="274" t="e">
        <f t="shared" ca="1" si="72"/>
        <v>#NAME?</v>
      </c>
      <c r="K4385" s="274">
        <f t="shared" si="73"/>
        <v>0</v>
      </c>
      <c r="N4385" s="274"/>
    </row>
    <row r="4386" spans="5:14" ht="13.5" customHeight="1">
      <c r="E4386" s="1" t="s">
        <v>1229</v>
      </c>
      <c r="F4386" s="1" t="s">
        <v>2871</v>
      </c>
      <c r="G4386" s="408" t="str">
        <f t="shared" si="74"/>
        <v>14-01</v>
      </c>
      <c r="H4386" s="273" t="e">
        <f ca="1">_xludf.IFNA(VLOOKUP(Aragon!E4386,'Kilter Holds'!$P$37:$AB$662,6,0),0)</f>
        <v>#NAME?</v>
      </c>
      <c r="I4386" s="274"/>
      <c r="J4386" s="274" t="e">
        <f t="shared" ca="1" si="72"/>
        <v>#NAME?</v>
      </c>
      <c r="K4386" s="274">
        <f t="shared" si="73"/>
        <v>0</v>
      </c>
      <c r="N4386" s="274"/>
    </row>
    <row r="4387" spans="5:14" ht="13.5" customHeight="1">
      <c r="E4387" s="1" t="s">
        <v>1229</v>
      </c>
      <c r="F4387" s="1" t="s">
        <v>2871</v>
      </c>
      <c r="G4387" s="409" t="str">
        <f t="shared" si="74"/>
        <v>15-12</v>
      </c>
      <c r="H4387" s="273" t="e">
        <f ca="1">_xludf.IFNA(VLOOKUP(Aragon!E4387,'Kilter Holds'!$P$37:$AB$662,7,0),0)</f>
        <v>#NAME?</v>
      </c>
      <c r="I4387" s="274"/>
      <c r="J4387" s="274" t="e">
        <f t="shared" ca="1" si="72"/>
        <v>#NAME?</v>
      </c>
      <c r="K4387" s="274">
        <f t="shared" si="73"/>
        <v>0</v>
      </c>
      <c r="N4387" s="274"/>
    </row>
    <row r="4388" spans="5:14" ht="13.5" customHeight="1">
      <c r="E4388" s="1" t="s">
        <v>1229</v>
      </c>
      <c r="F4388" s="1" t="s">
        <v>2871</v>
      </c>
      <c r="G4388" s="410" t="str">
        <f t="shared" si="74"/>
        <v>16-16</v>
      </c>
      <c r="H4388" s="273" t="e">
        <f ca="1">_xludf.IFNA(VLOOKUP(Aragon!E4388,'Kilter Holds'!$P$37:$AB$662,8,0),0)</f>
        <v>#NAME?</v>
      </c>
      <c r="I4388" s="274"/>
      <c r="J4388" s="274" t="e">
        <f t="shared" ca="1" si="72"/>
        <v>#NAME?</v>
      </c>
      <c r="K4388" s="274">
        <f t="shared" si="73"/>
        <v>0</v>
      </c>
      <c r="N4388" s="274"/>
    </row>
    <row r="4389" spans="5:14" ht="13.5" customHeight="1">
      <c r="E4389" s="1" t="s">
        <v>1229</v>
      </c>
      <c r="F4389" s="1" t="s">
        <v>2871</v>
      </c>
      <c r="G4389" s="411" t="str">
        <f t="shared" si="74"/>
        <v>13-01</v>
      </c>
      <c r="H4389" s="273" t="e">
        <f ca="1">_xludf.IFNA(VLOOKUP(Aragon!E4389,'Kilter Holds'!$P$37:$AB$662,9,0),0)</f>
        <v>#NAME?</v>
      </c>
      <c r="I4389" s="274"/>
      <c r="J4389" s="274" t="e">
        <f t="shared" ca="1" si="72"/>
        <v>#NAME?</v>
      </c>
      <c r="K4389" s="274">
        <f t="shared" si="73"/>
        <v>0</v>
      </c>
      <c r="N4389" s="274"/>
    </row>
    <row r="4390" spans="5:14" ht="13.5" customHeight="1">
      <c r="E4390" s="1" t="s">
        <v>1229</v>
      </c>
      <c r="F4390" s="1" t="s">
        <v>2871</v>
      </c>
      <c r="G4390" s="413" t="str">
        <f t="shared" si="74"/>
        <v>07-13</v>
      </c>
      <c r="H4390" s="273" t="e">
        <f ca="1">_xludf.IFNA(VLOOKUP(Aragon!E4390,'Kilter Holds'!$P$37:$AB$662,10,0),0)</f>
        <v>#NAME?</v>
      </c>
      <c r="I4390" s="274"/>
      <c r="J4390" s="274" t="e">
        <f t="shared" ca="1" si="72"/>
        <v>#NAME?</v>
      </c>
      <c r="K4390" s="274">
        <f t="shared" si="73"/>
        <v>0</v>
      </c>
      <c r="N4390" s="274"/>
    </row>
    <row r="4391" spans="5:14" ht="13.5" customHeight="1">
      <c r="E4391" s="1" t="s">
        <v>1229</v>
      </c>
      <c r="F4391" s="1" t="s">
        <v>2871</v>
      </c>
      <c r="G4391" s="414" t="str">
        <f t="shared" si="74"/>
        <v>11-26</v>
      </c>
      <c r="H4391" s="273" t="e">
        <f ca="1">_xludf.IFNA(VLOOKUP(Aragon!E4391,'Kilter Holds'!$P$37:$AB$662,11,0),0)</f>
        <v>#NAME?</v>
      </c>
      <c r="I4391" s="274"/>
      <c r="J4391" s="274" t="e">
        <f t="shared" ca="1" si="72"/>
        <v>#NAME?</v>
      </c>
      <c r="K4391" s="274">
        <f t="shared" si="73"/>
        <v>0</v>
      </c>
      <c r="N4391" s="274"/>
    </row>
    <row r="4392" spans="5:14" ht="13.5" customHeight="1">
      <c r="E4392" s="1" t="s">
        <v>1229</v>
      </c>
      <c r="F4392" s="1" t="s">
        <v>2871</v>
      </c>
      <c r="G4392" s="415" t="str">
        <f t="shared" si="74"/>
        <v>18-01</v>
      </c>
      <c r="H4392" s="273" t="e">
        <f ca="1">_xludf.IFNA(VLOOKUP(Aragon!E4392,'Kilter Holds'!$P$37:$AB$662,12,0),0)</f>
        <v>#NAME?</v>
      </c>
      <c r="I4392" s="274"/>
      <c r="J4392" s="274" t="e">
        <f t="shared" ca="1" si="72"/>
        <v>#NAME?</v>
      </c>
      <c r="K4392" s="274">
        <f t="shared" si="73"/>
        <v>0</v>
      </c>
      <c r="N4392" s="274"/>
    </row>
    <row r="4393" spans="5:14" ht="13.5" customHeight="1">
      <c r="E4393" s="1" t="s">
        <v>1229</v>
      </c>
      <c r="F4393" s="1" t="s">
        <v>2871</v>
      </c>
      <c r="G4393" s="416" t="str">
        <f t="shared" si="74"/>
        <v>Color Code</v>
      </c>
      <c r="H4393" s="273" t="e">
        <f ca="1">_xludf.IFNA(VLOOKUP(Aragon!E4393,'Kilter Holds'!$P$37:$AB$662,13,0),0)</f>
        <v>#NAME?</v>
      </c>
      <c r="I4393" s="274"/>
      <c r="J4393" s="274" t="e">
        <f t="shared" ca="1" si="72"/>
        <v>#NAME?</v>
      </c>
      <c r="K4393" s="274">
        <f t="shared" si="73"/>
        <v>0</v>
      </c>
      <c r="N4393" s="274"/>
    </row>
    <row r="4394" spans="5:14" ht="13.5" customHeight="1">
      <c r="E4394" s="1" t="s">
        <v>677</v>
      </c>
      <c r="F4394" s="1" t="s">
        <v>2872</v>
      </c>
      <c r="G4394" s="406" t="str">
        <f t="shared" si="74"/>
        <v>11-12</v>
      </c>
      <c r="H4394" s="273" t="e">
        <f ca="1">_xludf.IFNA(VLOOKUP(Aragon!E4394,'Kilter Holds'!$P$37:$AB$662,5,0),0)</f>
        <v>#NAME?</v>
      </c>
      <c r="I4394" s="274"/>
      <c r="J4394" s="274" t="e">
        <f t="shared" ca="1" si="72"/>
        <v>#NAME?</v>
      </c>
      <c r="K4394" s="274">
        <f t="shared" si="73"/>
        <v>0</v>
      </c>
      <c r="N4394" s="274"/>
    </row>
    <row r="4395" spans="5:14" ht="13.5" customHeight="1">
      <c r="E4395" s="1" t="s">
        <v>677</v>
      </c>
      <c r="F4395" s="1" t="s">
        <v>2872</v>
      </c>
      <c r="G4395" s="408" t="str">
        <f t="shared" si="74"/>
        <v>14-01</v>
      </c>
      <c r="H4395" s="273" t="e">
        <f ca="1">_xludf.IFNA(VLOOKUP(Aragon!E4395,'Kilter Holds'!$P$37:$AB$662,6,0),0)</f>
        <v>#NAME?</v>
      </c>
      <c r="I4395" s="274"/>
      <c r="J4395" s="274" t="e">
        <f t="shared" ca="1" si="72"/>
        <v>#NAME?</v>
      </c>
      <c r="K4395" s="274">
        <f t="shared" si="73"/>
        <v>0</v>
      </c>
      <c r="N4395" s="274"/>
    </row>
    <row r="4396" spans="5:14" ht="13.5" customHeight="1">
      <c r="E4396" s="1" t="s">
        <v>677</v>
      </c>
      <c r="F4396" s="1" t="s">
        <v>2872</v>
      </c>
      <c r="G4396" s="409" t="str">
        <f t="shared" si="74"/>
        <v>15-12</v>
      </c>
      <c r="H4396" s="273" t="e">
        <f ca="1">_xludf.IFNA(VLOOKUP(Aragon!E4396,'Kilter Holds'!$P$37:$AB$662,7,0),0)</f>
        <v>#NAME?</v>
      </c>
      <c r="I4396" s="274"/>
      <c r="J4396" s="274" t="e">
        <f t="shared" ca="1" si="72"/>
        <v>#NAME?</v>
      </c>
      <c r="K4396" s="274">
        <f t="shared" si="73"/>
        <v>0</v>
      </c>
      <c r="N4396" s="274"/>
    </row>
    <row r="4397" spans="5:14" ht="13.5" customHeight="1">
      <c r="E4397" s="1" t="s">
        <v>677</v>
      </c>
      <c r="F4397" s="1" t="s">
        <v>2872</v>
      </c>
      <c r="G4397" s="410" t="str">
        <f t="shared" si="74"/>
        <v>16-16</v>
      </c>
      <c r="H4397" s="273" t="e">
        <f ca="1">_xludf.IFNA(VLOOKUP(Aragon!E4397,'Kilter Holds'!$P$37:$AB$662,8,0),0)</f>
        <v>#NAME?</v>
      </c>
      <c r="I4397" s="274"/>
      <c r="J4397" s="274" t="e">
        <f t="shared" ca="1" si="72"/>
        <v>#NAME?</v>
      </c>
      <c r="K4397" s="274">
        <f t="shared" si="73"/>
        <v>0</v>
      </c>
      <c r="N4397" s="274"/>
    </row>
    <row r="4398" spans="5:14" ht="13.5" customHeight="1">
      <c r="E4398" s="1" t="s">
        <v>677</v>
      </c>
      <c r="F4398" s="1" t="s">
        <v>2872</v>
      </c>
      <c r="G4398" s="411" t="str">
        <f t="shared" si="74"/>
        <v>13-01</v>
      </c>
      <c r="H4398" s="273" t="e">
        <f ca="1">_xludf.IFNA(VLOOKUP(Aragon!E4398,'Kilter Holds'!$P$37:$AB$662,9,0),0)</f>
        <v>#NAME?</v>
      </c>
      <c r="I4398" s="274"/>
      <c r="J4398" s="274" t="e">
        <f t="shared" ca="1" si="72"/>
        <v>#NAME?</v>
      </c>
      <c r="K4398" s="274">
        <f t="shared" si="73"/>
        <v>0</v>
      </c>
      <c r="N4398" s="274"/>
    </row>
    <row r="4399" spans="5:14" ht="13.5" customHeight="1">
      <c r="E4399" s="1" t="s">
        <v>677</v>
      </c>
      <c r="F4399" s="1" t="s">
        <v>2872</v>
      </c>
      <c r="G4399" s="413" t="str">
        <f t="shared" si="74"/>
        <v>07-13</v>
      </c>
      <c r="H4399" s="273" t="e">
        <f ca="1">_xludf.IFNA(VLOOKUP(Aragon!E4399,'Kilter Holds'!$P$37:$AB$662,10,0),0)</f>
        <v>#NAME?</v>
      </c>
      <c r="I4399" s="274"/>
      <c r="J4399" s="274" t="e">
        <f t="shared" ca="1" si="72"/>
        <v>#NAME?</v>
      </c>
      <c r="K4399" s="274">
        <f t="shared" si="73"/>
        <v>0</v>
      </c>
      <c r="N4399" s="274"/>
    </row>
    <row r="4400" spans="5:14" ht="13.5" customHeight="1">
      <c r="E4400" s="1" t="s">
        <v>677</v>
      </c>
      <c r="F4400" s="1" t="s">
        <v>2872</v>
      </c>
      <c r="G4400" s="414" t="str">
        <f t="shared" si="74"/>
        <v>11-26</v>
      </c>
      <c r="H4400" s="273" t="e">
        <f ca="1">_xludf.IFNA(VLOOKUP(Aragon!E4400,'Kilter Holds'!$P$37:$AB$662,11,0),0)</f>
        <v>#NAME?</v>
      </c>
      <c r="I4400" s="274"/>
      <c r="J4400" s="274" t="e">
        <f t="shared" ca="1" si="72"/>
        <v>#NAME?</v>
      </c>
      <c r="K4400" s="274">
        <f t="shared" si="73"/>
        <v>0</v>
      </c>
      <c r="N4400" s="274"/>
    </row>
    <row r="4401" spans="5:14" ht="13.5" customHeight="1">
      <c r="E4401" s="1" t="s">
        <v>677</v>
      </c>
      <c r="F4401" s="1" t="s">
        <v>2872</v>
      </c>
      <c r="G4401" s="415" t="str">
        <f t="shared" si="74"/>
        <v>18-01</v>
      </c>
      <c r="H4401" s="273" t="e">
        <f ca="1">_xludf.IFNA(VLOOKUP(Aragon!E4401,'Kilter Holds'!$P$37:$AB$662,12,0),0)</f>
        <v>#NAME?</v>
      </c>
      <c r="I4401" s="274"/>
      <c r="J4401" s="274" t="e">
        <f t="shared" ca="1" si="72"/>
        <v>#NAME?</v>
      </c>
      <c r="K4401" s="274">
        <f t="shared" si="73"/>
        <v>0</v>
      </c>
      <c r="N4401" s="274"/>
    </row>
    <row r="4402" spans="5:14" ht="13.5" customHeight="1">
      <c r="E4402" s="1" t="s">
        <v>677</v>
      </c>
      <c r="F4402" s="1" t="s">
        <v>2872</v>
      </c>
      <c r="G4402" s="416" t="str">
        <f t="shared" si="74"/>
        <v>Color Code</v>
      </c>
      <c r="H4402" s="273" t="e">
        <f ca="1">_xludf.IFNA(VLOOKUP(Aragon!E4402,'Kilter Holds'!$P$37:$AB$662,13,0),0)</f>
        <v>#NAME?</v>
      </c>
      <c r="I4402" s="274"/>
      <c r="J4402" s="274" t="e">
        <f t="shared" ca="1" si="72"/>
        <v>#NAME?</v>
      </c>
      <c r="K4402" s="274">
        <f t="shared" si="73"/>
        <v>0</v>
      </c>
      <c r="N4402" s="274"/>
    </row>
    <row r="4403" spans="5:14" ht="13.5" customHeight="1">
      <c r="E4403" s="209" t="s">
        <v>1213</v>
      </c>
      <c r="F4403" s="209" t="s">
        <v>2873</v>
      </c>
      <c r="G4403" s="406" t="str">
        <f t="shared" ref="G4403:G4411" si="75">G4205</f>
        <v>11-12</v>
      </c>
      <c r="H4403" s="273" t="e">
        <f ca="1">_xludf.IFNA(VLOOKUP(Aragon!E4403,'Kilter Holds'!$P$37:$AB$662,5,0),0)</f>
        <v>#NAME?</v>
      </c>
      <c r="I4403" s="274"/>
      <c r="J4403" s="274" t="e">
        <f t="shared" ca="1" si="72"/>
        <v>#NAME?</v>
      </c>
      <c r="K4403" s="274">
        <f t="shared" si="73"/>
        <v>0</v>
      </c>
      <c r="N4403" s="274"/>
    </row>
    <row r="4404" spans="5:14" ht="13.5" customHeight="1">
      <c r="E4404" s="209" t="s">
        <v>1213</v>
      </c>
      <c r="F4404" s="209" t="s">
        <v>2873</v>
      </c>
      <c r="G4404" s="408" t="str">
        <f t="shared" si="75"/>
        <v>14-01</v>
      </c>
      <c r="H4404" s="273" t="e">
        <f ca="1">_xludf.IFNA(VLOOKUP(Aragon!E4404,'Kilter Holds'!$P$37:$AB$662,6,0),0)</f>
        <v>#NAME?</v>
      </c>
      <c r="I4404" s="274"/>
      <c r="J4404" s="274" t="e">
        <f t="shared" ca="1" si="72"/>
        <v>#NAME?</v>
      </c>
      <c r="K4404" s="274">
        <f t="shared" si="73"/>
        <v>0</v>
      </c>
      <c r="N4404" s="274"/>
    </row>
    <row r="4405" spans="5:14" ht="13.5" customHeight="1">
      <c r="E4405" s="209" t="s">
        <v>1213</v>
      </c>
      <c r="F4405" s="209" t="s">
        <v>2873</v>
      </c>
      <c r="G4405" s="409" t="str">
        <f t="shared" si="75"/>
        <v>15-12</v>
      </c>
      <c r="H4405" s="273" t="e">
        <f ca="1">_xludf.IFNA(VLOOKUP(Aragon!E4405,'Kilter Holds'!$P$37:$AB$662,7,0),0)</f>
        <v>#NAME?</v>
      </c>
      <c r="I4405" s="274"/>
      <c r="J4405" s="274" t="e">
        <f t="shared" ca="1" si="72"/>
        <v>#NAME?</v>
      </c>
      <c r="K4405" s="274">
        <f t="shared" si="73"/>
        <v>0</v>
      </c>
      <c r="N4405" s="274"/>
    </row>
    <row r="4406" spans="5:14" ht="13.5" customHeight="1">
      <c r="E4406" s="209" t="s">
        <v>1213</v>
      </c>
      <c r="F4406" s="209" t="s">
        <v>2873</v>
      </c>
      <c r="G4406" s="410" t="str">
        <f t="shared" si="75"/>
        <v>16-16</v>
      </c>
      <c r="H4406" s="273" t="e">
        <f ca="1">_xludf.IFNA(VLOOKUP(Aragon!E4406,'Kilter Holds'!$P$37:$AB$662,8,0),0)</f>
        <v>#NAME?</v>
      </c>
      <c r="I4406" s="274"/>
      <c r="J4406" s="274" t="e">
        <f t="shared" ca="1" si="72"/>
        <v>#NAME?</v>
      </c>
      <c r="K4406" s="274">
        <f t="shared" si="73"/>
        <v>0</v>
      </c>
      <c r="N4406" s="274"/>
    </row>
    <row r="4407" spans="5:14" ht="13.5" customHeight="1">
      <c r="E4407" s="209" t="s">
        <v>1213</v>
      </c>
      <c r="F4407" s="209" t="s">
        <v>2873</v>
      </c>
      <c r="G4407" s="411" t="str">
        <f t="shared" si="75"/>
        <v>13-01</v>
      </c>
      <c r="H4407" s="273" t="e">
        <f ca="1">_xludf.IFNA(VLOOKUP(Aragon!E4407,'Kilter Holds'!$P$37:$AB$662,9,0),0)</f>
        <v>#NAME?</v>
      </c>
      <c r="I4407" s="274"/>
      <c r="J4407" s="274" t="e">
        <f t="shared" ca="1" si="72"/>
        <v>#NAME?</v>
      </c>
      <c r="K4407" s="274">
        <f t="shared" si="73"/>
        <v>0</v>
      </c>
      <c r="N4407" s="274"/>
    </row>
    <row r="4408" spans="5:14" ht="13.5" customHeight="1">
      <c r="E4408" s="209" t="s">
        <v>1213</v>
      </c>
      <c r="F4408" s="209" t="s">
        <v>2873</v>
      </c>
      <c r="G4408" s="413" t="str">
        <f t="shared" si="75"/>
        <v>07-13</v>
      </c>
      <c r="H4408" s="273" t="e">
        <f ca="1">_xludf.IFNA(VLOOKUP(Aragon!E4408,'Kilter Holds'!$P$37:$AB$662,10,0),0)</f>
        <v>#NAME?</v>
      </c>
      <c r="I4408" s="274"/>
      <c r="J4408" s="274" t="e">
        <f t="shared" ca="1" si="72"/>
        <v>#NAME?</v>
      </c>
      <c r="K4408" s="274">
        <f t="shared" si="73"/>
        <v>0</v>
      </c>
      <c r="N4408" s="274"/>
    </row>
    <row r="4409" spans="5:14" ht="13.5" customHeight="1">
      <c r="E4409" s="209" t="s">
        <v>1213</v>
      </c>
      <c r="F4409" s="209" t="s">
        <v>2873</v>
      </c>
      <c r="G4409" s="414" t="str">
        <f t="shared" si="75"/>
        <v>11-26</v>
      </c>
      <c r="H4409" s="273" t="e">
        <f ca="1">_xludf.IFNA(VLOOKUP(Aragon!E4409,'Kilter Holds'!$P$37:$AB$662,11,0),0)</f>
        <v>#NAME?</v>
      </c>
      <c r="I4409" s="274"/>
      <c r="J4409" s="274" t="e">
        <f t="shared" ca="1" si="72"/>
        <v>#NAME?</v>
      </c>
      <c r="K4409" s="274">
        <f t="shared" si="73"/>
        <v>0</v>
      </c>
      <c r="N4409" s="274"/>
    </row>
    <row r="4410" spans="5:14" ht="13.5" customHeight="1">
      <c r="E4410" s="209" t="s">
        <v>1213</v>
      </c>
      <c r="F4410" s="209" t="s">
        <v>2873</v>
      </c>
      <c r="G4410" s="415" t="str">
        <f t="shared" si="75"/>
        <v>18-01</v>
      </c>
      <c r="H4410" s="273" t="e">
        <f ca="1">_xludf.IFNA(VLOOKUP(Aragon!E4410,'Kilter Holds'!$P$37:$AB$662,12,0),0)</f>
        <v>#NAME?</v>
      </c>
      <c r="I4410" s="274"/>
      <c r="J4410" s="274" t="e">
        <f t="shared" ca="1" si="72"/>
        <v>#NAME?</v>
      </c>
      <c r="K4410" s="274">
        <f t="shared" si="73"/>
        <v>0</v>
      </c>
      <c r="N4410" s="274"/>
    </row>
    <row r="4411" spans="5:14" ht="13.5" customHeight="1">
      <c r="E4411" s="209" t="s">
        <v>1213</v>
      </c>
      <c r="F4411" s="209" t="s">
        <v>2873</v>
      </c>
      <c r="G4411" s="416" t="str">
        <f t="shared" si="75"/>
        <v>Color Code</v>
      </c>
      <c r="H4411" s="273" t="e">
        <f ca="1">_xludf.IFNA(VLOOKUP(Aragon!E4411,'Kilter Holds'!$P$37:$AB$662,13,0),0)</f>
        <v>#NAME?</v>
      </c>
      <c r="I4411" s="274"/>
      <c r="J4411" s="274" t="e">
        <f t="shared" ca="1" si="72"/>
        <v>#NAME?</v>
      </c>
      <c r="K4411" s="274">
        <f t="shared" si="73"/>
        <v>0</v>
      </c>
      <c r="N4411" s="274"/>
    </row>
    <row r="4412" spans="5:14" ht="13.5" customHeight="1">
      <c r="E4412" s="209" t="s">
        <v>1201</v>
      </c>
      <c r="F4412" s="209" t="s">
        <v>2874</v>
      </c>
      <c r="G4412" s="406" t="str">
        <f t="shared" ref="G4412:G4666" si="76">G4403</f>
        <v>11-12</v>
      </c>
      <c r="H4412" s="273" t="e">
        <f ca="1">_xludf.IFNA(VLOOKUP(Aragon!E4412,'Kilter Holds'!$P$37:$AB$662,5,0),0)</f>
        <v>#NAME?</v>
      </c>
      <c r="I4412" s="274"/>
      <c r="J4412" s="274" t="e">
        <f t="shared" ca="1" si="72"/>
        <v>#NAME?</v>
      </c>
      <c r="K4412" s="274">
        <f t="shared" si="73"/>
        <v>0</v>
      </c>
      <c r="N4412" s="274"/>
    </row>
    <row r="4413" spans="5:14" ht="13.5" customHeight="1">
      <c r="E4413" s="209" t="s">
        <v>1201</v>
      </c>
      <c r="F4413" s="209" t="s">
        <v>2874</v>
      </c>
      <c r="G4413" s="408" t="str">
        <f t="shared" si="76"/>
        <v>14-01</v>
      </c>
      <c r="H4413" s="273" t="e">
        <f ca="1">_xludf.IFNA(VLOOKUP(Aragon!E4413,'Kilter Holds'!$P$37:$AB$662,6,0),0)</f>
        <v>#NAME?</v>
      </c>
      <c r="I4413" s="274"/>
      <c r="J4413" s="274" t="e">
        <f t="shared" ca="1" si="72"/>
        <v>#NAME?</v>
      </c>
      <c r="K4413" s="274">
        <f t="shared" si="73"/>
        <v>0</v>
      </c>
      <c r="N4413" s="274"/>
    </row>
    <row r="4414" spans="5:14" ht="13.5" customHeight="1">
      <c r="E4414" s="209" t="s">
        <v>1201</v>
      </c>
      <c r="F4414" s="209" t="s">
        <v>2874</v>
      </c>
      <c r="G4414" s="409" t="str">
        <f t="shared" si="76"/>
        <v>15-12</v>
      </c>
      <c r="H4414" s="273" t="e">
        <f ca="1">_xludf.IFNA(VLOOKUP(Aragon!E4414,'Kilter Holds'!$P$37:$AB$662,7,0),0)</f>
        <v>#NAME?</v>
      </c>
      <c r="I4414" s="274"/>
      <c r="J4414" s="274" t="e">
        <f t="shared" ca="1" si="72"/>
        <v>#NAME?</v>
      </c>
      <c r="K4414" s="274">
        <f t="shared" si="73"/>
        <v>0</v>
      </c>
      <c r="N4414" s="274"/>
    </row>
    <row r="4415" spans="5:14" ht="13.5" customHeight="1">
      <c r="E4415" s="209" t="s">
        <v>1201</v>
      </c>
      <c r="F4415" s="209" t="s">
        <v>2874</v>
      </c>
      <c r="G4415" s="410" t="str">
        <f t="shared" si="76"/>
        <v>16-16</v>
      </c>
      <c r="H4415" s="273" t="e">
        <f ca="1">_xludf.IFNA(VLOOKUP(Aragon!E4415,'Kilter Holds'!$P$37:$AB$662,8,0),0)</f>
        <v>#NAME?</v>
      </c>
      <c r="I4415" s="274"/>
      <c r="J4415" s="274" t="e">
        <f t="shared" ca="1" si="72"/>
        <v>#NAME?</v>
      </c>
      <c r="K4415" s="274">
        <f t="shared" si="73"/>
        <v>0</v>
      </c>
      <c r="N4415" s="274"/>
    </row>
    <row r="4416" spans="5:14" ht="13.5" customHeight="1">
      <c r="E4416" s="209" t="s">
        <v>1201</v>
      </c>
      <c r="F4416" s="209" t="s">
        <v>2874</v>
      </c>
      <c r="G4416" s="411" t="str">
        <f t="shared" si="76"/>
        <v>13-01</v>
      </c>
      <c r="H4416" s="273" t="e">
        <f ca="1">_xludf.IFNA(VLOOKUP(Aragon!E4416,'Kilter Holds'!$P$37:$AB$662,9,0),0)</f>
        <v>#NAME?</v>
      </c>
      <c r="I4416" s="274"/>
      <c r="J4416" s="274" t="e">
        <f t="shared" ca="1" si="72"/>
        <v>#NAME?</v>
      </c>
      <c r="K4416" s="274">
        <f t="shared" si="73"/>
        <v>0</v>
      </c>
      <c r="N4416" s="274"/>
    </row>
    <row r="4417" spans="5:14" ht="13.5" customHeight="1">
      <c r="E4417" s="209" t="s">
        <v>1201</v>
      </c>
      <c r="F4417" s="209" t="s">
        <v>2874</v>
      </c>
      <c r="G4417" s="413" t="str">
        <f t="shared" si="76"/>
        <v>07-13</v>
      </c>
      <c r="H4417" s="273" t="e">
        <f ca="1">_xludf.IFNA(VLOOKUP(Aragon!E4417,'Kilter Holds'!$P$37:$AB$662,10,0),0)</f>
        <v>#NAME?</v>
      </c>
      <c r="I4417" s="274"/>
      <c r="J4417" s="274" t="e">
        <f t="shared" ca="1" si="72"/>
        <v>#NAME?</v>
      </c>
      <c r="K4417" s="274">
        <f t="shared" si="73"/>
        <v>0</v>
      </c>
      <c r="N4417" s="274"/>
    </row>
    <row r="4418" spans="5:14" ht="13.5" customHeight="1">
      <c r="E4418" s="209" t="s">
        <v>1201</v>
      </c>
      <c r="F4418" s="209" t="s">
        <v>2874</v>
      </c>
      <c r="G4418" s="414" t="str">
        <f t="shared" si="76"/>
        <v>11-26</v>
      </c>
      <c r="H4418" s="273" t="e">
        <f ca="1">_xludf.IFNA(VLOOKUP(Aragon!E4418,'Kilter Holds'!$P$37:$AB$662,11,0),0)</f>
        <v>#NAME?</v>
      </c>
      <c r="I4418" s="274"/>
      <c r="J4418" s="274" t="e">
        <f t="shared" ca="1" si="72"/>
        <v>#NAME?</v>
      </c>
      <c r="K4418" s="274">
        <f t="shared" si="73"/>
        <v>0</v>
      </c>
      <c r="N4418" s="274"/>
    </row>
    <row r="4419" spans="5:14" ht="13.5" customHeight="1">
      <c r="E4419" s="209" t="s">
        <v>1201</v>
      </c>
      <c r="F4419" s="209" t="s">
        <v>2874</v>
      </c>
      <c r="G4419" s="415" t="str">
        <f t="shared" si="76"/>
        <v>18-01</v>
      </c>
      <c r="H4419" s="273" t="e">
        <f ca="1">_xludf.IFNA(VLOOKUP(Aragon!E4419,'Kilter Holds'!$P$37:$AB$662,12,0),0)</f>
        <v>#NAME?</v>
      </c>
      <c r="I4419" s="274"/>
      <c r="J4419" s="274" t="e">
        <f t="shared" ca="1" si="72"/>
        <v>#NAME?</v>
      </c>
      <c r="K4419" s="274">
        <f t="shared" si="73"/>
        <v>0</v>
      </c>
      <c r="N4419" s="274"/>
    </row>
    <row r="4420" spans="5:14" ht="13.5" customHeight="1">
      <c r="E4420" s="209" t="s">
        <v>1201</v>
      </c>
      <c r="F4420" s="209" t="s">
        <v>2874</v>
      </c>
      <c r="G4420" s="416" t="str">
        <f t="shared" si="76"/>
        <v>Color Code</v>
      </c>
      <c r="H4420" s="273" t="e">
        <f ca="1">_xludf.IFNA(VLOOKUP(Aragon!E4420,'Kilter Holds'!$P$37:$AB$662,13,0),0)</f>
        <v>#NAME?</v>
      </c>
      <c r="I4420" s="274"/>
      <c r="J4420" s="274" t="e">
        <f t="shared" ca="1" si="72"/>
        <v>#NAME?</v>
      </c>
      <c r="K4420" s="274">
        <f t="shared" si="73"/>
        <v>0</v>
      </c>
      <c r="N4420" s="274"/>
    </row>
    <row r="4421" spans="5:14" ht="13.5" customHeight="1">
      <c r="E4421" s="209" t="s">
        <v>1203</v>
      </c>
      <c r="F4421" s="209" t="s">
        <v>2875</v>
      </c>
      <c r="G4421" s="406" t="str">
        <f t="shared" si="76"/>
        <v>11-12</v>
      </c>
      <c r="H4421" s="273" t="e">
        <f ca="1">_xludf.IFNA(VLOOKUP(Aragon!E4421,'Kilter Holds'!$P$37:$AB$662,5,0),0)</f>
        <v>#NAME?</v>
      </c>
      <c r="I4421" s="274"/>
      <c r="J4421" s="274" t="e">
        <f t="shared" ca="1" si="72"/>
        <v>#NAME?</v>
      </c>
      <c r="K4421" s="274">
        <f t="shared" si="73"/>
        <v>0</v>
      </c>
      <c r="N4421" s="274"/>
    </row>
    <row r="4422" spans="5:14" ht="13.5" customHeight="1">
      <c r="E4422" s="209" t="s">
        <v>1203</v>
      </c>
      <c r="F4422" s="209" t="s">
        <v>2875</v>
      </c>
      <c r="G4422" s="408" t="str">
        <f t="shared" si="76"/>
        <v>14-01</v>
      </c>
      <c r="H4422" s="273" t="e">
        <f ca="1">_xludf.IFNA(VLOOKUP(Aragon!E4422,'Kilter Holds'!$P$37:$AB$662,6,0),0)</f>
        <v>#NAME?</v>
      </c>
      <c r="I4422" s="274"/>
      <c r="J4422" s="274" t="e">
        <f t="shared" ca="1" si="72"/>
        <v>#NAME?</v>
      </c>
      <c r="K4422" s="274">
        <f t="shared" si="73"/>
        <v>0</v>
      </c>
      <c r="N4422" s="274"/>
    </row>
    <row r="4423" spans="5:14" ht="13.5" customHeight="1">
      <c r="E4423" s="209" t="s">
        <v>1203</v>
      </c>
      <c r="F4423" s="209" t="s">
        <v>2875</v>
      </c>
      <c r="G4423" s="409" t="str">
        <f t="shared" si="76"/>
        <v>15-12</v>
      </c>
      <c r="H4423" s="273" t="e">
        <f ca="1">_xludf.IFNA(VLOOKUP(Aragon!E4423,'Kilter Holds'!$P$37:$AB$662,7,0),0)</f>
        <v>#NAME?</v>
      </c>
      <c r="I4423" s="274"/>
      <c r="J4423" s="274" t="e">
        <f t="shared" ca="1" si="72"/>
        <v>#NAME?</v>
      </c>
      <c r="K4423" s="274">
        <f t="shared" si="73"/>
        <v>0</v>
      </c>
      <c r="N4423" s="274"/>
    </row>
    <row r="4424" spans="5:14" ht="13.5" customHeight="1">
      <c r="E4424" s="209" t="s">
        <v>1203</v>
      </c>
      <c r="F4424" s="209" t="s">
        <v>2875</v>
      </c>
      <c r="G4424" s="410" t="str">
        <f t="shared" si="76"/>
        <v>16-16</v>
      </c>
      <c r="H4424" s="273" t="e">
        <f ca="1">_xludf.IFNA(VLOOKUP(Aragon!E4424,'Kilter Holds'!$P$37:$AB$662,8,0),0)</f>
        <v>#NAME?</v>
      </c>
      <c r="I4424" s="274"/>
      <c r="J4424" s="274" t="e">
        <f t="shared" ca="1" si="72"/>
        <v>#NAME?</v>
      </c>
      <c r="K4424" s="274">
        <f t="shared" si="73"/>
        <v>0</v>
      </c>
      <c r="N4424" s="274"/>
    </row>
    <row r="4425" spans="5:14" ht="13.5" customHeight="1">
      <c r="E4425" s="209" t="s">
        <v>1203</v>
      </c>
      <c r="F4425" s="209" t="s">
        <v>2875</v>
      </c>
      <c r="G4425" s="411" t="str">
        <f t="shared" si="76"/>
        <v>13-01</v>
      </c>
      <c r="H4425" s="273" t="e">
        <f ca="1">_xludf.IFNA(VLOOKUP(Aragon!E4425,'Kilter Holds'!$P$37:$AB$662,9,0),0)</f>
        <v>#NAME?</v>
      </c>
      <c r="I4425" s="274"/>
      <c r="J4425" s="274" t="e">
        <f t="shared" ca="1" si="72"/>
        <v>#NAME?</v>
      </c>
      <c r="K4425" s="274">
        <f t="shared" si="73"/>
        <v>0</v>
      </c>
      <c r="N4425" s="274"/>
    </row>
    <row r="4426" spans="5:14" ht="13.5" customHeight="1">
      <c r="E4426" s="209" t="s">
        <v>1203</v>
      </c>
      <c r="F4426" s="209" t="s">
        <v>2875</v>
      </c>
      <c r="G4426" s="413" t="str">
        <f t="shared" si="76"/>
        <v>07-13</v>
      </c>
      <c r="H4426" s="273" t="e">
        <f ca="1">_xludf.IFNA(VLOOKUP(Aragon!E4426,'Kilter Holds'!$P$37:$AB$662,10,0),0)</f>
        <v>#NAME?</v>
      </c>
      <c r="I4426" s="274"/>
      <c r="J4426" s="274" t="e">
        <f t="shared" ca="1" si="72"/>
        <v>#NAME?</v>
      </c>
      <c r="K4426" s="274">
        <f t="shared" si="73"/>
        <v>0</v>
      </c>
      <c r="N4426" s="274"/>
    </row>
    <row r="4427" spans="5:14" ht="13.5" customHeight="1">
      <c r="E4427" s="209" t="s">
        <v>1203</v>
      </c>
      <c r="F4427" s="209" t="s">
        <v>2875</v>
      </c>
      <c r="G4427" s="414" t="str">
        <f t="shared" si="76"/>
        <v>11-26</v>
      </c>
      <c r="H4427" s="273" t="e">
        <f ca="1">_xludf.IFNA(VLOOKUP(Aragon!E4427,'Kilter Holds'!$P$37:$AB$662,11,0),0)</f>
        <v>#NAME?</v>
      </c>
      <c r="I4427" s="274"/>
      <c r="J4427" s="274" t="e">
        <f t="shared" ca="1" si="72"/>
        <v>#NAME?</v>
      </c>
      <c r="K4427" s="274">
        <f t="shared" si="73"/>
        <v>0</v>
      </c>
      <c r="N4427" s="274"/>
    </row>
    <row r="4428" spans="5:14" ht="13.5" customHeight="1">
      <c r="E4428" s="209" t="s">
        <v>1203</v>
      </c>
      <c r="F4428" s="209" t="s">
        <v>2875</v>
      </c>
      <c r="G4428" s="415" t="str">
        <f t="shared" si="76"/>
        <v>18-01</v>
      </c>
      <c r="H4428" s="273" t="e">
        <f ca="1">_xludf.IFNA(VLOOKUP(Aragon!E4428,'Kilter Holds'!$P$37:$AB$662,12,0),0)</f>
        <v>#NAME?</v>
      </c>
      <c r="I4428" s="274"/>
      <c r="J4428" s="274" t="e">
        <f t="shared" ca="1" si="72"/>
        <v>#NAME?</v>
      </c>
      <c r="K4428" s="274">
        <f t="shared" si="73"/>
        <v>0</v>
      </c>
      <c r="N4428" s="274"/>
    </row>
    <row r="4429" spans="5:14" ht="13.5" customHeight="1">
      <c r="E4429" s="209" t="s">
        <v>1203</v>
      </c>
      <c r="F4429" s="209" t="s">
        <v>2875</v>
      </c>
      <c r="G4429" s="416" t="str">
        <f t="shared" si="76"/>
        <v>Color Code</v>
      </c>
      <c r="H4429" s="273" t="e">
        <f ca="1">_xludf.IFNA(VLOOKUP(Aragon!E4429,'Kilter Holds'!$P$37:$AB$662,13,0),0)</f>
        <v>#NAME?</v>
      </c>
      <c r="I4429" s="274"/>
      <c r="J4429" s="274" t="e">
        <f t="shared" ca="1" si="72"/>
        <v>#NAME?</v>
      </c>
      <c r="K4429" s="274">
        <f t="shared" si="73"/>
        <v>0</v>
      </c>
      <c r="N4429" s="274"/>
    </row>
    <row r="4430" spans="5:14" ht="13.5" customHeight="1">
      <c r="E4430" s="209" t="s">
        <v>1199</v>
      </c>
      <c r="F4430" s="209" t="s">
        <v>2876</v>
      </c>
      <c r="G4430" s="406" t="str">
        <f t="shared" si="76"/>
        <v>11-12</v>
      </c>
      <c r="H4430" s="273" t="e">
        <f ca="1">_xludf.IFNA(VLOOKUP(Aragon!E4430,'Kilter Holds'!$P$37:$AB$662,5,0),0)</f>
        <v>#NAME?</v>
      </c>
      <c r="I4430" s="274"/>
      <c r="J4430" s="274" t="e">
        <f t="shared" ca="1" si="72"/>
        <v>#NAME?</v>
      </c>
      <c r="K4430" s="274">
        <f t="shared" si="73"/>
        <v>0</v>
      </c>
      <c r="N4430" s="274"/>
    </row>
    <row r="4431" spans="5:14" ht="13.5" customHeight="1">
      <c r="E4431" s="209" t="s">
        <v>1199</v>
      </c>
      <c r="F4431" s="209" t="s">
        <v>2876</v>
      </c>
      <c r="G4431" s="408" t="str">
        <f t="shared" si="76"/>
        <v>14-01</v>
      </c>
      <c r="H4431" s="273" t="e">
        <f ca="1">_xludf.IFNA(VLOOKUP(Aragon!E4431,'Kilter Holds'!$P$37:$AB$662,6,0),0)</f>
        <v>#NAME?</v>
      </c>
      <c r="I4431" s="274"/>
      <c r="J4431" s="274" t="e">
        <f t="shared" ca="1" si="72"/>
        <v>#NAME?</v>
      </c>
      <c r="K4431" s="274">
        <f t="shared" si="73"/>
        <v>0</v>
      </c>
      <c r="N4431" s="274"/>
    </row>
    <row r="4432" spans="5:14" ht="13.5" customHeight="1">
      <c r="E4432" s="209" t="s">
        <v>1199</v>
      </c>
      <c r="F4432" s="209" t="s">
        <v>2876</v>
      </c>
      <c r="G4432" s="409" t="str">
        <f t="shared" si="76"/>
        <v>15-12</v>
      </c>
      <c r="H4432" s="273" t="e">
        <f ca="1">_xludf.IFNA(VLOOKUP(Aragon!E4432,'Kilter Holds'!$P$37:$AB$662,7,0),0)</f>
        <v>#NAME?</v>
      </c>
      <c r="I4432" s="274"/>
      <c r="J4432" s="274" t="e">
        <f t="shared" ca="1" si="72"/>
        <v>#NAME?</v>
      </c>
      <c r="K4432" s="274">
        <f t="shared" si="73"/>
        <v>0</v>
      </c>
      <c r="N4432" s="274"/>
    </row>
    <row r="4433" spans="5:14" ht="13.5" customHeight="1">
      <c r="E4433" s="209" t="s">
        <v>1199</v>
      </c>
      <c r="F4433" s="209" t="s">
        <v>2876</v>
      </c>
      <c r="G4433" s="410" t="str">
        <f t="shared" si="76"/>
        <v>16-16</v>
      </c>
      <c r="H4433" s="273" t="e">
        <f ca="1">_xludf.IFNA(VLOOKUP(Aragon!E4433,'Kilter Holds'!$P$37:$AB$662,8,0),0)</f>
        <v>#NAME?</v>
      </c>
      <c r="I4433" s="274"/>
      <c r="J4433" s="274" t="e">
        <f t="shared" ca="1" si="72"/>
        <v>#NAME?</v>
      </c>
      <c r="K4433" s="274">
        <f t="shared" si="73"/>
        <v>0</v>
      </c>
      <c r="N4433" s="274"/>
    </row>
    <row r="4434" spans="5:14" ht="13.5" customHeight="1">
      <c r="E4434" s="209" t="s">
        <v>1199</v>
      </c>
      <c r="F4434" s="209" t="s">
        <v>2876</v>
      </c>
      <c r="G4434" s="411" t="str">
        <f t="shared" si="76"/>
        <v>13-01</v>
      </c>
      <c r="H4434" s="273" t="e">
        <f ca="1">_xludf.IFNA(VLOOKUP(Aragon!E4434,'Kilter Holds'!$P$37:$AB$662,9,0),0)</f>
        <v>#NAME?</v>
      </c>
      <c r="I4434" s="274"/>
      <c r="J4434" s="274" t="e">
        <f t="shared" ca="1" si="72"/>
        <v>#NAME?</v>
      </c>
      <c r="K4434" s="274">
        <f t="shared" si="73"/>
        <v>0</v>
      </c>
      <c r="N4434" s="274"/>
    </row>
    <row r="4435" spans="5:14" ht="13.5" customHeight="1">
      <c r="E4435" s="209" t="s">
        <v>1199</v>
      </c>
      <c r="F4435" s="209" t="s">
        <v>2876</v>
      </c>
      <c r="G4435" s="413" t="str">
        <f t="shared" si="76"/>
        <v>07-13</v>
      </c>
      <c r="H4435" s="273" t="e">
        <f ca="1">_xludf.IFNA(VLOOKUP(Aragon!E4435,'Kilter Holds'!$P$37:$AB$662,10,0),0)</f>
        <v>#NAME?</v>
      </c>
      <c r="I4435" s="274"/>
      <c r="J4435" s="274" t="e">
        <f t="shared" ca="1" si="72"/>
        <v>#NAME?</v>
      </c>
      <c r="K4435" s="274">
        <f t="shared" si="73"/>
        <v>0</v>
      </c>
      <c r="N4435" s="274"/>
    </row>
    <row r="4436" spans="5:14" ht="13.5" customHeight="1">
      <c r="E4436" s="209" t="s">
        <v>1199</v>
      </c>
      <c r="F4436" s="209" t="s">
        <v>2876</v>
      </c>
      <c r="G4436" s="414" t="str">
        <f t="shared" si="76"/>
        <v>11-26</v>
      </c>
      <c r="H4436" s="273" t="e">
        <f ca="1">_xludf.IFNA(VLOOKUP(Aragon!E4436,'Kilter Holds'!$P$37:$AB$662,11,0),0)</f>
        <v>#NAME?</v>
      </c>
      <c r="I4436" s="274"/>
      <c r="J4436" s="274" t="e">
        <f t="shared" ca="1" si="72"/>
        <v>#NAME?</v>
      </c>
      <c r="K4436" s="274">
        <f t="shared" si="73"/>
        <v>0</v>
      </c>
      <c r="N4436" s="274"/>
    </row>
    <row r="4437" spans="5:14" ht="13.5" customHeight="1">
      <c r="E4437" s="209" t="s">
        <v>1199</v>
      </c>
      <c r="F4437" s="209" t="s">
        <v>2876</v>
      </c>
      <c r="G4437" s="415" t="str">
        <f t="shared" si="76"/>
        <v>18-01</v>
      </c>
      <c r="H4437" s="273" t="e">
        <f ca="1">_xludf.IFNA(VLOOKUP(Aragon!E4437,'Kilter Holds'!$P$37:$AB$662,12,0),0)</f>
        <v>#NAME?</v>
      </c>
      <c r="I4437" s="274"/>
      <c r="J4437" s="274" t="e">
        <f t="shared" ca="1" si="72"/>
        <v>#NAME?</v>
      </c>
      <c r="K4437" s="274">
        <f t="shared" si="73"/>
        <v>0</v>
      </c>
      <c r="N4437" s="274"/>
    </row>
    <row r="4438" spans="5:14" ht="13.5" customHeight="1">
      <c r="E4438" s="209" t="s">
        <v>1199</v>
      </c>
      <c r="F4438" s="209" t="s">
        <v>2876</v>
      </c>
      <c r="G4438" s="416" t="str">
        <f t="shared" si="76"/>
        <v>Color Code</v>
      </c>
      <c r="H4438" s="273" t="e">
        <f ca="1">_xludf.IFNA(VLOOKUP(Aragon!E4438,'Kilter Holds'!$P$37:$AB$662,13,0),0)</f>
        <v>#NAME?</v>
      </c>
      <c r="I4438" s="274"/>
      <c r="J4438" s="274" t="e">
        <f t="shared" ca="1" si="72"/>
        <v>#NAME?</v>
      </c>
      <c r="K4438" s="274">
        <f t="shared" si="73"/>
        <v>0</v>
      </c>
      <c r="N4438" s="274"/>
    </row>
    <row r="4439" spans="5:14" ht="13.5" customHeight="1">
      <c r="E4439" s="209" t="s">
        <v>1193</v>
      </c>
      <c r="F4439" s="209" t="s">
        <v>2877</v>
      </c>
      <c r="G4439" s="406" t="str">
        <f t="shared" si="76"/>
        <v>11-12</v>
      </c>
      <c r="H4439" s="273" t="e">
        <f ca="1">_xludf.IFNA(VLOOKUP(Aragon!E4439,'Kilter Holds'!$P$37:$AB$662,5,0),0)</f>
        <v>#NAME?</v>
      </c>
      <c r="I4439" s="274"/>
      <c r="J4439" s="274" t="e">
        <f t="shared" ca="1" si="72"/>
        <v>#NAME?</v>
      </c>
      <c r="K4439" s="274">
        <f t="shared" si="73"/>
        <v>0</v>
      </c>
      <c r="N4439" s="274"/>
    </row>
    <row r="4440" spans="5:14" ht="13.5" customHeight="1">
      <c r="E4440" s="209" t="s">
        <v>1193</v>
      </c>
      <c r="F4440" s="209" t="s">
        <v>2877</v>
      </c>
      <c r="G4440" s="408" t="str">
        <f t="shared" si="76"/>
        <v>14-01</v>
      </c>
      <c r="H4440" s="273" t="e">
        <f ca="1">_xludf.IFNA(VLOOKUP(Aragon!E4440,'Kilter Holds'!$P$37:$AB$662,6,0),0)</f>
        <v>#NAME?</v>
      </c>
      <c r="I4440" s="274"/>
      <c r="J4440" s="274" t="e">
        <f t="shared" ca="1" si="72"/>
        <v>#NAME?</v>
      </c>
      <c r="K4440" s="274">
        <f t="shared" si="73"/>
        <v>0</v>
      </c>
      <c r="N4440" s="274"/>
    </row>
    <row r="4441" spans="5:14" ht="13.5" customHeight="1">
      <c r="E4441" s="209" t="s">
        <v>1193</v>
      </c>
      <c r="F4441" s="209" t="s">
        <v>2877</v>
      </c>
      <c r="G4441" s="409" t="str">
        <f t="shared" si="76"/>
        <v>15-12</v>
      </c>
      <c r="H4441" s="273" t="e">
        <f ca="1">_xludf.IFNA(VLOOKUP(Aragon!E4441,'Kilter Holds'!$P$37:$AB$662,7,0),0)</f>
        <v>#NAME?</v>
      </c>
      <c r="I4441" s="274"/>
      <c r="J4441" s="274" t="e">
        <f t="shared" ca="1" si="72"/>
        <v>#NAME?</v>
      </c>
      <c r="K4441" s="274">
        <f t="shared" si="73"/>
        <v>0</v>
      </c>
      <c r="N4441" s="274"/>
    </row>
    <row r="4442" spans="5:14" ht="13.5" customHeight="1">
      <c r="E4442" s="209" t="s">
        <v>1193</v>
      </c>
      <c r="F4442" s="209" t="s">
        <v>2877</v>
      </c>
      <c r="G4442" s="410" t="str">
        <f t="shared" si="76"/>
        <v>16-16</v>
      </c>
      <c r="H4442" s="273" t="e">
        <f ca="1">_xludf.IFNA(VLOOKUP(Aragon!E4442,'Kilter Holds'!$P$37:$AB$662,8,0),0)</f>
        <v>#NAME?</v>
      </c>
      <c r="I4442" s="274"/>
      <c r="J4442" s="274" t="e">
        <f t="shared" ca="1" si="72"/>
        <v>#NAME?</v>
      </c>
      <c r="K4442" s="274">
        <f t="shared" si="73"/>
        <v>0</v>
      </c>
      <c r="N4442" s="274"/>
    </row>
    <row r="4443" spans="5:14" ht="13.5" customHeight="1">
      <c r="E4443" s="209" t="s">
        <v>1193</v>
      </c>
      <c r="F4443" s="209" t="s">
        <v>2877</v>
      </c>
      <c r="G4443" s="411" t="str">
        <f t="shared" si="76"/>
        <v>13-01</v>
      </c>
      <c r="H4443" s="273" t="e">
        <f ca="1">_xludf.IFNA(VLOOKUP(Aragon!E4443,'Kilter Holds'!$P$37:$AB$662,9,0),0)</f>
        <v>#NAME?</v>
      </c>
      <c r="I4443" s="274"/>
      <c r="J4443" s="274" t="e">
        <f t="shared" ca="1" si="72"/>
        <v>#NAME?</v>
      </c>
      <c r="K4443" s="274">
        <f t="shared" si="73"/>
        <v>0</v>
      </c>
      <c r="N4443" s="274"/>
    </row>
    <row r="4444" spans="5:14" ht="13.5" customHeight="1">
      <c r="E4444" s="209" t="s">
        <v>1193</v>
      </c>
      <c r="F4444" s="209" t="s">
        <v>2877</v>
      </c>
      <c r="G4444" s="413" t="str">
        <f t="shared" si="76"/>
        <v>07-13</v>
      </c>
      <c r="H4444" s="273" t="e">
        <f ca="1">_xludf.IFNA(VLOOKUP(Aragon!E4444,'Kilter Holds'!$P$37:$AB$662,10,0),0)</f>
        <v>#NAME?</v>
      </c>
      <c r="I4444" s="274"/>
      <c r="J4444" s="274" t="e">
        <f t="shared" ca="1" si="72"/>
        <v>#NAME?</v>
      </c>
      <c r="K4444" s="274">
        <f t="shared" si="73"/>
        <v>0</v>
      </c>
      <c r="N4444" s="274"/>
    </row>
    <row r="4445" spans="5:14" ht="13.5" customHeight="1">
      <c r="E4445" s="209" t="s">
        <v>1193</v>
      </c>
      <c r="F4445" s="209" t="s">
        <v>2877</v>
      </c>
      <c r="G4445" s="414" t="str">
        <f t="shared" si="76"/>
        <v>11-26</v>
      </c>
      <c r="H4445" s="273" t="e">
        <f ca="1">_xludf.IFNA(VLOOKUP(Aragon!E4445,'Kilter Holds'!$P$37:$AB$662,11,0),0)</f>
        <v>#NAME?</v>
      </c>
      <c r="I4445" s="274"/>
      <c r="J4445" s="274" t="e">
        <f t="shared" ca="1" si="72"/>
        <v>#NAME?</v>
      </c>
      <c r="K4445" s="274">
        <f t="shared" si="73"/>
        <v>0</v>
      </c>
      <c r="N4445" s="274"/>
    </row>
    <row r="4446" spans="5:14" ht="13.5" customHeight="1">
      <c r="E4446" s="209" t="s">
        <v>1193</v>
      </c>
      <c r="F4446" s="209" t="s">
        <v>2877</v>
      </c>
      <c r="G4446" s="415" t="str">
        <f t="shared" si="76"/>
        <v>18-01</v>
      </c>
      <c r="H4446" s="273" t="e">
        <f ca="1">_xludf.IFNA(VLOOKUP(Aragon!E4446,'Kilter Holds'!$P$37:$AB$662,12,0),0)</f>
        <v>#NAME?</v>
      </c>
      <c r="I4446" s="274"/>
      <c r="J4446" s="274" t="e">
        <f t="shared" ca="1" si="72"/>
        <v>#NAME?</v>
      </c>
      <c r="K4446" s="274">
        <f t="shared" si="73"/>
        <v>0</v>
      </c>
      <c r="N4446" s="274"/>
    </row>
    <row r="4447" spans="5:14" ht="13.5" customHeight="1">
      <c r="E4447" s="209" t="s">
        <v>1193</v>
      </c>
      <c r="F4447" s="209" t="s">
        <v>2877</v>
      </c>
      <c r="G4447" s="416" t="str">
        <f t="shared" si="76"/>
        <v>Color Code</v>
      </c>
      <c r="H4447" s="273" t="e">
        <f ca="1">_xludf.IFNA(VLOOKUP(Aragon!E4447,'Kilter Holds'!$P$37:$AB$662,13,0),0)</f>
        <v>#NAME?</v>
      </c>
      <c r="I4447" s="274"/>
      <c r="J4447" s="274" t="e">
        <f t="shared" ca="1" si="72"/>
        <v>#NAME?</v>
      </c>
      <c r="K4447" s="274">
        <f t="shared" si="73"/>
        <v>0</v>
      </c>
      <c r="N4447" s="274"/>
    </row>
    <row r="4448" spans="5:14" ht="13.5" customHeight="1">
      <c r="E4448" s="209" t="s">
        <v>1187</v>
      </c>
      <c r="F4448" s="209" t="s">
        <v>2878</v>
      </c>
      <c r="G4448" s="406" t="str">
        <f t="shared" si="76"/>
        <v>11-12</v>
      </c>
      <c r="H4448" s="273" t="e">
        <f ca="1">_xludf.IFNA(VLOOKUP(Aragon!E4448,'Kilter Holds'!$P$37:$AB$662,5,0),0)</f>
        <v>#NAME?</v>
      </c>
      <c r="I4448" s="274"/>
      <c r="J4448" s="274" t="e">
        <f t="shared" ca="1" si="72"/>
        <v>#NAME?</v>
      </c>
      <c r="K4448" s="274">
        <f t="shared" si="73"/>
        <v>0</v>
      </c>
      <c r="N4448" s="274"/>
    </row>
    <row r="4449" spans="5:14" ht="13.5" customHeight="1">
      <c r="E4449" s="209" t="s">
        <v>1187</v>
      </c>
      <c r="F4449" s="209" t="s">
        <v>2878</v>
      </c>
      <c r="G4449" s="408" t="str">
        <f t="shared" si="76"/>
        <v>14-01</v>
      </c>
      <c r="H4449" s="273" t="e">
        <f ca="1">_xludf.IFNA(VLOOKUP(Aragon!E4449,'Kilter Holds'!$P$37:$AB$662,6,0),0)</f>
        <v>#NAME?</v>
      </c>
      <c r="I4449" s="274"/>
      <c r="J4449" s="274" t="e">
        <f t="shared" ca="1" si="72"/>
        <v>#NAME?</v>
      </c>
      <c r="K4449" s="274">
        <f t="shared" si="73"/>
        <v>0</v>
      </c>
      <c r="N4449" s="274"/>
    </row>
    <row r="4450" spans="5:14" ht="13.5" customHeight="1">
      <c r="E4450" s="209" t="s">
        <v>1187</v>
      </c>
      <c r="F4450" s="209" t="s">
        <v>2878</v>
      </c>
      <c r="G4450" s="409" t="str">
        <f t="shared" si="76"/>
        <v>15-12</v>
      </c>
      <c r="H4450" s="273" t="e">
        <f ca="1">_xludf.IFNA(VLOOKUP(Aragon!E4450,'Kilter Holds'!$P$37:$AB$662,7,0),0)</f>
        <v>#NAME?</v>
      </c>
      <c r="I4450" s="274"/>
      <c r="J4450" s="274" t="e">
        <f t="shared" ca="1" si="72"/>
        <v>#NAME?</v>
      </c>
      <c r="K4450" s="274">
        <f t="shared" si="73"/>
        <v>0</v>
      </c>
      <c r="N4450" s="274"/>
    </row>
    <row r="4451" spans="5:14" ht="13.5" customHeight="1">
      <c r="E4451" s="209" t="s">
        <v>1187</v>
      </c>
      <c r="F4451" s="209" t="s">
        <v>2878</v>
      </c>
      <c r="G4451" s="410" t="str">
        <f t="shared" si="76"/>
        <v>16-16</v>
      </c>
      <c r="H4451" s="273" t="e">
        <f ca="1">_xludf.IFNA(VLOOKUP(Aragon!E4451,'Kilter Holds'!$P$37:$AB$662,8,0),0)</f>
        <v>#NAME?</v>
      </c>
      <c r="I4451" s="274"/>
      <c r="J4451" s="274" t="e">
        <f t="shared" ca="1" si="72"/>
        <v>#NAME?</v>
      </c>
      <c r="K4451" s="274">
        <f t="shared" si="73"/>
        <v>0</v>
      </c>
      <c r="N4451" s="274"/>
    </row>
    <row r="4452" spans="5:14" ht="13.5" customHeight="1">
      <c r="E4452" s="209" t="s">
        <v>1187</v>
      </c>
      <c r="F4452" s="209" t="s">
        <v>2878</v>
      </c>
      <c r="G4452" s="411" t="str">
        <f t="shared" si="76"/>
        <v>13-01</v>
      </c>
      <c r="H4452" s="273" t="e">
        <f ca="1">_xludf.IFNA(VLOOKUP(Aragon!E4452,'Kilter Holds'!$P$37:$AB$662,9,0),0)</f>
        <v>#NAME?</v>
      </c>
      <c r="I4452" s="274"/>
      <c r="J4452" s="274" t="e">
        <f t="shared" ca="1" si="72"/>
        <v>#NAME?</v>
      </c>
      <c r="K4452" s="274">
        <f t="shared" si="73"/>
        <v>0</v>
      </c>
      <c r="N4452" s="274"/>
    </row>
    <row r="4453" spans="5:14" ht="13.5" customHeight="1">
      <c r="E4453" s="209" t="s">
        <v>1187</v>
      </c>
      <c r="F4453" s="209" t="s">
        <v>2878</v>
      </c>
      <c r="G4453" s="413" t="str">
        <f t="shared" si="76"/>
        <v>07-13</v>
      </c>
      <c r="H4453" s="273" t="e">
        <f ca="1">_xludf.IFNA(VLOOKUP(Aragon!E4453,'Kilter Holds'!$P$37:$AB$662,10,0),0)</f>
        <v>#NAME?</v>
      </c>
      <c r="I4453" s="274"/>
      <c r="J4453" s="274" t="e">
        <f t="shared" ca="1" si="72"/>
        <v>#NAME?</v>
      </c>
      <c r="K4453" s="274">
        <f t="shared" si="73"/>
        <v>0</v>
      </c>
      <c r="N4453" s="274"/>
    </row>
    <row r="4454" spans="5:14" ht="13.5" customHeight="1">
      <c r="E4454" s="209" t="s">
        <v>1187</v>
      </c>
      <c r="F4454" s="209" t="s">
        <v>2878</v>
      </c>
      <c r="G4454" s="414" t="str">
        <f t="shared" si="76"/>
        <v>11-26</v>
      </c>
      <c r="H4454" s="273" t="e">
        <f ca="1">_xludf.IFNA(VLOOKUP(Aragon!E4454,'Kilter Holds'!$P$37:$AB$662,11,0),0)</f>
        <v>#NAME?</v>
      </c>
      <c r="I4454" s="274"/>
      <c r="J4454" s="274" t="e">
        <f t="shared" ca="1" si="72"/>
        <v>#NAME?</v>
      </c>
      <c r="K4454" s="274">
        <f t="shared" si="73"/>
        <v>0</v>
      </c>
      <c r="N4454" s="274"/>
    </row>
    <row r="4455" spans="5:14" ht="13.5" customHeight="1">
      <c r="E4455" s="209" t="s">
        <v>1187</v>
      </c>
      <c r="F4455" s="209" t="s">
        <v>2878</v>
      </c>
      <c r="G4455" s="415" t="str">
        <f t="shared" si="76"/>
        <v>18-01</v>
      </c>
      <c r="H4455" s="273" t="e">
        <f ca="1">_xludf.IFNA(VLOOKUP(Aragon!E4455,'Kilter Holds'!$P$37:$AB$662,12,0),0)</f>
        <v>#NAME?</v>
      </c>
      <c r="I4455" s="274"/>
      <c r="J4455" s="274" t="e">
        <f t="shared" ca="1" si="72"/>
        <v>#NAME?</v>
      </c>
      <c r="K4455" s="274">
        <f t="shared" si="73"/>
        <v>0</v>
      </c>
      <c r="N4455" s="274"/>
    </row>
    <row r="4456" spans="5:14" ht="13.5" customHeight="1">
      <c r="E4456" s="209" t="s">
        <v>1187</v>
      </c>
      <c r="F4456" s="209" t="s">
        <v>2878</v>
      </c>
      <c r="G4456" s="416" t="str">
        <f t="shared" si="76"/>
        <v>Color Code</v>
      </c>
      <c r="H4456" s="273" t="e">
        <f ca="1">_xludf.IFNA(VLOOKUP(Aragon!E4456,'Kilter Holds'!$P$37:$AB$662,13,0),0)</f>
        <v>#NAME?</v>
      </c>
      <c r="I4456" s="274"/>
      <c r="J4456" s="274" t="e">
        <f t="shared" ca="1" si="72"/>
        <v>#NAME?</v>
      </c>
      <c r="K4456" s="274">
        <f t="shared" si="73"/>
        <v>0</v>
      </c>
      <c r="N4456" s="274"/>
    </row>
    <row r="4457" spans="5:14" ht="13.5" customHeight="1">
      <c r="E4457" s="209" t="s">
        <v>1189</v>
      </c>
      <c r="F4457" s="209" t="s">
        <v>2879</v>
      </c>
      <c r="G4457" s="406" t="str">
        <f t="shared" si="76"/>
        <v>11-12</v>
      </c>
      <c r="H4457" s="273" t="e">
        <f ca="1">_xludf.IFNA(VLOOKUP(Aragon!E4457,'Kilter Holds'!$P$37:$AB$662,5,0),0)</f>
        <v>#NAME?</v>
      </c>
      <c r="I4457" s="274"/>
      <c r="J4457" s="274" t="e">
        <f t="shared" ca="1" si="72"/>
        <v>#NAME?</v>
      </c>
      <c r="K4457" s="274">
        <f t="shared" si="73"/>
        <v>0</v>
      </c>
      <c r="N4457" s="274"/>
    </row>
    <row r="4458" spans="5:14" ht="13.5" customHeight="1">
      <c r="E4458" s="209" t="s">
        <v>1189</v>
      </c>
      <c r="F4458" s="209" t="s">
        <v>2879</v>
      </c>
      <c r="G4458" s="408" t="str">
        <f t="shared" si="76"/>
        <v>14-01</v>
      </c>
      <c r="H4458" s="273" t="e">
        <f ca="1">_xludf.IFNA(VLOOKUP(Aragon!E4458,'Kilter Holds'!$P$37:$AB$662,6,0),0)</f>
        <v>#NAME?</v>
      </c>
      <c r="I4458" s="274"/>
      <c r="J4458" s="274" t="e">
        <f t="shared" ca="1" si="72"/>
        <v>#NAME?</v>
      </c>
      <c r="K4458" s="274">
        <f t="shared" si="73"/>
        <v>0</v>
      </c>
      <c r="N4458" s="274"/>
    </row>
    <row r="4459" spans="5:14" ht="13.5" customHeight="1">
      <c r="E4459" s="209" t="s">
        <v>1189</v>
      </c>
      <c r="F4459" s="209" t="s">
        <v>2879</v>
      </c>
      <c r="G4459" s="409" t="str">
        <f t="shared" si="76"/>
        <v>15-12</v>
      </c>
      <c r="H4459" s="273" t="e">
        <f ca="1">_xludf.IFNA(VLOOKUP(Aragon!E4459,'Kilter Holds'!$P$37:$AB$662,7,0),0)</f>
        <v>#NAME?</v>
      </c>
      <c r="I4459" s="274"/>
      <c r="J4459" s="274" t="e">
        <f t="shared" ca="1" si="72"/>
        <v>#NAME?</v>
      </c>
      <c r="K4459" s="274">
        <f t="shared" si="73"/>
        <v>0</v>
      </c>
      <c r="N4459" s="274"/>
    </row>
    <row r="4460" spans="5:14" ht="13.5" customHeight="1">
      <c r="E4460" s="209" t="s">
        <v>1189</v>
      </c>
      <c r="F4460" s="209" t="s">
        <v>2879</v>
      </c>
      <c r="G4460" s="410" t="str">
        <f t="shared" si="76"/>
        <v>16-16</v>
      </c>
      <c r="H4460" s="273" t="e">
        <f ca="1">_xludf.IFNA(VLOOKUP(Aragon!E4460,'Kilter Holds'!$P$37:$AB$662,8,0),0)</f>
        <v>#NAME?</v>
      </c>
      <c r="I4460" s="274"/>
      <c r="J4460" s="274" t="e">
        <f t="shared" ca="1" si="72"/>
        <v>#NAME?</v>
      </c>
      <c r="K4460" s="274">
        <f t="shared" si="73"/>
        <v>0</v>
      </c>
      <c r="N4460" s="274"/>
    </row>
    <row r="4461" spans="5:14" ht="13.5" customHeight="1">
      <c r="E4461" s="209" t="s">
        <v>1189</v>
      </c>
      <c r="F4461" s="209" t="s">
        <v>2879</v>
      </c>
      <c r="G4461" s="411" t="str">
        <f t="shared" si="76"/>
        <v>13-01</v>
      </c>
      <c r="H4461" s="273" t="e">
        <f ca="1">_xludf.IFNA(VLOOKUP(Aragon!E4461,'Kilter Holds'!$P$37:$AB$662,9,0),0)</f>
        <v>#NAME?</v>
      </c>
      <c r="I4461" s="274"/>
      <c r="J4461" s="274" t="e">
        <f t="shared" ca="1" si="72"/>
        <v>#NAME?</v>
      </c>
      <c r="K4461" s="274">
        <f t="shared" si="73"/>
        <v>0</v>
      </c>
      <c r="N4461" s="274"/>
    </row>
    <row r="4462" spans="5:14" ht="13.5" customHeight="1">
      <c r="E4462" s="209" t="s">
        <v>1189</v>
      </c>
      <c r="F4462" s="209" t="s">
        <v>2879</v>
      </c>
      <c r="G4462" s="413" t="str">
        <f t="shared" si="76"/>
        <v>07-13</v>
      </c>
      <c r="H4462" s="273" t="e">
        <f ca="1">_xludf.IFNA(VLOOKUP(Aragon!E4462,'Kilter Holds'!$P$37:$AB$662,10,0),0)</f>
        <v>#NAME?</v>
      </c>
      <c r="I4462" s="274"/>
      <c r="J4462" s="274" t="e">
        <f t="shared" ca="1" si="72"/>
        <v>#NAME?</v>
      </c>
      <c r="K4462" s="274">
        <f t="shared" si="73"/>
        <v>0</v>
      </c>
      <c r="N4462" s="274"/>
    </row>
    <row r="4463" spans="5:14" ht="13.5" customHeight="1">
      <c r="E4463" s="209" t="s">
        <v>1189</v>
      </c>
      <c r="F4463" s="209" t="s">
        <v>2879</v>
      </c>
      <c r="G4463" s="414" t="str">
        <f t="shared" si="76"/>
        <v>11-26</v>
      </c>
      <c r="H4463" s="273" t="e">
        <f ca="1">_xludf.IFNA(VLOOKUP(Aragon!E4463,'Kilter Holds'!$P$37:$AB$662,11,0),0)</f>
        <v>#NAME?</v>
      </c>
      <c r="I4463" s="274"/>
      <c r="J4463" s="274" t="e">
        <f t="shared" ca="1" si="72"/>
        <v>#NAME?</v>
      </c>
      <c r="K4463" s="274">
        <f t="shared" si="73"/>
        <v>0</v>
      </c>
      <c r="N4463" s="274"/>
    </row>
    <row r="4464" spans="5:14" ht="13.5" customHeight="1">
      <c r="E4464" s="209" t="s">
        <v>1189</v>
      </c>
      <c r="F4464" s="209" t="s">
        <v>2879</v>
      </c>
      <c r="G4464" s="415" t="str">
        <f t="shared" si="76"/>
        <v>18-01</v>
      </c>
      <c r="H4464" s="273" t="e">
        <f ca="1">_xludf.IFNA(VLOOKUP(Aragon!E4464,'Kilter Holds'!$P$37:$AB$662,12,0),0)</f>
        <v>#NAME?</v>
      </c>
      <c r="I4464" s="274"/>
      <c r="J4464" s="274" t="e">
        <f t="shared" ca="1" si="72"/>
        <v>#NAME?</v>
      </c>
      <c r="K4464" s="274">
        <f t="shared" si="73"/>
        <v>0</v>
      </c>
      <c r="N4464" s="274"/>
    </row>
    <row r="4465" spans="5:14" ht="13.5" customHeight="1">
      <c r="E4465" s="209" t="s">
        <v>1189</v>
      </c>
      <c r="F4465" s="209" t="s">
        <v>2879</v>
      </c>
      <c r="G4465" s="416" t="str">
        <f t="shared" si="76"/>
        <v>Color Code</v>
      </c>
      <c r="H4465" s="273" t="e">
        <f ca="1">_xludf.IFNA(VLOOKUP(Aragon!E4465,'Kilter Holds'!$P$37:$AB$662,13,0),0)</f>
        <v>#NAME?</v>
      </c>
      <c r="I4465" s="274"/>
      <c r="J4465" s="274" t="e">
        <f t="shared" ca="1" si="72"/>
        <v>#NAME?</v>
      </c>
      <c r="K4465" s="274">
        <f t="shared" si="73"/>
        <v>0</v>
      </c>
      <c r="N4465" s="274"/>
    </row>
    <row r="4466" spans="5:14" ht="13.5" customHeight="1">
      <c r="E4466" s="209" t="s">
        <v>1205</v>
      </c>
      <c r="F4466" s="209" t="s">
        <v>2880</v>
      </c>
      <c r="G4466" s="406" t="str">
        <f t="shared" si="76"/>
        <v>11-12</v>
      </c>
      <c r="H4466" s="273" t="e">
        <f ca="1">_xludf.IFNA(VLOOKUP(Aragon!E4466,'Kilter Holds'!$P$37:$AB$662,5,0),0)</f>
        <v>#NAME?</v>
      </c>
      <c r="I4466" s="274"/>
      <c r="J4466" s="274" t="e">
        <f t="shared" ca="1" si="72"/>
        <v>#NAME?</v>
      </c>
      <c r="K4466" s="274">
        <f t="shared" si="73"/>
        <v>0</v>
      </c>
      <c r="N4466" s="274"/>
    </row>
    <row r="4467" spans="5:14" ht="13.5" customHeight="1">
      <c r="E4467" s="209" t="s">
        <v>1205</v>
      </c>
      <c r="F4467" s="209" t="s">
        <v>2880</v>
      </c>
      <c r="G4467" s="408" t="str">
        <f t="shared" si="76"/>
        <v>14-01</v>
      </c>
      <c r="H4467" s="273" t="e">
        <f ca="1">_xludf.IFNA(VLOOKUP(Aragon!E4467,'Kilter Holds'!$P$37:$AB$662,6,0),0)</f>
        <v>#NAME?</v>
      </c>
      <c r="I4467" s="274"/>
      <c r="J4467" s="274" t="e">
        <f t="shared" ca="1" si="72"/>
        <v>#NAME?</v>
      </c>
      <c r="K4467" s="274">
        <f t="shared" si="73"/>
        <v>0</v>
      </c>
      <c r="N4467" s="274"/>
    </row>
    <row r="4468" spans="5:14" ht="13.5" customHeight="1">
      <c r="E4468" s="209" t="s">
        <v>1205</v>
      </c>
      <c r="F4468" s="209" t="s">
        <v>2880</v>
      </c>
      <c r="G4468" s="409" t="str">
        <f t="shared" si="76"/>
        <v>15-12</v>
      </c>
      <c r="H4468" s="273" t="e">
        <f ca="1">_xludf.IFNA(VLOOKUP(Aragon!E4468,'Kilter Holds'!$P$37:$AB$662,7,0),0)</f>
        <v>#NAME?</v>
      </c>
      <c r="I4468" s="274"/>
      <c r="J4468" s="274" t="e">
        <f t="shared" ca="1" si="72"/>
        <v>#NAME?</v>
      </c>
      <c r="K4468" s="274">
        <f t="shared" si="73"/>
        <v>0</v>
      </c>
      <c r="N4468" s="274"/>
    </row>
    <row r="4469" spans="5:14" ht="13.5" customHeight="1">
      <c r="E4469" s="209" t="s">
        <v>1205</v>
      </c>
      <c r="F4469" s="209" t="s">
        <v>2880</v>
      </c>
      <c r="G4469" s="410" t="str">
        <f t="shared" si="76"/>
        <v>16-16</v>
      </c>
      <c r="H4469" s="273" t="e">
        <f ca="1">_xludf.IFNA(VLOOKUP(Aragon!E4469,'Kilter Holds'!$P$37:$AB$662,8,0),0)</f>
        <v>#NAME?</v>
      </c>
      <c r="I4469" s="274"/>
      <c r="J4469" s="274" t="e">
        <f t="shared" ca="1" si="72"/>
        <v>#NAME?</v>
      </c>
      <c r="K4469" s="274">
        <f t="shared" si="73"/>
        <v>0</v>
      </c>
      <c r="N4469" s="274"/>
    </row>
    <row r="4470" spans="5:14" ht="13.5" customHeight="1">
      <c r="E4470" s="209" t="s">
        <v>1205</v>
      </c>
      <c r="F4470" s="209" t="s">
        <v>2880</v>
      </c>
      <c r="G4470" s="411" t="str">
        <f t="shared" si="76"/>
        <v>13-01</v>
      </c>
      <c r="H4470" s="273" t="e">
        <f ca="1">_xludf.IFNA(VLOOKUP(Aragon!E4470,'Kilter Holds'!$P$37:$AB$662,9,0),0)</f>
        <v>#NAME?</v>
      </c>
      <c r="I4470" s="274"/>
      <c r="J4470" s="274" t="e">
        <f t="shared" ca="1" si="72"/>
        <v>#NAME?</v>
      </c>
      <c r="K4470" s="274">
        <f t="shared" si="73"/>
        <v>0</v>
      </c>
      <c r="N4470" s="274"/>
    </row>
    <row r="4471" spans="5:14" ht="13.5" customHeight="1">
      <c r="E4471" s="209" t="s">
        <v>1205</v>
      </c>
      <c r="F4471" s="209" t="s">
        <v>2880</v>
      </c>
      <c r="G4471" s="413" t="str">
        <f t="shared" si="76"/>
        <v>07-13</v>
      </c>
      <c r="H4471" s="273" t="e">
        <f ca="1">_xludf.IFNA(VLOOKUP(Aragon!E4471,'Kilter Holds'!$P$37:$AB$662,10,0),0)</f>
        <v>#NAME?</v>
      </c>
      <c r="I4471" s="274"/>
      <c r="J4471" s="274" t="e">
        <f t="shared" ca="1" si="72"/>
        <v>#NAME?</v>
      </c>
      <c r="K4471" s="274">
        <f t="shared" si="73"/>
        <v>0</v>
      </c>
      <c r="N4471" s="274"/>
    </row>
    <row r="4472" spans="5:14" ht="13.5" customHeight="1">
      <c r="E4472" s="209" t="s">
        <v>1205</v>
      </c>
      <c r="F4472" s="209" t="s">
        <v>2880</v>
      </c>
      <c r="G4472" s="414" t="str">
        <f t="shared" si="76"/>
        <v>11-26</v>
      </c>
      <c r="H4472" s="273" t="e">
        <f ca="1">_xludf.IFNA(VLOOKUP(Aragon!E4472,'Kilter Holds'!$P$37:$AB$662,11,0),0)</f>
        <v>#NAME?</v>
      </c>
      <c r="I4472" s="274"/>
      <c r="J4472" s="274" t="e">
        <f t="shared" ca="1" si="72"/>
        <v>#NAME?</v>
      </c>
      <c r="K4472" s="274">
        <f t="shared" si="73"/>
        <v>0</v>
      </c>
      <c r="N4472" s="274"/>
    </row>
    <row r="4473" spans="5:14" ht="13.5" customHeight="1">
      <c r="E4473" s="209" t="s">
        <v>1205</v>
      </c>
      <c r="F4473" s="209" t="s">
        <v>2880</v>
      </c>
      <c r="G4473" s="415" t="str">
        <f t="shared" si="76"/>
        <v>18-01</v>
      </c>
      <c r="H4473" s="273" t="e">
        <f ca="1">_xludf.IFNA(VLOOKUP(Aragon!E4473,'Kilter Holds'!$P$37:$AB$662,12,0),0)</f>
        <v>#NAME?</v>
      </c>
      <c r="I4473" s="274"/>
      <c r="J4473" s="274" t="e">
        <f t="shared" ca="1" si="72"/>
        <v>#NAME?</v>
      </c>
      <c r="K4473" s="274">
        <f t="shared" si="73"/>
        <v>0</v>
      </c>
      <c r="N4473" s="274"/>
    </row>
    <row r="4474" spans="5:14" ht="13.5" customHeight="1">
      <c r="E4474" s="209" t="s">
        <v>1205</v>
      </c>
      <c r="F4474" s="209" t="s">
        <v>2880</v>
      </c>
      <c r="G4474" s="416" t="str">
        <f t="shared" si="76"/>
        <v>Color Code</v>
      </c>
      <c r="H4474" s="273" t="e">
        <f ca="1">_xludf.IFNA(VLOOKUP(Aragon!E4474,'Kilter Holds'!$P$37:$AB$662,13,0),0)</f>
        <v>#NAME?</v>
      </c>
      <c r="I4474" s="274"/>
      <c r="J4474" s="274" t="e">
        <f t="shared" ca="1" si="72"/>
        <v>#NAME?</v>
      </c>
      <c r="K4474" s="274">
        <f t="shared" si="73"/>
        <v>0</v>
      </c>
      <c r="N4474" s="274"/>
    </row>
    <row r="4475" spans="5:14" ht="13.5" customHeight="1">
      <c r="E4475" s="209" t="s">
        <v>1207</v>
      </c>
      <c r="F4475" s="209" t="s">
        <v>2881</v>
      </c>
      <c r="G4475" s="406" t="str">
        <f t="shared" si="76"/>
        <v>11-12</v>
      </c>
      <c r="H4475" s="273" t="e">
        <f ca="1">_xludf.IFNA(VLOOKUP(Aragon!E4475,'Kilter Holds'!$P$37:$AB$662,5,0),0)</f>
        <v>#NAME?</v>
      </c>
      <c r="I4475" s="274"/>
      <c r="J4475" s="274" t="e">
        <f t="shared" ca="1" si="72"/>
        <v>#NAME?</v>
      </c>
      <c r="K4475" s="274">
        <f t="shared" si="73"/>
        <v>0</v>
      </c>
      <c r="N4475" s="274"/>
    </row>
    <row r="4476" spans="5:14" ht="13.5" customHeight="1">
      <c r="E4476" s="209" t="s">
        <v>1207</v>
      </c>
      <c r="F4476" s="209" t="s">
        <v>2881</v>
      </c>
      <c r="G4476" s="408" t="str">
        <f t="shared" si="76"/>
        <v>14-01</v>
      </c>
      <c r="H4476" s="273" t="e">
        <f ca="1">_xludf.IFNA(VLOOKUP(Aragon!E4476,'Kilter Holds'!$P$37:$AB$662,6,0),0)</f>
        <v>#NAME?</v>
      </c>
      <c r="I4476" s="274"/>
      <c r="J4476" s="274" t="e">
        <f t="shared" ca="1" si="72"/>
        <v>#NAME?</v>
      </c>
      <c r="K4476" s="274">
        <f t="shared" si="73"/>
        <v>0</v>
      </c>
      <c r="N4476" s="274"/>
    </row>
    <row r="4477" spans="5:14" ht="13.5" customHeight="1">
      <c r="E4477" s="209" t="s">
        <v>1207</v>
      </c>
      <c r="F4477" s="209" t="s">
        <v>2881</v>
      </c>
      <c r="G4477" s="409" t="str">
        <f t="shared" si="76"/>
        <v>15-12</v>
      </c>
      <c r="H4477" s="273" t="e">
        <f ca="1">_xludf.IFNA(VLOOKUP(Aragon!E4477,'Kilter Holds'!$P$37:$AB$662,7,0),0)</f>
        <v>#NAME?</v>
      </c>
      <c r="I4477" s="274"/>
      <c r="J4477" s="274" t="e">
        <f t="shared" ca="1" si="72"/>
        <v>#NAME?</v>
      </c>
      <c r="K4477" s="274">
        <f t="shared" si="73"/>
        <v>0</v>
      </c>
      <c r="N4477" s="274"/>
    </row>
    <row r="4478" spans="5:14" ht="13.5" customHeight="1">
      <c r="E4478" s="209" t="s">
        <v>1207</v>
      </c>
      <c r="F4478" s="209" t="s">
        <v>2881</v>
      </c>
      <c r="G4478" s="410" t="str">
        <f t="shared" si="76"/>
        <v>16-16</v>
      </c>
      <c r="H4478" s="273" t="e">
        <f ca="1">_xludf.IFNA(VLOOKUP(Aragon!E4478,'Kilter Holds'!$P$37:$AB$662,8,0),0)</f>
        <v>#NAME?</v>
      </c>
      <c r="I4478" s="274"/>
      <c r="J4478" s="274" t="e">
        <f t="shared" ca="1" si="72"/>
        <v>#NAME?</v>
      </c>
      <c r="K4478" s="274">
        <f t="shared" si="73"/>
        <v>0</v>
      </c>
      <c r="N4478" s="274"/>
    </row>
    <row r="4479" spans="5:14" ht="13.5" customHeight="1">
      <c r="E4479" s="209" t="s">
        <v>1207</v>
      </c>
      <c r="F4479" s="209" t="s">
        <v>2881</v>
      </c>
      <c r="G4479" s="411" t="str">
        <f t="shared" si="76"/>
        <v>13-01</v>
      </c>
      <c r="H4479" s="273" t="e">
        <f ca="1">_xludf.IFNA(VLOOKUP(Aragon!E4479,'Kilter Holds'!$P$37:$AB$662,9,0),0)</f>
        <v>#NAME?</v>
      </c>
      <c r="I4479" s="274"/>
      <c r="J4479" s="274" t="e">
        <f t="shared" ca="1" si="72"/>
        <v>#NAME?</v>
      </c>
      <c r="K4479" s="274">
        <f t="shared" si="73"/>
        <v>0</v>
      </c>
      <c r="N4479" s="274"/>
    </row>
    <row r="4480" spans="5:14" ht="13.5" customHeight="1">
      <c r="E4480" s="209" t="s">
        <v>1207</v>
      </c>
      <c r="F4480" s="209" t="s">
        <v>2881</v>
      </c>
      <c r="G4480" s="413" t="str">
        <f t="shared" si="76"/>
        <v>07-13</v>
      </c>
      <c r="H4480" s="273" t="e">
        <f ca="1">_xludf.IFNA(VLOOKUP(Aragon!E4480,'Kilter Holds'!$P$37:$AB$662,10,0),0)</f>
        <v>#NAME?</v>
      </c>
      <c r="I4480" s="274"/>
      <c r="J4480" s="274" t="e">
        <f t="shared" ca="1" si="72"/>
        <v>#NAME?</v>
      </c>
      <c r="K4480" s="274">
        <f t="shared" si="73"/>
        <v>0</v>
      </c>
      <c r="N4480" s="274"/>
    </row>
    <row r="4481" spans="5:14" ht="13.5" customHeight="1">
      <c r="E4481" s="209" t="s">
        <v>1207</v>
      </c>
      <c r="F4481" s="209" t="s">
        <v>2881</v>
      </c>
      <c r="G4481" s="414" t="str">
        <f t="shared" si="76"/>
        <v>11-26</v>
      </c>
      <c r="H4481" s="273" t="e">
        <f ca="1">_xludf.IFNA(VLOOKUP(Aragon!E4481,'Kilter Holds'!$P$37:$AB$662,11,0),0)</f>
        <v>#NAME?</v>
      </c>
      <c r="I4481" s="274"/>
      <c r="J4481" s="274" t="e">
        <f t="shared" ca="1" si="72"/>
        <v>#NAME?</v>
      </c>
      <c r="K4481" s="274">
        <f t="shared" si="73"/>
        <v>0</v>
      </c>
      <c r="N4481" s="274"/>
    </row>
    <row r="4482" spans="5:14" ht="13.5" customHeight="1">
      <c r="E4482" s="209" t="s">
        <v>1207</v>
      </c>
      <c r="F4482" s="209" t="s">
        <v>2881</v>
      </c>
      <c r="G4482" s="415" t="str">
        <f t="shared" si="76"/>
        <v>18-01</v>
      </c>
      <c r="H4482" s="273" t="e">
        <f ca="1">_xludf.IFNA(VLOOKUP(Aragon!E4482,'Kilter Holds'!$P$37:$AB$662,12,0),0)</f>
        <v>#NAME?</v>
      </c>
      <c r="I4482" s="274"/>
      <c r="J4482" s="274" t="e">
        <f t="shared" ca="1" si="72"/>
        <v>#NAME?</v>
      </c>
      <c r="K4482" s="274">
        <f t="shared" si="73"/>
        <v>0</v>
      </c>
      <c r="N4482" s="274"/>
    </row>
    <row r="4483" spans="5:14" ht="13.5" customHeight="1">
      <c r="E4483" s="209" t="s">
        <v>1207</v>
      </c>
      <c r="F4483" s="209" t="s">
        <v>2881</v>
      </c>
      <c r="G4483" s="416" t="str">
        <f t="shared" si="76"/>
        <v>Color Code</v>
      </c>
      <c r="H4483" s="273" t="e">
        <f ca="1">_xludf.IFNA(VLOOKUP(Aragon!E4483,'Kilter Holds'!$P$37:$AB$662,13,0),0)</f>
        <v>#NAME?</v>
      </c>
      <c r="I4483" s="274"/>
      <c r="J4483" s="274" t="e">
        <f t="shared" ca="1" si="72"/>
        <v>#NAME?</v>
      </c>
      <c r="K4483" s="274">
        <f t="shared" si="73"/>
        <v>0</v>
      </c>
      <c r="N4483" s="274"/>
    </row>
    <row r="4484" spans="5:14" ht="13.5" customHeight="1">
      <c r="E4484" s="209" t="s">
        <v>1195</v>
      </c>
      <c r="F4484" s="209" t="s">
        <v>2882</v>
      </c>
      <c r="G4484" s="406" t="str">
        <f t="shared" si="76"/>
        <v>11-12</v>
      </c>
      <c r="H4484" s="273" t="e">
        <f ca="1">_xludf.IFNA(VLOOKUP(Aragon!E4484,'Kilter Holds'!$P$37:$AB$662,5,0),0)</f>
        <v>#NAME?</v>
      </c>
      <c r="I4484" s="274"/>
      <c r="J4484" s="274" t="e">
        <f t="shared" ca="1" si="72"/>
        <v>#NAME?</v>
      </c>
      <c r="K4484" s="274">
        <f t="shared" si="73"/>
        <v>0</v>
      </c>
      <c r="N4484" s="274"/>
    </row>
    <row r="4485" spans="5:14" ht="13.5" customHeight="1">
      <c r="E4485" s="209" t="s">
        <v>1195</v>
      </c>
      <c r="F4485" s="209" t="s">
        <v>2882</v>
      </c>
      <c r="G4485" s="408" t="str">
        <f t="shared" si="76"/>
        <v>14-01</v>
      </c>
      <c r="H4485" s="273" t="e">
        <f ca="1">_xludf.IFNA(VLOOKUP(Aragon!E4485,'Kilter Holds'!$P$37:$AB$662,6,0),0)</f>
        <v>#NAME?</v>
      </c>
      <c r="I4485" s="274"/>
      <c r="J4485" s="274" t="e">
        <f t="shared" ca="1" si="72"/>
        <v>#NAME?</v>
      </c>
      <c r="K4485" s="274">
        <f t="shared" si="73"/>
        <v>0</v>
      </c>
      <c r="N4485" s="274"/>
    </row>
    <row r="4486" spans="5:14" ht="13.5" customHeight="1">
      <c r="E4486" s="209" t="s">
        <v>1195</v>
      </c>
      <c r="F4486" s="209" t="s">
        <v>2882</v>
      </c>
      <c r="G4486" s="409" t="str">
        <f t="shared" si="76"/>
        <v>15-12</v>
      </c>
      <c r="H4486" s="273" t="e">
        <f ca="1">_xludf.IFNA(VLOOKUP(Aragon!E4486,'Kilter Holds'!$P$37:$AB$662,7,0),0)</f>
        <v>#NAME?</v>
      </c>
      <c r="I4486" s="274"/>
      <c r="J4486" s="274" t="e">
        <f t="shared" ca="1" si="72"/>
        <v>#NAME?</v>
      </c>
      <c r="K4486" s="274">
        <f t="shared" si="73"/>
        <v>0</v>
      </c>
      <c r="N4486" s="274"/>
    </row>
    <row r="4487" spans="5:14" ht="13.5" customHeight="1">
      <c r="E4487" s="209" t="s">
        <v>1195</v>
      </c>
      <c r="F4487" s="209" t="s">
        <v>2882</v>
      </c>
      <c r="G4487" s="410" t="str">
        <f t="shared" si="76"/>
        <v>16-16</v>
      </c>
      <c r="H4487" s="273" t="e">
        <f ca="1">_xludf.IFNA(VLOOKUP(Aragon!E4487,'Kilter Holds'!$P$37:$AB$662,8,0),0)</f>
        <v>#NAME?</v>
      </c>
      <c r="I4487" s="274"/>
      <c r="J4487" s="274" t="e">
        <f t="shared" ca="1" si="72"/>
        <v>#NAME?</v>
      </c>
      <c r="K4487" s="274">
        <f t="shared" si="73"/>
        <v>0</v>
      </c>
      <c r="N4487" s="274"/>
    </row>
    <row r="4488" spans="5:14" ht="13.5" customHeight="1">
      <c r="E4488" s="209" t="s">
        <v>1195</v>
      </c>
      <c r="F4488" s="209" t="s">
        <v>2882</v>
      </c>
      <c r="G4488" s="411" t="str">
        <f t="shared" si="76"/>
        <v>13-01</v>
      </c>
      <c r="H4488" s="273" t="e">
        <f ca="1">_xludf.IFNA(VLOOKUP(Aragon!E4488,'Kilter Holds'!$P$37:$AB$662,9,0),0)</f>
        <v>#NAME?</v>
      </c>
      <c r="I4488" s="274"/>
      <c r="J4488" s="274" t="e">
        <f t="shared" ca="1" si="72"/>
        <v>#NAME?</v>
      </c>
      <c r="K4488" s="274">
        <f t="shared" si="73"/>
        <v>0</v>
      </c>
      <c r="N4488" s="274"/>
    </row>
    <row r="4489" spans="5:14" ht="13.5" customHeight="1">
      <c r="E4489" s="209" t="s">
        <v>1195</v>
      </c>
      <c r="F4489" s="209" t="s">
        <v>2882</v>
      </c>
      <c r="G4489" s="413" t="str">
        <f t="shared" si="76"/>
        <v>07-13</v>
      </c>
      <c r="H4489" s="273" t="e">
        <f ca="1">_xludf.IFNA(VLOOKUP(Aragon!E4489,'Kilter Holds'!$P$37:$AB$662,10,0),0)</f>
        <v>#NAME?</v>
      </c>
      <c r="I4489" s="274"/>
      <c r="J4489" s="274" t="e">
        <f t="shared" ca="1" si="72"/>
        <v>#NAME?</v>
      </c>
      <c r="K4489" s="274">
        <f t="shared" si="73"/>
        <v>0</v>
      </c>
      <c r="N4489" s="274"/>
    </row>
    <row r="4490" spans="5:14" ht="13.5" customHeight="1">
      <c r="E4490" s="209" t="s">
        <v>1195</v>
      </c>
      <c r="F4490" s="209" t="s">
        <v>2882</v>
      </c>
      <c r="G4490" s="414" t="str">
        <f t="shared" si="76"/>
        <v>11-26</v>
      </c>
      <c r="H4490" s="273" t="e">
        <f ca="1">_xludf.IFNA(VLOOKUP(Aragon!E4490,'Kilter Holds'!$P$37:$AB$662,11,0),0)</f>
        <v>#NAME?</v>
      </c>
      <c r="I4490" s="274"/>
      <c r="J4490" s="274" t="e">
        <f t="shared" ca="1" si="72"/>
        <v>#NAME?</v>
      </c>
      <c r="K4490" s="274">
        <f t="shared" si="73"/>
        <v>0</v>
      </c>
      <c r="N4490" s="274"/>
    </row>
    <row r="4491" spans="5:14" ht="13.5" customHeight="1">
      <c r="E4491" s="209" t="s">
        <v>1195</v>
      </c>
      <c r="F4491" s="209" t="s">
        <v>2882</v>
      </c>
      <c r="G4491" s="415" t="str">
        <f t="shared" si="76"/>
        <v>18-01</v>
      </c>
      <c r="H4491" s="273" t="e">
        <f ca="1">_xludf.IFNA(VLOOKUP(Aragon!E4491,'Kilter Holds'!$P$37:$AB$662,12,0),0)</f>
        <v>#NAME?</v>
      </c>
      <c r="I4491" s="274"/>
      <c r="J4491" s="274" t="e">
        <f t="shared" ca="1" si="72"/>
        <v>#NAME?</v>
      </c>
      <c r="K4491" s="274">
        <f t="shared" si="73"/>
        <v>0</v>
      </c>
      <c r="N4491" s="274"/>
    </row>
    <row r="4492" spans="5:14" ht="13.5" customHeight="1">
      <c r="E4492" s="209" t="s">
        <v>1195</v>
      </c>
      <c r="F4492" s="209" t="s">
        <v>2882</v>
      </c>
      <c r="G4492" s="416" t="str">
        <f t="shared" si="76"/>
        <v>Color Code</v>
      </c>
      <c r="H4492" s="273" t="e">
        <f ca="1">_xludf.IFNA(VLOOKUP(Aragon!E4492,'Kilter Holds'!$P$37:$AB$662,13,0),0)</f>
        <v>#NAME?</v>
      </c>
      <c r="I4492" s="274"/>
      <c r="J4492" s="274" t="e">
        <f t="shared" ca="1" si="72"/>
        <v>#NAME?</v>
      </c>
      <c r="K4492" s="274">
        <f t="shared" si="73"/>
        <v>0</v>
      </c>
      <c r="N4492" s="274"/>
    </row>
    <row r="4493" spans="5:14" ht="13.5" customHeight="1">
      <c r="E4493" s="209" t="s">
        <v>1197</v>
      </c>
      <c r="F4493" s="209" t="s">
        <v>2883</v>
      </c>
      <c r="G4493" s="406" t="str">
        <f t="shared" si="76"/>
        <v>11-12</v>
      </c>
      <c r="H4493" s="273" t="e">
        <f ca="1">_xludf.IFNA(VLOOKUP(Aragon!E4493,'Kilter Holds'!$P$37:$AB$662,5,0),0)</f>
        <v>#NAME?</v>
      </c>
      <c r="I4493" s="274"/>
      <c r="J4493" s="274" t="e">
        <f t="shared" ca="1" si="72"/>
        <v>#NAME?</v>
      </c>
      <c r="K4493" s="274">
        <f t="shared" si="73"/>
        <v>0</v>
      </c>
      <c r="N4493" s="274"/>
    </row>
    <row r="4494" spans="5:14" ht="13.5" customHeight="1">
      <c r="E4494" s="209" t="s">
        <v>1197</v>
      </c>
      <c r="F4494" s="209" t="s">
        <v>2883</v>
      </c>
      <c r="G4494" s="408" t="str">
        <f t="shared" si="76"/>
        <v>14-01</v>
      </c>
      <c r="H4494" s="273" t="e">
        <f ca="1">_xludf.IFNA(VLOOKUP(Aragon!E4494,'Kilter Holds'!$P$37:$AB$662,6,0),0)</f>
        <v>#NAME?</v>
      </c>
      <c r="I4494" s="274"/>
      <c r="J4494" s="274" t="e">
        <f t="shared" ca="1" si="72"/>
        <v>#NAME?</v>
      </c>
      <c r="K4494" s="274">
        <f t="shared" si="73"/>
        <v>0</v>
      </c>
      <c r="N4494" s="274"/>
    </row>
    <row r="4495" spans="5:14" ht="13.5" customHeight="1">
      <c r="E4495" s="209" t="s">
        <v>1197</v>
      </c>
      <c r="F4495" s="209" t="s">
        <v>2883</v>
      </c>
      <c r="G4495" s="409" t="str">
        <f t="shared" si="76"/>
        <v>15-12</v>
      </c>
      <c r="H4495" s="273" t="e">
        <f ca="1">_xludf.IFNA(VLOOKUP(Aragon!E4495,'Kilter Holds'!$P$37:$AB$662,7,0),0)</f>
        <v>#NAME?</v>
      </c>
      <c r="I4495" s="274"/>
      <c r="J4495" s="274" t="e">
        <f t="shared" ca="1" si="72"/>
        <v>#NAME?</v>
      </c>
      <c r="K4495" s="274">
        <f t="shared" si="73"/>
        <v>0</v>
      </c>
      <c r="N4495" s="274"/>
    </row>
    <row r="4496" spans="5:14" ht="13.5" customHeight="1">
      <c r="E4496" s="209" t="s">
        <v>1197</v>
      </c>
      <c r="F4496" s="209" t="s">
        <v>2883</v>
      </c>
      <c r="G4496" s="410" t="str">
        <f t="shared" si="76"/>
        <v>16-16</v>
      </c>
      <c r="H4496" s="273" t="e">
        <f ca="1">_xludf.IFNA(VLOOKUP(Aragon!E4496,'Kilter Holds'!$P$37:$AB$662,8,0),0)</f>
        <v>#NAME?</v>
      </c>
      <c r="I4496" s="274"/>
      <c r="J4496" s="274" t="e">
        <f t="shared" ca="1" si="72"/>
        <v>#NAME?</v>
      </c>
      <c r="K4496" s="274">
        <f t="shared" si="73"/>
        <v>0</v>
      </c>
      <c r="N4496" s="274"/>
    </row>
    <row r="4497" spans="5:14" ht="13.5" customHeight="1">
      <c r="E4497" s="209" t="s">
        <v>1197</v>
      </c>
      <c r="F4497" s="209" t="s">
        <v>2883</v>
      </c>
      <c r="G4497" s="411" t="str">
        <f t="shared" si="76"/>
        <v>13-01</v>
      </c>
      <c r="H4497" s="273" t="e">
        <f ca="1">_xludf.IFNA(VLOOKUP(Aragon!E4497,'Kilter Holds'!$P$37:$AB$662,9,0),0)</f>
        <v>#NAME?</v>
      </c>
      <c r="I4497" s="274"/>
      <c r="J4497" s="274" t="e">
        <f t="shared" ca="1" si="72"/>
        <v>#NAME?</v>
      </c>
      <c r="K4497" s="274">
        <f t="shared" si="73"/>
        <v>0</v>
      </c>
      <c r="N4497" s="274"/>
    </row>
    <row r="4498" spans="5:14" ht="13.5" customHeight="1">
      <c r="E4498" s="209" t="s">
        <v>1197</v>
      </c>
      <c r="F4498" s="209" t="s">
        <v>2883</v>
      </c>
      <c r="G4498" s="413" t="str">
        <f t="shared" si="76"/>
        <v>07-13</v>
      </c>
      <c r="H4498" s="273" t="e">
        <f ca="1">_xludf.IFNA(VLOOKUP(Aragon!E4498,'Kilter Holds'!$P$37:$AB$662,10,0),0)</f>
        <v>#NAME?</v>
      </c>
      <c r="I4498" s="274"/>
      <c r="J4498" s="274" t="e">
        <f t="shared" ca="1" si="72"/>
        <v>#NAME?</v>
      </c>
      <c r="K4498" s="274">
        <f t="shared" si="73"/>
        <v>0</v>
      </c>
      <c r="N4498" s="274"/>
    </row>
    <row r="4499" spans="5:14" ht="13.5" customHeight="1">
      <c r="E4499" s="209" t="s">
        <v>1197</v>
      </c>
      <c r="F4499" s="209" t="s">
        <v>2883</v>
      </c>
      <c r="G4499" s="414" t="str">
        <f t="shared" si="76"/>
        <v>11-26</v>
      </c>
      <c r="H4499" s="273" t="e">
        <f ca="1">_xludf.IFNA(VLOOKUP(Aragon!E4499,'Kilter Holds'!$P$37:$AB$662,11,0),0)</f>
        <v>#NAME?</v>
      </c>
      <c r="I4499" s="274"/>
      <c r="J4499" s="274" t="e">
        <f t="shared" ca="1" si="72"/>
        <v>#NAME?</v>
      </c>
      <c r="K4499" s="274">
        <f t="shared" si="73"/>
        <v>0</v>
      </c>
      <c r="N4499" s="274"/>
    </row>
    <row r="4500" spans="5:14" ht="13.5" customHeight="1">
      <c r="E4500" s="209" t="s">
        <v>1197</v>
      </c>
      <c r="F4500" s="209" t="s">
        <v>2883</v>
      </c>
      <c r="G4500" s="415" t="str">
        <f t="shared" si="76"/>
        <v>18-01</v>
      </c>
      <c r="H4500" s="273" t="e">
        <f ca="1">_xludf.IFNA(VLOOKUP(Aragon!E4500,'Kilter Holds'!$P$37:$AB$662,12,0),0)</f>
        <v>#NAME?</v>
      </c>
      <c r="I4500" s="274"/>
      <c r="J4500" s="274" t="e">
        <f t="shared" ca="1" si="72"/>
        <v>#NAME?</v>
      </c>
      <c r="K4500" s="274">
        <f t="shared" si="73"/>
        <v>0</v>
      </c>
      <c r="N4500" s="274"/>
    </row>
    <row r="4501" spans="5:14" ht="13.5" customHeight="1">
      <c r="E4501" s="209" t="s">
        <v>1197</v>
      </c>
      <c r="F4501" s="209" t="s">
        <v>2883</v>
      </c>
      <c r="G4501" s="416" t="str">
        <f t="shared" si="76"/>
        <v>Color Code</v>
      </c>
      <c r="H4501" s="273" t="e">
        <f ca="1">_xludf.IFNA(VLOOKUP(Aragon!E4501,'Kilter Holds'!$P$37:$AB$662,13,0),0)</f>
        <v>#NAME?</v>
      </c>
      <c r="I4501" s="274"/>
      <c r="J4501" s="274" t="e">
        <f t="shared" ca="1" si="72"/>
        <v>#NAME?</v>
      </c>
      <c r="K4501" s="274">
        <f t="shared" si="73"/>
        <v>0</v>
      </c>
      <c r="N4501" s="274"/>
    </row>
    <row r="4502" spans="5:14" ht="13.5" customHeight="1">
      <c r="E4502" s="209" t="s">
        <v>1191</v>
      </c>
      <c r="F4502" s="209" t="s">
        <v>2884</v>
      </c>
      <c r="G4502" s="406" t="str">
        <f t="shared" si="76"/>
        <v>11-12</v>
      </c>
      <c r="H4502" s="273" t="e">
        <f ca="1">_xludf.IFNA(VLOOKUP(Aragon!E4502,'Kilter Holds'!$P$37:$AB$662,5,0),0)</f>
        <v>#NAME?</v>
      </c>
      <c r="I4502" s="274"/>
      <c r="J4502" s="274" t="e">
        <f t="shared" ca="1" si="72"/>
        <v>#NAME?</v>
      </c>
      <c r="K4502" s="274">
        <f t="shared" si="73"/>
        <v>0</v>
      </c>
      <c r="N4502" s="274"/>
    </row>
    <row r="4503" spans="5:14" ht="13.5" customHeight="1">
      <c r="E4503" s="209" t="s">
        <v>1191</v>
      </c>
      <c r="F4503" s="209" t="s">
        <v>2884</v>
      </c>
      <c r="G4503" s="408" t="str">
        <f t="shared" si="76"/>
        <v>14-01</v>
      </c>
      <c r="H4503" s="273" t="e">
        <f ca="1">_xludf.IFNA(VLOOKUP(Aragon!E4503,'Kilter Holds'!$P$37:$AB$662,6,0),0)</f>
        <v>#NAME?</v>
      </c>
      <c r="I4503" s="274"/>
      <c r="J4503" s="274" t="e">
        <f t="shared" ca="1" si="72"/>
        <v>#NAME?</v>
      </c>
      <c r="K4503" s="274">
        <f t="shared" si="73"/>
        <v>0</v>
      </c>
      <c r="N4503" s="274"/>
    </row>
    <row r="4504" spans="5:14" ht="13.5" customHeight="1">
      <c r="E4504" s="209" t="s">
        <v>1191</v>
      </c>
      <c r="F4504" s="209" t="s">
        <v>2884</v>
      </c>
      <c r="G4504" s="409" t="str">
        <f t="shared" si="76"/>
        <v>15-12</v>
      </c>
      <c r="H4504" s="273" t="e">
        <f ca="1">_xludf.IFNA(VLOOKUP(Aragon!E4504,'Kilter Holds'!$P$37:$AB$662,7,0),0)</f>
        <v>#NAME?</v>
      </c>
      <c r="I4504" s="274"/>
      <c r="J4504" s="274" t="e">
        <f t="shared" ca="1" si="72"/>
        <v>#NAME?</v>
      </c>
      <c r="K4504" s="274">
        <f t="shared" si="73"/>
        <v>0</v>
      </c>
      <c r="N4504" s="274"/>
    </row>
    <row r="4505" spans="5:14" ht="13.5" customHeight="1">
      <c r="E4505" s="209" t="s">
        <v>1191</v>
      </c>
      <c r="F4505" s="209" t="s">
        <v>2884</v>
      </c>
      <c r="G4505" s="410" t="str">
        <f t="shared" si="76"/>
        <v>16-16</v>
      </c>
      <c r="H4505" s="273" t="e">
        <f ca="1">_xludf.IFNA(VLOOKUP(Aragon!E4505,'Kilter Holds'!$P$37:$AB$662,8,0),0)</f>
        <v>#NAME?</v>
      </c>
      <c r="I4505" s="274"/>
      <c r="J4505" s="274" t="e">
        <f t="shared" ca="1" si="72"/>
        <v>#NAME?</v>
      </c>
      <c r="K4505" s="274">
        <f t="shared" si="73"/>
        <v>0</v>
      </c>
      <c r="N4505" s="274"/>
    </row>
    <row r="4506" spans="5:14" ht="13.5" customHeight="1">
      <c r="E4506" s="209" t="s">
        <v>1191</v>
      </c>
      <c r="F4506" s="209" t="s">
        <v>2884</v>
      </c>
      <c r="G4506" s="411" t="str">
        <f t="shared" si="76"/>
        <v>13-01</v>
      </c>
      <c r="H4506" s="273" t="e">
        <f ca="1">_xludf.IFNA(VLOOKUP(Aragon!E4506,'Kilter Holds'!$P$37:$AB$662,9,0),0)</f>
        <v>#NAME?</v>
      </c>
      <c r="I4506" s="274"/>
      <c r="J4506" s="274" t="e">
        <f t="shared" ca="1" si="72"/>
        <v>#NAME?</v>
      </c>
      <c r="K4506" s="274">
        <f t="shared" si="73"/>
        <v>0</v>
      </c>
      <c r="N4506" s="274"/>
    </row>
    <row r="4507" spans="5:14" ht="13.5" customHeight="1">
      <c r="E4507" s="209" t="s">
        <v>1191</v>
      </c>
      <c r="F4507" s="209" t="s">
        <v>2884</v>
      </c>
      <c r="G4507" s="413" t="str">
        <f t="shared" si="76"/>
        <v>07-13</v>
      </c>
      <c r="H4507" s="273" t="e">
        <f ca="1">_xludf.IFNA(VLOOKUP(Aragon!E4507,'Kilter Holds'!$P$37:$AB$662,10,0),0)</f>
        <v>#NAME?</v>
      </c>
      <c r="I4507" s="274"/>
      <c r="J4507" s="274" t="e">
        <f t="shared" ca="1" si="72"/>
        <v>#NAME?</v>
      </c>
      <c r="K4507" s="274">
        <f t="shared" si="73"/>
        <v>0</v>
      </c>
      <c r="N4507" s="274"/>
    </row>
    <row r="4508" spans="5:14" ht="13.5" customHeight="1">
      <c r="E4508" s="209" t="s">
        <v>1191</v>
      </c>
      <c r="F4508" s="209" t="s">
        <v>2884</v>
      </c>
      <c r="G4508" s="414" t="str">
        <f t="shared" si="76"/>
        <v>11-26</v>
      </c>
      <c r="H4508" s="273" t="e">
        <f ca="1">_xludf.IFNA(VLOOKUP(Aragon!E4508,'Kilter Holds'!$P$37:$AB$662,11,0),0)</f>
        <v>#NAME?</v>
      </c>
      <c r="I4508" s="274"/>
      <c r="J4508" s="274" t="e">
        <f t="shared" ca="1" si="72"/>
        <v>#NAME?</v>
      </c>
      <c r="K4508" s="274">
        <f t="shared" si="73"/>
        <v>0</v>
      </c>
      <c r="N4508" s="274"/>
    </row>
    <row r="4509" spans="5:14" ht="13.5" customHeight="1">
      <c r="E4509" s="209" t="s">
        <v>1191</v>
      </c>
      <c r="F4509" s="209" t="s">
        <v>2884</v>
      </c>
      <c r="G4509" s="415" t="str">
        <f t="shared" si="76"/>
        <v>18-01</v>
      </c>
      <c r="H4509" s="273" t="e">
        <f ca="1">_xludf.IFNA(VLOOKUP(Aragon!E4509,'Kilter Holds'!$P$37:$AB$662,12,0),0)</f>
        <v>#NAME?</v>
      </c>
      <c r="I4509" s="274"/>
      <c r="J4509" s="274" t="e">
        <f t="shared" ca="1" si="72"/>
        <v>#NAME?</v>
      </c>
      <c r="K4509" s="274">
        <f t="shared" si="73"/>
        <v>0</v>
      </c>
      <c r="N4509" s="274"/>
    </row>
    <row r="4510" spans="5:14" ht="13.5" customHeight="1">
      <c r="E4510" s="209" t="s">
        <v>1191</v>
      </c>
      <c r="F4510" s="209" t="s">
        <v>2884</v>
      </c>
      <c r="G4510" s="416" t="str">
        <f t="shared" si="76"/>
        <v>Color Code</v>
      </c>
      <c r="H4510" s="273" t="e">
        <f ca="1">_xludf.IFNA(VLOOKUP(Aragon!E4510,'Kilter Holds'!$P$37:$AB$662,13,0),0)</f>
        <v>#NAME?</v>
      </c>
      <c r="I4510" s="274"/>
      <c r="J4510" s="274" t="e">
        <f t="shared" ca="1" si="72"/>
        <v>#NAME?</v>
      </c>
      <c r="K4510" s="274">
        <f t="shared" si="73"/>
        <v>0</v>
      </c>
      <c r="N4510" s="274"/>
    </row>
    <row r="4511" spans="5:14" ht="13.5" customHeight="1">
      <c r="E4511" s="209" t="s">
        <v>1245</v>
      </c>
      <c r="F4511" s="209" t="s">
        <v>2885</v>
      </c>
      <c r="G4511" s="406" t="str">
        <f t="shared" si="76"/>
        <v>11-12</v>
      </c>
      <c r="H4511" s="273" t="e">
        <f ca="1">_xludf.IFNA(VLOOKUP(Aragon!E4511,'Kilter Holds'!$P$37:$AB$662,5,0),0)</f>
        <v>#NAME?</v>
      </c>
      <c r="I4511" s="274"/>
      <c r="J4511" s="274" t="e">
        <f t="shared" ca="1" si="72"/>
        <v>#NAME?</v>
      </c>
      <c r="K4511" s="274">
        <f t="shared" si="73"/>
        <v>0</v>
      </c>
      <c r="N4511" s="274"/>
    </row>
    <row r="4512" spans="5:14" ht="13.5" customHeight="1">
      <c r="E4512" s="209" t="s">
        <v>1245</v>
      </c>
      <c r="F4512" s="209" t="s">
        <v>2885</v>
      </c>
      <c r="G4512" s="408" t="str">
        <f t="shared" si="76"/>
        <v>14-01</v>
      </c>
      <c r="H4512" s="273" t="e">
        <f ca="1">_xludf.IFNA(VLOOKUP(Aragon!E4512,'Kilter Holds'!$P$37:$AB$662,6,0),0)</f>
        <v>#NAME?</v>
      </c>
      <c r="I4512" s="274"/>
      <c r="J4512" s="274" t="e">
        <f t="shared" ca="1" si="72"/>
        <v>#NAME?</v>
      </c>
      <c r="K4512" s="274">
        <f t="shared" si="73"/>
        <v>0</v>
      </c>
      <c r="N4512" s="274"/>
    </row>
    <row r="4513" spans="5:14" ht="13.5" customHeight="1">
      <c r="E4513" s="209" t="s">
        <v>1245</v>
      </c>
      <c r="F4513" s="209" t="s">
        <v>2885</v>
      </c>
      <c r="G4513" s="409" t="str">
        <f t="shared" si="76"/>
        <v>15-12</v>
      </c>
      <c r="H4513" s="273" t="e">
        <f ca="1">_xludf.IFNA(VLOOKUP(Aragon!E4513,'Kilter Holds'!$P$37:$AB$662,7,0),0)</f>
        <v>#NAME?</v>
      </c>
      <c r="I4513" s="274"/>
      <c r="J4513" s="274" t="e">
        <f t="shared" ca="1" si="72"/>
        <v>#NAME?</v>
      </c>
      <c r="K4513" s="274">
        <f t="shared" si="73"/>
        <v>0</v>
      </c>
      <c r="N4513" s="274"/>
    </row>
    <row r="4514" spans="5:14" ht="13.5" customHeight="1">
      <c r="E4514" s="209" t="s">
        <v>1245</v>
      </c>
      <c r="F4514" s="209" t="s">
        <v>2885</v>
      </c>
      <c r="G4514" s="410" t="str">
        <f t="shared" si="76"/>
        <v>16-16</v>
      </c>
      <c r="H4514" s="273" t="e">
        <f ca="1">_xludf.IFNA(VLOOKUP(Aragon!E4514,'Kilter Holds'!$P$37:$AB$662,8,0),0)</f>
        <v>#NAME?</v>
      </c>
      <c r="I4514" s="274"/>
      <c r="J4514" s="274" t="e">
        <f t="shared" ca="1" si="72"/>
        <v>#NAME?</v>
      </c>
      <c r="K4514" s="274">
        <f t="shared" si="73"/>
        <v>0</v>
      </c>
      <c r="N4514" s="274"/>
    </row>
    <row r="4515" spans="5:14" ht="13.5" customHeight="1">
      <c r="E4515" s="209" t="s">
        <v>1245</v>
      </c>
      <c r="F4515" s="209" t="s">
        <v>2885</v>
      </c>
      <c r="G4515" s="411" t="str">
        <f t="shared" si="76"/>
        <v>13-01</v>
      </c>
      <c r="H4515" s="273" t="e">
        <f ca="1">_xludf.IFNA(VLOOKUP(Aragon!E4515,'Kilter Holds'!$P$37:$AB$662,9,0),0)</f>
        <v>#NAME?</v>
      </c>
      <c r="I4515" s="274"/>
      <c r="J4515" s="274" t="e">
        <f t="shared" ca="1" si="72"/>
        <v>#NAME?</v>
      </c>
      <c r="K4515" s="274">
        <f t="shared" si="73"/>
        <v>0</v>
      </c>
      <c r="N4515" s="274"/>
    </row>
    <row r="4516" spans="5:14" ht="13.5" customHeight="1">
      <c r="E4516" s="209" t="s">
        <v>1245</v>
      </c>
      <c r="F4516" s="209" t="s">
        <v>2885</v>
      </c>
      <c r="G4516" s="413" t="str">
        <f t="shared" si="76"/>
        <v>07-13</v>
      </c>
      <c r="H4516" s="273" t="e">
        <f ca="1">_xludf.IFNA(VLOOKUP(Aragon!E4516,'Kilter Holds'!$P$37:$AB$662,10,0),0)</f>
        <v>#NAME?</v>
      </c>
      <c r="I4516" s="274"/>
      <c r="J4516" s="274" t="e">
        <f t="shared" ca="1" si="72"/>
        <v>#NAME?</v>
      </c>
      <c r="K4516" s="274">
        <f t="shared" si="73"/>
        <v>0</v>
      </c>
      <c r="N4516" s="274"/>
    </row>
    <row r="4517" spans="5:14" ht="13.5" customHeight="1">
      <c r="E4517" s="209" t="s">
        <v>1245</v>
      </c>
      <c r="F4517" s="209" t="s">
        <v>2885</v>
      </c>
      <c r="G4517" s="414" t="str">
        <f t="shared" si="76"/>
        <v>11-26</v>
      </c>
      <c r="H4517" s="273" t="e">
        <f ca="1">_xludf.IFNA(VLOOKUP(Aragon!E4517,'Kilter Holds'!$P$37:$AB$662,11,0),0)</f>
        <v>#NAME?</v>
      </c>
      <c r="I4517" s="274"/>
      <c r="J4517" s="274" t="e">
        <f t="shared" ca="1" si="72"/>
        <v>#NAME?</v>
      </c>
      <c r="K4517" s="274">
        <f t="shared" si="73"/>
        <v>0</v>
      </c>
      <c r="N4517" s="274"/>
    </row>
    <row r="4518" spans="5:14" ht="13.5" customHeight="1">
      <c r="E4518" s="209" t="s">
        <v>1245</v>
      </c>
      <c r="F4518" s="209" t="s">
        <v>2885</v>
      </c>
      <c r="G4518" s="415" t="str">
        <f t="shared" si="76"/>
        <v>18-01</v>
      </c>
      <c r="H4518" s="273" t="e">
        <f ca="1">_xludf.IFNA(VLOOKUP(Aragon!E4518,'Kilter Holds'!$P$37:$AB$662,12,0),0)</f>
        <v>#NAME?</v>
      </c>
      <c r="I4518" s="274"/>
      <c r="J4518" s="274" t="e">
        <f t="shared" ca="1" si="72"/>
        <v>#NAME?</v>
      </c>
      <c r="K4518" s="274">
        <f t="shared" si="73"/>
        <v>0</v>
      </c>
      <c r="N4518" s="274"/>
    </row>
    <row r="4519" spans="5:14" ht="13.5" customHeight="1">
      <c r="E4519" s="209" t="s">
        <v>1245</v>
      </c>
      <c r="F4519" s="209" t="s">
        <v>2885</v>
      </c>
      <c r="G4519" s="416" t="str">
        <f t="shared" si="76"/>
        <v>Color Code</v>
      </c>
      <c r="H4519" s="273" t="e">
        <f ca="1">_xludf.IFNA(VLOOKUP(Aragon!E4519,'Kilter Holds'!$P$37:$AB$662,13,0),0)</f>
        <v>#NAME?</v>
      </c>
      <c r="I4519" s="274"/>
      <c r="J4519" s="274" t="e">
        <f t="shared" ca="1" si="72"/>
        <v>#NAME?</v>
      </c>
      <c r="K4519" s="274">
        <f t="shared" si="73"/>
        <v>0</v>
      </c>
      <c r="N4519" s="274"/>
    </row>
    <row r="4520" spans="5:14" ht="13.5" customHeight="1">
      <c r="E4520" s="209" t="s">
        <v>566</v>
      </c>
      <c r="F4520" s="209" t="s">
        <v>2886</v>
      </c>
      <c r="G4520" s="406" t="str">
        <f t="shared" si="76"/>
        <v>11-12</v>
      </c>
      <c r="H4520" s="273" t="e">
        <f ca="1">_xludf.IFNA(VLOOKUP(Aragon!E4520,'Kilter Holds'!$P$37:$AB$662,5,0),0)</f>
        <v>#NAME?</v>
      </c>
      <c r="I4520" s="274"/>
      <c r="J4520" s="274" t="e">
        <f t="shared" ca="1" si="72"/>
        <v>#NAME?</v>
      </c>
      <c r="K4520" s="274">
        <f t="shared" si="73"/>
        <v>0</v>
      </c>
      <c r="N4520" s="274"/>
    </row>
    <row r="4521" spans="5:14" ht="13.5" customHeight="1">
      <c r="E4521" s="209" t="s">
        <v>566</v>
      </c>
      <c r="F4521" s="209" t="s">
        <v>2886</v>
      </c>
      <c r="G4521" s="408" t="str">
        <f t="shared" si="76"/>
        <v>14-01</v>
      </c>
      <c r="H4521" s="273" t="e">
        <f ca="1">_xludf.IFNA(VLOOKUP(Aragon!E4521,'Kilter Holds'!$P$37:$AB$662,6,0),0)</f>
        <v>#NAME?</v>
      </c>
      <c r="I4521" s="274"/>
      <c r="J4521" s="274" t="e">
        <f t="shared" ca="1" si="72"/>
        <v>#NAME?</v>
      </c>
      <c r="K4521" s="274">
        <f t="shared" si="73"/>
        <v>0</v>
      </c>
      <c r="N4521" s="274"/>
    </row>
    <row r="4522" spans="5:14" ht="13.5" customHeight="1">
      <c r="E4522" s="209" t="s">
        <v>566</v>
      </c>
      <c r="F4522" s="209" t="s">
        <v>2886</v>
      </c>
      <c r="G4522" s="409" t="str">
        <f t="shared" si="76"/>
        <v>15-12</v>
      </c>
      <c r="H4522" s="273" t="e">
        <f ca="1">_xludf.IFNA(VLOOKUP(Aragon!E4522,'Kilter Holds'!$P$37:$AB$662,7,0),0)</f>
        <v>#NAME?</v>
      </c>
      <c r="I4522" s="274"/>
      <c r="J4522" s="274" t="e">
        <f t="shared" ca="1" si="72"/>
        <v>#NAME?</v>
      </c>
      <c r="K4522" s="274">
        <f t="shared" si="73"/>
        <v>0</v>
      </c>
      <c r="N4522" s="274"/>
    </row>
    <row r="4523" spans="5:14" ht="13.5" customHeight="1">
      <c r="E4523" s="209" t="s">
        <v>566</v>
      </c>
      <c r="F4523" s="209" t="s">
        <v>2886</v>
      </c>
      <c r="G4523" s="410" t="str">
        <f t="shared" si="76"/>
        <v>16-16</v>
      </c>
      <c r="H4523" s="273" t="e">
        <f ca="1">_xludf.IFNA(VLOOKUP(Aragon!E4523,'Kilter Holds'!$P$37:$AB$662,8,0),0)</f>
        <v>#NAME?</v>
      </c>
      <c r="I4523" s="274"/>
      <c r="J4523" s="274" t="e">
        <f t="shared" ca="1" si="72"/>
        <v>#NAME?</v>
      </c>
      <c r="K4523" s="274">
        <f t="shared" si="73"/>
        <v>0</v>
      </c>
      <c r="N4523" s="274"/>
    </row>
    <row r="4524" spans="5:14" ht="13.5" customHeight="1">
      <c r="E4524" s="209" t="s">
        <v>566</v>
      </c>
      <c r="F4524" s="209" t="s">
        <v>2886</v>
      </c>
      <c r="G4524" s="411" t="str">
        <f t="shared" si="76"/>
        <v>13-01</v>
      </c>
      <c r="H4524" s="273" t="e">
        <f ca="1">_xludf.IFNA(VLOOKUP(Aragon!E4524,'Kilter Holds'!$P$37:$AB$662,9,0),0)</f>
        <v>#NAME?</v>
      </c>
      <c r="I4524" s="274"/>
      <c r="J4524" s="274" t="e">
        <f t="shared" ca="1" si="72"/>
        <v>#NAME?</v>
      </c>
      <c r="K4524" s="274">
        <f t="shared" si="73"/>
        <v>0</v>
      </c>
      <c r="N4524" s="274"/>
    </row>
    <row r="4525" spans="5:14" ht="13.5" customHeight="1">
      <c r="E4525" s="209" t="s">
        <v>566</v>
      </c>
      <c r="F4525" s="209" t="s">
        <v>2886</v>
      </c>
      <c r="G4525" s="413" t="str">
        <f t="shared" si="76"/>
        <v>07-13</v>
      </c>
      <c r="H4525" s="273" t="e">
        <f ca="1">_xludf.IFNA(VLOOKUP(Aragon!E4525,'Kilter Holds'!$P$37:$AB$662,10,0),0)</f>
        <v>#NAME?</v>
      </c>
      <c r="I4525" s="274"/>
      <c r="J4525" s="274" t="e">
        <f t="shared" ca="1" si="72"/>
        <v>#NAME?</v>
      </c>
      <c r="K4525" s="274">
        <f t="shared" si="73"/>
        <v>0</v>
      </c>
      <c r="N4525" s="274"/>
    </row>
    <row r="4526" spans="5:14" ht="13.5" customHeight="1">
      <c r="E4526" s="209" t="s">
        <v>566</v>
      </c>
      <c r="F4526" s="209" t="s">
        <v>2886</v>
      </c>
      <c r="G4526" s="414" t="str">
        <f t="shared" si="76"/>
        <v>11-26</v>
      </c>
      <c r="H4526" s="273" t="e">
        <f ca="1">_xludf.IFNA(VLOOKUP(Aragon!E4526,'Kilter Holds'!$P$37:$AB$662,11,0),0)</f>
        <v>#NAME?</v>
      </c>
      <c r="I4526" s="274"/>
      <c r="J4526" s="274" t="e">
        <f t="shared" ca="1" si="72"/>
        <v>#NAME?</v>
      </c>
      <c r="K4526" s="274">
        <f t="shared" si="73"/>
        <v>0</v>
      </c>
      <c r="N4526" s="274"/>
    </row>
    <row r="4527" spans="5:14" ht="13.5" customHeight="1">
      <c r="E4527" s="209" t="s">
        <v>566</v>
      </c>
      <c r="F4527" s="209" t="s">
        <v>2886</v>
      </c>
      <c r="G4527" s="415" t="str">
        <f t="shared" si="76"/>
        <v>18-01</v>
      </c>
      <c r="H4527" s="273" t="e">
        <f ca="1">_xludf.IFNA(VLOOKUP(Aragon!E4527,'Kilter Holds'!$P$37:$AB$662,12,0),0)</f>
        <v>#NAME?</v>
      </c>
      <c r="I4527" s="274"/>
      <c r="J4527" s="274" t="e">
        <f t="shared" ca="1" si="72"/>
        <v>#NAME?</v>
      </c>
      <c r="K4527" s="274">
        <f t="shared" si="73"/>
        <v>0</v>
      </c>
      <c r="N4527" s="274"/>
    </row>
    <row r="4528" spans="5:14" ht="13.5" customHeight="1">
      <c r="E4528" s="209" t="s">
        <v>566</v>
      </c>
      <c r="F4528" s="209" t="s">
        <v>2886</v>
      </c>
      <c r="G4528" s="416" t="str">
        <f t="shared" si="76"/>
        <v>Color Code</v>
      </c>
      <c r="H4528" s="273" t="e">
        <f ca="1">_xludf.IFNA(VLOOKUP(Aragon!E4528,'Kilter Holds'!$P$37:$AB$662,13,0),0)</f>
        <v>#NAME?</v>
      </c>
      <c r="I4528" s="274"/>
      <c r="J4528" s="274" t="e">
        <f t="shared" ca="1" si="72"/>
        <v>#NAME?</v>
      </c>
      <c r="K4528" s="274">
        <f t="shared" si="73"/>
        <v>0</v>
      </c>
      <c r="N4528" s="274"/>
    </row>
    <row r="4529" spans="5:14" ht="13.5" customHeight="1">
      <c r="E4529" s="209" t="s">
        <v>588</v>
      </c>
      <c r="F4529" s="209" t="s">
        <v>2887</v>
      </c>
      <c r="G4529" s="406" t="str">
        <f t="shared" si="76"/>
        <v>11-12</v>
      </c>
      <c r="H4529" s="273" t="e">
        <f ca="1">_xludf.IFNA(VLOOKUP(Aragon!E4529,'Kilter Holds'!$P$37:$AB$662,5,0),0)</f>
        <v>#NAME?</v>
      </c>
      <c r="I4529" s="274"/>
      <c r="J4529" s="274" t="e">
        <f t="shared" ca="1" si="72"/>
        <v>#NAME?</v>
      </c>
      <c r="K4529" s="274">
        <f t="shared" si="73"/>
        <v>0</v>
      </c>
      <c r="N4529" s="274"/>
    </row>
    <row r="4530" spans="5:14" ht="13.5" customHeight="1">
      <c r="E4530" s="209" t="s">
        <v>588</v>
      </c>
      <c r="F4530" s="209" t="s">
        <v>2887</v>
      </c>
      <c r="G4530" s="408" t="str">
        <f t="shared" si="76"/>
        <v>14-01</v>
      </c>
      <c r="H4530" s="273" t="e">
        <f ca="1">_xludf.IFNA(VLOOKUP(Aragon!E4530,'Kilter Holds'!$P$37:$AB$662,6,0),0)</f>
        <v>#NAME?</v>
      </c>
      <c r="I4530" s="274"/>
      <c r="J4530" s="274" t="e">
        <f t="shared" ca="1" si="72"/>
        <v>#NAME?</v>
      </c>
      <c r="K4530" s="274">
        <f t="shared" si="73"/>
        <v>0</v>
      </c>
      <c r="N4530" s="274"/>
    </row>
    <row r="4531" spans="5:14" ht="13.5" customHeight="1">
      <c r="E4531" s="209" t="s">
        <v>588</v>
      </c>
      <c r="F4531" s="209" t="s">
        <v>2887</v>
      </c>
      <c r="G4531" s="409" t="str">
        <f t="shared" si="76"/>
        <v>15-12</v>
      </c>
      <c r="H4531" s="273" t="e">
        <f ca="1">_xludf.IFNA(VLOOKUP(Aragon!E4531,'Kilter Holds'!$P$37:$AB$662,7,0),0)</f>
        <v>#NAME?</v>
      </c>
      <c r="I4531" s="274"/>
      <c r="J4531" s="274" t="e">
        <f t="shared" ca="1" si="72"/>
        <v>#NAME?</v>
      </c>
      <c r="K4531" s="274">
        <f t="shared" si="73"/>
        <v>0</v>
      </c>
      <c r="N4531" s="274"/>
    </row>
    <row r="4532" spans="5:14" ht="13.5" customHeight="1">
      <c r="E4532" s="209" t="s">
        <v>588</v>
      </c>
      <c r="F4532" s="209" t="s">
        <v>2887</v>
      </c>
      <c r="G4532" s="410" t="str">
        <f t="shared" si="76"/>
        <v>16-16</v>
      </c>
      <c r="H4532" s="273" t="e">
        <f ca="1">_xludf.IFNA(VLOOKUP(Aragon!E4532,'Kilter Holds'!$P$37:$AB$662,8,0),0)</f>
        <v>#NAME?</v>
      </c>
      <c r="I4532" s="274"/>
      <c r="J4532" s="274" t="e">
        <f t="shared" ca="1" si="72"/>
        <v>#NAME?</v>
      </c>
      <c r="K4532" s="274">
        <f t="shared" si="73"/>
        <v>0</v>
      </c>
      <c r="N4532" s="274"/>
    </row>
    <row r="4533" spans="5:14" ht="13.5" customHeight="1">
      <c r="E4533" s="209" t="s">
        <v>588</v>
      </c>
      <c r="F4533" s="209" t="s">
        <v>2887</v>
      </c>
      <c r="G4533" s="411" t="str">
        <f t="shared" si="76"/>
        <v>13-01</v>
      </c>
      <c r="H4533" s="273" t="e">
        <f ca="1">_xludf.IFNA(VLOOKUP(Aragon!E4533,'Kilter Holds'!$P$37:$AB$662,9,0),0)</f>
        <v>#NAME?</v>
      </c>
      <c r="I4533" s="274"/>
      <c r="J4533" s="274" t="e">
        <f t="shared" ca="1" si="72"/>
        <v>#NAME?</v>
      </c>
      <c r="K4533" s="274">
        <f t="shared" si="73"/>
        <v>0</v>
      </c>
      <c r="N4533" s="274"/>
    </row>
    <row r="4534" spans="5:14" ht="13.5" customHeight="1">
      <c r="E4534" s="209" t="s">
        <v>588</v>
      </c>
      <c r="F4534" s="209" t="s">
        <v>2887</v>
      </c>
      <c r="G4534" s="413" t="str">
        <f t="shared" si="76"/>
        <v>07-13</v>
      </c>
      <c r="H4534" s="273" t="e">
        <f ca="1">_xludf.IFNA(VLOOKUP(Aragon!E4534,'Kilter Holds'!$P$37:$AB$662,10,0),0)</f>
        <v>#NAME?</v>
      </c>
      <c r="I4534" s="274"/>
      <c r="J4534" s="274" t="e">
        <f t="shared" ca="1" si="72"/>
        <v>#NAME?</v>
      </c>
      <c r="K4534" s="274">
        <f t="shared" si="73"/>
        <v>0</v>
      </c>
      <c r="N4534" s="274"/>
    </row>
    <row r="4535" spans="5:14" ht="13.5" customHeight="1">
      <c r="E4535" s="209" t="s">
        <v>588</v>
      </c>
      <c r="F4535" s="209" t="s">
        <v>2887</v>
      </c>
      <c r="G4535" s="414" t="str">
        <f t="shared" si="76"/>
        <v>11-26</v>
      </c>
      <c r="H4535" s="273" t="e">
        <f ca="1">_xludf.IFNA(VLOOKUP(Aragon!E4535,'Kilter Holds'!$P$37:$AB$662,11,0),0)</f>
        <v>#NAME?</v>
      </c>
      <c r="I4535" s="274"/>
      <c r="J4535" s="274" t="e">
        <f t="shared" ca="1" si="72"/>
        <v>#NAME?</v>
      </c>
      <c r="K4535" s="274">
        <f t="shared" si="73"/>
        <v>0</v>
      </c>
      <c r="N4535" s="274"/>
    </row>
    <row r="4536" spans="5:14" ht="13.5" customHeight="1">
      <c r="E4536" s="209" t="s">
        <v>588</v>
      </c>
      <c r="F4536" s="209" t="s">
        <v>2887</v>
      </c>
      <c r="G4536" s="415" t="str">
        <f t="shared" si="76"/>
        <v>18-01</v>
      </c>
      <c r="H4536" s="273" t="e">
        <f ca="1">_xludf.IFNA(VLOOKUP(Aragon!E4536,'Kilter Holds'!$P$37:$AB$662,12,0),0)</f>
        <v>#NAME?</v>
      </c>
      <c r="I4536" s="274"/>
      <c r="J4536" s="274" t="e">
        <f t="shared" ca="1" si="72"/>
        <v>#NAME?</v>
      </c>
      <c r="K4536" s="274">
        <f t="shared" si="73"/>
        <v>0</v>
      </c>
      <c r="N4536" s="274"/>
    </row>
    <row r="4537" spans="5:14" ht="13.5" customHeight="1">
      <c r="E4537" s="209" t="s">
        <v>588</v>
      </c>
      <c r="F4537" s="209" t="s">
        <v>2887</v>
      </c>
      <c r="G4537" s="416" t="str">
        <f t="shared" si="76"/>
        <v>Color Code</v>
      </c>
      <c r="H4537" s="273" t="e">
        <f ca="1">_xludf.IFNA(VLOOKUP(Aragon!E4537,'Kilter Holds'!$P$37:$AB$662,13,0),0)</f>
        <v>#NAME?</v>
      </c>
      <c r="I4537" s="274"/>
      <c r="J4537" s="274" t="e">
        <f t="shared" ca="1" si="72"/>
        <v>#NAME?</v>
      </c>
      <c r="K4537" s="274">
        <f t="shared" si="73"/>
        <v>0</v>
      </c>
      <c r="N4537" s="274"/>
    </row>
    <row r="4538" spans="5:14" ht="13.5" customHeight="1">
      <c r="E4538" s="209" t="s">
        <v>626</v>
      </c>
      <c r="F4538" s="209" t="s">
        <v>2888</v>
      </c>
      <c r="G4538" s="406" t="str">
        <f t="shared" si="76"/>
        <v>11-12</v>
      </c>
      <c r="H4538" s="273" t="e">
        <f ca="1">_xludf.IFNA(VLOOKUP(Aragon!E4538,'Kilter Holds'!$P$37:$AB$662,5,0),0)</f>
        <v>#NAME?</v>
      </c>
      <c r="I4538" s="274"/>
      <c r="J4538" s="274" t="e">
        <f t="shared" ca="1" si="72"/>
        <v>#NAME?</v>
      </c>
      <c r="K4538" s="274">
        <f t="shared" si="73"/>
        <v>0</v>
      </c>
      <c r="N4538" s="274"/>
    </row>
    <row r="4539" spans="5:14" ht="13.5" customHeight="1">
      <c r="E4539" s="209" t="s">
        <v>626</v>
      </c>
      <c r="F4539" s="209" t="s">
        <v>2888</v>
      </c>
      <c r="G4539" s="408" t="str">
        <f t="shared" si="76"/>
        <v>14-01</v>
      </c>
      <c r="H4539" s="273" t="e">
        <f ca="1">_xludf.IFNA(VLOOKUP(Aragon!E4539,'Kilter Holds'!$P$37:$AB$662,6,0),0)</f>
        <v>#NAME?</v>
      </c>
      <c r="I4539" s="274"/>
      <c r="J4539" s="274" t="e">
        <f t="shared" ca="1" si="72"/>
        <v>#NAME?</v>
      </c>
      <c r="K4539" s="274">
        <f t="shared" si="73"/>
        <v>0</v>
      </c>
      <c r="N4539" s="274"/>
    </row>
    <row r="4540" spans="5:14" ht="13.5" customHeight="1">
      <c r="E4540" s="209" t="s">
        <v>626</v>
      </c>
      <c r="F4540" s="209" t="s">
        <v>2888</v>
      </c>
      <c r="G4540" s="409" t="str">
        <f t="shared" si="76"/>
        <v>15-12</v>
      </c>
      <c r="H4540" s="273" t="e">
        <f ca="1">_xludf.IFNA(VLOOKUP(Aragon!E4540,'Kilter Holds'!$P$37:$AB$662,7,0),0)</f>
        <v>#NAME?</v>
      </c>
      <c r="I4540" s="274"/>
      <c r="J4540" s="274" t="e">
        <f t="shared" ca="1" si="72"/>
        <v>#NAME?</v>
      </c>
      <c r="K4540" s="274">
        <f t="shared" si="73"/>
        <v>0</v>
      </c>
      <c r="N4540" s="274"/>
    </row>
    <row r="4541" spans="5:14" ht="13.5" customHeight="1">
      <c r="E4541" s="209" t="s">
        <v>626</v>
      </c>
      <c r="F4541" s="209" t="s">
        <v>2888</v>
      </c>
      <c r="G4541" s="410" t="str">
        <f t="shared" si="76"/>
        <v>16-16</v>
      </c>
      <c r="H4541" s="273" t="e">
        <f ca="1">_xludf.IFNA(VLOOKUP(Aragon!E4541,'Kilter Holds'!$P$37:$AB$662,8,0),0)</f>
        <v>#NAME?</v>
      </c>
      <c r="I4541" s="274"/>
      <c r="J4541" s="274" t="e">
        <f t="shared" ca="1" si="72"/>
        <v>#NAME?</v>
      </c>
      <c r="K4541" s="274">
        <f t="shared" si="73"/>
        <v>0</v>
      </c>
      <c r="N4541" s="274"/>
    </row>
    <row r="4542" spans="5:14" ht="13.5" customHeight="1">
      <c r="E4542" s="209" t="s">
        <v>626</v>
      </c>
      <c r="F4542" s="209" t="s">
        <v>2888</v>
      </c>
      <c r="G4542" s="411" t="str">
        <f t="shared" si="76"/>
        <v>13-01</v>
      </c>
      <c r="H4542" s="273" t="e">
        <f ca="1">_xludf.IFNA(VLOOKUP(Aragon!E4542,'Kilter Holds'!$P$37:$AB$662,9,0),0)</f>
        <v>#NAME?</v>
      </c>
      <c r="I4542" s="274"/>
      <c r="J4542" s="274" t="e">
        <f t="shared" ca="1" si="72"/>
        <v>#NAME?</v>
      </c>
      <c r="K4542" s="274">
        <f t="shared" si="73"/>
        <v>0</v>
      </c>
      <c r="N4542" s="274"/>
    </row>
    <row r="4543" spans="5:14" ht="13.5" customHeight="1">
      <c r="E4543" s="209" t="s">
        <v>626</v>
      </c>
      <c r="F4543" s="209" t="s">
        <v>2888</v>
      </c>
      <c r="G4543" s="413" t="str">
        <f t="shared" si="76"/>
        <v>07-13</v>
      </c>
      <c r="H4543" s="273" t="e">
        <f ca="1">_xludf.IFNA(VLOOKUP(Aragon!E4543,'Kilter Holds'!$P$37:$AB$662,10,0),0)</f>
        <v>#NAME?</v>
      </c>
      <c r="I4543" s="274"/>
      <c r="J4543" s="274" t="e">
        <f t="shared" ca="1" si="72"/>
        <v>#NAME?</v>
      </c>
      <c r="K4543" s="274">
        <f t="shared" si="73"/>
        <v>0</v>
      </c>
      <c r="N4543" s="274"/>
    </row>
    <row r="4544" spans="5:14" ht="13.5" customHeight="1">
      <c r="E4544" s="209" t="s">
        <v>626</v>
      </c>
      <c r="F4544" s="209" t="s">
        <v>2888</v>
      </c>
      <c r="G4544" s="414" t="str">
        <f t="shared" si="76"/>
        <v>11-26</v>
      </c>
      <c r="H4544" s="273" t="e">
        <f ca="1">_xludf.IFNA(VLOOKUP(Aragon!E4544,'Kilter Holds'!$P$37:$AB$662,11,0),0)</f>
        <v>#NAME?</v>
      </c>
      <c r="I4544" s="274"/>
      <c r="J4544" s="274" t="e">
        <f t="shared" ca="1" si="72"/>
        <v>#NAME?</v>
      </c>
      <c r="K4544" s="274">
        <f t="shared" si="73"/>
        <v>0</v>
      </c>
      <c r="N4544" s="274"/>
    </row>
    <row r="4545" spans="5:14" ht="13.5" customHeight="1">
      <c r="E4545" s="209" t="s">
        <v>626</v>
      </c>
      <c r="F4545" s="209" t="s">
        <v>2888</v>
      </c>
      <c r="G4545" s="415" t="str">
        <f t="shared" si="76"/>
        <v>18-01</v>
      </c>
      <c r="H4545" s="273" t="e">
        <f ca="1">_xludf.IFNA(VLOOKUP(Aragon!E4545,'Kilter Holds'!$P$37:$AB$662,12,0),0)</f>
        <v>#NAME?</v>
      </c>
      <c r="I4545" s="274"/>
      <c r="J4545" s="274" t="e">
        <f t="shared" ca="1" si="72"/>
        <v>#NAME?</v>
      </c>
      <c r="K4545" s="274">
        <f t="shared" si="73"/>
        <v>0</v>
      </c>
      <c r="N4545" s="274"/>
    </row>
    <row r="4546" spans="5:14" ht="13.5" customHeight="1">
      <c r="E4546" s="209" t="s">
        <v>626</v>
      </c>
      <c r="F4546" s="209" t="s">
        <v>2888</v>
      </c>
      <c r="G4546" s="416" t="str">
        <f t="shared" si="76"/>
        <v>Color Code</v>
      </c>
      <c r="H4546" s="273" t="e">
        <f ca="1">_xludf.IFNA(VLOOKUP(Aragon!E4546,'Kilter Holds'!$P$37:$AB$662,13,0),0)</f>
        <v>#NAME?</v>
      </c>
      <c r="I4546" s="274"/>
      <c r="J4546" s="274" t="e">
        <f t="shared" ca="1" si="72"/>
        <v>#NAME?</v>
      </c>
      <c r="K4546" s="274">
        <f t="shared" si="73"/>
        <v>0</v>
      </c>
      <c r="N4546" s="274"/>
    </row>
    <row r="4547" spans="5:14" ht="13.5" customHeight="1">
      <c r="E4547" s="209" t="s">
        <v>596</v>
      </c>
      <c r="F4547" s="209" t="s">
        <v>2889</v>
      </c>
      <c r="G4547" s="406" t="str">
        <f t="shared" si="76"/>
        <v>11-12</v>
      </c>
      <c r="H4547" s="273" t="e">
        <f ca="1">_xludf.IFNA(VLOOKUP(Aragon!E4547,'Kilter Holds'!$P$37:$AB$662,5,0),0)</f>
        <v>#NAME?</v>
      </c>
      <c r="I4547" s="274"/>
      <c r="J4547" s="274" t="e">
        <f t="shared" ca="1" si="72"/>
        <v>#NAME?</v>
      </c>
      <c r="K4547" s="274">
        <f t="shared" si="73"/>
        <v>0</v>
      </c>
      <c r="N4547" s="274"/>
    </row>
    <row r="4548" spans="5:14" ht="13.5" customHeight="1">
      <c r="E4548" s="209" t="s">
        <v>596</v>
      </c>
      <c r="F4548" s="209" t="s">
        <v>2889</v>
      </c>
      <c r="G4548" s="408" t="str">
        <f t="shared" si="76"/>
        <v>14-01</v>
      </c>
      <c r="H4548" s="273" t="e">
        <f ca="1">_xludf.IFNA(VLOOKUP(Aragon!E4548,'Kilter Holds'!$P$37:$AB$662,6,0),0)</f>
        <v>#NAME?</v>
      </c>
      <c r="I4548" s="274"/>
      <c r="J4548" s="274" t="e">
        <f t="shared" ca="1" si="72"/>
        <v>#NAME?</v>
      </c>
      <c r="K4548" s="274">
        <f t="shared" si="73"/>
        <v>0</v>
      </c>
      <c r="N4548" s="274"/>
    </row>
    <row r="4549" spans="5:14" ht="13.5" customHeight="1">
      <c r="E4549" s="209" t="s">
        <v>596</v>
      </c>
      <c r="F4549" s="209" t="s">
        <v>2889</v>
      </c>
      <c r="G4549" s="409" t="str">
        <f t="shared" si="76"/>
        <v>15-12</v>
      </c>
      <c r="H4549" s="273" t="e">
        <f ca="1">_xludf.IFNA(VLOOKUP(Aragon!E4549,'Kilter Holds'!$P$37:$AB$662,7,0),0)</f>
        <v>#NAME?</v>
      </c>
      <c r="I4549" s="274"/>
      <c r="J4549" s="274" t="e">
        <f t="shared" ca="1" si="72"/>
        <v>#NAME?</v>
      </c>
      <c r="K4549" s="274">
        <f t="shared" si="73"/>
        <v>0</v>
      </c>
      <c r="N4549" s="274"/>
    </row>
    <row r="4550" spans="5:14" ht="13.5" customHeight="1">
      <c r="E4550" s="209" t="s">
        <v>596</v>
      </c>
      <c r="F4550" s="209" t="s">
        <v>2889</v>
      </c>
      <c r="G4550" s="410" t="str">
        <f t="shared" si="76"/>
        <v>16-16</v>
      </c>
      <c r="H4550" s="273" t="e">
        <f ca="1">_xludf.IFNA(VLOOKUP(Aragon!E4550,'Kilter Holds'!$P$37:$AB$662,8,0),0)</f>
        <v>#NAME?</v>
      </c>
      <c r="I4550" s="274"/>
      <c r="J4550" s="274" t="e">
        <f t="shared" ca="1" si="72"/>
        <v>#NAME?</v>
      </c>
      <c r="K4550" s="274">
        <f t="shared" si="73"/>
        <v>0</v>
      </c>
      <c r="N4550" s="274"/>
    </row>
    <row r="4551" spans="5:14" ht="13.5" customHeight="1">
      <c r="E4551" s="209" t="s">
        <v>596</v>
      </c>
      <c r="F4551" s="209" t="s">
        <v>2889</v>
      </c>
      <c r="G4551" s="411" t="str">
        <f t="shared" si="76"/>
        <v>13-01</v>
      </c>
      <c r="H4551" s="273" t="e">
        <f ca="1">_xludf.IFNA(VLOOKUP(Aragon!E4551,'Kilter Holds'!$P$37:$AB$662,9,0),0)</f>
        <v>#NAME?</v>
      </c>
      <c r="I4551" s="274"/>
      <c r="J4551" s="274" t="e">
        <f t="shared" ca="1" si="72"/>
        <v>#NAME?</v>
      </c>
      <c r="K4551" s="274">
        <f t="shared" si="73"/>
        <v>0</v>
      </c>
      <c r="N4551" s="274"/>
    </row>
    <row r="4552" spans="5:14" ht="13.5" customHeight="1">
      <c r="E4552" s="209" t="s">
        <v>596</v>
      </c>
      <c r="F4552" s="209" t="s">
        <v>2889</v>
      </c>
      <c r="G4552" s="413" t="str">
        <f t="shared" si="76"/>
        <v>07-13</v>
      </c>
      <c r="H4552" s="273" t="e">
        <f ca="1">_xludf.IFNA(VLOOKUP(Aragon!E4552,'Kilter Holds'!$P$37:$AB$662,10,0),0)</f>
        <v>#NAME?</v>
      </c>
      <c r="I4552" s="274"/>
      <c r="J4552" s="274" t="e">
        <f t="shared" ca="1" si="72"/>
        <v>#NAME?</v>
      </c>
      <c r="K4552" s="274">
        <f t="shared" si="73"/>
        <v>0</v>
      </c>
      <c r="N4552" s="274"/>
    </row>
    <row r="4553" spans="5:14" ht="13.5" customHeight="1">
      <c r="E4553" s="209" t="s">
        <v>596</v>
      </c>
      <c r="F4553" s="209" t="s">
        <v>2889</v>
      </c>
      <c r="G4553" s="414" t="str">
        <f t="shared" si="76"/>
        <v>11-26</v>
      </c>
      <c r="H4553" s="273" t="e">
        <f ca="1">_xludf.IFNA(VLOOKUP(Aragon!E4553,'Kilter Holds'!$P$37:$AB$662,11,0),0)</f>
        <v>#NAME?</v>
      </c>
      <c r="I4553" s="274"/>
      <c r="J4553" s="274" t="e">
        <f t="shared" ca="1" si="72"/>
        <v>#NAME?</v>
      </c>
      <c r="K4553" s="274">
        <f t="shared" si="73"/>
        <v>0</v>
      </c>
      <c r="N4553" s="274"/>
    </row>
    <row r="4554" spans="5:14" ht="13.5" customHeight="1">
      <c r="E4554" s="209" t="s">
        <v>596</v>
      </c>
      <c r="F4554" s="209" t="s">
        <v>2889</v>
      </c>
      <c r="G4554" s="415" t="str">
        <f t="shared" si="76"/>
        <v>18-01</v>
      </c>
      <c r="H4554" s="273" t="e">
        <f ca="1">_xludf.IFNA(VLOOKUP(Aragon!E4554,'Kilter Holds'!$P$37:$AB$662,12,0),0)</f>
        <v>#NAME?</v>
      </c>
      <c r="I4554" s="274"/>
      <c r="J4554" s="274" t="e">
        <f t="shared" ca="1" si="72"/>
        <v>#NAME?</v>
      </c>
      <c r="K4554" s="274">
        <f t="shared" si="73"/>
        <v>0</v>
      </c>
      <c r="N4554" s="274"/>
    </row>
    <row r="4555" spans="5:14" ht="13.5" customHeight="1">
      <c r="E4555" s="209" t="s">
        <v>596</v>
      </c>
      <c r="F4555" s="209" t="s">
        <v>2889</v>
      </c>
      <c r="G4555" s="416" t="str">
        <f t="shared" si="76"/>
        <v>Color Code</v>
      </c>
      <c r="H4555" s="273" t="e">
        <f ca="1">_xludf.IFNA(VLOOKUP(Aragon!E4555,'Kilter Holds'!$P$37:$AB$662,13,0),0)</f>
        <v>#NAME?</v>
      </c>
      <c r="I4555" s="274"/>
      <c r="J4555" s="274" t="e">
        <f t="shared" ca="1" si="72"/>
        <v>#NAME?</v>
      </c>
      <c r="K4555" s="274">
        <f t="shared" si="73"/>
        <v>0</v>
      </c>
      <c r="N4555" s="274"/>
    </row>
    <row r="4556" spans="5:14" ht="13.5" customHeight="1">
      <c r="E4556" s="209" t="s">
        <v>590</v>
      </c>
      <c r="F4556" s="209" t="s">
        <v>2890</v>
      </c>
      <c r="G4556" s="406" t="str">
        <f t="shared" si="76"/>
        <v>11-12</v>
      </c>
      <c r="H4556" s="273" t="e">
        <f ca="1">_xludf.IFNA(VLOOKUP(Aragon!E4556,'Kilter Holds'!$P$37:$AB$662,5,0),0)</f>
        <v>#NAME?</v>
      </c>
      <c r="I4556" s="274"/>
      <c r="J4556" s="274" t="e">
        <f t="shared" ca="1" si="72"/>
        <v>#NAME?</v>
      </c>
      <c r="K4556" s="274">
        <f t="shared" si="73"/>
        <v>0</v>
      </c>
      <c r="N4556" s="274"/>
    </row>
    <row r="4557" spans="5:14" ht="13.5" customHeight="1">
      <c r="E4557" s="209" t="s">
        <v>590</v>
      </c>
      <c r="F4557" s="209" t="s">
        <v>2890</v>
      </c>
      <c r="G4557" s="408" t="str">
        <f t="shared" si="76"/>
        <v>14-01</v>
      </c>
      <c r="H4557" s="273" t="e">
        <f ca="1">_xludf.IFNA(VLOOKUP(Aragon!E4557,'Kilter Holds'!$P$37:$AB$662,6,0),0)</f>
        <v>#NAME?</v>
      </c>
      <c r="I4557" s="274"/>
      <c r="J4557" s="274" t="e">
        <f t="shared" ca="1" si="72"/>
        <v>#NAME?</v>
      </c>
      <c r="K4557" s="274">
        <f t="shared" si="73"/>
        <v>0</v>
      </c>
      <c r="N4557" s="274"/>
    </row>
    <row r="4558" spans="5:14" ht="13.5" customHeight="1">
      <c r="E4558" s="209" t="s">
        <v>590</v>
      </c>
      <c r="F4558" s="209" t="s">
        <v>2890</v>
      </c>
      <c r="G4558" s="409" t="str">
        <f t="shared" si="76"/>
        <v>15-12</v>
      </c>
      <c r="H4558" s="273" t="e">
        <f ca="1">_xludf.IFNA(VLOOKUP(Aragon!E4558,'Kilter Holds'!$P$37:$AB$662,7,0),0)</f>
        <v>#NAME?</v>
      </c>
      <c r="I4558" s="274"/>
      <c r="J4558" s="274" t="e">
        <f t="shared" ca="1" si="72"/>
        <v>#NAME?</v>
      </c>
      <c r="K4558" s="274">
        <f t="shared" si="73"/>
        <v>0</v>
      </c>
      <c r="N4558" s="274"/>
    </row>
    <row r="4559" spans="5:14" ht="13.5" customHeight="1">
      <c r="E4559" s="209" t="s">
        <v>590</v>
      </c>
      <c r="F4559" s="209" t="s">
        <v>2890</v>
      </c>
      <c r="G4559" s="410" t="str">
        <f t="shared" si="76"/>
        <v>16-16</v>
      </c>
      <c r="H4559" s="273" t="e">
        <f ca="1">_xludf.IFNA(VLOOKUP(Aragon!E4559,'Kilter Holds'!$P$37:$AB$662,8,0),0)</f>
        <v>#NAME?</v>
      </c>
      <c r="I4559" s="274"/>
      <c r="J4559" s="274" t="e">
        <f t="shared" ca="1" si="72"/>
        <v>#NAME?</v>
      </c>
      <c r="K4559" s="274">
        <f t="shared" si="73"/>
        <v>0</v>
      </c>
      <c r="N4559" s="274"/>
    </row>
    <row r="4560" spans="5:14" ht="13.5" customHeight="1">
      <c r="E4560" s="209" t="s">
        <v>590</v>
      </c>
      <c r="F4560" s="209" t="s">
        <v>2890</v>
      </c>
      <c r="G4560" s="411" t="str">
        <f t="shared" si="76"/>
        <v>13-01</v>
      </c>
      <c r="H4560" s="273" t="e">
        <f ca="1">_xludf.IFNA(VLOOKUP(Aragon!E4560,'Kilter Holds'!$P$37:$AB$662,9,0),0)</f>
        <v>#NAME?</v>
      </c>
      <c r="I4560" s="274"/>
      <c r="J4560" s="274" t="e">
        <f t="shared" ca="1" si="72"/>
        <v>#NAME?</v>
      </c>
      <c r="K4560" s="274">
        <f t="shared" si="73"/>
        <v>0</v>
      </c>
      <c r="N4560" s="274"/>
    </row>
    <row r="4561" spans="5:14" ht="13.5" customHeight="1">
      <c r="E4561" s="209" t="s">
        <v>590</v>
      </c>
      <c r="F4561" s="209" t="s">
        <v>2890</v>
      </c>
      <c r="G4561" s="413" t="str">
        <f t="shared" si="76"/>
        <v>07-13</v>
      </c>
      <c r="H4561" s="273" t="e">
        <f ca="1">_xludf.IFNA(VLOOKUP(Aragon!E4561,'Kilter Holds'!$P$37:$AB$662,10,0),0)</f>
        <v>#NAME?</v>
      </c>
      <c r="I4561" s="274"/>
      <c r="J4561" s="274" t="e">
        <f t="shared" ca="1" si="72"/>
        <v>#NAME?</v>
      </c>
      <c r="K4561" s="274">
        <f t="shared" si="73"/>
        <v>0</v>
      </c>
      <c r="N4561" s="274"/>
    </row>
    <row r="4562" spans="5:14" ht="13.5" customHeight="1">
      <c r="E4562" s="209" t="s">
        <v>590</v>
      </c>
      <c r="F4562" s="209" t="s">
        <v>2890</v>
      </c>
      <c r="G4562" s="414" t="str">
        <f t="shared" si="76"/>
        <v>11-26</v>
      </c>
      <c r="H4562" s="273" t="e">
        <f ca="1">_xludf.IFNA(VLOOKUP(Aragon!E4562,'Kilter Holds'!$P$37:$AB$662,11,0),0)</f>
        <v>#NAME?</v>
      </c>
      <c r="I4562" s="274"/>
      <c r="J4562" s="274" t="e">
        <f t="shared" ca="1" si="72"/>
        <v>#NAME?</v>
      </c>
      <c r="K4562" s="274">
        <f t="shared" si="73"/>
        <v>0</v>
      </c>
      <c r="N4562" s="274"/>
    </row>
    <row r="4563" spans="5:14" ht="13.5" customHeight="1">
      <c r="E4563" s="209" t="s">
        <v>590</v>
      </c>
      <c r="F4563" s="209" t="s">
        <v>2890</v>
      </c>
      <c r="G4563" s="415" t="str">
        <f t="shared" si="76"/>
        <v>18-01</v>
      </c>
      <c r="H4563" s="273" t="e">
        <f ca="1">_xludf.IFNA(VLOOKUP(Aragon!E4563,'Kilter Holds'!$P$37:$AB$662,12,0),0)</f>
        <v>#NAME?</v>
      </c>
      <c r="I4563" s="274"/>
      <c r="J4563" s="274" t="e">
        <f t="shared" ca="1" si="72"/>
        <v>#NAME?</v>
      </c>
      <c r="K4563" s="274">
        <f t="shared" si="73"/>
        <v>0</v>
      </c>
      <c r="N4563" s="274"/>
    </row>
    <row r="4564" spans="5:14" ht="13.5" customHeight="1">
      <c r="E4564" s="209" t="s">
        <v>590</v>
      </c>
      <c r="F4564" s="209" t="s">
        <v>2890</v>
      </c>
      <c r="G4564" s="416" t="str">
        <f t="shared" si="76"/>
        <v>Color Code</v>
      </c>
      <c r="H4564" s="273" t="e">
        <f ca="1">_xludf.IFNA(VLOOKUP(Aragon!E4564,'Kilter Holds'!$P$37:$AB$662,13,0),0)</f>
        <v>#NAME?</v>
      </c>
      <c r="I4564" s="274"/>
      <c r="J4564" s="274" t="e">
        <f t="shared" ca="1" si="72"/>
        <v>#NAME?</v>
      </c>
      <c r="K4564" s="274">
        <f t="shared" si="73"/>
        <v>0</v>
      </c>
      <c r="N4564" s="274"/>
    </row>
    <row r="4565" spans="5:14" ht="13.5" customHeight="1">
      <c r="E4565" s="209" t="s">
        <v>592</v>
      </c>
      <c r="F4565" s="209" t="s">
        <v>2891</v>
      </c>
      <c r="G4565" s="406" t="str">
        <f t="shared" si="76"/>
        <v>11-12</v>
      </c>
      <c r="H4565" s="273" t="e">
        <f ca="1">_xludf.IFNA(VLOOKUP(Aragon!E4565,'Kilter Holds'!$P$37:$AB$662,5,0),0)</f>
        <v>#NAME?</v>
      </c>
      <c r="I4565" s="274"/>
      <c r="J4565" s="274" t="e">
        <f t="shared" ca="1" si="72"/>
        <v>#NAME?</v>
      </c>
      <c r="K4565" s="274">
        <f t="shared" si="73"/>
        <v>0</v>
      </c>
      <c r="N4565" s="274"/>
    </row>
    <row r="4566" spans="5:14" ht="13.5" customHeight="1">
      <c r="E4566" s="209" t="s">
        <v>592</v>
      </c>
      <c r="F4566" s="209" t="s">
        <v>2891</v>
      </c>
      <c r="G4566" s="408" t="str">
        <f t="shared" si="76"/>
        <v>14-01</v>
      </c>
      <c r="H4566" s="273" t="e">
        <f ca="1">_xludf.IFNA(VLOOKUP(Aragon!E4566,'Kilter Holds'!$P$37:$AB$662,6,0),0)</f>
        <v>#NAME?</v>
      </c>
      <c r="I4566" s="274"/>
      <c r="J4566" s="274" t="e">
        <f t="shared" ca="1" si="72"/>
        <v>#NAME?</v>
      </c>
      <c r="K4566" s="274">
        <f t="shared" si="73"/>
        <v>0</v>
      </c>
      <c r="N4566" s="274"/>
    </row>
    <row r="4567" spans="5:14" ht="13.5" customHeight="1">
      <c r="E4567" s="209" t="s">
        <v>592</v>
      </c>
      <c r="F4567" s="209" t="s">
        <v>2891</v>
      </c>
      <c r="G4567" s="409" t="str">
        <f t="shared" si="76"/>
        <v>15-12</v>
      </c>
      <c r="H4567" s="273" t="e">
        <f ca="1">_xludf.IFNA(VLOOKUP(Aragon!E4567,'Kilter Holds'!$P$37:$AB$662,7,0),0)</f>
        <v>#NAME?</v>
      </c>
      <c r="I4567" s="274"/>
      <c r="J4567" s="274" t="e">
        <f t="shared" ca="1" si="72"/>
        <v>#NAME?</v>
      </c>
      <c r="K4567" s="274">
        <f t="shared" si="73"/>
        <v>0</v>
      </c>
      <c r="N4567" s="274"/>
    </row>
    <row r="4568" spans="5:14" ht="13.5" customHeight="1">
      <c r="E4568" s="209" t="s">
        <v>592</v>
      </c>
      <c r="F4568" s="209" t="s">
        <v>2891</v>
      </c>
      <c r="G4568" s="410" t="str">
        <f t="shared" si="76"/>
        <v>16-16</v>
      </c>
      <c r="H4568" s="273" t="e">
        <f ca="1">_xludf.IFNA(VLOOKUP(Aragon!E4568,'Kilter Holds'!$P$37:$AB$662,8,0),0)</f>
        <v>#NAME?</v>
      </c>
      <c r="I4568" s="274"/>
      <c r="J4568" s="274" t="e">
        <f t="shared" ca="1" si="72"/>
        <v>#NAME?</v>
      </c>
      <c r="K4568" s="274">
        <f t="shared" si="73"/>
        <v>0</v>
      </c>
      <c r="N4568" s="274"/>
    </row>
    <row r="4569" spans="5:14" ht="13.5" customHeight="1">
      <c r="E4569" s="209" t="s">
        <v>592</v>
      </c>
      <c r="F4569" s="209" t="s">
        <v>2891</v>
      </c>
      <c r="G4569" s="411" t="str">
        <f t="shared" si="76"/>
        <v>13-01</v>
      </c>
      <c r="H4569" s="273" t="e">
        <f ca="1">_xludf.IFNA(VLOOKUP(Aragon!E4569,'Kilter Holds'!$P$37:$AB$662,9,0),0)</f>
        <v>#NAME?</v>
      </c>
      <c r="I4569" s="274"/>
      <c r="J4569" s="274" t="e">
        <f t="shared" ca="1" si="72"/>
        <v>#NAME?</v>
      </c>
      <c r="K4569" s="274">
        <f t="shared" si="73"/>
        <v>0</v>
      </c>
      <c r="N4569" s="274"/>
    </row>
    <row r="4570" spans="5:14" ht="13.5" customHeight="1">
      <c r="E4570" s="209" t="s">
        <v>592</v>
      </c>
      <c r="F4570" s="209" t="s">
        <v>2891</v>
      </c>
      <c r="G4570" s="413" t="str">
        <f t="shared" si="76"/>
        <v>07-13</v>
      </c>
      <c r="H4570" s="273" t="e">
        <f ca="1">_xludf.IFNA(VLOOKUP(Aragon!E4570,'Kilter Holds'!$P$37:$AB$662,10,0),0)</f>
        <v>#NAME?</v>
      </c>
      <c r="I4570" s="274"/>
      <c r="J4570" s="274" t="e">
        <f t="shared" ca="1" si="72"/>
        <v>#NAME?</v>
      </c>
      <c r="K4570" s="274">
        <f t="shared" si="73"/>
        <v>0</v>
      </c>
      <c r="N4570" s="274"/>
    </row>
    <row r="4571" spans="5:14" ht="13.5" customHeight="1">
      <c r="E4571" s="209" t="s">
        <v>592</v>
      </c>
      <c r="F4571" s="209" t="s">
        <v>2891</v>
      </c>
      <c r="G4571" s="414" t="str">
        <f t="shared" si="76"/>
        <v>11-26</v>
      </c>
      <c r="H4571" s="273" t="e">
        <f ca="1">_xludf.IFNA(VLOOKUP(Aragon!E4571,'Kilter Holds'!$P$37:$AB$662,11,0),0)</f>
        <v>#NAME?</v>
      </c>
      <c r="I4571" s="274"/>
      <c r="J4571" s="274" t="e">
        <f t="shared" ca="1" si="72"/>
        <v>#NAME?</v>
      </c>
      <c r="K4571" s="274">
        <f t="shared" si="73"/>
        <v>0</v>
      </c>
      <c r="N4571" s="274"/>
    </row>
    <row r="4572" spans="5:14" ht="13.5" customHeight="1">
      <c r="E4572" s="209" t="s">
        <v>592</v>
      </c>
      <c r="F4572" s="209" t="s">
        <v>2891</v>
      </c>
      <c r="G4572" s="415" t="str">
        <f t="shared" si="76"/>
        <v>18-01</v>
      </c>
      <c r="H4572" s="273" t="e">
        <f ca="1">_xludf.IFNA(VLOOKUP(Aragon!E4572,'Kilter Holds'!$P$37:$AB$662,12,0),0)</f>
        <v>#NAME?</v>
      </c>
      <c r="I4572" s="274"/>
      <c r="J4572" s="274" t="e">
        <f t="shared" ca="1" si="72"/>
        <v>#NAME?</v>
      </c>
      <c r="K4572" s="274">
        <f t="shared" si="73"/>
        <v>0</v>
      </c>
      <c r="N4572" s="274"/>
    </row>
    <row r="4573" spans="5:14" ht="13.5" customHeight="1">
      <c r="E4573" s="209" t="s">
        <v>592</v>
      </c>
      <c r="F4573" s="209" t="s">
        <v>2891</v>
      </c>
      <c r="G4573" s="416" t="str">
        <f t="shared" si="76"/>
        <v>Color Code</v>
      </c>
      <c r="H4573" s="273" t="e">
        <f ca="1">_xludf.IFNA(VLOOKUP(Aragon!E4573,'Kilter Holds'!$P$37:$AB$662,13,0),0)</f>
        <v>#NAME?</v>
      </c>
      <c r="I4573" s="274"/>
      <c r="J4573" s="274" t="e">
        <f t="shared" ca="1" si="72"/>
        <v>#NAME?</v>
      </c>
      <c r="K4573" s="274">
        <f t="shared" si="73"/>
        <v>0</v>
      </c>
      <c r="N4573" s="274"/>
    </row>
    <row r="4574" spans="5:14" ht="13.5" customHeight="1">
      <c r="E4574" s="209" t="s">
        <v>568</v>
      </c>
      <c r="F4574" s="209" t="s">
        <v>2892</v>
      </c>
      <c r="G4574" s="406" t="str">
        <f t="shared" si="76"/>
        <v>11-12</v>
      </c>
      <c r="H4574" s="273" t="e">
        <f ca="1">_xludf.IFNA(VLOOKUP(Aragon!E4574,'Kilter Holds'!$P$37:$AB$662,5,0),0)</f>
        <v>#NAME?</v>
      </c>
      <c r="I4574" s="274"/>
      <c r="J4574" s="274" t="e">
        <f t="shared" ca="1" si="72"/>
        <v>#NAME?</v>
      </c>
      <c r="K4574" s="274">
        <f t="shared" si="73"/>
        <v>0</v>
      </c>
      <c r="N4574" s="274"/>
    </row>
    <row r="4575" spans="5:14" ht="13.5" customHeight="1">
      <c r="E4575" s="209" t="s">
        <v>568</v>
      </c>
      <c r="F4575" s="209" t="s">
        <v>2892</v>
      </c>
      <c r="G4575" s="408" t="str">
        <f t="shared" si="76"/>
        <v>14-01</v>
      </c>
      <c r="H4575" s="273" t="e">
        <f ca="1">_xludf.IFNA(VLOOKUP(Aragon!E4575,'Kilter Holds'!$P$37:$AB$662,6,0),0)</f>
        <v>#NAME?</v>
      </c>
      <c r="I4575" s="274"/>
      <c r="J4575" s="274" t="e">
        <f t="shared" ca="1" si="72"/>
        <v>#NAME?</v>
      </c>
      <c r="K4575" s="274">
        <f t="shared" si="73"/>
        <v>0</v>
      </c>
      <c r="N4575" s="274"/>
    </row>
    <row r="4576" spans="5:14" ht="13.5" customHeight="1">
      <c r="E4576" s="209" t="s">
        <v>568</v>
      </c>
      <c r="F4576" s="209" t="s">
        <v>2892</v>
      </c>
      <c r="G4576" s="409" t="str">
        <f t="shared" si="76"/>
        <v>15-12</v>
      </c>
      <c r="H4576" s="273" t="e">
        <f ca="1">_xludf.IFNA(VLOOKUP(Aragon!E4576,'Kilter Holds'!$P$37:$AB$662,7,0),0)</f>
        <v>#NAME?</v>
      </c>
      <c r="I4576" s="274"/>
      <c r="J4576" s="274" t="e">
        <f t="shared" ca="1" si="72"/>
        <v>#NAME?</v>
      </c>
      <c r="K4576" s="274">
        <f t="shared" si="73"/>
        <v>0</v>
      </c>
      <c r="N4576" s="274"/>
    </row>
    <row r="4577" spans="5:14" ht="13.5" customHeight="1">
      <c r="E4577" s="209" t="s">
        <v>568</v>
      </c>
      <c r="F4577" s="209" t="s">
        <v>2892</v>
      </c>
      <c r="G4577" s="410" t="str">
        <f t="shared" si="76"/>
        <v>16-16</v>
      </c>
      <c r="H4577" s="273" t="e">
        <f ca="1">_xludf.IFNA(VLOOKUP(Aragon!E4577,'Kilter Holds'!$P$37:$AB$662,8,0),0)</f>
        <v>#NAME?</v>
      </c>
      <c r="I4577" s="274"/>
      <c r="J4577" s="274" t="e">
        <f t="shared" ca="1" si="72"/>
        <v>#NAME?</v>
      </c>
      <c r="K4577" s="274">
        <f t="shared" si="73"/>
        <v>0</v>
      </c>
      <c r="N4577" s="274"/>
    </row>
    <row r="4578" spans="5:14" ht="13.5" customHeight="1">
      <c r="E4578" s="209" t="s">
        <v>568</v>
      </c>
      <c r="F4578" s="209" t="s">
        <v>2892</v>
      </c>
      <c r="G4578" s="411" t="str">
        <f t="shared" si="76"/>
        <v>13-01</v>
      </c>
      <c r="H4578" s="273" t="e">
        <f ca="1">_xludf.IFNA(VLOOKUP(Aragon!E4578,'Kilter Holds'!$P$37:$AB$662,9,0),0)</f>
        <v>#NAME?</v>
      </c>
      <c r="I4578" s="274"/>
      <c r="J4578" s="274" t="e">
        <f t="shared" ca="1" si="72"/>
        <v>#NAME?</v>
      </c>
      <c r="K4578" s="274">
        <f t="shared" si="73"/>
        <v>0</v>
      </c>
      <c r="N4578" s="274"/>
    </row>
    <row r="4579" spans="5:14" ht="13.5" customHeight="1">
      <c r="E4579" s="209" t="s">
        <v>568</v>
      </c>
      <c r="F4579" s="209" t="s">
        <v>2892</v>
      </c>
      <c r="G4579" s="413" t="str">
        <f t="shared" si="76"/>
        <v>07-13</v>
      </c>
      <c r="H4579" s="273" t="e">
        <f ca="1">_xludf.IFNA(VLOOKUP(Aragon!E4579,'Kilter Holds'!$P$37:$AB$662,10,0),0)</f>
        <v>#NAME?</v>
      </c>
      <c r="I4579" s="274"/>
      <c r="J4579" s="274" t="e">
        <f t="shared" ca="1" si="72"/>
        <v>#NAME?</v>
      </c>
      <c r="K4579" s="274">
        <f t="shared" si="73"/>
        <v>0</v>
      </c>
      <c r="N4579" s="274"/>
    </row>
    <row r="4580" spans="5:14" ht="13.5" customHeight="1">
      <c r="E4580" s="209" t="s">
        <v>568</v>
      </c>
      <c r="F4580" s="209" t="s">
        <v>2892</v>
      </c>
      <c r="G4580" s="414" t="str">
        <f t="shared" si="76"/>
        <v>11-26</v>
      </c>
      <c r="H4580" s="273" t="e">
        <f ca="1">_xludf.IFNA(VLOOKUP(Aragon!E4580,'Kilter Holds'!$P$37:$AB$662,11,0),0)</f>
        <v>#NAME?</v>
      </c>
      <c r="I4580" s="274"/>
      <c r="J4580" s="274" t="e">
        <f t="shared" ca="1" si="72"/>
        <v>#NAME?</v>
      </c>
      <c r="K4580" s="274">
        <f t="shared" si="73"/>
        <v>0</v>
      </c>
      <c r="N4580" s="274"/>
    </row>
    <row r="4581" spans="5:14" ht="13.5" customHeight="1">
      <c r="E4581" s="209" t="s">
        <v>568</v>
      </c>
      <c r="F4581" s="209" t="s">
        <v>2892</v>
      </c>
      <c r="G4581" s="415" t="str">
        <f t="shared" si="76"/>
        <v>18-01</v>
      </c>
      <c r="H4581" s="273" t="e">
        <f ca="1">_xludf.IFNA(VLOOKUP(Aragon!E4581,'Kilter Holds'!$P$37:$AB$662,12,0),0)</f>
        <v>#NAME?</v>
      </c>
      <c r="I4581" s="274"/>
      <c r="J4581" s="274" t="e">
        <f t="shared" ca="1" si="72"/>
        <v>#NAME?</v>
      </c>
      <c r="K4581" s="274">
        <f t="shared" si="73"/>
        <v>0</v>
      </c>
      <c r="N4581" s="274"/>
    </row>
    <row r="4582" spans="5:14" ht="13.5" customHeight="1">
      <c r="E4582" s="209" t="s">
        <v>568</v>
      </c>
      <c r="F4582" s="209" t="s">
        <v>2892</v>
      </c>
      <c r="G4582" s="416" t="str">
        <f t="shared" si="76"/>
        <v>Color Code</v>
      </c>
      <c r="H4582" s="273" t="e">
        <f ca="1">_xludf.IFNA(VLOOKUP(Aragon!E4582,'Kilter Holds'!$P$37:$AB$662,13,0),0)</f>
        <v>#NAME?</v>
      </c>
      <c r="I4582" s="274"/>
      <c r="J4582" s="274" t="e">
        <f t="shared" ca="1" si="72"/>
        <v>#NAME?</v>
      </c>
      <c r="K4582" s="274">
        <f t="shared" si="73"/>
        <v>0</v>
      </c>
      <c r="N4582" s="274"/>
    </row>
    <row r="4583" spans="5:14" ht="13.5" customHeight="1">
      <c r="E4583" s="209" t="s">
        <v>570</v>
      </c>
      <c r="F4583" s="209" t="s">
        <v>2893</v>
      </c>
      <c r="G4583" s="406" t="str">
        <f t="shared" si="76"/>
        <v>11-12</v>
      </c>
      <c r="H4583" s="273" t="e">
        <f ca="1">_xludf.IFNA(VLOOKUP(Aragon!E4583,'Kilter Holds'!$P$37:$AB$662,5,0),0)</f>
        <v>#NAME?</v>
      </c>
      <c r="I4583" s="274"/>
      <c r="J4583" s="274" t="e">
        <f t="shared" ca="1" si="72"/>
        <v>#NAME?</v>
      </c>
      <c r="K4583" s="274">
        <f t="shared" si="73"/>
        <v>0</v>
      </c>
      <c r="N4583" s="274"/>
    </row>
    <row r="4584" spans="5:14" ht="13.5" customHeight="1">
      <c r="E4584" s="209" t="s">
        <v>570</v>
      </c>
      <c r="F4584" s="209" t="s">
        <v>2893</v>
      </c>
      <c r="G4584" s="408" t="str">
        <f t="shared" si="76"/>
        <v>14-01</v>
      </c>
      <c r="H4584" s="273" t="e">
        <f ca="1">_xludf.IFNA(VLOOKUP(Aragon!E4584,'Kilter Holds'!$P$37:$AB$662,6,0),0)</f>
        <v>#NAME?</v>
      </c>
      <c r="I4584" s="274"/>
      <c r="J4584" s="274" t="e">
        <f t="shared" ca="1" si="72"/>
        <v>#NAME?</v>
      </c>
      <c r="K4584" s="274">
        <f t="shared" si="73"/>
        <v>0</v>
      </c>
      <c r="N4584" s="274"/>
    </row>
    <row r="4585" spans="5:14" ht="13.5" customHeight="1">
      <c r="E4585" s="209" t="s">
        <v>570</v>
      </c>
      <c r="F4585" s="209" t="s">
        <v>2893</v>
      </c>
      <c r="G4585" s="409" t="str">
        <f t="shared" si="76"/>
        <v>15-12</v>
      </c>
      <c r="H4585" s="273" t="e">
        <f ca="1">_xludf.IFNA(VLOOKUP(Aragon!E4585,'Kilter Holds'!$P$37:$AB$662,7,0),0)</f>
        <v>#NAME?</v>
      </c>
      <c r="I4585" s="274"/>
      <c r="J4585" s="274" t="e">
        <f t="shared" ca="1" si="72"/>
        <v>#NAME?</v>
      </c>
      <c r="K4585" s="274">
        <f t="shared" si="73"/>
        <v>0</v>
      </c>
      <c r="N4585" s="274"/>
    </row>
    <row r="4586" spans="5:14" ht="13.5" customHeight="1">
      <c r="E4586" s="209" t="s">
        <v>570</v>
      </c>
      <c r="F4586" s="209" t="s">
        <v>2893</v>
      </c>
      <c r="G4586" s="410" t="str">
        <f t="shared" si="76"/>
        <v>16-16</v>
      </c>
      <c r="H4586" s="273" t="e">
        <f ca="1">_xludf.IFNA(VLOOKUP(Aragon!E4586,'Kilter Holds'!$P$37:$AB$662,8,0),0)</f>
        <v>#NAME?</v>
      </c>
      <c r="I4586" s="274"/>
      <c r="J4586" s="274" t="e">
        <f t="shared" ca="1" si="72"/>
        <v>#NAME?</v>
      </c>
      <c r="K4586" s="274">
        <f t="shared" si="73"/>
        <v>0</v>
      </c>
      <c r="N4586" s="274"/>
    </row>
    <row r="4587" spans="5:14" ht="13.5" customHeight="1">
      <c r="E4587" s="209" t="s">
        <v>570</v>
      </c>
      <c r="F4587" s="209" t="s">
        <v>2893</v>
      </c>
      <c r="G4587" s="411" t="str">
        <f t="shared" si="76"/>
        <v>13-01</v>
      </c>
      <c r="H4587" s="273" t="e">
        <f ca="1">_xludf.IFNA(VLOOKUP(Aragon!E4587,'Kilter Holds'!$P$37:$AB$662,9,0),0)</f>
        <v>#NAME?</v>
      </c>
      <c r="I4587" s="274"/>
      <c r="J4587" s="274" t="e">
        <f t="shared" ca="1" si="72"/>
        <v>#NAME?</v>
      </c>
      <c r="K4587" s="274">
        <f t="shared" si="73"/>
        <v>0</v>
      </c>
      <c r="N4587" s="274"/>
    </row>
    <row r="4588" spans="5:14" ht="13.5" customHeight="1">
      <c r="E4588" s="209" t="s">
        <v>570</v>
      </c>
      <c r="F4588" s="209" t="s">
        <v>2893</v>
      </c>
      <c r="G4588" s="413" t="str">
        <f t="shared" si="76"/>
        <v>07-13</v>
      </c>
      <c r="H4588" s="273" t="e">
        <f ca="1">_xludf.IFNA(VLOOKUP(Aragon!E4588,'Kilter Holds'!$P$37:$AB$662,10,0),0)</f>
        <v>#NAME?</v>
      </c>
      <c r="I4588" s="274"/>
      <c r="J4588" s="274" t="e">
        <f t="shared" ca="1" si="72"/>
        <v>#NAME?</v>
      </c>
      <c r="K4588" s="274">
        <f t="shared" si="73"/>
        <v>0</v>
      </c>
      <c r="N4588" s="274"/>
    </row>
    <row r="4589" spans="5:14" ht="13.5" customHeight="1">
      <c r="E4589" s="209" t="s">
        <v>570</v>
      </c>
      <c r="F4589" s="209" t="s">
        <v>2893</v>
      </c>
      <c r="G4589" s="414" t="str">
        <f t="shared" si="76"/>
        <v>11-26</v>
      </c>
      <c r="H4589" s="273" t="e">
        <f ca="1">_xludf.IFNA(VLOOKUP(Aragon!E4589,'Kilter Holds'!$P$37:$AB$662,11,0),0)</f>
        <v>#NAME?</v>
      </c>
      <c r="I4589" s="274"/>
      <c r="J4589" s="274" t="e">
        <f t="shared" ca="1" si="72"/>
        <v>#NAME?</v>
      </c>
      <c r="K4589" s="274">
        <f t="shared" si="73"/>
        <v>0</v>
      </c>
      <c r="N4589" s="274"/>
    </row>
    <row r="4590" spans="5:14" ht="13.5" customHeight="1">
      <c r="E4590" s="209" t="s">
        <v>570</v>
      </c>
      <c r="F4590" s="209" t="s">
        <v>2893</v>
      </c>
      <c r="G4590" s="415" t="str">
        <f t="shared" si="76"/>
        <v>18-01</v>
      </c>
      <c r="H4590" s="273" t="e">
        <f ca="1">_xludf.IFNA(VLOOKUP(Aragon!E4590,'Kilter Holds'!$P$37:$AB$662,12,0),0)</f>
        <v>#NAME?</v>
      </c>
      <c r="I4590" s="274"/>
      <c r="J4590" s="274" t="e">
        <f t="shared" ca="1" si="72"/>
        <v>#NAME?</v>
      </c>
      <c r="K4590" s="274">
        <f t="shared" si="73"/>
        <v>0</v>
      </c>
      <c r="N4590" s="274"/>
    </row>
    <row r="4591" spans="5:14" ht="13.5" customHeight="1">
      <c r="E4591" s="209" t="s">
        <v>570</v>
      </c>
      <c r="F4591" s="209" t="s">
        <v>2893</v>
      </c>
      <c r="G4591" s="416" t="str">
        <f t="shared" si="76"/>
        <v>Color Code</v>
      </c>
      <c r="H4591" s="273" t="e">
        <f ca="1">_xludf.IFNA(VLOOKUP(Aragon!E4591,'Kilter Holds'!$P$37:$AB$662,13,0),0)</f>
        <v>#NAME?</v>
      </c>
      <c r="I4591" s="274"/>
      <c r="J4591" s="274" t="e">
        <f t="shared" ca="1" si="72"/>
        <v>#NAME?</v>
      </c>
      <c r="K4591" s="274">
        <f t="shared" si="73"/>
        <v>0</v>
      </c>
      <c r="N4591" s="274"/>
    </row>
    <row r="4592" spans="5:14" ht="13.5" customHeight="1">
      <c r="E4592" s="209" t="s">
        <v>598</v>
      </c>
      <c r="F4592" s="209" t="s">
        <v>2894</v>
      </c>
      <c r="G4592" s="406" t="str">
        <f t="shared" si="76"/>
        <v>11-12</v>
      </c>
      <c r="H4592" s="273" t="e">
        <f ca="1">_xludf.IFNA(VLOOKUP(Aragon!E4592,'Kilter Holds'!$P$37:$AB$662,5,0),0)</f>
        <v>#NAME?</v>
      </c>
      <c r="I4592" s="274"/>
      <c r="J4592" s="274" t="e">
        <f t="shared" ref="J4592:J4846" ca="1" si="77">H4592*I4592</f>
        <v>#NAME?</v>
      </c>
      <c r="K4592" s="274">
        <f t="shared" ref="K4592:K4846" si="78">IF($V$11="Y",J4592*0.05,0)</f>
        <v>0</v>
      </c>
      <c r="N4592" s="274"/>
    </row>
    <row r="4593" spans="5:14" ht="13.5" customHeight="1">
      <c r="E4593" s="209" t="s">
        <v>598</v>
      </c>
      <c r="F4593" s="209" t="s">
        <v>2894</v>
      </c>
      <c r="G4593" s="408" t="str">
        <f t="shared" si="76"/>
        <v>14-01</v>
      </c>
      <c r="H4593" s="273" t="e">
        <f ca="1">_xludf.IFNA(VLOOKUP(Aragon!E4593,'Kilter Holds'!$P$37:$AB$662,6,0),0)</f>
        <v>#NAME?</v>
      </c>
      <c r="I4593" s="274"/>
      <c r="J4593" s="274" t="e">
        <f t="shared" ca="1" si="77"/>
        <v>#NAME?</v>
      </c>
      <c r="K4593" s="274">
        <f t="shared" si="78"/>
        <v>0</v>
      </c>
      <c r="N4593" s="274"/>
    </row>
    <row r="4594" spans="5:14" ht="13.5" customHeight="1">
      <c r="E4594" s="209" t="s">
        <v>598</v>
      </c>
      <c r="F4594" s="209" t="s">
        <v>2894</v>
      </c>
      <c r="G4594" s="409" t="str">
        <f t="shared" si="76"/>
        <v>15-12</v>
      </c>
      <c r="H4594" s="273" t="e">
        <f ca="1">_xludf.IFNA(VLOOKUP(Aragon!E4594,'Kilter Holds'!$P$37:$AB$662,7,0),0)</f>
        <v>#NAME?</v>
      </c>
      <c r="I4594" s="274"/>
      <c r="J4594" s="274" t="e">
        <f t="shared" ca="1" si="77"/>
        <v>#NAME?</v>
      </c>
      <c r="K4594" s="274">
        <f t="shared" si="78"/>
        <v>0</v>
      </c>
      <c r="N4594" s="274"/>
    </row>
    <row r="4595" spans="5:14" ht="13.5" customHeight="1">
      <c r="E4595" s="209" t="s">
        <v>598</v>
      </c>
      <c r="F4595" s="209" t="s">
        <v>2894</v>
      </c>
      <c r="G4595" s="410" t="str">
        <f t="shared" si="76"/>
        <v>16-16</v>
      </c>
      <c r="H4595" s="273" t="e">
        <f ca="1">_xludf.IFNA(VLOOKUP(Aragon!E4595,'Kilter Holds'!$P$37:$AB$662,8,0),0)</f>
        <v>#NAME?</v>
      </c>
      <c r="I4595" s="274"/>
      <c r="J4595" s="274" t="e">
        <f t="shared" ca="1" si="77"/>
        <v>#NAME?</v>
      </c>
      <c r="K4595" s="274">
        <f t="shared" si="78"/>
        <v>0</v>
      </c>
      <c r="N4595" s="274"/>
    </row>
    <row r="4596" spans="5:14" ht="13.5" customHeight="1">
      <c r="E4596" s="209" t="s">
        <v>598</v>
      </c>
      <c r="F4596" s="209" t="s">
        <v>2894</v>
      </c>
      <c r="G4596" s="411" t="str">
        <f t="shared" si="76"/>
        <v>13-01</v>
      </c>
      <c r="H4596" s="273" t="e">
        <f ca="1">_xludf.IFNA(VLOOKUP(Aragon!E4596,'Kilter Holds'!$P$37:$AB$662,9,0),0)</f>
        <v>#NAME?</v>
      </c>
      <c r="I4596" s="274"/>
      <c r="J4596" s="274" t="e">
        <f t="shared" ca="1" si="77"/>
        <v>#NAME?</v>
      </c>
      <c r="K4596" s="274">
        <f t="shared" si="78"/>
        <v>0</v>
      </c>
      <c r="N4596" s="274"/>
    </row>
    <row r="4597" spans="5:14" ht="13.5" customHeight="1">
      <c r="E4597" s="209" t="s">
        <v>598</v>
      </c>
      <c r="F4597" s="209" t="s">
        <v>2894</v>
      </c>
      <c r="G4597" s="413" t="str">
        <f t="shared" si="76"/>
        <v>07-13</v>
      </c>
      <c r="H4597" s="273" t="e">
        <f ca="1">_xludf.IFNA(VLOOKUP(Aragon!E4597,'Kilter Holds'!$P$37:$AB$662,10,0),0)</f>
        <v>#NAME?</v>
      </c>
      <c r="I4597" s="274"/>
      <c r="J4597" s="274" t="e">
        <f t="shared" ca="1" si="77"/>
        <v>#NAME?</v>
      </c>
      <c r="K4597" s="274">
        <f t="shared" si="78"/>
        <v>0</v>
      </c>
      <c r="N4597" s="274"/>
    </row>
    <row r="4598" spans="5:14" ht="13.5" customHeight="1">
      <c r="E4598" s="209" t="s">
        <v>598</v>
      </c>
      <c r="F4598" s="209" t="s">
        <v>2894</v>
      </c>
      <c r="G4598" s="414" t="str">
        <f t="shared" si="76"/>
        <v>11-26</v>
      </c>
      <c r="H4598" s="273" t="e">
        <f ca="1">_xludf.IFNA(VLOOKUP(Aragon!E4598,'Kilter Holds'!$P$37:$AB$662,11,0),0)</f>
        <v>#NAME?</v>
      </c>
      <c r="I4598" s="274"/>
      <c r="J4598" s="274" t="e">
        <f t="shared" ca="1" si="77"/>
        <v>#NAME?</v>
      </c>
      <c r="K4598" s="274">
        <f t="shared" si="78"/>
        <v>0</v>
      </c>
      <c r="N4598" s="274"/>
    </row>
    <row r="4599" spans="5:14" ht="13.5" customHeight="1">
      <c r="E4599" s="209" t="s">
        <v>598</v>
      </c>
      <c r="F4599" s="209" t="s">
        <v>2894</v>
      </c>
      <c r="G4599" s="415" t="str">
        <f t="shared" si="76"/>
        <v>18-01</v>
      </c>
      <c r="H4599" s="273" t="e">
        <f ca="1">_xludf.IFNA(VLOOKUP(Aragon!E4599,'Kilter Holds'!$P$37:$AB$662,12,0),0)</f>
        <v>#NAME?</v>
      </c>
      <c r="I4599" s="274"/>
      <c r="J4599" s="274" t="e">
        <f t="shared" ca="1" si="77"/>
        <v>#NAME?</v>
      </c>
      <c r="K4599" s="274">
        <f t="shared" si="78"/>
        <v>0</v>
      </c>
      <c r="N4599" s="274"/>
    </row>
    <row r="4600" spans="5:14" ht="13.5" customHeight="1">
      <c r="E4600" s="209" t="s">
        <v>598</v>
      </c>
      <c r="F4600" s="209" t="s">
        <v>2894</v>
      </c>
      <c r="G4600" s="416" t="str">
        <f t="shared" si="76"/>
        <v>Color Code</v>
      </c>
      <c r="H4600" s="273" t="e">
        <f ca="1">_xludf.IFNA(VLOOKUP(Aragon!E4600,'Kilter Holds'!$P$37:$AB$662,13,0),0)</f>
        <v>#NAME?</v>
      </c>
      <c r="I4600" s="274"/>
      <c r="J4600" s="274" t="e">
        <f t="shared" ca="1" si="77"/>
        <v>#NAME?</v>
      </c>
      <c r="K4600" s="274">
        <f t="shared" si="78"/>
        <v>0</v>
      </c>
      <c r="N4600" s="274"/>
    </row>
    <row r="4601" spans="5:14" ht="13.5" customHeight="1">
      <c r="E4601" s="209" t="s">
        <v>572</v>
      </c>
      <c r="F4601" s="209" t="s">
        <v>2895</v>
      </c>
      <c r="G4601" s="406" t="str">
        <f t="shared" si="76"/>
        <v>11-12</v>
      </c>
      <c r="H4601" s="273" t="e">
        <f ca="1">_xludf.IFNA(VLOOKUP(Aragon!E4601,'Kilter Holds'!$P$37:$AB$662,5,0),0)</f>
        <v>#NAME?</v>
      </c>
      <c r="I4601" s="274"/>
      <c r="J4601" s="274" t="e">
        <f t="shared" ca="1" si="77"/>
        <v>#NAME?</v>
      </c>
      <c r="K4601" s="274">
        <f t="shared" si="78"/>
        <v>0</v>
      </c>
      <c r="N4601" s="274"/>
    </row>
    <row r="4602" spans="5:14" ht="13.5" customHeight="1">
      <c r="E4602" s="209" t="s">
        <v>572</v>
      </c>
      <c r="F4602" s="209" t="s">
        <v>2895</v>
      </c>
      <c r="G4602" s="408" t="str">
        <f t="shared" si="76"/>
        <v>14-01</v>
      </c>
      <c r="H4602" s="273" t="e">
        <f ca="1">_xludf.IFNA(VLOOKUP(Aragon!E4602,'Kilter Holds'!$P$37:$AB$662,6,0),0)</f>
        <v>#NAME?</v>
      </c>
      <c r="I4602" s="274"/>
      <c r="J4602" s="274" t="e">
        <f t="shared" ca="1" si="77"/>
        <v>#NAME?</v>
      </c>
      <c r="K4602" s="274">
        <f t="shared" si="78"/>
        <v>0</v>
      </c>
      <c r="N4602" s="274"/>
    </row>
    <row r="4603" spans="5:14" ht="13.5" customHeight="1">
      <c r="E4603" s="209" t="s">
        <v>572</v>
      </c>
      <c r="F4603" s="209" t="s">
        <v>2895</v>
      </c>
      <c r="G4603" s="409" t="str">
        <f t="shared" si="76"/>
        <v>15-12</v>
      </c>
      <c r="H4603" s="273" t="e">
        <f ca="1">_xludf.IFNA(VLOOKUP(Aragon!E4603,'Kilter Holds'!$P$37:$AB$662,7,0),0)</f>
        <v>#NAME?</v>
      </c>
      <c r="I4603" s="274"/>
      <c r="J4603" s="274" t="e">
        <f t="shared" ca="1" si="77"/>
        <v>#NAME?</v>
      </c>
      <c r="K4603" s="274">
        <f t="shared" si="78"/>
        <v>0</v>
      </c>
      <c r="N4603" s="274"/>
    </row>
    <row r="4604" spans="5:14" ht="13.5" customHeight="1">
      <c r="E4604" s="209" t="s">
        <v>572</v>
      </c>
      <c r="F4604" s="209" t="s">
        <v>2895</v>
      </c>
      <c r="G4604" s="410" t="str">
        <f t="shared" si="76"/>
        <v>16-16</v>
      </c>
      <c r="H4604" s="273" t="e">
        <f ca="1">_xludf.IFNA(VLOOKUP(Aragon!E4604,'Kilter Holds'!$P$37:$AB$662,8,0),0)</f>
        <v>#NAME?</v>
      </c>
      <c r="I4604" s="274"/>
      <c r="J4604" s="274" t="e">
        <f t="shared" ca="1" si="77"/>
        <v>#NAME?</v>
      </c>
      <c r="K4604" s="274">
        <f t="shared" si="78"/>
        <v>0</v>
      </c>
      <c r="N4604" s="274"/>
    </row>
    <row r="4605" spans="5:14" ht="13.5" customHeight="1">
      <c r="E4605" s="209" t="s">
        <v>572</v>
      </c>
      <c r="F4605" s="209" t="s">
        <v>2895</v>
      </c>
      <c r="G4605" s="411" t="str">
        <f t="shared" si="76"/>
        <v>13-01</v>
      </c>
      <c r="H4605" s="273" t="e">
        <f ca="1">_xludf.IFNA(VLOOKUP(Aragon!E4605,'Kilter Holds'!$P$37:$AB$662,9,0),0)</f>
        <v>#NAME?</v>
      </c>
      <c r="I4605" s="274"/>
      <c r="J4605" s="274" t="e">
        <f t="shared" ca="1" si="77"/>
        <v>#NAME?</v>
      </c>
      <c r="K4605" s="274">
        <f t="shared" si="78"/>
        <v>0</v>
      </c>
      <c r="N4605" s="274"/>
    </row>
    <row r="4606" spans="5:14" ht="13.5" customHeight="1">
      <c r="E4606" s="209" t="s">
        <v>572</v>
      </c>
      <c r="F4606" s="209" t="s">
        <v>2895</v>
      </c>
      <c r="G4606" s="413" t="str">
        <f t="shared" si="76"/>
        <v>07-13</v>
      </c>
      <c r="H4606" s="273" t="e">
        <f ca="1">_xludf.IFNA(VLOOKUP(Aragon!E4606,'Kilter Holds'!$P$37:$AB$662,10,0),0)</f>
        <v>#NAME?</v>
      </c>
      <c r="I4606" s="274"/>
      <c r="J4606" s="274" t="e">
        <f t="shared" ca="1" si="77"/>
        <v>#NAME?</v>
      </c>
      <c r="K4606" s="274">
        <f t="shared" si="78"/>
        <v>0</v>
      </c>
      <c r="N4606" s="274"/>
    </row>
    <row r="4607" spans="5:14" ht="13.5" customHeight="1">
      <c r="E4607" s="209" t="s">
        <v>572</v>
      </c>
      <c r="F4607" s="209" t="s">
        <v>2895</v>
      </c>
      <c r="G4607" s="414" t="str">
        <f t="shared" si="76"/>
        <v>11-26</v>
      </c>
      <c r="H4607" s="273" t="e">
        <f ca="1">_xludf.IFNA(VLOOKUP(Aragon!E4607,'Kilter Holds'!$P$37:$AB$662,11,0),0)</f>
        <v>#NAME?</v>
      </c>
      <c r="I4607" s="274"/>
      <c r="J4607" s="274" t="e">
        <f t="shared" ca="1" si="77"/>
        <v>#NAME?</v>
      </c>
      <c r="K4607" s="274">
        <f t="shared" si="78"/>
        <v>0</v>
      </c>
      <c r="N4607" s="274"/>
    </row>
    <row r="4608" spans="5:14" ht="13.5" customHeight="1">
      <c r="E4608" s="209" t="s">
        <v>572</v>
      </c>
      <c r="F4608" s="209" t="s">
        <v>2895</v>
      </c>
      <c r="G4608" s="415" t="str">
        <f t="shared" si="76"/>
        <v>18-01</v>
      </c>
      <c r="H4608" s="273" t="e">
        <f ca="1">_xludf.IFNA(VLOOKUP(Aragon!E4608,'Kilter Holds'!$P$37:$AB$662,12,0),0)</f>
        <v>#NAME?</v>
      </c>
      <c r="I4608" s="274"/>
      <c r="J4608" s="274" t="e">
        <f t="shared" ca="1" si="77"/>
        <v>#NAME?</v>
      </c>
      <c r="K4608" s="274">
        <f t="shared" si="78"/>
        <v>0</v>
      </c>
      <c r="N4608" s="274"/>
    </row>
    <row r="4609" spans="5:14" ht="13.5" customHeight="1">
      <c r="E4609" s="209" t="s">
        <v>572</v>
      </c>
      <c r="F4609" s="209" t="s">
        <v>2895</v>
      </c>
      <c r="G4609" s="416" t="str">
        <f t="shared" si="76"/>
        <v>Color Code</v>
      </c>
      <c r="H4609" s="273" t="e">
        <f ca="1">_xludf.IFNA(VLOOKUP(Aragon!E4609,'Kilter Holds'!$P$37:$AB$662,13,0),0)</f>
        <v>#NAME?</v>
      </c>
      <c r="I4609" s="274"/>
      <c r="J4609" s="274" t="e">
        <f t="shared" ca="1" si="77"/>
        <v>#NAME?</v>
      </c>
      <c r="K4609" s="274">
        <f t="shared" si="78"/>
        <v>0</v>
      </c>
      <c r="N4609" s="274"/>
    </row>
    <row r="4610" spans="5:14" ht="13.5" customHeight="1">
      <c r="E4610" s="209" t="s">
        <v>574</v>
      </c>
      <c r="F4610" s="209" t="s">
        <v>2896</v>
      </c>
      <c r="G4610" s="406" t="str">
        <f t="shared" si="76"/>
        <v>11-12</v>
      </c>
      <c r="H4610" s="273" t="e">
        <f ca="1">_xludf.IFNA(VLOOKUP(Aragon!E4610,'Kilter Holds'!$P$37:$AB$662,5,0),0)</f>
        <v>#NAME?</v>
      </c>
      <c r="I4610" s="274"/>
      <c r="J4610" s="274" t="e">
        <f t="shared" ca="1" si="77"/>
        <v>#NAME?</v>
      </c>
      <c r="K4610" s="274">
        <f t="shared" si="78"/>
        <v>0</v>
      </c>
      <c r="N4610" s="274"/>
    </row>
    <row r="4611" spans="5:14" ht="13.5" customHeight="1">
      <c r="E4611" s="209" t="s">
        <v>574</v>
      </c>
      <c r="F4611" s="209" t="s">
        <v>2896</v>
      </c>
      <c r="G4611" s="408" t="str">
        <f t="shared" si="76"/>
        <v>14-01</v>
      </c>
      <c r="H4611" s="273" t="e">
        <f ca="1">_xludf.IFNA(VLOOKUP(Aragon!E4611,'Kilter Holds'!$P$37:$AB$662,6,0),0)</f>
        <v>#NAME?</v>
      </c>
      <c r="I4611" s="274"/>
      <c r="J4611" s="274" t="e">
        <f t="shared" ca="1" si="77"/>
        <v>#NAME?</v>
      </c>
      <c r="K4611" s="274">
        <f t="shared" si="78"/>
        <v>0</v>
      </c>
      <c r="N4611" s="274"/>
    </row>
    <row r="4612" spans="5:14" ht="13.5" customHeight="1">
      <c r="E4612" s="209" t="s">
        <v>574</v>
      </c>
      <c r="F4612" s="209" t="s">
        <v>2896</v>
      </c>
      <c r="G4612" s="409" t="str">
        <f t="shared" si="76"/>
        <v>15-12</v>
      </c>
      <c r="H4612" s="273" t="e">
        <f ca="1">_xludf.IFNA(VLOOKUP(Aragon!E4612,'Kilter Holds'!$P$37:$AB$662,7,0),0)</f>
        <v>#NAME?</v>
      </c>
      <c r="I4612" s="274"/>
      <c r="J4612" s="274" t="e">
        <f t="shared" ca="1" si="77"/>
        <v>#NAME?</v>
      </c>
      <c r="K4612" s="274">
        <f t="shared" si="78"/>
        <v>0</v>
      </c>
      <c r="N4612" s="274"/>
    </row>
    <row r="4613" spans="5:14" ht="13.5" customHeight="1">
      <c r="E4613" s="209" t="s">
        <v>574</v>
      </c>
      <c r="F4613" s="209" t="s">
        <v>2896</v>
      </c>
      <c r="G4613" s="410" t="str">
        <f t="shared" si="76"/>
        <v>16-16</v>
      </c>
      <c r="H4613" s="273" t="e">
        <f ca="1">_xludf.IFNA(VLOOKUP(Aragon!E4613,'Kilter Holds'!$P$37:$AB$662,8,0),0)</f>
        <v>#NAME?</v>
      </c>
      <c r="I4613" s="274"/>
      <c r="J4613" s="274" t="e">
        <f t="shared" ca="1" si="77"/>
        <v>#NAME?</v>
      </c>
      <c r="K4613" s="274">
        <f t="shared" si="78"/>
        <v>0</v>
      </c>
      <c r="N4613" s="274"/>
    </row>
    <row r="4614" spans="5:14" ht="13.5" customHeight="1">
      <c r="E4614" s="209" t="s">
        <v>574</v>
      </c>
      <c r="F4614" s="209" t="s">
        <v>2896</v>
      </c>
      <c r="G4614" s="411" t="str">
        <f t="shared" si="76"/>
        <v>13-01</v>
      </c>
      <c r="H4614" s="273" t="e">
        <f ca="1">_xludf.IFNA(VLOOKUP(Aragon!E4614,'Kilter Holds'!$P$37:$AB$662,9,0),0)</f>
        <v>#NAME?</v>
      </c>
      <c r="I4614" s="274"/>
      <c r="J4614" s="274" t="e">
        <f t="shared" ca="1" si="77"/>
        <v>#NAME?</v>
      </c>
      <c r="K4614" s="274">
        <f t="shared" si="78"/>
        <v>0</v>
      </c>
      <c r="N4614" s="274"/>
    </row>
    <row r="4615" spans="5:14" ht="13.5" customHeight="1">
      <c r="E4615" s="209" t="s">
        <v>574</v>
      </c>
      <c r="F4615" s="209" t="s">
        <v>2896</v>
      </c>
      <c r="G4615" s="413" t="str">
        <f t="shared" si="76"/>
        <v>07-13</v>
      </c>
      <c r="H4615" s="273" t="e">
        <f ca="1">_xludf.IFNA(VLOOKUP(Aragon!E4615,'Kilter Holds'!$P$37:$AB$662,10,0),0)</f>
        <v>#NAME?</v>
      </c>
      <c r="I4615" s="274"/>
      <c r="J4615" s="274" t="e">
        <f t="shared" ca="1" si="77"/>
        <v>#NAME?</v>
      </c>
      <c r="K4615" s="274">
        <f t="shared" si="78"/>
        <v>0</v>
      </c>
      <c r="N4615" s="274"/>
    </row>
    <row r="4616" spans="5:14" ht="13.5" customHeight="1">
      <c r="E4616" s="209" t="s">
        <v>574</v>
      </c>
      <c r="F4616" s="209" t="s">
        <v>2896</v>
      </c>
      <c r="G4616" s="414" t="str">
        <f t="shared" si="76"/>
        <v>11-26</v>
      </c>
      <c r="H4616" s="273" t="e">
        <f ca="1">_xludf.IFNA(VLOOKUP(Aragon!E4616,'Kilter Holds'!$P$37:$AB$662,11,0),0)</f>
        <v>#NAME?</v>
      </c>
      <c r="I4616" s="274"/>
      <c r="J4616" s="274" t="e">
        <f t="shared" ca="1" si="77"/>
        <v>#NAME?</v>
      </c>
      <c r="K4616" s="274">
        <f t="shared" si="78"/>
        <v>0</v>
      </c>
      <c r="N4616" s="274"/>
    </row>
    <row r="4617" spans="5:14" ht="13.5" customHeight="1">
      <c r="E4617" s="209" t="s">
        <v>574</v>
      </c>
      <c r="F4617" s="209" t="s">
        <v>2896</v>
      </c>
      <c r="G4617" s="415" t="str">
        <f t="shared" si="76"/>
        <v>18-01</v>
      </c>
      <c r="H4617" s="273" t="e">
        <f ca="1">_xludf.IFNA(VLOOKUP(Aragon!E4617,'Kilter Holds'!$P$37:$AB$662,12,0),0)</f>
        <v>#NAME?</v>
      </c>
      <c r="I4617" s="274"/>
      <c r="J4617" s="274" t="e">
        <f t="shared" ca="1" si="77"/>
        <v>#NAME?</v>
      </c>
      <c r="K4617" s="274">
        <f t="shared" si="78"/>
        <v>0</v>
      </c>
      <c r="N4617" s="274"/>
    </row>
    <row r="4618" spans="5:14" ht="13.5" customHeight="1">
      <c r="E4618" s="209" t="s">
        <v>574</v>
      </c>
      <c r="F4618" s="209" t="s">
        <v>2896</v>
      </c>
      <c r="G4618" s="416" t="str">
        <f t="shared" si="76"/>
        <v>Color Code</v>
      </c>
      <c r="H4618" s="273" t="e">
        <f ca="1">_xludf.IFNA(VLOOKUP(Aragon!E4618,'Kilter Holds'!$P$37:$AB$662,13,0),0)</f>
        <v>#NAME?</v>
      </c>
      <c r="I4618" s="274"/>
      <c r="J4618" s="274" t="e">
        <f t="shared" ca="1" si="77"/>
        <v>#NAME?</v>
      </c>
      <c r="K4618" s="274">
        <f t="shared" si="78"/>
        <v>0</v>
      </c>
      <c r="N4618" s="274"/>
    </row>
    <row r="4619" spans="5:14" ht="13.5" customHeight="1">
      <c r="E4619" s="209" t="s">
        <v>553</v>
      </c>
      <c r="F4619" s="209" t="s">
        <v>2897</v>
      </c>
      <c r="G4619" s="406" t="str">
        <f t="shared" si="76"/>
        <v>11-12</v>
      </c>
      <c r="H4619" s="273" t="e">
        <f ca="1">_xludf.IFNA(VLOOKUP(Aragon!E4619,'Kilter Holds'!$P$37:$AB$662,5,0),0)</f>
        <v>#NAME?</v>
      </c>
      <c r="I4619" s="274"/>
      <c r="J4619" s="274" t="e">
        <f t="shared" ca="1" si="77"/>
        <v>#NAME?</v>
      </c>
      <c r="K4619" s="274">
        <f t="shared" si="78"/>
        <v>0</v>
      </c>
      <c r="N4619" s="274"/>
    </row>
    <row r="4620" spans="5:14" ht="13.5" customHeight="1">
      <c r="E4620" s="209" t="s">
        <v>553</v>
      </c>
      <c r="F4620" s="209" t="s">
        <v>2897</v>
      </c>
      <c r="G4620" s="408" t="str">
        <f t="shared" si="76"/>
        <v>14-01</v>
      </c>
      <c r="H4620" s="273" t="e">
        <f ca="1">_xludf.IFNA(VLOOKUP(Aragon!E4620,'Kilter Holds'!$P$37:$AB$662,6,0),0)</f>
        <v>#NAME?</v>
      </c>
      <c r="I4620" s="274"/>
      <c r="J4620" s="274" t="e">
        <f t="shared" ca="1" si="77"/>
        <v>#NAME?</v>
      </c>
      <c r="K4620" s="274">
        <f t="shared" si="78"/>
        <v>0</v>
      </c>
      <c r="N4620" s="274"/>
    </row>
    <row r="4621" spans="5:14" ht="13.5" customHeight="1">
      <c r="E4621" s="209" t="s">
        <v>553</v>
      </c>
      <c r="F4621" s="209" t="s">
        <v>2897</v>
      </c>
      <c r="G4621" s="409" t="str">
        <f t="shared" si="76"/>
        <v>15-12</v>
      </c>
      <c r="H4621" s="273" t="e">
        <f ca="1">_xludf.IFNA(VLOOKUP(Aragon!E4621,'Kilter Holds'!$P$37:$AB$662,7,0),0)</f>
        <v>#NAME?</v>
      </c>
      <c r="I4621" s="274"/>
      <c r="J4621" s="274" t="e">
        <f t="shared" ca="1" si="77"/>
        <v>#NAME?</v>
      </c>
      <c r="K4621" s="274">
        <f t="shared" si="78"/>
        <v>0</v>
      </c>
      <c r="N4621" s="274"/>
    </row>
    <row r="4622" spans="5:14" ht="13.5" customHeight="1">
      <c r="E4622" s="209" t="s">
        <v>553</v>
      </c>
      <c r="F4622" s="209" t="s">
        <v>2897</v>
      </c>
      <c r="G4622" s="410" t="str">
        <f t="shared" si="76"/>
        <v>16-16</v>
      </c>
      <c r="H4622" s="273" t="e">
        <f ca="1">_xludf.IFNA(VLOOKUP(Aragon!E4622,'Kilter Holds'!$P$37:$AB$662,8,0),0)</f>
        <v>#NAME?</v>
      </c>
      <c r="I4622" s="274"/>
      <c r="J4622" s="274" t="e">
        <f t="shared" ca="1" si="77"/>
        <v>#NAME?</v>
      </c>
      <c r="K4622" s="274">
        <f t="shared" si="78"/>
        <v>0</v>
      </c>
      <c r="N4622" s="274"/>
    </row>
    <row r="4623" spans="5:14" ht="13.5" customHeight="1">
      <c r="E4623" s="209" t="s">
        <v>553</v>
      </c>
      <c r="F4623" s="209" t="s">
        <v>2897</v>
      </c>
      <c r="G4623" s="411" t="str">
        <f t="shared" si="76"/>
        <v>13-01</v>
      </c>
      <c r="H4623" s="273" t="e">
        <f ca="1">_xludf.IFNA(VLOOKUP(Aragon!E4623,'Kilter Holds'!$P$37:$AB$662,9,0),0)</f>
        <v>#NAME?</v>
      </c>
      <c r="I4623" s="274"/>
      <c r="J4623" s="274" t="e">
        <f t="shared" ca="1" si="77"/>
        <v>#NAME?</v>
      </c>
      <c r="K4623" s="274">
        <f t="shared" si="78"/>
        <v>0</v>
      </c>
      <c r="N4623" s="274"/>
    </row>
    <row r="4624" spans="5:14" ht="13.5" customHeight="1">
      <c r="E4624" s="209" t="s">
        <v>553</v>
      </c>
      <c r="F4624" s="209" t="s">
        <v>2897</v>
      </c>
      <c r="G4624" s="413" t="str">
        <f t="shared" si="76"/>
        <v>07-13</v>
      </c>
      <c r="H4624" s="273" t="e">
        <f ca="1">_xludf.IFNA(VLOOKUP(Aragon!E4624,'Kilter Holds'!$P$37:$AB$662,10,0),0)</f>
        <v>#NAME?</v>
      </c>
      <c r="I4624" s="274"/>
      <c r="J4624" s="274" t="e">
        <f t="shared" ca="1" si="77"/>
        <v>#NAME?</v>
      </c>
      <c r="K4624" s="274">
        <f t="shared" si="78"/>
        <v>0</v>
      </c>
      <c r="N4624" s="274"/>
    </row>
    <row r="4625" spans="5:14" ht="13.5" customHeight="1">
      <c r="E4625" s="209" t="s">
        <v>553</v>
      </c>
      <c r="F4625" s="209" t="s">
        <v>2897</v>
      </c>
      <c r="G4625" s="414" t="str">
        <f t="shared" si="76"/>
        <v>11-26</v>
      </c>
      <c r="H4625" s="273" t="e">
        <f ca="1">_xludf.IFNA(VLOOKUP(Aragon!E4625,'Kilter Holds'!$P$37:$AB$662,11,0),0)</f>
        <v>#NAME?</v>
      </c>
      <c r="I4625" s="274"/>
      <c r="J4625" s="274" t="e">
        <f t="shared" ca="1" si="77"/>
        <v>#NAME?</v>
      </c>
      <c r="K4625" s="274">
        <f t="shared" si="78"/>
        <v>0</v>
      </c>
      <c r="N4625" s="274"/>
    </row>
    <row r="4626" spans="5:14" ht="13.5" customHeight="1">
      <c r="E4626" s="209" t="s">
        <v>553</v>
      </c>
      <c r="F4626" s="209" t="s">
        <v>2897</v>
      </c>
      <c r="G4626" s="415" t="str">
        <f t="shared" si="76"/>
        <v>18-01</v>
      </c>
      <c r="H4626" s="273" t="e">
        <f ca="1">_xludf.IFNA(VLOOKUP(Aragon!E4626,'Kilter Holds'!$P$37:$AB$662,12,0),0)</f>
        <v>#NAME?</v>
      </c>
      <c r="I4626" s="274"/>
      <c r="J4626" s="274" t="e">
        <f t="shared" ca="1" si="77"/>
        <v>#NAME?</v>
      </c>
      <c r="K4626" s="274">
        <f t="shared" si="78"/>
        <v>0</v>
      </c>
      <c r="N4626" s="274"/>
    </row>
    <row r="4627" spans="5:14" ht="13.5" customHeight="1">
      <c r="E4627" s="209" t="s">
        <v>553</v>
      </c>
      <c r="F4627" s="209" t="s">
        <v>2897</v>
      </c>
      <c r="G4627" s="416" t="str">
        <f t="shared" si="76"/>
        <v>Color Code</v>
      </c>
      <c r="H4627" s="273" t="e">
        <f ca="1">_xludf.IFNA(VLOOKUP(Aragon!E4627,'Kilter Holds'!$P$37:$AB$662,13,0),0)</f>
        <v>#NAME?</v>
      </c>
      <c r="I4627" s="274"/>
      <c r="J4627" s="274" t="e">
        <f t="shared" ca="1" si="77"/>
        <v>#NAME?</v>
      </c>
      <c r="K4627" s="274">
        <f t="shared" si="78"/>
        <v>0</v>
      </c>
      <c r="N4627" s="274"/>
    </row>
    <row r="4628" spans="5:14" ht="13.5" customHeight="1">
      <c r="E4628" s="209" t="s">
        <v>541</v>
      </c>
      <c r="F4628" s="209" t="s">
        <v>2898</v>
      </c>
      <c r="G4628" s="406" t="str">
        <f t="shared" si="76"/>
        <v>11-12</v>
      </c>
      <c r="H4628" s="273" t="e">
        <f ca="1">_xludf.IFNA(VLOOKUP(Aragon!E4628,'Kilter Holds'!$P$37:$AB$662,5,0),0)</f>
        <v>#NAME?</v>
      </c>
      <c r="I4628" s="274"/>
      <c r="J4628" s="274" t="e">
        <f t="shared" ca="1" si="77"/>
        <v>#NAME?</v>
      </c>
      <c r="K4628" s="274">
        <f t="shared" si="78"/>
        <v>0</v>
      </c>
      <c r="N4628" s="274"/>
    </row>
    <row r="4629" spans="5:14" ht="13.5" customHeight="1">
      <c r="E4629" s="209" t="s">
        <v>541</v>
      </c>
      <c r="F4629" s="209" t="s">
        <v>2898</v>
      </c>
      <c r="G4629" s="408" t="str">
        <f t="shared" si="76"/>
        <v>14-01</v>
      </c>
      <c r="H4629" s="273" t="e">
        <f ca="1">_xludf.IFNA(VLOOKUP(Aragon!E4629,'Kilter Holds'!$P$37:$AB$662,6,0),0)</f>
        <v>#NAME?</v>
      </c>
      <c r="I4629" s="274"/>
      <c r="J4629" s="274" t="e">
        <f t="shared" ca="1" si="77"/>
        <v>#NAME?</v>
      </c>
      <c r="K4629" s="274">
        <f t="shared" si="78"/>
        <v>0</v>
      </c>
      <c r="N4629" s="274"/>
    </row>
    <row r="4630" spans="5:14" ht="13.5" customHeight="1">
      <c r="E4630" s="209" t="s">
        <v>541</v>
      </c>
      <c r="F4630" s="209" t="s">
        <v>2898</v>
      </c>
      <c r="G4630" s="409" t="str">
        <f t="shared" si="76"/>
        <v>15-12</v>
      </c>
      <c r="H4630" s="273" t="e">
        <f ca="1">_xludf.IFNA(VLOOKUP(Aragon!E4630,'Kilter Holds'!$P$37:$AB$662,7,0),0)</f>
        <v>#NAME?</v>
      </c>
      <c r="I4630" s="274"/>
      <c r="J4630" s="274" t="e">
        <f t="shared" ca="1" si="77"/>
        <v>#NAME?</v>
      </c>
      <c r="K4630" s="274">
        <f t="shared" si="78"/>
        <v>0</v>
      </c>
      <c r="N4630" s="274"/>
    </row>
    <row r="4631" spans="5:14" ht="13.5" customHeight="1">
      <c r="E4631" s="209" t="s">
        <v>541</v>
      </c>
      <c r="F4631" s="209" t="s">
        <v>2898</v>
      </c>
      <c r="G4631" s="410" t="str">
        <f t="shared" si="76"/>
        <v>16-16</v>
      </c>
      <c r="H4631" s="273" t="e">
        <f ca="1">_xludf.IFNA(VLOOKUP(Aragon!E4631,'Kilter Holds'!$P$37:$AB$662,8,0),0)</f>
        <v>#NAME?</v>
      </c>
      <c r="I4631" s="274"/>
      <c r="J4631" s="274" t="e">
        <f t="shared" ca="1" si="77"/>
        <v>#NAME?</v>
      </c>
      <c r="K4631" s="274">
        <f t="shared" si="78"/>
        <v>0</v>
      </c>
      <c r="N4631" s="274"/>
    </row>
    <row r="4632" spans="5:14" ht="13.5" customHeight="1">
      <c r="E4632" s="209" t="s">
        <v>541</v>
      </c>
      <c r="F4632" s="209" t="s">
        <v>2898</v>
      </c>
      <c r="G4632" s="411" t="str">
        <f t="shared" si="76"/>
        <v>13-01</v>
      </c>
      <c r="H4632" s="273" t="e">
        <f ca="1">_xludf.IFNA(VLOOKUP(Aragon!E4632,'Kilter Holds'!$P$37:$AB$662,9,0),0)</f>
        <v>#NAME?</v>
      </c>
      <c r="I4632" s="274"/>
      <c r="J4632" s="274" t="e">
        <f t="shared" ca="1" si="77"/>
        <v>#NAME?</v>
      </c>
      <c r="K4632" s="274">
        <f t="shared" si="78"/>
        <v>0</v>
      </c>
      <c r="N4632" s="274"/>
    </row>
    <row r="4633" spans="5:14" ht="13.5" customHeight="1">
      <c r="E4633" s="209" t="s">
        <v>541</v>
      </c>
      <c r="F4633" s="209" t="s">
        <v>2898</v>
      </c>
      <c r="G4633" s="413" t="str">
        <f t="shared" si="76"/>
        <v>07-13</v>
      </c>
      <c r="H4633" s="273" t="e">
        <f ca="1">_xludf.IFNA(VLOOKUP(Aragon!E4633,'Kilter Holds'!$P$37:$AB$662,10,0),0)</f>
        <v>#NAME?</v>
      </c>
      <c r="I4633" s="274"/>
      <c r="J4633" s="274" t="e">
        <f t="shared" ca="1" si="77"/>
        <v>#NAME?</v>
      </c>
      <c r="K4633" s="274">
        <f t="shared" si="78"/>
        <v>0</v>
      </c>
      <c r="N4633" s="274"/>
    </row>
    <row r="4634" spans="5:14" ht="13.5" customHeight="1">
      <c r="E4634" s="209" t="s">
        <v>541</v>
      </c>
      <c r="F4634" s="209" t="s">
        <v>2898</v>
      </c>
      <c r="G4634" s="414" t="str">
        <f t="shared" si="76"/>
        <v>11-26</v>
      </c>
      <c r="H4634" s="273" t="e">
        <f ca="1">_xludf.IFNA(VLOOKUP(Aragon!E4634,'Kilter Holds'!$P$37:$AB$662,11,0),0)</f>
        <v>#NAME?</v>
      </c>
      <c r="I4634" s="274"/>
      <c r="J4634" s="274" t="e">
        <f t="shared" ca="1" si="77"/>
        <v>#NAME?</v>
      </c>
      <c r="K4634" s="274">
        <f t="shared" si="78"/>
        <v>0</v>
      </c>
      <c r="N4634" s="274"/>
    </row>
    <row r="4635" spans="5:14" ht="13.5" customHeight="1">
      <c r="E4635" s="209" t="s">
        <v>541</v>
      </c>
      <c r="F4635" s="209" t="s">
        <v>2898</v>
      </c>
      <c r="G4635" s="415" t="str">
        <f t="shared" si="76"/>
        <v>18-01</v>
      </c>
      <c r="H4635" s="273" t="e">
        <f ca="1">_xludf.IFNA(VLOOKUP(Aragon!E4635,'Kilter Holds'!$P$37:$AB$662,12,0),0)</f>
        <v>#NAME?</v>
      </c>
      <c r="I4635" s="274"/>
      <c r="J4635" s="274" t="e">
        <f t="shared" ca="1" si="77"/>
        <v>#NAME?</v>
      </c>
      <c r="K4635" s="274">
        <f t="shared" si="78"/>
        <v>0</v>
      </c>
      <c r="N4635" s="274"/>
    </row>
    <row r="4636" spans="5:14" ht="13.5" customHeight="1">
      <c r="E4636" s="209" t="s">
        <v>541</v>
      </c>
      <c r="F4636" s="209" t="s">
        <v>2898</v>
      </c>
      <c r="G4636" s="416" t="str">
        <f t="shared" si="76"/>
        <v>Color Code</v>
      </c>
      <c r="H4636" s="273" t="e">
        <f ca="1">_xludf.IFNA(VLOOKUP(Aragon!E4636,'Kilter Holds'!$P$37:$AB$662,13,0),0)</f>
        <v>#NAME?</v>
      </c>
      <c r="I4636" s="274"/>
      <c r="J4636" s="274" t="e">
        <f t="shared" ca="1" si="77"/>
        <v>#NAME?</v>
      </c>
      <c r="K4636" s="274">
        <f t="shared" si="78"/>
        <v>0</v>
      </c>
      <c r="N4636" s="274"/>
    </row>
    <row r="4637" spans="5:14" ht="13.5" customHeight="1">
      <c r="E4637" s="209" t="s">
        <v>521</v>
      </c>
      <c r="F4637" s="209" t="s">
        <v>2899</v>
      </c>
      <c r="G4637" s="406" t="str">
        <f t="shared" si="76"/>
        <v>11-12</v>
      </c>
      <c r="H4637" s="273" t="e">
        <f ca="1">_xludf.IFNA(VLOOKUP(Aragon!E4637,'Kilter Holds'!$P$37:$AB$662,5,0),0)</f>
        <v>#NAME?</v>
      </c>
      <c r="I4637" s="274"/>
      <c r="J4637" s="274" t="e">
        <f t="shared" ca="1" si="77"/>
        <v>#NAME?</v>
      </c>
      <c r="K4637" s="274">
        <f t="shared" si="78"/>
        <v>0</v>
      </c>
      <c r="N4637" s="274"/>
    </row>
    <row r="4638" spans="5:14" ht="13.5" customHeight="1">
      <c r="E4638" s="209" t="s">
        <v>521</v>
      </c>
      <c r="F4638" s="209" t="s">
        <v>2899</v>
      </c>
      <c r="G4638" s="408" t="str">
        <f t="shared" si="76"/>
        <v>14-01</v>
      </c>
      <c r="H4638" s="273" t="e">
        <f ca="1">_xludf.IFNA(VLOOKUP(Aragon!E4638,'Kilter Holds'!$P$37:$AB$662,6,0),0)</f>
        <v>#NAME?</v>
      </c>
      <c r="I4638" s="274"/>
      <c r="J4638" s="274" t="e">
        <f t="shared" ca="1" si="77"/>
        <v>#NAME?</v>
      </c>
      <c r="K4638" s="274">
        <f t="shared" si="78"/>
        <v>0</v>
      </c>
      <c r="N4638" s="274"/>
    </row>
    <row r="4639" spans="5:14" ht="13.5" customHeight="1">
      <c r="E4639" s="209" t="s">
        <v>521</v>
      </c>
      <c r="F4639" s="209" t="s">
        <v>2899</v>
      </c>
      <c r="G4639" s="409" t="str">
        <f t="shared" si="76"/>
        <v>15-12</v>
      </c>
      <c r="H4639" s="273" t="e">
        <f ca="1">_xludf.IFNA(VLOOKUP(Aragon!E4639,'Kilter Holds'!$P$37:$AB$662,7,0),0)</f>
        <v>#NAME?</v>
      </c>
      <c r="I4639" s="274"/>
      <c r="J4639" s="274" t="e">
        <f t="shared" ca="1" si="77"/>
        <v>#NAME?</v>
      </c>
      <c r="K4639" s="274">
        <f t="shared" si="78"/>
        <v>0</v>
      </c>
      <c r="N4639" s="274"/>
    </row>
    <row r="4640" spans="5:14" ht="13.5" customHeight="1">
      <c r="E4640" s="209" t="s">
        <v>521</v>
      </c>
      <c r="F4640" s="209" t="s">
        <v>2899</v>
      </c>
      <c r="G4640" s="410" t="str">
        <f t="shared" si="76"/>
        <v>16-16</v>
      </c>
      <c r="H4640" s="273" t="e">
        <f ca="1">_xludf.IFNA(VLOOKUP(Aragon!E4640,'Kilter Holds'!$P$37:$AB$662,8,0),0)</f>
        <v>#NAME?</v>
      </c>
      <c r="I4640" s="274"/>
      <c r="J4640" s="274" t="e">
        <f t="shared" ca="1" si="77"/>
        <v>#NAME?</v>
      </c>
      <c r="K4640" s="274">
        <f t="shared" si="78"/>
        <v>0</v>
      </c>
      <c r="N4640" s="274"/>
    </row>
    <row r="4641" spans="5:14" ht="13.5" customHeight="1">
      <c r="E4641" s="209" t="s">
        <v>521</v>
      </c>
      <c r="F4641" s="209" t="s">
        <v>2899</v>
      </c>
      <c r="G4641" s="411" t="str">
        <f t="shared" si="76"/>
        <v>13-01</v>
      </c>
      <c r="H4641" s="273" t="e">
        <f ca="1">_xludf.IFNA(VLOOKUP(Aragon!E4641,'Kilter Holds'!$P$37:$AB$662,9,0),0)</f>
        <v>#NAME?</v>
      </c>
      <c r="I4641" s="274"/>
      <c r="J4641" s="274" t="e">
        <f t="shared" ca="1" si="77"/>
        <v>#NAME?</v>
      </c>
      <c r="K4641" s="274">
        <f t="shared" si="78"/>
        <v>0</v>
      </c>
      <c r="N4641" s="274"/>
    </row>
    <row r="4642" spans="5:14" ht="13.5" customHeight="1">
      <c r="E4642" s="209" t="s">
        <v>521</v>
      </c>
      <c r="F4642" s="209" t="s">
        <v>2899</v>
      </c>
      <c r="G4642" s="413" t="str">
        <f t="shared" si="76"/>
        <v>07-13</v>
      </c>
      <c r="H4642" s="273" t="e">
        <f ca="1">_xludf.IFNA(VLOOKUP(Aragon!E4642,'Kilter Holds'!$P$37:$AB$662,10,0),0)</f>
        <v>#NAME?</v>
      </c>
      <c r="I4642" s="274"/>
      <c r="J4642" s="274" t="e">
        <f t="shared" ca="1" si="77"/>
        <v>#NAME?</v>
      </c>
      <c r="K4642" s="274">
        <f t="shared" si="78"/>
        <v>0</v>
      </c>
      <c r="N4642" s="274"/>
    </row>
    <row r="4643" spans="5:14" ht="13.5" customHeight="1">
      <c r="E4643" s="209" t="s">
        <v>521</v>
      </c>
      <c r="F4643" s="209" t="s">
        <v>2899</v>
      </c>
      <c r="G4643" s="414" t="str">
        <f t="shared" si="76"/>
        <v>11-26</v>
      </c>
      <c r="H4643" s="273" t="e">
        <f ca="1">_xludf.IFNA(VLOOKUP(Aragon!E4643,'Kilter Holds'!$P$37:$AB$662,11,0),0)</f>
        <v>#NAME?</v>
      </c>
      <c r="I4643" s="274"/>
      <c r="J4643" s="274" t="e">
        <f t="shared" ca="1" si="77"/>
        <v>#NAME?</v>
      </c>
      <c r="K4643" s="274">
        <f t="shared" si="78"/>
        <v>0</v>
      </c>
      <c r="N4643" s="274"/>
    </row>
    <row r="4644" spans="5:14" ht="13.5" customHeight="1">
      <c r="E4644" s="209" t="s">
        <v>521</v>
      </c>
      <c r="F4644" s="209" t="s">
        <v>2899</v>
      </c>
      <c r="G4644" s="415" t="str">
        <f t="shared" si="76"/>
        <v>18-01</v>
      </c>
      <c r="H4644" s="273" t="e">
        <f ca="1">_xludf.IFNA(VLOOKUP(Aragon!E4644,'Kilter Holds'!$P$37:$AB$662,12,0),0)</f>
        <v>#NAME?</v>
      </c>
      <c r="I4644" s="274"/>
      <c r="J4644" s="274" t="e">
        <f t="shared" ca="1" si="77"/>
        <v>#NAME?</v>
      </c>
      <c r="K4644" s="274">
        <f t="shared" si="78"/>
        <v>0</v>
      </c>
      <c r="N4644" s="274"/>
    </row>
    <row r="4645" spans="5:14" ht="13.5" customHeight="1">
      <c r="E4645" s="209" t="s">
        <v>521</v>
      </c>
      <c r="F4645" s="209" t="s">
        <v>2899</v>
      </c>
      <c r="G4645" s="416" t="str">
        <f t="shared" si="76"/>
        <v>Color Code</v>
      </c>
      <c r="H4645" s="273" t="e">
        <f ca="1">_xludf.IFNA(VLOOKUP(Aragon!E4645,'Kilter Holds'!$P$37:$AB$662,13,0),0)</f>
        <v>#NAME?</v>
      </c>
      <c r="I4645" s="274"/>
      <c r="J4645" s="274" t="e">
        <f t="shared" ca="1" si="77"/>
        <v>#NAME?</v>
      </c>
      <c r="K4645" s="274">
        <f t="shared" si="78"/>
        <v>0</v>
      </c>
      <c r="N4645" s="274"/>
    </row>
    <row r="4646" spans="5:14" ht="13.5" customHeight="1">
      <c r="E4646" s="209" t="s">
        <v>523</v>
      </c>
      <c r="F4646" s="209" t="s">
        <v>2900</v>
      </c>
      <c r="G4646" s="406" t="str">
        <f t="shared" si="76"/>
        <v>11-12</v>
      </c>
      <c r="H4646" s="273" t="e">
        <f ca="1">_xludf.IFNA(VLOOKUP(Aragon!E4646,'Kilter Holds'!$P$37:$AB$662,5,0),0)</f>
        <v>#NAME?</v>
      </c>
      <c r="I4646" s="274"/>
      <c r="J4646" s="274" t="e">
        <f t="shared" ca="1" si="77"/>
        <v>#NAME?</v>
      </c>
      <c r="K4646" s="274">
        <f t="shared" si="78"/>
        <v>0</v>
      </c>
      <c r="N4646" s="274"/>
    </row>
    <row r="4647" spans="5:14" ht="13.5" customHeight="1">
      <c r="E4647" s="209" t="s">
        <v>523</v>
      </c>
      <c r="F4647" s="209" t="s">
        <v>2900</v>
      </c>
      <c r="G4647" s="408" t="str">
        <f t="shared" si="76"/>
        <v>14-01</v>
      </c>
      <c r="H4647" s="273" t="e">
        <f ca="1">_xludf.IFNA(VLOOKUP(Aragon!E4647,'Kilter Holds'!$P$37:$AB$662,6,0),0)</f>
        <v>#NAME?</v>
      </c>
      <c r="I4647" s="274"/>
      <c r="J4647" s="274" t="e">
        <f t="shared" ca="1" si="77"/>
        <v>#NAME?</v>
      </c>
      <c r="K4647" s="274">
        <f t="shared" si="78"/>
        <v>0</v>
      </c>
      <c r="N4647" s="274"/>
    </row>
    <row r="4648" spans="5:14" ht="13.5" customHeight="1">
      <c r="E4648" s="209" t="s">
        <v>523</v>
      </c>
      <c r="F4648" s="209" t="s">
        <v>2900</v>
      </c>
      <c r="G4648" s="409" t="str">
        <f t="shared" si="76"/>
        <v>15-12</v>
      </c>
      <c r="H4648" s="273" t="e">
        <f ca="1">_xludf.IFNA(VLOOKUP(Aragon!E4648,'Kilter Holds'!$P$37:$AB$662,7,0),0)</f>
        <v>#NAME?</v>
      </c>
      <c r="I4648" s="274"/>
      <c r="J4648" s="274" t="e">
        <f t="shared" ca="1" si="77"/>
        <v>#NAME?</v>
      </c>
      <c r="K4648" s="274">
        <f t="shared" si="78"/>
        <v>0</v>
      </c>
      <c r="N4648" s="274"/>
    </row>
    <row r="4649" spans="5:14" ht="13.5" customHeight="1">
      <c r="E4649" s="209" t="s">
        <v>523</v>
      </c>
      <c r="F4649" s="209" t="s">
        <v>2900</v>
      </c>
      <c r="G4649" s="410" t="str">
        <f t="shared" si="76"/>
        <v>16-16</v>
      </c>
      <c r="H4649" s="273" t="e">
        <f ca="1">_xludf.IFNA(VLOOKUP(Aragon!E4649,'Kilter Holds'!$P$37:$AB$662,8,0),0)</f>
        <v>#NAME?</v>
      </c>
      <c r="I4649" s="274"/>
      <c r="J4649" s="274" t="e">
        <f t="shared" ca="1" si="77"/>
        <v>#NAME?</v>
      </c>
      <c r="K4649" s="274">
        <f t="shared" si="78"/>
        <v>0</v>
      </c>
      <c r="N4649" s="274"/>
    </row>
    <row r="4650" spans="5:14" ht="13.5" customHeight="1">
      <c r="E4650" s="209" t="s">
        <v>523</v>
      </c>
      <c r="F4650" s="209" t="s">
        <v>2900</v>
      </c>
      <c r="G4650" s="411" t="str">
        <f t="shared" si="76"/>
        <v>13-01</v>
      </c>
      <c r="H4650" s="273" t="e">
        <f ca="1">_xludf.IFNA(VLOOKUP(Aragon!E4650,'Kilter Holds'!$P$37:$AB$662,9,0),0)</f>
        <v>#NAME?</v>
      </c>
      <c r="I4650" s="274"/>
      <c r="J4650" s="274" t="e">
        <f t="shared" ca="1" si="77"/>
        <v>#NAME?</v>
      </c>
      <c r="K4650" s="274">
        <f t="shared" si="78"/>
        <v>0</v>
      </c>
      <c r="N4650" s="274"/>
    </row>
    <row r="4651" spans="5:14" ht="13.5" customHeight="1">
      <c r="E4651" s="209" t="s">
        <v>523</v>
      </c>
      <c r="F4651" s="209" t="s">
        <v>2900</v>
      </c>
      <c r="G4651" s="413" t="str">
        <f t="shared" si="76"/>
        <v>07-13</v>
      </c>
      <c r="H4651" s="273" t="e">
        <f ca="1">_xludf.IFNA(VLOOKUP(Aragon!E4651,'Kilter Holds'!$P$37:$AB$662,10,0),0)</f>
        <v>#NAME?</v>
      </c>
      <c r="I4651" s="274"/>
      <c r="J4651" s="274" t="e">
        <f t="shared" ca="1" si="77"/>
        <v>#NAME?</v>
      </c>
      <c r="K4651" s="274">
        <f t="shared" si="78"/>
        <v>0</v>
      </c>
      <c r="N4651" s="274"/>
    </row>
    <row r="4652" spans="5:14" ht="13.5" customHeight="1">
      <c r="E4652" s="209" t="s">
        <v>523</v>
      </c>
      <c r="F4652" s="209" t="s">
        <v>2900</v>
      </c>
      <c r="G4652" s="414" t="str">
        <f t="shared" si="76"/>
        <v>11-26</v>
      </c>
      <c r="H4652" s="273" t="e">
        <f ca="1">_xludf.IFNA(VLOOKUP(Aragon!E4652,'Kilter Holds'!$P$37:$AB$662,11,0),0)</f>
        <v>#NAME?</v>
      </c>
      <c r="I4652" s="274"/>
      <c r="J4652" s="274" t="e">
        <f t="shared" ca="1" si="77"/>
        <v>#NAME?</v>
      </c>
      <c r="K4652" s="274">
        <f t="shared" si="78"/>
        <v>0</v>
      </c>
      <c r="N4652" s="274"/>
    </row>
    <row r="4653" spans="5:14" ht="13.5" customHeight="1">
      <c r="E4653" s="209" t="s">
        <v>523</v>
      </c>
      <c r="F4653" s="209" t="s">
        <v>2900</v>
      </c>
      <c r="G4653" s="415" t="str">
        <f t="shared" si="76"/>
        <v>18-01</v>
      </c>
      <c r="H4653" s="273" t="e">
        <f ca="1">_xludf.IFNA(VLOOKUP(Aragon!E4653,'Kilter Holds'!$P$37:$AB$662,12,0),0)</f>
        <v>#NAME?</v>
      </c>
      <c r="I4653" s="274"/>
      <c r="J4653" s="274" t="e">
        <f t="shared" ca="1" si="77"/>
        <v>#NAME?</v>
      </c>
      <c r="K4653" s="274">
        <f t="shared" si="78"/>
        <v>0</v>
      </c>
      <c r="N4653" s="274"/>
    </row>
    <row r="4654" spans="5:14" ht="13.5" customHeight="1">
      <c r="E4654" s="209" t="s">
        <v>523</v>
      </c>
      <c r="F4654" s="209" t="s">
        <v>2900</v>
      </c>
      <c r="G4654" s="416" t="str">
        <f t="shared" si="76"/>
        <v>Color Code</v>
      </c>
      <c r="H4654" s="273" t="e">
        <f ca="1">_xludf.IFNA(VLOOKUP(Aragon!E4654,'Kilter Holds'!$P$37:$AB$662,13,0),0)</f>
        <v>#NAME?</v>
      </c>
      <c r="I4654" s="274"/>
      <c r="J4654" s="274" t="e">
        <f t="shared" ca="1" si="77"/>
        <v>#NAME?</v>
      </c>
      <c r="K4654" s="274">
        <f t="shared" si="78"/>
        <v>0</v>
      </c>
      <c r="N4654" s="274"/>
    </row>
    <row r="4655" spans="5:14" ht="13.5" customHeight="1">
      <c r="E4655" s="209" t="s">
        <v>525</v>
      </c>
      <c r="F4655" s="209" t="s">
        <v>2901</v>
      </c>
      <c r="G4655" s="406" t="str">
        <f t="shared" si="76"/>
        <v>11-12</v>
      </c>
      <c r="H4655" s="273" t="e">
        <f ca="1">_xludf.IFNA(VLOOKUP(Aragon!E4655,'Kilter Holds'!$P$37:$AB$662,5,0),0)</f>
        <v>#NAME?</v>
      </c>
      <c r="I4655" s="274"/>
      <c r="J4655" s="274" t="e">
        <f t="shared" ca="1" si="77"/>
        <v>#NAME?</v>
      </c>
      <c r="K4655" s="274">
        <f t="shared" si="78"/>
        <v>0</v>
      </c>
      <c r="N4655" s="274"/>
    </row>
    <row r="4656" spans="5:14" ht="13.5" customHeight="1">
      <c r="E4656" s="209" t="s">
        <v>525</v>
      </c>
      <c r="F4656" s="209" t="s">
        <v>2901</v>
      </c>
      <c r="G4656" s="408" t="str">
        <f t="shared" si="76"/>
        <v>14-01</v>
      </c>
      <c r="H4656" s="273" t="e">
        <f ca="1">_xludf.IFNA(VLOOKUP(Aragon!E4656,'Kilter Holds'!$P$37:$AB$662,6,0),0)</f>
        <v>#NAME?</v>
      </c>
      <c r="I4656" s="274"/>
      <c r="J4656" s="274" t="e">
        <f t="shared" ca="1" si="77"/>
        <v>#NAME?</v>
      </c>
      <c r="K4656" s="274">
        <f t="shared" si="78"/>
        <v>0</v>
      </c>
      <c r="N4656" s="274"/>
    </row>
    <row r="4657" spans="5:14" ht="13.5" customHeight="1">
      <c r="E4657" s="209" t="s">
        <v>525</v>
      </c>
      <c r="F4657" s="209" t="s">
        <v>2901</v>
      </c>
      <c r="G4657" s="409" t="str">
        <f t="shared" si="76"/>
        <v>15-12</v>
      </c>
      <c r="H4657" s="273" t="e">
        <f ca="1">_xludf.IFNA(VLOOKUP(Aragon!E4657,'Kilter Holds'!$P$37:$AB$662,7,0),0)</f>
        <v>#NAME?</v>
      </c>
      <c r="I4657" s="274"/>
      <c r="J4657" s="274" t="e">
        <f t="shared" ca="1" si="77"/>
        <v>#NAME?</v>
      </c>
      <c r="K4657" s="274">
        <f t="shared" si="78"/>
        <v>0</v>
      </c>
      <c r="N4657" s="274"/>
    </row>
    <row r="4658" spans="5:14" ht="13.5" customHeight="1">
      <c r="E4658" s="209" t="s">
        <v>525</v>
      </c>
      <c r="F4658" s="209" t="s">
        <v>2901</v>
      </c>
      <c r="G4658" s="410" t="str">
        <f t="shared" si="76"/>
        <v>16-16</v>
      </c>
      <c r="H4658" s="273" t="e">
        <f ca="1">_xludf.IFNA(VLOOKUP(Aragon!E4658,'Kilter Holds'!$P$37:$AB$662,8,0),0)</f>
        <v>#NAME?</v>
      </c>
      <c r="I4658" s="274"/>
      <c r="J4658" s="274" t="e">
        <f t="shared" ca="1" si="77"/>
        <v>#NAME?</v>
      </c>
      <c r="K4658" s="274">
        <f t="shared" si="78"/>
        <v>0</v>
      </c>
      <c r="N4658" s="274"/>
    </row>
    <row r="4659" spans="5:14" ht="13.5" customHeight="1">
      <c r="E4659" s="209" t="s">
        <v>525</v>
      </c>
      <c r="F4659" s="209" t="s">
        <v>2901</v>
      </c>
      <c r="G4659" s="411" t="str">
        <f t="shared" si="76"/>
        <v>13-01</v>
      </c>
      <c r="H4659" s="273" t="e">
        <f ca="1">_xludf.IFNA(VLOOKUP(Aragon!E4659,'Kilter Holds'!$P$37:$AB$662,9,0),0)</f>
        <v>#NAME?</v>
      </c>
      <c r="I4659" s="274"/>
      <c r="J4659" s="274" t="e">
        <f t="shared" ca="1" si="77"/>
        <v>#NAME?</v>
      </c>
      <c r="K4659" s="274">
        <f t="shared" si="78"/>
        <v>0</v>
      </c>
      <c r="N4659" s="274"/>
    </row>
    <row r="4660" spans="5:14" ht="13.5" customHeight="1">
      <c r="E4660" s="209" t="s">
        <v>525</v>
      </c>
      <c r="F4660" s="209" t="s">
        <v>2901</v>
      </c>
      <c r="G4660" s="413" t="str">
        <f t="shared" si="76"/>
        <v>07-13</v>
      </c>
      <c r="H4660" s="273" t="e">
        <f ca="1">_xludf.IFNA(VLOOKUP(Aragon!E4660,'Kilter Holds'!$P$37:$AB$662,10,0),0)</f>
        <v>#NAME?</v>
      </c>
      <c r="I4660" s="274"/>
      <c r="J4660" s="274" t="e">
        <f t="shared" ca="1" si="77"/>
        <v>#NAME?</v>
      </c>
      <c r="K4660" s="274">
        <f t="shared" si="78"/>
        <v>0</v>
      </c>
      <c r="N4660" s="274"/>
    </row>
    <row r="4661" spans="5:14" ht="13.5" customHeight="1">
      <c r="E4661" s="209" t="s">
        <v>525</v>
      </c>
      <c r="F4661" s="209" t="s">
        <v>2901</v>
      </c>
      <c r="G4661" s="414" t="str">
        <f t="shared" si="76"/>
        <v>11-26</v>
      </c>
      <c r="H4661" s="273" t="e">
        <f ca="1">_xludf.IFNA(VLOOKUP(Aragon!E4661,'Kilter Holds'!$P$37:$AB$662,11,0),0)</f>
        <v>#NAME?</v>
      </c>
      <c r="I4661" s="274"/>
      <c r="J4661" s="274" t="e">
        <f t="shared" ca="1" si="77"/>
        <v>#NAME?</v>
      </c>
      <c r="K4661" s="274">
        <f t="shared" si="78"/>
        <v>0</v>
      </c>
      <c r="N4661" s="274"/>
    </row>
    <row r="4662" spans="5:14" ht="13.5" customHeight="1">
      <c r="E4662" s="209" t="s">
        <v>525</v>
      </c>
      <c r="F4662" s="209" t="s">
        <v>2901</v>
      </c>
      <c r="G4662" s="415" t="str">
        <f t="shared" si="76"/>
        <v>18-01</v>
      </c>
      <c r="H4662" s="273" t="e">
        <f ca="1">_xludf.IFNA(VLOOKUP(Aragon!E4662,'Kilter Holds'!$P$37:$AB$662,12,0),0)</f>
        <v>#NAME?</v>
      </c>
      <c r="I4662" s="274"/>
      <c r="J4662" s="274" t="e">
        <f t="shared" ca="1" si="77"/>
        <v>#NAME?</v>
      </c>
      <c r="K4662" s="274">
        <f t="shared" si="78"/>
        <v>0</v>
      </c>
      <c r="N4662" s="274"/>
    </row>
    <row r="4663" spans="5:14" ht="13.5" customHeight="1">
      <c r="E4663" s="209" t="s">
        <v>525</v>
      </c>
      <c r="F4663" s="209" t="s">
        <v>2901</v>
      </c>
      <c r="G4663" s="416" t="str">
        <f t="shared" si="76"/>
        <v>Color Code</v>
      </c>
      <c r="H4663" s="273" t="e">
        <f ca="1">_xludf.IFNA(VLOOKUP(Aragon!E4663,'Kilter Holds'!$P$37:$AB$662,13,0),0)</f>
        <v>#NAME?</v>
      </c>
      <c r="I4663" s="274"/>
      <c r="J4663" s="274" t="e">
        <f t="shared" ca="1" si="77"/>
        <v>#NAME?</v>
      </c>
      <c r="K4663" s="274">
        <f t="shared" si="78"/>
        <v>0</v>
      </c>
      <c r="N4663" s="274"/>
    </row>
    <row r="4664" spans="5:14" ht="13.5" customHeight="1">
      <c r="E4664" s="209" t="s">
        <v>527</v>
      </c>
      <c r="F4664" s="209" t="s">
        <v>2902</v>
      </c>
      <c r="G4664" s="406" t="str">
        <f t="shared" si="76"/>
        <v>11-12</v>
      </c>
      <c r="H4664" s="273" t="e">
        <f ca="1">_xludf.IFNA(VLOOKUP(Aragon!E4664,'Kilter Holds'!$P$37:$AB$662,5,0),0)</f>
        <v>#NAME?</v>
      </c>
      <c r="I4664" s="274"/>
      <c r="J4664" s="274" t="e">
        <f t="shared" ca="1" si="77"/>
        <v>#NAME?</v>
      </c>
      <c r="K4664" s="274">
        <f t="shared" si="78"/>
        <v>0</v>
      </c>
      <c r="N4664" s="274"/>
    </row>
    <row r="4665" spans="5:14" ht="13.5" customHeight="1">
      <c r="E4665" s="209" t="s">
        <v>527</v>
      </c>
      <c r="F4665" s="209" t="s">
        <v>2902</v>
      </c>
      <c r="G4665" s="408" t="str">
        <f t="shared" si="76"/>
        <v>14-01</v>
      </c>
      <c r="H4665" s="273" t="e">
        <f ca="1">_xludf.IFNA(VLOOKUP(Aragon!E4665,'Kilter Holds'!$P$37:$AB$662,6,0),0)</f>
        <v>#NAME?</v>
      </c>
      <c r="I4665" s="274"/>
      <c r="J4665" s="274" t="e">
        <f t="shared" ca="1" si="77"/>
        <v>#NAME?</v>
      </c>
      <c r="K4665" s="274">
        <f t="shared" si="78"/>
        <v>0</v>
      </c>
      <c r="N4665" s="274"/>
    </row>
    <row r="4666" spans="5:14" ht="13.5" customHeight="1">
      <c r="E4666" s="209" t="s">
        <v>527</v>
      </c>
      <c r="F4666" s="209" t="s">
        <v>2902</v>
      </c>
      <c r="G4666" s="409" t="str">
        <f t="shared" si="76"/>
        <v>15-12</v>
      </c>
      <c r="H4666" s="273" t="e">
        <f ca="1">_xludf.IFNA(VLOOKUP(Aragon!E4666,'Kilter Holds'!$P$37:$AB$662,7,0),0)</f>
        <v>#NAME?</v>
      </c>
      <c r="I4666" s="274"/>
      <c r="J4666" s="274" t="e">
        <f t="shared" ca="1" si="77"/>
        <v>#NAME?</v>
      </c>
      <c r="K4666" s="274">
        <f t="shared" si="78"/>
        <v>0</v>
      </c>
      <c r="N4666" s="274"/>
    </row>
    <row r="4667" spans="5:14" ht="13.5" customHeight="1">
      <c r="E4667" s="209" t="s">
        <v>527</v>
      </c>
      <c r="F4667" s="209" t="s">
        <v>2902</v>
      </c>
      <c r="G4667" s="410" t="str">
        <f t="shared" ref="G4667:G4735" si="79">G4658</f>
        <v>16-16</v>
      </c>
      <c r="H4667" s="273" t="e">
        <f ca="1">_xludf.IFNA(VLOOKUP(Aragon!E4667,'Kilter Holds'!$P$37:$AB$662,8,0),0)</f>
        <v>#NAME?</v>
      </c>
      <c r="I4667" s="274"/>
      <c r="J4667" s="274" t="e">
        <f t="shared" ca="1" si="77"/>
        <v>#NAME?</v>
      </c>
      <c r="K4667" s="274">
        <f t="shared" si="78"/>
        <v>0</v>
      </c>
      <c r="N4667" s="274"/>
    </row>
    <row r="4668" spans="5:14" ht="13.5" customHeight="1">
      <c r="E4668" s="209" t="s">
        <v>527</v>
      </c>
      <c r="F4668" s="209" t="s">
        <v>2902</v>
      </c>
      <c r="G4668" s="411" t="str">
        <f t="shared" si="79"/>
        <v>13-01</v>
      </c>
      <c r="H4668" s="273" t="e">
        <f ca="1">_xludf.IFNA(VLOOKUP(Aragon!E4668,'Kilter Holds'!$P$37:$AB$662,9,0),0)</f>
        <v>#NAME?</v>
      </c>
      <c r="I4668" s="274"/>
      <c r="J4668" s="274" t="e">
        <f t="shared" ca="1" si="77"/>
        <v>#NAME?</v>
      </c>
      <c r="K4668" s="274">
        <f t="shared" si="78"/>
        <v>0</v>
      </c>
      <c r="N4668" s="274"/>
    </row>
    <row r="4669" spans="5:14" ht="13.5" customHeight="1">
      <c r="E4669" s="209" t="s">
        <v>527</v>
      </c>
      <c r="F4669" s="209" t="s">
        <v>2902</v>
      </c>
      <c r="G4669" s="413" t="str">
        <f t="shared" si="79"/>
        <v>07-13</v>
      </c>
      <c r="H4669" s="273" t="e">
        <f ca="1">_xludf.IFNA(VLOOKUP(Aragon!E4669,'Kilter Holds'!$P$37:$AB$662,10,0),0)</f>
        <v>#NAME?</v>
      </c>
      <c r="I4669" s="274"/>
      <c r="J4669" s="274" t="e">
        <f t="shared" ca="1" si="77"/>
        <v>#NAME?</v>
      </c>
      <c r="K4669" s="274">
        <f t="shared" si="78"/>
        <v>0</v>
      </c>
      <c r="N4669" s="274"/>
    </row>
    <row r="4670" spans="5:14" ht="13.5" customHeight="1">
      <c r="E4670" s="209" t="s">
        <v>527</v>
      </c>
      <c r="F4670" s="209" t="s">
        <v>2902</v>
      </c>
      <c r="G4670" s="414" t="str">
        <f t="shared" si="79"/>
        <v>11-26</v>
      </c>
      <c r="H4670" s="273" t="e">
        <f ca="1">_xludf.IFNA(VLOOKUP(Aragon!E4670,'Kilter Holds'!$P$37:$AB$662,11,0),0)</f>
        <v>#NAME?</v>
      </c>
      <c r="I4670" s="274"/>
      <c r="J4670" s="274" t="e">
        <f t="shared" ca="1" si="77"/>
        <v>#NAME?</v>
      </c>
      <c r="K4670" s="274">
        <f t="shared" si="78"/>
        <v>0</v>
      </c>
      <c r="N4670" s="274"/>
    </row>
    <row r="4671" spans="5:14" ht="13.5" customHeight="1">
      <c r="E4671" s="209" t="s">
        <v>527</v>
      </c>
      <c r="F4671" s="209" t="s">
        <v>2902</v>
      </c>
      <c r="G4671" s="415" t="str">
        <f t="shared" si="79"/>
        <v>18-01</v>
      </c>
      <c r="H4671" s="273" t="e">
        <f ca="1">_xludf.IFNA(VLOOKUP(Aragon!E4671,'Kilter Holds'!$P$37:$AB$662,12,0),0)</f>
        <v>#NAME?</v>
      </c>
      <c r="I4671" s="274"/>
      <c r="J4671" s="274" t="e">
        <f t="shared" ca="1" si="77"/>
        <v>#NAME?</v>
      </c>
      <c r="K4671" s="274">
        <f t="shared" si="78"/>
        <v>0</v>
      </c>
      <c r="N4671" s="274"/>
    </row>
    <row r="4672" spans="5:14" ht="13.5" customHeight="1">
      <c r="E4672" s="209" t="s">
        <v>527</v>
      </c>
      <c r="F4672" s="209" t="s">
        <v>2902</v>
      </c>
      <c r="G4672" s="416" t="str">
        <f t="shared" si="79"/>
        <v>Color Code</v>
      </c>
      <c r="H4672" s="273" t="e">
        <f ca="1">_xludf.IFNA(VLOOKUP(Aragon!E4672,'Kilter Holds'!$P$37:$AB$662,13,0),0)</f>
        <v>#NAME?</v>
      </c>
      <c r="I4672" s="274"/>
      <c r="J4672" s="274" t="e">
        <f t="shared" ca="1" si="77"/>
        <v>#NAME?</v>
      </c>
      <c r="K4672" s="274">
        <f t="shared" si="78"/>
        <v>0</v>
      </c>
      <c r="N4672" s="274"/>
    </row>
    <row r="4673" spans="5:14" ht="13.5" customHeight="1">
      <c r="E4673" s="209" t="s">
        <v>543</v>
      </c>
      <c r="F4673" s="209" t="s">
        <v>2903</v>
      </c>
      <c r="G4673" s="406" t="str">
        <f t="shared" si="79"/>
        <v>11-12</v>
      </c>
      <c r="H4673" s="273" t="e">
        <f ca="1">_xludf.IFNA(VLOOKUP(Aragon!E4673,'Kilter Holds'!$P$37:$AB$662,5,0),0)</f>
        <v>#NAME?</v>
      </c>
      <c r="I4673" s="274"/>
      <c r="J4673" s="274" t="e">
        <f t="shared" ca="1" si="77"/>
        <v>#NAME?</v>
      </c>
      <c r="K4673" s="274">
        <f t="shared" si="78"/>
        <v>0</v>
      </c>
      <c r="N4673" s="274"/>
    </row>
    <row r="4674" spans="5:14" ht="13.5" customHeight="1">
      <c r="E4674" s="209" t="s">
        <v>543</v>
      </c>
      <c r="F4674" s="209" t="s">
        <v>2903</v>
      </c>
      <c r="G4674" s="408" t="str">
        <f t="shared" si="79"/>
        <v>14-01</v>
      </c>
      <c r="H4674" s="273" t="e">
        <f ca="1">_xludf.IFNA(VLOOKUP(Aragon!E4674,'Kilter Holds'!$P$37:$AB$662,6,0),0)</f>
        <v>#NAME?</v>
      </c>
      <c r="I4674" s="274"/>
      <c r="J4674" s="274" t="e">
        <f t="shared" ca="1" si="77"/>
        <v>#NAME?</v>
      </c>
      <c r="K4674" s="274">
        <f t="shared" si="78"/>
        <v>0</v>
      </c>
      <c r="N4674" s="274"/>
    </row>
    <row r="4675" spans="5:14" ht="13.5" customHeight="1">
      <c r="E4675" s="209" t="s">
        <v>543</v>
      </c>
      <c r="F4675" s="209" t="s">
        <v>2903</v>
      </c>
      <c r="G4675" s="409" t="str">
        <f t="shared" si="79"/>
        <v>15-12</v>
      </c>
      <c r="H4675" s="273" t="e">
        <f ca="1">_xludf.IFNA(VLOOKUP(Aragon!E4675,'Kilter Holds'!$P$37:$AB$662,7,0),0)</f>
        <v>#NAME?</v>
      </c>
      <c r="I4675" s="274"/>
      <c r="J4675" s="274" t="e">
        <f t="shared" ca="1" si="77"/>
        <v>#NAME?</v>
      </c>
      <c r="K4675" s="274">
        <f t="shared" si="78"/>
        <v>0</v>
      </c>
      <c r="N4675" s="274"/>
    </row>
    <row r="4676" spans="5:14" ht="13.5" customHeight="1">
      <c r="E4676" s="209" t="s">
        <v>543</v>
      </c>
      <c r="F4676" s="209" t="s">
        <v>2903</v>
      </c>
      <c r="G4676" s="410" t="str">
        <f t="shared" si="79"/>
        <v>16-16</v>
      </c>
      <c r="H4676" s="273" t="e">
        <f ca="1">_xludf.IFNA(VLOOKUP(Aragon!E4676,'Kilter Holds'!$P$37:$AB$662,8,0),0)</f>
        <v>#NAME?</v>
      </c>
      <c r="I4676" s="274"/>
      <c r="J4676" s="274" t="e">
        <f t="shared" ca="1" si="77"/>
        <v>#NAME?</v>
      </c>
      <c r="K4676" s="274">
        <f t="shared" si="78"/>
        <v>0</v>
      </c>
      <c r="N4676" s="274"/>
    </row>
    <row r="4677" spans="5:14" ht="13.5" customHeight="1">
      <c r="E4677" s="209" t="s">
        <v>543</v>
      </c>
      <c r="F4677" s="209" t="s">
        <v>2903</v>
      </c>
      <c r="G4677" s="411" t="str">
        <f t="shared" si="79"/>
        <v>13-01</v>
      </c>
      <c r="H4677" s="273" t="e">
        <f ca="1">_xludf.IFNA(VLOOKUP(Aragon!E4677,'Kilter Holds'!$P$37:$AB$662,9,0),0)</f>
        <v>#NAME?</v>
      </c>
      <c r="I4677" s="274"/>
      <c r="J4677" s="274" t="e">
        <f t="shared" ca="1" si="77"/>
        <v>#NAME?</v>
      </c>
      <c r="K4677" s="274">
        <f t="shared" si="78"/>
        <v>0</v>
      </c>
      <c r="N4677" s="274"/>
    </row>
    <row r="4678" spans="5:14" ht="13.5" customHeight="1">
      <c r="E4678" s="209" t="s">
        <v>543</v>
      </c>
      <c r="F4678" s="209" t="s">
        <v>2903</v>
      </c>
      <c r="G4678" s="413" t="str">
        <f t="shared" si="79"/>
        <v>07-13</v>
      </c>
      <c r="H4678" s="273" t="e">
        <f ca="1">_xludf.IFNA(VLOOKUP(Aragon!E4678,'Kilter Holds'!$P$37:$AB$662,10,0),0)</f>
        <v>#NAME?</v>
      </c>
      <c r="I4678" s="274"/>
      <c r="J4678" s="274" t="e">
        <f t="shared" ca="1" si="77"/>
        <v>#NAME?</v>
      </c>
      <c r="K4678" s="274">
        <f t="shared" si="78"/>
        <v>0</v>
      </c>
      <c r="N4678" s="274"/>
    </row>
    <row r="4679" spans="5:14" ht="13.5" customHeight="1">
      <c r="E4679" s="209" t="s">
        <v>543</v>
      </c>
      <c r="F4679" s="209" t="s">
        <v>2903</v>
      </c>
      <c r="G4679" s="414" t="str">
        <f t="shared" si="79"/>
        <v>11-26</v>
      </c>
      <c r="H4679" s="273" t="e">
        <f ca="1">_xludf.IFNA(VLOOKUP(Aragon!E4679,'Kilter Holds'!$P$37:$AB$662,11,0),0)</f>
        <v>#NAME?</v>
      </c>
      <c r="I4679" s="274"/>
      <c r="J4679" s="274" t="e">
        <f t="shared" ca="1" si="77"/>
        <v>#NAME?</v>
      </c>
      <c r="K4679" s="274">
        <f t="shared" si="78"/>
        <v>0</v>
      </c>
      <c r="N4679" s="274"/>
    </row>
    <row r="4680" spans="5:14" ht="13.5" customHeight="1">
      <c r="E4680" s="209" t="s">
        <v>543</v>
      </c>
      <c r="F4680" s="209" t="s">
        <v>2903</v>
      </c>
      <c r="G4680" s="415" t="str">
        <f t="shared" si="79"/>
        <v>18-01</v>
      </c>
      <c r="H4680" s="273" t="e">
        <f ca="1">_xludf.IFNA(VLOOKUP(Aragon!E4680,'Kilter Holds'!$P$37:$AB$662,12,0),0)</f>
        <v>#NAME?</v>
      </c>
      <c r="I4680" s="274"/>
      <c r="J4680" s="274" t="e">
        <f t="shared" ca="1" si="77"/>
        <v>#NAME?</v>
      </c>
      <c r="K4680" s="274">
        <f t="shared" si="78"/>
        <v>0</v>
      </c>
      <c r="N4680" s="274"/>
    </row>
    <row r="4681" spans="5:14" ht="13.5" customHeight="1">
      <c r="E4681" s="209" t="s">
        <v>543</v>
      </c>
      <c r="F4681" s="209" t="s">
        <v>2903</v>
      </c>
      <c r="G4681" s="416" t="str">
        <f t="shared" si="79"/>
        <v>Color Code</v>
      </c>
      <c r="H4681" s="273" t="e">
        <f ca="1">_xludf.IFNA(VLOOKUP(Aragon!E4681,'Kilter Holds'!$P$37:$AB$662,13,0),0)</f>
        <v>#NAME?</v>
      </c>
      <c r="I4681" s="274"/>
      <c r="J4681" s="274" t="e">
        <f t="shared" ca="1" si="77"/>
        <v>#NAME?</v>
      </c>
      <c r="K4681" s="274">
        <f t="shared" si="78"/>
        <v>0</v>
      </c>
      <c r="N4681" s="274"/>
    </row>
    <row r="4682" spans="5:14" ht="13.5" customHeight="1">
      <c r="E4682" s="209" t="s">
        <v>576</v>
      </c>
      <c r="F4682" s="209" t="s">
        <v>2904</v>
      </c>
      <c r="G4682" s="406" t="str">
        <f t="shared" si="79"/>
        <v>11-12</v>
      </c>
      <c r="H4682" s="273" t="e">
        <f ca="1">_xludf.IFNA(VLOOKUP(Aragon!E4682,'Kilter Holds'!$P$37:$AB$662,5,0),0)</f>
        <v>#NAME?</v>
      </c>
      <c r="I4682" s="274"/>
      <c r="J4682" s="274" t="e">
        <f t="shared" ca="1" si="77"/>
        <v>#NAME?</v>
      </c>
      <c r="K4682" s="274">
        <f t="shared" si="78"/>
        <v>0</v>
      </c>
      <c r="N4682" s="274"/>
    </row>
    <row r="4683" spans="5:14" ht="13.5" customHeight="1">
      <c r="E4683" s="209" t="s">
        <v>576</v>
      </c>
      <c r="F4683" s="209" t="s">
        <v>2904</v>
      </c>
      <c r="G4683" s="408" t="str">
        <f t="shared" si="79"/>
        <v>14-01</v>
      </c>
      <c r="H4683" s="273" t="e">
        <f ca="1">_xludf.IFNA(VLOOKUP(Aragon!E4683,'Kilter Holds'!$P$37:$AB$662,6,0),0)</f>
        <v>#NAME?</v>
      </c>
      <c r="I4683" s="274"/>
      <c r="J4683" s="274" t="e">
        <f t="shared" ca="1" si="77"/>
        <v>#NAME?</v>
      </c>
      <c r="K4683" s="274">
        <f t="shared" si="78"/>
        <v>0</v>
      </c>
      <c r="N4683" s="274"/>
    </row>
    <row r="4684" spans="5:14" ht="13.5" customHeight="1">
      <c r="E4684" s="209" t="s">
        <v>576</v>
      </c>
      <c r="F4684" s="209" t="s">
        <v>2904</v>
      </c>
      <c r="G4684" s="409" t="str">
        <f t="shared" si="79"/>
        <v>15-12</v>
      </c>
      <c r="H4684" s="273" t="e">
        <f ca="1">_xludf.IFNA(VLOOKUP(Aragon!E4684,'Kilter Holds'!$P$37:$AB$662,7,0),0)</f>
        <v>#NAME?</v>
      </c>
      <c r="I4684" s="274"/>
      <c r="J4684" s="274" t="e">
        <f t="shared" ca="1" si="77"/>
        <v>#NAME?</v>
      </c>
      <c r="K4684" s="274">
        <f t="shared" si="78"/>
        <v>0</v>
      </c>
      <c r="N4684" s="274"/>
    </row>
    <row r="4685" spans="5:14" ht="13.5" customHeight="1">
      <c r="E4685" s="209" t="s">
        <v>576</v>
      </c>
      <c r="F4685" s="209" t="s">
        <v>2904</v>
      </c>
      <c r="G4685" s="410" t="str">
        <f t="shared" si="79"/>
        <v>16-16</v>
      </c>
      <c r="H4685" s="273" t="e">
        <f ca="1">_xludf.IFNA(VLOOKUP(Aragon!E4685,'Kilter Holds'!$P$37:$AB$662,8,0),0)</f>
        <v>#NAME?</v>
      </c>
      <c r="I4685" s="274"/>
      <c r="J4685" s="274" t="e">
        <f t="shared" ca="1" si="77"/>
        <v>#NAME?</v>
      </c>
      <c r="K4685" s="274">
        <f t="shared" si="78"/>
        <v>0</v>
      </c>
      <c r="N4685" s="274"/>
    </row>
    <row r="4686" spans="5:14" ht="13.5" customHeight="1">
      <c r="E4686" s="209" t="s">
        <v>576</v>
      </c>
      <c r="F4686" s="209" t="s">
        <v>2904</v>
      </c>
      <c r="G4686" s="411" t="str">
        <f t="shared" si="79"/>
        <v>13-01</v>
      </c>
      <c r="H4686" s="273" t="e">
        <f ca="1">_xludf.IFNA(VLOOKUP(Aragon!E4686,'Kilter Holds'!$P$37:$AB$662,9,0),0)</f>
        <v>#NAME?</v>
      </c>
      <c r="I4686" s="274"/>
      <c r="J4686" s="274" t="e">
        <f t="shared" ca="1" si="77"/>
        <v>#NAME?</v>
      </c>
      <c r="K4686" s="274">
        <f t="shared" si="78"/>
        <v>0</v>
      </c>
      <c r="N4686" s="274"/>
    </row>
    <row r="4687" spans="5:14" ht="13.5" customHeight="1">
      <c r="E4687" s="209" t="s">
        <v>576</v>
      </c>
      <c r="F4687" s="209" t="s">
        <v>2904</v>
      </c>
      <c r="G4687" s="413" t="str">
        <f t="shared" si="79"/>
        <v>07-13</v>
      </c>
      <c r="H4687" s="273" t="e">
        <f ca="1">_xludf.IFNA(VLOOKUP(Aragon!E4687,'Kilter Holds'!$P$37:$AB$662,10,0),0)</f>
        <v>#NAME?</v>
      </c>
      <c r="I4687" s="274"/>
      <c r="J4687" s="274" t="e">
        <f t="shared" ca="1" si="77"/>
        <v>#NAME?</v>
      </c>
      <c r="K4687" s="274">
        <f t="shared" si="78"/>
        <v>0</v>
      </c>
      <c r="N4687" s="274"/>
    </row>
    <row r="4688" spans="5:14" ht="13.5" customHeight="1">
      <c r="E4688" s="209" t="s">
        <v>576</v>
      </c>
      <c r="F4688" s="209" t="s">
        <v>2904</v>
      </c>
      <c r="G4688" s="414" t="str">
        <f t="shared" si="79"/>
        <v>11-26</v>
      </c>
      <c r="H4688" s="273" t="e">
        <f ca="1">_xludf.IFNA(VLOOKUP(Aragon!E4688,'Kilter Holds'!$P$37:$AB$662,11,0),0)</f>
        <v>#NAME?</v>
      </c>
      <c r="I4688" s="274"/>
      <c r="J4688" s="274" t="e">
        <f t="shared" ca="1" si="77"/>
        <v>#NAME?</v>
      </c>
      <c r="K4688" s="274">
        <f t="shared" si="78"/>
        <v>0</v>
      </c>
      <c r="N4688" s="274"/>
    </row>
    <row r="4689" spans="5:14" ht="13.5" customHeight="1">
      <c r="E4689" s="209" t="s">
        <v>576</v>
      </c>
      <c r="F4689" s="209" t="s">
        <v>2904</v>
      </c>
      <c r="G4689" s="415" t="str">
        <f t="shared" si="79"/>
        <v>18-01</v>
      </c>
      <c r="H4689" s="273" t="e">
        <f ca="1">_xludf.IFNA(VLOOKUP(Aragon!E4689,'Kilter Holds'!$P$37:$AB$662,12,0),0)</f>
        <v>#NAME?</v>
      </c>
      <c r="I4689" s="274"/>
      <c r="J4689" s="274" t="e">
        <f t="shared" ca="1" si="77"/>
        <v>#NAME?</v>
      </c>
      <c r="K4689" s="274">
        <f t="shared" si="78"/>
        <v>0</v>
      </c>
      <c r="N4689" s="274"/>
    </row>
    <row r="4690" spans="5:14" ht="13.5" customHeight="1">
      <c r="E4690" s="209" t="s">
        <v>576</v>
      </c>
      <c r="F4690" s="209" t="s">
        <v>2904</v>
      </c>
      <c r="G4690" s="416" t="str">
        <f t="shared" si="79"/>
        <v>Color Code</v>
      </c>
      <c r="H4690" s="273" t="e">
        <f ca="1">_xludf.IFNA(VLOOKUP(Aragon!E4690,'Kilter Holds'!$P$37:$AB$662,13,0),0)</f>
        <v>#NAME?</v>
      </c>
      <c r="I4690" s="274"/>
      <c r="J4690" s="274" t="e">
        <f t="shared" ca="1" si="77"/>
        <v>#NAME?</v>
      </c>
      <c r="K4690" s="274">
        <f t="shared" si="78"/>
        <v>0</v>
      </c>
      <c r="N4690" s="274"/>
    </row>
    <row r="4691" spans="5:14" ht="13.5" customHeight="1">
      <c r="E4691" s="209" t="s">
        <v>555</v>
      </c>
      <c r="F4691" s="209" t="s">
        <v>2905</v>
      </c>
      <c r="G4691" s="406" t="str">
        <f t="shared" si="79"/>
        <v>11-12</v>
      </c>
      <c r="H4691" s="273" t="e">
        <f ca="1">_xludf.IFNA(VLOOKUP(Aragon!E4691,'Kilter Holds'!$P$37:$AB$662,5,0),0)</f>
        <v>#NAME?</v>
      </c>
      <c r="I4691" s="274"/>
      <c r="J4691" s="274" t="e">
        <f t="shared" ca="1" si="77"/>
        <v>#NAME?</v>
      </c>
      <c r="K4691" s="274">
        <f t="shared" si="78"/>
        <v>0</v>
      </c>
      <c r="N4691" s="274"/>
    </row>
    <row r="4692" spans="5:14" ht="13.5" customHeight="1">
      <c r="E4692" s="209" t="s">
        <v>555</v>
      </c>
      <c r="F4692" s="209" t="s">
        <v>2905</v>
      </c>
      <c r="G4692" s="408" t="str">
        <f t="shared" si="79"/>
        <v>14-01</v>
      </c>
      <c r="H4692" s="273" t="e">
        <f ca="1">_xludf.IFNA(VLOOKUP(Aragon!E4692,'Kilter Holds'!$P$37:$AB$662,6,0),0)</f>
        <v>#NAME?</v>
      </c>
      <c r="I4692" s="274"/>
      <c r="J4692" s="274" t="e">
        <f t="shared" ca="1" si="77"/>
        <v>#NAME?</v>
      </c>
      <c r="K4692" s="274">
        <f t="shared" si="78"/>
        <v>0</v>
      </c>
      <c r="N4692" s="274"/>
    </row>
    <row r="4693" spans="5:14" ht="13.5" customHeight="1">
      <c r="E4693" s="209" t="s">
        <v>555</v>
      </c>
      <c r="F4693" s="209" t="s">
        <v>2905</v>
      </c>
      <c r="G4693" s="409" t="str">
        <f t="shared" si="79"/>
        <v>15-12</v>
      </c>
      <c r="H4693" s="273" t="e">
        <f ca="1">_xludf.IFNA(VLOOKUP(Aragon!E4693,'Kilter Holds'!$P$37:$AB$662,7,0),0)</f>
        <v>#NAME?</v>
      </c>
      <c r="I4693" s="274"/>
      <c r="J4693" s="274" t="e">
        <f t="shared" ca="1" si="77"/>
        <v>#NAME?</v>
      </c>
      <c r="K4693" s="274">
        <f t="shared" si="78"/>
        <v>0</v>
      </c>
      <c r="N4693" s="274"/>
    </row>
    <row r="4694" spans="5:14" ht="13.5" customHeight="1">
      <c r="E4694" s="209" t="s">
        <v>555</v>
      </c>
      <c r="F4694" s="209" t="s">
        <v>2905</v>
      </c>
      <c r="G4694" s="410" t="str">
        <f t="shared" si="79"/>
        <v>16-16</v>
      </c>
      <c r="H4694" s="273" t="e">
        <f ca="1">_xludf.IFNA(VLOOKUP(Aragon!E4694,'Kilter Holds'!$P$37:$AB$662,8,0),0)</f>
        <v>#NAME?</v>
      </c>
      <c r="I4694" s="274"/>
      <c r="J4694" s="274" t="e">
        <f t="shared" ca="1" si="77"/>
        <v>#NAME?</v>
      </c>
      <c r="K4694" s="274">
        <f t="shared" si="78"/>
        <v>0</v>
      </c>
      <c r="N4694" s="274"/>
    </row>
    <row r="4695" spans="5:14" ht="13.5" customHeight="1">
      <c r="E4695" s="209" t="s">
        <v>555</v>
      </c>
      <c r="F4695" s="209" t="s">
        <v>2905</v>
      </c>
      <c r="G4695" s="411" t="str">
        <f t="shared" si="79"/>
        <v>13-01</v>
      </c>
      <c r="H4695" s="273" t="e">
        <f ca="1">_xludf.IFNA(VLOOKUP(Aragon!E4695,'Kilter Holds'!$P$37:$AB$662,9,0),0)</f>
        <v>#NAME?</v>
      </c>
      <c r="I4695" s="274"/>
      <c r="J4695" s="274" t="e">
        <f t="shared" ca="1" si="77"/>
        <v>#NAME?</v>
      </c>
      <c r="K4695" s="274">
        <f t="shared" si="78"/>
        <v>0</v>
      </c>
      <c r="N4695" s="274"/>
    </row>
    <row r="4696" spans="5:14" ht="13.5" customHeight="1">
      <c r="E4696" s="209" t="s">
        <v>555</v>
      </c>
      <c r="F4696" s="209" t="s">
        <v>2905</v>
      </c>
      <c r="G4696" s="413" t="str">
        <f t="shared" si="79"/>
        <v>07-13</v>
      </c>
      <c r="H4696" s="273" t="e">
        <f ca="1">_xludf.IFNA(VLOOKUP(Aragon!E4696,'Kilter Holds'!$P$37:$AB$662,10,0),0)</f>
        <v>#NAME?</v>
      </c>
      <c r="I4696" s="274"/>
      <c r="J4696" s="274" t="e">
        <f t="shared" ca="1" si="77"/>
        <v>#NAME?</v>
      </c>
      <c r="K4696" s="274">
        <f t="shared" si="78"/>
        <v>0</v>
      </c>
      <c r="N4696" s="274"/>
    </row>
    <row r="4697" spans="5:14" ht="13.5" customHeight="1">
      <c r="E4697" s="209" t="s">
        <v>555</v>
      </c>
      <c r="F4697" s="209" t="s">
        <v>2905</v>
      </c>
      <c r="G4697" s="414" t="str">
        <f t="shared" si="79"/>
        <v>11-26</v>
      </c>
      <c r="H4697" s="273" t="e">
        <f ca="1">_xludf.IFNA(VLOOKUP(Aragon!E4697,'Kilter Holds'!$P$37:$AB$662,11,0),0)</f>
        <v>#NAME?</v>
      </c>
      <c r="I4697" s="274"/>
      <c r="J4697" s="274" t="e">
        <f t="shared" ca="1" si="77"/>
        <v>#NAME?</v>
      </c>
      <c r="K4697" s="274">
        <f t="shared" si="78"/>
        <v>0</v>
      </c>
      <c r="N4697" s="274"/>
    </row>
    <row r="4698" spans="5:14" ht="13.5" customHeight="1">
      <c r="E4698" s="209" t="s">
        <v>555</v>
      </c>
      <c r="F4698" s="209" t="s">
        <v>2905</v>
      </c>
      <c r="G4698" s="415" t="str">
        <f t="shared" si="79"/>
        <v>18-01</v>
      </c>
      <c r="H4698" s="273" t="e">
        <f ca="1">_xludf.IFNA(VLOOKUP(Aragon!E4698,'Kilter Holds'!$P$37:$AB$662,12,0),0)</f>
        <v>#NAME?</v>
      </c>
      <c r="I4698" s="274"/>
      <c r="J4698" s="274" t="e">
        <f t="shared" ca="1" si="77"/>
        <v>#NAME?</v>
      </c>
      <c r="K4698" s="274">
        <f t="shared" si="78"/>
        <v>0</v>
      </c>
      <c r="N4698" s="274"/>
    </row>
    <row r="4699" spans="5:14" ht="13.5" customHeight="1">
      <c r="E4699" s="209" t="s">
        <v>555</v>
      </c>
      <c r="F4699" s="209" t="s">
        <v>2905</v>
      </c>
      <c r="G4699" s="416" t="str">
        <f t="shared" si="79"/>
        <v>Color Code</v>
      </c>
      <c r="H4699" s="273" t="e">
        <f ca="1">_xludf.IFNA(VLOOKUP(Aragon!E4699,'Kilter Holds'!$P$37:$AB$662,13,0),0)</f>
        <v>#NAME?</v>
      </c>
      <c r="I4699" s="274"/>
      <c r="J4699" s="274" t="e">
        <f t="shared" ca="1" si="77"/>
        <v>#NAME?</v>
      </c>
      <c r="K4699" s="274">
        <f t="shared" si="78"/>
        <v>0</v>
      </c>
      <c r="N4699" s="274"/>
    </row>
    <row r="4700" spans="5:14" ht="13.5" customHeight="1">
      <c r="E4700" s="209" t="s">
        <v>557</v>
      </c>
      <c r="F4700" s="209" t="s">
        <v>2906</v>
      </c>
      <c r="G4700" s="406" t="str">
        <f t="shared" si="79"/>
        <v>11-12</v>
      </c>
      <c r="H4700" s="273" t="e">
        <f ca="1">_xludf.IFNA(VLOOKUP(Aragon!E4700,'Kilter Holds'!$P$37:$AB$662,5,0),0)</f>
        <v>#NAME?</v>
      </c>
      <c r="I4700" s="274"/>
      <c r="J4700" s="274" t="e">
        <f t="shared" ca="1" si="77"/>
        <v>#NAME?</v>
      </c>
      <c r="K4700" s="274">
        <f t="shared" si="78"/>
        <v>0</v>
      </c>
      <c r="N4700" s="274"/>
    </row>
    <row r="4701" spans="5:14" ht="13.5" customHeight="1">
      <c r="E4701" s="209" t="s">
        <v>557</v>
      </c>
      <c r="F4701" s="209" t="s">
        <v>2906</v>
      </c>
      <c r="G4701" s="408" t="str">
        <f t="shared" si="79"/>
        <v>14-01</v>
      </c>
      <c r="H4701" s="273" t="e">
        <f ca="1">_xludf.IFNA(VLOOKUP(Aragon!E4701,'Kilter Holds'!$P$37:$AB$662,6,0),0)</f>
        <v>#NAME?</v>
      </c>
      <c r="I4701" s="274"/>
      <c r="J4701" s="274" t="e">
        <f t="shared" ca="1" si="77"/>
        <v>#NAME?</v>
      </c>
      <c r="K4701" s="274">
        <f t="shared" si="78"/>
        <v>0</v>
      </c>
      <c r="N4701" s="274"/>
    </row>
    <row r="4702" spans="5:14" ht="13.5" customHeight="1">
      <c r="E4702" s="209" t="s">
        <v>557</v>
      </c>
      <c r="F4702" s="209" t="s">
        <v>2906</v>
      </c>
      <c r="G4702" s="409" t="str">
        <f t="shared" si="79"/>
        <v>15-12</v>
      </c>
      <c r="H4702" s="273" t="e">
        <f ca="1">_xludf.IFNA(VLOOKUP(Aragon!E4702,'Kilter Holds'!$P$37:$AB$662,7,0),0)</f>
        <v>#NAME?</v>
      </c>
      <c r="I4702" s="274"/>
      <c r="J4702" s="274" t="e">
        <f t="shared" ca="1" si="77"/>
        <v>#NAME?</v>
      </c>
      <c r="K4702" s="274">
        <f t="shared" si="78"/>
        <v>0</v>
      </c>
      <c r="N4702" s="274"/>
    </row>
    <row r="4703" spans="5:14" ht="13.5" customHeight="1">
      <c r="E4703" s="209" t="s">
        <v>557</v>
      </c>
      <c r="F4703" s="209" t="s">
        <v>2906</v>
      </c>
      <c r="G4703" s="410" t="str">
        <f t="shared" si="79"/>
        <v>16-16</v>
      </c>
      <c r="H4703" s="273" t="e">
        <f ca="1">_xludf.IFNA(VLOOKUP(Aragon!E4703,'Kilter Holds'!$P$37:$AB$662,8,0),0)</f>
        <v>#NAME?</v>
      </c>
      <c r="I4703" s="274"/>
      <c r="J4703" s="274" t="e">
        <f t="shared" ca="1" si="77"/>
        <v>#NAME?</v>
      </c>
      <c r="K4703" s="274">
        <f t="shared" si="78"/>
        <v>0</v>
      </c>
      <c r="N4703" s="274"/>
    </row>
    <row r="4704" spans="5:14" ht="13.5" customHeight="1">
      <c r="E4704" s="209" t="s">
        <v>557</v>
      </c>
      <c r="F4704" s="209" t="s">
        <v>2906</v>
      </c>
      <c r="G4704" s="411" t="str">
        <f t="shared" si="79"/>
        <v>13-01</v>
      </c>
      <c r="H4704" s="273" t="e">
        <f ca="1">_xludf.IFNA(VLOOKUP(Aragon!E4704,'Kilter Holds'!$P$37:$AB$662,9,0),0)</f>
        <v>#NAME?</v>
      </c>
      <c r="I4704" s="274"/>
      <c r="J4704" s="274" t="e">
        <f t="shared" ca="1" si="77"/>
        <v>#NAME?</v>
      </c>
      <c r="K4704" s="274">
        <f t="shared" si="78"/>
        <v>0</v>
      </c>
      <c r="N4704" s="274"/>
    </row>
    <row r="4705" spans="5:14" ht="13.5" customHeight="1">
      <c r="E4705" s="209" t="s">
        <v>557</v>
      </c>
      <c r="F4705" s="209" t="s">
        <v>2906</v>
      </c>
      <c r="G4705" s="413" t="str">
        <f t="shared" si="79"/>
        <v>07-13</v>
      </c>
      <c r="H4705" s="273" t="e">
        <f ca="1">_xludf.IFNA(VLOOKUP(Aragon!E4705,'Kilter Holds'!$P$37:$AB$662,10,0),0)</f>
        <v>#NAME?</v>
      </c>
      <c r="I4705" s="274"/>
      <c r="J4705" s="274" t="e">
        <f t="shared" ca="1" si="77"/>
        <v>#NAME?</v>
      </c>
      <c r="K4705" s="274">
        <f t="shared" si="78"/>
        <v>0</v>
      </c>
      <c r="N4705" s="274"/>
    </row>
    <row r="4706" spans="5:14" ht="13.5" customHeight="1">
      <c r="E4706" s="209" t="s">
        <v>557</v>
      </c>
      <c r="F4706" s="209" t="s">
        <v>2906</v>
      </c>
      <c r="G4706" s="414" t="str">
        <f t="shared" si="79"/>
        <v>11-26</v>
      </c>
      <c r="H4706" s="273" t="e">
        <f ca="1">_xludf.IFNA(VLOOKUP(Aragon!E4706,'Kilter Holds'!$P$37:$AB$662,11,0),0)</f>
        <v>#NAME?</v>
      </c>
      <c r="I4706" s="274"/>
      <c r="J4706" s="274" t="e">
        <f t="shared" ca="1" si="77"/>
        <v>#NAME?</v>
      </c>
      <c r="K4706" s="274">
        <f t="shared" si="78"/>
        <v>0</v>
      </c>
      <c r="N4706" s="274"/>
    </row>
    <row r="4707" spans="5:14" ht="13.5" customHeight="1">
      <c r="E4707" s="209" t="s">
        <v>557</v>
      </c>
      <c r="F4707" s="209" t="s">
        <v>2906</v>
      </c>
      <c r="G4707" s="415" t="str">
        <f t="shared" si="79"/>
        <v>18-01</v>
      </c>
      <c r="H4707" s="273" t="e">
        <f ca="1">_xludf.IFNA(VLOOKUP(Aragon!E4707,'Kilter Holds'!$P$37:$AB$662,12,0),0)</f>
        <v>#NAME?</v>
      </c>
      <c r="I4707" s="274"/>
      <c r="J4707" s="274" t="e">
        <f t="shared" ca="1" si="77"/>
        <v>#NAME?</v>
      </c>
      <c r="K4707" s="274">
        <f t="shared" si="78"/>
        <v>0</v>
      </c>
      <c r="N4707" s="274"/>
    </row>
    <row r="4708" spans="5:14" ht="13.5" customHeight="1">
      <c r="E4708" s="209" t="s">
        <v>557</v>
      </c>
      <c r="F4708" s="209" t="s">
        <v>2906</v>
      </c>
      <c r="G4708" s="416" t="str">
        <f t="shared" si="79"/>
        <v>Color Code</v>
      </c>
      <c r="H4708" s="273" t="e">
        <f ca="1">_xludf.IFNA(VLOOKUP(Aragon!E4708,'Kilter Holds'!$P$37:$AB$662,13,0),0)</f>
        <v>#NAME?</v>
      </c>
      <c r="I4708" s="274"/>
      <c r="J4708" s="274" t="e">
        <f t="shared" ca="1" si="77"/>
        <v>#NAME?</v>
      </c>
      <c r="K4708" s="274">
        <f t="shared" si="78"/>
        <v>0</v>
      </c>
      <c r="N4708" s="274"/>
    </row>
    <row r="4709" spans="5:14" ht="13.5" customHeight="1">
      <c r="E4709" s="209" t="s">
        <v>594</v>
      </c>
      <c r="F4709" s="209" t="s">
        <v>2907</v>
      </c>
      <c r="G4709" s="406" t="str">
        <f t="shared" si="79"/>
        <v>11-12</v>
      </c>
      <c r="H4709" s="273" t="e">
        <f ca="1">_xludf.IFNA(VLOOKUP(Aragon!E4709,'Kilter Holds'!$P$37:$AB$662,5,0),0)</f>
        <v>#NAME?</v>
      </c>
      <c r="I4709" s="274"/>
      <c r="J4709" s="274" t="e">
        <f t="shared" ca="1" si="77"/>
        <v>#NAME?</v>
      </c>
      <c r="K4709" s="274">
        <f t="shared" si="78"/>
        <v>0</v>
      </c>
      <c r="N4709" s="274"/>
    </row>
    <row r="4710" spans="5:14" ht="13.5" customHeight="1">
      <c r="E4710" s="209" t="s">
        <v>594</v>
      </c>
      <c r="F4710" s="209" t="s">
        <v>2907</v>
      </c>
      <c r="G4710" s="408" t="str">
        <f t="shared" si="79"/>
        <v>14-01</v>
      </c>
      <c r="H4710" s="273" t="e">
        <f ca="1">_xludf.IFNA(VLOOKUP(Aragon!E4710,'Kilter Holds'!$P$37:$AB$662,6,0),0)</f>
        <v>#NAME?</v>
      </c>
      <c r="I4710" s="274"/>
      <c r="J4710" s="274" t="e">
        <f t="shared" ca="1" si="77"/>
        <v>#NAME?</v>
      </c>
      <c r="K4710" s="274">
        <f t="shared" si="78"/>
        <v>0</v>
      </c>
      <c r="N4710" s="274"/>
    </row>
    <row r="4711" spans="5:14" ht="13.5" customHeight="1">
      <c r="E4711" s="209" t="s">
        <v>594</v>
      </c>
      <c r="F4711" s="209" t="s">
        <v>2907</v>
      </c>
      <c r="G4711" s="409" t="str">
        <f t="shared" si="79"/>
        <v>15-12</v>
      </c>
      <c r="H4711" s="273" t="e">
        <f ca="1">_xludf.IFNA(VLOOKUP(Aragon!E4711,'Kilter Holds'!$P$37:$AB$662,7,0),0)</f>
        <v>#NAME?</v>
      </c>
      <c r="I4711" s="274"/>
      <c r="J4711" s="274" t="e">
        <f t="shared" ca="1" si="77"/>
        <v>#NAME?</v>
      </c>
      <c r="K4711" s="274">
        <f t="shared" si="78"/>
        <v>0</v>
      </c>
      <c r="N4711" s="274"/>
    </row>
    <row r="4712" spans="5:14" ht="13.5" customHeight="1">
      <c r="E4712" s="209" t="s">
        <v>594</v>
      </c>
      <c r="F4712" s="209" t="s">
        <v>2907</v>
      </c>
      <c r="G4712" s="410" t="str">
        <f t="shared" si="79"/>
        <v>16-16</v>
      </c>
      <c r="H4712" s="273" t="e">
        <f ca="1">_xludf.IFNA(VLOOKUP(Aragon!E4712,'Kilter Holds'!$P$37:$AB$662,8,0),0)</f>
        <v>#NAME?</v>
      </c>
      <c r="I4712" s="274"/>
      <c r="J4712" s="274" t="e">
        <f t="shared" ca="1" si="77"/>
        <v>#NAME?</v>
      </c>
      <c r="K4712" s="274">
        <f t="shared" si="78"/>
        <v>0</v>
      </c>
      <c r="N4712" s="274"/>
    </row>
    <row r="4713" spans="5:14" ht="13.5" customHeight="1">
      <c r="E4713" s="209" t="s">
        <v>594</v>
      </c>
      <c r="F4713" s="209" t="s">
        <v>2907</v>
      </c>
      <c r="G4713" s="411" t="str">
        <f t="shared" si="79"/>
        <v>13-01</v>
      </c>
      <c r="H4713" s="273" t="e">
        <f ca="1">_xludf.IFNA(VLOOKUP(Aragon!E4713,'Kilter Holds'!$P$37:$AB$662,9,0),0)</f>
        <v>#NAME?</v>
      </c>
      <c r="I4713" s="274"/>
      <c r="J4713" s="274" t="e">
        <f t="shared" ca="1" si="77"/>
        <v>#NAME?</v>
      </c>
      <c r="K4713" s="274">
        <f t="shared" si="78"/>
        <v>0</v>
      </c>
      <c r="N4713" s="274"/>
    </row>
    <row r="4714" spans="5:14" ht="13.5" customHeight="1">
      <c r="E4714" s="209" t="s">
        <v>594</v>
      </c>
      <c r="F4714" s="209" t="s">
        <v>2907</v>
      </c>
      <c r="G4714" s="413" t="str">
        <f t="shared" si="79"/>
        <v>07-13</v>
      </c>
      <c r="H4714" s="273" t="e">
        <f ca="1">_xludf.IFNA(VLOOKUP(Aragon!E4714,'Kilter Holds'!$P$37:$AB$662,10,0),0)</f>
        <v>#NAME?</v>
      </c>
      <c r="I4714" s="274"/>
      <c r="J4714" s="274" t="e">
        <f t="shared" ca="1" si="77"/>
        <v>#NAME?</v>
      </c>
      <c r="K4714" s="274">
        <f t="shared" si="78"/>
        <v>0</v>
      </c>
      <c r="N4714" s="274"/>
    </row>
    <row r="4715" spans="5:14" ht="13.5" customHeight="1">
      <c r="E4715" s="209" t="s">
        <v>594</v>
      </c>
      <c r="F4715" s="209" t="s">
        <v>2907</v>
      </c>
      <c r="G4715" s="414" t="str">
        <f t="shared" si="79"/>
        <v>11-26</v>
      </c>
      <c r="H4715" s="273" t="e">
        <f ca="1">_xludf.IFNA(VLOOKUP(Aragon!E4715,'Kilter Holds'!$P$37:$AB$662,11,0),0)</f>
        <v>#NAME?</v>
      </c>
      <c r="I4715" s="274"/>
      <c r="J4715" s="274" t="e">
        <f t="shared" ca="1" si="77"/>
        <v>#NAME?</v>
      </c>
      <c r="K4715" s="274">
        <f t="shared" si="78"/>
        <v>0</v>
      </c>
      <c r="N4715" s="274"/>
    </row>
    <row r="4716" spans="5:14" ht="13.5" customHeight="1">
      <c r="E4716" s="209" t="s">
        <v>594</v>
      </c>
      <c r="F4716" s="209" t="s">
        <v>2907</v>
      </c>
      <c r="G4716" s="415" t="str">
        <f t="shared" si="79"/>
        <v>18-01</v>
      </c>
      <c r="H4716" s="273" t="e">
        <f ca="1">_xludf.IFNA(VLOOKUP(Aragon!E4716,'Kilter Holds'!$P$37:$AB$662,12,0),0)</f>
        <v>#NAME?</v>
      </c>
      <c r="I4716" s="274"/>
      <c r="J4716" s="274" t="e">
        <f t="shared" ca="1" si="77"/>
        <v>#NAME?</v>
      </c>
      <c r="K4716" s="274">
        <f t="shared" si="78"/>
        <v>0</v>
      </c>
      <c r="N4716" s="274"/>
    </row>
    <row r="4717" spans="5:14" ht="13.5" customHeight="1">
      <c r="E4717" s="209" t="s">
        <v>594</v>
      </c>
      <c r="F4717" s="209" t="s">
        <v>2907</v>
      </c>
      <c r="G4717" s="416" t="str">
        <f t="shared" si="79"/>
        <v>Color Code</v>
      </c>
      <c r="H4717" s="273" t="e">
        <f ca="1">_xludf.IFNA(VLOOKUP(Aragon!E4717,'Kilter Holds'!$P$37:$AB$662,13,0),0)</f>
        <v>#NAME?</v>
      </c>
      <c r="I4717" s="274"/>
      <c r="J4717" s="274" t="e">
        <f t="shared" ca="1" si="77"/>
        <v>#NAME?</v>
      </c>
      <c r="K4717" s="274">
        <f t="shared" si="78"/>
        <v>0</v>
      </c>
      <c r="N4717" s="274"/>
    </row>
    <row r="4718" spans="5:14" ht="13.5" customHeight="1">
      <c r="E4718" s="209" t="s">
        <v>1211</v>
      </c>
      <c r="F4718" s="209" t="s">
        <v>2908</v>
      </c>
      <c r="G4718" s="406" t="str">
        <f t="shared" si="79"/>
        <v>11-12</v>
      </c>
      <c r="H4718" s="273" t="e">
        <f ca="1">_xludf.IFNA(VLOOKUP(Aragon!E4718,'Kilter Holds'!$P$37:$AB$662,5,0),0)</f>
        <v>#NAME?</v>
      </c>
      <c r="I4718" s="274"/>
      <c r="J4718" s="274" t="e">
        <f t="shared" ca="1" si="77"/>
        <v>#NAME?</v>
      </c>
      <c r="K4718" s="274">
        <f t="shared" si="78"/>
        <v>0</v>
      </c>
      <c r="N4718" s="274"/>
    </row>
    <row r="4719" spans="5:14" ht="13.5" customHeight="1">
      <c r="E4719" s="209" t="s">
        <v>1211</v>
      </c>
      <c r="F4719" s="209" t="s">
        <v>2908</v>
      </c>
      <c r="G4719" s="408" t="str">
        <f t="shared" si="79"/>
        <v>14-01</v>
      </c>
      <c r="H4719" s="273" t="e">
        <f ca="1">_xludf.IFNA(VLOOKUP(Aragon!E4719,'Kilter Holds'!$P$37:$AB$662,6,0),0)</f>
        <v>#NAME?</v>
      </c>
      <c r="I4719" s="274"/>
      <c r="J4719" s="274" t="e">
        <f t="shared" ca="1" si="77"/>
        <v>#NAME?</v>
      </c>
      <c r="K4719" s="274">
        <f t="shared" si="78"/>
        <v>0</v>
      </c>
      <c r="N4719" s="274"/>
    </row>
    <row r="4720" spans="5:14" ht="13.5" customHeight="1">
      <c r="E4720" s="209" t="s">
        <v>1211</v>
      </c>
      <c r="F4720" s="209" t="s">
        <v>2908</v>
      </c>
      <c r="G4720" s="409" t="str">
        <f t="shared" si="79"/>
        <v>15-12</v>
      </c>
      <c r="H4720" s="273" t="e">
        <f ca="1">_xludf.IFNA(VLOOKUP(Aragon!E4720,'Kilter Holds'!$P$37:$AB$662,7,0),0)</f>
        <v>#NAME?</v>
      </c>
      <c r="I4720" s="274"/>
      <c r="J4720" s="274" t="e">
        <f t="shared" ca="1" si="77"/>
        <v>#NAME?</v>
      </c>
      <c r="K4720" s="274">
        <f t="shared" si="78"/>
        <v>0</v>
      </c>
      <c r="N4720" s="274"/>
    </row>
    <row r="4721" spans="5:14" ht="13.5" customHeight="1">
      <c r="E4721" s="209" t="s">
        <v>1211</v>
      </c>
      <c r="F4721" s="209" t="s">
        <v>2908</v>
      </c>
      <c r="G4721" s="410" t="str">
        <f t="shared" si="79"/>
        <v>16-16</v>
      </c>
      <c r="H4721" s="273" t="e">
        <f ca="1">_xludf.IFNA(VLOOKUP(Aragon!E4721,'Kilter Holds'!$P$37:$AB$662,8,0),0)</f>
        <v>#NAME?</v>
      </c>
      <c r="I4721" s="274"/>
      <c r="J4721" s="274" t="e">
        <f t="shared" ca="1" si="77"/>
        <v>#NAME?</v>
      </c>
      <c r="K4721" s="274">
        <f t="shared" si="78"/>
        <v>0</v>
      </c>
      <c r="N4721" s="274"/>
    </row>
    <row r="4722" spans="5:14" ht="13.5" customHeight="1">
      <c r="E4722" s="209" t="s">
        <v>1211</v>
      </c>
      <c r="F4722" s="209" t="s">
        <v>2908</v>
      </c>
      <c r="G4722" s="411" t="str">
        <f t="shared" si="79"/>
        <v>13-01</v>
      </c>
      <c r="H4722" s="273" t="e">
        <f ca="1">_xludf.IFNA(VLOOKUP(Aragon!E4722,'Kilter Holds'!$P$37:$AB$662,9,0),0)</f>
        <v>#NAME?</v>
      </c>
      <c r="I4722" s="274"/>
      <c r="J4722" s="274" t="e">
        <f t="shared" ca="1" si="77"/>
        <v>#NAME?</v>
      </c>
      <c r="K4722" s="274">
        <f t="shared" si="78"/>
        <v>0</v>
      </c>
      <c r="N4722" s="274"/>
    </row>
    <row r="4723" spans="5:14" ht="13.5" customHeight="1">
      <c r="E4723" s="209" t="s">
        <v>1211</v>
      </c>
      <c r="F4723" s="209" t="s">
        <v>2908</v>
      </c>
      <c r="G4723" s="413" t="str">
        <f t="shared" si="79"/>
        <v>07-13</v>
      </c>
      <c r="H4723" s="273" t="e">
        <f ca="1">_xludf.IFNA(VLOOKUP(Aragon!E4723,'Kilter Holds'!$P$37:$AB$662,10,0),0)</f>
        <v>#NAME?</v>
      </c>
      <c r="I4723" s="274"/>
      <c r="J4723" s="274" t="e">
        <f t="shared" ca="1" si="77"/>
        <v>#NAME?</v>
      </c>
      <c r="K4723" s="274">
        <f t="shared" si="78"/>
        <v>0</v>
      </c>
      <c r="N4723" s="274"/>
    </row>
    <row r="4724" spans="5:14" ht="13.5" customHeight="1">
      <c r="E4724" s="209" t="s">
        <v>1211</v>
      </c>
      <c r="F4724" s="209" t="s">
        <v>2908</v>
      </c>
      <c r="G4724" s="414" t="str">
        <f t="shared" si="79"/>
        <v>11-26</v>
      </c>
      <c r="H4724" s="273" t="e">
        <f ca="1">_xludf.IFNA(VLOOKUP(Aragon!E4724,'Kilter Holds'!$P$37:$AB$662,11,0),0)</f>
        <v>#NAME?</v>
      </c>
      <c r="I4724" s="274"/>
      <c r="J4724" s="274" t="e">
        <f t="shared" ca="1" si="77"/>
        <v>#NAME?</v>
      </c>
      <c r="K4724" s="274">
        <f t="shared" si="78"/>
        <v>0</v>
      </c>
      <c r="N4724" s="274"/>
    </row>
    <row r="4725" spans="5:14" ht="13.5" customHeight="1">
      <c r="E4725" s="209" t="s">
        <v>1211</v>
      </c>
      <c r="F4725" s="209" t="s">
        <v>2908</v>
      </c>
      <c r="G4725" s="415" t="str">
        <f t="shared" si="79"/>
        <v>18-01</v>
      </c>
      <c r="H4725" s="273" t="e">
        <f ca="1">_xludf.IFNA(VLOOKUP(Aragon!E4725,'Kilter Holds'!$P$37:$AB$662,12,0),0)</f>
        <v>#NAME?</v>
      </c>
      <c r="I4725" s="274"/>
      <c r="J4725" s="274" t="e">
        <f t="shared" ca="1" si="77"/>
        <v>#NAME?</v>
      </c>
      <c r="K4725" s="274">
        <f t="shared" si="78"/>
        <v>0</v>
      </c>
      <c r="N4725" s="274"/>
    </row>
    <row r="4726" spans="5:14" ht="13.5" customHeight="1">
      <c r="E4726" s="209" t="s">
        <v>1211</v>
      </c>
      <c r="F4726" s="209" t="s">
        <v>2908</v>
      </c>
      <c r="G4726" s="416" t="str">
        <f t="shared" si="79"/>
        <v>Color Code</v>
      </c>
      <c r="H4726" s="273" t="e">
        <f ca="1">_xludf.IFNA(VLOOKUP(Aragon!E4726,'Kilter Holds'!$P$37:$AB$662,13,0),0)</f>
        <v>#NAME?</v>
      </c>
      <c r="I4726" s="274"/>
      <c r="J4726" s="274" t="e">
        <f t="shared" ca="1" si="77"/>
        <v>#NAME?</v>
      </c>
      <c r="K4726" s="274">
        <f t="shared" si="78"/>
        <v>0</v>
      </c>
      <c r="N4726" s="274"/>
    </row>
    <row r="4727" spans="5:14" ht="13.5" customHeight="1">
      <c r="E4727" s="1" t="s">
        <v>681</v>
      </c>
      <c r="F4727" s="1" t="s">
        <v>2909</v>
      </c>
      <c r="G4727" s="406" t="str">
        <f t="shared" si="79"/>
        <v>11-12</v>
      </c>
      <c r="H4727" s="273" t="e">
        <f ca="1">_xludf.IFNA(VLOOKUP(Aragon!E4727,'Kilter Holds'!$P$37:$AB$662,5,0),0)</f>
        <v>#NAME?</v>
      </c>
      <c r="I4727" s="274"/>
      <c r="J4727" s="274" t="e">
        <f t="shared" ca="1" si="77"/>
        <v>#NAME?</v>
      </c>
      <c r="K4727" s="274">
        <f t="shared" si="78"/>
        <v>0</v>
      </c>
      <c r="N4727" s="274"/>
    </row>
    <row r="4728" spans="5:14" ht="13.5" customHeight="1">
      <c r="E4728" s="1" t="s">
        <v>681</v>
      </c>
      <c r="F4728" s="1" t="s">
        <v>2909</v>
      </c>
      <c r="G4728" s="408" t="str">
        <f t="shared" si="79"/>
        <v>14-01</v>
      </c>
      <c r="H4728" s="273" t="e">
        <f ca="1">_xludf.IFNA(VLOOKUP(Aragon!E4728,'Kilter Holds'!$P$37:$AB$662,6,0),0)</f>
        <v>#NAME?</v>
      </c>
      <c r="I4728" s="274"/>
      <c r="J4728" s="274" t="e">
        <f t="shared" ca="1" si="77"/>
        <v>#NAME?</v>
      </c>
      <c r="K4728" s="274">
        <f t="shared" si="78"/>
        <v>0</v>
      </c>
      <c r="N4728" s="274"/>
    </row>
    <row r="4729" spans="5:14" ht="13.5" customHeight="1">
      <c r="E4729" s="1" t="s">
        <v>681</v>
      </c>
      <c r="F4729" s="1" t="s">
        <v>2909</v>
      </c>
      <c r="G4729" s="409" t="str">
        <f t="shared" si="79"/>
        <v>15-12</v>
      </c>
      <c r="H4729" s="273" t="e">
        <f ca="1">_xludf.IFNA(VLOOKUP(Aragon!E4729,'Kilter Holds'!$P$37:$AB$662,7,0),0)</f>
        <v>#NAME?</v>
      </c>
      <c r="I4729" s="274"/>
      <c r="J4729" s="274" t="e">
        <f t="shared" ca="1" si="77"/>
        <v>#NAME?</v>
      </c>
      <c r="K4729" s="274">
        <f t="shared" si="78"/>
        <v>0</v>
      </c>
      <c r="N4729" s="274"/>
    </row>
    <row r="4730" spans="5:14" ht="13.5" customHeight="1">
      <c r="E4730" s="1" t="s">
        <v>681</v>
      </c>
      <c r="F4730" s="1" t="s">
        <v>2909</v>
      </c>
      <c r="G4730" s="410" t="str">
        <f t="shared" si="79"/>
        <v>16-16</v>
      </c>
      <c r="H4730" s="273" t="e">
        <f ca="1">_xludf.IFNA(VLOOKUP(Aragon!E4730,'Kilter Holds'!$P$37:$AB$662,8,0),0)</f>
        <v>#NAME?</v>
      </c>
      <c r="I4730" s="274"/>
      <c r="J4730" s="274" t="e">
        <f t="shared" ca="1" si="77"/>
        <v>#NAME?</v>
      </c>
      <c r="K4730" s="274">
        <f t="shared" si="78"/>
        <v>0</v>
      </c>
      <c r="N4730" s="274"/>
    </row>
    <row r="4731" spans="5:14" ht="13.5" customHeight="1">
      <c r="E4731" s="1" t="s">
        <v>681</v>
      </c>
      <c r="F4731" s="1" t="s">
        <v>2909</v>
      </c>
      <c r="G4731" s="411" t="str">
        <f t="shared" si="79"/>
        <v>13-01</v>
      </c>
      <c r="H4731" s="273" t="e">
        <f ca="1">_xludf.IFNA(VLOOKUP(Aragon!E4731,'Kilter Holds'!$P$37:$AB$662,9,0),0)</f>
        <v>#NAME?</v>
      </c>
      <c r="I4731" s="274"/>
      <c r="J4731" s="274" t="e">
        <f t="shared" ca="1" si="77"/>
        <v>#NAME?</v>
      </c>
      <c r="K4731" s="274">
        <f t="shared" si="78"/>
        <v>0</v>
      </c>
      <c r="N4731" s="274"/>
    </row>
    <row r="4732" spans="5:14" ht="13.5" customHeight="1">
      <c r="E4732" s="1" t="s">
        <v>681</v>
      </c>
      <c r="F4732" s="1" t="s">
        <v>2909</v>
      </c>
      <c r="G4732" s="413" t="str">
        <f t="shared" si="79"/>
        <v>07-13</v>
      </c>
      <c r="H4732" s="273" t="e">
        <f ca="1">_xludf.IFNA(VLOOKUP(Aragon!E4732,'Kilter Holds'!$P$37:$AB$662,10,0),0)</f>
        <v>#NAME?</v>
      </c>
      <c r="I4732" s="274"/>
      <c r="J4732" s="274" t="e">
        <f t="shared" ca="1" si="77"/>
        <v>#NAME?</v>
      </c>
      <c r="K4732" s="274">
        <f t="shared" si="78"/>
        <v>0</v>
      </c>
      <c r="N4732" s="274"/>
    </row>
    <row r="4733" spans="5:14" ht="13.5" customHeight="1">
      <c r="E4733" s="1" t="s">
        <v>681</v>
      </c>
      <c r="F4733" s="1" t="s">
        <v>2909</v>
      </c>
      <c r="G4733" s="414" t="str">
        <f t="shared" si="79"/>
        <v>11-26</v>
      </c>
      <c r="H4733" s="273" t="e">
        <f ca="1">_xludf.IFNA(VLOOKUP(Aragon!E4733,'Kilter Holds'!$P$37:$AB$662,11,0),0)</f>
        <v>#NAME?</v>
      </c>
      <c r="I4733" s="274"/>
      <c r="J4733" s="274" t="e">
        <f t="shared" ca="1" si="77"/>
        <v>#NAME?</v>
      </c>
      <c r="K4733" s="274">
        <f t="shared" si="78"/>
        <v>0</v>
      </c>
      <c r="N4733" s="274"/>
    </row>
    <row r="4734" spans="5:14" ht="13.5" customHeight="1">
      <c r="E4734" s="1" t="s">
        <v>681</v>
      </c>
      <c r="F4734" s="1" t="s">
        <v>2909</v>
      </c>
      <c r="G4734" s="415" t="str">
        <f t="shared" si="79"/>
        <v>18-01</v>
      </c>
      <c r="H4734" s="273" t="e">
        <f ca="1">_xludf.IFNA(VLOOKUP(Aragon!E4734,'Kilter Holds'!$P$37:$AB$662,12,0),0)</f>
        <v>#NAME?</v>
      </c>
      <c r="I4734" s="274"/>
      <c r="J4734" s="274" t="e">
        <f t="shared" ca="1" si="77"/>
        <v>#NAME?</v>
      </c>
      <c r="K4734" s="274">
        <f t="shared" si="78"/>
        <v>0</v>
      </c>
      <c r="N4734" s="274"/>
    </row>
    <row r="4735" spans="5:14" ht="13.5" customHeight="1">
      <c r="E4735" s="1" t="s">
        <v>681</v>
      </c>
      <c r="F4735" s="1" t="s">
        <v>2909</v>
      </c>
      <c r="G4735" s="416" t="str">
        <f t="shared" si="79"/>
        <v>Color Code</v>
      </c>
      <c r="H4735" s="273" t="e">
        <f ca="1">_xludf.IFNA(VLOOKUP(Aragon!E4735,'Kilter Holds'!$P$37:$AB$662,13,0),0)</f>
        <v>#NAME?</v>
      </c>
      <c r="I4735" s="274"/>
      <c r="J4735" s="274" t="e">
        <f t="shared" ca="1" si="77"/>
        <v>#NAME?</v>
      </c>
      <c r="K4735" s="274">
        <f t="shared" si="78"/>
        <v>0</v>
      </c>
      <c r="N4735" s="274"/>
    </row>
    <row r="4736" spans="5:14" ht="13.5" customHeight="1">
      <c r="E4736" s="1" t="s">
        <v>1215</v>
      </c>
      <c r="F4736" s="1" t="s">
        <v>2910</v>
      </c>
      <c r="G4736" s="406" t="str">
        <f t="shared" ref="G4736:G4780" si="80">G4718</f>
        <v>11-12</v>
      </c>
      <c r="H4736" s="273" t="e">
        <f ca="1">_xludf.IFNA(VLOOKUP(Aragon!E4736,'Kilter Holds'!$P$37:$AB$662,5,0),0)</f>
        <v>#NAME?</v>
      </c>
      <c r="I4736" s="274"/>
      <c r="J4736" s="274" t="e">
        <f t="shared" ca="1" si="77"/>
        <v>#NAME?</v>
      </c>
      <c r="K4736" s="274">
        <f t="shared" si="78"/>
        <v>0</v>
      </c>
      <c r="N4736" s="274"/>
    </row>
    <row r="4737" spans="5:14" ht="13.5" customHeight="1">
      <c r="E4737" s="1" t="s">
        <v>1215</v>
      </c>
      <c r="F4737" s="1" t="s">
        <v>2910</v>
      </c>
      <c r="G4737" s="408" t="str">
        <f t="shared" si="80"/>
        <v>14-01</v>
      </c>
      <c r="H4737" s="273" t="e">
        <f ca="1">_xludf.IFNA(VLOOKUP(Aragon!E4737,'Kilter Holds'!$P$37:$AB$662,6,0),0)</f>
        <v>#NAME?</v>
      </c>
      <c r="I4737" s="274"/>
      <c r="J4737" s="274" t="e">
        <f t="shared" ca="1" si="77"/>
        <v>#NAME?</v>
      </c>
      <c r="K4737" s="274">
        <f t="shared" si="78"/>
        <v>0</v>
      </c>
      <c r="N4737" s="274"/>
    </row>
    <row r="4738" spans="5:14" ht="13.5" customHeight="1">
      <c r="E4738" s="1" t="s">
        <v>1215</v>
      </c>
      <c r="F4738" s="1" t="s">
        <v>2910</v>
      </c>
      <c r="G4738" s="409" t="str">
        <f t="shared" si="80"/>
        <v>15-12</v>
      </c>
      <c r="H4738" s="273" t="e">
        <f ca="1">_xludf.IFNA(VLOOKUP(Aragon!E4738,'Kilter Holds'!$P$37:$AB$662,7,0),0)</f>
        <v>#NAME?</v>
      </c>
      <c r="I4738" s="274"/>
      <c r="J4738" s="274" t="e">
        <f t="shared" ca="1" si="77"/>
        <v>#NAME?</v>
      </c>
      <c r="K4738" s="274">
        <f t="shared" si="78"/>
        <v>0</v>
      </c>
      <c r="N4738" s="274"/>
    </row>
    <row r="4739" spans="5:14" ht="13.5" customHeight="1">
      <c r="E4739" s="1" t="s">
        <v>1215</v>
      </c>
      <c r="F4739" s="1" t="s">
        <v>2910</v>
      </c>
      <c r="G4739" s="410" t="str">
        <f t="shared" si="80"/>
        <v>16-16</v>
      </c>
      <c r="H4739" s="273" t="e">
        <f ca="1">_xludf.IFNA(VLOOKUP(Aragon!E4739,'Kilter Holds'!$P$37:$AB$662,8,0),0)</f>
        <v>#NAME?</v>
      </c>
      <c r="I4739" s="274"/>
      <c r="J4739" s="274" t="e">
        <f t="shared" ca="1" si="77"/>
        <v>#NAME?</v>
      </c>
      <c r="K4739" s="274">
        <f t="shared" si="78"/>
        <v>0</v>
      </c>
      <c r="N4739" s="274"/>
    </row>
    <row r="4740" spans="5:14" ht="13.5" customHeight="1">
      <c r="E4740" s="1" t="s">
        <v>1215</v>
      </c>
      <c r="F4740" s="1" t="s">
        <v>2910</v>
      </c>
      <c r="G4740" s="411" t="str">
        <f t="shared" si="80"/>
        <v>13-01</v>
      </c>
      <c r="H4740" s="273" t="e">
        <f ca="1">_xludf.IFNA(VLOOKUP(Aragon!E4740,'Kilter Holds'!$P$37:$AB$662,9,0),0)</f>
        <v>#NAME?</v>
      </c>
      <c r="I4740" s="274"/>
      <c r="J4740" s="274" t="e">
        <f t="shared" ca="1" si="77"/>
        <v>#NAME?</v>
      </c>
      <c r="K4740" s="274">
        <f t="shared" si="78"/>
        <v>0</v>
      </c>
      <c r="N4740" s="274"/>
    </row>
    <row r="4741" spans="5:14" ht="13.5" customHeight="1">
      <c r="E4741" s="1" t="s">
        <v>1215</v>
      </c>
      <c r="F4741" s="1" t="s">
        <v>2910</v>
      </c>
      <c r="G4741" s="413" t="str">
        <f t="shared" si="80"/>
        <v>07-13</v>
      </c>
      <c r="H4741" s="273" t="e">
        <f ca="1">_xludf.IFNA(VLOOKUP(Aragon!E4741,'Kilter Holds'!$P$37:$AB$662,10,0),0)</f>
        <v>#NAME?</v>
      </c>
      <c r="I4741" s="274"/>
      <c r="J4741" s="274" t="e">
        <f t="shared" ca="1" si="77"/>
        <v>#NAME?</v>
      </c>
      <c r="K4741" s="274">
        <f t="shared" si="78"/>
        <v>0</v>
      </c>
      <c r="N4741" s="274"/>
    </row>
    <row r="4742" spans="5:14" ht="13.5" customHeight="1">
      <c r="E4742" s="1" t="s">
        <v>1215</v>
      </c>
      <c r="F4742" s="1" t="s">
        <v>2910</v>
      </c>
      <c r="G4742" s="414" t="str">
        <f t="shared" si="80"/>
        <v>11-26</v>
      </c>
      <c r="H4742" s="273" t="e">
        <f ca="1">_xludf.IFNA(VLOOKUP(Aragon!E4742,'Kilter Holds'!$P$37:$AB$662,11,0),0)</f>
        <v>#NAME?</v>
      </c>
      <c r="I4742" s="274"/>
      <c r="J4742" s="274" t="e">
        <f t="shared" ca="1" si="77"/>
        <v>#NAME?</v>
      </c>
      <c r="K4742" s="274">
        <f t="shared" si="78"/>
        <v>0</v>
      </c>
      <c r="N4742" s="274"/>
    </row>
    <row r="4743" spans="5:14" ht="13.5" customHeight="1">
      <c r="E4743" s="1" t="s">
        <v>1215</v>
      </c>
      <c r="F4743" s="1" t="s">
        <v>2910</v>
      </c>
      <c r="G4743" s="415" t="str">
        <f t="shared" si="80"/>
        <v>18-01</v>
      </c>
      <c r="H4743" s="273" t="e">
        <f ca="1">_xludf.IFNA(VLOOKUP(Aragon!E4743,'Kilter Holds'!$P$37:$AB$662,12,0),0)</f>
        <v>#NAME?</v>
      </c>
      <c r="I4743" s="274"/>
      <c r="J4743" s="274" t="e">
        <f t="shared" ca="1" si="77"/>
        <v>#NAME?</v>
      </c>
      <c r="K4743" s="274">
        <f t="shared" si="78"/>
        <v>0</v>
      </c>
      <c r="N4743" s="274"/>
    </row>
    <row r="4744" spans="5:14" ht="13.5" customHeight="1">
      <c r="E4744" s="1" t="s">
        <v>1215</v>
      </c>
      <c r="F4744" s="1" t="s">
        <v>2910</v>
      </c>
      <c r="G4744" s="416" t="str">
        <f t="shared" si="80"/>
        <v>Color Code</v>
      </c>
      <c r="H4744" s="273" t="e">
        <f ca="1">_xludf.IFNA(VLOOKUP(Aragon!E4744,'Kilter Holds'!$P$37:$AB$662,13,0),0)</f>
        <v>#NAME?</v>
      </c>
      <c r="I4744" s="274"/>
      <c r="J4744" s="274" t="e">
        <f t="shared" ca="1" si="77"/>
        <v>#NAME?</v>
      </c>
      <c r="K4744" s="274">
        <f t="shared" si="78"/>
        <v>0</v>
      </c>
      <c r="N4744" s="274"/>
    </row>
    <row r="4745" spans="5:14" ht="13.5" customHeight="1">
      <c r="E4745" s="1" t="s">
        <v>683</v>
      </c>
      <c r="F4745" s="1" t="s">
        <v>2911</v>
      </c>
      <c r="G4745" s="406" t="str">
        <f t="shared" si="80"/>
        <v>11-12</v>
      </c>
      <c r="H4745" s="273" t="e">
        <f ca="1">_xludf.IFNA(VLOOKUP(Aragon!E4745,'Kilter Holds'!$P$37:$AB$662,5,0),0)</f>
        <v>#NAME?</v>
      </c>
      <c r="I4745" s="274"/>
      <c r="J4745" s="274" t="e">
        <f t="shared" ca="1" si="77"/>
        <v>#NAME?</v>
      </c>
      <c r="K4745" s="274">
        <f t="shared" si="78"/>
        <v>0</v>
      </c>
      <c r="N4745" s="274"/>
    </row>
    <row r="4746" spans="5:14" ht="13.5" customHeight="1">
      <c r="E4746" s="1" t="s">
        <v>683</v>
      </c>
      <c r="F4746" s="1" t="s">
        <v>2911</v>
      </c>
      <c r="G4746" s="408" t="str">
        <f t="shared" si="80"/>
        <v>14-01</v>
      </c>
      <c r="H4746" s="273" t="e">
        <f ca="1">_xludf.IFNA(VLOOKUP(Aragon!E4746,'Kilter Holds'!$P$37:$AB$662,6,0),0)</f>
        <v>#NAME?</v>
      </c>
      <c r="I4746" s="274"/>
      <c r="J4746" s="274" t="e">
        <f t="shared" ca="1" si="77"/>
        <v>#NAME?</v>
      </c>
      <c r="K4746" s="274">
        <f t="shared" si="78"/>
        <v>0</v>
      </c>
      <c r="N4746" s="274"/>
    </row>
    <row r="4747" spans="5:14" ht="13.5" customHeight="1">
      <c r="E4747" s="1" t="s">
        <v>683</v>
      </c>
      <c r="F4747" s="1" t="s">
        <v>2911</v>
      </c>
      <c r="G4747" s="409" t="str">
        <f t="shared" si="80"/>
        <v>15-12</v>
      </c>
      <c r="H4747" s="273" t="e">
        <f ca="1">_xludf.IFNA(VLOOKUP(Aragon!E4747,'Kilter Holds'!$P$37:$AB$662,7,0),0)</f>
        <v>#NAME?</v>
      </c>
      <c r="I4747" s="274"/>
      <c r="J4747" s="274" t="e">
        <f t="shared" ca="1" si="77"/>
        <v>#NAME?</v>
      </c>
      <c r="K4747" s="274">
        <f t="shared" si="78"/>
        <v>0</v>
      </c>
      <c r="N4747" s="274"/>
    </row>
    <row r="4748" spans="5:14" ht="13.5" customHeight="1">
      <c r="E4748" s="1" t="s">
        <v>683</v>
      </c>
      <c r="F4748" s="1" t="s">
        <v>2911</v>
      </c>
      <c r="G4748" s="410" t="str">
        <f t="shared" si="80"/>
        <v>16-16</v>
      </c>
      <c r="H4748" s="273" t="e">
        <f ca="1">_xludf.IFNA(VLOOKUP(Aragon!E4748,'Kilter Holds'!$P$37:$AB$662,8,0),0)</f>
        <v>#NAME?</v>
      </c>
      <c r="I4748" s="274"/>
      <c r="J4748" s="274" t="e">
        <f t="shared" ca="1" si="77"/>
        <v>#NAME?</v>
      </c>
      <c r="K4748" s="274">
        <f t="shared" si="78"/>
        <v>0</v>
      </c>
      <c r="N4748" s="274"/>
    </row>
    <row r="4749" spans="5:14" ht="13.5" customHeight="1">
      <c r="E4749" s="1" t="s">
        <v>683</v>
      </c>
      <c r="F4749" s="1" t="s">
        <v>2911</v>
      </c>
      <c r="G4749" s="411" t="str">
        <f t="shared" si="80"/>
        <v>13-01</v>
      </c>
      <c r="H4749" s="273" t="e">
        <f ca="1">_xludf.IFNA(VLOOKUP(Aragon!E4749,'Kilter Holds'!$P$37:$AB$662,9,0),0)</f>
        <v>#NAME?</v>
      </c>
      <c r="I4749" s="274"/>
      <c r="J4749" s="274" t="e">
        <f t="shared" ca="1" si="77"/>
        <v>#NAME?</v>
      </c>
      <c r="K4749" s="274">
        <f t="shared" si="78"/>
        <v>0</v>
      </c>
      <c r="N4749" s="274"/>
    </row>
    <row r="4750" spans="5:14" ht="13.5" customHeight="1">
      <c r="E4750" s="1" t="s">
        <v>683</v>
      </c>
      <c r="F4750" s="1" t="s">
        <v>2911</v>
      </c>
      <c r="G4750" s="413" t="str">
        <f t="shared" si="80"/>
        <v>07-13</v>
      </c>
      <c r="H4750" s="273" t="e">
        <f ca="1">_xludf.IFNA(VLOOKUP(Aragon!E4750,'Kilter Holds'!$P$37:$AB$662,10,0),0)</f>
        <v>#NAME?</v>
      </c>
      <c r="I4750" s="274"/>
      <c r="J4750" s="274" t="e">
        <f t="shared" ca="1" si="77"/>
        <v>#NAME?</v>
      </c>
      <c r="K4750" s="274">
        <f t="shared" si="78"/>
        <v>0</v>
      </c>
      <c r="N4750" s="274"/>
    </row>
    <row r="4751" spans="5:14" ht="13.5" customHeight="1">
      <c r="E4751" s="1" t="s">
        <v>683</v>
      </c>
      <c r="F4751" s="1" t="s">
        <v>2911</v>
      </c>
      <c r="G4751" s="414" t="str">
        <f t="shared" si="80"/>
        <v>11-26</v>
      </c>
      <c r="H4751" s="273" t="e">
        <f ca="1">_xludf.IFNA(VLOOKUP(Aragon!E4751,'Kilter Holds'!$P$37:$AB$662,11,0),0)</f>
        <v>#NAME?</v>
      </c>
      <c r="I4751" s="274"/>
      <c r="J4751" s="274" t="e">
        <f t="shared" ca="1" si="77"/>
        <v>#NAME?</v>
      </c>
      <c r="K4751" s="274">
        <f t="shared" si="78"/>
        <v>0</v>
      </c>
      <c r="N4751" s="274"/>
    </row>
    <row r="4752" spans="5:14" ht="13.5" customHeight="1">
      <c r="E4752" s="1" t="s">
        <v>683</v>
      </c>
      <c r="F4752" s="1" t="s">
        <v>2911</v>
      </c>
      <c r="G4752" s="415" t="str">
        <f t="shared" si="80"/>
        <v>18-01</v>
      </c>
      <c r="H4752" s="273" t="e">
        <f ca="1">_xludf.IFNA(VLOOKUP(Aragon!E4752,'Kilter Holds'!$P$37:$AB$662,12,0),0)</f>
        <v>#NAME?</v>
      </c>
      <c r="I4752" s="274"/>
      <c r="J4752" s="274" t="e">
        <f t="shared" ca="1" si="77"/>
        <v>#NAME?</v>
      </c>
      <c r="K4752" s="274">
        <f t="shared" si="78"/>
        <v>0</v>
      </c>
      <c r="N4752" s="274"/>
    </row>
    <row r="4753" spans="5:14" ht="13.5" customHeight="1">
      <c r="E4753" s="1" t="s">
        <v>683</v>
      </c>
      <c r="F4753" s="1" t="s">
        <v>2911</v>
      </c>
      <c r="G4753" s="416" t="str">
        <f t="shared" si="80"/>
        <v>Color Code</v>
      </c>
      <c r="H4753" s="273" t="e">
        <f ca="1">_xludf.IFNA(VLOOKUP(Aragon!E4753,'Kilter Holds'!$P$37:$AB$662,13,0),0)</f>
        <v>#NAME?</v>
      </c>
      <c r="I4753" s="274"/>
      <c r="J4753" s="274" t="e">
        <f t="shared" ca="1" si="77"/>
        <v>#NAME?</v>
      </c>
      <c r="K4753" s="274">
        <f t="shared" si="78"/>
        <v>0</v>
      </c>
      <c r="N4753" s="274"/>
    </row>
    <row r="4754" spans="5:14" ht="13.5" customHeight="1">
      <c r="E4754" s="1" t="s">
        <v>685</v>
      </c>
      <c r="F4754" s="1" t="s">
        <v>2912</v>
      </c>
      <c r="G4754" s="406" t="str">
        <f t="shared" si="80"/>
        <v>11-12</v>
      </c>
      <c r="H4754" s="273" t="e">
        <f ca="1">_xludf.IFNA(VLOOKUP(Aragon!E4754,'Kilter Holds'!$P$37:$AB$662,5,0),0)</f>
        <v>#NAME?</v>
      </c>
      <c r="I4754" s="274"/>
      <c r="J4754" s="274" t="e">
        <f t="shared" ca="1" si="77"/>
        <v>#NAME?</v>
      </c>
      <c r="K4754" s="274">
        <f t="shared" si="78"/>
        <v>0</v>
      </c>
      <c r="N4754" s="274"/>
    </row>
    <row r="4755" spans="5:14" ht="13.5" customHeight="1">
      <c r="E4755" s="1" t="s">
        <v>685</v>
      </c>
      <c r="F4755" s="1" t="s">
        <v>2912</v>
      </c>
      <c r="G4755" s="408" t="str">
        <f t="shared" si="80"/>
        <v>14-01</v>
      </c>
      <c r="H4755" s="273" t="e">
        <f ca="1">_xludf.IFNA(VLOOKUP(Aragon!E4755,'Kilter Holds'!$P$37:$AB$662,6,0),0)</f>
        <v>#NAME?</v>
      </c>
      <c r="I4755" s="274"/>
      <c r="J4755" s="274" t="e">
        <f t="shared" ca="1" si="77"/>
        <v>#NAME?</v>
      </c>
      <c r="K4755" s="274">
        <f t="shared" si="78"/>
        <v>0</v>
      </c>
      <c r="N4755" s="274"/>
    </row>
    <row r="4756" spans="5:14" ht="13.5" customHeight="1">
      <c r="E4756" s="1" t="s">
        <v>685</v>
      </c>
      <c r="F4756" s="1" t="s">
        <v>2912</v>
      </c>
      <c r="G4756" s="409" t="str">
        <f t="shared" si="80"/>
        <v>15-12</v>
      </c>
      <c r="H4756" s="273" t="e">
        <f ca="1">_xludf.IFNA(VLOOKUP(Aragon!E4756,'Kilter Holds'!$P$37:$AB$662,7,0),0)</f>
        <v>#NAME?</v>
      </c>
      <c r="I4756" s="274"/>
      <c r="J4756" s="274" t="e">
        <f t="shared" ca="1" si="77"/>
        <v>#NAME?</v>
      </c>
      <c r="K4756" s="274">
        <f t="shared" si="78"/>
        <v>0</v>
      </c>
      <c r="N4756" s="274"/>
    </row>
    <row r="4757" spans="5:14" ht="13.5" customHeight="1">
      <c r="E4757" s="1" t="s">
        <v>685</v>
      </c>
      <c r="F4757" s="1" t="s">
        <v>2912</v>
      </c>
      <c r="G4757" s="410" t="str">
        <f t="shared" si="80"/>
        <v>16-16</v>
      </c>
      <c r="H4757" s="273" t="e">
        <f ca="1">_xludf.IFNA(VLOOKUP(Aragon!E4757,'Kilter Holds'!$P$37:$AB$662,8,0),0)</f>
        <v>#NAME?</v>
      </c>
      <c r="I4757" s="274"/>
      <c r="J4757" s="274" t="e">
        <f t="shared" ca="1" si="77"/>
        <v>#NAME?</v>
      </c>
      <c r="K4757" s="274">
        <f t="shared" si="78"/>
        <v>0</v>
      </c>
      <c r="N4757" s="274"/>
    </row>
    <row r="4758" spans="5:14" ht="13.5" customHeight="1">
      <c r="E4758" s="1" t="s">
        <v>685</v>
      </c>
      <c r="F4758" s="1" t="s">
        <v>2912</v>
      </c>
      <c r="G4758" s="411" t="str">
        <f t="shared" si="80"/>
        <v>13-01</v>
      </c>
      <c r="H4758" s="273" t="e">
        <f ca="1">_xludf.IFNA(VLOOKUP(Aragon!E4758,'Kilter Holds'!$P$37:$AB$662,9,0),0)</f>
        <v>#NAME?</v>
      </c>
      <c r="I4758" s="274"/>
      <c r="J4758" s="274" t="e">
        <f t="shared" ca="1" si="77"/>
        <v>#NAME?</v>
      </c>
      <c r="K4758" s="274">
        <f t="shared" si="78"/>
        <v>0</v>
      </c>
      <c r="N4758" s="274"/>
    </row>
    <row r="4759" spans="5:14" ht="13.5" customHeight="1">
      <c r="E4759" s="1" t="s">
        <v>685</v>
      </c>
      <c r="F4759" s="1" t="s">
        <v>2912</v>
      </c>
      <c r="G4759" s="413" t="str">
        <f t="shared" si="80"/>
        <v>07-13</v>
      </c>
      <c r="H4759" s="273" t="e">
        <f ca="1">_xludf.IFNA(VLOOKUP(Aragon!E4759,'Kilter Holds'!$P$37:$AB$662,10,0),0)</f>
        <v>#NAME?</v>
      </c>
      <c r="I4759" s="274"/>
      <c r="J4759" s="274" t="e">
        <f t="shared" ca="1" si="77"/>
        <v>#NAME?</v>
      </c>
      <c r="K4759" s="274">
        <f t="shared" si="78"/>
        <v>0</v>
      </c>
      <c r="N4759" s="274"/>
    </row>
    <row r="4760" spans="5:14" ht="13.5" customHeight="1">
      <c r="E4760" s="1" t="s">
        <v>685</v>
      </c>
      <c r="F4760" s="1" t="s">
        <v>2912</v>
      </c>
      <c r="G4760" s="414" t="str">
        <f t="shared" si="80"/>
        <v>11-26</v>
      </c>
      <c r="H4760" s="273" t="e">
        <f ca="1">_xludf.IFNA(VLOOKUP(Aragon!E4760,'Kilter Holds'!$P$37:$AB$662,11,0),0)</f>
        <v>#NAME?</v>
      </c>
      <c r="I4760" s="274"/>
      <c r="J4760" s="274" t="e">
        <f t="shared" ca="1" si="77"/>
        <v>#NAME?</v>
      </c>
      <c r="K4760" s="274">
        <f t="shared" si="78"/>
        <v>0</v>
      </c>
      <c r="N4760" s="274"/>
    </row>
    <row r="4761" spans="5:14" ht="13.5" customHeight="1">
      <c r="E4761" s="1" t="s">
        <v>685</v>
      </c>
      <c r="F4761" s="1" t="s">
        <v>2912</v>
      </c>
      <c r="G4761" s="415" t="str">
        <f t="shared" si="80"/>
        <v>18-01</v>
      </c>
      <c r="H4761" s="273" t="e">
        <f ca="1">_xludf.IFNA(VLOOKUP(Aragon!E4761,'Kilter Holds'!$P$37:$AB$662,12,0),0)</f>
        <v>#NAME?</v>
      </c>
      <c r="I4761" s="274"/>
      <c r="J4761" s="274" t="e">
        <f t="shared" ca="1" si="77"/>
        <v>#NAME?</v>
      </c>
      <c r="K4761" s="274">
        <f t="shared" si="78"/>
        <v>0</v>
      </c>
      <c r="N4761" s="274"/>
    </row>
    <row r="4762" spans="5:14" ht="13.5" customHeight="1">
      <c r="E4762" s="1" t="s">
        <v>685</v>
      </c>
      <c r="F4762" s="1" t="s">
        <v>2912</v>
      </c>
      <c r="G4762" s="416" t="str">
        <f t="shared" si="80"/>
        <v>Color Code</v>
      </c>
      <c r="H4762" s="273" t="e">
        <f ca="1">_xludf.IFNA(VLOOKUP(Aragon!E4762,'Kilter Holds'!$P$37:$AB$662,13,0),0)</f>
        <v>#NAME?</v>
      </c>
      <c r="I4762" s="274"/>
      <c r="J4762" s="274" t="e">
        <f t="shared" ca="1" si="77"/>
        <v>#NAME?</v>
      </c>
      <c r="K4762" s="274">
        <f t="shared" si="78"/>
        <v>0</v>
      </c>
      <c r="N4762" s="274"/>
    </row>
    <row r="4763" spans="5:14" ht="13.5" customHeight="1">
      <c r="E4763" s="1" t="s">
        <v>1217</v>
      </c>
      <c r="F4763" s="1" t="s">
        <v>2913</v>
      </c>
      <c r="G4763" s="406" t="str">
        <f t="shared" si="80"/>
        <v>11-12</v>
      </c>
      <c r="H4763" s="273" t="e">
        <f ca="1">_xludf.IFNA(VLOOKUP(Aragon!E4763,'Kilter Holds'!$P$37:$AB$662,5,0),0)</f>
        <v>#NAME?</v>
      </c>
      <c r="I4763" s="274"/>
      <c r="J4763" s="274" t="e">
        <f t="shared" ca="1" si="77"/>
        <v>#NAME?</v>
      </c>
      <c r="K4763" s="274">
        <f t="shared" si="78"/>
        <v>0</v>
      </c>
      <c r="N4763" s="274"/>
    </row>
    <row r="4764" spans="5:14" ht="13.5" customHeight="1">
      <c r="E4764" s="1" t="s">
        <v>1217</v>
      </c>
      <c r="F4764" s="1" t="s">
        <v>2913</v>
      </c>
      <c r="G4764" s="408" t="str">
        <f t="shared" si="80"/>
        <v>14-01</v>
      </c>
      <c r="H4764" s="273" t="e">
        <f ca="1">_xludf.IFNA(VLOOKUP(Aragon!E4764,'Kilter Holds'!$P$37:$AB$662,6,0),0)</f>
        <v>#NAME?</v>
      </c>
      <c r="I4764" s="274"/>
      <c r="J4764" s="274" t="e">
        <f t="shared" ca="1" si="77"/>
        <v>#NAME?</v>
      </c>
      <c r="K4764" s="274">
        <f t="shared" si="78"/>
        <v>0</v>
      </c>
      <c r="N4764" s="274"/>
    </row>
    <row r="4765" spans="5:14" ht="13.5" customHeight="1">
      <c r="E4765" s="1" t="s">
        <v>1217</v>
      </c>
      <c r="F4765" s="1" t="s">
        <v>2913</v>
      </c>
      <c r="G4765" s="409" t="str">
        <f t="shared" si="80"/>
        <v>15-12</v>
      </c>
      <c r="H4765" s="273" t="e">
        <f ca="1">_xludf.IFNA(VLOOKUP(Aragon!E4765,'Kilter Holds'!$P$37:$AB$662,7,0),0)</f>
        <v>#NAME?</v>
      </c>
      <c r="I4765" s="274"/>
      <c r="J4765" s="274" t="e">
        <f t="shared" ca="1" si="77"/>
        <v>#NAME?</v>
      </c>
      <c r="K4765" s="274">
        <f t="shared" si="78"/>
        <v>0</v>
      </c>
      <c r="N4765" s="274"/>
    </row>
    <row r="4766" spans="5:14" ht="13.5" customHeight="1">
      <c r="E4766" s="1" t="s">
        <v>1217</v>
      </c>
      <c r="F4766" s="1" t="s">
        <v>2913</v>
      </c>
      <c r="G4766" s="410" t="str">
        <f t="shared" si="80"/>
        <v>16-16</v>
      </c>
      <c r="H4766" s="273" t="e">
        <f ca="1">_xludf.IFNA(VLOOKUP(Aragon!E4766,'Kilter Holds'!$P$37:$AB$662,8,0),0)</f>
        <v>#NAME?</v>
      </c>
      <c r="I4766" s="274"/>
      <c r="J4766" s="274" t="e">
        <f t="shared" ca="1" si="77"/>
        <v>#NAME?</v>
      </c>
      <c r="K4766" s="274">
        <f t="shared" si="78"/>
        <v>0</v>
      </c>
      <c r="N4766" s="274"/>
    </row>
    <row r="4767" spans="5:14" ht="13.5" customHeight="1">
      <c r="E4767" s="1" t="s">
        <v>1217</v>
      </c>
      <c r="F4767" s="1" t="s">
        <v>2913</v>
      </c>
      <c r="G4767" s="411" t="str">
        <f t="shared" si="80"/>
        <v>13-01</v>
      </c>
      <c r="H4767" s="273" t="e">
        <f ca="1">_xludf.IFNA(VLOOKUP(Aragon!E4767,'Kilter Holds'!$P$37:$AB$662,9,0),0)</f>
        <v>#NAME?</v>
      </c>
      <c r="I4767" s="274"/>
      <c r="J4767" s="274" t="e">
        <f t="shared" ca="1" si="77"/>
        <v>#NAME?</v>
      </c>
      <c r="K4767" s="274">
        <f t="shared" si="78"/>
        <v>0</v>
      </c>
      <c r="N4767" s="274"/>
    </row>
    <row r="4768" spans="5:14" ht="13.5" customHeight="1">
      <c r="E4768" s="1" t="s">
        <v>1217</v>
      </c>
      <c r="F4768" s="1" t="s">
        <v>2913</v>
      </c>
      <c r="G4768" s="413" t="str">
        <f t="shared" si="80"/>
        <v>07-13</v>
      </c>
      <c r="H4768" s="273" t="e">
        <f ca="1">_xludf.IFNA(VLOOKUP(Aragon!E4768,'Kilter Holds'!$P$37:$AB$662,10,0),0)</f>
        <v>#NAME?</v>
      </c>
      <c r="I4768" s="274"/>
      <c r="J4768" s="274" t="e">
        <f t="shared" ca="1" si="77"/>
        <v>#NAME?</v>
      </c>
      <c r="K4768" s="274">
        <f t="shared" si="78"/>
        <v>0</v>
      </c>
      <c r="N4768" s="274"/>
    </row>
    <row r="4769" spans="5:14" ht="13.5" customHeight="1">
      <c r="E4769" s="1" t="s">
        <v>1217</v>
      </c>
      <c r="F4769" s="1" t="s">
        <v>2913</v>
      </c>
      <c r="G4769" s="414" t="str">
        <f t="shared" si="80"/>
        <v>11-26</v>
      </c>
      <c r="H4769" s="273" t="e">
        <f ca="1">_xludf.IFNA(VLOOKUP(Aragon!E4769,'Kilter Holds'!$P$37:$AB$662,11,0),0)</f>
        <v>#NAME?</v>
      </c>
      <c r="I4769" s="274"/>
      <c r="J4769" s="274" t="e">
        <f t="shared" ca="1" si="77"/>
        <v>#NAME?</v>
      </c>
      <c r="K4769" s="274">
        <f t="shared" si="78"/>
        <v>0</v>
      </c>
      <c r="N4769" s="274"/>
    </row>
    <row r="4770" spans="5:14" ht="13.5" customHeight="1">
      <c r="E4770" s="1" t="s">
        <v>1217</v>
      </c>
      <c r="F4770" s="1" t="s">
        <v>2913</v>
      </c>
      <c r="G4770" s="415" t="str">
        <f t="shared" si="80"/>
        <v>18-01</v>
      </c>
      <c r="H4770" s="273" t="e">
        <f ca="1">_xludf.IFNA(VLOOKUP(Aragon!E4770,'Kilter Holds'!$P$37:$AB$662,12,0),0)</f>
        <v>#NAME?</v>
      </c>
      <c r="I4770" s="274"/>
      <c r="J4770" s="274" t="e">
        <f t="shared" ca="1" si="77"/>
        <v>#NAME?</v>
      </c>
      <c r="K4770" s="274">
        <f t="shared" si="78"/>
        <v>0</v>
      </c>
      <c r="N4770" s="274"/>
    </row>
    <row r="4771" spans="5:14" ht="13.5" customHeight="1">
      <c r="E4771" s="1" t="s">
        <v>1217</v>
      </c>
      <c r="F4771" s="1" t="s">
        <v>2913</v>
      </c>
      <c r="G4771" s="416" t="str">
        <f t="shared" si="80"/>
        <v>Color Code</v>
      </c>
      <c r="H4771" s="273" t="e">
        <f ca="1">_xludf.IFNA(VLOOKUP(Aragon!E4771,'Kilter Holds'!$P$37:$AB$662,13,0),0)</f>
        <v>#NAME?</v>
      </c>
      <c r="I4771" s="274"/>
      <c r="J4771" s="274" t="e">
        <f t="shared" ca="1" si="77"/>
        <v>#NAME?</v>
      </c>
      <c r="K4771" s="274">
        <f t="shared" si="78"/>
        <v>0</v>
      </c>
      <c r="N4771" s="274"/>
    </row>
    <row r="4772" spans="5:14" ht="13.5" customHeight="1">
      <c r="E4772" s="1" t="s">
        <v>1219</v>
      </c>
      <c r="F4772" s="1" t="s">
        <v>2914</v>
      </c>
      <c r="G4772" s="406" t="str">
        <f t="shared" si="80"/>
        <v>11-12</v>
      </c>
      <c r="H4772" s="273" t="e">
        <f ca="1">_xludf.IFNA(VLOOKUP(Aragon!E4772,'Kilter Holds'!$P$37:$AB$662,5,0),0)</f>
        <v>#NAME?</v>
      </c>
      <c r="I4772" s="274"/>
      <c r="J4772" s="274" t="e">
        <f t="shared" ca="1" si="77"/>
        <v>#NAME?</v>
      </c>
      <c r="K4772" s="274">
        <f t="shared" si="78"/>
        <v>0</v>
      </c>
      <c r="N4772" s="274"/>
    </row>
    <row r="4773" spans="5:14" ht="13.5" customHeight="1">
      <c r="E4773" s="1" t="s">
        <v>1219</v>
      </c>
      <c r="F4773" s="1" t="s">
        <v>2914</v>
      </c>
      <c r="G4773" s="408" t="str">
        <f t="shared" si="80"/>
        <v>14-01</v>
      </c>
      <c r="H4773" s="273" t="e">
        <f ca="1">_xludf.IFNA(VLOOKUP(Aragon!E4773,'Kilter Holds'!$P$37:$AB$662,6,0),0)</f>
        <v>#NAME?</v>
      </c>
      <c r="I4773" s="274"/>
      <c r="J4773" s="274" t="e">
        <f t="shared" ca="1" si="77"/>
        <v>#NAME?</v>
      </c>
      <c r="K4773" s="274">
        <f t="shared" si="78"/>
        <v>0</v>
      </c>
      <c r="N4773" s="274"/>
    </row>
    <row r="4774" spans="5:14" ht="13.5" customHeight="1">
      <c r="E4774" s="1" t="s">
        <v>1219</v>
      </c>
      <c r="F4774" s="1" t="s">
        <v>2914</v>
      </c>
      <c r="G4774" s="409" t="str">
        <f t="shared" si="80"/>
        <v>15-12</v>
      </c>
      <c r="H4774" s="273" t="e">
        <f ca="1">_xludf.IFNA(VLOOKUP(Aragon!E4774,'Kilter Holds'!$P$37:$AB$662,7,0),0)</f>
        <v>#NAME?</v>
      </c>
      <c r="I4774" s="274"/>
      <c r="J4774" s="274" t="e">
        <f t="shared" ca="1" si="77"/>
        <v>#NAME?</v>
      </c>
      <c r="K4774" s="274">
        <f t="shared" si="78"/>
        <v>0</v>
      </c>
      <c r="N4774" s="274"/>
    </row>
    <row r="4775" spans="5:14" ht="13.5" customHeight="1">
      <c r="E4775" s="1" t="s">
        <v>1219</v>
      </c>
      <c r="F4775" s="1" t="s">
        <v>2914</v>
      </c>
      <c r="G4775" s="410" t="str">
        <f t="shared" si="80"/>
        <v>16-16</v>
      </c>
      <c r="H4775" s="273" t="e">
        <f ca="1">_xludf.IFNA(VLOOKUP(Aragon!E4775,'Kilter Holds'!$P$37:$AB$662,8,0),0)</f>
        <v>#NAME?</v>
      </c>
      <c r="I4775" s="274"/>
      <c r="J4775" s="274" t="e">
        <f t="shared" ca="1" si="77"/>
        <v>#NAME?</v>
      </c>
      <c r="K4775" s="274">
        <f t="shared" si="78"/>
        <v>0</v>
      </c>
      <c r="N4775" s="274"/>
    </row>
    <row r="4776" spans="5:14" ht="13.5" customHeight="1">
      <c r="E4776" s="1" t="s">
        <v>1219</v>
      </c>
      <c r="F4776" s="1" t="s">
        <v>2914</v>
      </c>
      <c r="G4776" s="411" t="str">
        <f t="shared" si="80"/>
        <v>13-01</v>
      </c>
      <c r="H4776" s="273" t="e">
        <f ca="1">_xludf.IFNA(VLOOKUP(Aragon!E4776,'Kilter Holds'!$P$37:$AB$662,9,0),0)</f>
        <v>#NAME?</v>
      </c>
      <c r="I4776" s="274"/>
      <c r="J4776" s="274" t="e">
        <f t="shared" ca="1" si="77"/>
        <v>#NAME?</v>
      </c>
      <c r="K4776" s="274">
        <f t="shared" si="78"/>
        <v>0</v>
      </c>
      <c r="N4776" s="274"/>
    </row>
    <row r="4777" spans="5:14" ht="13.5" customHeight="1">
      <c r="E4777" s="1" t="s">
        <v>1219</v>
      </c>
      <c r="F4777" s="1" t="s">
        <v>2914</v>
      </c>
      <c r="G4777" s="413" t="str">
        <f t="shared" si="80"/>
        <v>07-13</v>
      </c>
      <c r="H4777" s="273" t="e">
        <f ca="1">_xludf.IFNA(VLOOKUP(Aragon!E4777,'Kilter Holds'!$P$37:$AB$662,10,0),0)</f>
        <v>#NAME?</v>
      </c>
      <c r="I4777" s="274"/>
      <c r="J4777" s="274" t="e">
        <f t="shared" ca="1" si="77"/>
        <v>#NAME?</v>
      </c>
      <c r="K4777" s="274">
        <f t="shared" si="78"/>
        <v>0</v>
      </c>
      <c r="N4777" s="274"/>
    </row>
    <row r="4778" spans="5:14" ht="13.5" customHeight="1">
      <c r="E4778" s="1" t="s">
        <v>1219</v>
      </c>
      <c r="F4778" s="1" t="s">
        <v>2914</v>
      </c>
      <c r="G4778" s="414" t="str">
        <f t="shared" si="80"/>
        <v>11-26</v>
      </c>
      <c r="H4778" s="273" t="e">
        <f ca="1">_xludf.IFNA(VLOOKUP(Aragon!E4778,'Kilter Holds'!$P$37:$AB$662,11,0),0)</f>
        <v>#NAME?</v>
      </c>
      <c r="I4778" s="274"/>
      <c r="J4778" s="274" t="e">
        <f t="shared" ca="1" si="77"/>
        <v>#NAME?</v>
      </c>
      <c r="K4778" s="274">
        <f t="shared" si="78"/>
        <v>0</v>
      </c>
      <c r="N4778" s="274"/>
    </row>
    <row r="4779" spans="5:14" ht="13.5" customHeight="1">
      <c r="E4779" s="1" t="s">
        <v>1219</v>
      </c>
      <c r="F4779" s="1" t="s">
        <v>2914</v>
      </c>
      <c r="G4779" s="415" t="str">
        <f t="shared" si="80"/>
        <v>18-01</v>
      </c>
      <c r="H4779" s="273" t="e">
        <f ca="1">_xludf.IFNA(VLOOKUP(Aragon!E4779,'Kilter Holds'!$P$37:$AB$662,12,0),0)</f>
        <v>#NAME?</v>
      </c>
      <c r="I4779" s="274"/>
      <c r="J4779" s="274" t="e">
        <f t="shared" ca="1" si="77"/>
        <v>#NAME?</v>
      </c>
      <c r="K4779" s="274">
        <f t="shared" si="78"/>
        <v>0</v>
      </c>
      <c r="N4779" s="274"/>
    </row>
    <row r="4780" spans="5:14" ht="13.5" customHeight="1">
      <c r="E4780" s="1" t="s">
        <v>1219</v>
      </c>
      <c r="F4780" s="1" t="s">
        <v>2914</v>
      </c>
      <c r="G4780" s="416" t="str">
        <f t="shared" si="80"/>
        <v>Color Code</v>
      </c>
      <c r="H4780" s="273" t="e">
        <f ca="1">_xludf.IFNA(VLOOKUP(Aragon!E4780,'Kilter Holds'!$P$37:$AB$662,13,0),0)</f>
        <v>#NAME?</v>
      </c>
      <c r="I4780" s="274"/>
      <c r="J4780" s="274" t="e">
        <f t="shared" ca="1" si="77"/>
        <v>#NAME?</v>
      </c>
      <c r="K4780" s="274">
        <f t="shared" si="78"/>
        <v>0</v>
      </c>
      <c r="N4780" s="274"/>
    </row>
    <row r="4781" spans="5:14" ht="13.5" customHeight="1">
      <c r="E4781" s="209" t="s">
        <v>1647</v>
      </c>
      <c r="F4781" s="209" t="s">
        <v>2915</v>
      </c>
      <c r="G4781" s="406" t="str">
        <f t="shared" ref="G4781:G4789" si="81">G4718</f>
        <v>11-12</v>
      </c>
      <c r="H4781" s="273" t="e">
        <f ca="1">_xludf.IFNA(VLOOKUP(E4781,'Urban Plastix Holds'!$I$37:$U$705,5,0),0)</f>
        <v>#NAME?</v>
      </c>
      <c r="I4781" s="274"/>
      <c r="J4781" s="274" t="e">
        <f t="shared" ca="1" si="77"/>
        <v>#NAME?</v>
      </c>
      <c r="K4781" s="274">
        <f t="shared" si="78"/>
        <v>0</v>
      </c>
      <c r="N4781" s="274"/>
    </row>
    <row r="4782" spans="5:14" ht="13.5" customHeight="1">
      <c r="E4782" s="209" t="s">
        <v>1647</v>
      </c>
      <c r="F4782" s="209" t="s">
        <v>2915</v>
      </c>
      <c r="G4782" s="408" t="str">
        <f t="shared" si="81"/>
        <v>14-01</v>
      </c>
      <c r="H4782" s="273" t="e">
        <f ca="1">_xludf.IFNA(VLOOKUP(E4782,'Urban Plastix Holds'!$I$37:$U$705,6,0),0)</f>
        <v>#NAME?</v>
      </c>
      <c r="I4782" s="274"/>
      <c r="J4782" s="274" t="e">
        <f t="shared" ca="1" si="77"/>
        <v>#NAME?</v>
      </c>
      <c r="K4782" s="274">
        <f t="shared" si="78"/>
        <v>0</v>
      </c>
      <c r="N4782" s="274"/>
    </row>
    <row r="4783" spans="5:14" ht="13.5" customHeight="1">
      <c r="E4783" s="209" t="s">
        <v>1647</v>
      </c>
      <c r="F4783" s="209" t="s">
        <v>2915</v>
      </c>
      <c r="G4783" s="409" t="str">
        <f t="shared" si="81"/>
        <v>15-12</v>
      </c>
      <c r="H4783" s="273" t="e">
        <f ca="1">_xludf.IFNA(VLOOKUP(E4783,'Urban Plastix Holds'!$I$37:$U$705,7,0),0)</f>
        <v>#NAME?</v>
      </c>
      <c r="I4783" s="274"/>
      <c r="J4783" s="274" t="e">
        <f t="shared" ca="1" si="77"/>
        <v>#NAME?</v>
      </c>
      <c r="K4783" s="274">
        <f t="shared" si="78"/>
        <v>0</v>
      </c>
      <c r="N4783" s="274"/>
    </row>
    <row r="4784" spans="5:14" ht="13.5" customHeight="1">
      <c r="E4784" s="209" t="s">
        <v>1647</v>
      </c>
      <c r="F4784" s="209" t="s">
        <v>2915</v>
      </c>
      <c r="G4784" s="410" t="str">
        <f t="shared" si="81"/>
        <v>16-16</v>
      </c>
      <c r="H4784" s="273" t="e">
        <f ca="1">_xludf.IFNA(VLOOKUP(E4784,'Urban Plastix Holds'!$I$37:$U$705,8,0),0)</f>
        <v>#NAME?</v>
      </c>
      <c r="I4784" s="274"/>
      <c r="J4784" s="274" t="e">
        <f t="shared" ca="1" si="77"/>
        <v>#NAME?</v>
      </c>
      <c r="K4784" s="274">
        <f t="shared" si="78"/>
        <v>0</v>
      </c>
      <c r="N4784" s="274"/>
    </row>
    <row r="4785" spans="5:14" ht="13.5" customHeight="1">
      <c r="E4785" s="209" t="s">
        <v>1647</v>
      </c>
      <c r="F4785" s="209" t="s">
        <v>2915</v>
      </c>
      <c r="G4785" s="411" t="str">
        <f t="shared" si="81"/>
        <v>13-01</v>
      </c>
      <c r="H4785" s="273" t="e">
        <f ca="1">_xludf.IFNA(VLOOKUP(E4785,'Urban Plastix Holds'!$I$37:$U$705,9,0),0)</f>
        <v>#NAME?</v>
      </c>
      <c r="I4785" s="274"/>
      <c r="J4785" s="274" t="e">
        <f t="shared" ca="1" si="77"/>
        <v>#NAME?</v>
      </c>
      <c r="K4785" s="274">
        <f t="shared" si="78"/>
        <v>0</v>
      </c>
      <c r="N4785" s="274"/>
    </row>
    <row r="4786" spans="5:14" ht="13.5" customHeight="1">
      <c r="E4786" s="209" t="s">
        <v>1647</v>
      </c>
      <c r="F4786" s="209" t="s">
        <v>2915</v>
      </c>
      <c r="G4786" s="413" t="str">
        <f t="shared" si="81"/>
        <v>07-13</v>
      </c>
      <c r="H4786" s="273" t="e">
        <f ca="1">_xludf.IFNA(VLOOKUP(E4786,'Urban Plastix Holds'!$I$37:$U$705,10,0),0)</f>
        <v>#NAME?</v>
      </c>
      <c r="I4786" s="274"/>
      <c r="J4786" s="274" t="e">
        <f t="shared" ca="1" si="77"/>
        <v>#NAME?</v>
      </c>
      <c r="K4786" s="274">
        <f t="shared" si="78"/>
        <v>0</v>
      </c>
      <c r="N4786" s="274"/>
    </row>
    <row r="4787" spans="5:14" ht="13.5" customHeight="1">
      <c r="E4787" s="209" t="s">
        <v>1647</v>
      </c>
      <c r="F4787" s="209" t="s">
        <v>2915</v>
      </c>
      <c r="G4787" s="414" t="str">
        <f t="shared" si="81"/>
        <v>11-26</v>
      </c>
      <c r="H4787" s="273" t="e">
        <f ca="1">_xludf.IFNA(VLOOKUP(E4787,'Urban Plastix Holds'!$I$37:$U$705,11,0),0)</f>
        <v>#NAME?</v>
      </c>
      <c r="I4787" s="274"/>
      <c r="J4787" s="274" t="e">
        <f t="shared" ca="1" si="77"/>
        <v>#NAME?</v>
      </c>
      <c r="K4787" s="274">
        <f t="shared" si="78"/>
        <v>0</v>
      </c>
      <c r="N4787" s="274"/>
    </row>
    <row r="4788" spans="5:14" ht="13.5" customHeight="1">
      <c r="E4788" s="209" t="s">
        <v>1647</v>
      </c>
      <c r="F4788" s="209" t="s">
        <v>2915</v>
      </c>
      <c r="G4788" s="415" t="str">
        <f t="shared" si="81"/>
        <v>18-01</v>
      </c>
      <c r="H4788" s="273" t="e">
        <f ca="1">_xludf.IFNA(VLOOKUP(E4788,'Urban Plastix Holds'!$I$37:$U$705,12,0),0)</f>
        <v>#NAME?</v>
      </c>
      <c r="I4788" s="274"/>
      <c r="J4788" s="274" t="e">
        <f t="shared" ca="1" si="77"/>
        <v>#NAME?</v>
      </c>
      <c r="K4788" s="274">
        <f t="shared" si="78"/>
        <v>0</v>
      </c>
      <c r="N4788" s="274"/>
    </row>
    <row r="4789" spans="5:14" ht="13.5" customHeight="1">
      <c r="E4789" s="209" t="s">
        <v>1647</v>
      </c>
      <c r="F4789" s="209" t="s">
        <v>2915</v>
      </c>
      <c r="G4789" s="416" t="str">
        <f t="shared" si="81"/>
        <v>Color Code</v>
      </c>
      <c r="H4789" s="273" t="e">
        <f ca="1">_xludf.IFNA(VLOOKUP(E4789,'Urban Plastix Holds'!$I$37:$U$705,13,0),0)</f>
        <v>#NAME?</v>
      </c>
      <c r="I4789" s="274"/>
      <c r="J4789" s="274" t="e">
        <f t="shared" ca="1" si="77"/>
        <v>#NAME?</v>
      </c>
      <c r="K4789" s="274">
        <f t="shared" si="78"/>
        <v>0</v>
      </c>
      <c r="N4789" s="274"/>
    </row>
    <row r="4790" spans="5:14" ht="13.5" customHeight="1">
      <c r="E4790" s="209" t="s">
        <v>1474</v>
      </c>
      <c r="F4790" s="209" t="s">
        <v>2916</v>
      </c>
      <c r="G4790" s="406" t="str">
        <f t="shared" ref="G4790:G5044" si="82">G4781</f>
        <v>11-12</v>
      </c>
      <c r="H4790" s="273" t="e">
        <f ca="1">_xludf.IFNA(VLOOKUP(E4790,'Urban Plastix Holds'!$I$37:$U$705,5,0),0)</f>
        <v>#NAME?</v>
      </c>
      <c r="I4790" s="274"/>
      <c r="J4790" s="274" t="e">
        <f t="shared" ca="1" si="77"/>
        <v>#NAME?</v>
      </c>
      <c r="K4790" s="274">
        <f t="shared" si="78"/>
        <v>0</v>
      </c>
      <c r="N4790" s="274"/>
    </row>
    <row r="4791" spans="5:14" ht="13.5" customHeight="1">
      <c r="E4791" s="209" t="s">
        <v>1474</v>
      </c>
      <c r="F4791" s="209" t="s">
        <v>2916</v>
      </c>
      <c r="G4791" s="408" t="str">
        <f t="shared" si="82"/>
        <v>14-01</v>
      </c>
      <c r="H4791" s="273" t="e">
        <f ca="1">_xludf.IFNA(VLOOKUP(E4791,'Urban Plastix Holds'!$I$37:$U$705,6,0),0)</f>
        <v>#NAME?</v>
      </c>
      <c r="I4791" s="274"/>
      <c r="J4791" s="274" t="e">
        <f t="shared" ca="1" si="77"/>
        <v>#NAME?</v>
      </c>
      <c r="K4791" s="274">
        <f t="shared" si="78"/>
        <v>0</v>
      </c>
      <c r="N4791" s="274"/>
    </row>
    <row r="4792" spans="5:14" ht="13.5" customHeight="1">
      <c r="E4792" s="209" t="s">
        <v>1474</v>
      </c>
      <c r="F4792" s="209" t="s">
        <v>2916</v>
      </c>
      <c r="G4792" s="409" t="str">
        <f t="shared" si="82"/>
        <v>15-12</v>
      </c>
      <c r="H4792" s="273" t="e">
        <f ca="1">_xludf.IFNA(VLOOKUP(E4792,'Urban Plastix Holds'!$I$37:$U$705,7,0),0)</f>
        <v>#NAME?</v>
      </c>
      <c r="I4792" s="274"/>
      <c r="J4792" s="274" t="e">
        <f t="shared" ca="1" si="77"/>
        <v>#NAME?</v>
      </c>
      <c r="K4792" s="274">
        <f t="shared" si="78"/>
        <v>0</v>
      </c>
      <c r="N4792" s="274"/>
    </row>
    <row r="4793" spans="5:14" ht="13.5" customHeight="1">
      <c r="E4793" s="209" t="s">
        <v>1474</v>
      </c>
      <c r="F4793" s="209" t="s">
        <v>2916</v>
      </c>
      <c r="G4793" s="410" t="str">
        <f t="shared" si="82"/>
        <v>16-16</v>
      </c>
      <c r="H4793" s="273" t="e">
        <f ca="1">_xludf.IFNA(VLOOKUP(E4793,'Urban Plastix Holds'!$I$37:$U$705,8,0),0)</f>
        <v>#NAME?</v>
      </c>
      <c r="I4793" s="274"/>
      <c r="J4793" s="274" t="e">
        <f t="shared" ca="1" si="77"/>
        <v>#NAME?</v>
      </c>
      <c r="K4793" s="274">
        <f t="shared" si="78"/>
        <v>0</v>
      </c>
      <c r="N4793" s="274"/>
    </row>
    <row r="4794" spans="5:14" ht="13.5" customHeight="1">
      <c r="E4794" s="209" t="s">
        <v>1474</v>
      </c>
      <c r="F4794" s="209" t="s">
        <v>2916</v>
      </c>
      <c r="G4794" s="411" t="str">
        <f t="shared" si="82"/>
        <v>13-01</v>
      </c>
      <c r="H4794" s="273" t="e">
        <f ca="1">_xludf.IFNA(VLOOKUP(E4794,'Urban Plastix Holds'!$I$37:$U$705,9,0),0)</f>
        <v>#NAME?</v>
      </c>
      <c r="I4794" s="274"/>
      <c r="J4794" s="274" t="e">
        <f t="shared" ca="1" si="77"/>
        <v>#NAME?</v>
      </c>
      <c r="K4794" s="274">
        <f t="shared" si="78"/>
        <v>0</v>
      </c>
      <c r="N4794" s="274"/>
    </row>
    <row r="4795" spans="5:14" ht="13.5" customHeight="1">
      <c r="E4795" s="209" t="s">
        <v>1474</v>
      </c>
      <c r="F4795" s="209" t="s">
        <v>2916</v>
      </c>
      <c r="G4795" s="413" t="str">
        <f t="shared" si="82"/>
        <v>07-13</v>
      </c>
      <c r="H4795" s="273" t="e">
        <f ca="1">_xludf.IFNA(VLOOKUP(E4795,'Urban Plastix Holds'!$I$37:$U$705,10,0),0)</f>
        <v>#NAME?</v>
      </c>
      <c r="I4795" s="274"/>
      <c r="J4795" s="274" t="e">
        <f t="shared" ca="1" si="77"/>
        <v>#NAME?</v>
      </c>
      <c r="K4795" s="274">
        <f t="shared" si="78"/>
        <v>0</v>
      </c>
      <c r="N4795" s="274"/>
    </row>
    <row r="4796" spans="5:14" ht="13.5" customHeight="1">
      <c r="E4796" s="209" t="s">
        <v>1474</v>
      </c>
      <c r="F4796" s="209" t="s">
        <v>2916</v>
      </c>
      <c r="G4796" s="414" t="str">
        <f t="shared" si="82"/>
        <v>11-26</v>
      </c>
      <c r="H4796" s="273" t="e">
        <f ca="1">_xludf.IFNA(VLOOKUP(E4796,'Urban Plastix Holds'!$I$37:$U$705,11,0),0)</f>
        <v>#NAME?</v>
      </c>
      <c r="I4796" s="274"/>
      <c r="J4796" s="274" t="e">
        <f t="shared" ca="1" si="77"/>
        <v>#NAME?</v>
      </c>
      <c r="K4796" s="274">
        <f t="shared" si="78"/>
        <v>0</v>
      </c>
      <c r="N4796" s="274"/>
    </row>
    <row r="4797" spans="5:14" ht="13.5" customHeight="1">
      <c r="E4797" s="209" t="s">
        <v>1474</v>
      </c>
      <c r="F4797" s="209" t="s">
        <v>2916</v>
      </c>
      <c r="G4797" s="415" t="str">
        <f t="shared" si="82"/>
        <v>18-01</v>
      </c>
      <c r="H4797" s="273" t="e">
        <f ca="1">_xludf.IFNA(VLOOKUP(E4797,'Urban Plastix Holds'!$I$37:$U$705,12,0),0)</f>
        <v>#NAME?</v>
      </c>
      <c r="I4797" s="274"/>
      <c r="J4797" s="274" t="e">
        <f t="shared" ca="1" si="77"/>
        <v>#NAME?</v>
      </c>
      <c r="K4797" s="274">
        <f t="shared" si="78"/>
        <v>0</v>
      </c>
      <c r="N4797" s="274"/>
    </row>
    <row r="4798" spans="5:14" ht="13.5" customHeight="1">
      <c r="E4798" s="209" t="s">
        <v>1474</v>
      </c>
      <c r="F4798" s="209" t="s">
        <v>2916</v>
      </c>
      <c r="G4798" s="416" t="str">
        <f t="shared" si="82"/>
        <v>Color Code</v>
      </c>
      <c r="H4798" s="273" t="e">
        <f ca="1">_xludf.IFNA(VLOOKUP(E4798,'Urban Plastix Holds'!$I$37:$U$705,13,0),0)</f>
        <v>#NAME?</v>
      </c>
      <c r="I4798" s="274"/>
      <c r="J4798" s="274" t="e">
        <f t="shared" ca="1" si="77"/>
        <v>#NAME?</v>
      </c>
      <c r="K4798" s="274">
        <f t="shared" si="78"/>
        <v>0</v>
      </c>
      <c r="N4798" s="274"/>
    </row>
    <row r="4799" spans="5:14" ht="13.5" customHeight="1">
      <c r="E4799" s="209" t="s">
        <v>1471</v>
      </c>
      <c r="F4799" s="209" t="s">
        <v>2917</v>
      </c>
      <c r="G4799" s="406" t="str">
        <f t="shared" si="82"/>
        <v>11-12</v>
      </c>
      <c r="H4799" s="273" t="e">
        <f ca="1">_xludf.IFNA(VLOOKUP(E4799,'Urban Plastix Holds'!$I$37:$U$705,5,0),0)</f>
        <v>#NAME?</v>
      </c>
      <c r="I4799" s="274"/>
      <c r="J4799" s="274" t="e">
        <f t="shared" ca="1" si="77"/>
        <v>#NAME?</v>
      </c>
      <c r="K4799" s="274">
        <f t="shared" si="78"/>
        <v>0</v>
      </c>
      <c r="N4799" s="274"/>
    </row>
    <row r="4800" spans="5:14" ht="13.5" customHeight="1">
      <c r="E4800" s="209" t="s">
        <v>1471</v>
      </c>
      <c r="F4800" s="209" t="s">
        <v>2917</v>
      </c>
      <c r="G4800" s="408" t="str">
        <f t="shared" si="82"/>
        <v>14-01</v>
      </c>
      <c r="H4800" s="273" t="e">
        <f ca="1">_xludf.IFNA(VLOOKUP(E4800,'Urban Plastix Holds'!$I$37:$U$705,6,0),0)</f>
        <v>#NAME?</v>
      </c>
      <c r="I4800" s="274"/>
      <c r="J4800" s="274" t="e">
        <f t="shared" ca="1" si="77"/>
        <v>#NAME?</v>
      </c>
      <c r="K4800" s="274">
        <f t="shared" si="78"/>
        <v>0</v>
      </c>
      <c r="N4800" s="274"/>
    </row>
    <row r="4801" spans="5:14" ht="13.5" customHeight="1">
      <c r="E4801" s="209" t="s">
        <v>1471</v>
      </c>
      <c r="F4801" s="209" t="s">
        <v>2917</v>
      </c>
      <c r="G4801" s="409" t="str">
        <f t="shared" si="82"/>
        <v>15-12</v>
      </c>
      <c r="H4801" s="273" t="e">
        <f ca="1">_xludf.IFNA(VLOOKUP(E4801,'Urban Plastix Holds'!$I$37:$U$705,7,0),0)</f>
        <v>#NAME?</v>
      </c>
      <c r="I4801" s="274"/>
      <c r="J4801" s="274" t="e">
        <f t="shared" ca="1" si="77"/>
        <v>#NAME?</v>
      </c>
      <c r="K4801" s="274">
        <f t="shared" si="78"/>
        <v>0</v>
      </c>
      <c r="N4801" s="274"/>
    </row>
    <row r="4802" spans="5:14" ht="13.5" customHeight="1">
      <c r="E4802" s="209" t="s">
        <v>1471</v>
      </c>
      <c r="F4802" s="209" t="s">
        <v>2917</v>
      </c>
      <c r="G4802" s="410" t="str">
        <f t="shared" si="82"/>
        <v>16-16</v>
      </c>
      <c r="H4802" s="273" t="e">
        <f ca="1">_xludf.IFNA(VLOOKUP(E4802,'Urban Plastix Holds'!$I$37:$U$705,8,0),0)</f>
        <v>#NAME?</v>
      </c>
      <c r="I4802" s="274"/>
      <c r="J4802" s="274" t="e">
        <f t="shared" ca="1" si="77"/>
        <v>#NAME?</v>
      </c>
      <c r="K4802" s="274">
        <f t="shared" si="78"/>
        <v>0</v>
      </c>
      <c r="N4802" s="274"/>
    </row>
    <row r="4803" spans="5:14" ht="13.5" customHeight="1">
      <c r="E4803" s="209" t="s">
        <v>1471</v>
      </c>
      <c r="F4803" s="209" t="s">
        <v>2917</v>
      </c>
      <c r="G4803" s="411" t="str">
        <f t="shared" si="82"/>
        <v>13-01</v>
      </c>
      <c r="H4803" s="273" t="e">
        <f ca="1">_xludf.IFNA(VLOOKUP(E4803,'Urban Plastix Holds'!$I$37:$U$705,9,0),0)</f>
        <v>#NAME?</v>
      </c>
      <c r="I4803" s="274"/>
      <c r="J4803" s="274" t="e">
        <f t="shared" ca="1" si="77"/>
        <v>#NAME?</v>
      </c>
      <c r="K4803" s="274">
        <f t="shared" si="78"/>
        <v>0</v>
      </c>
      <c r="N4803" s="274"/>
    </row>
    <row r="4804" spans="5:14" ht="13.5" customHeight="1">
      <c r="E4804" s="209" t="s">
        <v>1471</v>
      </c>
      <c r="F4804" s="209" t="s">
        <v>2917</v>
      </c>
      <c r="G4804" s="413" t="str">
        <f t="shared" si="82"/>
        <v>07-13</v>
      </c>
      <c r="H4804" s="273" t="e">
        <f ca="1">_xludf.IFNA(VLOOKUP(E4804,'Urban Plastix Holds'!$I$37:$U$705,10,0),0)</f>
        <v>#NAME?</v>
      </c>
      <c r="I4804" s="274"/>
      <c r="J4804" s="274" t="e">
        <f t="shared" ca="1" si="77"/>
        <v>#NAME?</v>
      </c>
      <c r="K4804" s="274">
        <f t="shared" si="78"/>
        <v>0</v>
      </c>
      <c r="N4804" s="274"/>
    </row>
    <row r="4805" spans="5:14" ht="13.5" customHeight="1">
      <c r="E4805" s="209" t="s">
        <v>1471</v>
      </c>
      <c r="F4805" s="209" t="s">
        <v>2917</v>
      </c>
      <c r="G4805" s="414" t="str">
        <f t="shared" si="82"/>
        <v>11-26</v>
      </c>
      <c r="H4805" s="273" t="e">
        <f ca="1">_xludf.IFNA(VLOOKUP(E4805,'Urban Plastix Holds'!$I$37:$U$705,11,0),0)</f>
        <v>#NAME?</v>
      </c>
      <c r="I4805" s="274"/>
      <c r="J4805" s="274" t="e">
        <f t="shared" ca="1" si="77"/>
        <v>#NAME?</v>
      </c>
      <c r="K4805" s="274">
        <f t="shared" si="78"/>
        <v>0</v>
      </c>
      <c r="N4805" s="274"/>
    </row>
    <row r="4806" spans="5:14" ht="13.5" customHeight="1">
      <c r="E4806" s="209" t="s">
        <v>1471</v>
      </c>
      <c r="F4806" s="209" t="s">
        <v>2917</v>
      </c>
      <c r="G4806" s="415" t="str">
        <f t="shared" si="82"/>
        <v>18-01</v>
      </c>
      <c r="H4806" s="273" t="e">
        <f ca="1">_xludf.IFNA(VLOOKUP(E4806,'Urban Plastix Holds'!$I$37:$U$705,12,0),0)</f>
        <v>#NAME?</v>
      </c>
      <c r="I4806" s="274"/>
      <c r="J4806" s="274" t="e">
        <f t="shared" ca="1" si="77"/>
        <v>#NAME?</v>
      </c>
      <c r="K4806" s="274">
        <f t="shared" si="78"/>
        <v>0</v>
      </c>
      <c r="N4806" s="274"/>
    </row>
    <row r="4807" spans="5:14" ht="13.5" customHeight="1">
      <c r="E4807" s="209" t="s">
        <v>1471</v>
      </c>
      <c r="F4807" s="209" t="s">
        <v>2917</v>
      </c>
      <c r="G4807" s="416" t="str">
        <f t="shared" si="82"/>
        <v>Color Code</v>
      </c>
      <c r="H4807" s="273" t="e">
        <f ca="1">_xludf.IFNA(VLOOKUP(E4807,'Urban Plastix Holds'!$I$37:$U$705,13,0),0)</f>
        <v>#NAME?</v>
      </c>
      <c r="I4807" s="274"/>
      <c r="J4807" s="274" t="e">
        <f t="shared" ca="1" si="77"/>
        <v>#NAME?</v>
      </c>
      <c r="K4807" s="274">
        <f t="shared" si="78"/>
        <v>0</v>
      </c>
      <c r="N4807" s="274"/>
    </row>
    <row r="4808" spans="5:14" ht="13.5" customHeight="1">
      <c r="E4808" s="209" t="s">
        <v>1448</v>
      </c>
      <c r="F4808" s="209" t="s">
        <v>2918</v>
      </c>
      <c r="G4808" s="406" t="str">
        <f t="shared" si="82"/>
        <v>11-12</v>
      </c>
      <c r="H4808" s="273" t="e">
        <f ca="1">_xludf.IFNA(VLOOKUP(E4808,'Urban Plastix Holds'!$I$37:$U$705,5,0),0)</f>
        <v>#NAME?</v>
      </c>
      <c r="I4808" s="274"/>
      <c r="J4808" s="274" t="e">
        <f t="shared" ca="1" si="77"/>
        <v>#NAME?</v>
      </c>
      <c r="K4808" s="274">
        <f t="shared" si="78"/>
        <v>0</v>
      </c>
      <c r="N4808" s="274"/>
    </row>
    <row r="4809" spans="5:14" ht="13.5" customHeight="1">
      <c r="E4809" s="209" t="s">
        <v>1448</v>
      </c>
      <c r="F4809" s="209" t="s">
        <v>2918</v>
      </c>
      <c r="G4809" s="408" t="str">
        <f t="shared" si="82"/>
        <v>14-01</v>
      </c>
      <c r="H4809" s="273" t="e">
        <f ca="1">_xludf.IFNA(VLOOKUP(E4809,'Urban Plastix Holds'!$I$37:$U$705,6,0),0)</f>
        <v>#NAME?</v>
      </c>
      <c r="I4809" s="274"/>
      <c r="J4809" s="274" t="e">
        <f t="shared" ca="1" si="77"/>
        <v>#NAME?</v>
      </c>
      <c r="K4809" s="274">
        <f t="shared" si="78"/>
        <v>0</v>
      </c>
      <c r="N4809" s="274"/>
    </row>
    <row r="4810" spans="5:14" ht="13.5" customHeight="1">
      <c r="E4810" s="209" t="s">
        <v>1448</v>
      </c>
      <c r="F4810" s="209" t="s">
        <v>2918</v>
      </c>
      <c r="G4810" s="409" t="str">
        <f t="shared" si="82"/>
        <v>15-12</v>
      </c>
      <c r="H4810" s="273" t="e">
        <f ca="1">_xludf.IFNA(VLOOKUP(E4810,'Urban Plastix Holds'!$I$37:$U$705,7,0),0)</f>
        <v>#NAME?</v>
      </c>
      <c r="I4810" s="274"/>
      <c r="J4810" s="274" t="e">
        <f t="shared" ca="1" si="77"/>
        <v>#NAME?</v>
      </c>
      <c r="K4810" s="274">
        <f t="shared" si="78"/>
        <v>0</v>
      </c>
      <c r="N4810" s="274"/>
    </row>
    <row r="4811" spans="5:14" ht="13.5" customHeight="1">
      <c r="E4811" s="209" t="s">
        <v>1448</v>
      </c>
      <c r="F4811" s="209" t="s">
        <v>2918</v>
      </c>
      <c r="G4811" s="410" t="str">
        <f t="shared" si="82"/>
        <v>16-16</v>
      </c>
      <c r="H4811" s="273" t="e">
        <f ca="1">_xludf.IFNA(VLOOKUP(E4811,'Urban Plastix Holds'!$I$37:$U$705,8,0),0)</f>
        <v>#NAME?</v>
      </c>
      <c r="I4811" s="274"/>
      <c r="J4811" s="274" t="e">
        <f t="shared" ca="1" si="77"/>
        <v>#NAME?</v>
      </c>
      <c r="K4811" s="274">
        <f t="shared" si="78"/>
        <v>0</v>
      </c>
      <c r="N4811" s="274"/>
    </row>
    <row r="4812" spans="5:14" ht="13.5" customHeight="1">
      <c r="E4812" s="209" t="s">
        <v>1448</v>
      </c>
      <c r="F4812" s="209" t="s">
        <v>2918</v>
      </c>
      <c r="G4812" s="411" t="str">
        <f t="shared" si="82"/>
        <v>13-01</v>
      </c>
      <c r="H4812" s="273" t="e">
        <f ca="1">_xludf.IFNA(VLOOKUP(E4812,'Urban Plastix Holds'!$I$37:$U$705,9,0),0)</f>
        <v>#NAME?</v>
      </c>
      <c r="I4812" s="274"/>
      <c r="J4812" s="274" t="e">
        <f t="shared" ca="1" si="77"/>
        <v>#NAME?</v>
      </c>
      <c r="K4812" s="274">
        <f t="shared" si="78"/>
        <v>0</v>
      </c>
      <c r="N4812" s="274"/>
    </row>
    <row r="4813" spans="5:14" ht="13.5" customHeight="1">
      <c r="E4813" s="209" t="s">
        <v>1448</v>
      </c>
      <c r="F4813" s="209" t="s">
        <v>2918</v>
      </c>
      <c r="G4813" s="413" t="str">
        <f t="shared" si="82"/>
        <v>07-13</v>
      </c>
      <c r="H4813" s="273" t="e">
        <f ca="1">_xludf.IFNA(VLOOKUP(E4813,'Urban Plastix Holds'!$I$37:$U$705,10,0),0)</f>
        <v>#NAME?</v>
      </c>
      <c r="I4813" s="274"/>
      <c r="J4813" s="274" t="e">
        <f t="shared" ca="1" si="77"/>
        <v>#NAME?</v>
      </c>
      <c r="K4813" s="274">
        <f t="shared" si="78"/>
        <v>0</v>
      </c>
      <c r="N4813" s="274"/>
    </row>
    <row r="4814" spans="5:14" ht="13.5" customHeight="1">
      <c r="E4814" s="209" t="s">
        <v>1448</v>
      </c>
      <c r="F4814" s="209" t="s">
        <v>2918</v>
      </c>
      <c r="G4814" s="414" t="str">
        <f t="shared" si="82"/>
        <v>11-26</v>
      </c>
      <c r="H4814" s="273" t="e">
        <f ca="1">_xludf.IFNA(VLOOKUP(E4814,'Urban Plastix Holds'!$I$37:$U$705,11,0),0)</f>
        <v>#NAME?</v>
      </c>
      <c r="I4814" s="274"/>
      <c r="J4814" s="274" t="e">
        <f t="shared" ca="1" si="77"/>
        <v>#NAME?</v>
      </c>
      <c r="K4814" s="274">
        <f t="shared" si="78"/>
        <v>0</v>
      </c>
      <c r="N4814" s="274"/>
    </row>
    <row r="4815" spans="5:14" ht="13.5" customHeight="1">
      <c r="E4815" s="209" t="s">
        <v>1448</v>
      </c>
      <c r="F4815" s="209" t="s">
        <v>2918</v>
      </c>
      <c r="G4815" s="415" t="str">
        <f t="shared" si="82"/>
        <v>18-01</v>
      </c>
      <c r="H4815" s="273" t="e">
        <f ca="1">_xludf.IFNA(VLOOKUP(E4815,'Urban Plastix Holds'!$I$37:$U$705,12,0),0)</f>
        <v>#NAME?</v>
      </c>
      <c r="I4815" s="274"/>
      <c r="J4815" s="274" t="e">
        <f t="shared" ca="1" si="77"/>
        <v>#NAME?</v>
      </c>
      <c r="K4815" s="274">
        <f t="shared" si="78"/>
        <v>0</v>
      </c>
      <c r="N4815" s="274"/>
    </row>
    <row r="4816" spans="5:14" ht="13.5" customHeight="1">
      <c r="E4816" s="209" t="s">
        <v>1448</v>
      </c>
      <c r="F4816" s="209" t="s">
        <v>2918</v>
      </c>
      <c r="G4816" s="416" t="str">
        <f t="shared" si="82"/>
        <v>Color Code</v>
      </c>
      <c r="H4816" s="273" t="e">
        <f ca="1">_xludf.IFNA(VLOOKUP(E4816,'Urban Plastix Holds'!$I$37:$U$705,13,0),0)</f>
        <v>#NAME?</v>
      </c>
      <c r="I4816" s="274"/>
      <c r="J4816" s="274" t="e">
        <f t="shared" ca="1" si="77"/>
        <v>#NAME?</v>
      </c>
      <c r="K4816" s="274">
        <f t="shared" si="78"/>
        <v>0</v>
      </c>
      <c r="N4816" s="274"/>
    </row>
    <row r="4817" spans="5:14" ht="13.5" customHeight="1">
      <c r="E4817" s="209" t="s">
        <v>1451</v>
      </c>
      <c r="F4817" s="209" t="s">
        <v>2919</v>
      </c>
      <c r="G4817" s="406" t="str">
        <f t="shared" si="82"/>
        <v>11-12</v>
      </c>
      <c r="H4817" s="273" t="e">
        <f ca="1">_xludf.IFNA(VLOOKUP(E4817,'Urban Plastix Holds'!$I$37:$U$705,5,0),0)</f>
        <v>#NAME?</v>
      </c>
      <c r="I4817" s="274"/>
      <c r="J4817" s="274" t="e">
        <f t="shared" ca="1" si="77"/>
        <v>#NAME?</v>
      </c>
      <c r="K4817" s="274">
        <f t="shared" si="78"/>
        <v>0</v>
      </c>
      <c r="N4817" s="274"/>
    </row>
    <row r="4818" spans="5:14" ht="13.5" customHeight="1">
      <c r="E4818" s="209" t="s">
        <v>1451</v>
      </c>
      <c r="F4818" s="209" t="s">
        <v>2919</v>
      </c>
      <c r="G4818" s="408" t="str">
        <f t="shared" si="82"/>
        <v>14-01</v>
      </c>
      <c r="H4818" s="273" t="e">
        <f ca="1">_xludf.IFNA(VLOOKUP(E4818,'Urban Plastix Holds'!$I$37:$U$705,6,0),0)</f>
        <v>#NAME?</v>
      </c>
      <c r="I4818" s="274"/>
      <c r="J4818" s="274" t="e">
        <f t="shared" ca="1" si="77"/>
        <v>#NAME?</v>
      </c>
      <c r="K4818" s="274">
        <f t="shared" si="78"/>
        <v>0</v>
      </c>
      <c r="N4818" s="274"/>
    </row>
    <row r="4819" spans="5:14" ht="13.5" customHeight="1">
      <c r="E4819" s="209" t="s">
        <v>1451</v>
      </c>
      <c r="F4819" s="209" t="s">
        <v>2919</v>
      </c>
      <c r="G4819" s="409" t="str">
        <f t="shared" si="82"/>
        <v>15-12</v>
      </c>
      <c r="H4819" s="273" t="e">
        <f ca="1">_xludf.IFNA(VLOOKUP(E4819,'Urban Plastix Holds'!$I$37:$U$705,7,0),0)</f>
        <v>#NAME?</v>
      </c>
      <c r="I4819" s="274"/>
      <c r="J4819" s="274" t="e">
        <f t="shared" ca="1" si="77"/>
        <v>#NAME?</v>
      </c>
      <c r="K4819" s="274">
        <f t="shared" si="78"/>
        <v>0</v>
      </c>
      <c r="N4819" s="274"/>
    </row>
    <row r="4820" spans="5:14" ht="13.5" customHeight="1">
      <c r="E4820" s="209" t="s">
        <v>1451</v>
      </c>
      <c r="F4820" s="209" t="s">
        <v>2919</v>
      </c>
      <c r="G4820" s="410" t="str">
        <f t="shared" si="82"/>
        <v>16-16</v>
      </c>
      <c r="H4820" s="273" t="e">
        <f ca="1">_xludf.IFNA(VLOOKUP(E4820,'Urban Plastix Holds'!$I$37:$U$705,8,0),0)</f>
        <v>#NAME?</v>
      </c>
      <c r="I4820" s="274"/>
      <c r="J4820" s="274" t="e">
        <f t="shared" ca="1" si="77"/>
        <v>#NAME?</v>
      </c>
      <c r="K4820" s="274">
        <f t="shared" si="78"/>
        <v>0</v>
      </c>
      <c r="N4820" s="274"/>
    </row>
    <row r="4821" spans="5:14" ht="13.5" customHeight="1">
      <c r="E4821" s="209" t="s">
        <v>1451</v>
      </c>
      <c r="F4821" s="209" t="s">
        <v>2919</v>
      </c>
      <c r="G4821" s="411" t="str">
        <f t="shared" si="82"/>
        <v>13-01</v>
      </c>
      <c r="H4821" s="273" t="e">
        <f ca="1">_xludf.IFNA(VLOOKUP(E4821,'Urban Plastix Holds'!$I$37:$U$705,9,0),0)</f>
        <v>#NAME?</v>
      </c>
      <c r="I4821" s="274"/>
      <c r="J4821" s="274" t="e">
        <f t="shared" ca="1" si="77"/>
        <v>#NAME?</v>
      </c>
      <c r="K4821" s="274">
        <f t="shared" si="78"/>
        <v>0</v>
      </c>
      <c r="N4821" s="274"/>
    </row>
    <row r="4822" spans="5:14" ht="13.5" customHeight="1">
      <c r="E4822" s="209" t="s">
        <v>1451</v>
      </c>
      <c r="F4822" s="209" t="s">
        <v>2919</v>
      </c>
      <c r="G4822" s="413" t="str">
        <f t="shared" si="82"/>
        <v>07-13</v>
      </c>
      <c r="H4822" s="273" t="e">
        <f ca="1">_xludf.IFNA(VLOOKUP(E4822,'Urban Plastix Holds'!$I$37:$U$705,10,0),0)</f>
        <v>#NAME?</v>
      </c>
      <c r="I4822" s="274"/>
      <c r="J4822" s="274" t="e">
        <f t="shared" ca="1" si="77"/>
        <v>#NAME?</v>
      </c>
      <c r="K4822" s="274">
        <f t="shared" si="78"/>
        <v>0</v>
      </c>
      <c r="N4822" s="274"/>
    </row>
    <row r="4823" spans="5:14" ht="13.5" customHeight="1">
      <c r="E4823" s="209" t="s">
        <v>1451</v>
      </c>
      <c r="F4823" s="209" t="s">
        <v>2919</v>
      </c>
      <c r="G4823" s="414" t="str">
        <f t="shared" si="82"/>
        <v>11-26</v>
      </c>
      <c r="H4823" s="273" t="e">
        <f ca="1">_xludf.IFNA(VLOOKUP(E4823,'Urban Plastix Holds'!$I$37:$U$705,11,0),0)</f>
        <v>#NAME?</v>
      </c>
      <c r="I4823" s="274"/>
      <c r="J4823" s="274" t="e">
        <f t="shared" ca="1" si="77"/>
        <v>#NAME?</v>
      </c>
      <c r="K4823" s="274">
        <f t="shared" si="78"/>
        <v>0</v>
      </c>
      <c r="N4823" s="274"/>
    </row>
    <row r="4824" spans="5:14" ht="13.5" customHeight="1">
      <c r="E4824" s="209" t="s">
        <v>1451</v>
      </c>
      <c r="F4824" s="209" t="s">
        <v>2919</v>
      </c>
      <c r="G4824" s="415" t="str">
        <f t="shared" si="82"/>
        <v>18-01</v>
      </c>
      <c r="H4824" s="273" t="e">
        <f ca="1">_xludf.IFNA(VLOOKUP(E4824,'Urban Plastix Holds'!$I$37:$U$705,12,0),0)</f>
        <v>#NAME?</v>
      </c>
      <c r="I4824" s="274"/>
      <c r="J4824" s="274" t="e">
        <f t="shared" ca="1" si="77"/>
        <v>#NAME?</v>
      </c>
      <c r="K4824" s="274">
        <f t="shared" si="78"/>
        <v>0</v>
      </c>
      <c r="N4824" s="274"/>
    </row>
    <row r="4825" spans="5:14" ht="13.5" customHeight="1">
      <c r="E4825" s="209" t="s">
        <v>1451</v>
      </c>
      <c r="F4825" s="209" t="s">
        <v>2919</v>
      </c>
      <c r="G4825" s="416" t="str">
        <f t="shared" si="82"/>
        <v>Color Code</v>
      </c>
      <c r="H4825" s="273" t="e">
        <f ca="1">_xludf.IFNA(VLOOKUP(E4825,'Urban Plastix Holds'!$I$37:$U$705,13,0),0)</f>
        <v>#NAME?</v>
      </c>
      <c r="I4825" s="274"/>
      <c r="J4825" s="274" t="e">
        <f t="shared" ca="1" si="77"/>
        <v>#NAME?</v>
      </c>
      <c r="K4825" s="274">
        <f t="shared" si="78"/>
        <v>0</v>
      </c>
      <c r="N4825" s="274"/>
    </row>
    <row r="4826" spans="5:14" ht="13.5" customHeight="1">
      <c r="E4826" s="209" t="s">
        <v>1454</v>
      </c>
      <c r="F4826" s="209" t="s">
        <v>2920</v>
      </c>
      <c r="G4826" s="406" t="str">
        <f t="shared" si="82"/>
        <v>11-12</v>
      </c>
      <c r="H4826" s="273" t="e">
        <f ca="1">_xludf.IFNA(VLOOKUP(E4826,'Urban Plastix Holds'!$I$37:$U$705,5,0),0)</f>
        <v>#NAME?</v>
      </c>
      <c r="I4826" s="274"/>
      <c r="J4826" s="274" t="e">
        <f t="shared" ca="1" si="77"/>
        <v>#NAME?</v>
      </c>
      <c r="K4826" s="274">
        <f t="shared" si="78"/>
        <v>0</v>
      </c>
      <c r="N4826" s="274"/>
    </row>
    <row r="4827" spans="5:14" ht="13.5" customHeight="1">
      <c r="E4827" s="209" t="s">
        <v>1454</v>
      </c>
      <c r="F4827" s="209" t="s">
        <v>2920</v>
      </c>
      <c r="G4827" s="408" t="str">
        <f t="shared" si="82"/>
        <v>14-01</v>
      </c>
      <c r="H4827" s="273" t="e">
        <f ca="1">_xludf.IFNA(VLOOKUP(E4827,'Urban Plastix Holds'!$I$37:$U$705,6,0),0)</f>
        <v>#NAME?</v>
      </c>
      <c r="I4827" s="274"/>
      <c r="J4827" s="274" t="e">
        <f t="shared" ca="1" si="77"/>
        <v>#NAME?</v>
      </c>
      <c r="K4827" s="274">
        <f t="shared" si="78"/>
        <v>0</v>
      </c>
      <c r="N4827" s="274"/>
    </row>
    <row r="4828" spans="5:14" ht="13.5" customHeight="1">
      <c r="E4828" s="209" t="s">
        <v>1454</v>
      </c>
      <c r="F4828" s="209" t="s">
        <v>2920</v>
      </c>
      <c r="G4828" s="409" t="str">
        <f t="shared" si="82"/>
        <v>15-12</v>
      </c>
      <c r="H4828" s="273" t="e">
        <f ca="1">_xludf.IFNA(VLOOKUP(E4828,'Urban Plastix Holds'!$I$37:$U$705,7,0),0)</f>
        <v>#NAME?</v>
      </c>
      <c r="I4828" s="274"/>
      <c r="J4828" s="274" t="e">
        <f t="shared" ca="1" si="77"/>
        <v>#NAME?</v>
      </c>
      <c r="K4828" s="274">
        <f t="shared" si="78"/>
        <v>0</v>
      </c>
      <c r="N4828" s="274"/>
    </row>
    <row r="4829" spans="5:14" ht="13.5" customHeight="1">
      <c r="E4829" s="209" t="s">
        <v>1454</v>
      </c>
      <c r="F4829" s="209" t="s">
        <v>2920</v>
      </c>
      <c r="G4829" s="410" t="str">
        <f t="shared" si="82"/>
        <v>16-16</v>
      </c>
      <c r="H4829" s="273" t="e">
        <f ca="1">_xludf.IFNA(VLOOKUP(E4829,'Urban Plastix Holds'!$I$37:$U$705,8,0),0)</f>
        <v>#NAME?</v>
      </c>
      <c r="I4829" s="274"/>
      <c r="J4829" s="274" t="e">
        <f t="shared" ca="1" si="77"/>
        <v>#NAME?</v>
      </c>
      <c r="K4829" s="274">
        <f t="shared" si="78"/>
        <v>0</v>
      </c>
      <c r="N4829" s="274"/>
    </row>
    <row r="4830" spans="5:14" ht="13.5" customHeight="1">
      <c r="E4830" s="209" t="s">
        <v>1454</v>
      </c>
      <c r="F4830" s="209" t="s">
        <v>2920</v>
      </c>
      <c r="G4830" s="411" t="str">
        <f t="shared" si="82"/>
        <v>13-01</v>
      </c>
      <c r="H4830" s="273" t="e">
        <f ca="1">_xludf.IFNA(VLOOKUP(E4830,'Urban Plastix Holds'!$I$37:$U$705,9,0),0)</f>
        <v>#NAME?</v>
      </c>
      <c r="I4830" s="274"/>
      <c r="J4830" s="274" t="e">
        <f t="shared" ca="1" si="77"/>
        <v>#NAME?</v>
      </c>
      <c r="K4830" s="274">
        <f t="shared" si="78"/>
        <v>0</v>
      </c>
      <c r="N4830" s="274"/>
    </row>
    <row r="4831" spans="5:14" ht="13.5" customHeight="1">
      <c r="E4831" s="209" t="s">
        <v>1454</v>
      </c>
      <c r="F4831" s="209" t="s">
        <v>2920</v>
      </c>
      <c r="G4831" s="413" t="str">
        <f t="shared" si="82"/>
        <v>07-13</v>
      </c>
      <c r="H4831" s="273" t="e">
        <f ca="1">_xludf.IFNA(VLOOKUP(E4831,'Urban Plastix Holds'!$I$37:$U$705,10,0),0)</f>
        <v>#NAME?</v>
      </c>
      <c r="I4831" s="274"/>
      <c r="J4831" s="274" t="e">
        <f t="shared" ca="1" si="77"/>
        <v>#NAME?</v>
      </c>
      <c r="K4831" s="274">
        <f t="shared" si="78"/>
        <v>0</v>
      </c>
      <c r="N4831" s="274"/>
    </row>
    <row r="4832" spans="5:14" ht="13.5" customHeight="1">
      <c r="E4832" s="209" t="s">
        <v>1454</v>
      </c>
      <c r="F4832" s="209" t="s">
        <v>2920</v>
      </c>
      <c r="G4832" s="414" t="str">
        <f t="shared" si="82"/>
        <v>11-26</v>
      </c>
      <c r="H4832" s="273" t="e">
        <f ca="1">_xludf.IFNA(VLOOKUP(E4832,'Urban Plastix Holds'!$I$37:$U$705,11,0),0)</f>
        <v>#NAME?</v>
      </c>
      <c r="I4832" s="274"/>
      <c r="J4832" s="274" t="e">
        <f t="shared" ca="1" si="77"/>
        <v>#NAME?</v>
      </c>
      <c r="K4832" s="274">
        <f t="shared" si="78"/>
        <v>0</v>
      </c>
      <c r="N4832" s="274"/>
    </row>
    <row r="4833" spans="5:14" ht="13.5" customHeight="1">
      <c r="E4833" s="209" t="s">
        <v>1454</v>
      </c>
      <c r="F4833" s="209" t="s">
        <v>2920</v>
      </c>
      <c r="G4833" s="415" t="str">
        <f t="shared" si="82"/>
        <v>18-01</v>
      </c>
      <c r="H4833" s="273" t="e">
        <f ca="1">_xludf.IFNA(VLOOKUP(E4833,'Urban Plastix Holds'!$I$37:$U$705,12,0),0)</f>
        <v>#NAME?</v>
      </c>
      <c r="I4833" s="274"/>
      <c r="J4833" s="274" t="e">
        <f t="shared" ca="1" si="77"/>
        <v>#NAME?</v>
      </c>
      <c r="K4833" s="274">
        <f t="shared" si="78"/>
        <v>0</v>
      </c>
      <c r="N4833" s="274"/>
    </row>
    <row r="4834" spans="5:14" ht="13.5" customHeight="1">
      <c r="E4834" s="209" t="s">
        <v>1454</v>
      </c>
      <c r="F4834" s="209" t="s">
        <v>2920</v>
      </c>
      <c r="G4834" s="416" t="str">
        <f t="shared" si="82"/>
        <v>Color Code</v>
      </c>
      <c r="H4834" s="273" t="e">
        <f ca="1">_xludf.IFNA(VLOOKUP(E4834,'Urban Plastix Holds'!$I$37:$U$705,13,0),0)</f>
        <v>#NAME?</v>
      </c>
      <c r="I4834" s="274"/>
      <c r="J4834" s="274" t="e">
        <f t="shared" ca="1" si="77"/>
        <v>#NAME?</v>
      </c>
      <c r="K4834" s="274">
        <f t="shared" si="78"/>
        <v>0</v>
      </c>
      <c r="N4834" s="274"/>
    </row>
    <row r="4835" spans="5:14" ht="13.5" customHeight="1">
      <c r="E4835" s="209" t="s">
        <v>1793</v>
      </c>
      <c r="F4835" s="209" t="s">
        <v>2921</v>
      </c>
      <c r="G4835" s="406" t="str">
        <f t="shared" si="82"/>
        <v>11-12</v>
      </c>
      <c r="H4835" s="273" t="e">
        <f ca="1">_xludf.IFNA(VLOOKUP(E4835,'Urban Plastix Holds'!$I$37:$U$705,5,0),0)</f>
        <v>#NAME?</v>
      </c>
      <c r="I4835" s="274"/>
      <c r="J4835" s="274" t="e">
        <f t="shared" ca="1" si="77"/>
        <v>#NAME?</v>
      </c>
      <c r="K4835" s="274">
        <f t="shared" si="78"/>
        <v>0</v>
      </c>
      <c r="N4835" s="274"/>
    </row>
    <row r="4836" spans="5:14" ht="13.5" customHeight="1">
      <c r="E4836" s="209" t="s">
        <v>1793</v>
      </c>
      <c r="F4836" s="209" t="s">
        <v>2921</v>
      </c>
      <c r="G4836" s="408" t="str">
        <f t="shared" si="82"/>
        <v>14-01</v>
      </c>
      <c r="H4836" s="273" t="e">
        <f ca="1">_xludf.IFNA(VLOOKUP(E4836,'Urban Plastix Holds'!$I$37:$U$705,6,0),0)</f>
        <v>#NAME?</v>
      </c>
      <c r="I4836" s="274"/>
      <c r="J4836" s="274" t="e">
        <f t="shared" ca="1" si="77"/>
        <v>#NAME?</v>
      </c>
      <c r="K4836" s="274">
        <f t="shared" si="78"/>
        <v>0</v>
      </c>
      <c r="N4836" s="274"/>
    </row>
    <row r="4837" spans="5:14" ht="13.5" customHeight="1">
      <c r="E4837" s="209" t="s">
        <v>1793</v>
      </c>
      <c r="F4837" s="209" t="s">
        <v>2921</v>
      </c>
      <c r="G4837" s="409" t="str">
        <f t="shared" si="82"/>
        <v>15-12</v>
      </c>
      <c r="H4837" s="273" t="e">
        <f ca="1">_xludf.IFNA(VLOOKUP(E4837,'Urban Plastix Holds'!$I$37:$U$705,7,0),0)</f>
        <v>#NAME?</v>
      </c>
      <c r="I4837" s="274"/>
      <c r="J4837" s="274" t="e">
        <f t="shared" ca="1" si="77"/>
        <v>#NAME?</v>
      </c>
      <c r="K4837" s="274">
        <f t="shared" si="78"/>
        <v>0</v>
      </c>
      <c r="N4837" s="274"/>
    </row>
    <row r="4838" spans="5:14" ht="13.5" customHeight="1">
      <c r="E4838" s="209" t="s">
        <v>1793</v>
      </c>
      <c r="F4838" s="209" t="s">
        <v>2921</v>
      </c>
      <c r="G4838" s="410" t="str">
        <f t="shared" si="82"/>
        <v>16-16</v>
      </c>
      <c r="H4838" s="273" t="e">
        <f ca="1">_xludf.IFNA(VLOOKUP(E4838,'Urban Plastix Holds'!$I$37:$U$705,8,0),0)</f>
        <v>#NAME?</v>
      </c>
      <c r="I4838" s="274"/>
      <c r="J4838" s="274" t="e">
        <f t="shared" ca="1" si="77"/>
        <v>#NAME?</v>
      </c>
      <c r="K4838" s="274">
        <f t="shared" si="78"/>
        <v>0</v>
      </c>
      <c r="N4838" s="274"/>
    </row>
    <row r="4839" spans="5:14" ht="13.5" customHeight="1">
      <c r="E4839" s="209" t="s">
        <v>1793</v>
      </c>
      <c r="F4839" s="209" t="s">
        <v>2921</v>
      </c>
      <c r="G4839" s="411" t="str">
        <f t="shared" si="82"/>
        <v>13-01</v>
      </c>
      <c r="H4839" s="273" t="e">
        <f ca="1">_xludf.IFNA(VLOOKUP(E4839,'Urban Plastix Holds'!$I$37:$U$705,9,0),0)</f>
        <v>#NAME?</v>
      </c>
      <c r="I4839" s="274"/>
      <c r="J4839" s="274" t="e">
        <f t="shared" ca="1" si="77"/>
        <v>#NAME?</v>
      </c>
      <c r="K4839" s="274">
        <f t="shared" si="78"/>
        <v>0</v>
      </c>
      <c r="N4839" s="274"/>
    </row>
    <row r="4840" spans="5:14" ht="13.5" customHeight="1">
      <c r="E4840" s="209" t="s">
        <v>1793</v>
      </c>
      <c r="F4840" s="209" t="s">
        <v>2921</v>
      </c>
      <c r="G4840" s="413" t="str">
        <f t="shared" si="82"/>
        <v>07-13</v>
      </c>
      <c r="H4840" s="273" t="e">
        <f ca="1">_xludf.IFNA(VLOOKUP(E4840,'Urban Plastix Holds'!$I$37:$U$705,10,0),0)</f>
        <v>#NAME?</v>
      </c>
      <c r="I4840" s="274"/>
      <c r="J4840" s="274" t="e">
        <f t="shared" ca="1" si="77"/>
        <v>#NAME?</v>
      </c>
      <c r="K4840" s="274">
        <f t="shared" si="78"/>
        <v>0</v>
      </c>
      <c r="N4840" s="274"/>
    </row>
    <row r="4841" spans="5:14" ht="13.5" customHeight="1">
      <c r="E4841" s="209" t="s">
        <v>1793</v>
      </c>
      <c r="F4841" s="209" t="s">
        <v>2921</v>
      </c>
      <c r="G4841" s="414" t="str">
        <f t="shared" si="82"/>
        <v>11-26</v>
      </c>
      <c r="H4841" s="273" t="e">
        <f ca="1">_xludf.IFNA(VLOOKUP(E4841,'Urban Plastix Holds'!$I$37:$U$705,11,0),0)</f>
        <v>#NAME?</v>
      </c>
      <c r="I4841" s="274"/>
      <c r="J4841" s="274" t="e">
        <f t="shared" ca="1" si="77"/>
        <v>#NAME?</v>
      </c>
      <c r="K4841" s="274">
        <f t="shared" si="78"/>
        <v>0</v>
      </c>
      <c r="N4841" s="274"/>
    </row>
    <row r="4842" spans="5:14" ht="13.5" customHeight="1">
      <c r="E4842" s="209" t="s">
        <v>1793</v>
      </c>
      <c r="F4842" s="209" t="s">
        <v>2921</v>
      </c>
      <c r="G4842" s="415" t="str">
        <f t="shared" si="82"/>
        <v>18-01</v>
      </c>
      <c r="H4842" s="273" t="e">
        <f ca="1">_xludf.IFNA(VLOOKUP(E4842,'Urban Plastix Holds'!$I$37:$U$705,12,0),0)</f>
        <v>#NAME?</v>
      </c>
      <c r="I4842" s="274"/>
      <c r="J4842" s="274" t="e">
        <f t="shared" ca="1" si="77"/>
        <v>#NAME?</v>
      </c>
      <c r="K4842" s="274">
        <f t="shared" si="78"/>
        <v>0</v>
      </c>
      <c r="N4842" s="274"/>
    </row>
    <row r="4843" spans="5:14" ht="13.5" customHeight="1">
      <c r="E4843" s="209" t="s">
        <v>1793</v>
      </c>
      <c r="F4843" s="209" t="s">
        <v>2921</v>
      </c>
      <c r="G4843" s="416" t="str">
        <f t="shared" si="82"/>
        <v>Color Code</v>
      </c>
      <c r="H4843" s="273" t="e">
        <f ca="1">_xludf.IFNA(VLOOKUP(E4843,'Urban Plastix Holds'!$I$37:$U$705,13,0),0)</f>
        <v>#NAME?</v>
      </c>
      <c r="I4843" s="274"/>
      <c r="J4843" s="274" t="e">
        <f t="shared" ca="1" si="77"/>
        <v>#NAME?</v>
      </c>
      <c r="K4843" s="274">
        <f t="shared" si="78"/>
        <v>0</v>
      </c>
      <c r="N4843" s="274"/>
    </row>
    <row r="4844" spans="5:14" ht="13.5" customHeight="1">
      <c r="E4844" s="209" t="s">
        <v>1612</v>
      </c>
      <c r="F4844" s="209" t="s">
        <v>2922</v>
      </c>
      <c r="G4844" s="406" t="str">
        <f t="shared" si="82"/>
        <v>11-12</v>
      </c>
      <c r="H4844" s="273" t="e">
        <f ca="1">_xludf.IFNA(VLOOKUP(E4844,'Urban Plastix Holds'!$I$37:$U$705,5,0),0)</f>
        <v>#NAME?</v>
      </c>
      <c r="I4844" s="274"/>
      <c r="J4844" s="274" t="e">
        <f t="shared" ca="1" si="77"/>
        <v>#NAME?</v>
      </c>
      <c r="K4844" s="274">
        <f t="shared" si="78"/>
        <v>0</v>
      </c>
      <c r="N4844" s="274"/>
    </row>
    <row r="4845" spans="5:14" ht="13.5" customHeight="1">
      <c r="E4845" s="209" t="s">
        <v>1612</v>
      </c>
      <c r="F4845" s="209" t="s">
        <v>2922</v>
      </c>
      <c r="G4845" s="408" t="str">
        <f t="shared" si="82"/>
        <v>14-01</v>
      </c>
      <c r="H4845" s="273" t="e">
        <f ca="1">_xludf.IFNA(VLOOKUP(E4845,'Urban Plastix Holds'!$I$37:$U$705,6,0),0)</f>
        <v>#NAME?</v>
      </c>
      <c r="I4845" s="274"/>
      <c r="J4845" s="274" t="e">
        <f t="shared" ca="1" si="77"/>
        <v>#NAME?</v>
      </c>
      <c r="K4845" s="274">
        <f t="shared" si="78"/>
        <v>0</v>
      </c>
      <c r="N4845" s="274"/>
    </row>
    <row r="4846" spans="5:14" ht="13.5" customHeight="1">
      <c r="E4846" s="209" t="s">
        <v>1612</v>
      </c>
      <c r="F4846" s="209" t="s">
        <v>2922</v>
      </c>
      <c r="G4846" s="409" t="str">
        <f t="shared" si="82"/>
        <v>15-12</v>
      </c>
      <c r="H4846" s="273" t="e">
        <f ca="1">_xludf.IFNA(VLOOKUP(E4846,'Urban Plastix Holds'!$I$37:$U$705,7,0),0)</f>
        <v>#NAME?</v>
      </c>
      <c r="I4846" s="274"/>
      <c r="J4846" s="274" t="e">
        <f t="shared" ca="1" si="77"/>
        <v>#NAME?</v>
      </c>
      <c r="K4846" s="274">
        <f t="shared" si="78"/>
        <v>0</v>
      </c>
      <c r="N4846" s="274"/>
    </row>
    <row r="4847" spans="5:14" ht="13.5" customHeight="1">
      <c r="E4847" s="209" t="s">
        <v>1612</v>
      </c>
      <c r="F4847" s="209" t="s">
        <v>2922</v>
      </c>
      <c r="G4847" s="410" t="str">
        <f t="shared" si="82"/>
        <v>16-16</v>
      </c>
      <c r="H4847" s="273" t="e">
        <f ca="1">_xludf.IFNA(VLOOKUP(E4847,'Urban Plastix Holds'!$I$37:$U$705,8,0),0)</f>
        <v>#NAME?</v>
      </c>
      <c r="I4847" s="274"/>
      <c r="J4847" s="274" t="e">
        <f t="shared" ref="J4847:J5101" ca="1" si="83">H4847*I4847</f>
        <v>#NAME?</v>
      </c>
      <c r="K4847" s="274">
        <f t="shared" ref="K4847:K5101" si="84">IF($V$11="Y",J4847*0.05,0)</f>
        <v>0</v>
      </c>
      <c r="N4847" s="274"/>
    </row>
    <row r="4848" spans="5:14" ht="13.5" customHeight="1">
      <c r="E4848" s="209" t="s">
        <v>1612</v>
      </c>
      <c r="F4848" s="209" t="s">
        <v>2922</v>
      </c>
      <c r="G4848" s="411" t="str">
        <f t="shared" si="82"/>
        <v>13-01</v>
      </c>
      <c r="H4848" s="273" t="e">
        <f ca="1">_xludf.IFNA(VLOOKUP(E4848,'Urban Plastix Holds'!$I$37:$U$705,9,0),0)</f>
        <v>#NAME?</v>
      </c>
      <c r="I4848" s="274"/>
      <c r="J4848" s="274" t="e">
        <f t="shared" ca="1" si="83"/>
        <v>#NAME?</v>
      </c>
      <c r="K4848" s="274">
        <f t="shared" si="84"/>
        <v>0</v>
      </c>
      <c r="N4848" s="274"/>
    </row>
    <row r="4849" spans="5:14" ht="13.5" customHeight="1">
      <c r="E4849" s="209" t="s">
        <v>1612</v>
      </c>
      <c r="F4849" s="209" t="s">
        <v>2922</v>
      </c>
      <c r="G4849" s="413" t="str">
        <f t="shared" si="82"/>
        <v>07-13</v>
      </c>
      <c r="H4849" s="273" t="e">
        <f ca="1">_xludf.IFNA(VLOOKUP(E4849,'Urban Plastix Holds'!$I$37:$U$705,10,0),0)</f>
        <v>#NAME?</v>
      </c>
      <c r="I4849" s="274"/>
      <c r="J4849" s="274" t="e">
        <f t="shared" ca="1" si="83"/>
        <v>#NAME?</v>
      </c>
      <c r="K4849" s="274">
        <f t="shared" si="84"/>
        <v>0</v>
      </c>
      <c r="N4849" s="274"/>
    </row>
    <row r="4850" spans="5:14" ht="13.5" customHeight="1">
      <c r="E4850" s="209" t="s">
        <v>1612</v>
      </c>
      <c r="F4850" s="209" t="s">
        <v>2922</v>
      </c>
      <c r="G4850" s="414" t="str">
        <f t="shared" si="82"/>
        <v>11-26</v>
      </c>
      <c r="H4850" s="273" t="e">
        <f ca="1">_xludf.IFNA(VLOOKUP(E4850,'Urban Plastix Holds'!$I$37:$U$705,11,0),0)</f>
        <v>#NAME?</v>
      </c>
      <c r="I4850" s="274"/>
      <c r="J4850" s="274" t="e">
        <f t="shared" ca="1" si="83"/>
        <v>#NAME?</v>
      </c>
      <c r="K4850" s="274">
        <f t="shared" si="84"/>
        <v>0</v>
      </c>
      <c r="N4850" s="274"/>
    </row>
    <row r="4851" spans="5:14" ht="13.5" customHeight="1">
      <c r="E4851" s="209" t="s">
        <v>1612</v>
      </c>
      <c r="F4851" s="209" t="s">
        <v>2922</v>
      </c>
      <c r="G4851" s="415" t="str">
        <f t="shared" si="82"/>
        <v>18-01</v>
      </c>
      <c r="H4851" s="273" t="e">
        <f ca="1">_xludf.IFNA(VLOOKUP(E4851,'Urban Plastix Holds'!$I$37:$U$705,12,0),0)</f>
        <v>#NAME?</v>
      </c>
      <c r="I4851" s="274"/>
      <c r="J4851" s="274" t="e">
        <f t="shared" ca="1" si="83"/>
        <v>#NAME?</v>
      </c>
      <c r="K4851" s="274">
        <f t="shared" si="84"/>
        <v>0</v>
      </c>
      <c r="N4851" s="274"/>
    </row>
    <row r="4852" spans="5:14" ht="13.5" customHeight="1">
      <c r="E4852" s="209" t="s">
        <v>1612</v>
      </c>
      <c r="F4852" s="209" t="s">
        <v>2922</v>
      </c>
      <c r="G4852" s="416" t="str">
        <f t="shared" si="82"/>
        <v>Color Code</v>
      </c>
      <c r="H4852" s="273" t="e">
        <f ca="1">_xludf.IFNA(VLOOKUP(E4852,'Urban Plastix Holds'!$I$37:$U$705,13,0),0)</f>
        <v>#NAME?</v>
      </c>
      <c r="I4852" s="274"/>
      <c r="J4852" s="274" t="e">
        <f t="shared" ca="1" si="83"/>
        <v>#NAME?</v>
      </c>
      <c r="K4852" s="274">
        <f t="shared" si="84"/>
        <v>0</v>
      </c>
      <c r="N4852" s="274"/>
    </row>
    <row r="4853" spans="5:14" ht="13.5" customHeight="1">
      <c r="E4853" s="209" t="s">
        <v>1502</v>
      </c>
      <c r="F4853" s="209" t="s">
        <v>2923</v>
      </c>
      <c r="G4853" s="406" t="str">
        <f t="shared" si="82"/>
        <v>11-12</v>
      </c>
      <c r="H4853" s="273" t="e">
        <f ca="1">_xludf.IFNA(VLOOKUP(E4853,'Urban Plastix Holds'!$I$37:$U$705,5,0),0)</f>
        <v>#NAME?</v>
      </c>
      <c r="I4853" s="274"/>
      <c r="J4853" s="274" t="e">
        <f t="shared" ca="1" si="83"/>
        <v>#NAME?</v>
      </c>
      <c r="K4853" s="274">
        <f t="shared" si="84"/>
        <v>0</v>
      </c>
      <c r="N4853" s="274"/>
    </row>
    <row r="4854" spans="5:14" ht="13.5" customHeight="1">
      <c r="E4854" s="209" t="s">
        <v>1502</v>
      </c>
      <c r="F4854" s="209" t="s">
        <v>2923</v>
      </c>
      <c r="G4854" s="408" t="str">
        <f t="shared" si="82"/>
        <v>14-01</v>
      </c>
      <c r="H4854" s="273" t="e">
        <f ca="1">_xludf.IFNA(VLOOKUP(E4854,'Urban Plastix Holds'!$I$37:$U$705,6,0),0)</f>
        <v>#NAME?</v>
      </c>
      <c r="I4854" s="274"/>
      <c r="J4854" s="274" t="e">
        <f t="shared" ca="1" si="83"/>
        <v>#NAME?</v>
      </c>
      <c r="K4854" s="274">
        <f t="shared" si="84"/>
        <v>0</v>
      </c>
      <c r="N4854" s="274"/>
    </row>
    <row r="4855" spans="5:14" ht="13.5" customHeight="1">
      <c r="E4855" s="209" t="s">
        <v>1502</v>
      </c>
      <c r="F4855" s="209" t="s">
        <v>2923</v>
      </c>
      <c r="G4855" s="409" t="str">
        <f t="shared" si="82"/>
        <v>15-12</v>
      </c>
      <c r="H4855" s="273" t="e">
        <f ca="1">_xludf.IFNA(VLOOKUP(E4855,'Urban Plastix Holds'!$I$37:$U$705,7,0),0)</f>
        <v>#NAME?</v>
      </c>
      <c r="I4855" s="274"/>
      <c r="J4855" s="274" t="e">
        <f t="shared" ca="1" si="83"/>
        <v>#NAME?</v>
      </c>
      <c r="K4855" s="274">
        <f t="shared" si="84"/>
        <v>0</v>
      </c>
      <c r="N4855" s="274"/>
    </row>
    <row r="4856" spans="5:14" ht="13.5" customHeight="1">
      <c r="E4856" s="209" t="s">
        <v>1502</v>
      </c>
      <c r="F4856" s="209" t="s">
        <v>2923</v>
      </c>
      <c r="G4856" s="410" t="str">
        <f t="shared" si="82"/>
        <v>16-16</v>
      </c>
      <c r="H4856" s="273" t="e">
        <f ca="1">_xludf.IFNA(VLOOKUP(E4856,'Urban Plastix Holds'!$I$37:$U$705,8,0),0)</f>
        <v>#NAME?</v>
      </c>
      <c r="I4856" s="274"/>
      <c r="J4856" s="274" t="e">
        <f t="shared" ca="1" si="83"/>
        <v>#NAME?</v>
      </c>
      <c r="K4856" s="274">
        <f t="shared" si="84"/>
        <v>0</v>
      </c>
      <c r="N4856" s="274"/>
    </row>
    <row r="4857" spans="5:14" ht="13.5" customHeight="1">
      <c r="E4857" s="209" t="s">
        <v>1502</v>
      </c>
      <c r="F4857" s="209" t="s">
        <v>2923</v>
      </c>
      <c r="G4857" s="411" t="str">
        <f t="shared" si="82"/>
        <v>13-01</v>
      </c>
      <c r="H4857" s="273" t="e">
        <f ca="1">_xludf.IFNA(VLOOKUP(E4857,'Urban Plastix Holds'!$I$37:$U$705,9,0),0)</f>
        <v>#NAME?</v>
      </c>
      <c r="I4857" s="274"/>
      <c r="J4857" s="274" t="e">
        <f t="shared" ca="1" si="83"/>
        <v>#NAME?</v>
      </c>
      <c r="K4857" s="274">
        <f t="shared" si="84"/>
        <v>0</v>
      </c>
      <c r="N4857" s="274"/>
    </row>
    <row r="4858" spans="5:14" ht="13.5" customHeight="1">
      <c r="E4858" s="209" t="s">
        <v>1502</v>
      </c>
      <c r="F4858" s="209" t="s">
        <v>2923</v>
      </c>
      <c r="G4858" s="413" t="str">
        <f t="shared" si="82"/>
        <v>07-13</v>
      </c>
      <c r="H4858" s="273" t="e">
        <f ca="1">_xludf.IFNA(VLOOKUP(E4858,'Urban Plastix Holds'!$I$37:$U$705,10,0),0)</f>
        <v>#NAME?</v>
      </c>
      <c r="I4858" s="274"/>
      <c r="J4858" s="274" t="e">
        <f t="shared" ca="1" si="83"/>
        <v>#NAME?</v>
      </c>
      <c r="K4858" s="274">
        <f t="shared" si="84"/>
        <v>0</v>
      </c>
      <c r="N4858" s="274"/>
    </row>
    <row r="4859" spans="5:14" ht="13.5" customHeight="1">
      <c r="E4859" s="209" t="s">
        <v>1502</v>
      </c>
      <c r="F4859" s="209" t="s">
        <v>2923</v>
      </c>
      <c r="G4859" s="414" t="str">
        <f t="shared" si="82"/>
        <v>11-26</v>
      </c>
      <c r="H4859" s="273" t="e">
        <f ca="1">_xludf.IFNA(VLOOKUP(E4859,'Urban Plastix Holds'!$I$37:$U$705,11,0),0)</f>
        <v>#NAME?</v>
      </c>
      <c r="I4859" s="274"/>
      <c r="J4859" s="274" t="e">
        <f t="shared" ca="1" si="83"/>
        <v>#NAME?</v>
      </c>
      <c r="K4859" s="274">
        <f t="shared" si="84"/>
        <v>0</v>
      </c>
      <c r="N4859" s="274"/>
    </row>
    <row r="4860" spans="5:14" ht="13.5" customHeight="1">
      <c r="E4860" s="209" t="s">
        <v>1502</v>
      </c>
      <c r="F4860" s="209" t="s">
        <v>2923</v>
      </c>
      <c r="G4860" s="415" t="str">
        <f t="shared" si="82"/>
        <v>18-01</v>
      </c>
      <c r="H4860" s="273" t="e">
        <f ca="1">_xludf.IFNA(VLOOKUP(E4860,'Urban Plastix Holds'!$I$37:$U$705,12,0),0)</f>
        <v>#NAME?</v>
      </c>
      <c r="I4860" s="274"/>
      <c r="J4860" s="274" t="e">
        <f t="shared" ca="1" si="83"/>
        <v>#NAME?</v>
      </c>
      <c r="K4860" s="274">
        <f t="shared" si="84"/>
        <v>0</v>
      </c>
      <c r="N4860" s="274"/>
    </row>
    <row r="4861" spans="5:14" ht="13.5" customHeight="1">
      <c r="E4861" s="209" t="s">
        <v>1502</v>
      </c>
      <c r="F4861" s="209" t="s">
        <v>2923</v>
      </c>
      <c r="G4861" s="416" t="str">
        <f t="shared" si="82"/>
        <v>Color Code</v>
      </c>
      <c r="H4861" s="273" t="e">
        <f ca="1">_xludf.IFNA(VLOOKUP(E4861,'Urban Plastix Holds'!$I$37:$U$705,13,0),0)</f>
        <v>#NAME?</v>
      </c>
      <c r="I4861" s="274"/>
      <c r="J4861" s="274" t="e">
        <f t="shared" ca="1" si="83"/>
        <v>#NAME?</v>
      </c>
      <c r="K4861" s="274">
        <f t="shared" si="84"/>
        <v>0</v>
      </c>
      <c r="N4861" s="274"/>
    </row>
    <row r="4862" spans="5:14" ht="13.5" customHeight="1">
      <c r="E4862" s="209" t="s">
        <v>1460</v>
      </c>
      <c r="F4862" s="209" t="s">
        <v>2924</v>
      </c>
      <c r="G4862" s="406" t="str">
        <f t="shared" si="82"/>
        <v>11-12</v>
      </c>
      <c r="H4862" s="273" t="e">
        <f ca="1">_xludf.IFNA(VLOOKUP(E4862,'Urban Plastix Holds'!$I$37:$U$705,5,0),0)</f>
        <v>#NAME?</v>
      </c>
      <c r="I4862" s="274"/>
      <c r="J4862" s="274" t="e">
        <f t="shared" ca="1" si="83"/>
        <v>#NAME?</v>
      </c>
      <c r="K4862" s="274">
        <f t="shared" si="84"/>
        <v>0</v>
      </c>
      <c r="N4862" s="274"/>
    </row>
    <row r="4863" spans="5:14" ht="13.5" customHeight="1">
      <c r="E4863" s="209" t="s">
        <v>1460</v>
      </c>
      <c r="F4863" s="209" t="s">
        <v>2924</v>
      </c>
      <c r="G4863" s="408" t="str">
        <f t="shared" si="82"/>
        <v>14-01</v>
      </c>
      <c r="H4863" s="273" t="e">
        <f ca="1">_xludf.IFNA(VLOOKUP(E4863,'Urban Plastix Holds'!$I$37:$U$705,6,0),0)</f>
        <v>#NAME?</v>
      </c>
      <c r="I4863" s="274"/>
      <c r="J4863" s="274" t="e">
        <f t="shared" ca="1" si="83"/>
        <v>#NAME?</v>
      </c>
      <c r="K4863" s="274">
        <f t="shared" si="84"/>
        <v>0</v>
      </c>
      <c r="N4863" s="274"/>
    </row>
    <row r="4864" spans="5:14" ht="13.5" customHeight="1">
      <c r="E4864" s="209" t="s">
        <v>1460</v>
      </c>
      <c r="F4864" s="209" t="s">
        <v>2924</v>
      </c>
      <c r="G4864" s="409" t="str">
        <f t="shared" si="82"/>
        <v>15-12</v>
      </c>
      <c r="H4864" s="273" t="e">
        <f ca="1">_xludf.IFNA(VLOOKUP(E4864,'Urban Plastix Holds'!$I$37:$U$705,7,0),0)</f>
        <v>#NAME?</v>
      </c>
      <c r="I4864" s="274"/>
      <c r="J4864" s="274" t="e">
        <f t="shared" ca="1" si="83"/>
        <v>#NAME?</v>
      </c>
      <c r="K4864" s="274">
        <f t="shared" si="84"/>
        <v>0</v>
      </c>
      <c r="N4864" s="274"/>
    </row>
    <row r="4865" spans="5:14" ht="13.5" customHeight="1">
      <c r="E4865" s="209" t="s">
        <v>1460</v>
      </c>
      <c r="F4865" s="209" t="s">
        <v>2924</v>
      </c>
      <c r="G4865" s="410" t="str">
        <f t="shared" si="82"/>
        <v>16-16</v>
      </c>
      <c r="H4865" s="273" t="e">
        <f ca="1">_xludf.IFNA(VLOOKUP(E4865,'Urban Plastix Holds'!$I$37:$U$705,8,0),0)</f>
        <v>#NAME?</v>
      </c>
      <c r="I4865" s="274"/>
      <c r="J4865" s="274" t="e">
        <f t="shared" ca="1" si="83"/>
        <v>#NAME?</v>
      </c>
      <c r="K4865" s="274">
        <f t="shared" si="84"/>
        <v>0</v>
      </c>
      <c r="N4865" s="274"/>
    </row>
    <row r="4866" spans="5:14" ht="13.5" customHeight="1">
      <c r="E4866" s="209" t="s">
        <v>1460</v>
      </c>
      <c r="F4866" s="209" t="s">
        <v>2924</v>
      </c>
      <c r="G4866" s="411" t="str">
        <f t="shared" si="82"/>
        <v>13-01</v>
      </c>
      <c r="H4866" s="273" t="e">
        <f ca="1">_xludf.IFNA(VLOOKUP(E4866,'Urban Plastix Holds'!$I$37:$U$705,9,0),0)</f>
        <v>#NAME?</v>
      </c>
      <c r="I4866" s="274"/>
      <c r="J4866" s="274" t="e">
        <f t="shared" ca="1" si="83"/>
        <v>#NAME?</v>
      </c>
      <c r="K4866" s="274">
        <f t="shared" si="84"/>
        <v>0</v>
      </c>
      <c r="N4866" s="274"/>
    </row>
    <row r="4867" spans="5:14" ht="13.5" customHeight="1">
      <c r="E4867" s="209" t="s">
        <v>1460</v>
      </c>
      <c r="F4867" s="209" t="s">
        <v>2924</v>
      </c>
      <c r="G4867" s="413" t="str">
        <f t="shared" si="82"/>
        <v>07-13</v>
      </c>
      <c r="H4867" s="273" t="e">
        <f ca="1">_xludf.IFNA(VLOOKUP(E4867,'Urban Plastix Holds'!$I$37:$U$705,10,0),0)</f>
        <v>#NAME?</v>
      </c>
      <c r="I4867" s="274"/>
      <c r="J4867" s="274" t="e">
        <f t="shared" ca="1" si="83"/>
        <v>#NAME?</v>
      </c>
      <c r="K4867" s="274">
        <f t="shared" si="84"/>
        <v>0</v>
      </c>
      <c r="N4867" s="274"/>
    </row>
    <row r="4868" spans="5:14" ht="13.5" customHeight="1">
      <c r="E4868" s="209" t="s">
        <v>1460</v>
      </c>
      <c r="F4868" s="209" t="s">
        <v>2924</v>
      </c>
      <c r="G4868" s="414" t="str">
        <f t="shared" si="82"/>
        <v>11-26</v>
      </c>
      <c r="H4868" s="273" t="e">
        <f ca="1">_xludf.IFNA(VLOOKUP(E4868,'Urban Plastix Holds'!$I$37:$U$705,11,0),0)</f>
        <v>#NAME?</v>
      </c>
      <c r="I4868" s="274"/>
      <c r="J4868" s="274" t="e">
        <f t="shared" ca="1" si="83"/>
        <v>#NAME?</v>
      </c>
      <c r="K4868" s="274">
        <f t="shared" si="84"/>
        <v>0</v>
      </c>
      <c r="N4868" s="274"/>
    </row>
    <row r="4869" spans="5:14" ht="13.5" customHeight="1">
      <c r="E4869" s="209" t="s">
        <v>1460</v>
      </c>
      <c r="F4869" s="209" t="s">
        <v>2924</v>
      </c>
      <c r="G4869" s="415" t="str">
        <f t="shared" si="82"/>
        <v>18-01</v>
      </c>
      <c r="H4869" s="273" t="e">
        <f ca="1">_xludf.IFNA(VLOOKUP(E4869,'Urban Plastix Holds'!$I$37:$U$705,12,0),0)</f>
        <v>#NAME?</v>
      </c>
      <c r="I4869" s="274"/>
      <c r="J4869" s="274" t="e">
        <f t="shared" ca="1" si="83"/>
        <v>#NAME?</v>
      </c>
      <c r="K4869" s="274">
        <f t="shared" si="84"/>
        <v>0</v>
      </c>
      <c r="N4869" s="274"/>
    </row>
    <row r="4870" spans="5:14" ht="13.5" customHeight="1">
      <c r="E4870" s="209" t="s">
        <v>1460</v>
      </c>
      <c r="F4870" s="209" t="s">
        <v>2924</v>
      </c>
      <c r="G4870" s="416" t="str">
        <f t="shared" si="82"/>
        <v>Color Code</v>
      </c>
      <c r="H4870" s="273" t="e">
        <f ca="1">_xludf.IFNA(VLOOKUP(E4870,'Urban Plastix Holds'!$I$37:$U$705,13,0),0)</f>
        <v>#NAME?</v>
      </c>
      <c r="I4870" s="274"/>
      <c r="J4870" s="274" t="e">
        <f t="shared" ca="1" si="83"/>
        <v>#NAME?</v>
      </c>
      <c r="K4870" s="274">
        <f t="shared" si="84"/>
        <v>0</v>
      </c>
      <c r="N4870" s="274"/>
    </row>
    <row r="4871" spans="5:14" ht="13.5" customHeight="1">
      <c r="E4871" s="209" t="s">
        <v>1777</v>
      </c>
      <c r="F4871" s="209" t="s">
        <v>2925</v>
      </c>
      <c r="G4871" s="406" t="str">
        <f t="shared" si="82"/>
        <v>11-12</v>
      </c>
      <c r="H4871" s="273" t="e">
        <f ca="1">_xludf.IFNA(VLOOKUP(E4871,'Urban Plastix Holds'!$I$37:$U$705,5,0),0)</f>
        <v>#NAME?</v>
      </c>
      <c r="I4871" s="274"/>
      <c r="J4871" s="274" t="e">
        <f t="shared" ca="1" si="83"/>
        <v>#NAME?</v>
      </c>
      <c r="K4871" s="274">
        <f t="shared" si="84"/>
        <v>0</v>
      </c>
      <c r="N4871" s="274"/>
    </row>
    <row r="4872" spans="5:14" ht="13.5" customHeight="1">
      <c r="E4872" s="209" t="s">
        <v>1777</v>
      </c>
      <c r="F4872" s="209" t="s">
        <v>2925</v>
      </c>
      <c r="G4872" s="408" t="str">
        <f t="shared" si="82"/>
        <v>14-01</v>
      </c>
      <c r="H4872" s="273" t="e">
        <f ca="1">_xludf.IFNA(VLOOKUP(E4872,'Urban Plastix Holds'!$I$37:$U$705,6,0),0)</f>
        <v>#NAME?</v>
      </c>
      <c r="I4872" s="274"/>
      <c r="J4872" s="274" t="e">
        <f t="shared" ca="1" si="83"/>
        <v>#NAME?</v>
      </c>
      <c r="K4872" s="274">
        <f t="shared" si="84"/>
        <v>0</v>
      </c>
      <c r="N4872" s="274"/>
    </row>
    <row r="4873" spans="5:14" ht="13.5" customHeight="1">
      <c r="E4873" s="209" t="s">
        <v>1777</v>
      </c>
      <c r="F4873" s="209" t="s">
        <v>2925</v>
      </c>
      <c r="G4873" s="409" t="str">
        <f t="shared" si="82"/>
        <v>15-12</v>
      </c>
      <c r="H4873" s="273" t="e">
        <f ca="1">_xludf.IFNA(VLOOKUP(E4873,'Urban Plastix Holds'!$I$37:$U$705,7,0),0)</f>
        <v>#NAME?</v>
      </c>
      <c r="I4873" s="274"/>
      <c r="J4873" s="274" t="e">
        <f t="shared" ca="1" si="83"/>
        <v>#NAME?</v>
      </c>
      <c r="K4873" s="274">
        <f t="shared" si="84"/>
        <v>0</v>
      </c>
      <c r="N4873" s="274"/>
    </row>
    <row r="4874" spans="5:14" ht="13.5" customHeight="1">
      <c r="E4874" s="209" t="s">
        <v>1777</v>
      </c>
      <c r="F4874" s="209" t="s">
        <v>2925</v>
      </c>
      <c r="G4874" s="410" t="str">
        <f t="shared" si="82"/>
        <v>16-16</v>
      </c>
      <c r="H4874" s="273" t="e">
        <f ca="1">_xludf.IFNA(VLOOKUP(E4874,'Urban Plastix Holds'!$I$37:$U$705,8,0),0)</f>
        <v>#NAME?</v>
      </c>
      <c r="I4874" s="274"/>
      <c r="J4874" s="274" t="e">
        <f t="shared" ca="1" si="83"/>
        <v>#NAME?</v>
      </c>
      <c r="K4874" s="274">
        <f t="shared" si="84"/>
        <v>0</v>
      </c>
      <c r="N4874" s="274"/>
    </row>
    <row r="4875" spans="5:14" ht="13.5" customHeight="1">
      <c r="E4875" s="209" t="s">
        <v>1777</v>
      </c>
      <c r="F4875" s="209" t="s">
        <v>2925</v>
      </c>
      <c r="G4875" s="411" t="str">
        <f t="shared" si="82"/>
        <v>13-01</v>
      </c>
      <c r="H4875" s="273" t="e">
        <f ca="1">_xludf.IFNA(VLOOKUP(E4875,'Urban Plastix Holds'!$I$37:$U$705,9,0),0)</f>
        <v>#NAME?</v>
      </c>
      <c r="I4875" s="274"/>
      <c r="J4875" s="274" t="e">
        <f t="shared" ca="1" si="83"/>
        <v>#NAME?</v>
      </c>
      <c r="K4875" s="274">
        <f t="shared" si="84"/>
        <v>0</v>
      </c>
      <c r="N4875" s="274"/>
    </row>
    <row r="4876" spans="5:14" ht="13.5" customHeight="1">
      <c r="E4876" s="209" t="s">
        <v>1777</v>
      </c>
      <c r="F4876" s="209" t="s">
        <v>2925</v>
      </c>
      <c r="G4876" s="413" t="str">
        <f t="shared" si="82"/>
        <v>07-13</v>
      </c>
      <c r="H4876" s="273" t="e">
        <f ca="1">_xludf.IFNA(VLOOKUP(E4876,'Urban Plastix Holds'!$I$37:$U$705,10,0),0)</f>
        <v>#NAME?</v>
      </c>
      <c r="I4876" s="274"/>
      <c r="J4876" s="274" t="e">
        <f t="shared" ca="1" si="83"/>
        <v>#NAME?</v>
      </c>
      <c r="K4876" s="274">
        <f t="shared" si="84"/>
        <v>0</v>
      </c>
      <c r="N4876" s="274"/>
    </row>
    <row r="4877" spans="5:14" ht="13.5" customHeight="1">
      <c r="E4877" s="209" t="s">
        <v>1777</v>
      </c>
      <c r="F4877" s="209" t="s">
        <v>2925</v>
      </c>
      <c r="G4877" s="414" t="str">
        <f t="shared" si="82"/>
        <v>11-26</v>
      </c>
      <c r="H4877" s="273" t="e">
        <f ca="1">_xludf.IFNA(VLOOKUP(E4877,'Urban Plastix Holds'!$I$37:$U$705,11,0),0)</f>
        <v>#NAME?</v>
      </c>
      <c r="I4877" s="274"/>
      <c r="J4877" s="274" t="e">
        <f t="shared" ca="1" si="83"/>
        <v>#NAME?</v>
      </c>
      <c r="K4877" s="274">
        <f t="shared" si="84"/>
        <v>0</v>
      </c>
      <c r="N4877" s="274"/>
    </row>
    <row r="4878" spans="5:14" ht="13.5" customHeight="1">
      <c r="E4878" s="209" t="s">
        <v>1777</v>
      </c>
      <c r="F4878" s="209" t="s">
        <v>2925</v>
      </c>
      <c r="G4878" s="415" t="str">
        <f t="shared" si="82"/>
        <v>18-01</v>
      </c>
      <c r="H4878" s="273" t="e">
        <f ca="1">_xludf.IFNA(VLOOKUP(E4878,'Urban Plastix Holds'!$I$37:$U$705,12,0),0)</f>
        <v>#NAME?</v>
      </c>
      <c r="I4878" s="274"/>
      <c r="J4878" s="274" t="e">
        <f t="shared" ca="1" si="83"/>
        <v>#NAME?</v>
      </c>
      <c r="K4878" s="274">
        <f t="shared" si="84"/>
        <v>0</v>
      </c>
      <c r="N4878" s="274"/>
    </row>
    <row r="4879" spans="5:14" ht="13.5" customHeight="1">
      <c r="E4879" s="209" t="s">
        <v>1777</v>
      </c>
      <c r="F4879" s="209" t="s">
        <v>2925</v>
      </c>
      <c r="G4879" s="416" t="str">
        <f t="shared" si="82"/>
        <v>Color Code</v>
      </c>
      <c r="H4879" s="273" t="e">
        <f ca="1">_xludf.IFNA(VLOOKUP(E4879,'Urban Plastix Holds'!$I$37:$U$705,13,0),0)</f>
        <v>#NAME?</v>
      </c>
      <c r="I4879" s="274"/>
      <c r="J4879" s="274" t="e">
        <f t="shared" ca="1" si="83"/>
        <v>#NAME?</v>
      </c>
      <c r="K4879" s="274">
        <f t="shared" si="84"/>
        <v>0</v>
      </c>
      <c r="N4879" s="274"/>
    </row>
    <row r="4880" spans="5:14" ht="13.5" customHeight="1">
      <c r="E4880" s="209" t="s">
        <v>1677</v>
      </c>
      <c r="F4880" s="209" t="s">
        <v>2926</v>
      </c>
      <c r="G4880" s="406" t="str">
        <f t="shared" si="82"/>
        <v>11-12</v>
      </c>
      <c r="H4880" s="273" t="e">
        <f ca="1">_xludf.IFNA(VLOOKUP(E4880,'Urban Plastix Holds'!$I$37:$U$705,5,0),0)</f>
        <v>#NAME?</v>
      </c>
      <c r="I4880" s="274"/>
      <c r="J4880" s="274" t="e">
        <f t="shared" ca="1" si="83"/>
        <v>#NAME?</v>
      </c>
      <c r="K4880" s="274">
        <f t="shared" si="84"/>
        <v>0</v>
      </c>
      <c r="N4880" s="274"/>
    </row>
    <row r="4881" spans="5:14" ht="13.5" customHeight="1">
      <c r="E4881" s="209" t="s">
        <v>1677</v>
      </c>
      <c r="F4881" s="209" t="s">
        <v>2926</v>
      </c>
      <c r="G4881" s="408" t="str">
        <f t="shared" si="82"/>
        <v>14-01</v>
      </c>
      <c r="H4881" s="273" t="e">
        <f ca="1">_xludf.IFNA(VLOOKUP(E4881,'Urban Plastix Holds'!$I$37:$U$705,6,0),0)</f>
        <v>#NAME?</v>
      </c>
      <c r="I4881" s="274"/>
      <c r="J4881" s="274" t="e">
        <f t="shared" ca="1" si="83"/>
        <v>#NAME?</v>
      </c>
      <c r="K4881" s="274">
        <f t="shared" si="84"/>
        <v>0</v>
      </c>
      <c r="N4881" s="274"/>
    </row>
    <row r="4882" spans="5:14" ht="13.5" customHeight="1">
      <c r="E4882" s="209" t="s">
        <v>1677</v>
      </c>
      <c r="F4882" s="209" t="s">
        <v>2926</v>
      </c>
      <c r="G4882" s="409" t="str">
        <f t="shared" si="82"/>
        <v>15-12</v>
      </c>
      <c r="H4882" s="273" t="e">
        <f ca="1">_xludf.IFNA(VLOOKUP(E4882,'Urban Plastix Holds'!$I$37:$U$705,7,0),0)</f>
        <v>#NAME?</v>
      </c>
      <c r="I4882" s="274"/>
      <c r="J4882" s="274" t="e">
        <f t="shared" ca="1" si="83"/>
        <v>#NAME?</v>
      </c>
      <c r="K4882" s="274">
        <f t="shared" si="84"/>
        <v>0</v>
      </c>
      <c r="N4882" s="274"/>
    </row>
    <row r="4883" spans="5:14" ht="13.5" customHeight="1">
      <c r="E4883" s="209" t="s">
        <v>1677</v>
      </c>
      <c r="F4883" s="209" t="s">
        <v>2926</v>
      </c>
      <c r="G4883" s="410" t="str">
        <f t="shared" si="82"/>
        <v>16-16</v>
      </c>
      <c r="H4883" s="273" t="e">
        <f ca="1">_xludf.IFNA(VLOOKUP(E4883,'Urban Plastix Holds'!$I$37:$U$705,8,0),0)</f>
        <v>#NAME?</v>
      </c>
      <c r="I4883" s="274"/>
      <c r="J4883" s="274" t="e">
        <f t="shared" ca="1" si="83"/>
        <v>#NAME?</v>
      </c>
      <c r="K4883" s="274">
        <f t="shared" si="84"/>
        <v>0</v>
      </c>
      <c r="N4883" s="274"/>
    </row>
    <row r="4884" spans="5:14" ht="13.5" customHeight="1">
      <c r="E4884" s="209" t="s">
        <v>1677</v>
      </c>
      <c r="F4884" s="209" t="s">
        <v>2926</v>
      </c>
      <c r="G4884" s="411" t="str">
        <f t="shared" si="82"/>
        <v>13-01</v>
      </c>
      <c r="H4884" s="273" t="e">
        <f ca="1">_xludf.IFNA(VLOOKUP(E4884,'Urban Plastix Holds'!$I$37:$U$705,9,0),0)</f>
        <v>#NAME?</v>
      </c>
      <c r="I4884" s="274"/>
      <c r="J4884" s="274" t="e">
        <f t="shared" ca="1" si="83"/>
        <v>#NAME?</v>
      </c>
      <c r="K4884" s="274">
        <f t="shared" si="84"/>
        <v>0</v>
      </c>
      <c r="N4884" s="274"/>
    </row>
    <row r="4885" spans="5:14" ht="13.5" customHeight="1">
      <c r="E4885" s="209" t="s">
        <v>1677</v>
      </c>
      <c r="F4885" s="209" t="s">
        <v>2926</v>
      </c>
      <c r="G4885" s="413" t="str">
        <f t="shared" si="82"/>
        <v>07-13</v>
      </c>
      <c r="H4885" s="273" t="e">
        <f ca="1">_xludf.IFNA(VLOOKUP(E4885,'Urban Plastix Holds'!$I$37:$U$705,10,0),0)</f>
        <v>#NAME?</v>
      </c>
      <c r="I4885" s="274"/>
      <c r="J4885" s="274" t="e">
        <f t="shared" ca="1" si="83"/>
        <v>#NAME?</v>
      </c>
      <c r="K4885" s="274">
        <f t="shared" si="84"/>
        <v>0</v>
      </c>
      <c r="N4885" s="274"/>
    </row>
    <row r="4886" spans="5:14" ht="13.5" customHeight="1">
      <c r="E4886" s="209" t="s">
        <v>1677</v>
      </c>
      <c r="F4886" s="209" t="s">
        <v>2926</v>
      </c>
      <c r="G4886" s="414" t="str">
        <f t="shared" si="82"/>
        <v>11-26</v>
      </c>
      <c r="H4886" s="273" t="e">
        <f ca="1">_xludf.IFNA(VLOOKUP(E4886,'Urban Plastix Holds'!$I$37:$U$705,11,0),0)</f>
        <v>#NAME?</v>
      </c>
      <c r="I4886" s="274"/>
      <c r="J4886" s="274" t="e">
        <f t="shared" ca="1" si="83"/>
        <v>#NAME?</v>
      </c>
      <c r="K4886" s="274">
        <f t="shared" si="84"/>
        <v>0</v>
      </c>
      <c r="N4886" s="274"/>
    </row>
    <row r="4887" spans="5:14" ht="13.5" customHeight="1">
      <c r="E4887" s="209" t="s">
        <v>1677</v>
      </c>
      <c r="F4887" s="209" t="s">
        <v>2926</v>
      </c>
      <c r="G4887" s="415" t="str">
        <f t="shared" si="82"/>
        <v>18-01</v>
      </c>
      <c r="H4887" s="273" t="e">
        <f ca="1">_xludf.IFNA(VLOOKUP(E4887,'Urban Plastix Holds'!$I$37:$U$705,12,0),0)</f>
        <v>#NAME?</v>
      </c>
      <c r="I4887" s="274"/>
      <c r="J4887" s="274" t="e">
        <f t="shared" ca="1" si="83"/>
        <v>#NAME?</v>
      </c>
      <c r="K4887" s="274">
        <f t="shared" si="84"/>
        <v>0</v>
      </c>
      <c r="N4887" s="274"/>
    </row>
    <row r="4888" spans="5:14" ht="13.5" customHeight="1">
      <c r="E4888" s="209" t="s">
        <v>1677</v>
      </c>
      <c r="F4888" s="209" t="s">
        <v>2926</v>
      </c>
      <c r="G4888" s="416" t="str">
        <f t="shared" si="82"/>
        <v>Color Code</v>
      </c>
      <c r="H4888" s="273" t="e">
        <f ca="1">_xludf.IFNA(VLOOKUP(E4888,'Urban Plastix Holds'!$I$37:$U$705,13,0),0)</f>
        <v>#NAME?</v>
      </c>
      <c r="I4888" s="274"/>
      <c r="J4888" s="274" t="e">
        <f t="shared" ca="1" si="83"/>
        <v>#NAME?</v>
      </c>
      <c r="K4888" s="274">
        <f t="shared" si="84"/>
        <v>0</v>
      </c>
      <c r="N4888" s="274"/>
    </row>
    <row r="4889" spans="5:14" ht="13.5" customHeight="1">
      <c r="E4889" s="209" t="s">
        <v>1823</v>
      </c>
      <c r="F4889" s="209" t="s">
        <v>2927</v>
      </c>
      <c r="G4889" s="406" t="str">
        <f t="shared" si="82"/>
        <v>11-12</v>
      </c>
      <c r="H4889" s="273" t="e">
        <f ca="1">_xludf.IFNA(VLOOKUP(E4889,'Urban Plastix Holds'!$I$37:$U$705,5,0),0)</f>
        <v>#NAME?</v>
      </c>
      <c r="I4889" s="274"/>
      <c r="J4889" s="274" t="e">
        <f t="shared" ca="1" si="83"/>
        <v>#NAME?</v>
      </c>
      <c r="K4889" s="274">
        <f t="shared" si="84"/>
        <v>0</v>
      </c>
      <c r="N4889" s="274"/>
    </row>
    <row r="4890" spans="5:14" ht="13.5" customHeight="1">
      <c r="E4890" s="209" t="s">
        <v>1823</v>
      </c>
      <c r="F4890" s="209" t="s">
        <v>2927</v>
      </c>
      <c r="G4890" s="408" t="str">
        <f t="shared" si="82"/>
        <v>14-01</v>
      </c>
      <c r="H4890" s="273" t="e">
        <f ca="1">_xludf.IFNA(VLOOKUP(E4890,'Urban Plastix Holds'!$I$37:$U$705,6,0),0)</f>
        <v>#NAME?</v>
      </c>
      <c r="I4890" s="274"/>
      <c r="J4890" s="274" t="e">
        <f t="shared" ca="1" si="83"/>
        <v>#NAME?</v>
      </c>
      <c r="K4890" s="274">
        <f t="shared" si="84"/>
        <v>0</v>
      </c>
      <c r="N4890" s="274"/>
    </row>
    <row r="4891" spans="5:14" ht="13.5" customHeight="1">
      <c r="E4891" s="209" t="s">
        <v>1823</v>
      </c>
      <c r="F4891" s="209" t="s">
        <v>2927</v>
      </c>
      <c r="G4891" s="409" t="str">
        <f t="shared" si="82"/>
        <v>15-12</v>
      </c>
      <c r="H4891" s="273" t="e">
        <f ca="1">_xludf.IFNA(VLOOKUP(E4891,'Urban Plastix Holds'!$I$37:$U$705,7,0),0)</f>
        <v>#NAME?</v>
      </c>
      <c r="I4891" s="274"/>
      <c r="J4891" s="274" t="e">
        <f t="shared" ca="1" si="83"/>
        <v>#NAME?</v>
      </c>
      <c r="K4891" s="274">
        <f t="shared" si="84"/>
        <v>0</v>
      </c>
      <c r="N4891" s="274"/>
    </row>
    <row r="4892" spans="5:14" ht="13.5" customHeight="1">
      <c r="E4892" s="209" t="s">
        <v>1823</v>
      </c>
      <c r="F4892" s="209" t="s">
        <v>2927</v>
      </c>
      <c r="G4892" s="410" t="str">
        <f t="shared" si="82"/>
        <v>16-16</v>
      </c>
      <c r="H4892" s="273" t="e">
        <f ca="1">_xludf.IFNA(VLOOKUP(E4892,'Urban Plastix Holds'!$I$37:$U$705,8,0),0)</f>
        <v>#NAME?</v>
      </c>
      <c r="I4892" s="274"/>
      <c r="J4892" s="274" t="e">
        <f t="shared" ca="1" si="83"/>
        <v>#NAME?</v>
      </c>
      <c r="K4892" s="274">
        <f t="shared" si="84"/>
        <v>0</v>
      </c>
      <c r="N4892" s="274"/>
    </row>
    <row r="4893" spans="5:14" ht="13.5" customHeight="1">
      <c r="E4893" s="209" t="s">
        <v>1823</v>
      </c>
      <c r="F4893" s="209" t="s">
        <v>2927</v>
      </c>
      <c r="G4893" s="411" t="str">
        <f t="shared" si="82"/>
        <v>13-01</v>
      </c>
      <c r="H4893" s="273" t="e">
        <f ca="1">_xludf.IFNA(VLOOKUP(E4893,'Urban Plastix Holds'!$I$37:$U$705,9,0),0)</f>
        <v>#NAME?</v>
      </c>
      <c r="I4893" s="274"/>
      <c r="J4893" s="274" t="e">
        <f t="shared" ca="1" si="83"/>
        <v>#NAME?</v>
      </c>
      <c r="K4893" s="274">
        <f t="shared" si="84"/>
        <v>0</v>
      </c>
      <c r="N4893" s="274"/>
    </row>
    <row r="4894" spans="5:14" ht="13.5" customHeight="1">
      <c r="E4894" s="209" t="s">
        <v>1823</v>
      </c>
      <c r="F4894" s="209" t="s">
        <v>2927</v>
      </c>
      <c r="G4894" s="413" t="str">
        <f t="shared" si="82"/>
        <v>07-13</v>
      </c>
      <c r="H4894" s="273" t="e">
        <f ca="1">_xludf.IFNA(VLOOKUP(E4894,'Urban Plastix Holds'!$I$37:$U$705,10,0),0)</f>
        <v>#NAME?</v>
      </c>
      <c r="I4894" s="274"/>
      <c r="J4894" s="274" t="e">
        <f t="shared" ca="1" si="83"/>
        <v>#NAME?</v>
      </c>
      <c r="K4894" s="274">
        <f t="shared" si="84"/>
        <v>0</v>
      </c>
      <c r="N4894" s="274"/>
    </row>
    <row r="4895" spans="5:14" ht="13.5" customHeight="1">
      <c r="E4895" s="209" t="s">
        <v>1823</v>
      </c>
      <c r="F4895" s="209" t="s">
        <v>2927</v>
      </c>
      <c r="G4895" s="414" t="str">
        <f t="shared" si="82"/>
        <v>11-26</v>
      </c>
      <c r="H4895" s="273" t="e">
        <f ca="1">_xludf.IFNA(VLOOKUP(E4895,'Urban Plastix Holds'!$I$37:$U$705,11,0),0)</f>
        <v>#NAME?</v>
      </c>
      <c r="I4895" s="274"/>
      <c r="J4895" s="274" t="e">
        <f t="shared" ca="1" si="83"/>
        <v>#NAME?</v>
      </c>
      <c r="K4895" s="274">
        <f t="shared" si="84"/>
        <v>0</v>
      </c>
      <c r="N4895" s="274"/>
    </row>
    <row r="4896" spans="5:14" ht="13.5" customHeight="1">
      <c r="E4896" s="209" t="s">
        <v>1823</v>
      </c>
      <c r="F4896" s="209" t="s">
        <v>2927</v>
      </c>
      <c r="G4896" s="415" t="str">
        <f t="shared" si="82"/>
        <v>18-01</v>
      </c>
      <c r="H4896" s="273" t="e">
        <f ca="1">_xludf.IFNA(VLOOKUP(E4896,'Urban Plastix Holds'!$I$37:$U$705,12,0),0)</f>
        <v>#NAME?</v>
      </c>
      <c r="I4896" s="274"/>
      <c r="J4896" s="274" t="e">
        <f t="shared" ca="1" si="83"/>
        <v>#NAME?</v>
      </c>
      <c r="K4896" s="274">
        <f t="shared" si="84"/>
        <v>0</v>
      </c>
      <c r="N4896" s="274"/>
    </row>
    <row r="4897" spans="5:14" ht="13.5" customHeight="1">
      <c r="E4897" s="209" t="s">
        <v>1823</v>
      </c>
      <c r="F4897" s="209" t="s">
        <v>2927</v>
      </c>
      <c r="G4897" s="416" t="str">
        <f t="shared" si="82"/>
        <v>Color Code</v>
      </c>
      <c r="H4897" s="273" t="e">
        <f ca="1">_xludf.IFNA(VLOOKUP(E4897,'Urban Plastix Holds'!$I$37:$U$705,13,0),0)</f>
        <v>#NAME?</v>
      </c>
      <c r="I4897" s="274"/>
      <c r="J4897" s="274" t="e">
        <f t="shared" ca="1" si="83"/>
        <v>#NAME?</v>
      </c>
      <c r="K4897" s="274">
        <f t="shared" si="84"/>
        <v>0</v>
      </c>
      <c r="N4897" s="274"/>
    </row>
    <row r="4898" spans="5:14" ht="13.5" customHeight="1">
      <c r="E4898" s="209" t="s">
        <v>1787</v>
      </c>
      <c r="F4898" s="209" t="s">
        <v>2928</v>
      </c>
      <c r="G4898" s="406" t="str">
        <f t="shared" si="82"/>
        <v>11-12</v>
      </c>
      <c r="H4898" s="273" t="e">
        <f ca="1">_xludf.IFNA(VLOOKUP(E4898,'Urban Plastix Holds'!$I$37:$U$705,5,0),0)</f>
        <v>#NAME?</v>
      </c>
      <c r="I4898" s="274"/>
      <c r="J4898" s="274" t="e">
        <f t="shared" ca="1" si="83"/>
        <v>#NAME?</v>
      </c>
      <c r="K4898" s="274">
        <f t="shared" si="84"/>
        <v>0</v>
      </c>
      <c r="N4898" s="274"/>
    </row>
    <row r="4899" spans="5:14" ht="13.5" customHeight="1">
      <c r="E4899" s="209" t="s">
        <v>1787</v>
      </c>
      <c r="F4899" s="209" t="s">
        <v>2928</v>
      </c>
      <c r="G4899" s="408" t="str">
        <f t="shared" si="82"/>
        <v>14-01</v>
      </c>
      <c r="H4899" s="273" t="e">
        <f ca="1">_xludf.IFNA(VLOOKUP(E4899,'Urban Plastix Holds'!$I$37:$U$705,6,0),0)</f>
        <v>#NAME?</v>
      </c>
      <c r="I4899" s="274"/>
      <c r="J4899" s="274" t="e">
        <f t="shared" ca="1" si="83"/>
        <v>#NAME?</v>
      </c>
      <c r="K4899" s="274">
        <f t="shared" si="84"/>
        <v>0</v>
      </c>
      <c r="N4899" s="274"/>
    </row>
    <row r="4900" spans="5:14" ht="13.5" customHeight="1">
      <c r="E4900" s="209" t="s">
        <v>1787</v>
      </c>
      <c r="F4900" s="209" t="s">
        <v>2928</v>
      </c>
      <c r="G4900" s="409" t="str">
        <f t="shared" si="82"/>
        <v>15-12</v>
      </c>
      <c r="H4900" s="273" t="e">
        <f ca="1">_xludf.IFNA(VLOOKUP(E4900,'Urban Plastix Holds'!$I$37:$U$705,7,0),0)</f>
        <v>#NAME?</v>
      </c>
      <c r="I4900" s="274"/>
      <c r="J4900" s="274" t="e">
        <f t="shared" ca="1" si="83"/>
        <v>#NAME?</v>
      </c>
      <c r="K4900" s="274">
        <f t="shared" si="84"/>
        <v>0</v>
      </c>
      <c r="N4900" s="274"/>
    </row>
    <row r="4901" spans="5:14" ht="13.5" customHeight="1">
      <c r="E4901" s="209" t="s">
        <v>1787</v>
      </c>
      <c r="F4901" s="209" t="s">
        <v>2928</v>
      </c>
      <c r="G4901" s="410" t="str">
        <f t="shared" si="82"/>
        <v>16-16</v>
      </c>
      <c r="H4901" s="273" t="e">
        <f ca="1">_xludf.IFNA(VLOOKUP(E4901,'Urban Plastix Holds'!$I$37:$U$705,8,0),0)</f>
        <v>#NAME?</v>
      </c>
      <c r="I4901" s="274"/>
      <c r="J4901" s="274" t="e">
        <f t="shared" ca="1" si="83"/>
        <v>#NAME?</v>
      </c>
      <c r="K4901" s="274">
        <f t="shared" si="84"/>
        <v>0</v>
      </c>
      <c r="N4901" s="274"/>
    </row>
    <row r="4902" spans="5:14" ht="13.5" customHeight="1">
      <c r="E4902" s="209" t="s">
        <v>1787</v>
      </c>
      <c r="F4902" s="209" t="s">
        <v>2928</v>
      </c>
      <c r="G4902" s="411" t="str">
        <f t="shared" si="82"/>
        <v>13-01</v>
      </c>
      <c r="H4902" s="273" t="e">
        <f ca="1">_xludf.IFNA(VLOOKUP(E4902,'Urban Plastix Holds'!$I$37:$U$705,9,0),0)</f>
        <v>#NAME?</v>
      </c>
      <c r="I4902" s="274"/>
      <c r="J4902" s="274" t="e">
        <f t="shared" ca="1" si="83"/>
        <v>#NAME?</v>
      </c>
      <c r="K4902" s="274">
        <f t="shared" si="84"/>
        <v>0</v>
      </c>
      <c r="N4902" s="274"/>
    </row>
    <row r="4903" spans="5:14" ht="13.5" customHeight="1">
      <c r="E4903" s="209" t="s">
        <v>1787</v>
      </c>
      <c r="F4903" s="209" t="s">
        <v>2928</v>
      </c>
      <c r="G4903" s="413" t="str">
        <f t="shared" si="82"/>
        <v>07-13</v>
      </c>
      <c r="H4903" s="273" t="e">
        <f ca="1">_xludf.IFNA(VLOOKUP(E4903,'Urban Plastix Holds'!$I$37:$U$705,10,0),0)</f>
        <v>#NAME?</v>
      </c>
      <c r="I4903" s="274"/>
      <c r="J4903" s="274" t="e">
        <f t="shared" ca="1" si="83"/>
        <v>#NAME?</v>
      </c>
      <c r="K4903" s="274">
        <f t="shared" si="84"/>
        <v>0</v>
      </c>
      <c r="N4903" s="274"/>
    </row>
    <row r="4904" spans="5:14" ht="13.5" customHeight="1">
      <c r="E4904" s="209" t="s">
        <v>1787</v>
      </c>
      <c r="F4904" s="209" t="s">
        <v>2928</v>
      </c>
      <c r="G4904" s="414" t="str">
        <f t="shared" si="82"/>
        <v>11-26</v>
      </c>
      <c r="H4904" s="273" t="e">
        <f ca="1">_xludf.IFNA(VLOOKUP(E4904,'Urban Plastix Holds'!$I$37:$U$705,11,0),0)</f>
        <v>#NAME?</v>
      </c>
      <c r="I4904" s="274"/>
      <c r="J4904" s="274" t="e">
        <f t="shared" ca="1" si="83"/>
        <v>#NAME?</v>
      </c>
      <c r="K4904" s="274">
        <f t="shared" si="84"/>
        <v>0</v>
      </c>
      <c r="N4904" s="274"/>
    </row>
    <row r="4905" spans="5:14" ht="13.5" customHeight="1">
      <c r="E4905" s="209" t="s">
        <v>1787</v>
      </c>
      <c r="F4905" s="209" t="s">
        <v>2928</v>
      </c>
      <c r="G4905" s="415" t="str">
        <f t="shared" si="82"/>
        <v>18-01</v>
      </c>
      <c r="H4905" s="273" t="e">
        <f ca="1">_xludf.IFNA(VLOOKUP(E4905,'Urban Plastix Holds'!$I$37:$U$705,12,0),0)</f>
        <v>#NAME?</v>
      </c>
      <c r="I4905" s="274"/>
      <c r="J4905" s="274" t="e">
        <f t="shared" ca="1" si="83"/>
        <v>#NAME?</v>
      </c>
      <c r="K4905" s="274">
        <f t="shared" si="84"/>
        <v>0</v>
      </c>
      <c r="N4905" s="274"/>
    </row>
    <row r="4906" spans="5:14" ht="13.5" customHeight="1">
      <c r="E4906" s="209" t="s">
        <v>1787</v>
      </c>
      <c r="F4906" s="209" t="s">
        <v>2928</v>
      </c>
      <c r="G4906" s="416" t="str">
        <f t="shared" si="82"/>
        <v>Color Code</v>
      </c>
      <c r="H4906" s="273" t="e">
        <f ca="1">_xludf.IFNA(VLOOKUP(E4906,'Urban Plastix Holds'!$I$37:$U$705,13,0),0)</f>
        <v>#NAME?</v>
      </c>
      <c r="I4906" s="274"/>
      <c r="J4906" s="274" t="e">
        <f t="shared" ca="1" si="83"/>
        <v>#NAME?</v>
      </c>
      <c r="K4906" s="274">
        <f t="shared" si="84"/>
        <v>0</v>
      </c>
      <c r="N4906" s="274"/>
    </row>
    <row r="4907" spans="5:14" ht="13.5" customHeight="1">
      <c r="E4907" s="209" t="s">
        <v>1567</v>
      </c>
      <c r="F4907" s="209" t="s">
        <v>2929</v>
      </c>
      <c r="G4907" s="406" t="str">
        <f t="shared" si="82"/>
        <v>11-12</v>
      </c>
      <c r="H4907" s="273" t="e">
        <f ca="1">_xludf.IFNA(VLOOKUP(E4907,'Urban Plastix Holds'!$I$37:$U$705,5,0),0)</f>
        <v>#NAME?</v>
      </c>
      <c r="I4907" s="274"/>
      <c r="J4907" s="274" t="e">
        <f t="shared" ca="1" si="83"/>
        <v>#NAME?</v>
      </c>
      <c r="K4907" s="274">
        <f t="shared" si="84"/>
        <v>0</v>
      </c>
      <c r="N4907" s="274"/>
    </row>
    <row r="4908" spans="5:14" ht="13.5" customHeight="1">
      <c r="E4908" s="209" t="s">
        <v>1567</v>
      </c>
      <c r="F4908" s="209" t="s">
        <v>2929</v>
      </c>
      <c r="G4908" s="408" t="str">
        <f t="shared" si="82"/>
        <v>14-01</v>
      </c>
      <c r="H4908" s="273" t="e">
        <f ca="1">_xludf.IFNA(VLOOKUP(E4908,'Urban Plastix Holds'!$I$37:$U$705,6,0),0)</f>
        <v>#NAME?</v>
      </c>
      <c r="I4908" s="274"/>
      <c r="J4908" s="274" t="e">
        <f t="shared" ca="1" si="83"/>
        <v>#NAME?</v>
      </c>
      <c r="K4908" s="274">
        <f t="shared" si="84"/>
        <v>0</v>
      </c>
      <c r="N4908" s="274"/>
    </row>
    <row r="4909" spans="5:14" ht="13.5" customHeight="1">
      <c r="E4909" s="209" t="s">
        <v>1567</v>
      </c>
      <c r="F4909" s="209" t="s">
        <v>2929</v>
      </c>
      <c r="G4909" s="409" t="str">
        <f t="shared" si="82"/>
        <v>15-12</v>
      </c>
      <c r="H4909" s="273" t="e">
        <f ca="1">_xludf.IFNA(VLOOKUP(E4909,'Urban Plastix Holds'!$I$37:$U$705,7,0),0)</f>
        <v>#NAME?</v>
      </c>
      <c r="I4909" s="274"/>
      <c r="J4909" s="274" t="e">
        <f t="shared" ca="1" si="83"/>
        <v>#NAME?</v>
      </c>
      <c r="K4909" s="274">
        <f t="shared" si="84"/>
        <v>0</v>
      </c>
      <c r="N4909" s="274"/>
    </row>
    <row r="4910" spans="5:14" ht="13.5" customHeight="1">
      <c r="E4910" s="209" t="s">
        <v>1567</v>
      </c>
      <c r="F4910" s="209" t="s">
        <v>2929</v>
      </c>
      <c r="G4910" s="410" t="str">
        <f t="shared" si="82"/>
        <v>16-16</v>
      </c>
      <c r="H4910" s="273" t="e">
        <f ca="1">_xludf.IFNA(VLOOKUP(E4910,'Urban Plastix Holds'!$I$37:$U$705,8,0),0)</f>
        <v>#NAME?</v>
      </c>
      <c r="I4910" s="274"/>
      <c r="J4910" s="274" t="e">
        <f t="shared" ca="1" si="83"/>
        <v>#NAME?</v>
      </c>
      <c r="K4910" s="274">
        <f t="shared" si="84"/>
        <v>0</v>
      </c>
      <c r="N4910" s="274"/>
    </row>
    <row r="4911" spans="5:14" ht="13.5" customHeight="1">
      <c r="E4911" s="209" t="s">
        <v>1567</v>
      </c>
      <c r="F4911" s="209" t="s">
        <v>2929</v>
      </c>
      <c r="G4911" s="411" t="str">
        <f t="shared" si="82"/>
        <v>13-01</v>
      </c>
      <c r="H4911" s="273" t="e">
        <f ca="1">_xludf.IFNA(VLOOKUP(E4911,'Urban Plastix Holds'!$I$37:$U$705,9,0),0)</f>
        <v>#NAME?</v>
      </c>
      <c r="I4911" s="274"/>
      <c r="J4911" s="274" t="e">
        <f t="shared" ca="1" si="83"/>
        <v>#NAME?</v>
      </c>
      <c r="K4911" s="274">
        <f t="shared" si="84"/>
        <v>0</v>
      </c>
      <c r="N4911" s="274"/>
    </row>
    <row r="4912" spans="5:14" ht="13.5" customHeight="1">
      <c r="E4912" s="209" t="s">
        <v>1567</v>
      </c>
      <c r="F4912" s="209" t="s">
        <v>2929</v>
      </c>
      <c r="G4912" s="413" t="str">
        <f t="shared" si="82"/>
        <v>07-13</v>
      </c>
      <c r="H4912" s="273" t="e">
        <f ca="1">_xludf.IFNA(VLOOKUP(E4912,'Urban Plastix Holds'!$I$37:$U$705,10,0),0)</f>
        <v>#NAME?</v>
      </c>
      <c r="I4912" s="274"/>
      <c r="J4912" s="274" t="e">
        <f t="shared" ca="1" si="83"/>
        <v>#NAME?</v>
      </c>
      <c r="K4912" s="274">
        <f t="shared" si="84"/>
        <v>0</v>
      </c>
      <c r="N4912" s="274"/>
    </row>
    <row r="4913" spans="5:14" ht="13.5" customHeight="1">
      <c r="E4913" s="209" t="s">
        <v>1567</v>
      </c>
      <c r="F4913" s="209" t="s">
        <v>2929</v>
      </c>
      <c r="G4913" s="414" t="str">
        <f t="shared" si="82"/>
        <v>11-26</v>
      </c>
      <c r="H4913" s="273" t="e">
        <f ca="1">_xludf.IFNA(VLOOKUP(E4913,'Urban Plastix Holds'!$I$37:$U$705,11,0),0)</f>
        <v>#NAME?</v>
      </c>
      <c r="I4913" s="274"/>
      <c r="J4913" s="274" t="e">
        <f t="shared" ca="1" si="83"/>
        <v>#NAME?</v>
      </c>
      <c r="K4913" s="274">
        <f t="shared" si="84"/>
        <v>0</v>
      </c>
      <c r="N4913" s="274"/>
    </row>
    <row r="4914" spans="5:14" ht="13.5" customHeight="1">
      <c r="E4914" s="209" t="s">
        <v>1567</v>
      </c>
      <c r="F4914" s="209" t="s">
        <v>2929</v>
      </c>
      <c r="G4914" s="415" t="str">
        <f t="shared" si="82"/>
        <v>18-01</v>
      </c>
      <c r="H4914" s="273" t="e">
        <f ca="1">_xludf.IFNA(VLOOKUP(E4914,'Urban Plastix Holds'!$I$37:$U$705,12,0),0)</f>
        <v>#NAME?</v>
      </c>
      <c r="I4914" s="274"/>
      <c r="J4914" s="274" t="e">
        <f t="shared" ca="1" si="83"/>
        <v>#NAME?</v>
      </c>
      <c r="K4914" s="274">
        <f t="shared" si="84"/>
        <v>0</v>
      </c>
      <c r="N4914" s="274"/>
    </row>
    <row r="4915" spans="5:14" ht="13.5" customHeight="1">
      <c r="E4915" s="209" t="s">
        <v>1567</v>
      </c>
      <c r="F4915" s="209" t="s">
        <v>2929</v>
      </c>
      <c r="G4915" s="416" t="str">
        <f t="shared" si="82"/>
        <v>Color Code</v>
      </c>
      <c r="H4915" s="273" t="e">
        <f ca="1">_xludf.IFNA(VLOOKUP(E4915,'Urban Plastix Holds'!$I$37:$U$705,13,0),0)</f>
        <v>#NAME?</v>
      </c>
      <c r="I4915" s="274"/>
      <c r="J4915" s="274" t="e">
        <f t="shared" ca="1" si="83"/>
        <v>#NAME?</v>
      </c>
      <c r="K4915" s="274">
        <f t="shared" si="84"/>
        <v>0</v>
      </c>
      <c r="N4915" s="274"/>
    </row>
    <row r="4916" spans="5:14" ht="13.5" customHeight="1">
      <c r="E4916" s="209" t="s">
        <v>1505</v>
      </c>
      <c r="F4916" s="209" t="s">
        <v>2930</v>
      </c>
      <c r="G4916" s="406" t="str">
        <f t="shared" si="82"/>
        <v>11-12</v>
      </c>
      <c r="H4916" s="273" t="e">
        <f ca="1">_xludf.IFNA(VLOOKUP(E4916,'Urban Plastix Holds'!$I$37:$U$705,5,0),0)</f>
        <v>#NAME?</v>
      </c>
      <c r="I4916" s="274"/>
      <c r="J4916" s="274" t="e">
        <f t="shared" ca="1" si="83"/>
        <v>#NAME?</v>
      </c>
      <c r="K4916" s="274">
        <f t="shared" si="84"/>
        <v>0</v>
      </c>
      <c r="N4916" s="274"/>
    </row>
    <row r="4917" spans="5:14" ht="13.5" customHeight="1">
      <c r="E4917" s="209" t="s">
        <v>1505</v>
      </c>
      <c r="F4917" s="209" t="s">
        <v>2930</v>
      </c>
      <c r="G4917" s="408" t="str">
        <f t="shared" si="82"/>
        <v>14-01</v>
      </c>
      <c r="H4917" s="273" t="e">
        <f ca="1">_xludf.IFNA(VLOOKUP(E4917,'Urban Plastix Holds'!$I$37:$U$705,6,0),0)</f>
        <v>#NAME?</v>
      </c>
      <c r="I4917" s="274"/>
      <c r="J4917" s="274" t="e">
        <f t="shared" ca="1" si="83"/>
        <v>#NAME?</v>
      </c>
      <c r="K4917" s="274">
        <f t="shared" si="84"/>
        <v>0</v>
      </c>
      <c r="N4917" s="274"/>
    </row>
    <row r="4918" spans="5:14" ht="13.5" customHeight="1">
      <c r="E4918" s="209" t="s">
        <v>1505</v>
      </c>
      <c r="F4918" s="209" t="s">
        <v>2930</v>
      </c>
      <c r="G4918" s="409" t="str">
        <f t="shared" si="82"/>
        <v>15-12</v>
      </c>
      <c r="H4918" s="273" t="e">
        <f ca="1">_xludf.IFNA(VLOOKUP(E4918,'Urban Plastix Holds'!$I$37:$U$705,7,0),0)</f>
        <v>#NAME?</v>
      </c>
      <c r="I4918" s="274"/>
      <c r="J4918" s="274" t="e">
        <f t="shared" ca="1" si="83"/>
        <v>#NAME?</v>
      </c>
      <c r="K4918" s="274">
        <f t="shared" si="84"/>
        <v>0</v>
      </c>
      <c r="N4918" s="274"/>
    </row>
    <row r="4919" spans="5:14" ht="13.5" customHeight="1">
      <c r="E4919" s="209" t="s">
        <v>1505</v>
      </c>
      <c r="F4919" s="209" t="s">
        <v>2930</v>
      </c>
      <c r="G4919" s="410" t="str">
        <f t="shared" si="82"/>
        <v>16-16</v>
      </c>
      <c r="H4919" s="273" t="e">
        <f ca="1">_xludf.IFNA(VLOOKUP(E4919,'Urban Plastix Holds'!$I$37:$U$705,8,0),0)</f>
        <v>#NAME?</v>
      </c>
      <c r="I4919" s="274"/>
      <c r="J4919" s="274" t="e">
        <f t="shared" ca="1" si="83"/>
        <v>#NAME?</v>
      </c>
      <c r="K4919" s="274">
        <f t="shared" si="84"/>
        <v>0</v>
      </c>
      <c r="N4919" s="274"/>
    </row>
    <row r="4920" spans="5:14" ht="13.5" customHeight="1">
      <c r="E4920" s="209" t="s">
        <v>1505</v>
      </c>
      <c r="F4920" s="209" t="s">
        <v>2930</v>
      </c>
      <c r="G4920" s="411" t="str">
        <f t="shared" si="82"/>
        <v>13-01</v>
      </c>
      <c r="H4920" s="273" t="e">
        <f ca="1">_xludf.IFNA(VLOOKUP(E4920,'Urban Plastix Holds'!$I$37:$U$705,9,0),0)</f>
        <v>#NAME?</v>
      </c>
      <c r="I4920" s="274"/>
      <c r="J4920" s="274" t="e">
        <f t="shared" ca="1" si="83"/>
        <v>#NAME?</v>
      </c>
      <c r="K4920" s="274">
        <f t="shared" si="84"/>
        <v>0</v>
      </c>
      <c r="N4920" s="274"/>
    </row>
    <row r="4921" spans="5:14" ht="13.5" customHeight="1">
      <c r="E4921" s="209" t="s">
        <v>1505</v>
      </c>
      <c r="F4921" s="209" t="s">
        <v>2930</v>
      </c>
      <c r="G4921" s="413" t="str">
        <f t="shared" si="82"/>
        <v>07-13</v>
      </c>
      <c r="H4921" s="273" t="e">
        <f ca="1">_xludf.IFNA(VLOOKUP(E4921,'Urban Plastix Holds'!$I$37:$U$705,10,0),0)</f>
        <v>#NAME?</v>
      </c>
      <c r="I4921" s="274"/>
      <c r="J4921" s="274" t="e">
        <f t="shared" ca="1" si="83"/>
        <v>#NAME?</v>
      </c>
      <c r="K4921" s="274">
        <f t="shared" si="84"/>
        <v>0</v>
      </c>
      <c r="N4921" s="274"/>
    </row>
    <row r="4922" spans="5:14" ht="13.5" customHeight="1">
      <c r="E4922" s="209" t="s">
        <v>1505</v>
      </c>
      <c r="F4922" s="209" t="s">
        <v>2930</v>
      </c>
      <c r="G4922" s="414" t="str">
        <f t="shared" si="82"/>
        <v>11-26</v>
      </c>
      <c r="H4922" s="273" t="e">
        <f ca="1">_xludf.IFNA(VLOOKUP(E4922,'Urban Plastix Holds'!$I$37:$U$705,11,0),0)</f>
        <v>#NAME?</v>
      </c>
      <c r="I4922" s="274"/>
      <c r="J4922" s="274" t="e">
        <f t="shared" ca="1" si="83"/>
        <v>#NAME?</v>
      </c>
      <c r="K4922" s="274">
        <f t="shared" si="84"/>
        <v>0</v>
      </c>
      <c r="N4922" s="274"/>
    </row>
    <row r="4923" spans="5:14" ht="13.5" customHeight="1">
      <c r="E4923" s="209" t="s">
        <v>1505</v>
      </c>
      <c r="F4923" s="209" t="s">
        <v>2930</v>
      </c>
      <c r="G4923" s="415" t="str">
        <f t="shared" si="82"/>
        <v>18-01</v>
      </c>
      <c r="H4923" s="273" t="e">
        <f ca="1">_xludf.IFNA(VLOOKUP(E4923,'Urban Plastix Holds'!$I$37:$U$705,12,0),0)</f>
        <v>#NAME?</v>
      </c>
      <c r="I4923" s="274"/>
      <c r="J4923" s="274" t="e">
        <f t="shared" ca="1" si="83"/>
        <v>#NAME?</v>
      </c>
      <c r="K4923" s="274">
        <f t="shared" si="84"/>
        <v>0</v>
      </c>
      <c r="N4923" s="274"/>
    </row>
    <row r="4924" spans="5:14" ht="13.5" customHeight="1">
      <c r="E4924" s="209" t="s">
        <v>1505</v>
      </c>
      <c r="F4924" s="209" t="s">
        <v>2930</v>
      </c>
      <c r="G4924" s="416" t="str">
        <f t="shared" si="82"/>
        <v>Color Code</v>
      </c>
      <c r="H4924" s="273" t="e">
        <f ca="1">_xludf.IFNA(VLOOKUP(E4924,'Urban Plastix Holds'!$I$37:$U$705,13,0),0)</f>
        <v>#NAME?</v>
      </c>
      <c r="I4924" s="274"/>
      <c r="J4924" s="274" t="e">
        <f t="shared" ca="1" si="83"/>
        <v>#NAME?</v>
      </c>
      <c r="K4924" s="274">
        <f t="shared" si="84"/>
        <v>0</v>
      </c>
      <c r="N4924" s="274"/>
    </row>
    <row r="4925" spans="5:14" ht="13.5" customHeight="1">
      <c r="E4925" s="209" t="s">
        <v>1615</v>
      </c>
      <c r="F4925" s="209" t="s">
        <v>2931</v>
      </c>
      <c r="G4925" s="406" t="str">
        <f t="shared" si="82"/>
        <v>11-12</v>
      </c>
      <c r="H4925" s="273" t="e">
        <f ca="1">_xludf.IFNA(VLOOKUP(E4925,'Urban Plastix Holds'!$I$37:$U$705,5,0),0)</f>
        <v>#NAME?</v>
      </c>
      <c r="I4925" s="274"/>
      <c r="J4925" s="274" t="e">
        <f t="shared" ca="1" si="83"/>
        <v>#NAME?</v>
      </c>
      <c r="K4925" s="274">
        <f t="shared" si="84"/>
        <v>0</v>
      </c>
      <c r="N4925" s="274"/>
    </row>
    <row r="4926" spans="5:14" ht="13.5" customHeight="1">
      <c r="E4926" s="209" t="s">
        <v>1615</v>
      </c>
      <c r="F4926" s="209" t="s">
        <v>2931</v>
      </c>
      <c r="G4926" s="408" t="str">
        <f t="shared" si="82"/>
        <v>14-01</v>
      </c>
      <c r="H4926" s="273" t="e">
        <f ca="1">_xludf.IFNA(VLOOKUP(E4926,'Urban Plastix Holds'!$I$37:$U$705,6,0),0)</f>
        <v>#NAME?</v>
      </c>
      <c r="I4926" s="274"/>
      <c r="J4926" s="274" t="e">
        <f t="shared" ca="1" si="83"/>
        <v>#NAME?</v>
      </c>
      <c r="K4926" s="274">
        <f t="shared" si="84"/>
        <v>0</v>
      </c>
      <c r="N4926" s="274"/>
    </row>
    <row r="4927" spans="5:14" ht="13.5" customHeight="1">
      <c r="E4927" s="209" t="s">
        <v>1615</v>
      </c>
      <c r="F4927" s="209" t="s">
        <v>2931</v>
      </c>
      <c r="G4927" s="409" t="str">
        <f t="shared" si="82"/>
        <v>15-12</v>
      </c>
      <c r="H4927" s="273" t="e">
        <f ca="1">_xludf.IFNA(VLOOKUP(E4927,'Urban Plastix Holds'!$I$37:$U$705,7,0),0)</f>
        <v>#NAME?</v>
      </c>
      <c r="I4927" s="274"/>
      <c r="J4927" s="274" t="e">
        <f t="shared" ca="1" si="83"/>
        <v>#NAME?</v>
      </c>
      <c r="K4927" s="274">
        <f t="shared" si="84"/>
        <v>0</v>
      </c>
      <c r="N4927" s="274"/>
    </row>
    <row r="4928" spans="5:14" ht="13.5" customHeight="1">
      <c r="E4928" s="209" t="s">
        <v>1615</v>
      </c>
      <c r="F4928" s="209" t="s">
        <v>2931</v>
      </c>
      <c r="G4928" s="410" t="str">
        <f t="shared" si="82"/>
        <v>16-16</v>
      </c>
      <c r="H4928" s="273" t="e">
        <f ca="1">_xludf.IFNA(VLOOKUP(E4928,'Urban Plastix Holds'!$I$37:$U$705,8,0),0)</f>
        <v>#NAME?</v>
      </c>
      <c r="I4928" s="274"/>
      <c r="J4928" s="274" t="e">
        <f t="shared" ca="1" si="83"/>
        <v>#NAME?</v>
      </c>
      <c r="K4928" s="274">
        <f t="shared" si="84"/>
        <v>0</v>
      </c>
      <c r="N4928" s="274"/>
    </row>
    <row r="4929" spans="5:14" ht="13.5" customHeight="1">
      <c r="E4929" s="209" t="s">
        <v>1615</v>
      </c>
      <c r="F4929" s="209" t="s">
        <v>2931</v>
      </c>
      <c r="G4929" s="411" t="str">
        <f t="shared" si="82"/>
        <v>13-01</v>
      </c>
      <c r="H4929" s="273" t="e">
        <f ca="1">_xludf.IFNA(VLOOKUP(E4929,'Urban Plastix Holds'!$I$37:$U$705,9,0),0)</f>
        <v>#NAME?</v>
      </c>
      <c r="I4929" s="274"/>
      <c r="J4929" s="274" t="e">
        <f t="shared" ca="1" si="83"/>
        <v>#NAME?</v>
      </c>
      <c r="K4929" s="274">
        <f t="shared" si="84"/>
        <v>0</v>
      </c>
      <c r="N4929" s="274"/>
    </row>
    <row r="4930" spans="5:14" ht="13.5" customHeight="1">
      <c r="E4930" s="209" t="s">
        <v>1615</v>
      </c>
      <c r="F4930" s="209" t="s">
        <v>2931</v>
      </c>
      <c r="G4930" s="413" t="str">
        <f t="shared" si="82"/>
        <v>07-13</v>
      </c>
      <c r="H4930" s="273" t="e">
        <f ca="1">_xludf.IFNA(VLOOKUP(E4930,'Urban Plastix Holds'!$I$37:$U$705,10,0),0)</f>
        <v>#NAME?</v>
      </c>
      <c r="I4930" s="274"/>
      <c r="J4930" s="274" t="e">
        <f t="shared" ca="1" si="83"/>
        <v>#NAME?</v>
      </c>
      <c r="K4930" s="274">
        <f t="shared" si="84"/>
        <v>0</v>
      </c>
      <c r="N4930" s="274"/>
    </row>
    <row r="4931" spans="5:14" ht="13.5" customHeight="1">
      <c r="E4931" s="209" t="s">
        <v>1615</v>
      </c>
      <c r="F4931" s="209" t="s">
        <v>2931</v>
      </c>
      <c r="G4931" s="414" t="str">
        <f t="shared" si="82"/>
        <v>11-26</v>
      </c>
      <c r="H4931" s="273" t="e">
        <f ca="1">_xludf.IFNA(VLOOKUP(E4931,'Urban Plastix Holds'!$I$37:$U$705,11,0),0)</f>
        <v>#NAME?</v>
      </c>
      <c r="I4931" s="274"/>
      <c r="J4931" s="274" t="e">
        <f t="shared" ca="1" si="83"/>
        <v>#NAME?</v>
      </c>
      <c r="K4931" s="274">
        <f t="shared" si="84"/>
        <v>0</v>
      </c>
      <c r="N4931" s="274"/>
    </row>
    <row r="4932" spans="5:14" ht="13.5" customHeight="1">
      <c r="E4932" s="209" t="s">
        <v>1615</v>
      </c>
      <c r="F4932" s="209" t="s">
        <v>2931</v>
      </c>
      <c r="G4932" s="415" t="str">
        <f t="shared" si="82"/>
        <v>18-01</v>
      </c>
      <c r="H4932" s="273" t="e">
        <f ca="1">_xludf.IFNA(VLOOKUP(E4932,'Urban Plastix Holds'!$I$37:$U$705,12,0),0)</f>
        <v>#NAME?</v>
      </c>
      <c r="I4932" s="274"/>
      <c r="J4932" s="274" t="e">
        <f t="shared" ca="1" si="83"/>
        <v>#NAME?</v>
      </c>
      <c r="K4932" s="274">
        <f t="shared" si="84"/>
        <v>0</v>
      </c>
      <c r="N4932" s="274"/>
    </row>
    <row r="4933" spans="5:14" ht="13.5" customHeight="1">
      <c r="E4933" s="209" t="s">
        <v>1615</v>
      </c>
      <c r="F4933" s="209" t="s">
        <v>2931</v>
      </c>
      <c r="G4933" s="416" t="str">
        <f t="shared" si="82"/>
        <v>Color Code</v>
      </c>
      <c r="H4933" s="273" t="e">
        <f ca="1">_xludf.IFNA(VLOOKUP(E4933,'Urban Plastix Holds'!$I$37:$U$705,13,0),0)</f>
        <v>#NAME?</v>
      </c>
      <c r="I4933" s="274"/>
      <c r="J4933" s="274" t="e">
        <f t="shared" ca="1" si="83"/>
        <v>#NAME?</v>
      </c>
      <c r="K4933" s="274">
        <f t="shared" si="84"/>
        <v>0</v>
      </c>
      <c r="N4933" s="274"/>
    </row>
    <row r="4934" spans="5:14" ht="13.5" customHeight="1">
      <c r="E4934" s="209" t="s">
        <v>1463</v>
      </c>
      <c r="F4934" s="209" t="s">
        <v>2932</v>
      </c>
      <c r="G4934" s="406" t="str">
        <f t="shared" si="82"/>
        <v>11-12</v>
      </c>
      <c r="H4934" s="273" t="e">
        <f ca="1">_xludf.IFNA(VLOOKUP(E4934,'Urban Plastix Holds'!$I$37:$U$705,5,0),0)</f>
        <v>#NAME?</v>
      </c>
      <c r="I4934" s="274"/>
      <c r="J4934" s="274" t="e">
        <f t="shared" ca="1" si="83"/>
        <v>#NAME?</v>
      </c>
      <c r="K4934" s="274">
        <f t="shared" si="84"/>
        <v>0</v>
      </c>
      <c r="N4934" s="274"/>
    </row>
    <row r="4935" spans="5:14" ht="13.5" customHeight="1">
      <c r="E4935" s="209" t="s">
        <v>1463</v>
      </c>
      <c r="F4935" s="209" t="s">
        <v>2932</v>
      </c>
      <c r="G4935" s="408" t="str">
        <f t="shared" si="82"/>
        <v>14-01</v>
      </c>
      <c r="H4935" s="273" t="e">
        <f ca="1">_xludf.IFNA(VLOOKUP(E4935,'Urban Plastix Holds'!$I$37:$U$705,6,0),0)</f>
        <v>#NAME?</v>
      </c>
      <c r="I4935" s="274"/>
      <c r="J4935" s="274" t="e">
        <f t="shared" ca="1" si="83"/>
        <v>#NAME?</v>
      </c>
      <c r="K4935" s="274">
        <f t="shared" si="84"/>
        <v>0</v>
      </c>
      <c r="N4935" s="274"/>
    </row>
    <row r="4936" spans="5:14" ht="13.5" customHeight="1">
      <c r="E4936" s="209" t="s">
        <v>1463</v>
      </c>
      <c r="F4936" s="209" t="s">
        <v>2932</v>
      </c>
      <c r="G4936" s="409" t="str">
        <f t="shared" si="82"/>
        <v>15-12</v>
      </c>
      <c r="H4936" s="273" t="e">
        <f ca="1">_xludf.IFNA(VLOOKUP(E4936,'Urban Plastix Holds'!$I$37:$U$705,7,0),0)</f>
        <v>#NAME?</v>
      </c>
      <c r="I4936" s="274"/>
      <c r="J4936" s="274" t="e">
        <f t="shared" ca="1" si="83"/>
        <v>#NAME?</v>
      </c>
      <c r="K4936" s="274">
        <f t="shared" si="84"/>
        <v>0</v>
      </c>
      <c r="N4936" s="274"/>
    </row>
    <row r="4937" spans="5:14" ht="13.5" customHeight="1">
      <c r="E4937" s="209" t="s">
        <v>1463</v>
      </c>
      <c r="F4937" s="209" t="s">
        <v>2932</v>
      </c>
      <c r="G4937" s="410" t="str">
        <f t="shared" si="82"/>
        <v>16-16</v>
      </c>
      <c r="H4937" s="273" t="e">
        <f ca="1">_xludf.IFNA(VLOOKUP(E4937,'Urban Plastix Holds'!$I$37:$U$705,8,0),0)</f>
        <v>#NAME?</v>
      </c>
      <c r="I4937" s="274"/>
      <c r="J4937" s="274" t="e">
        <f t="shared" ca="1" si="83"/>
        <v>#NAME?</v>
      </c>
      <c r="K4937" s="274">
        <f t="shared" si="84"/>
        <v>0</v>
      </c>
      <c r="N4937" s="274"/>
    </row>
    <row r="4938" spans="5:14" ht="13.5" customHeight="1">
      <c r="E4938" s="209" t="s">
        <v>1463</v>
      </c>
      <c r="F4938" s="209" t="s">
        <v>2932</v>
      </c>
      <c r="G4938" s="411" t="str">
        <f t="shared" si="82"/>
        <v>13-01</v>
      </c>
      <c r="H4938" s="273" t="e">
        <f ca="1">_xludf.IFNA(VLOOKUP(E4938,'Urban Plastix Holds'!$I$37:$U$705,9,0),0)</f>
        <v>#NAME?</v>
      </c>
      <c r="I4938" s="274"/>
      <c r="J4938" s="274" t="e">
        <f t="shared" ca="1" si="83"/>
        <v>#NAME?</v>
      </c>
      <c r="K4938" s="274">
        <f t="shared" si="84"/>
        <v>0</v>
      </c>
      <c r="N4938" s="274"/>
    </row>
    <row r="4939" spans="5:14" ht="13.5" customHeight="1">
      <c r="E4939" s="209" t="s">
        <v>1463</v>
      </c>
      <c r="F4939" s="209" t="s">
        <v>2932</v>
      </c>
      <c r="G4939" s="413" t="str">
        <f t="shared" si="82"/>
        <v>07-13</v>
      </c>
      <c r="H4939" s="273" t="e">
        <f ca="1">_xludf.IFNA(VLOOKUP(E4939,'Urban Plastix Holds'!$I$37:$U$705,10,0),0)</f>
        <v>#NAME?</v>
      </c>
      <c r="I4939" s="274"/>
      <c r="J4939" s="274" t="e">
        <f t="shared" ca="1" si="83"/>
        <v>#NAME?</v>
      </c>
      <c r="K4939" s="274">
        <f t="shared" si="84"/>
        <v>0</v>
      </c>
      <c r="N4939" s="274"/>
    </row>
    <row r="4940" spans="5:14" ht="13.5" customHeight="1">
      <c r="E4940" s="209" t="s">
        <v>1463</v>
      </c>
      <c r="F4940" s="209" t="s">
        <v>2932</v>
      </c>
      <c r="G4940" s="414" t="str">
        <f t="shared" si="82"/>
        <v>11-26</v>
      </c>
      <c r="H4940" s="273" t="e">
        <f ca="1">_xludf.IFNA(VLOOKUP(E4940,'Urban Plastix Holds'!$I$37:$U$705,11,0),0)</f>
        <v>#NAME?</v>
      </c>
      <c r="I4940" s="274"/>
      <c r="J4940" s="274" t="e">
        <f t="shared" ca="1" si="83"/>
        <v>#NAME?</v>
      </c>
      <c r="K4940" s="274">
        <f t="shared" si="84"/>
        <v>0</v>
      </c>
      <c r="N4940" s="274"/>
    </row>
    <row r="4941" spans="5:14" ht="13.5" customHeight="1">
      <c r="E4941" s="209" t="s">
        <v>1463</v>
      </c>
      <c r="F4941" s="209" t="s">
        <v>2932</v>
      </c>
      <c r="G4941" s="415" t="str">
        <f t="shared" si="82"/>
        <v>18-01</v>
      </c>
      <c r="H4941" s="273" t="e">
        <f ca="1">_xludf.IFNA(VLOOKUP(E4941,'Urban Plastix Holds'!$I$37:$U$705,12,0),0)</f>
        <v>#NAME?</v>
      </c>
      <c r="I4941" s="274"/>
      <c r="J4941" s="274" t="e">
        <f t="shared" ca="1" si="83"/>
        <v>#NAME?</v>
      </c>
      <c r="K4941" s="274">
        <f t="shared" si="84"/>
        <v>0</v>
      </c>
      <c r="N4941" s="274"/>
    </row>
    <row r="4942" spans="5:14" ht="13.5" customHeight="1">
      <c r="E4942" s="209" t="s">
        <v>1463</v>
      </c>
      <c r="F4942" s="209" t="s">
        <v>2932</v>
      </c>
      <c r="G4942" s="416" t="str">
        <f t="shared" si="82"/>
        <v>Color Code</v>
      </c>
      <c r="H4942" s="273" t="e">
        <f ca="1">_xludf.IFNA(VLOOKUP(E4942,'Urban Plastix Holds'!$I$37:$U$705,13,0),0)</f>
        <v>#NAME?</v>
      </c>
      <c r="I4942" s="274"/>
      <c r="J4942" s="274" t="e">
        <f t="shared" ca="1" si="83"/>
        <v>#NAME?</v>
      </c>
      <c r="K4942" s="274">
        <f t="shared" si="84"/>
        <v>0</v>
      </c>
      <c r="N4942" s="274"/>
    </row>
    <row r="4943" spans="5:14" ht="13.5" customHeight="1">
      <c r="E4943" s="209" t="s">
        <v>1542</v>
      </c>
      <c r="F4943" s="209" t="s">
        <v>2933</v>
      </c>
      <c r="G4943" s="406" t="str">
        <f t="shared" si="82"/>
        <v>11-12</v>
      </c>
      <c r="H4943" s="273" t="e">
        <f ca="1">_xludf.IFNA(VLOOKUP(E4943,'Urban Plastix Holds'!$I$37:$U$705,5,0),0)</f>
        <v>#NAME?</v>
      </c>
      <c r="I4943" s="274"/>
      <c r="J4943" s="274" t="e">
        <f t="shared" ca="1" si="83"/>
        <v>#NAME?</v>
      </c>
      <c r="K4943" s="274">
        <f t="shared" si="84"/>
        <v>0</v>
      </c>
      <c r="N4943" s="274"/>
    </row>
    <row r="4944" spans="5:14" ht="13.5" customHeight="1">
      <c r="E4944" s="209" t="s">
        <v>1542</v>
      </c>
      <c r="F4944" s="209" t="s">
        <v>2933</v>
      </c>
      <c r="G4944" s="408" t="str">
        <f t="shared" si="82"/>
        <v>14-01</v>
      </c>
      <c r="H4944" s="273" t="e">
        <f ca="1">_xludf.IFNA(VLOOKUP(E4944,'Urban Plastix Holds'!$I$37:$U$705,6,0),0)</f>
        <v>#NAME?</v>
      </c>
      <c r="I4944" s="274"/>
      <c r="J4944" s="274" t="e">
        <f t="shared" ca="1" si="83"/>
        <v>#NAME?</v>
      </c>
      <c r="K4944" s="274">
        <f t="shared" si="84"/>
        <v>0</v>
      </c>
      <c r="N4944" s="274"/>
    </row>
    <row r="4945" spans="5:14" ht="13.5" customHeight="1">
      <c r="E4945" s="209" t="s">
        <v>1542</v>
      </c>
      <c r="F4945" s="209" t="s">
        <v>2933</v>
      </c>
      <c r="G4945" s="409" t="str">
        <f t="shared" si="82"/>
        <v>15-12</v>
      </c>
      <c r="H4945" s="273" t="e">
        <f ca="1">_xludf.IFNA(VLOOKUP(E4945,'Urban Plastix Holds'!$I$37:$U$705,7,0),0)</f>
        <v>#NAME?</v>
      </c>
      <c r="I4945" s="274"/>
      <c r="J4945" s="274" t="e">
        <f t="shared" ca="1" si="83"/>
        <v>#NAME?</v>
      </c>
      <c r="K4945" s="274">
        <f t="shared" si="84"/>
        <v>0</v>
      </c>
      <c r="N4945" s="274"/>
    </row>
    <row r="4946" spans="5:14" ht="13.5" customHeight="1">
      <c r="E4946" s="209" t="s">
        <v>1542</v>
      </c>
      <c r="F4946" s="209" t="s">
        <v>2933</v>
      </c>
      <c r="G4946" s="410" t="str">
        <f t="shared" si="82"/>
        <v>16-16</v>
      </c>
      <c r="H4946" s="273" t="e">
        <f ca="1">_xludf.IFNA(VLOOKUP(E4946,'Urban Plastix Holds'!$I$37:$U$705,8,0),0)</f>
        <v>#NAME?</v>
      </c>
      <c r="I4946" s="274"/>
      <c r="J4946" s="274" t="e">
        <f t="shared" ca="1" si="83"/>
        <v>#NAME?</v>
      </c>
      <c r="K4946" s="274">
        <f t="shared" si="84"/>
        <v>0</v>
      </c>
      <c r="N4946" s="274"/>
    </row>
    <row r="4947" spans="5:14" ht="13.5" customHeight="1">
      <c r="E4947" s="209" t="s">
        <v>1542</v>
      </c>
      <c r="F4947" s="209" t="s">
        <v>2933</v>
      </c>
      <c r="G4947" s="411" t="str">
        <f t="shared" si="82"/>
        <v>13-01</v>
      </c>
      <c r="H4947" s="273" t="e">
        <f ca="1">_xludf.IFNA(VLOOKUP(E4947,'Urban Plastix Holds'!$I$37:$U$705,9,0),0)</f>
        <v>#NAME?</v>
      </c>
      <c r="I4947" s="274"/>
      <c r="J4947" s="274" t="e">
        <f t="shared" ca="1" si="83"/>
        <v>#NAME?</v>
      </c>
      <c r="K4947" s="274">
        <f t="shared" si="84"/>
        <v>0</v>
      </c>
      <c r="N4947" s="274"/>
    </row>
    <row r="4948" spans="5:14" ht="13.5" customHeight="1">
      <c r="E4948" s="209" t="s">
        <v>1542</v>
      </c>
      <c r="F4948" s="209" t="s">
        <v>2933</v>
      </c>
      <c r="G4948" s="413" t="str">
        <f t="shared" si="82"/>
        <v>07-13</v>
      </c>
      <c r="H4948" s="273" t="e">
        <f ca="1">_xludf.IFNA(VLOOKUP(E4948,'Urban Plastix Holds'!$I$37:$U$705,10,0),0)</f>
        <v>#NAME?</v>
      </c>
      <c r="I4948" s="274"/>
      <c r="J4948" s="274" t="e">
        <f t="shared" ca="1" si="83"/>
        <v>#NAME?</v>
      </c>
      <c r="K4948" s="274">
        <f t="shared" si="84"/>
        <v>0</v>
      </c>
      <c r="N4948" s="274"/>
    </row>
    <row r="4949" spans="5:14" ht="13.5" customHeight="1">
      <c r="E4949" s="209" t="s">
        <v>1542</v>
      </c>
      <c r="F4949" s="209" t="s">
        <v>2933</v>
      </c>
      <c r="G4949" s="414" t="str">
        <f t="shared" si="82"/>
        <v>11-26</v>
      </c>
      <c r="H4949" s="273" t="e">
        <f ca="1">_xludf.IFNA(VLOOKUP(E4949,'Urban Plastix Holds'!$I$37:$U$705,11,0),0)</f>
        <v>#NAME?</v>
      </c>
      <c r="I4949" s="274"/>
      <c r="J4949" s="274" t="e">
        <f t="shared" ca="1" si="83"/>
        <v>#NAME?</v>
      </c>
      <c r="K4949" s="274">
        <f t="shared" si="84"/>
        <v>0</v>
      </c>
      <c r="N4949" s="274"/>
    </row>
    <row r="4950" spans="5:14" ht="13.5" customHeight="1">
      <c r="E4950" s="209" t="s">
        <v>1542</v>
      </c>
      <c r="F4950" s="209" t="s">
        <v>2933</v>
      </c>
      <c r="G4950" s="415" t="str">
        <f t="shared" si="82"/>
        <v>18-01</v>
      </c>
      <c r="H4950" s="273" t="e">
        <f ca="1">_xludf.IFNA(VLOOKUP(E4950,'Urban Plastix Holds'!$I$37:$U$705,12,0),0)</f>
        <v>#NAME?</v>
      </c>
      <c r="I4950" s="274"/>
      <c r="J4950" s="274" t="e">
        <f t="shared" ca="1" si="83"/>
        <v>#NAME?</v>
      </c>
      <c r="K4950" s="274">
        <f t="shared" si="84"/>
        <v>0</v>
      </c>
      <c r="N4950" s="274"/>
    </row>
    <row r="4951" spans="5:14" ht="13.5" customHeight="1">
      <c r="E4951" s="209" t="s">
        <v>1542</v>
      </c>
      <c r="F4951" s="209" t="s">
        <v>2933</v>
      </c>
      <c r="G4951" s="416" t="str">
        <f t="shared" si="82"/>
        <v>Color Code</v>
      </c>
      <c r="H4951" s="273" t="e">
        <f ca="1">_xludf.IFNA(VLOOKUP(E4951,'Urban Plastix Holds'!$I$37:$U$705,13,0),0)</f>
        <v>#NAME?</v>
      </c>
      <c r="I4951" s="274"/>
      <c r="J4951" s="274" t="e">
        <f t="shared" ca="1" si="83"/>
        <v>#NAME?</v>
      </c>
      <c r="K4951" s="274">
        <f t="shared" si="84"/>
        <v>0</v>
      </c>
      <c r="N4951" s="274"/>
    </row>
    <row r="4952" spans="5:14" ht="13.5" customHeight="1">
      <c r="E4952" s="209" t="s">
        <v>1604</v>
      </c>
      <c r="F4952" s="209" t="s">
        <v>2934</v>
      </c>
      <c r="G4952" s="406" t="str">
        <f t="shared" si="82"/>
        <v>11-12</v>
      </c>
      <c r="H4952" s="273" t="e">
        <f ca="1">_xludf.IFNA(VLOOKUP(E4952,'Urban Plastix Holds'!$I$37:$U$705,5,0),0)</f>
        <v>#NAME?</v>
      </c>
      <c r="I4952" s="274"/>
      <c r="J4952" s="274" t="e">
        <f t="shared" ca="1" si="83"/>
        <v>#NAME?</v>
      </c>
      <c r="K4952" s="274">
        <f t="shared" si="84"/>
        <v>0</v>
      </c>
      <c r="N4952" s="274"/>
    </row>
    <row r="4953" spans="5:14" ht="13.5" customHeight="1">
      <c r="E4953" s="209" t="s">
        <v>1604</v>
      </c>
      <c r="F4953" s="209" t="s">
        <v>2934</v>
      </c>
      <c r="G4953" s="408" t="str">
        <f t="shared" si="82"/>
        <v>14-01</v>
      </c>
      <c r="H4953" s="273" t="e">
        <f ca="1">_xludf.IFNA(VLOOKUP(E4953,'Urban Plastix Holds'!$I$37:$U$705,6,0),0)</f>
        <v>#NAME?</v>
      </c>
      <c r="I4953" s="274"/>
      <c r="J4953" s="274" t="e">
        <f t="shared" ca="1" si="83"/>
        <v>#NAME?</v>
      </c>
      <c r="K4953" s="274">
        <f t="shared" si="84"/>
        <v>0</v>
      </c>
      <c r="N4953" s="274"/>
    </row>
    <row r="4954" spans="5:14" ht="13.5" customHeight="1">
      <c r="E4954" s="209" t="s">
        <v>1604</v>
      </c>
      <c r="F4954" s="209" t="s">
        <v>2934</v>
      </c>
      <c r="G4954" s="409" t="str">
        <f t="shared" si="82"/>
        <v>15-12</v>
      </c>
      <c r="H4954" s="273" t="e">
        <f ca="1">_xludf.IFNA(VLOOKUP(E4954,'Urban Plastix Holds'!$I$37:$U$705,7,0),0)</f>
        <v>#NAME?</v>
      </c>
      <c r="I4954" s="274"/>
      <c r="J4954" s="274" t="e">
        <f t="shared" ca="1" si="83"/>
        <v>#NAME?</v>
      </c>
      <c r="K4954" s="274">
        <f t="shared" si="84"/>
        <v>0</v>
      </c>
      <c r="N4954" s="274"/>
    </row>
    <row r="4955" spans="5:14" ht="13.5" customHeight="1">
      <c r="E4955" s="209" t="s">
        <v>1604</v>
      </c>
      <c r="F4955" s="209" t="s">
        <v>2934</v>
      </c>
      <c r="G4955" s="410" t="str">
        <f t="shared" si="82"/>
        <v>16-16</v>
      </c>
      <c r="H4955" s="273" t="e">
        <f ca="1">_xludf.IFNA(VLOOKUP(E4955,'Urban Plastix Holds'!$I$37:$U$705,8,0),0)</f>
        <v>#NAME?</v>
      </c>
      <c r="I4955" s="274"/>
      <c r="J4955" s="274" t="e">
        <f t="shared" ca="1" si="83"/>
        <v>#NAME?</v>
      </c>
      <c r="K4955" s="274">
        <f t="shared" si="84"/>
        <v>0</v>
      </c>
      <c r="N4955" s="274"/>
    </row>
    <row r="4956" spans="5:14" ht="13.5" customHeight="1">
      <c r="E4956" s="209" t="s">
        <v>1604</v>
      </c>
      <c r="F4956" s="209" t="s">
        <v>2934</v>
      </c>
      <c r="G4956" s="411" t="str">
        <f t="shared" si="82"/>
        <v>13-01</v>
      </c>
      <c r="H4956" s="273" t="e">
        <f ca="1">_xludf.IFNA(VLOOKUP(E4956,'Urban Plastix Holds'!$I$37:$U$705,9,0),0)</f>
        <v>#NAME?</v>
      </c>
      <c r="I4956" s="274"/>
      <c r="J4956" s="274" t="e">
        <f t="shared" ca="1" si="83"/>
        <v>#NAME?</v>
      </c>
      <c r="K4956" s="274">
        <f t="shared" si="84"/>
        <v>0</v>
      </c>
      <c r="N4956" s="274"/>
    </row>
    <row r="4957" spans="5:14" ht="13.5" customHeight="1">
      <c r="E4957" s="209" t="s">
        <v>1604</v>
      </c>
      <c r="F4957" s="209" t="s">
        <v>2934</v>
      </c>
      <c r="G4957" s="413" t="str">
        <f t="shared" si="82"/>
        <v>07-13</v>
      </c>
      <c r="H4957" s="273" t="e">
        <f ca="1">_xludf.IFNA(VLOOKUP(E4957,'Urban Plastix Holds'!$I$37:$U$705,10,0),0)</f>
        <v>#NAME?</v>
      </c>
      <c r="I4957" s="274"/>
      <c r="J4957" s="274" t="e">
        <f t="shared" ca="1" si="83"/>
        <v>#NAME?</v>
      </c>
      <c r="K4957" s="274">
        <f t="shared" si="84"/>
        <v>0</v>
      </c>
      <c r="N4957" s="274"/>
    </row>
    <row r="4958" spans="5:14" ht="13.5" customHeight="1">
      <c r="E4958" s="209" t="s">
        <v>1604</v>
      </c>
      <c r="F4958" s="209" t="s">
        <v>2934</v>
      </c>
      <c r="G4958" s="414" t="str">
        <f t="shared" si="82"/>
        <v>11-26</v>
      </c>
      <c r="H4958" s="273" t="e">
        <f ca="1">_xludf.IFNA(VLOOKUP(E4958,'Urban Plastix Holds'!$I$37:$U$705,11,0),0)</f>
        <v>#NAME?</v>
      </c>
      <c r="I4958" s="274"/>
      <c r="J4958" s="274" t="e">
        <f t="shared" ca="1" si="83"/>
        <v>#NAME?</v>
      </c>
      <c r="K4958" s="274">
        <f t="shared" si="84"/>
        <v>0</v>
      </c>
      <c r="N4958" s="274"/>
    </row>
    <row r="4959" spans="5:14" ht="13.5" customHeight="1">
      <c r="E4959" s="209" t="s">
        <v>1604</v>
      </c>
      <c r="F4959" s="209" t="s">
        <v>2934</v>
      </c>
      <c r="G4959" s="415" t="str">
        <f t="shared" si="82"/>
        <v>18-01</v>
      </c>
      <c r="H4959" s="273" t="e">
        <f ca="1">_xludf.IFNA(VLOOKUP(E4959,'Urban Plastix Holds'!$I$37:$U$705,12,0),0)</f>
        <v>#NAME?</v>
      </c>
      <c r="I4959" s="274"/>
      <c r="J4959" s="274" t="e">
        <f t="shared" ca="1" si="83"/>
        <v>#NAME?</v>
      </c>
      <c r="K4959" s="274">
        <f t="shared" si="84"/>
        <v>0</v>
      </c>
      <c r="N4959" s="274"/>
    </row>
    <row r="4960" spans="5:14" ht="13.5" customHeight="1">
      <c r="E4960" s="209" t="s">
        <v>1604</v>
      </c>
      <c r="F4960" s="209" t="s">
        <v>2934</v>
      </c>
      <c r="G4960" s="416" t="str">
        <f t="shared" si="82"/>
        <v>Color Code</v>
      </c>
      <c r="H4960" s="273" t="e">
        <f ca="1">_xludf.IFNA(VLOOKUP(E4960,'Urban Plastix Holds'!$I$37:$U$705,13,0),0)</f>
        <v>#NAME?</v>
      </c>
      <c r="I4960" s="274"/>
      <c r="J4960" s="274" t="e">
        <f t="shared" ca="1" si="83"/>
        <v>#NAME?</v>
      </c>
      <c r="K4960" s="274">
        <f t="shared" si="84"/>
        <v>0</v>
      </c>
      <c r="N4960" s="274"/>
    </row>
    <row r="4961" spans="5:14" ht="13.5" customHeight="1">
      <c r="E4961" s="209" t="s">
        <v>1607</v>
      </c>
      <c r="F4961" s="209" t="s">
        <v>2935</v>
      </c>
      <c r="G4961" s="406" t="str">
        <f t="shared" si="82"/>
        <v>11-12</v>
      </c>
      <c r="H4961" s="273" t="e">
        <f ca="1">_xludf.IFNA(VLOOKUP(E4961,'Urban Plastix Holds'!$I$37:$U$705,5,0),0)</f>
        <v>#NAME?</v>
      </c>
      <c r="I4961" s="274"/>
      <c r="J4961" s="274" t="e">
        <f t="shared" ca="1" si="83"/>
        <v>#NAME?</v>
      </c>
      <c r="K4961" s="274">
        <f t="shared" si="84"/>
        <v>0</v>
      </c>
      <c r="N4961" s="274"/>
    </row>
    <row r="4962" spans="5:14" ht="13.5" customHeight="1">
      <c r="E4962" s="209" t="s">
        <v>1607</v>
      </c>
      <c r="F4962" s="209" t="s">
        <v>2935</v>
      </c>
      <c r="G4962" s="408" t="str">
        <f t="shared" si="82"/>
        <v>14-01</v>
      </c>
      <c r="H4962" s="273" t="e">
        <f ca="1">_xludf.IFNA(VLOOKUP(E4962,'Urban Plastix Holds'!$I$37:$U$705,6,0),0)</f>
        <v>#NAME?</v>
      </c>
      <c r="I4962" s="274"/>
      <c r="J4962" s="274" t="e">
        <f t="shared" ca="1" si="83"/>
        <v>#NAME?</v>
      </c>
      <c r="K4962" s="274">
        <f t="shared" si="84"/>
        <v>0</v>
      </c>
      <c r="N4962" s="274"/>
    </row>
    <row r="4963" spans="5:14" ht="13.5" customHeight="1">
      <c r="E4963" s="209" t="s">
        <v>1607</v>
      </c>
      <c r="F4963" s="209" t="s">
        <v>2935</v>
      </c>
      <c r="G4963" s="409" t="str">
        <f t="shared" si="82"/>
        <v>15-12</v>
      </c>
      <c r="H4963" s="273" t="e">
        <f ca="1">_xludf.IFNA(VLOOKUP(E4963,'Urban Plastix Holds'!$I$37:$U$705,7,0),0)</f>
        <v>#NAME?</v>
      </c>
      <c r="I4963" s="274"/>
      <c r="J4963" s="274" t="e">
        <f t="shared" ca="1" si="83"/>
        <v>#NAME?</v>
      </c>
      <c r="K4963" s="274">
        <f t="shared" si="84"/>
        <v>0</v>
      </c>
      <c r="N4963" s="274"/>
    </row>
    <row r="4964" spans="5:14" ht="13.5" customHeight="1">
      <c r="E4964" s="209" t="s">
        <v>1607</v>
      </c>
      <c r="F4964" s="209" t="s">
        <v>2935</v>
      </c>
      <c r="G4964" s="410" t="str">
        <f t="shared" si="82"/>
        <v>16-16</v>
      </c>
      <c r="H4964" s="273" t="e">
        <f ca="1">_xludf.IFNA(VLOOKUP(E4964,'Urban Plastix Holds'!$I$37:$U$705,8,0),0)</f>
        <v>#NAME?</v>
      </c>
      <c r="I4964" s="274"/>
      <c r="J4964" s="274" t="e">
        <f t="shared" ca="1" si="83"/>
        <v>#NAME?</v>
      </c>
      <c r="K4964" s="274">
        <f t="shared" si="84"/>
        <v>0</v>
      </c>
      <c r="N4964" s="274"/>
    </row>
    <row r="4965" spans="5:14" ht="13.5" customHeight="1">
      <c r="E4965" s="209" t="s">
        <v>1607</v>
      </c>
      <c r="F4965" s="209" t="s">
        <v>2935</v>
      </c>
      <c r="G4965" s="411" t="str">
        <f t="shared" si="82"/>
        <v>13-01</v>
      </c>
      <c r="H4965" s="273" t="e">
        <f ca="1">_xludf.IFNA(VLOOKUP(E4965,'Urban Plastix Holds'!$I$37:$U$705,9,0),0)</f>
        <v>#NAME?</v>
      </c>
      <c r="I4965" s="274"/>
      <c r="J4965" s="274" t="e">
        <f t="shared" ca="1" si="83"/>
        <v>#NAME?</v>
      </c>
      <c r="K4965" s="274">
        <f t="shared" si="84"/>
        <v>0</v>
      </c>
      <c r="N4965" s="274"/>
    </row>
    <row r="4966" spans="5:14" ht="13.5" customHeight="1">
      <c r="E4966" s="209" t="s">
        <v>1607</v>
      </c>
      <c r="F4966" s="209" t="s">
        <v>2935</v>
      </c>
      <c r="G4966" s="413" t="str">
        <f t="shared" si="82"/>
        <v>07-13</v>
      </c>
      <c r="H4966" s="273" t="e">
        <f ca="1">_xludf.IFNA(VLOOKUP(E4966,'Urban Plastix Holds'!$I$37:$U$705,10,0),0)</f>
        <v>#NAME?</v>
      </c>
      <c r="I4966" s="274"/>
      <c r="J4966" s="274" t="e">
        <f t="shared" ca="1" si="83"/>
        <v>#NAME?</v>
      </c>
      <c r="K4966" s="274">
        <f t="shared" si="84"/>
        <v>0</v>
      </c>
      <c r="N4966" s="274"/>
    </row>
    <row r="4967" spans="5:14" ht="13.5" customHeight="1">
      <c r="E4967" s="209" t="s">
        <v>1607</v>
      </c>
      <c r="F4967" s="209" t="s">
        <v>2935</v>
      </c>
      <c r="G4967" s="414" t="str">
        <f t="shared" si="82"/>
        <v>11-26</v>
      </c>
      <c r="H4967" s="273" t="e">
        <f ca="1">_xludf.IFNA(VLOOKUP(E4967,'Urban Plastix Holds'!$I$37:$U$705,11,0),0)</f>
        <v>#NAME?</v>
      </c>
      <c r="I4967" s="274"/>
      <c r="J4967" s="274" t="e">
        <f t="shared" ca="1" si="83"/>
        <v>#NAME?</v>
      </c>
      <c r="K4967" s="274">
        <f t="shared" si="84"/>
        <v>0</v>
      </c>
      <c r="N4967" s="274"/>
    </row>
    <row r="4968" spans="5:14" ht="13.5" customHeight="1">
      <c r="E4968" s="209" t="s">
        <v>1607</v>
      </c>
      <c r="F4968" s="209" t="s">
        <v>2935</v>
      </c>
      <c r="G4968" s="415" t="str">
        <f t="shared" si="82"/>
        <v>18-01</v>
      </c>
      <c r="H4968" s="273" t="e">
        <f ca="1">_xludf.IFNA(VLOOKUP(E4968,'Urban Plastix Holds'!$I$37:$U$705,12,0),0)</f>
        <v>#NAME?</v>
      </c>
      <c r="I4968" s="274"/>
      <c r="J4968" s="274" t="e">
        <f t="shared" ca="1" si="83"/>
        <v>#NAME?</v>
      </c>
      <c r="K4968" s="274">
        <f t="shared" si="84"/>
        <v>0</v>
      </c>
      <c r="N4968" s="274"/>
    </row>
    <row r="4969" spans="5:14" ht="13.5" customHeight="1">
      <c r="E4969" s="209" t="s">
        <v>1607</v>
      </c>
      <c r="F4969" s="209" t="s">
        <v>2935</v>
      </c>
      <c r="G4969" s="416" t="str">
        <f t="shared" si="82"/>
        <v>Color Code</v>
      </c>
      <c r="H4969" s="273" t="e">
        <f ca="1">_xludf.IFNA(VLOOKUP(E4969,'Urban Plastix Holds'!$I$37:$U$705,13,0),0)</f>
        <v>#NAME?</v>
      </c>
      <c r="I4969" s="274"/>
      <c r="J4969" s="274" t="e">
        <f t="shared" ca="1" si="83"/>
        <v>#NAME?</v>
      </c>
      <c r="K4969" s="274">
        <f t="shared" si="84"/>
        <v>0</v>
      </c>
      <c r="N4969" s="274"/>
    </row>
    <row r="4970" spans="5:14" ht="13.5" customHeight="1">
      <c r="E4970" s="209" t="s">
        <v>1609</v>
      </c>
      <c r="F4970" s="209" t="s">
        <v>2936</v>
      </c>
      <c r="G4970" s="406" t="str">
        <f t="shared" si="82"/>
        <v>11-12</v>
      </c>
      <c r="H4970" s="273" t="e">
        <f ca="1">_xludf.IFNA(VLOOKUP(E4970,'Urban Plastix Holds'!$I$37:$U$705,5,0),0)</f>
        <v>#NAME?</v>
      </c>
      <c r="I4970" s="274"/>
      <c r="J4970" s="274" t="e">
        <f t="shared" ca="1" si="83"/>
        <v>#NAME?</v>
      </c>
      <c r="K4970" s="274">
        <f t="shared" si="84"/>
        <v>0</v>
      </c>
      <c r="N4970" s="274"/>
    </row>
    <row r="4971" spans="5:14" ht="13.5" customHeight="1">
      <c r="E4971" s="209" t="s">
        <v>1609</v>
      </c>
      <c r="F4971" s="209" t="s">
        <v>2936</v>
      </c>
      <c r="G4971" s="408" t="str">
        <f t="shared" si="82"/>
        <v>14-01</v>
      </c>
      <c r="H4971" s="273" t="e">
        <f ca="1">_xludf.IFNA(VLOOKUP(E4971,'Urban Plastix Holds'!$I$37:$U$705,6,0),0)</f>
        <v>#NAME?</v>
      </c>
      <c r="I4971" s="274"/>
      <c r="J4971" s="274" t="e">
        <f t="shared" ca="1" si="83"/>
        <v>#NAME?</v>
      </c>
      <c r="K4971" s="274">
        <f t="shared" si="84"/>
        <v>0</v>
      </c>
      <c r="N4971" s="274"/>
    </row>
    <row r="4972" spans="5:14" ht="13.5" customHeight="1">
      <c r="E4972" s="209" t="s">
        <v>1609</v>
      </c>
      <c r="F4972" s="209" t="s">
        <v>2936</v>
      </c>
      <c r="G4972" s="409" t="str">
        <f t="shared" si="82"/>
        <v>15-12</v>
      </c>
      <c r="H4972" s="273" t="e">
        <f ca="1">_xludf.IFNA(VLOOKUP(E4972,'Urban Plastix Holds'!$I$37:$U$705,7,0),0)</f>
        <v>#NAME?</v>
      </c>
      <c r="I4972" s="274"/>
      <c r="J4972" s="274" t="e">
        <f t="shared" ca="1" si="83"/>
        <v>#NAME?</v>
      </c>
      <c r="K4972" s="274">
        <f t="shared" si="84"/>
        <v>0</v>
      </c>
      <c r="N4972" s="274"/>
    </row>
    <row r="4973" spans="5:14" ht="13.5" customHeight="1">
      <c r="E4973" s="209" t="s">
        <v>1609</v>
      </c>
      <c r="F4973" s="209" t="s">
        <v>2936</v>
      </c>
      <c r="G4973" s="410" t="str">
        <f t="shared" si="82"/>
        <v>16-16</v>
      </c>
      <c r="H4973" s="273" t="e">
        <f ca="1">_xludf.IFNA(VLOOKUP(E4973,'Urban Plastix Holds'!$I$37:$U$705,8,0),0)</f>
        <v>#NAME?</v>
      </c>
      <c r="I4973" s="274"/>
      <c r="J4973" s="274" t="e">
        <f t="shared" ca="1" si="83"/>
        <v>#NAME?</v>
      </c>
      <c r="K4973" s="274">
        <f t="shared" si="84"/>
        <v>0</v>
      </c>
      <c r="N4973" s="274"/>
    </row>
    <row r="4974" spans="5:14" ht="13.5" customHeight="1">
      <c r="E4974" s="209" t="s">
        <v>1609</v>
      </c>
      <c r="F4974" s="209" t="s">
        <v>2936</v>
      </c>
      <c r="G4974" s="411" t="str">
        <f t="shared" si="82"/>
        <v>13-01</v>
      </c>
      <c r="H4974" s="273" t="e">
        <f ca="1">_xludf.IFNA(VLOOKUP(E4974,'Urban Plastix Holds'!$I$37:$U$705,9,0),0)</f>
        <v>#NAME?</v>
      </c>
      <c r="I4974" s="274"/>
      <c r="J4974" s="274" t="e">
        <f t="shared" ca="1" si="83"/>
        <v>#NAME?</v>
      </c>
      <c r="K4974" s="274">
        <f t="shared" si="84"/>
        <v>0</v>
      </c>
      <c r="N4974" s="274"/>
    </row>
    <row r="4975" spans="5:14" ht="13.5" customHeight="1">
      <c r="E4975" s="209" t="s">
        <v>1609</v>
      </c>
      <c r="F4975" s="209" t="s">
        <v>2936</v>
      </c>
      <c r="G4975" s="413" t="str">
        <f t="shared" si="82"/>
        <v>07-13</v>
      </c>
      <c r="H4975" s="273" t="e">
        <f ca="1">_xludf.IFNA(VLOOKUP(E4975,'Urban Plastix Holds'!$I$37:$U$705,10,0),0)</f>
        <v>#NAME?</v>
      </c>
      <c r="I4975" s="274"/>
      <c r="J4975" s="274" t="e">
        <f t="shared" ca="1" si="83"/>
        <v>#NAME?</v>
      </c>
      <c r="K4975" s="274">
        <f t="shared" si="84"/>
        <v>0</v>
      </c>
      <c r="N4975" s="274"/>
    </row>
    <row r="4976" spans="5:14" ht="13.5" customHeight="1">
      <c r="E4976" s="209" t="s">
        <v>1609</v>
      </c>
      <c r="F4976" s="209" t="s">
        <v>2936</v>
      </c>
      <c r="G4976" s="414" t="str">
        <f t="shared" si="82"/>
        <v>11-26</v>
      </c>
      <c r="H4976" s="273" t="e">
        <f ca="1">_xludf.IFNA(VLOOKUP(E4976,'Urban Plastix Holds'!$I$37:$U$705,11,0),0)</f>
        <v>#NAME?</v>
      </c>
      <c r="I4976" s="274"/>
      <c r="J4976" s="274" t="e">
        <f t="shared" ca="1" si="83"/>
        <v>#NAME?</v>
      </c>
      <c r="K4976" s="274">
        <f t="shared" si="84"/>
        <v>0</v>
      </c>
      <c r="N4976" s="274"/>
    </row>
    <row r="4977" spans="5:14" ht="13.5" customHeight="1">
      <c r="E4977" s="209" t="s">
        <v>1609</v>
      </c>
      <c r="F4977" s="209" t="s">
        <v>2936</v>
      </c>
      <c r="G4977" s="415" t="str">
        <f t="shared" si="82"/>
        <v>18-01</v>
      </c>
      <c r="H4977" s="273" t="e">
        <f ca="1">_xludf.IFNA(VLOOKUP(E4977,'Urban Plastix Holds'!$I$37:$U$705,12,0),0)</f>
        <v>#NAME?</v>
      </c>
      <c r="I4977" s="274"/>
      <c r="J4977" s="274" t="e">
        <f t="shared" ca="1" si="83"/>
        <v>#NAME?</v>
      </c>
      <c r="K4977" s="274">
        <f t="shared" si="84"/>
        <v>0</v>
      </c>
      <c r="N4977" s="274"/>
    </row>
    <row r="4978" spans="5:14" ht="13.5" customHeight="1">
      <c r="E4978" s="209" t="s">
        <v>1609</v>
      </c>
      <c r="F4978" s="209" t="s">
        <v>2936</v>
      </c>
      <c r="G4978" s="416" t="str">
        <f t="shared" si="82"/>
        <v>Color Code</v>
      </c>
      <c r="H4978" s="273" t="e">
        <f ca="1">_xludf.IFNA(VLOOKUP(E4978,'Urban Plastix Holds'!$I$37:$U$705,13,0),0)</f>
        <v>#NAME?</v>
      </c>
      <c r="I4978" s="274"/>
      <c r="J4978" s="274" t="e">
        <f t="shared" ca="1" si="83"/>
        <v>#NAME?</v>
      </c>
      <c r="K4978" s="274">
        <f t="shared" si="84"/>
        <v>0</v>
      </c>
      <c r="N4978" s="274"/>
    </row>
    <row r="4979" spans="5:14" ht="13.5" customHeight="1">
      <c r="E4979" s="209" t="s">
        <v>1746</v>
      </c>
      <c r="F4979" s="209" t="s">
        <v>2937</v>
      </c>
      <c r="G4979" s="406" t="str">
        <f t="shared" si="82"/>
        <v>11-12</v>
      </c>
      <c r="H4979" s="273" t="e">
        <f ca="1">_xludf.IFNA(VLOOKUP(E4979,'Urban Plastix Holds'!$I$37:$U$705,5,0),0)</f>
        <v>#NAME?</v>
      </c>
      <c r="I4979" s="274"/>
      <c r="J4979" s="274" t="e">
        <f t="shared" ca="1" si="83"/>
        <v>#NAME?</v>
      </c>
      <c r="K4979" s="274">
        <f t="shared" si="84"/>
        <v>0</v>
      </c>
      <c r="N4979" s="274"/>
    </row>
    <row r="4980" spans="5:14" ht="13.5" customHeight="1">
      <c r="E4980" s="209" t="s">
        <v>1746</v>
      </c>
      <c r="F4980" s="209" t="s">
        <v>2937</v>
      </c>
      <c r="G4980" s="408" t="str">
        <f t="shared" si="82"/>
        <v>14-01</v>
      </c>
      <c r="H4980" s="273" t="e">
        <f ca="1">_xludf.IFNA(VLOOKUP(E4980,'Urban Plastix Holds'!$I$37:$U$705,6,0),0)</f>
        <v>#NAME?</v>
      </c>
      <c r="I4980" s="274"/>
      <c r="J4980" s="274" t="e">
        <f t="shared" ca="1" si="83"/>
        <v>#NAME?</v>
      </c>
      <c r="K4980" s="274">
        <f t="shared" si="84"/>
        <v>0</v>
      </c>
      <c r="N4980" s="274"/>
    </row>
    <row r="4981" spans="5:14" ht="13.5" customHeight="1">
      <c r="E4981" s="209" t="s">
        <v>1746</v>
      </c>
      <c r="F4981" s="209" t="s">
        <v>2937</v>
      </c>
      <c r="G4981" s="409" t="str">
        <f t="shared" si="82"/>
        <v>15-12</v>
      </c>
      <c r="H4981" s="273" t="e">
        <f ca="1">_xludf.IFNA(VLOOKUP(E4981,'Urban Plastix Holds'!$I$37:$U$705,7,0),0)</f>
        <v>#NAME?</v>
      </c>
      <c r="I4981" s="274"/>
      <c r="J4981" s="274" t="e">
        <f t="shared" ca="1" si="83"/>
        <v>#NAME?</v>
      </c>
      <c r="K4981" s="274">
        <f t="shared" si="84"/>
        <v>0</v>
      </c>
      <c r="N4981" s="274"/>
    </row>
    <row r="4982" spans="5:14" ht="13.5" customHeight="1">
      <c r="E4982" s="209" t="s">
        <v>1746</v>
      </c>
      <c r="F4982" s="209" t="s">
        <v>2937</v>
      </c>
      <c r="G4982" s="410" t="str">
        <f t="shared" si="82"/>
        <v>16-16</v>
      </c>
      <c r="H4982" s="273" t="e">
        <f ca="1">_xludf.IFNA(VLOOKUP(E4982,'Urban Plastix Holds'!$I$37:$U$705,8,0),0)</f>
        <v>#NAME?</v>
      </c>
      <c r="I4982" s="274"/>
      <c r="J4982" s="274" t="e">
        <f t="shared" ca="1" si="83"/>
        <v>#NAME?</v>
      </c>
      <c r="K4982" s="274">
        <f t="shared" si="84"/>
        <v>0</v>
      </c>
      <c r="N4982" s="274"/>
    </row>
    <row r="4983" spans="5:14" ht="13.5" customHeight="1">
      <c r="E4983" s="209" t="s">
        <v>1746</v>
      </c>
      <c r="F4983" s="209" t="s">
        <v>2937</v>
      </c>
      <c r="G4983" s="411" t="str">
        <f t="shared" si="82"/>
        <v>13-01</v>
      </c>
      <c r="H4983" s="273" t="e">
        <f ca="1">_xludf.IFNA(VLOOKUP(E4983,'Urban Plastix Holds'!$I$37:$U$705,9,0),0)</f>
        <v>#NAME?</v>
      </c>
      <c r="I4983" s="274"/>
      <c r="J4983" s="274" t="e">
        <f t="shared" ca="1" si="83"/>
        <v>#NAME?</v>
      </c>
      <c r="K4983" s="274">
        <f t="shared" si="84"/>
        <v>0</v>
      </c>
      <c r="N4983" s="274"/>
    </row>
    <row r="4984" spans="5:14" ht="13.5" customHeight="1">
      <c r="E4984" s="209" t="s">
        <v>1746</v>
      </c>
      <c r="F4984" s="209" t="s">
        <v>2937</v>
      </c>
      <c r="G4984" s="413" t="str">
        <f t="shared" si="82"/>
        <v>07-13</v>
      </c>
      <c r="H4984" s="273" t="e">
        <f ca="1">_xludf.IFNA(VLOOKUP(E4984,'Urban Plastix Holds'!$I$37:$U$705,10,0),0)</f>
        <v>#NAME?</v>
      </c>
      <c r="I4984" s="274"/>
      <c r="J4984" s="274" t="e">
        <f t="shared" ca="1" si="83"/>
        <v>#NAME?</v>
      </c>
      <c r="K4984" s="274">
        <f t="shared" si="84"/>
        <v>0</v>
      </c>
      <c r="N4984" s="274"/>
    </row>
    <row r="4985" spans="5:14" ht="13.5" customHeight="1">
      <c r="E4985" s="209" t="s">
        <v>1746</v>
      </c>
      <c r="F4985" s="209" t="s">
        <v>2937</v>
      </c>
      <c r="G4985" s="414" t="str">
        <f t="shared" si="82"/>
        <v>11-26</v>
      </c>
      <c r="H4985" s="273" t="e">
        <f ca="1">_xludf.IFNA(VLOOKUP(E4985,'Urban Plastix Holds'!$I$37:$U$705,11,0),0)</f>
        <v>#NAME?</v>
      </c>
      <c r="I4985" s="274"/>
      <c r="J4985" s="274" t="e">
        <f t="shared" ca="1" si="83"/>
        <v>#NAME?</v>
      </c>
      <c r="K4985" s="274">
        <f t="shared" si="84"/>
        <v>0</v>
      </c>
      <c r="N4985" s="274"/>
    </row>
    <row r="4986" spans="5:14" ht="13.5" customHeight="1">
      <c r="E4986" s="209" t="s">
        <v>1746</v>
      </c>
      <c r="F4986" s="209" t="s">
        <v>2937</v>
      </c>
      <c r="G4986" s="415" t="str">
        <f t="shared" si="82"/>
        <v>18-01</v>
      </c>
      <c r="H4986" s="273" t="e">
        <f ca="1">_xludf.IFNA(VLOOKUP(E4986,'Urban Plastix Holds'!$I$37:$U$705,12,0),0)</f>
        <v>#NAME?</v>
      </c>
      <c r="I4986" s="274"/>
      <c r="J4986" s="274" t="e">
        <f t="shared" ca="1" si="83"/>
        <v>#NAME?</v>
      </c>
      <c r="K4986" s="274">
        <f t="shared" si="84"/>
        <v>0</v>
      </c>
      <c r="N4986" s="274"/>
    </row>
    <row r="4987" spans="5:14" ht="13.5" customHeight="1">
      <c r="E4987" s="209" t="s">
        <v>1746</v>
      </c>
      <c r="F4987" s="209" t="s">
        <v>2937</v>
      </c>
      <c r="G4987" s="416" t="str">
        <f t="shared" si="82"/>
        <v>Color Code</v>
      </c>
      <c r="H4987" s="273" t="e">
        <f ca="1">_xludf.IFNA(VLOOKUP(E4987,'Urban Plastix Holds'!$I$37:$U$705,13,0),0)</f>
        <v>#NAME?</v>
      </c>
      <c r="I4987" s="274"/>
      <c r="J4987" s="274" t="e">
        <f t="shared" ca="1" si="83"/>
        <v>#NAME?</v>
      </c>
      <c r="K4987" s="274">
        <f t="shared" si="84"/>
        <v>0</v>
      </c>
      <c r="N4987" s="274"/>
    </row>
    <row r="4988" spans="5:14" ht="13.5" customHeight="1">
      <c r="E4988" s="209" t="s">
        <v>1790</v>
      </c>
      <c r="F4988" s="209" t="s">
        <v>2938</v>
      </c>
      <c r="G4988" s="406" t="str">
        <f t="shared" si="82"/>
        <v>11-12</v>
      </c>
      <c r="H4988" s="273" t="e">
        <f ca="1">_xludf.IFNA(VLOOKUP(E4988,'Urban Plastix Holds'!$I$37:$U$705,5,0),0)</f>
        <v>#NAME?</v>
      </c>
      <c r="I4988" s="274"/>
      <c r="J4988" s="274" t="e">
        <f t="shared" ca="1" si="83"/>
        <v>#NAME?</v>
      </c>
      <c r="K4988" s="274">
        <f t="shared" si="84"/>
        <v>0</v>
      </c>
      <c r="N4988" s="274"/>
    </row>
    <row r="4989" spans="5:14" ht="13.5" customHeight="1">
      <c r="E4989" s="209" t="s">
        <v>1790</v>
      </c>
      <c r="F4989" s="209" t="s">
        <v>2938</v>
      </c>
      <c r="G4989" s="408" t="str">
        <f t="shared" si="82"/>
        <v>14-01</v>
      </c>
      <c r="H4989" s="273" t="e">
        <f ca="1">_xludf.IFNA(VLOOKUP(E4989,'Urban Plastix Holds'!$I$37:$U$705,6,0),0)</f>
        <v>#NAME?</v>
      </c>
      <c r="I4989" s="274"/>
      <c r="J4989" s="274" t="e">
        <f t="shared" ca="1" si="83"/>
        <v>#NAME?</v>
      </c>
      <c r="K4989" s="274">
        <f t="shared" si="84"/>
        <v>0</v>
      </c>
      <c r="N4989" s="274"/>
    </row>
    <row r="4990" spans="5:14" ht="13.5" customHeight="1">
      <c r="E4990" s="209" t="s">
        <v>1790</v>
      </c>
      <c r="F4990" s="209" t="s">
        <v>2938</v>
      </c>
      <c r="G4990" s="409" t="str">
        <f t="shared" si="82"/>
        <v>15-12</v>
      </c>
      <c r="H4990" s="273" t="e">
        <f ca="1">_xludf.IFNA(VLOOKUP(E4990,'Urban Plastix Holds'!$I$37:$U$705,7,0),0)</f>
        <v>#NAME?</v>
      </c>
      <c r="I4990" s="274"/>
      <c r="J4990" s="274" t="e">
        <f t="shared" ca="1" si="83"/>
        <v>#NAME?</v>
      </c>
      <c r="K4990" s="274">
        <f t="shared" si="84"/>
        <v>0</v>
      </c>
      <c r="N4990" s="274"/>
    </row>
    <row r="4991" spans="5:14" ht="13.5" customHeight="1">
      <c r="E4991" s="209" t="s">
        <v>1790</v>
      </c>
      <c r="F4991" s="209" t="s">
        <v>2938</v>
      </c>
      <c r="G4991" s="410" t="str">
        <f t="shared" si="82"/>
        <v>16-16</v>
      </c>
      <c r="H4991" s="273" t="e">
        <f ca="1">_xludf.IFNA(VLOOKUP(E4991,'Urban Plastix Holds'!$I$37:$U$705,8,0),0)</f>
        <v>#NAME?</v>
      </c>
      <c r="I4991" s="274"/>
      <c r="J4991" s="274" t="e">
        <f t="shared" ca="1" si="83"/>
        <v>#NAME?</v>
      </c>
      <c r="K4991" s="274">
        <f t="shared" si="84"/>
        <v>0</v>
      </c>
      <c r="N4991" s="274"/>
    </row>
    <row r="4992" spans="5:14" ht="13.5" customHeight="1">
      <c r="E4992" s="209" t="s">
        <v>1790</v>
      </c>
      <c r="F4992" s="209" t="s">
        <v>2938</v>
      </c>
      <c r="G4992" s="411" t="str">
        <f t="shared" si="82"/>
        <v>13-01</v>
      </c>
      <c r="H4992" s="273" t="e">
        <f ca="1">_xludf.IFNA(VLOOKUP(E4992,'Urban Plastix Holds'!$I$37:$U$705,9,0),0)</f>
        <v>#NAME?</v>
      </c>
      <c r="I4992" s="274"/>
      <c r="J4992" s="274" t="e">
        <f t="shared" ca="1" si="83"/>
        <v>#NAME?</v>
      </c>
      <c r="K4992" s="274">
        <f t="shared" si="84"/>
        <v>0</v>
      </c>
      <c r="N4992" s="274"/>
    </row>
    <row r="4993" spans="5:14" ht="13.5" customHeight="1">
      <c r="E4993" s="209" t="s">
        <v>1790</v>
      </c>
      <c r="F4993" s="209" t="s">
        <v>2938</v>
      </c>
      <c r="G4993" s="413" t="str">
        <f t="shared" si="82"/>
        <v>07-13</v>
      </c>
      <c r="H4993" s="273" t="e">
        <f ca="1">_xludf.IFNA(VLOOKUP(E4993,'Urban Plastix Holds'!$I$37:$U$705,10,0),0)</f>
        <v>#NAME?</v>
      </c>
      <c r="I4993" s="274"/>
      <c r="J4993" s="274" t="e">
        <f t="shared" ca="1" si="83"/>
        <v>#NAME?</v>
      </c>
      <c r="K4993" s="274">
        <f t="shared" si="84"/>
        <v>0</v>
      </c>
      <c r="N4993" s="274"/>
    </row>
    <row r="4994" spans="5:14" ht="13.5" customHeight="1">
      <c r="E4994" s="209" t="s">
        <v>1790</v>
      </c>
      <c r="F4994" s="209" t="s">
        <v>2938</v>
      </c>
      <c r="G4994" s="414" t="str">
        <f t="shared" si="82"/>
        <v>11-26</v>
      </c>
      <c r="H4994" s="273" t="e">
        <f ca="1">_xludf.IFNA(VLOOKUP(E4994,'Urban Plastix Holds'!$I$37:$U$705,11,0),0)</f>
        <v>#NAME?</v>
      </c>
      <c r="I4994" s="274"/>
      <c r="J4994" s="274" t="e">
        <f t="shared" ca="1" si="83"/>
        <v>#NAME?</v>
      </c>
      <c r="K4994" s="274">
        <f t="shared" si="84"/>
        <v>0</v>
      </c>
      <c r="N4994" s="274"/>
    </row>
    <row r="4995" spans="5:14" ht="13.5" customHeight="1">
      <c r="E4995" s="209" t="s">
        <v>1790</v>
      </c>
      <c r="F4995" s="209" t="s">
        <v>2938</v>
      </c>
      <c r="G4995" s="415" t="str">
        <f t="shared" si="82"/>
        <v>18-01</v>
      </c>
      <c r="H4995" s="273" t="e">
        <f ca="1">_xludf.IFNA(VLOOKUP(E4995,'Urban Plastix Holds'!$I$37:$U$705,12,0),0)</f>
        <v>#NAME?</v>
      </c>
      <c r="I4995" s="274"/>
      <c r="J4995" s="274" t="e">
        <f t="shared" ca="1" si="83"/>
        <v>#NAME?</v>
      </c>
      <c r="K4995" s="274">
        <f t="shared" si="84"/>
        <v>0</v>
      </c>
      <c r="N4995" s="274"/>
    </row>
    <row r="4996" spans="5:14" ht="13.5" customHeight="1">
      <c r="E4996" s="209" t="s">
        <v>1790</v>
      </c>
      <c r="F4996" s="209" t="s">
        <v>2938</v>
      </c>
      <c r="G4996" s="416" t="str">
        <f t="shared" si="82"/>
        <v>Color Code</v>
      </c>
      <c r="H4996" s="273" t="e">
        <f ca="1">_xludf.IFNA(VLOOKUP(E4996,'Urban Plastix Holds'!$I$37:$U$705,13,0),0)</f>
        <v>#NAME?</v>
      </c>
      <c r="I4996" s="274"/>
      <c r="J4996" s="274" t="e">
        <f t="shared" ca="1" si="83"/>
        <v>#NAME?</v>
      </c>
      <c r="K4996" s="274">
        <f t="shared" si="84"/>
        <v>0</v>
      </c>
      <c r="N4996" s="274"/>
    </row>
    <row r="4997" spans="5:14" ht="13.5" customHeight="1">
      <c r="E4997" s="209" t="s">
        <v>1683</v>
      </c>
      <c r="F4997" s="209" t="s">
        <v>2939</v>
      </c>
      <c r="G4997" s="406" t="str">
        <f t="shared" si="82"/>
        <v>11-12</v>
      </c>
      <c r="H4997" s="273" t="e">
        <f ca="1">_xludf.IFNA(VLOOKUP(E4997,'Urban Plastix Holds'!$I$37:$U$705,5,0),0)</f>
        <v>#NAME?</v>
      </c>
      <c r="I4997" s="274"/>
      <c r="J4997" s="274" t="e">
        <f t="shared" ca="1" si="83"/>
        <v>#NAME?</v>
      </c>
      <c r="K4997" s="274">
        <f t="shared" si="84"/>
        <v>0</v>
      </c>
      <c r="N4997" s="274"/>
    </row>
    <row r="4998" spans="5:14" ht="13.5" customHeight="1">
      <c r="E4998" s="209" t="s">
        <v>1683</v>
      </c>
      <c r="F4998" s="209" t="s">
        <v>2939</v>
      </c>
      <c r="G4998" s="408" t="str">
        <f t="shared" si="82"/>
        <v>14-01</v>
      </c>
      <c r="H4998" s="273" t="e">
        <f ca="1">_xludf.IFNA(VLOOKUP(E4998,'Urban Plastix Holds'!$I$37:$U$705,6,0),0)</f>
        <v>#NAME?</v>
      </c>
      <c r="I4998" s="274"/>
      <c r="J4998" s="274" t="e">
        <f t="shared" ca="1" si="83"/>
        <v>#NAME?</v>
      </c>
      <c r="K4998" s="274">
        <f t="shared" si="84"/>
        <v>0</v>
      </c>
      <c r="N4998" s="274"/>
    </row>
    <row r="4999" spans="5:14" ht="13.5" customHeight="1">
      <c r="E4999" s="209" t="s">
        <v>1683</v>
      </c>
      <c r="F4999" s="209" t="s">
        <v>2939</v>
      </c>
      <c r="G4999" s="409" t="str">
        <f t="shared" si="82"/>
        <v>15-12</v>
      </c>
      <c r="H4999" s="273" t="e">
        <f ca="1">_xludf.IFNA(VLOOKUP(E4999,'Urban Plastix Holds'!$I$37:$U$705,7,0),0)</f>
        <v>#NAME?</v>
      </c>
      <c r="I4999" s="274"/>
      <c r="J4999" s="274" t="e">
        <f t="shared" ca="1" si="83"/>
        <v>#NAME?</v>
      </c>
      <c r="K4999" s="274">
        <f t="shared" si="84"/>
        <v>0</v>
      </c>
      <c r="N4999" s="274"/>
    </row>
    <row r="5000" spans="5:14" ht="13.5" customHeight="1">
      <c r="E5000" s="209" t="s">
        <v>1683</v>
      </c>
      <c r="F5000" s="209" t="s">
        <v>2939</v>
      </c>
      <c r="G5000" s="410" t="str">
        <f t="shared" si="82"/>
        <v>16-16</v>
      </c>
      <c r="H5000" s="273" t="e">
        <f ca="1">_xludf.IFNA(VLOOKUP(E5000,'Urban Plastix Holds'!$I$37:$U$705,8,0),0)</f>
        <v>#NAME?</v>
      </c>
      <c r="I5000" s="274"/>
      <c r="J5000" s="274" t="e">
        <f t="shared" ca="1" si="83"/>
        <v>#NAME?</v>
      </c>
      <c r="K5000" s="274">
        <f t="shared" si="84"/>
        <v>0</v>
      </c>
      <c r="N5000" s="274"/>
    </row>
    <row r="5001" spans="5:14" ht="13.5" customHeight="1">
      <c r="E5001" s="209" t="s">
        <v>1683</v>
      </c>
      <c r="F5001" s="209" t="s">
        <v>2939</v>
      </c>
      <c r="G5001" s="411" t="str">
        <f t="shared" si="82"/>
        <v>13-01</v>
      </c>
      <c r="H5001" s="273" t="e">
        <f ca="1">_xludf.IFNA(VLOOKUP(E5001,'Urban Plastix Holds'!$I$37:$U$705,9,0),0)</f>
        <v>#NAME?</v>
      </c>
      <c r="I5001" s="274"/>
      <c r="J5001" s="274" t="e">
        <f t="shared" ca="1" si="83"/>
        <v>#NAME?</v>
      </c>
      <c r="K5001" s="274">
        <f t="shared" si="84"/>
        <v>0</v>
      </c>
      <c r="N5001" s="274"/>
    </row>
    <row r="5002" spans="5:14" ht="13.5" customHeight="1">
      <c r="E5002" s="209" t="s">
        <v>1683</v>
      </c>
      <c r="F5002" s="209" t="s">
        <v>2939</v>
      </c>
      <c r="G5002" s="413" t="str">
        <f t="shared" si="82"/>
        <v>07-13</v>
      </c>
      <c r="H5002" s="273" t="e">
        <f ca="1">_xludf.IFNA(VLOOKUP(E5002,'Urban Plastix Holds'!$I$37:$U$705,10,0),0)</f>
        <v>#NAME?</v>
      </c>
      <c r="I5002" s="274"/>
      <c r="J5002" s="274" t="e">
        <f t="shared" ca="1" si="83"/>
        <v>#NAME?</v>
      </c>
      <c r="K5002" s="274">
        <f t="shared" si="84"/>
        <v>0</v>
      </c>
      <c r="N5002" s="274"/>
    </row>
    <row r="5003" spans="5:14" ht="13.5" customHeight="1">
      <c r="E5003" s="209" t="s">
        <v>1683</v>
      </c>
      <c r="F5003" s="209" t="s">
        <v>2939</v>
      </c>
      <c r="G5003" s="414" t="str">
        <f t="shared" si="82"/>
        <v>11-26</v>
      </c>
      <c r="H5003" s="273" t="e">
        <f ca="1">_xludf.IFNA(VLOOKUP(E5003,'Urban Plastix Holds'!$I$37:$U$705,11,0),0)</f>
        <v>#NAME?</v>
      </c>
      <c r="I5003" s="274"/>
      <c r="J5003" s="274" t="e">
        <f t="shared" ca="1" si="83"/>
        <v>#NAME?</v>
      </c>
      <c r="K5003" s="274">
        <f t="shared" si="84"/>
        <v>0</v>
      </c>
      <c r="N5003" s="274"/>
    </row>
    <row r="5004" spans="5:14" ht="13.5" customHeight="1">
      <c r="E5004" s="209" t="s">
        <v>1683</v>
      </c>
      <c r="F5004" s="209" t="s">
        <v>2939</v>
      </c>
      <c r="G5004" s="415" t="str">
        <f t="shared" si="82"/>
        <v>18-01</v>
      </c>
      <c r="H5004" s="273" t="e">
        <f ca="1">_xludf.IFNA(VLOOKUP(E5004,'Urban Plastix Holds'!$I$37:$U$705,12,0),0)</f>
        <v>#NAME?</v>
      </c>
      <c r="I5004" s="274"/>
      <c r="J5004" s="274" t="e">
        <f t="shared" ca="1" si="83"/>
        <v>#NAME?</v>
      </c>
      <c r="K5004" s="274">
        <f t="shared" si="84"/>
        <v>0</v>
      </c>
      <c r="N5004" s="274"/>
    </row>
    <row r="5005" spans="5:14" ht="13.5" customHeight="1">
      <c r="E5005" s="209" t="s">
        <v>1683</v>
      </c>
      <c r="F5005" s="209" t="s">
        <v>2939</v>
      </c>
      <c r="G5005" s="416" t="str">
        <f t="shared" si="82"/>
        <v>Color Code</v>
      </c>
      <c r="H5005" s="273" t="e">
        <f ca="1">_xludf.IFNA(VLOOKUP(E5005,'Urban Plastix Holds'!$I$37:$U$705,13,0),0)</f>
        <v>#NAME?</v>
      </c>
      <c r="I5005" s="274"/>
      <c r="J5005" s="274" t="e">
        <f t="shared" ca="1" si="83"/>
        <v>#NAME?</v>
      </c>
      <c r="K5005" s="274">
        <f t="shared" si="84"/>
        <v>0</v>
      </c>
      <c r="N5005" s="274"/>
    </row>
    <row r="5006" spans="5:14" ht="13.5" customHeight="1">
      <c r="E5006" s="209" t="s">
        <v>1466</v>
      </c>
      <c r="F5006" s="209" t="s">
        <v>2940</v>
      </c>
      <c r="G5006" s="406" t="str">
        <f t="shared" si="82"/>
        <v>11-12</v>
      </c>
      <c r="H5006" s="273" t="e">
        <f ca="1">_xludf.IFNA(VLOOKUP(E5006,'Urban Plastix Holds'!$I$37:$U$705,5,0),0)</f>
        <v>#NAME?</v>
      </c>
      <c r="I5006" s="274"/>
      <c r="J5006" s="274" t="e">
        <f t="shared" ca="1" si="83"/>
        <v>#NAME?</v>
      </c>
      <c r="K5006" s="274">
        <f t="shared" si="84"/>
        <v>0</v>
      </c>
      <c r="N5006" s="274"/>
    </row>
    <row r="5007" spans="5:14" ht="13.5" customHeight="1">
      <c r="E5007" s="209" t="s">
        <v>1466</v>
      </c>
      <c r="F5007" s="209" t="s">
        <v>2940</v>
      </c>
      <c r="G5007" s="408" t="str">
        <f t="shared" si="82"/>
        <v>14-01</v>
      </c>
      <c r="H5007" s="273" t="e">
        <f ca="1">_xludf.IFNA(VLOOKUP(E5007,'Urban Plastix Holds'!$I$37:$U$705,6,0),0)</f>
        <v>#NAME?</v>
      </c>
      <c r="I5007" s="274"/>
      <c r="J5007" s="274" t="e">
        <f t="shared" ca="1" si="83"/>
        <v>#NAME?</v>
      </c>
      <c r="K5007" s="274">
        <f t="shared" si="84"/>
        <v>0</v>
      </c>
      <c r="N5007" s="274"/>
    </row>
    <row r="5008" spans="5:14" ht="13.5" customHeight="1">
      <c r="E5008" s="209" t="s">
        <v>1466</v>
      </c>
      <c r="F5008" s="209" t="s">
        <v>2940</v>
      </c>
      <c r="G5008" s="409" t="str">
        <f t="shared" si="82"/>
        <v>15-12</v>
      </c>
      <c r="H5008" s="273" t="e">
        <f ca="1">_xludf.IFNA(VLOOKUP(E5008,'Urban Plastix Holds'!$I$37:$U$705,7,0),0)</f>
        <v>#NAME?</v>
      </c>
      <c r="I5008" s="274"/>
      <c r="J5008" s="274" t="e">
        <f t="shared" ca="1" si="83"/>
        <v>#NAME?</v>
      </c>
      <c r="K5008" s="274">
        <f t="shared" si="84"/>
        <v>0</v>
      </c>
      <c r="N5008" s="274"/>
    </row>
    <row r="5009" spans="5:14" ht="13.5" customHeight="1">
      <c r="E5009" s="209" t="s">
        <v>1466</v>
      </c>
      <c r="F5009" s="209" t="s">
        <v>2940</v>
      </c>
      <c r="G5009" s="410" t="str">
        <f t="shared" si="82"/>
        <v>16-16</v>
      </c>
      <c r="H5009" s="273" t="e">
        <f ca="1">_xludf.IFNA(VLOOKUP(E5009,'Urban Plastix Holds'!$I$37:$U$705,8,0),0)</f>
        <v>#NAME?</v>
      </c>
      <c r="I5009" s="274"/>
      <c r="J5009" s="274" t="e">
        <f t="shared" ca="1" si="83"/>
        <v>#NAME?</v>
      </c>
      <c r="K5009" s="274">
        <f t="shared" si="84"/>
        <v>0</v>
      </c>
      <c r="N5009" s="274"/>
    </row>
    <row r="5010" spans="5:14" ht="13.5" customHeight="1">
      <c r="E5010" s="209" t="s">
        <v>1466</v>
      </c>
      <c r="F5010" s="209" t="s">
        <v>2940</v>
      </c>
      <c r="G5010" s="411" t="str">
        <f t="shared" si="82"/>
        <v>13-01</v>
      </c>
      <c r="H5010" s="273" t="e">
        <f ca="1">_xludf.IFNA(VLOOKUP(E5010,'Urban Plastix Holds'!$I$37:$U$705,9,0),0)</f>
        <v>#NAME?</v>
      </c>
      <c r="I5010" s="274"/>
      <c r="J5010" s="274" t="e">
        <f t="shared" ca="1" si="83"/>
        <v>#NAME?</v>
      </c>
      <c r="K5010" s="274">
        <f t="shared" si="84"/>
        <v>0</v>
      </c>
      <c r="N5010" s="274"/>
    </row>
    <row r="5011" spans="5:14" ht="13.5" customHeight="1">
      <c r="E5011" s="209" t="s">
        <v>1466</v>
      </c>
      <c r="F5011" s="209" t="s">
        <v>2940</v>
      </c>
      <c r="G5011" s="413" t="str">
        <f t="shared" si="82"/>
        <v>07-13</v>
      </c>
      <c r="H5011" s="273" t="e">
        <f ca="1">_xludf.IFNA(VLOOKUP(E5011,'Urban Plastix Holds'!$I$37:$U$705,10,0),0)</f>
        <v>#NAME?</v>
      </c>
      <c r="I5011" s="274"/>
      <c r="J5011" s="274" t="e">
        <f t="shared" ca="1" si="83"/>
        <v>#NAME?</v>
      </c>
      <c r="K5011" s="274">
        <f t="shared" si="84"/>
        <v>0</v>
      </c>
      <c r="N5011" s="274"/>
    </row>
    <row r="5012" spans="5:14" ht="13.5" customHeight="1">
      <c r="E5012" s="209" t="s">
        <v>1466</v>
      </c>
      <c r="F5012" s="209" t="s">
        <v>2940</v>
      </c>
      <c r="G5012" s="414" t="str">
        <f t="shared" si="82"/>
        <v>11-26</v>
      </c>
      <c r="H5012" s="273" t="e">
        <f ca="1">_xludf.IFNA(VLOOKUP(E5012,'Urban Plastix Holds'!$I$37:$U$705,11,0),0)</f>
        <v>#NAME?</v>
      </c>
      <c r="I5012" s="274"/>
      <c r="J5012" s="274" t="e">
        <f t="shared" ca="1" si="83"/>
        <v>#NAME?</v>
      </c>
      <c r="K5012" s="274">
        <f t="shared" si="84"/>
        <v>0</v>
      </c>
      <c r="N5012" s="274"/>
    </row>
    <row r="5013" spans="5:14" ht="13.5" customHeight="1">
      <c r="E5013" s="209" t="s">
        <v>1466</v>
      </c>
      <c r="F5013" s="209" t="s">
        <v>2940</v>
      </c>
      <c r="G5013" s="415" t="str">
        <f t="shared" si="82"/>
        <v>18-01</v>
      </c>
      <c r="H5013" s="273" t="e">
        <f ca="1">_xludf.IFNA(VLOOKUP(E5013,'Urban Plastix Holds'!$I$37:$U$705,12,0),0)</f>
        <v>#NAME?</v>
      </c>
      <c r="I5013" s="274"/>
      <c r="J5013" s="274" t="e">
        <f t="shared" ca="1" si="83"/>
        <v>#NAME?</v>
      </c>
      <c r="K5013" s="274">
        <f t="shared" si="84"/>
        <v>0</v>
      </c>
      <c r="N5013" s="274"/>
    </row>
    <row r="5014" spans="5:14" ht="13.5" customHeight="1">
      <c r="E5014" s="209" t="s">
        <v>1466</v>
      </c>
      <c r="F5014" s="209" t="s">
        <v>2940</v>
      </c>
      <c r="G5014" s="416" t="str">
        <f t="shared" si="82"/>
        <v>Color Code</v>
      </c>
      <c r="H5014" s="273" t="e">
        <f ca="1">_xludf.IFNA(VLOOKUP(E5014,'Urban Plastix Holds'!$I$37:$U$705,13,0),0)</f>
        <v>#NAME?</v>
      </c>
      <c r="I5014" s="274"/>
      <c r="J5014" s="274" t="e">
        <f t="shared" ca="1" si="83"/>
        <v>#NAME?</v>
      </c>
      <c r="K5014" s="274">
        <f t="shared" si="84"/>
        <v>0</v>
      </c>
      <c r="N5014" s="274"/>
    </row>
    <row r="5015" spans="5:14" ht="13.5" customHeight="1">
      <c r="E5015" s="209" t="s">
        <v>1774</v>
      </c>
      <c r="F5015" s="209" t="s">
        <v>2941</v>
      </c>
      <c r="G5015" s="406" t="str">
        <f t="shared" si="82"/>
        <v>11-12</v>
      </c>
      <c r="H5015" s="273" t="e">
        <f ca="1">_xludf.IFNA(VLOOKUP(E5015,'Urban Plastix Holds'!$I$37:$U$705,5,0),0)</f>
        <v>#NAME?</v>
      </c>
      <c r="I5015" s="274"/>
      <c r="J5015" s="274" t="e">
        <f t="shared" ca="1" si="83"/>
        <v>#NAME?</v>
      </c>
      <c r="K5015" s="274">
        <f t="shared" si="84"/>
        <v>0</v>
      </c>
      <c r="N5015" s="274"/>
    </row>
    <row r="5016" spans="5:14" ht="13.5" customHeight="1">
      <c r="E5016" s="209" t="s">
        <v>1774</v>
      </c>
      <c r="F5016" s="209" t="s">
        <v>2941</v>
      </c>
      <c r="G5016" s="408" t="str">
        <f t="shared" si="82"/>
        <v>14-01</v>
      </c>
      <c r="H5016" s="273" t="e">
        <f ca="1">_xludf.IFNA(VLOOKUP(E5016,'Urban Plastix Holds'!$I$37:$U$705,6,0),0)</f>
        <v>#NAME?</v>
      </c>
      <c r="I5016" s="274"/>
      <c r="J5016" s="274" t="e">
        <f t="shared" ca="1" si="83"/>
        <v>#NAME?</v>
      </c>
      <c r="K5016" s="274">
        <f t="shared" si="84"/>
        <v>0</v>
      </c>
      <c r="N5016" s="274"/>
    </row>
    <row r="5017" spans="5:14" ht="13.5" customHeight="1">
      <c r="E5017" s="209" t="s">
        <v>1774</v>
      </c>
      <c r="F5017" s="209" t="s">
        <v>2941</v>
      </c>
      <c r="G5017" s="409" t="str">
        <f t="shared" si="82"/>
        <v>15-12</v>
      </c>
      <c r="H5017" s="273" t="e">
        <f ca="1">_xludf.IFNA(VLOOKUP(E5017,'Urban Plastix Holds'!$I$37:$U$705,7,0),0)</f>
        <v>#NAME?</v>
      </c>
      <c r="I5017" s="274"/>
      <c r="J5017" s="274" t="e">
        <f t="shared" ca="1" si="83"/>
        <v>#NAME?</v>
      </c>
      <c r="K5017" s="274">
        <f t="shared" si="84"/>
        <v>0</v>
      </c>
      <c r="N5017" s="274"/>
    </row>
    <row r="5018" spans="5:14" ht="13.5" customHeight="1">
      <c r="E5018" s="209" t="s">
        <v>1774</v>
      </c>
      <c r="F5018" s="209" t="s">
        <v>2941</v>
      </c>
      <c r="G5018" s="410" t="str">
        <f t="shared" si="82"/>
        <v>16-16</v>
      </c>
      <c r="H5018" s="273" t="e">
        <f ca="1">_xludf.IFNA(VLOOKUP(E5018,'Urban Plastix Holds'!$I$37:$U$705,8,0),0)</f>
        <v>#NAME?</v>
      </c>
      <c r="I5018" s="274"/>
      <c r="J5018" s="274" t="e">
        <f t="shared" ca="1" si="83"/>
        <v>#NAME?</v>
      </c>
      <c r="K5018" s="274">
        <f t="shared" si="84"/>
        <v>0</v>
      </c>
      <c r="N5018" s="274"/>
    </row>
    <row r="5019" spans="5:14" ht="13.5" customHeight="1">
      <c r="E5019" s="209" t="s">
        <v>1774</v>
      </c>
      <c r="F5019" s="209" t="s">
        <v>2941</v>
      </c>
      <c r="G5019" s="411" t="str">
        <f t="shared" si="82"/>
        <v>13-01</v>
      </c>
      <c r="H5019" s="273" t="e">
        <f ca="1">_xludf.IFNA(VLOOKUP(E5019,'Urban Plastix Holds'!$I$37:$U$705,9,0),0)</f>
        <v>#NAME?</v>
      </c>
      <c r="I5019" s="274"/>
      <c r="J5019" s="274" t="e">
        <f t="shared" ca="1" si="83"/>
        <v>#NAME?</v>
      </c>
      <c r="K5019" s="274">
        <f t="shared" si="84"/>
        <v>0</v>
      </c>
      <c r="N5019" s="274"/>
    </row>
    <row r="5020" spans="5:14" ht="13.5" customHeight="1">
      <c r="E5020" s="209" t="s">
        <v>1774</v>
      </c>
      <c r="F5020" s="209" t="s">
        <v>2941</v>
      </c>
      <c r="G5020" s="413" t="str">
        <f t="shared" si="82"/>
        <v>07-13</v>
      </c>
      <c r="H5020" s="273" t="e">
        <f ca="1">_xludf.IFNA(VLOOKUP(E5020,'Urban Plastix Holds'!$I$37:$U$705,10,0),0)</f>
        <v>#NAME?</v>
      </c>
      <c r="I5020" s="274"/>
      <c r="J5020" s="274" t="e">
        <f t="shared" ca="1" si="83"/>
        <v>#NAME?</v>
      </c>
      <c r="K5020" s="274">
        <f t="shared" si="84"/>
        <v>0</v>
      </c>
      <c r="N5020" s="274"/>
    </row>
    <row r="5021" spans="5:14" ht="13.5" customHeight="1">
      <c r="E5021" s="209" t="s">
        <v>1774</v>
      </c>
      <c r="F5021" s="209" t="s">
        <v>2941</v>
      </c>
      <c r="G5021" s="414" t="str">
        <f t="shared" si="82"/>
        <v>11-26</v>
      </c>
      <c r="H5021" s="273" t="e">
        <f ca="1">_xludf.IFNA(VLOOKUP(E5021,'Urban Plastix Holds'!$I$37:$U$705,11,0),0)</f>
        <v>#NAME?</v>
      </c>
      <c r="I5021" s="274"/>
      <c r="J5021" s="274" t="e">
        <f t="shared" ca="1" si="83"/>
        <v>#NAME?</v>
      </c>
      <c r="K5021" s="274">
        <f t="shared" si="84"/>
        <v>0</v>
      </c>
      <c r="N5021" s="274"/>
    </row>
    <row r="5022" spans="5:14" ht="13.5" customHeight="1">
      <c r="E5022" s="209" t="s">
        <v>1774</v>
      </c>
      <c r="F5022" s="209" t="s">
        <v>2941</v>
      </c>
      <c r="G5022" s="415" t="str">
        <f t="shared" si="82"/>
        <v>18-01</v>
      </c>
      <c r="H5022" s="273" t="e">
        <f ca="1">_xludf.IFNA(VLOOKUP(E5022,'Urban Plastix Holds'!$I$37:$U$705,12,0),0)</f>
        <v>#NAME?</v>
      </c>
      <c r="I5022" s="274"/>
      <c r="J5022" s="274" t="e">
        <f t="shared" ca="1" si="83"/>
        <v>#NAME?</v>
      </c>
      <c r="K5022" s="274">
        <f t="shared" si="84"/>
        <v>0</v>
      </c>
      <c r="N5022" s="274"/>
    </row>
    <row r="5023" spans="5:14" ht="13.5" customHeight="1">
      <c r="E5023" s="209" t="s">
        <v>1774</v>
      </c>
      <c r="F5023" s="209" t="s">
        <v>2941</v>
      </c>
      <c r="G5023" s="416" t="str">
        <f t="shared" si="82"/>
        <v>Color Code</v>
      </c>
      <c r="H5023" s="273" t="e">
        <f ca="1">_xludf.IFNA(VLOOKUP(E5023,'Urban Plastix Holds'!$I$37:$U$705,13,0),0)</f>
        <v>#NAME?</v>
      </c>
      <c r="I5023" s="274"/>
      <c r="J5023" s="274" t="e">
        <f t="shared" ca="1" si="83"/>
        <v>#NAME?</v>
      </c>
      <c r="K5023" s="274">
        <f t="shared" si="84"/>
        <v>0</v>
      </c>
      <c r="N5023" s="274"/>
    </row>
    <row r="5024" spans="5:14" ht="13.5" customHeight="1">
      <c r="E5024" s="209" t="s">
        <v>1783</v>
      </c>
      <c r="F5024" s="209" t="s">
        <v>2942</v>
      </c>
      <c r="G5024" s="406" t="str">
        <f t="shared" si="82"/>
        <v>11-12</v>
      </c>
      <c r="H5024" s="273" t="e">
        <f ca="1">_xludf.IFNA(VLOOKUP(E5024,'Urban Plastix Holds'!$I$37:$U$705,5,0),0)</f>
        <v>#NAME?</v>
      </c>
      <c r="I5024" s="274"/>
      <c r="J5024" s="274" t="e">
        <f t="shared" ca="1" si="83"/>
        <v>#NAME?</v>
      </c>
      <c r="K5024" s="274">
        <f t="shared" si="84"/>
        <v>0</v>
      </c>
      <c r="N5024" s="274"/>
    </row>
    <row r="5025" spans="5:14" ht="13.5" customHeight="1">
      <c r="E5025" s="209" t="s">
        <v>1783</v>
      </c>
      <c r="F5025" s="209" t="s">
        <v>2942</v>
      </c>
      <c r="G5025" s="408" t="str">
        <f t="shared" si="82"/>
        <v>14-01</v>
      </c>
      <c r="H5025" s="273" t="e">
        <f ca="1">_xludf.IFNA(VLOOKUP(E5025,'Urban Plastix Holds'!$I$37:$U$705,6,0),0)</f>
        <v>#NAME?</v>
      </c>
      <c r="I5025" s="274"/>
      <c r="J5025" s="274" t="e">
        <f t="shared" ca="1" si="83"/>
        <v>#NAME?</v>
      </c>
      <c r="K5025" s="274">
        <f t="shared" si="84"/>
        <v>0</v>
      </c>
      <c r="N5025" s="274"/>
    </row>
    <row r="5026" spans="5:14" ht="13.5" customHeight="1">
      <c r="E5026" s="209" t="s">
        <v>1783</v>
      </c>
      <c r="F5026" s="209" t="s">
        <v>2942</v>
      </c>
      <c r="G5026" s="409" t="str">
        <f t="shared" si="82"/>
        <v>15-12</v>
      </c>
      <c r="H5026" s="273" t="e">
        <f ca="1">_xludf.IFNA(VLOOKUP(E5026,'Urban Plastix Holds'!$I$37:$U$705,7,0),0)</f>
        <v>#NAME?</v>
      </c>
      <c r="I5026" s="274"/>
      <c r="J5026" s="274" t="e">
        <f t="shared" ca="1" si="83"/>
        <v>#NAME?</v>
      </c>
      <c r="K5026" s="274">
        <f t="shared" si="84"/>
        <v>0</v>
      </c>
      <c r="N5026" s="274"/>
    </row>
    <row r="5027" spans="5:14" ht="13.5" customHeight="1">
      <c r="E5027" s="209" t="s">
        <v>1783</v>
      </c>
      <c r="F5027" s="209" t="s">
        <v>2942</v>
      </c>
      <c r="G5027" s="410" t="str">
        <f t="shared" si="82"/>
        <v>16-16</v>
      </c>
      <c r="H5027" s="273" t="e">
        <f ca="1">_xludf.IFNA(VLOOKUP(E5027,'Urban Plastix Holds'!$I$37:$U$705,8,0),0)</f>
        <v>#NAME?</v>
      </c>
      <c r="I5027" s="274"/>
      <c r="J5027" s="274" t="e">
        <f t="shared" ca="1" si="83"/>
        <v>#NAME?</v>
      </c>
      <c r="K5027" s="274">
        <f t="shared" si="84"/>
        <v>0</v>
      </c>
      <c r="N5027" s="274"/>
    </row>
    <row r="5028" spans="5:14" ht="13.5" customHeight="1">
      <c r="E5028" s="209" t="s">
        <v>1783</v>
      </c>
      <c r="F5028" s="209" t="s">
        <v>2942</v>
      </c>
      <c r="G5028" s="411" t="str">
        <f t="shared" si="82"/>
        <v>13-01</v>
      </c>
      <c r="H5028" s="273" t="e">
        <f ca="1">_xludf.IFNA(VLOOKUP(E5028,'Urban Plastix Holds'!$I$37:$U$705,9,0),0)</f>
        <v>#NAME?</v>
      </c>
      <c r="I5028" s="274"/>
      <c r="J5028" s="274" t="e">
        <f t="shared" ca="1" si="83"/>
        <v>#NAME?</v>
      </c>
      <c r="K5028" s="274">
        <f t="shared" si="84"/>
        <v>0</v>
      </c>
      <c r="N5028" s="274"/>
    </row>
    <row r="5029" spans="5:14" ht="13.5" customHeight="1">
      <c r="E5029" s="209" t="s">
        <v>1783</v>
      </c>
      <c r="F5029" s="209" t="s">
        <v>2942</v>
      </c>
      <c r="G5029" s="413" t="str">
        <f t="shared" si="82"/>
        <v>07-13</v>
      </c>
      <c r="H5029" s="273" t="e">
        <f ca="1">_xludf.IFNA(VLOOKUP(E5029,'Urban Plastix Holds'!$I$37:$U$705,10,0),0)</f>
        <v>#NAME?</v>
      </c>
      <c r="I5029" s="274"/>
      <c r="J5029" s="274" t="e">
        <f t="shared" ca="1" si="83"/>
        <v>#NAME?</v>
      </c>
      <c r="K5029" s="274">
        <f t="shared" si="84"/>
        <v>0</v>
      </c>
      <c r="N5029" s="274"/>
    </row>
    <row r="5030" spans="5:14" ht="13.5" customHeight="1">
      <c r="E5030" s="209" t="s">
        <v>1783</v>
      </c>
      <c r="F5030" s="209" t="s">
        <v>2942</v>
      </c>
      <c r="G5030" s="414" t="str">
        <f t="shared" si="82"/>
        <v>11-26</v>
      </c>
      <c r="H5030" s="273" t="e">
        <f ca="1">_xludf.IFNA(VLOOKUP(E5030,'Urban Plastix Holds'!$I$37:$U$705,11,0),0)</f>
        <v>#NAME?</v>
      </c>
      <c r="I5030" s="274"/>
      <c r="J5030" s="274" t="e">
        <f t="shared" ca="1" si="83"/>
        <v>#NAME?</v>
      </c>
      <c r="K5030" s="274">
        <f t="shared" si="84"/>
        <v>0</v>
      </c>
      <c r="N5030" s="274"/>
    </row>
    <row r="5031" spans="5:14" ht="13.5" customHeight="1">
      <c r="E5031" s="209" t="s">
        <v>1783</v>
      </c>
      <c r="F5031" s="209" t="s">
        <v>2942</v>
      </c>
      <c r="G5031" s="415" t="str">
        <f t="shared" si="82"/>
        <v>18-01</v>
      </c>
      <c r="H5031" s="273" t="e">
        <f ca="1">_xludf.IFNA(VLOOKUP(E5031,'Urban Plastix Holds'!$I$37:$U$705,12,0),0)</f>
        <v>#NAME?</v>
      </c>
      <c r="I5031" s="274"/>
      <c r="J5031" s="274" t="e">
        <f t="shared" ca="1" si="83"/>
        <v>#NAME?</v>
      </c>
      <c r="K5031" s="274">
        <f t="shared" si="84"/>
        <v>0</v>
      </c>
      <c r="N5031" s="274"/>
    </row>
    <row r="5032" spans="5:14" ht="13.5" customHeight="1">
      <c r="E5032" s="209" t="s">
        <v>1783</v>
      </c>
      <c r="F5032" s="209" t="s">
        <v>2942</v>
      </c>
      <c r="G5032" s="416" t="str">
        <f t="shared" si="82"/>
        <v>Color Code</v>
      </c>
      <c r="H5032" s="273" t="e">
        <f ca="1">_xludf.IFNA(VLOOKUP(E5032,'Urban Plastix Holds'!$I$37:$U$705,13,0),0)</f>
        <v>#NAME?</v>
      </c>
      <c r="I5032" s="274"/>
      <c r="J5032" s="274" t="e">
        <f t="shared" ca="1" si="83"/>
        <v>#NAME?</v>
      </c>
      <c r="K5032" s="274">
        <f t="shared" si="84"/>
        <v>0</v>
      </c>
      <c r="N5032" s="274"/>
    </row>
    <row r="5033" spans="5:14" ht="13.5" customHeight="1">
      <c r="E5033" s="209" t="s">
        <v>1781</v>
      </c>
      <c r="F5033" s="209" t="s">
        <v>2943</v>
      </c>
      <c r="G5033" s="406" t="str">
        <f t="shared" si="82"/>
        <v>11-12</v>
      </c>
      <c r="H5033" s="273" t="e">
        <f ca="1">_xludf.IFNA(VLOOKUP(E5033,'Urban Plastix Holds'!$I$37:$U$705,5,0),0)</f>
        <v>#NAME?</v>
      </c>
      <c r="I5033" s="274"/>
      <c r="J5033" s="274" t="e">
        <f t="shared" ca="1" si="83"/>
        <v>#NAME?</v>
      </c>
      <c r="K5033" s="274">
        <f t="shared" si="84"/>
        <v>0</v>
      </c>
      <c r="N5033" s="274"/>
    </row>
    <row r="5034" spans="5:14" ht="13.5" customHeight="1">
      <c r="E5034" s="209" t="s">
        <v>1781</v>
      </c>
      <c r="F5034" s="209" t="s">
        <v>2943</v>
      </c>
      <c r="G5034" s="408" t="str">
        <f t="shared" si="82"/>
        <v>14-01</v>
      </c>
      <c r="H5034" s="273" t="e">
        <f ca="1">_xludf.IFNA(VLOOKUP(E5034,'Urban Plastix Holds'!$I$37:$U$705,6,0),0)</f>
        <v>#NAME?</v>
      </c>
      <c r="I5034" s="274"/>
      <c r="J5034" s="274" t="e">
        <f t="shared" ca="1" si="83"/>
        <v>#NAME?</v>
      </c>
      <c r="K5034" s="274">
        <f t="shared" si="84"/>
        <v>0</v>
      </c>
      <c r="N5034" s="274"/>
    </row>
    <row r="5035" spans="5:14" ht="13.5" customHeight="1">
      <c r="E5035" s="209" t="s">
        <v>1781</v>
      </c>
      <c r="F5035" s="209" t="s">
        <v>2943</v>
      </c>
      <c r="G5035" s="409" t="str">
        <f t="shared" si="82"/>
        <v>15-12</v>
      </c>
      <c r="H5035" s="273" t="e">
        <f ca="1">_xludf.IFNA(VLOOKUP(E5035,'Urban Plastix Holds'!$I$37:$U$705,7,0),0)</f>
        <v>#NAME?</v>
      </c>
      <c r="I5035" s="274"/>
      <c r="J5035" s="274" t="e">
        <f t="shared" ca="1" si="83"/>
        <v>#NAME?</v>
      </c>
      <c r="K5035" s="274">
        <f t="shared" si="84"/>
        <v>0</v>
      </c>
      <c r="N5035" s="274"/>
    </row>
    <row r="5036" spans="5:14" ht="13.5" customHeight="1">
      <c r="E5036" s="209" t="s">
        <v>1781</v>
      </c>
      <c r="F5036" s="209" t="s">
        <v>2943</v>
      </c>
      <c r="G5036" s="410" t="str">
        <f t="shared" si="82"/>
        <v>16-16</v>
      </c>
      <c r="H5036" s="273" t="e">
        <f ca="1">_xludf.IFNA(VLOOKUP(E5036,'Urban Plastix Holds'!$I$37:$U$705,8,0),0)</f>
        <v>#NAME?</v>
      </c>
      <c r="I5036" s="274"/>
      <c r="J5036" s="274" t="e">
        <f t="shared" ca="1" si="83"/>
        <v>#NAME?</v>
      </c>
      <c r="K5036" s="274">
        <f t="shared" si="84"/>
        <v>0</v>
      </c>
      <c r="N5036" s="274"/>
    </row>
    <row r="5037" spans="5:14" ht="13.5" customHeight="1">
      <c r="E5037" s="209" t="s">
        <v>1781</v>
      </c>
      <c r="F5037" s="209" t="s">
        <v>2943</v>
      </c>
      <c r="G5037" s="411" t="str">
        <f t="shared" si="82"/>
        <v>13-01</v>
      </c>
      <c r="H5037" s="273" t="e">
        <f ca="1">_xludf.IFNA(VLOOKUP(E5037,'Urban Plastix Holds'!$I$37:$U$705,9,0),0)</f>
        <v>#NAME?</v>
      </c>
      <c r="I5037" s="274"/>
      <c r="J5037" s="274" t="e">
        <f t="shared" ca="1" si="83"/>
        <v>#NAME?</v>
      </c>
      <c r="K5037" s="274">
        <f t="shared" si="84"/>
        <v>0</v>
      </c>
      <c r="N5037" s="274"/>
    </row>
    <row r="5038" spans="5:14" ht="13.5" customHeight="1">
      <c r="E5038" s="209" t="s">
        <v>1781</v>
      </c>
      <c r="F5038" s="209" t="s">
        <v>2943</v>
      </c>
      <c r="G5038" s="413" t="str">
        <f t="shared" si="82"/>
        <v>07-13</v>
      </c>
      <c r="H5038" s="273" t="e">
        <f ca="1">_xludf.IFNA(VLOOKUP(E5038,'Urban Plastix Holds'!$I$37:$U$705,10,0),0)</f>
        <v>#NAME?</v>
      </c>
      <c r="I5038" s="274"/>
      <c r="J5038" s="274" t="e">
        <f t="shared" ca="1" si="83"/>
        <v>#NAME?</v>
      </c>
      <c r="K5038" s="274">
        <f t="shared" si="84"/>
        <v>0</v>
      </c>
      <c r="N5038" s="274"/>
    </row>
    <row r="5039" spans="5:14" ht="13.5" customHeight="1">
      <c r="E5039" s="209" t="s">
        <v>1781</v>
      </c>
      <c r="F5039" s="209" t="s">
        <v>2943</v>
      </c>
      <c r="G5039" s="414" t="str">
        <f t="shared" si="82"/>
        <v>11-26</v>
      </c>
      <c r="H5039" s="273" t="e">
        <f ca="1">_xludf.IFNA(VLOOKUP(E5039,'Urban Plastix Holds'!$I$37:$U$705,11,0),0)</f>
        <v>#NAME?</v>
      </c>
      <c r="I5039" s="274"/>
      <c r="J5039" s="274" t="e">
        <f t="shared" ca="1" si="83"/>
        <v>#NAME?</v>
      </c>
      <c r="K5039" s="274">
        <f t="shared" si="84"/>
        <v>0</v>
      </c>
      <c r="N5039" s="274"/>
    </row>
    <row r="5040" spans="5:14" ht="13.5" customHeight="1">
      <c r="E5040" s="209" t="s">
        <v>1781</v>
      </c>
      <c r="F5040" s="209" t="s">
        <v>2943</v>
      </c>
      <c r="G5040" s="415" t="str">
        <f t="shared" si="82"/>
        <v>18-01</v>
      </c>
      <c r="H5040" s="273" t="e">
        <f ca="1">_xludf.IFNA(VLOOKUP(E5040,'Urban Plastix Holds'!$I$37:$U$705,12,0),0)</f>
        <v>#NAME?</v>
      </c>
      <c r="I5040" s="274"/>
      <c r="J5040" s="274" t="e">
        <f t="shared" ca="1" si="83"/>
        <v>#NAME?</v>
      </c>
      <c r="K5040" s="274">
        <f t="shared" si="84"/>
        <v>0</v>
      </c>
      <c r="N5040" s="274"/>
    </row>
    <row r="5041" spans="5:14" ht="13.5" customHeight="1">
      <c r="E5041" s="209" t="s">
        <v>1781</v>
      </c>
      <c r="F5041" s="209" t="s">
        <v>2943</v>
      </c>
      <c r="G5041" s="416" t="str">
        <f t="shared" si="82"/>
        <v>Color Code</v>
      </c>
      <c r="H5041" s="273" t="e">
        <f ca="1">_xludf.IFNA(VLOOKUP(E5041,'Urban Plastix Holds'!$I$37:$U$705,13,0),0)</f>
        <v>#NAME?</v>
      </c>
      <c r="I5041" s="274"/>
      <c r="J5041" s="274" t="e">
        <f t="shared" ca="1" si="83"/>
        <v>#NAME?</v>
      </c>
      <c r="K5041" s="274">
        <f t="shared" si="84"/>
        <v>0</v>
      </c>
      <c r="N5041" s="274"/>
    </row>
    <row r="5042" spans="5:14" ht="13.5" customHeight="1">
      <c r="E5042" s="209" t="s">
        <v>2944</v>
      </c>
      <c r="F5042" s="209" t="s">
        <v>2945</v>
      </c>
      <c r="G5042" s="406" t="str">
        <f t="shared" si="82"/>
        <v>11-12</v>
      </c>
      <c r="H5042" s="273" t="e">
        <f ca="1">_xludf.IFNA(VLOOKUP(E5042,'Urban Plastix Holds'!$I$37:$U$705,5,0),0)</f>
        <v>#NAME?</v>
      </c>
      <c r="I5042" s="274"/>
      <c r="J5042" s="274" t="e">
        <f t="shared" ca="1" si="83"/>
        <v>#NAME?</v>
      </c>
      <c r="K5042" s="274">
        <f t="shared" si="84"/>
        <v>0</v>
      </c>
      <c r="N5042" s="274"/>
    </row>
    <row r="5043" spans="5:14" ht="13.5" customHeight="1">
      <c r="E5043" s="209" t="s">
        <v>2944</v>
      </c>
      <c r="F5043" s="209" t="s">
        <v>2945</v>
      </c>
      <c r="G5043" s="408" t="str">
        <f t="shared" si="82"/>
        <v>14-01</v>
      </c>
      <c r="H5043" s="273" t="e">
        <f ca="1">_xludf.IFNA(VLOOKUP(E5043,'Urban Plastix Holds'!$I$37:$U$705,6,0),0)</f>
        <v>#NAME?</v>
      </c>
      <c r="I5043" s="274"/>
      <c r="J5043" s="274" t="e">
        <f t="shared" ca="1" si="83"/>
        <v>#NAME?</v>
      </c>
      <c r="K5043" s="274">
        <f t="shared" si="84"/>
        <v>0</v>
      </c>
      <c r="N5043" s="274"/>
    </row>
    <row r="5044" spans="5:14" ht="13.5" customHeight="1">
      <c r="E5044" s="209" t="s">
        <v>2944</v>
      </c>
      <c r="F5044" s="209" t="s">
        <v>2945</v>
      </c>
      <c r="G5044" s="409" t="str">
        <f t="shared" si="82"/>
        <v>15-12</v>
      </c>
      <c r="H5044" s="273" t="e">
        <f ca="1">_xludf.IFNA(VLOOKUP(E5044,'Urban Plastix Holds'!$I$37:$U$705,7,0),0)</f>
        <v>#NAME?</v>
      </c>
      <c r="I5044" s="274"/>
      <c r="J5044" s="274" t="e">
        <f t="shared" ca="1" si="83"/>
        <v>#NAME?</v>
      </c>
      <c r="K5044" s="274">
        <f t="shared" si="84"/>
        <v>0</v>
      </c>
      <c r="N5044" s="274"/>
    </row>
    <row r="5045" spans="5:14" ht="13.5" customHeight="1">
      <c r="E5045" s="209" t="s">
        <v>2944</v>
      </c>
      <c r="F5045" s="209" t="s">
        <v>2945</v>
      </c>
      <c r="G5045" s="410" t="str">
        <f t="shared" ref="G5045:G5299" si="85">G5036</f>
        <v>16-16</v>
      </c>
      <c r="H5045" s="273" t="e">
        <f ca="1">_xludf.IFNA(VLOOKUP(E5045,'Urban Plastix Holds'!$I$37:$U$705,8,0),0)</f>
        <v>#NAME?</v>
      </c>
      <c r="I5045" s="274"/>
      <c r="J5045" s="274" t="e">
        <f t="shared" ca="1" si="83"/>
        <v>#NAME?</v>
      </c>
      <c r="K5045" s="274">
        <f t="shared" si="84"/>
        <v>0</v>
      </c>
      <c r="N5045" s="274"/>
    </row>
    <row r="5046" spans="5:14" ht="13.5" customHeight="1">
      <c r="E5046" s="209" t="s">
        <v>2944</v>
      </c>
      <c r="F5046" s="209" t="s">
        <v>2945</v>
      </c>
      <c r="G5046" s="411" t="str">
        <f t="shared" si="85"/>
        <v>13-01</v>
      </c>
      <c r="H5046" s="273" t="e">
        <f ca="1">_xludf.IFNA(VLOOKUP(E5046,'Urban Plastix Holds'!$I$37:$U$705,9,0),0)</f>
        <v>#NAME?</v>
      </c>
      <c r="I5046" s="274"/>
      <c r="J5046" s="274" t="e">
        <f t="shared" ca="1" si="83"/>
        <v>#NAME?</v>
      </c>
      <c r="K5046" s="274">
        <f t="shared" si="84"/>
        <v>0</v>
      </c>
      <c r="N5046" s="274"/>
    </row>
    <row r="5047" spans="5:14" ht="13.5" customHeight="1">
      <c r="E5047" s="209" t="s">
        <v>2944</v>
      </c>
      <c r="F5047" s="209" t="s">
        <v>2945</v>
      </c>
      <c r="G5047" s="413" t="str">
        <f t="shared" si="85"/>
        <v>07-13</v>
      </c>
      <c r="H5047" s="273" t="e">
        <f ca="1">_xludf.IFNA(VLOOKUP(E5047,'Urban Plastix Holds'!$I$37:$U$705,10,0),0)</f>
        <v>#NAME?</v>
      </c>
      <c r="I5047" s="274"/>
      <c r="J5047" s="274" t="e">
        <f t="shared" ca="1" si="83"/>
        <v>#NAME?</v>
      </c>
      <c r="K5047" s="274">
        <f t="shared" si="84"/>
        <v>0</v>
      </c>
      <c r="N5047" s="274"/>
    </row>
    <row r="5048" spans="5:14" ht="13.5" customHeight="1">
      <c r="E5048" s="209" t="s">
        <v>2944</v>
      </c>
      <c r="F5048" s="209" t="s">
        <v>2945</v>
      </c>
      <c r="G5048" s="414" t="str">
        <f t="shared" si="85"/>
        <v>11-26</v>
      </c>
      <c r="H5048" s="273" t="e">
        <f ca="1">_xludf.IFNA(VLOOKUP(E5048,'Urban Plastix Holds'!$I$37:$U$705,11,0),0)</f>
        <v>#NAME?</v>
      </c>
      <c r="I5048" s="274"/>
      <c r="J5048" s="274" t="e">
        <f t="shared" ca="1" si="83"/>
        <v>#NAME?</v>
      </c>
      <c r="K5048" s="274">
        <f t="shared" si="84"/>
        <v>0</v>
      </c>
      <c r="N5048" s="274"/>
    </row>
    <row r="5049" spans="5:14" ht="13.5" customHeight="1">
      <c r="E5049" s="209" t="s">
        <v>2944</v>
      </c>
      <c r="F5049" s="209" t="s">
        <v>2945</v>
      </c>
      <c r="G5049" s="415" t="str">
        <f t="shared" si="85"/>
        <v>18-01</v>
      </c>
      <c r="H5049" s="273" t="e">
        <f ca="1">_xludf.IFNA(VLOOKUP(E5049,'Urban Plastix Holds'!$I$37:$U$705,12,0),0)</f>
        <v>#NAME?</v>
      </c>
      <c r="I5049" s="274"/>
      <c r="J5049" s="274" t="e">
        <f t="shared" ca="1" si="83"/>
        <v>#NAME?</v>
      </c>
      <c r="K5049" s="274">
        <f t="shared" si="84"/>
        <v>0</v>
      </c>
      <c r="N5049" s="274"/>
    </row>
    <row r="5050" spans="5:14" ht="13.5" customHeight="1">
      <c r="E5050" s="209" t="s">
        <v>2944</v>
      </c>
      <c r="F5050" s="209" t="s">
        <v>2945</v>
      </c>
      <c r="G5050" s="416" t="str">
        <f t="shared" si="85"/>
        <v>Color Code</v>
      </c>
      <c r="H5050" s="273" t="e">
        <f ca="1">_xludf.IFNA(VLOOKUP(E5050,'Urban Plastix Holds'!$I$37:$U$705,13,0),0)</f>
        <v>#NAME?</v>
      </c>
      <c r="I5050" s="274"/>
      <c r="J5050" s="274" t="e">
        <f t="shared" ca="1" si="83"/>
        <v>#NAME?</v>
      </c>
      <c r="K5050" s="274">
        <f t="shared" si="84"/>
        <v>0</v>
      </c>
      <c r="N5050" s="274"/>
    </row>
    <row r="5051" spans="5:14" ht="13.5" customHeight="1">
      <c r="E5051" s="209" t="s">
        <v>2946</v>
      </c>
      <c r="F5051" s="209" t="s">
        <v>2947</v>
      </c>
      <c r="G5051" s="406" t="str">
        <f t="shared" si="85"/>
        <v>11-12</v>
      </c>
      <c r="H5051" s="273" t="e">
        <f ca="1">_xludf.IFNA(VLOOKUP(E5051,'Urban Plastix Holds'!$I$37:$U$705,5,0),0)</f>
        <v>#NAME?</v>
      </c>
      <c r="I5051" s="274"/>
      <c r="J5051" s="274" t="e">
        <f t="shared" ca="1" si="83"/>
        <v>#NAME?</v>
      </c>
      <c r="K5051" s="274">
        <f t="shared" si="84"/>
        <v>0</v>
      </c>
      <c r="N5051" s="274"/>
    </row>
    <row r="5052" spans="5:14" ht="13.5" customHeight="1">
      <c r="E5052" s="209" t="s">
        <v>2946</v>
      </c>
      <c r="F5052" s="209" t="s">
        <v>2947</v>
      </c>
      <c r="G5052" s="408" t="str">
        <f t="shared" si="85"/>
        <v>14-01</v>
      </c>
      <c r="H5052" s="273" t="e">
        <f ca="1">_xludf.IFNA(VLOOKUP(E5052,'Urban Plastix Holds'!$I$37:$U$705,6,0),0)</f>
        <v>#NAME?</v>
      </c>
      <c r="I5052" s="274"/>
      <c r="J5052" s="274" t="e">
        <f t="shared" ca="1" si="83"/>
        <v>#NAME?</v>
      </c>
      <c r="K5052" s="274">
        <f t="shared" si="84"/>
        <v>0</v>
      </c>
      <c r="N5052" s="274"/>
    </row>
    <row r="5053" spans="5:14" ht="13.5" customHeight="1">
      <c r="E5053" s="209" t="s">
        <v>2946</v>
      </c>
      <c r="F5053" s="209" t="s">
        <v>2947</v>
      </c>
      <c r="G5053" s="409" t="str">
        <f t="shared" si="85"/>
        <v>15-12</v>
      </c>
      <c r="H5053" s="273" t="e">
        <f ca="1">_xludf.IFNA(VLOOKUP(E5053,'Urban Plastix Holds'!$I$37:$U$705,7,0),0)</f>
        <v>#NAME?</v>
      </c>
      <c r="I5053" s="274"/>
      <c r="J5053" s="274" t="e">
        <f t="shared" ca="1" si="83"/>
        <v>#NAME?</v>
      </c>
      <c r="K5053" s="274">
        <f t="shared" si="84"/>
        <v>0</v>
      </c>
      <c r="N5053" s="274"/>
    </row>
    <row r="5054" spans="5:14" ht="13.5" customHeight="1">
      <c r="E5054" s="209" t="s">
        <v>2946</v>
      </c>
      <c r="F5054" s="209" t="s">
        <v>2947</v>
      </c>
      <c r="G5054" s="410" t="str">
        <f t="shared" si="85"/>
        <v>16-16</v>
      </c>
      <c r="H5054" s="273" t="e">
        <f ca="1">_xludf.IFNA(VLOOKUP(E5054,'Urban Plastix Holds'!$I$37:$U$705,8,0),0)</f>
        <v>#NAME?</v>
      </c>
      <c r="I5054" s="274"/>
      <c r="J5054" s="274" t="e">
        <f t="shared" ca="1" si="83"/>
        <v>#NAME?</v>
      </c>
      <c r="K5054" s="274">
        <f t="shared" si="84"/>
        <v>0</v>
      </c>
      <c r="N5054" s="274"/>
    </row>
    <row r="5055" spans="5:14" ht="13.5" customHeight="1">
      <c r="E5055" s="209" t="s">
        <v>2946</v>
      </c>
      <c r="F5055" s="209" t="s">
        <v>2947</v>
      </c>
      <c r="G5055" s="411" t="str">
        <f t="shared" si="85"/>
        <v>13-01</v>
      </c>
      <c r="H5055" s="273" t="e">
        <f ca="1">_xludf.IFNA(VLOOKUP(E5055,'Urban Plastix Holds'!$I$37:$U$705,9,0),0)</f>
        <v>#NAME?</v>
      </c>
      <c r="I5055" s="274"/>
      <c r="J5055" s="274" t="e">
        <f t="shared" ca="1" si="83"/>
        <v>#NAME?</v>
      </c>
      <c r="K5055" s="274">
        <f t="shared" si="84"/>
        <v>0</v>
      </c>
      <c r="N5055" s="274"/>
    </row>
    <row r="5056" spans="5:14" ht="13.5" customHeight="1">
      <c r="E5056" s="209" t="s">
        <v>2946</v>
      </c>
      <c r="F5056" s="209" t="s">
        <v>2947</v>
      </c>
      <c r="G5056" s="413" t="str">
        <f t="shared" si="85"/>
        <v>07-13</v>
      </c>
      <c r="H5056" s="273" t="e">
        <f ca="1">_xludf.IFNA(VLOOKUP(E5056,'Urban Plastix Holds'!$I$37:$U$705,10,0),0)</f>
        <v>#NAME?</v>
      </c>
      <c r="I5056" s="274"/>
      <c r="J5056" s="274" t="e">
        <f t="shared" ca="1" si="83"/>
        <v>#NAME?</v>
      </c>
      <c r="K5056" s="274">
        <f t="shared" si="84"/>
        <v>0</v>
      </c>
      <c r="N5056" s="274"/>
    </row>
    <row r="5057" spans="5:14" ht="13.5" customHeight="1">
      <c r="E5057" s="209" t="s">
        <v>2946</v>
      </c>
      <c r="F5057" s="209" t="s">
        <v>2947</v>
      </c>
      <c r="G5057" s="414" t="str">
        <f t="shared" si="85"/>
        <v>11-26</v>
      </c>
      <c r="H5057" s="273" t="e">
        <f ca="1">_xludf.IFNA(VLOOKUP(E5057,'Urban Plastix Holds'!$I$37:$U$705,11,0),0)</f>
        <v>#NAME?</v>
      </c>
      <c r="I5057" s="274"/>
      <c r="J5057" s="274" t="e">
        <f t="shared" ca="1" si="83"/>
        <v>#NAME?</v>
      </c>
      <c r="K5057" s="274">
        <f t="shared" si="84"/>
        <v>0</v>
      </c>
      <c r="N5057" s="274"/>
    </row>
    <row r="5058" spans="5:14" ht="13.5" customHeight="1">
      <c r="E5058" s="209" t="s">
        <v>2946</v>
      </c>
      <c r="F5058" s="209" t="s">
        <v>2947</v>
      </c>
      <c r="G5058" s="415" t="str">
        <f t="shared" si="85"/>
        <v>18-01</v>
      </c>
      <c r="H5058" s="273" t="e">
        <f ca="1">_xludf.IFNA(VLOOKUP(E5058,'Urban Plastix Holds'!$I$37:$U$705,12,0),0)</f>
        <v>#NAME?</v>
      </c>
      <c r="I5058" s="274"/>
      <c r="J5058" s="274" t="e">
        <f t="shared" ca="1" si="83"/>
        <v>#NAME?</v>
      </c>
      <c r="K5058" s="274">
        <f t="shared" si="84"/>
        <v>0</v>
      </c>
      <c r="N5058" s="274"/>
    </row>
    <row r="5059" spans="5:14" ht="13.5" customHeight="1">
      <c r="E5059" s="209" t="s">
        <v>2946</v>
      </c>
      <c r="F5059" s="209" t="s">
        <v>2947</v>
      </c>
      <c r="G5059" s="416" t="str">
        <f t="shared" si="85"/>
        <v>Color Code</v>
      </c>
      <c r="H5059" s="273" t="e">
        <f ca="1">_xludf.IFNA(VLOOKUP(E5059,'Urban Plastix Holds'!$I$37:$U$705,13,0),0)</f>
        <v>#NAME?</v>
      </c>
      <c r="I5059" s="274"/>
      <c r="J5059" s="274" t="e">
        <f t="shared" ca="1" si="83"/>
        <v>#NAME?</v>
      </c>
      <c r="K5059" s="274">
        <f t="shared" si="84"/>
        <v>0</v>
      </c>
      <c r="N5059" s="274"/>
    </row>
    <row r="5060" spans="5:14" ht="13.5" customHeight="1">
      <c r="E5060" s="209" t="s">
        <v>2948</v>
      </c>
      <c r="F5060" s="209" t="s">
        <v>2949</v>
      </c>
      <c r="G5060" s="406" t="str">
        <f t="shared" si="85"/>
        <v>11-12</v>
      </c>
      <c r="H5060" s="273" t="e">
        <f ca="1">_xludf.IFNA(VLOOKUP(E5060,'Urban Plastix Holds'!$I$37:$U$705,5,0),0)</f>
        <v>#NAME?</v>
      </c>
      <c r="I5060" s="274"/>
      <c r="J5060" s="274" t="e">
        <f t="shared" ca="1" si="83"/>
        <v>#NAME?</v>
      </c>
      <c r="K5060" s="274">
        <f t="shared" si="84"/>
        <v>0</v>
      </c>
      <c r="N5060" s="274"/>
    </row>
    <row r="5061" spans="5:14" ht="13.5" customHeight="1">
      <c r="E5061" s="209" t="s">
        <v>2948</v>
      </c>
      <c r="F5061" s="209" t="s">
        <v>2949</v>
      </c>
      <c r="G5061" s="408" t="str">
        <f t="shared" si="85"/>
        <v>14-01</v>
      </c>
      <c r="H5061" s="273" t="e">
        <f ca="1">_xludf.IFNA(VLOOKUP(E5061,'Urban Plastix Holds'!$I$37:$U$705,6,0),0)</f>
        <v>#NAME?</v>
      </c>
      <c r="I5061" s="274"/>
      <c r="J5061" s="274" t="e">
        <f t="shared" ca="1" si="83"/>
        <v>#NAME?</v>
      </c>
      <c r="K5061" s="274">
        <f t="shared" si="84"/>
        <v>0</v>
      </c>
      <c r="N5061" s="274"/>
    </row>
    <row r="5062" spans="5:14" ht="13.5" customHeight="1">
      <c r="E5062" s="209" t="s">
        <v>2948</v>
      </c>
      <c r="F5062" s="209" t="s">
        <v>2949</v>
      </c>
      <c r="G5062" s="409" t="str">
        <f t="shared" si="85"/>
        <v>15-12</v>
      </c>
      <c r="H5062" s="273" t="e">
        <f ca="1">_xludf.IFNA(VLOOKUP(E5062,'Urban Plastix Holds'!$I$37:$U$705,7,0),0)</f>
        <v>#NAME?</v>
      </c>
      <c r="I5062" s="274"/>
      <c r="J5062" s="274" t="e">
        <f t="shared" ca="1" si="83"/>
        <v>#NAME?</v>
      </c>
      <c r="K5062" s="274">
        <f t="shared" si="84"/>
        <v>0</v>
      </c>
      <c r="N5062" s="274"/>
    </row>
    <row r="5063" spans="5:14" ht="13.5" customHeight="1">
      <c r="E5063" s="209" t="s">
        <v>2948</v>
      </c>
      <c r="F5063" s="209" t="s">
        <v>2949</v>
      </c>
      <c r="G5063" s="410" t="str">
        <f t="shared" si="85"/>
        <v>16-16</v>
      </c>
      <c r="H5063" s="273" t="e">
        <f ca="1">_xludf.IFNA(VLOOKUP(E5063,'Urban Plastix Holds'!$I$37:$U$705,8,0),0)</f>
        <v>#NAME?</v>
      </c>
      <c r="I5063" s="274"/>
      <c r="J5063" s="274" t="e">
        <f t="shared" ca="1" si="83"/>
        <v>#NAME?</v>
      </c>
      <c r="K5063" s="274">
        <f t="shared" si="84"/>
        <v>0</v>
      </c>
      <c r="N5063" s="274"/>
    </row>
    <row r="5064" spans="5:14" ht="13.5" customHeight="1">
      <c r="E5064" s="209" t="s">
        <v>2948</v>
      </c>
      <c r="F5064" s="209" t="s">
        <v>2949</v>
      </c>
      <c r="G5064" s="411" t="str">
        <f t="shared" si="85"/>
        <v>13-01</v>
      </c>
      <c r="H5064" s="273" t="e">
        <f ca="1">_xludf.IFNA(VLOOKUP(E5064,'Urban Plastix Holds'!$I$37:$U$705,9,0),0)</f>
        <v>#NAME?</v>
      </c>
      <c r="I5064" s="274"/>
      <c r="J5064" s="274" t="e">
        <f t="shared" ca="1" si="83"/>
        <v>#NAME?</v>
      </c>
      <c r="K5064" s="274">
        <f t="shared" si="84"/>
        <v>0</v>
      </c>
      <c r="N5064" s="274"/>
    </row>
    <row r="5065" spans="5:14" ht="13.5" customHeight="1">
      <c r="E5065" s="209" t="s">
        <v>2948</v>
      </c>
      <c r="F5065" s="209" t="s">
        <v>2949</v>
      </c>
      <c r="G5065" s="413" t="str">
        <f t="shared" si="85"/>
        <v>07-13</v>
      </c>
      <c r="H5065" s="273" t="e">
        <f ca="1">_xludf.IFNA(VLOOKUP(E5065,'Urban Plastix Holds'!$I$37:$U$705,10,0),0)</f>
        <v>#NAME?</v>
      </c>
      <c r="I5065" s="274"/>
      <c r="J5065" s="274" t="e">
        <f t="shared" ca="1" si="83"/>
        <v>#NAME?</v>
      </c>
      <c r="K5065" s="274">
        <f t="shared" si="84"/>
        <v>0</v>
      </c>
      <c r="N5065" s="274"/>
    </row>
    <row r="5066" spans="5:14" ht="13.5" customHeight="1">
      <c r="E5066" s="209" t="s">
        <v>2948</v>
      </c>
      <c r="F5066" s="209" t="s">
        <v>2949</v>
      </c>
      <c r="G5066" s="414" t="str">
        <f t="shared" si="85"/>
        <v>11-26</v>
      </c>
      <c r="H5066" s="273" t="e">
        <f ca="1">_xludf.IFNA(VLOOKUP(E5066,'Urban Plastix Holds'!$I$37:$U$705,11,0),0)</f>
        <v>#NAME?</v>
      </c>
      <c r="I5066" s="274"/>
      <c r="J5066" s="274" t="e">
        <f t="shared" ca="1" si="83"/>
        <v>#NAME?</v>
      </c>
      <c r="K5066" s="274">
        <f t="shared" si="84"/>
        <v>0</v>
      </c>
      <c r="N5066" s="274"/>
    </row>
    <row r="5067" spans="5:14" ht="13.5" customHeight="1">
      <c r="E5067" s="209" t="s">
        <v>2948</v>
      </c>
      <c r="F5067" s="209" t="s">
        <v>2949</v>
      </c>
      <c r="G5067" s="415" t="str">
        <f t="shared" si="85"/>
        <v>18-01</v>
      </c>
      <c r="H5067" s="273" t="e">
        <f ca="1">_xludf.IFNA(VLOOKUP(E5067,'Urban Plastix Holds'!$I$37:$U$705,12,0),0)</f>
        <v>#NAME?</v>
      </c>
      <c r="I5067" s="274"/>
      <c r="J5067" s="274" t="e">
        <f t="shared" ca="1" si="83"/>
        <v>#NAME?</v>
      </c>
      <c r="K5067" s="274">
        <f t="shared" si="84"/>
        <v>0</v>
      </c>
      <c r="N5067" s="274"/>
    </row>
    <row r="5068" spans="5:14" ht="13.5" customHeight="1">
      <c r="E5068" s="209" t="s">
        <v>2948</v>
      </c>
      <c r="F5068" s="209" t="s">
        <v>2949</v>
      </c>
      <c r="G5068" s="416" t="str">
        <f t="shared" si="85"/>
        <v>Color Code</v>
      </c>
      <c r="H5068" s="273" t="e">
        <f ca="1">_xludf.IFNA(VLOOKUP(E5068,'Urban Plastix Holds'!$I$37:$U$705,13,0),0)</f>
        <v>#NAME?</v>
      </c>
      <c r="I5068" s="274"/>
      <c r="J5068" s="274" t="e">
        <f t="shared" ca="1" si="83"/>
        <v>#NAME?</v>
      </c>
      <c r="K5068" s="274">
        <f t="shared" si="84"/>
        <v>0</v>
      </c>
      <c r="N5068" s="274"/>
    </row>
    <row r="5069" spans="5:14" ht="13.5" customHeight="1">
      <c r="E5069" s="209" t="s">
        <v>2950</v>
      </c>
      <c r="F5069" s="209" t="s">
        <v>2951</v>
      </c>
      <c r="G5069" s="406" t="str">
        <f t="shared" si="85"/>
        <v>11-12</v>
      </c>
      <c r="H5069" s="273" t="e">
        <f ca="1">_xludf.IFNA(VLOOKUP(E5069,'Urban Plastix Holds'!$I$37:$U$705,5,0),0)</f>
        <v>#NAME?</v>
      </c>
      <c r="I5069" s="274"/>
      <c r="J5069" s="274" t="e">
        <f t="shared" ca="1" si="83"/>
        <v>#NAME?</v>
      </c>
      <c r="K5069" s="274">
        <f t="shared" si="84"/>
        <v>0</v>
      </c>
      <c r="N5069" s="274"/>
    </row>
    <row r="5070" spans="5:14" ht="13.5" customHeight="1">
      <c r="E5070" s="209" t="s">
        <v>2950</v>
      </c>
      <c r="F5070" s="209" t="s">
        <v>2951</v>
      </c>
      <c r="G5070" s="408" t="str">
        <f t="shared" si="85"/>
        <v>14-01</v>
      </c>
      <c r="H5070" s="273" t="e">
        <f ca="1">_xludf.IFNA(VLOOKUP(E5070,'Urban Plastix Holds'!$I$37:$U$705,6,0),0)</f>
        <v>#NAME?</v>
      </c>
      <c r="I5070" s="274"/>
      <c r="J5070" s="274" t="e">
        <f t="shared" ca="1" si="83"/>
        <v>#NAME?</v>
      </c>
      <c r="K5070" s="274">
        <f t="shared" si="84"/>
        <v>0</v>
      </c>
      <c r="N5070" s="274"/>
    </row>
    <row r="5071" spans="5:14" ht="13.5" customHeight="1">
      <c r="E5071" s="209" t="s">
        <v>2950</v>
      </c>
      <c r="F5071" s="209" t="s">
        <v>2951</v>
      </c>
      <c r="G5071" s="409" t="str">
        <f t="shared" si="85"/>
        <v>15-12</v>
      </c>
      <c r="H5071" s="273" t="e">
        <f ca="1">_xludf.IFNA(VLOOKUP(E5071,'Urban Plastix Holds'!$I$37:$U$705,7,0),0)</f>
        <v>#NAME?</v>
      </c>
      <c r="I5071" s="274"/>
      <c r="J5071" s="274" t="e">
        <f t="shared" ca="1" si="83"/>
        <v>#NAME?</v>
      </c>
      <c r="K5071" s="274">
        <f t="shared" si="84"/>
        <v>0</v>
      </c>
      <c r="N5071" s="274"/>
    </row>
    <row r="5072" spans="5:14" ht="13.5" customHeight="1">
      <c r="E5072" s="209" t="s">
        <v>2950</v>
      </c>
      <c r="F5072" s="209" t="s">
        <v>2951</v>
      </c>
      <c r="G5072" s="410" t="str">
        <f t="shared" si="85"/>
        <v>16-16</v>
      </c>
      <c r="H5072" s="273" t="e">
        <f ca="1">_xludf.IFNA(VLOOKUP(E5072,'Urban Plastix Holds'!$I$37:$U$705,8,0),0)</f>
        <v>#NAME?</v>
      </c>
      <c r="I5072" s="274"/>
      <c r="J5072" s="274" t="e">
        <f t="shared" ca="1" si="83"/>
        <v>#NAME?</v>
      </c>
      <c r="K5072" s="274">
        <f t="shared" si="84"/>
        <v>0</v>
      </c>
      <c r="N5072" s="274"/>
    </row>
    <row r="5073" spans="5:14" ht="13.5" customHeight="1">
      <c r="E5073" s="209" t="s">
        <v>2950</v>
      </c>
      <c r="F5073" s="209" t="s">
        <v>2951</v>
      </c>
      <c r="G5073" s="411" t="str">
        <f t="shared" si="85"/>
        <v>13-01</v>
      </c>
      <c r="H5073" s="273" t="e">
        <f ca="1">_xludf.IFNA(VLOOKUP(E5073,'Urban Plastix Holds'!$I$37:$U$705,9,0),0)</f>
        <v>#NAME?</v>
      </c>
      <c r="I5073" s="274"/>
      <c r="J5073" s="274" t="e">
        <f t="shared" ca="1" si="83"/>
        <v>#NAME?</v>
      </c>
      <c r="K5073" s="274">
        <f t="shared" si="84"/>
        <v>0</v>
      </c>
      <c r="N5073" s="274"/>
    </row>
    <row r="5074" spans="5:14" ht="13.5" customHeight="1">
      <c r="E5074" s="209" t="s">
        <v>2950</v>
      </c>
      <c r="F5074" s="209" t="s">
        <v>2951</v>
      </c>
      <c r="G5074" s="413" t="str">
        <f t="shared" si="85"/>
        <v>07-13</v>
      </c>
      <c r="H5074" s="273" t="e">
        <f ca="1">_xludf.IFNA(VLOOKUP(E5074,'Urban Plastix Holds'!$I$37:$U$705,10,0),0)</f>
        <v>#NAME?</v>
      </c>
      <c r="I5074" s="274"/>
      <c r="J5074" s="274" t="e">
        <f t="shared" ca="1" si="83"/>
        <v>#NAME?</v>
      </c>
      <c r="K5074" s="274">
        <f t="shared" si="84"/>
        <v>0</v>
      </c>
      <c r="N5074" s="274"/>
    </row>
    <row r="5075" spans="5:14" ht="13.5" customHeight="1">
      <c r="E5075" s="209" t="s">
        <v>2950</v>
      </c>
      <c r="F5075" s="209" t="s">
        <v>2951</v>
      </c>
      <c r="G5075" s="414" t="str">
        <f t="shared" si="85"/>
        <v>11-26</v>
      </c>
      <c r="H5075" s="273" t="e">
        <f ca="1">_xludf.IFNA(VLOOKUP(E5075,'Urban Plastix Holds'!$I$37:$U$705,11,0),0)</f>
        <v>#NAME?</v>
      </c>
      <c r="I5075" s="274"/>
      <c r="J5075" s="274" t="e">
        <f t="shared" ca="1" si="83"/>
        <v>#NAME?</v>
      </c>
      <c r="K5075" s="274">
        <f t="shared" si="84"/>
        <v>0</v>
      </c>
      <c r="N5075" s="274"/>
    </row>
    <row r="5076" spans="5:14" ht="13.5" customHeight="1">
      <c r="E5076" s="209" t="s">
        <v>2950</v>
      </c>
      <c r="F5076" s="209" t="s">
        <v>2951</v>
      </c>
      <c r="G5076" s="415" t="str">
        <f t="shared" si="85"/>
        <v>18-01</v>
      </c>
      <c r="H5076" s="273" t="e">
        <f ca="1">_xludf.IFNA(VLOOKUP(E5076,'Urban Plastix Holds'!$I$37:$U$705,12,0),0)</f>
        <v>#NAME?</v>
      </c>
      <c r="I5076" s="274"/>
      <c r="J5076" s="274" t="e">
        <f t="shared" ca="1" si="83"/>
        <v>#NAME?</v>
      </c>
      <c r="K5076" s="274">
        <f t="shared" si="84"/>
        <v>0</v>
      </c>
      <c r="N5076" s="274"/>
    </row>
    <row r="5077" spans="5:14" ht="13.5" customHeight="1">
      <c r="E5077" s="209" t="s">
        <v>2950</v>
      </c>
      <c r="F5077" s="209" t="s">
        <v>2951</v>
      </c>
      <c r="G5077" s="416" t="str">
        <f t="shared" si="85"/>
        <v>Color Code</v>
      </c>
      <c r="H5077" s="273" t="e">
        <f ca="1">_xludf.IFNA(VLOOKUP(E5077,'Urban Plastix Holds'!$I$37:$U$705,13,0),0)</f>
        <v>#NAME?</v>
      </c>
      <c r="I5077" s="274"/>
      <c r="J5077" s="274" t="e">
        <f t="shared" ca="1" si="83"/>
        <v>#NAME?</v>
      </c>
      <c r="K5077" s="274">
        <f t="shared" si="84"/>
        <v>0</v>
      </c>
      <c r="N5077" s="274"/>
    </row>
    <row r="5078" spans="5:14" ht="13.5" customHeight="1">
      <c r="E5078" s="209" t="s">
        <v>2952</v>
      </c>
      <c r="F5078" s="209" t="s">
        <v>2953</v>
      </c>
      <c r="G5078" s="406" t="str">
        <f t="shared" si="85"/>
        <v>11-12</v>
      </c>
      <c r="H5078" s="273" t="e">
        <f ca="1">_xludf.IFNA(VLOOKUP(E5078,'Urban Plastix Holds'!$I$37:$U$705,5,0),0)</f>
        <v>#NAME?</v>
      </c>
      <c r="I5078" s="274"/>
      <c r="J5078" s="274" t="e">
        <f t="shared" ca="1" si="83"/>
        <v>#NAME?</v>
      </c>
      <c r="K5078" s="274">
        <f t="shared" si="84"/>
        <v>0</v>
      </c>
      <c r="N5078" s="274"/>
    </row>
    <row r="5079" spans="5:14" ht="13.5" customHeight="1">
      <c r="E5079" s="209" t="s">
        <v>2952</v>
      </c>
      <c r="F5079" s="209" t="s">
        <v>2953</v>
      </c>
      <c r="G5079" s="408" t="str">
        <f t="shared" si="85"/>
        <v>14-01</v>
      </c>
      <c r="H5079" s="273" t="e">
        <f ca="1">_xludf.IFNA(VLOOKUP(E5079,'Urban Plastix Holds'!$I$37:$U$705,6,0),0)</f>
        <v>#NAME?</v>
      </c>
      <c r="I5079" s="274"/>
      <c r="J5079" s="274" t="e">
        <f t="shared" ca="1" si="83"/>
        <v>#NAME?</v>
      </c>
      <c r="K5079" s="274">
        <f t="shared" si="84"/>
        <v>0</v>
      </c>
      <c r="N5079" s="274"/>
    </row>
    <row r="5080" spans="5:14" ht="13.5" customHeight="1">
      <c r="E5080" s="209" t="s">
        <v>2952</v>
      </c>
      <c r="F5080" s="209" t="s">
        <v>2953</v>
      </c>
      <c r="G5080" s="409" t="str">
        <f t="shared" si="85"/>
        <v>15-12</v>
      </c>
      <c r="H5080" s="273" t="e">
        <f ca="1">_xludf.IFNA(VLOOKUP(E5080,'Urban Plastix Holds'!$I$37:$U$705,7,0),0)</f>
        <v>#NAME?</v>
      </c>
      <c r="I5080" s="274"/>
      <c r="J5080" s="274" t="e">
        <f t="shared" ca="1" si="83"/>
        <v>#NAME?</v>
      </c>
      <c r="K5080" s="274">
        <f t="shared" si="84"/>
        <v>0</v>
      </c>
      <c r="N5080" s="274"/>
    </row>
    <row r="5081" spans="5:14" ht="13.5" customHeight="1">
      <c r="E5081" s="209" t="s">
        <v>2952</v>
      </c>
      <c r="F5081" s="209" t="s">
        <v>2953</v>
      </c>
      <c r="G5081" s="410" t="str">
        <f t="shared" si="85"/>
        <v>16-16</v>
      </c>
      <c r="H5081" s="273" t="e">
        <f ca="1">_xludf.IFNA(VLOOKUP(E5081,'Urban Plastix Holds'!$I$37:$U$705,8,0),0)</f>
        <v>#NAME?</v>
      </c>
      <c r="I5081" s="274"/>
      <c r="J5081" s="274" t="e">
        <f t="shared" ca="1" si="83"/>
        <v>#NAME?</v>
      </c>
      <c r="K5081" s="274">
        <f t="shared" si="84"/>
        <v>0</v>
      </c>
      <c r="N5081" s="274"/>
    </row>
    <row r="5082" spans="5:14" ht="13.5" customHeight="1">
      <c r="E5082" s="209" t="s">
        <v>2952</v>
      </c>
      <c r="F5082" s="209" t="s">
        <v>2953</v>
      </c>
      <c r="G5082" s="411" t="str">
        <f t="shared" si="85"/>
        <v>13-01</v>
      </c>
      <c r="H5082" s="273" t="e">
        <f ca="1">_xludf.IFNA(VLOOKUP(E5082,'Urban Plastix Holds'!$I$37:$U$705,9,0),0)</f>
        <v>#NAME?</v>
      </c>
      <c r="I5082" s="274"/>
      <c r="J5082" s="274" t="e">
        <f t="shared" ca="1" si="83"/>
        <v>#NAME?</v>
      </c>
      <c r="K5082" s="274">
        <f t="shared" si="84"/>
        <v>0</v>
      </c>
      <c r="N5082" s="274"/>
    </row>
    <row r="5083" spans="5:14" ht="13.5" customHeight="1">
      <c r="E5083" s="209" t="s">
        <v>2952</v>
      </c>
      <c r="F5083" s="209" t="s">
        <v>2953</v>
      </c>
      <c r="G5083" s="413" t="str">
        <f t="shared" si="85"/>
        <v>07-13</v>
      </c>
      <c r="H5083" s="273" t="e">
        <f ca="1">_xludf.IFNA(VLOOKUP(E5083,'Urban Plastix Holds'!$I$37:$U$705,10,0),0)</f>
        <v>#NAME?</v>
      </c>
      <c r="I5083" s="274"/>
      <c r="J5083" s="274" t="e">
        <f t="shared" ca="1" si="83"/>
        <v>#NAME?</v>
      </c>
      <c r="K5083" s="274">
        <f t="shared" si="84"/>
        <v>0</v>
      </c>
      <c r="N5083" s="274"/>
    </row>
    <row r="5084" spans="5:14" ht="13.5" customHeight="1">
      <c r="E5084" s="209" t="s">
        <v>2952</v>
      </c>
      <c r="F5084" s="209" t="s">
        <v>2953</v>
      </c>
      <c r="G5084" s="414" t="str">
        <f t="shared" si="85"/>
        <v>11-26</v>
      </c>
      <c r="H5084" s="273" t="e">
        <f ca="1">_xludf.IFNA(VLOOKUP(E5084,'Urban Plastix Holds'!$I$37:$U$705,11,0),0)</f>
        <v>#NAME?</v>
      </c>
      <c r="I5084" s="274"/>
      <c r="J5084" s="274" t="e">
        <f t="shared" ca="1" si="83"/>
        <v>#NAME?</v>
      </c>
      <c r="K5084" s="274">
        <f t="shared" si="84"/>
        <v>0</v>
      </c>
      <c r="N5084" s="274"/>
    </row>
    <row r="5085" spans="5:14" ht="13.5" customHeight="1">
      <c r="E5085" s="209" t="s">
        <v>2952</v>
      </c>
      <c r="F5085" s="209" t="s">
        <v>2953</v>
      </c>
      <c r="G5085" s="415" t="str">
        <f t="shared" si="85"/>
        <v>18-01</v>
      </c>
      <c r="H5085" s="273" t="e">
        <f ca="1">_xludf.IFNA(VLOOKUP(E5085,'Urban Plastix Holds'!$I$37:$U$705,12,0),0)</f>
        <v>#NAME?</v>
      </c>
      <c r="I5085" s="274"/>
      <c r="J5085" s="274" t="e">
        <f t="shared" ca="1" si="83"/>
        <v>#NAME?</v>
      </c>
      <c r="K5085" s="274">
        <f t="shared" si="84"/>
        <v>0</v>
      </c>
      <c r="N5085" s="274"/>
    </row>
    <row r="5086" spans="5:14" ht="13.5" customHeight="1">
      <c r="E5086" s="209" t="s">
        <v>2952</v>
      </c>
      <c r="F5086" s="209" t="s">
        <v>2953</v>
      </c>
      <c r="G5086" s="416" t="str">
        <f t="shared" si="85"/>
        <v>Color Code</v>
      </c>
      <c r="H5086" s="273" t="e">
        <f ca="1">_xludf.IFNA(VLOOKUP(E5086,'Urban Plastix Holds'!$I$37:$U$705,13,0),0)</f>
        <v>#NAME?</v>
      </c>
      <c r="I5086" s="274"/>
      <c r="J5086" s="274" t="e">
        <f t="shared" ca="1" si="83"/>
        <v>#NAME?</v>
      </c>
      <c r="K5086" s="274">
        <f t="shared" si="84"/>
        <v>0</v>
      </c>
      <c r="N5086" s="274"/>
    </row>
    <row r="5087" spans="5:14" ht="13.5" customHeight="1">
      <c r="E5087" s="209" t="s">
        <v>2954</v>
      </c>
      <c r="F5087" s="209" t="s">
        <v>2955</v>
      </c>
      <c r="G5087" s="406" t="str">
        <f t="shared" si="85"/>
        <v>11-12</v>
      </c>
      <c r="H5087" s="273" t="e">
        <f ca="1">_xludf.IFNA(VLOOKUP(E5087,'Urban Plastix Holds'!$I$37:$U$705,5,0),0)</f>
        <v>#NAME?</v>
      </c>
      <c r="I5087" s="274"/>
      <c r="J5087" s="274" t="e">
        <f t="shared" ca="1" si="83"/>
        <v>#NAME?</v>
      </c>
      <c r="K5087" s="274">
        <f t="shared" si="84"/>
        <v>0</v>
      </c>
      <c r="N5087" s="274"/>
    </row>
    <row r="5088" spans="5:14" ht="13.5" customHeight="1">
      <c r="E5088" s="209" t="s">
        <v>2954</v>
      </c>
      <c r="F5088" s="209" t="s">
        <v>2955</v>
      </c>
      <c r="G5088" s="408" t="str">
        <f t="shared" si="85"/>
        <v>14-01</v>
      </c>
      <c r="H5088" s="273" t="e">
        <f ca="1">_xludf.IFNA(VLOOKUP(E5088,'Urban Plastix Holds'!$I$37:$U$705,6,0),0)</f>
        <v>#NAME?</v>
      </c>
      <c r="I5088" s="274"/>
      <c r="J5088" s="274" t="e">
        <f t="shared" ca="1" si="83"/>
        <v>#NAME?</v>
      </c>
      <c r="K5088" s="274">
        <f t="shared" si="84"/>
        <v>0</v>
      </c>
      <c r="N5088" s="274"/>
    </row>
    <row r="5089" spans="5:14" ht="13.5" customHeight="1">
      <c r="E5089" s="209" t="s">
        <v>2954</v>
      </c>
      <c r="F5089" s="209" t="s">
        <v>2955</v>
      </c>
      <c r="G5089" s="409" t="str">
        <f t="shared" si="85"/>
        <v>15-12</v>
      </c>
      <c r="H5089" s="273" t="e">
        <f ca="1">_xludf.IFNA(VLOOKUP(E5089,'Urban Plastix Holds'!$I$37:$U$705,7,0),0)</f>
        <v>#NAME?</v>
      </c>
      <c r="I5089" s="274"/>
      <c r="J5089" s="274" t="e">
        <f t="shared" ca="1" si="83"/>
        <v>#NAME?</v>
      </c>
      <c r="K5089" s="274">
        <f t="shared" si="84"/>
        <v>0</v>
      </c>
      <c r="N5089" s="274"/>
    </row>
    <row r="5090" spans="5:14" ht="13.5" customHeight="1">
      <c r="E5090" s="209" t="s">
        <v>2954</v>
      </c>
      <c r="F5090" s="209" t="s">
        <v>2955</v>
      </c>
      <c r="G5090" s="410" t="str">
        <f t="shared" si="85"/>
        <v>16-16</v>
      </c>
      <c r="H5090" s="273" t="e">
        <f ca="1">_xludf.IFNA(VLOOKUP(E5090,'Urban Plastix Holds'!$I$37:$U$705,8,0),0)</f>
        <v>#NAME?</v>
      </c>
      <c r="I5090" s="274"/>
      <c r="J5090" s="274" t="e">
        <f t="shared" ca="1" si="83"/>
        <v>#NAME?</v>
      </c>
      <c r="K5090" s="274">
        <f t="shared" si="84"/>
        <v>0</v>
      </c>
      <c r="N5090" s="274"/>
    </row>
    <row r="5091" spans="5:14" ht="13.5" customHeight="1">
      <c r="E5091" s="209" t="s">
        <v>2954</v>
      </c>
      <c r="F5091" s="209" t="s">
        <v>2955</v>
      </c>
      <c r="G5091" s="411" t="str">
        <f t="shared" si="85"/>
        <v>13-01</v>
      </c>
      <c r="H5091" s="273" t="e">
        <f ca="1">_xludf.IFNA(VLOOKUP(E5091,'Urban Plastix Holds'!$I$37:$U$705,9,0),0)</f>
        <v>#NAME?</v>
      </c>
      <c r="I5091" s="274"/>
      <c r="J5091" s="274" t="e">
        <f t="shared" ca="1" si="83"/>
        <v>#NAME?</v>
      </c>
      <c r="K5091" s="274">
        <f t="shared" si="84"/>
        <v>0</v>
      </c>
      <c r="N5091" s="274"/>
    </row>
    <row r="5092" spans="5:14" ht="13.5" customHeight="1">
      <c r="E5092" s="209" t="s">
        <v>2954</v>
      </c>
      <c r="F5092" s="209" t="s">
        <v>2955</v>
      </c>
      <c r="G5092" s="413" t="str">
        <f t="shared" si="85"/>
        <v>07-13</v>
      </c>
      <c r="H5092" s="273" t="e">
        <f ca="1">_xludf.IFNA(VLOOKUP(E5092,'Urban Plastix Holds'!$I$37:$U$705,10,0),0)</f>
        <v>#NAME?</v>
      </c>
      <c r="I5092" s="274"/>
      <c r="J5092" s="274" t="e">
        <f t="shared" ca="1" si="83"/>
        <v>#NAME?</v>
      </c>
      <c r="K5092" s="274">
        <f t="shared" si="84"/>
        <v>0</v>
      </c>
      <c r="N5092" s="274"/>
    </row>
    <row r="5093" spans="5:14" ht="13.5" customHeight="1">
      <c r="E5093" s="209" t="s">
        <v>2954</v>
      </c>
      <c r="F5093" s="209" t="s">
        <v>2955</v>
      </c>
      <c r="G5093" s="414" t="str">
        <f t="shared" si="85"/>
        <v>11-26</v>
      </c>
      <c r="H5093" s="273" t="e">
        <f ca="1">_xludf.IFNA(VLOOKUP(E5093,'Urban Plastix Holds'!$I$37:$U$705,11,0),0)</f>
        <v>#NAME?</v>
      </c>
      <c r="I5093" s="274"/>
      <c r="J5093" s="274" t="e">
        <f t="shared" ca="1" si="83"/>
        <v>#NAME?</v>
      </c>
      <c r="K5093" s="274">
        <f t="shared" si="84"/>
        <v>0</v>
      </c>
      <c r="N5093" s="274"/>
    </row>
    <row r="5094" spans="5:14" ht="13.5" customHeight="1">
      <c r="E5094" s="209" t="s">
        <v>2954</v>
      </c>
      <c r="F5094" s="209" t="s">
        <v>2955</v>
      </c>
      <c r="G5094" s="415" t="str">
        <f t="shared" si="85"/>
        <v>18-01</v>
      </c>
      <c r="H5094" s="273" t="e">
        <f ca="1">_xludf.IFNA(VLOOKUP(E5094,'Urban Plastix Holds'!$I$37:$U$705,12,0),0)</f>
        <v>#NAME?</v>
      </c>
      <c r="I5094" s="274"/>
      <c r="J5094" s="274" t="e">
        <f t="shared" ca="1" si="83"/>
        <v>#NAME?</v>
      </c>
      <c r="K5094" s="274">
        <f t="shared" si="84"/>
        <v>0</v>
      </c>
      <c r="N5094" s="274"/>
    </row>
    <row r="5095" spans="5:14" ht="13.5" customHeight="1">
      <c r="E5095" s="209" t="s">
        <v>2954</v>
      </c>
      <c r="F5095" s="209" t="s">
        <v>2955</v>
      </c>
      <c r="G5095" s="416" t="str">
        <f t="shared" si="85"/>
        <v>Color Code</v>
      </c>
      <c r="H5095" s="273" t="e">
        <f ca="1">_xludf.IFNA(VLOOKUP(E5095,'Urban Plastix Holds'!$I$37:$U$705,13,0),0)</f>
        <v>#NAME?</v>
      </c>
      <c r="I5095" s="274"/>
      <c r="J5095" s="274" t="e">
        <f t="shared" ca="1" si="83"/>
        <v>#NAME?</v>
      </c>
      <c r="K5095" s="274">
        <f t="shared" si="84"/>
        <v>0</v>
      </c>
      <c r="N5095" s="274"/>
    </row>
    <row r="5096" spans="5:14" ht="13.5" customHeight="1">
      <c r="E5096" s="209" t="s">
        <v>2956</v>
      </c>
      <c r="F5096" s="209" t="s">
        <v>2957</v>
      </c>
      <c r="G5096" s="406" t="str">
        <f t="shared" si="85"/>
        <v>11-12</v>
      </c>
      <c r="H5096" s="273" t="e">
        <f ca="1">_xludf.IFNA(VLOOKUP(E5096,'Urban Plastix Holds'!$I$37:$U$705,5,0),0)</f>
        <v>#NAME?</v>
      </c>
      <c r="I5096" s="274"/>
      <c r="J5096" s="274" t="e">
        <f t="shared" ca="1" si="83"/>
        <v>#NAME?</v>
      </c>
      <c r="K5096" s="274">
        <f t="shared" si="84"/>
        <v>0</v>
      </c>
      <c r="N5096" s="274"/>
    </row>
    <row r="5097" spans="5:14" ht="13.5" customHeight="1">
      <c r="E5097" s="209" t="s">
        <v>2956</v>
      </c>
      <c r="F5097" s="209" t="s">
        <v>2957</v>
      </c>
      <c r="G5097" s="408" t="str">
        <f t="shared" si="85"/>
        <v>14-01</v>
      </c>
      <c r="H5097" s="273" t="e">
        <f ca="1">_xludf.IFNA(VLOOKUP(E5097,'Urban Plastix Holds'!$I$37:$U$705,6,0),0)</f>
        <v>#NAME?</v>
      </c>
      <c r="I5097" s="274"/>
      <c r="J5097" s="274" t="e">
        <f t="shared" ca="1" si="83"/>
        <v>#NAME?</v>
      </c>
      <c r="K5097" s="274">
        <f t="shared" si="84"/>
        <v>0</v>
      </c>
      <c r="N5097" s="274"/>
    </row>
    <row r="5098" spans="5:14" ht="13.5" customHeight="1">
      <c r="E5098" s="209" t="s">
        <v>2956</v>
      </c>
      <c r="F5098" s="209" t="s">
        <v>2957</v>
      </c>
      <c r="G5098" s="409" t="str">
        <f t="shared" si="85"/>
        <v>15-12</v>
      </c>
      <c r="H5098" s="273" t="e">
        <f ca="1">_xludf.IFNA(VLOOKUP(E5098,'Urban Plastix Holds'!$I$37:$U$705,7,0),0)</f>
        <v>#NAME?</v>
      </c>
      <c r="I5098" s="274"/>
      <c r="J5098" s="274" t="e">
        <f t="shared" ca="1" si="83"/>
        <v>#NAME?</v>
      </c>
      <c r="K5098" s="274">
        <f t="shared" si="84"/>
        <v>0</v>
      </c>
      <c r="N5098" s="274"/>
    </row>
    <row r="5099" spans="5:14" ht="13.5" customHeight="1">
      <c r="E5099" s="209" t="s">
        <v>2956</v>
      </c>
      <c r="F5099" s="209" t="s">
        <v>2957</v>
      </c>
      <c r="G5099" s="410" t="str">
        <f t="shared" si="85"/>
        <v>16-16</v>
      </c>
      <c r="H5099" s="273" t="e">
        <f ca="1">_xludf.IFNA(VLOOKUP(E5099,'Urban Plastix Holds'!$I$37:$U$705,8,0),0)</f>
        <v>#NAME?</v>
      </c>
      <c r="I5099" s="274"/>
      <c r="J5099" s="274" t="e">
        <f t="shared" ca="1" si="83"/>
        <v>#NAME?</v>
      </c>
      <c r="K5099" s="274">
        <f t="shared" si="84"/>
        <v>0</v>
      </c>
      <c r="N5099" s="274"/>
    </row>
    <row r="5100" spans="5:14" ht="13.5" customHeight="1">
      <c r="E5100" s="209" t="s">
        <v>2956</v>
      </c>
      <c r="F5100" s="209" t="s">
        <v>2957</v>
      </c>
      <c r="G5100" s="411" t="str">
        <f t="shared" si="85"/>
        <v>13-01</v>
      </c>
      <c r="H5100" s="273" t="e">
        <f ca="1">_xludf.IFNA(VLOOKUP(E5100,'Urban Plastix Holds'!$I$37:$U$705,9,0),0)</f>
        <v>#NAME?</v>
      </c>
      <c r="I5100" s="274"/>
      <c r="J5100" s="274" t="e">
        <f t="shared" ca="1" si="83"/>
        <v>#NAME?</v>
      </c>
      <c r="K5100" s="274">
        <f t="shared" si="84"/>
        <v>0</v>
      </c>
      <c r="N5100" s="274"/>
    </row>
    <row r="5101" spans="5:14" ht="13.5" customHeight="1">
      <c r="E5101" s="209" t="s">
        <v>2956</v>
      </c>
      <c r="F5101" s="209" t="s">
        <v>2957</v>
      </c>
      <c r="G5101" s="413" t="str">
        <f t="shared" si="85"/>
        <v>07-13</v>
      </c>
      <c r="H5101" s="273" t="e">
        <f ca="1">_xludf.IFNA(VLOOKUP(E5101,'Urban Plastix Holds'!$I$37:$U$705,10,0),0)</f>
        <v>#NAME?</v>
      </c>
      <c r="I5101" s="274"/>
      <c r="J5101" s="274" t="e">
        <f t="shared" ca="1" si="83"/>
        <v>#NAME?</v>
      </c>
      <c r="K5101" s="274">
        <f t="shared" si="84"/>
        <v>0</v>
      </c>
      <c r="N5101" s="274"/>
    </row>
    <row r="5102" spans="5:14" ht="13.5" customHeight="1">
      <c r="E5102" s="209" t="s">
        <v>2956</v>
      </c>
      <c r="F5102" s="209" t="s">
        <v>2957</v>
      </c>
      <c r="G5102" s="414" t="str">
        <f t="shared" si="85"/>
        <v>11-26</v>
      </c>
      <c r="H5102" s="273" t="e">
        <f ca="1">_xludf.IFNA(VLOOKUP(E5102,'Urban Plastix Holds'!$I$37:$U$705,11,0),0)</f>
        <v>#NAME?</v>
      </c>
      <c r="I5102" s="274"/>
      <c r="J5102" s="274" t="e">
        <f t="shared" ref="J5102:J5356" ca="1" si="86">H5102*I5102</f>
        <v>#NAME?</v>
      </c>
      <c r="K5102" s="274">
        <f t="shared" ref="K5102:K5356" si="87">IF($V$11="Y",J5102*0.05,0)</f>
        <v>0</v>
      </c>
      <c r="N5102" s="274"/>
    </row>
    <row r="5103" spans="5:14" ht="13.5" customHeight="1">
      <c r="E5103" s="209" t="s">
        <v>2956</v>
      </c>
      <c r="F5103" s="209" t="s">
        <v>2957</v>
      </c>
      <c r="G5103" s="415" t="str">
        <f t="shared" si="85"/>
        <v>18-01</v>
      </c>
      <c r="H5103" s="273" t="e">
        <f ca="1">_xludf.IFNA(VLOOKUP(E5103,'Urban Plastix Holds'!$I$37:$U$705,12,0),0)</f>
        <v>#NAME?</v>
      </c>
      <c r="I5103" s="274"/>
      <c r="J5103" s="274" t="e">
        <f t="shared" ca="1" si="86"/>
        <v>#NAME?</v>
      </c>
      <c r="K5103" s="274">
        <f t="shared" si="87"/>
        <v>0</v>
      </c>
      <c r="N5103" s="274"/>
    </row>
    <row r="5104" spans="5:14" ht="13.5" customHeight="1">
      <c r="E5104" s="209" t="s">
        <v>2956</v>
      </c>
      <c r="F5104" s="209" t="s">
        <v>2957</v>
      </c>
      <c r="G5104" s="416" t="str">
        <f t="shared" si="85"/>
        <v>Color Code</v>
      </c>
      <c r="H5104" s="273" t="e">
        <f ca="1">_xludf.IFNA(VLOOKUP(E5104,'Urban Plastix Holds'!$I$37:$U$705,13,0),0)</f>
        <v>#NAME?</v>
      </c>
      <c r="I5104" s="274"/>
      <c r="J5104" s="274" t="e">
        <f t="shared" ca="1" si="86"/>
        <v>#NAME?</v>
      </c>
      <c r="K5104" s="274">
        <f t="shared" si="87"/>
        <v>0</v>
      </c>
      <c r="N5104" s="274"/>
    </row>
    <row r="5105" spans="5:14" ht="13.5" customHeight="1">
      <c r="E5105" s="209" t="s">
        <v>1796</v>
      </c>
      <c r="F5105" s="209" t="s">
        <v>2958</v>
      </c>
      <c r="G5105" s="406" t="str">
        <f t="shared" si="85"/>
        <v>11-12</v>
      </c>
      <c r="H5105" s="273" t="e">
        <f ca="1">_xludf.IFNA(VLOOKUP(E5105,'Urban Plastix Holds'!$I$37:$U$705,5,0),0)</f>
        <v>#NAME?</v>
      </c>
      <c r="I5105" s="274"/>
      <c r="J5105" s="274" t="e">
        <f t="shared" ca="1" si="86"/>
        <v>#NAME?</v>
      </c>
      <c r="K5105" s="274">
        <f t="shared" si="87"/>
        <v>0</v>
      </c>
      <c r="N5105" s="274"/>
    </row>
    <row r="5106" spans="5:14" ht="13.5" customHeight="1">
      <c r="E5106" s="209" t="s">
        <v>1796</v>
      </c>
      <c r="F5106" s="209" t="s">
        <v>2958</v>
      </c>
      <c r="G5106" s="408" t="str">
        <f t="shared" si="85"/>
        <v>14-01</v>
      </c>
      <c r="H5106" s="273" t="e">
        <f ca="1">_xludf.IFNA(VLOOKUP(E5106,'Urban Plastix Holds'!$I$37:$U$705,6,0),0)</f>
        <v>#NAME?</v>
      </c>
      <c r="I5106" s="274"/>
      <c r="J5106" s="274" t="e">
        <f t="shared" ca="1" si="86"/>
        <v>#NAME?</v>
      </c>
      <c r="K5106" s="274">
        <f t="shared" si="87"/>
        <v>0</v>
      </c>
      <c r="N5106" s="274"/>
    </row>
    <row r="5107" spans="5:14" ht="13.5" customHeight="1">
      <c r="E5107" s="209" t="s">
        <v>1796</v>
      </c>
      <c r="F5107" s="209" t="s">
        <v>2958</v>
      </c>
      <c r="G5107" s="409" t="str">
        <f t="shared" si="85"/>
        <v>15-12</v>
      </c>
      <c r="H5107" s="273" t="e">
        <f ca="1">_xludf.IFNA(VLOOKUP(E5107,'Urban Plastix Holds'!$I$37:$U$705,7,0),0)</f>
        <v>#NAME?</v>
      </c>
      <c r="I5107" s="274"/>
      <c r="J5107" s="274" t="e">
        <f t="shared" ca="1" si="86"/>
        <v>#NAME?</v>
      </c>
      <c r="K5107" s="274">
        <f t="shared" si="87"/>
        <v>0</v>
      </c>
      <c r="N5107" s="274"/>
    </row>
    <row r="5108" spans="5:14" ht="13.5" customHeight="1">
      <c r="E5108" s="209" t="s">
        <v>1796</v>
      </c>
      <c r="F5108" s="209" t="s">
        <v>2958</v>
      </c>
      <c r="G5108" s="410" t="str">
        <f t="shared" si="85"/>
        <v>16-16</v>
      </c>
      <c r="H5108" s="273" t="e">
        <f ca="1">_xludf.IFNA(VLOOKUP(E5108,'Urban Plastix Holds'!$I$37:$U$705,8,0),0)</f>
        <v>#NAME?</v>
      </c>
      <c r="I5108" s="274"/>
      <c r="J5108" s="274" t="e">
        <f t="shared" ca="1" si="86"/>
        <v>#NAME?</v>
      </c>
      <c r="K5108" s="274">
        <f t="shared" si="87"/>
        <v>0</v>
      </c>
      <c r="N5108" s="274"/>
    </row>
    <row r="5109" spans="5:14" ht="13.5" customHeight="1">
      <c r="E5109" s="209" t="s">
        <v>1796</v>
      </c>
      <c r="F5109" s="209" t="s">
        <v>2958</v>
      </c>
      <c r="G5109" s="411" t="str">
        <f t="shared" si="85"/>
        <v>13-01</v>
      </c>
      <c r="H5109" s="273" t="e">
        <f ca="1">_xludf.IFNA(VLOOKUP(E5109,'Urban Plastix Holds'!$I$37:$U$705,9,0),0)</f>
        <v>#NAME?</v>
      </c>
      <c r="I5109" s="274"/>
      <c r="J5109" s="274" t="e">
        <f t="shared" ca="1" si="86"/>
        <v>#NAME?</v>
      </c>
      <c r="K5109" s="274">
        <f t="shared" si="87"/>
        <v>0</v>
      </c>
      <c r="N5109" s="274"/>
    </row>
    <row r="5110" spans="5:14" ht="13.5" customHeight="1">
      <c r="E5110" s="209" t="s">
        <v>1796</v>
      </c>
      <c r="F5110" s="209" t="s">
        <v>2958</v>
      </c>
      <c r="G5110" s="413" t="str">
        <f t="shared" si="85"/>
        <v>07-13</v>
      </c>
      <c r="H5110" s="273" t="e">
        <f ca="1">_xludf.IFNA(VLOOKUP(E5110,'Urban Plastix Holds'!$I$37:$U$705,10,0),0)</f>
        <v>#NAME?</v>
      </c>
      <c r="I5110" s="274"/>
      <c r="J5110" s="274" t="e">
        <f t="shared" ca="1" si="86"/>
        <v>#NAME?</v>
      </c>
      <c r="K5110" s="274">
        <f t="shared" si="87"/>
        <v>0</v>
      </c>
      <c r="N5110" s="274"/>
    </row>
    <row r="5111" spans="5:14" ht="13.5" customHeight="1">
      <c r="E5111" s="209" t="s">
        <v>1796</v>
      </c>
      <c r="F5111" s="209" t="s">
        <v>2958</v>
      </c>
      <c r="G5111" s="414" t="str">
        <f t="shared" si="85"/>
        <v>11-26</v>
      </c>
      <c r="H5111" s="273" t="e">
        <f ca="1">_xludf.IFNA(VLOOKUP(E5111,'Urban Plastix Holds'!$I$37:$U$705,11,0),0)</f>
        <v>#NAME?</v>
      </c>
      <c r="I5111" s="274"/>
      <c r="J5111" s="274" t="e">
        <f t="shared" ca="1" si="86"/>
        <v>#NAME?</v>
      </c>
      <c r="K5111" s="274">
        <f t="shared" si="87"/>
        <v>0</v>
      </c>
      <c r="N5111" s="274"/>
    </row>
    <row r="5112" spans="5:14" ht="13.5" customHeight="1">
      <c r="E5112" s="209" t="s">
        <v>1796</v>
      </c>
      <c r="F5112" s="209" t="s">
        <v>2958</v>
      </c>
      <c r="G5112" s="415" t="str">
        <f t="shared" si="85"/>
        <v>18-01</v>
      </c>
      <c r="H5112" s="273" t="e">
        <f ca="1">_xludf.IFNA(VLOOKUP(E5112,'Urban Plastix Holds'!$I$37:$U$705,12,0),0)</f>
        <v>#NAME?</v>
      </c>
      <c r="I5112" s="274"/>
      <c r="J5112" s="274" t="e">
        <f t="shared" ca="1" si="86"/>
        <v>#NAME?</v>
      </c>
      <c r="K5112" s="274">
        <f t="shared" si="87"/>
        <v>0</v>
      </c>
      <c r="N5112" s="274"/>
    </row>
    <row r="5113" spans="5:14" ht="13.5" customHeight="1">
      <c r="E5113" s="209" t="s">
        <v>1796</v>
      </c>
      <c r="F5113" s="209" t="s">
        <v>2958</v>
      </c>
      <c r="G5113" s="416" t="str">
        <f t="shared" si="85"/>
        <v>Color Code</v>
      </c>
      <c r="H5113" s="273" t="e">
        <f ca="1">_xludf.IFNA(VLOOKUP(E5113,'Urban Plastix Holds'!$I$37:$U$705,13,0),0)</f>
        <v>#NAME?</v>
      </c>
      <c r="I5113" s="274"/>
      <c r="J5113" s="274" t="e">
        <f t="shared" ca="1" si="86"/>
        <v>#NAME?</v>
      </c>
      <c r="K5113" s="274">
        <f t="shared" si="87"/>
        <v>0</v>
      </c>
      <c r="N5113" s="274"/>
    </row>
    <row r="5114" spans="5:14" ht="13.5" customHeight="1">
      <c r="E5114" s="209" t="s">
        <v>1840</v>
      </c>
      <c r="F5114" s="209" t="s">
        <v>2959</v>
      </c>
      <c r="G5114" s="406" t="str">
        <f t="shared" si="85"/>
        <v>11-12</v>
      </c>
      <c r="H5114" s="273" t="e">
        <f ca="1">_xludf.IFNA(VLOOKUP(E5114,'Urban Plastix Holds'!$I$37:$U$705,5,0),0)</f>
        <v>#NAME?</v>
      </c>
      <c r="I5114" s="274"/>
      <c r="J5114" s="274" t="e">
        <f t="shared" ca="1" si="86"/>
        <v>#NAME?</v>
      </c>
      <c r="K5114" s="274">
        <f t="shared" si="87"/>
        <v>0</v>
      </c>
      <c r="N5114" s="274"/>
    </row>
    <row r="5115" spans="5:14" ht="13.5" customHeight="1">
      <c r="E5115" s="209" t="s">
        <v>1840</v>
      </c>
      <c r="F5115" s="209" t="s">
        <v>2959</v>
      </c>
      <c r="G5115" s="408" t="str">
        <f t="shared" si="85"/>
        <v>14-01</v>
      </c>
      <c r="H5115" s="273" t="e">
        <f ca="1">_xludf.IFNA(VLOOKUP(E5115,'Urban Plastix Holds'!$I$37:$U$705,6,0),0)</f>
        <v>#NAME?</v>
      </c>
      <c r="I5115" s="274"/>
      <c r="J5115" s="274" t="e">
        <f t="shared" ca="1" si="86"/>
        <v>#NAME?</v>
      </c>
      <c r="K5115" s="274">
        <f t="shared" si="87"/>
        <v>0</v>
      </c>
      <c r="N5115" s="274"/>
    </row>
    <row r="5116" spans="5:14" ht="13.5" customHeight="1">
      <c r="E5116" s="209" t="s">
        <v>1840</v>
      </c>
      <c r="F5116" s="209" t="s">
        <v>2959</v>
      </c>
      <c r="G5116" s="409" t="str">
        <f t="shared" si="85"/>
        <v>15-12</v>
      </c>
      <c r="H5116" s="273" t="e">
        <f ca="1">_xludf.IFNA(VLOOKUP(E5116,'Urban Plastix Holds'!$I$37:$U$705,7,0),0)</f>
        <v>#NAME?</v>
      </c>
      <c r="I5116" s="274"/>
      <c r="J5116" s="274" t="e">
        <f t="shared" ca="1" si="86"/>
        <v>#NAME?</v>
      </c>
      <c r="K5116" s="274">
        <f t="shared" si="87"/>
        <v>0</v>
      </c>
      <c r="N5116" s="274"/>
    </row>
    <row r="5117" spans="5:14" ht="13.5" customHeight="1">
      <c r="E5117" s="209" t="s">
        <v>1840</v>
      </c>
      <c r="F5117" s="209" t="s">
        <v>2959</v>
      </c>
      <c r="G5117" s="410" t="str">
        <f t="shared" si="85"/>
        <v>16-16</v>
      </c>
      <c r="H5117" s="273" t="e">
        <f ca="1">_xludf.IFNA(VLOOKUP(E5117,'Urban Plastix Holds'!$I$37:$U$705,8,0),0)</f>
        <v>#NAME?</v>
      </c>
      <c r="I5117" s="274"/>
      <c r="J5117" s="274" t="e">
        <f t="shared" ca="1" si="86"/>
        <v>#NAME?</v>
      </c>
      <c r="K5117" s="274">
        <f t="shared" si="87"/>
        <v>0</v>
      </c>
      <c r="N5117" s="274"/>
    </row>
    <row r="5118" spans="5:14" ht="13.5" customHeight="1">
      <c r="E5118" s="209" t="s">
        <v>1840</v>
      </c>
      <c r="F5118" s="209" t="s">
        <v>2959</v>
      </c>
      <c r="G5118" s="411" t="str">
        <f t="shared" si="85"/>
        <v>13-01</v>
      </c>
      <c r="H5118" s="273" t="e">
        <f ca="1">_xludf.IFNA(VLOOKUP(E5118,'Urban Plastix Holds'!$I$37:$U$705,9,0),0)</f>
        <v>#NAME?</v>
      </c>
      <c r="I5118" s="274"/>
      <c r="J5118" s="274" t="e">
        <f t="shared" ca="1" si="86"/>
        <v>#NAME?</v>
      </c>
      <c r="K5118" s="274">
        <f t="shared" si="87"/>
        <v>0</v>
      </c>
      <c r="N5118" s="274"/>
    </row>
    <row r="5119" spans="5:14" ht="13.5" customHeight="1">
      <c r="E5119" s="209" t="s">
        <v>1840</v>
      </c>
      <c r="F5119" s="209" t="s">
        <v>2959</v>
      </c>
      <c r="G5119" s="413" t="str">
        <f t="shared" si="85"/>
        <v>07-13</v>
      </c>
      <c r="H5119" s="273" t="e">
        <f ca="1">_xludf.IFNA(VLOOKUP(E5119,'Urban Plastix Holds'!$I$37:$U$705,10,0),0)</f>
        <v>#NAME?</v>
      </c>
      <c r="I5119" s="274"/>
      <c r="J5119" s="274" t="e">
        <f t="shared" ca="1" si="86"/>
        <v>#NAME?</v>
      </c>
      <c r="K5119" s="274">
        <f t="shared" si="87"/>
        <v>0</v>
      </c>
      <c r="N5119" s="274"/>
    </row>
    <row r="5120" spans="5:14" ht="13.5" customHeight="1">
      <c r="E5120" s="209" t="s">
        <v>1840</v>
      </c>
      <c r="F5120" s="209" t="s">
        <v>2959</v>
      </c>
      <c r="G5120" s="414" t="str">
        <f t="shared" si="85"/>
        <v>11-26</v>
      </c>
      <c r="H5120" s="273" t="e">
        <f ca="1">_xludf.IFNA(VLOOKUP(E5120,'Urban Plastix Holds'!$I$37:$U$705,11,0),0)</f>
        <v>#NAME?</v>
      </c>
      <c r="I5120" s="274"/>
      <c r="J5120" s="274" t="e">
        <f t="shared" ca="1" si="86"/>
        <v>#NAME?</v>
      </c>
      <c r="K5120" s="274">
        <f t="shared" si="87"/>
        <v>0</v>
      </c>
      <c r="N5120" s="274"/>
    </row>
    <row r="5121" spans="5:14" ht="13.5" customHeight="1">
      <c r="E5121" s="209" t="s">
        <v>1840</v>
      </c>
      <c r="F5121" s="209" t="s">
        <v>2959</v>
      </c>
      <c r="G5121" s="415" t="str">
        <f t="shared" si="85"/>
        <v>18-01</v>
      </c>
      <c r="H5121" s="273" t="e">
        <f ca="1">_xludf.IFNA(VLOOKUP(E5121,'Urban Plastix Holds'!$I$37:$U$705,12,0),0)</f>
        <v>#NAME?</v>
      </c>
      <c r="I5121" s="274"/>
      <c r="J5121" s="274" t="e">
        <f t="shared" ca="1" si="86"/>
        <v>#NAME?</v>
      </c>
      <c r="K5121" s="274">
        <f t="shared" si="87"/>
        <v>0</v>
      </c>
      <c r="N5121" s="274"/>
    </row>
    <row r="5122" spans="5:14" ht="13.5" customHeight="1">
      <c r="E5122" s="209" t="s">
        <v>1840</v>
      </c>
      <c r="F5122" s="209" t="s">
        <v>2959</v>
      </c>
      <c r="G5122" s="416" t="str">
        <f t="shared" si="85"/>
        <v>Color Code</v>
      </c>
      <c r="H5122" s="273" t="e">
        <f ca="1">_xludf.IFNA(VLOOKUP(E5122,'Urban Plastix Holds'!$I$37:$U$705,13,0),0)</f>
        <v>#NAME?</v>
      </c>
      <c r="I5122" s="274"/>
      <c r="J5122" s="274" t="e">
        <f t="shared" ca="1" si="86"/>
        <v>#NAME?</v>
      </c>
      <c r="K5122" s="274">
        <f t="shared" si="87"/>
        <v>0</v>
      </c>
      <c r="N5122" s="274"/>
    </row>
    <row r="5123" spans="5:14" ht="13.5" customHeight="1">
      <c r="E5123" s="209" t="s">
        <v>1854</v>
      </c>
      <c r="F5123" s="209" t="s">
        <v>2960</v>
      </c>
      <c r="G5123" s="406" t="str">
        <f t="shared" si="85"/>
        <v>11-12</v>
      </c>
      <c r="H5123" s="273" t="e">
        <f ca="1">_xludf.IFNA(VLOOKUP(E5123,'Urban Plastix Holds'!$I$37:$U$705,5,0),0)</f>
        <v>#NAME?</v>
      </c>
      <c r="I5123" s="274"/>
      <c r="J5123" s="274" t="e">
        <f t="shared" ca="1" si="86"/>
        <v>#NAME?</v>
      </c>
      <c r="K5123" s="274">
        <f t="shared" si="87"/>
        <v>0</v>
      </c>
      <c r="N5123" s="274"/>
    </row>
    <row r="5124" spans="5:14" ht="13.5" customHeight="1">
      <c r="E5124" s="209" t="s">
        <v>1854</v>
      </c>
      <c r="F5124" s="209" t="s">
        <v>2960</v>
      </c>
      <c r="G5124" s="408" t="str">
        <f t="shared" si="85"/>
        <v>14-01</v>
      </c>
      <c r="H5124" s="273" t="e">
        <f ca="1">_xludf.IFNA(VLOOKUP(E5124,'Urban Plastix Holds'!$I$37:$U$705,6,0),0)</f>
        <v>#NAME?</v>
      </c>
      <c r="I5124" s="274"/>
      <c r="J5124" s="274" t="e">
        <f t="shared" ca="1" si="86"/>
        <v>#NAME?</v>
      </c>
      <c r="K5124" s="274">
        <f t="shared" si="87"/>
        <v>0</v>
      </c>
      <c r="N5124" s="274"/>
    </row>
    <row r="5125" spans="5:14" ht="13.5" customHeight="1">
      <c r="E5125" s="209" t="s">
        <v>1854</v>
      </c>
      <c r="F5125" s="209" t="s">
        <v>2960</v>
      </c>
      <c r="G5125" s="409" t="str">
        <f t="shared" si="85"/>
        <v>15-12</v>
      </c>
      <c r="H5125" s="273" t="e">
        <f ca="1">_xludf.IFNA(VLOOKUP(E5125,'Urban Plastix Holds'!$I$37:$U$705,7,0),0)</f>
        <v>#NAME?</v>
      </c>
      <c r="I5125" s="274"/>
      <c r="J5125" s="274" t="e">
        <f t="shared" ca="1" si="86"/>
        <v>#NAME?</v>
      </c>
      <c r="K5125" s="274">
        <f t="shared" si="87"/>
        <v>0</v>
      </c>
      <c r="N5125" s="274"/>
    </row>
    <row r="5126" spans="5:14" ht="13.5" customHeight="1">
      <c r="E5126" s="209" t="s">
        <v>1854</v>
      </c>
      <c r="F5126" s="209" t="s">
        <v>2960</v>
      </c>
      <c r="G5126" s="410" t="str">
        <f t="shared" si="85"/>
        <v>16-16</v>
      </c>
      <c r="H5126" s="273" t="e">
        <f ca="1">_xludf.IFNA(VLOOKUP(E5126,'Urban Plastix Holds'!$I$37:$U$705,8,0),0)</f>
        <v>#NAME?</v>
      </c>
      <c r="I5126" s="274"/>
      <c r="J5126" s="274" t="e">
        <f t="shared" ca="1" si="86"/>
        <v>#NAME?</v>
      </c>
      <c r="K5126" s="274">
        <f t="shared" si="87"/>
        <v>0</v>
      </c>
      <c r="N5126" s="274"/>
    </row>
    <row r="5127" spans="5:14" ht="13.5" customHeight="1">
      <c r="E5127" s="209" t="s">
        <v>1854</v>
      </c>
      <c r="F5127" s="209" t="s">
        <v>2960</v>
      </c>
      <c r="G5127" s="411" t="str">
        <f t="shared" si="85"/>
        <v>13-01</v>
      </c>
      <c r="H5127" s="273" t="e">
        <f ca="1">_xludf.IFNA(VLOOKUP(E5127,'Urban Plastix Holds'!$I$37:$U$705,9,0),0)</f>
        <v>#NAME?</v>
      </c>
      <c r="I5127" s="274"/>
      <c r="J5127" s="274" t="e">
        <f t="shared" ca="1" si="86"/>
        <v>#NAME?</v>
      </c>
      <c r="K5127" s="274">
        <f t="shared" si="87"/>
        <v>0</v>
      </c>
      <c r="N5127" s="274"/>
    </row>
    <row r="5128" spans="5:14" ht="13.5" customHeight="1">
      <c r="E5128" s="209" t="s">
        <v>1854</v>
      </c>
      <c r="F5128" s="209" t="s">
        <v>2960</v>
      </c>
      <c r="G5128" s="413" t="str">
        <f t="shared" si="85"/>
        <v>07-13</v>
      </c>
      <c r="H5128" s="273" t="e">
        <f ca="1">_xludf.IFNA(VLOOKUP(E5128,'Urban Plastix Holds'!$I$37:$U$705,10,0),0)</f>
        <v>#NAME?</v>
      </c>
      <c r="I5128" s="274"/>
      <c r="J5128" s="274" t="e">
        <f t="shared" ca="1" si="86"/>
        <v>#NAME?</v>
      </c>
      <c r="K5128" s="274">
        <f t="shared" si="87"/>
        <v>0</v>
      </c>
      <c r="N5128" s="274"/>
    </row>
    <row r="5129" spans="5:14" ht="13.5" customHeight="1">
      <c r="E5129" s="209" t="s">
        <v>1854</v>
      </c>
      <c r="F5129" s="209" t="s">
        <v>2960</v>
      </c>
      <c r="G5129" s="414" t="str">
        <f t="shared" si="85"/>
        <v>11-26</v>
      </c>
      <c r="H5129" s="273" t="e">
        <f ca="1">_xludf.IFNA(VLOOKUP(E5129,'Urban Plastix Holds'!$I$37:$U$705,11,0),0)</f>
        <v>#NAME?</v>
      </c>
      <c r="I5129" s="274"/>
      <c r="J5129" s="274" t="e">
        <f t="shared" ca="1" si="86"/>
        <v>#NAME?</v>
      </c>
      <c r="K5129" s="274">
        <f t="shared" si="87"/>
        <v>0</v>
      </c>
      <c r="N5129" s="274"/>
    </row>
    <row r="5130" spans="5:14" ht="13.5" customHeight="1">
      <c r="E5130" s="209" t="s">
        <v>1854</v>
      </c>
      <c r="F5130" s="209" t="s">
        <v>2960</v>
      </c>
      <c r="G5130" s="415" t="str">
        <f t="shared" si="85"/>
        <v>18-01</v>
      </c>
      <c r="H5130" s="273" t="e">
        <f ca="1">_xludf.IFNA(VLOOKUP(E5130,'Urban Plastix Holds'!$I$37:$U$705,12,0),0)</f>
        <v>#NAME?</v>
      </c>
      <c r="I5130" s="274"/>
      <c r="J5130" s="274" t="e">
        <f t="shared" ca="1" si="86"/>
        <v>#NAME?</v>
      </c>
      <c r="K5130" s="274">
        <f t="shared" si="87"/>
        <v>0</v>
      </c>
      <c r="N5130" s="274"/>
    </row>
    <row r="5131" spans="5:14" ht="13.5" customHeight="1">
      <c r="E5131" s="209" t="s">
        <v>1854</v>
      </c>
      <c r="F5131" s="209" t="s">
        <v>2960</v>
      </c>
      <c r="G5131" s="416" t="str">
        <f t="shared" si="85"/>
        <v>Color Code</v>
      </c>
      <c r="H5131" s="273" t="e">
        <f ca="1">_xludf.IFNA(VLOOKUP(E5131,'Urban Plastix Holds'!$I$37:$U$705,13,0),0)</f>
        <v>#NAME?</v>
      </c>
      <c r="I5131" s="274"/>
      <c r="J5131" s="274" t="e">
        <f t="shared" ca="1" si="86"/>
        <v>#NAME?</v>
      </c>
      <c r="K5131" s="274">
        <f t="shared" si="87"/>
        <v>0</v>
      </c>
      <c r="N5131" s="274"/>
    </row>
    <row r="5132" spans="5:14" ht="13.5" customHeight="1">
      <c r="E5132" s="209" t="s">
        <v>1820</v>
      </c>
      <c r="F5132" s="209" t="s">
        <v>2961</v>
      </c>
      <c r="G5132" s="406" t="str">
        <f t="shared" si="85"/>
        <v>11-12</v>
      </c>
      <c r="H5132" s="273" t="e">
        <f ca="1">_xludf.IFNA(VLOOKUP(E5132,'Urban Plastix Holds'!$I$37:$U$705,5,0),0)</f>
        <v>#NAME?</v>
      </c>
      <c r="I5132" s="274"/>
      <c r="J5132" s="274" t="e">
        <f t="shared" ca="1" si="86"/>
        <v>#NAME?</v>
      </c>
      <c r="K5132" s="274">
        <f t="shared" si="87"/>
        <v>0</v>
      </c>
      <c r="N5132" s="274"/>
    </row>
    <row r="5133" spans="5:14" ht="13.5" customHeight="1">
      <c r="E5133" s="209" t="s">
        <v>1820</v>
      </c>
      <c r="F5133" s="209" t="s">
        <v>2961</v>
      </c>
      <c r="G5133" s="408" t="str">
        <f t="shared" si="85"/>
        <v>14-01</v>
      </c>
      <c r="H5133" s="273" t="e">
        <f ca="1">_xludf.IFNA(VLOOKUP(E5133,'Urban Plastix Holds'!$I$37:$U$705,6,0),0)</f>
        <v>#NAME?</v>
      </c>
      <c r="I5133" s="274"/>
      <c r="J5133" s="274" t="e">
        <f t="shared" ca="1" si="86"/>
        <v>#NAME?</v>
      </c>
      <c r="K5133" s="274">
        <f t="shared" si="87"/>
        <v>0</v>
      </c>
      <c r="N5133" s="274"/>
    </row>
    <row r="5134" spans="5:14" ht="13.5" customHeight="1">
      <c r="E5134" s="209" t="s">
        <v>1820</v>
      </c>
      <c r="F5134" s="209" t="s">
        <v>2961</v>
      </c>
      <c r="G5134" s="409" t="str">
        <f t="shared" si="85"/>
        <v>15-12</v>
      </c>
      <c r="H5134" s="273" t="e">
        <f ca="1">_xludf.IFNA(VLOOKUP(E5134,'Urban Plastix Holds'!$I$37:$U$705,7,0),0)</f>
        <v>#NAME?</v>
      </c>
      <c r="I5134" s="274"/>
      <c r="J5134" s="274" t="e">
        <f t="shared" ca="1" si="86"/>
        <v>#NAME?</v>
      </c>
      <c r="K5134" s="274">
        <f t="shared" si="87"/>
        <v>0</v>
      </c>
      <c r="N5134" s="274"/>
    </row>
    <row r="5135" spans="5:14" ht="13.5" customHeight="1">
      <c r="E5135" s="209" t="s">
        <v>1820</v>
      </c>
      <c r="F5135" s="209" t="s">
        <v>2961</v>
      </c>
      <c r="G5135" s="410" t="str">
        <f t="shared" si="85"/>
        <v>16-16</v>
      </c>
      <c r="H5135" s="273" t="e">
        <f ca="1">_xludf.IFNA(VLOOKUP(E5135,'Urban Plastix Holds'!$I$37:$U$705,8,0),0)</f>
        <v>#NAME?</v>
      </c>
      <c r="I5135" s="274"/>
      <c r="J5135" s="274" t="e">
        <f t="shared" ca="1" si="86"/>
        <v>#NAME?</v>
      </c>
      <c r="K5135" s="274">
        <f t="shared" si="87"/>
        <v>0</v>
      </c>
      <c r="N5135" s="274"/>
    </row>
    <row r="5136" spans="5:14" ht="13.5" customHeight="1">
      <c r="E5136" s="209" t="s">
        <v>1820</v>
      </c>
      <c r="F5136" s="209" t="s">
        <v>2961</v>
      </c>
      <c r="G5136" s="411" t="str">
        <f t="shared" si="85"/>
        <v>13-01</v>
      </c>
      <c r="H5136" s="273" t="e">
        <f ca="1">_xludf.IFNA(VLOOKUP(E5136,'Urban Plastix Holds'!$I$37:$U$705,9,0),0)</f>
        <v>#NAME?</v>
      </c>
      <c r="I5136" s="274"/>
      <c r="J5136" s="274" t="e">
        <f t="shared" ca="1" si="86"/>
        <v>#NAME?</v>
      </c>
      <c r="K5136" s="274">
        <f t="shared" si="87"/>
        <v>0</v>
      </c>
      <c r="N5136" s="274"/>
    </row>
    <row r="5137" spans="5:14" ht="13.5" customHeight="1">
      <c r="E5137" s="209" t="s">
        <v>1820</v>
      </c>
      <c r="F5137" s="209" t="s">
        <v>2961</v>
      </c>
      <c r="G5137" s="413" t="str">
        <f t="shared" si="85"/>
        <v>07-13</v>
      </c>
      <c r="H5137" s="273" t="e">
        <f ca="1">_xludf.IFNA(VLOOKUP(E5137,'Urban Plastix Holds'!$I$37:$U$705,10,0),0)</f>
        <v>#NAME?</v>
      </c>
      <c r="I5137" s="274"/>
      <c r="J5137" s="274" t="e">
        <f t="shared" ca="1" si="86"/>
        <v>#NAME?</v>
      </c>
      <c r="K5137" s="274">
        <f t="shared" si="87"/>
        <v>0</v>
      </c>
      <c r="N5137" s="274"/>
    </row>
    <row r="5138" spans="5:14" ht="13.5" customHeight="1">
      <c r="E5138" s="209" t="s">
        <v>1820</v>
      </c>
      <c r="F5138" s="209" t="s">
        <v>2961</v>
      </c>
      <c r="G5138" s="414" t="str">
        <f t="shared" si="85"/>
        <v>11-26</v>
      </c>
      <c r="H5138" s="273" t="e">
        <f ca="1">_xludf.IFNA(VLOOKUP(E5138,'Urban Plastix Holds'!$I$37:$U$705,11,0),0)</f>
        <v>#NAME?</v>
      </c>
      <c r="I5138" s="274"/>
      <c r="J5138" s="274" t="e">
        <f t="shared" ca="1" si="86"/>
        <v>#NAME?</v>
      </c>
      <c r="K5138" s="274">
        <f t="shared" si="87"/>
        <v>0</v>
      </c>
      <c r="N5138" s="274"/>
    </row>
    <row r="5139" spans="5:14" ht="13.5" customHeight="1">
      <c r="E5139" s="209" t="s">
        <v>1820</v>
      </c>
      <c r="F5139" s="209" t="s">
        <v>2961</v>
      </c>
      <c r="G5139" s="415" t="str">
        <f t="shared" si="85"/>
        <v>18-01</v>
      </c>
      <c r="H5139" s="273" t="e">
        <f ca="1">_xludf.IFNA(VLOOKUP(E5139,'Urban Plastix Holds'!$I$37:$U$705,12,0),0)</f>
        <v>#NAME?</v>
      </c>
      <c r="I5139" s="274"/>
      <c r="J5139" s="274" t="e">
        <f t="shared" ca="1" si="86"/>
        <v>#NAME?</v>
      </c>
      <c r="K5139" s="274">
        <f t="shared" si="87"/>
        <v>0</v>
      </c>
      <c r="N5139" s="274"/>
    </row>
    <row r="5140" spans="5:14" ht="13.5" customHeight="1">
      <c r="E5140" s="209" t="s">
        <v>1820</v>
      </c>
      <c r="F5140" s="209" t="s">
        <v>2961</v>
      </c>
      <c r="G5140" s="416" t="str">
        <f t="shared" si="85"/>
        <v>Color Code</v>
      </c>
      <c r="H5140" s="273" t="e">
        <f ca="1">_xludf.IFNA(VLOOKUP(E5140,'Urban Plastix Holds'!$I$37:$U$705,13,0),0)</f>
        <v>#NAME?</v>
      </c>
      <c r="I5140" s="274"/>
      <c r="J5140" s="274" t="e">
        <f t="shared" ca="1" si="86"/>
        <v>#NAME?</v>
      </c>
      <c r="K5140" s="274">
        <f t="shared" si="87"/>
        <v>0</v>
      </c>
      <c r="N5140" s="274"/>
    </row>
    <row r="5141" spans="5:14" ht="13.5" customHeight="1">
      <c r="E5141" s="209" t="s">
        <v>1477</v>
      </c>
      <c r="F5141" s="209" t="s">
        <v>2962</v>
      </c>
      <c r="G5141" s="406" t="str">
        <f t="shared" si="85"/>
        <v>11-12</v>
      </c>
      <c r="H5141" s="273" t="e">
        <f ca="1">_xludf.IFNA(VLOOKUP(E5141,'Urban Plastix Holds'!$I$37:$U$705,5,0),0)</f>
        <v>#NAME?</v>
      </c>
      <c r="I5141" s="274"/>
      <c r="J5141" s="274" t="e">
        <f t="shared" ca="1" si="86"/>
        <v>#NAME?</v>
      </c>
      <c r="K5141" s="274">
        <f t="shared" si="87"/>
        <v>0</v>
      </c>
      <c r="N5141" s="274"/>
    </row>
    <row r="5142" spans="5:14" ht="13.5" customHeight="1">
      <c r="E5142" s="209" t="s">
        <v>1477</v>
      </c>
      <c r="F5142" s="209" t="s">
        <v>2962</v>
      </c>
      <c r="G5142" s="408" t="str">
        <f t="shared" si="85"/>
        <v>14-01</v>
      </c>
      <c r="H5142" s="273" t="e">
        <f ca="1">_xludf.IFNA(VLOOKUP(E5142,'Urban Plastix Holds'!$I$37:$U$705,6,0),0)</f>
        <v>#NAME?</v>
      </c>
      <c r="I5142" s="274"/>
      <c r="J5142" s="274" t="e">
        <f t="shared" ca="1" si="86"/>
        <v>#NAME?</v>
      </c>
      <c r="K5142" s="274">
        <f t="shared" si="87"/>
        <v>0</v>
      </c>
      <c r="N5142" s="274"/>
    </row>
    <row r="5143" spans="5:14" ht="13.5" customHeight="1">
      <c r="E5143" s="209" t="s">
        <v>1477</v>
      </c>
      <c r="F5143" s="209" t="s">
        <v>2962</v>
      </c>
      <c r="G5143" s="409" t="str">
        <f t="shared" si="85"/>
        <v>15-12</v>
      </c>
      <c r="H5143" s="273" t="e">
        <f ca="1">_xludf.IFNA(VLOOKUP(E5143,'Urban Plastix Holds'!$I$37:$U$705,7,0),0)</f>
        <v>#NAME?</v>
      </c>
      <c r="I5143" s="274"/>
      <c r="J5143" s="274" t="e">
        <f t="shared" ca="1" si="86"/>
        <v>#NAME?</v>
      </c>
      <c r="K5143" s="274">
        <f t="shared" si="87"/>
        <v>0</v>
      </c>
      <c r="N5143" s="274"/>
    </row>
    <row r="5144" spans="5:14" ht="13.5" customHeight="1">
      <c r="E5144" s="209" t="s">
        <v>1477</v>
      </c>
      <c r="F5144" s="209" t="s">
        <v>2962</v>
      </c>
      <c r="G5144" s="410" t="str">
        <f t="shared" si="85"/>
        <v>16-16</v>
      </c>
      <c r="H5144" s="273" t="e">
        <f ca="1">_xludf.IFNA(VLOOKUP(E5144,'Urban Plastix Holds'!$I$37:$U$705,8,0),0)</f>
        <v>#NAME?</v>
      </c>
      <c r="I5144" s="274"/>
      <c r="J5144" s="274" t="e">
        <f t="shared" ca="1" si="86"/>
        <v>#NAME?</v>
      </c>
      <c r="K5144" s="274">
        <f t="shared" si="87"/>
        <v>0</v>
      </c>
      <c r="N5144" s="274"/>
    </row>
    <row r="5145" spans="5:14" ht="13.5" customHeight="1">
      <c r="E5145" s="209" t="s">
        <v>1477</v>
      </c>
      <c r="F5145" s="209" t="s">
        <v>2962</v>
      </c>
      <c r="G5145" s="411" t="str">
        <f t="shared" si="85"/>
        <v>13-01</v>
      </c>
      <c r="H5145" s="273" t="e">
        <f ca="1">_xludf.IFNA(VLOOKUP(E5145,'Urban Plastix Holds'!$I$37:$U$705,9,0),0)</f>
        <v>#NAME?</v>
      </c>
      <c r="I5145" s="274"/>
      <c r="J5145" s="274" t="e">
        <f t="shared" ca="1" si="86"/>
        <v>#NAME?</v>
      </c>
      <c r="K5145" s="274">
        <f t="shared" si="87"/>
        <v>0</v>
      </c>
      <c r="N5145" s="274"/>
    </row>
    <row r="5146" spans="5:14" ht="13.5" customHeight="1">
      <c r="E5146" s="209" t="s">
        <v>1477</v>
      </c>
      <c r="F5146" s="209" t="s">
        <v>2962</v>
      </c>
      <c r="G5146" s="413" t="str">
        <f t="shared" si="85"/>
        <v>07-13</v>
      </c>
      <c r="H5146" s="273" t="e">
        <f ca="1">_xludf.IFNA(VLOOKUP(E5146,'Urban Plastix Holds'!$I$37:$U$705,10,0),0)</f>
        <v>#NAME?</v>
      </c>
      <c r="I5146" s="274"/>
      <c r="J5146" s="274" t="e">
        <f t="shared" ca="1" si="86"/>
        <v>#NAME?</v>
      </c>
      <c r="K5146" s="274">
        <f t="shared" si="87"/>
        <v>0</v>
      </c>
      <c r="N5146" s="274"/>
    </row>
    <row r="5147" spans="5:14" ht="13.5" customHeight="1">
      <c r="E5147" s="209" t="s">
        <v>1477</v>
      </c>
      <c r="F5147" s="209" t="s">
        <v>2962</v>
      </c>
      <c r="G5147" s="414" t="str">
        <f t="shared" si="85"/>
        <v>11-26</v>
      </c>
      <c r="H5147" s="273" t="e">
        <f ca="1">_xludf.IFNA(VLOOKUP(E5147,'Urban Plastix Holds'!$I$37:$U$705,11,0),0)</f>
        <v>#NAME?</v>
      </c>
      <c r="I5147" s="274"/>
      <c r="J5147" s="274" t="e">
        <f t="shared" ca="1" si="86"/>
        <v>#NAME?</v>
      </c>
      <c r="K5147" s="274">
        <f t="shared" si="87"/>
        <v>0</v>
      </c>
      <c r="N5147" s="274"/>
    </row>
    <row r="5148" spans="5:14" ht="13.5" customHeight="1">
      <c r="E5148" s="209" t="s">
        <v>1477</v>
      </c>
      <c r="F5148" s="209" t="s">
        <v>2962</v>
      </c>
      <c r="G5148" s="415" t="str">
        <f t="shared" si="85"/>
        <v>18-01</v>
      </c>
      <c r="H5148" s="273" t="e">
        <f ca="1">_xludf.IFNA(VLOOKUP(E5148,'Urban Plastix Holds'!$I$37:$U$705,12,0),0)</f>
        <v>#NAME?</v>
      </c>
      <c r="I5148" s="274"/>
      <c r="J5148" s="274" t="e">
        <f t="shared" ca="1" si="86"/>
        <v>#NAME?</v>
      </c>
      <c r="K5148" s="274">
        <f t="shared" si="87"/>
        <v>0</v>
      </c>
      <c r="N5148" s="274"/>
    </row>
    <row r="5149" spans="5:14" ht="13.5" customHeight="1">
      <c r="E5149" s="209" t="s">
        <v>1477</v>
      </c>
      <c r="F5149" s="209" t="s">
        <v>2962</v>
      </c>
      <c r="G5149" s="416" t="str">
        <f t="shared" si="85"/>
        <v>Color Code</v>
      </c>
      <c r="H5149" s="273" t="e">
        <f ca="1">_xludf.IFNA(VLOOKUP(E5149,'Urban Plastix Holds'!$I$37:$U$705,13,0),0)</f>
        <v>#NAME?</v>
      </c>
      <c r="I5149" s="274"/>
      <c r="J5149" s="274" t="e">
        <f t="shared" ca="1" si="86"/>
        <v>#NAME?</v>
      </c>
      <c r="K5149" s="274">
        <f t="shared" si="87"/>
        <v>0</v>
      </c>
      <c r="N5149" s="274"/>
    </row>
    <row r="5150" spans="5:14" ht="13.5" customHeight="1">
      <c r="E5150" s="209" t="s">
        <v>1749</v>
      </c>
      <c r="F5150" s="209" t="s">
        <v>2963</v>
      </c>
      <c r="G5150" s="406" t="str">
        <f t="shared" si="85"/>
        <v>11-12</v>
      </c>
      <c r="H5150" s="273" t="e">
        <f ca="1">_xludf.IFNA(VLOOKUP(E5150,'Urban Plastix Holds'!$I$37:$U$705,5,0),0)</f>
        <v>#NAME?</v>
      </c>
      <c r="I5150" s="274"/>
      <c r="J5150" s="274" t="e">
        <f t="shared" ca="1" si="86"/>
        <v>#NAME?</v>
      </c>
      <c r="K5150" s="274">
        <f t="shared" si="87"/>
        <v>0</v>
      </c>
      <c r="N5150" s="274"/>
    </row>
    <row r="5151" spans="5:14" ht="13.5" customHeight="1">
      <c r="E5151" s="209" t="s">
        <v>1749</v>
      </c>
      <c r="F5151" s="209" t="s">
        <v>2963</v>
      </c>
      <c r="G5151" s="408" t="str">
        <f t="shared" si="85"/>
        <v>14-01</v>
      </c>
      <c r="H5151" s="273" t="e">
        <f ca="1">_xludf.IFNA(VLOOKUP(E5151,'Urban Plastix Holds'!$I$37:$U$705,6,0),0)</f>
        <v>#NAME?</v>
      </c>
      <c r="I5151" s="274"/>
      <c r="J5151" s="274" t="e">
        <f t="shared" ca="1" si="86"/>
        <v>#NAME?</v>
      </c>
      <c r="K5151" s="274">
        <f t="shared" si="87"/>
        <v>0</v>
      </c>
      <c r="N5151" s="274"/>
    </row>
    <row r="5152" spans="5:14" ht="13.5" customHeight="1">
      <c r="E5152" s="209" t="s">
        <v>1749</v>
      </c>
      <c r="F5152" s="209" t="s">
        <v>2963</v>
      </c>
      <c r="G5152" s="409" t="str">
        <f t="shared" si="85"/>
        <v>15-12</v>
      </c>
      <c r="H5152" s="273" t="e">
        <f ca="1">_xludf.IFNA(VLOOKUP(E5152,'Urban Plastix Holds'!$I$37:$U$705,7,0),0)</f>
        <v>#NAME?</v>
      </c>
      <c r="I5152" s="274"/>
      <c r="J5152" s="274" t="e">
        <f t="shared" ca="1" si="86"/>
        <v>#NAME?</v>
      </c>
      <c r="K5152" s="274">
        <f t="shared" si="87"/>
        <v>0</v>
      </c>
      <c r="N5152" s="274"/>
    </row>
    <row r="5153" spans="5:14" ht="13.5" customHeight="1">
      <c r="E5153" s="209" t="s">
        <v>1749</v>
      </c>
      <c r="F5153" s="209" t="s">
        <v>2963</v>
      </c>
      <c r="G5153" s="410" t="str">
        <f t="shared" si="85"/>
        <v>16-16</v>
      </c>
      <c r="H5153" s="273" t="e">
        <f ca="1">_xludf.IFNA(VLOOKUP(E5153,'Urban Plastix Holds'!$I$37:$U$705,8,0),0)</f>
        <v>#NAME?</v>
      </c>
      <c r="I5153" s="274"/>
      <c r="J5153" s="274" t="e">
        <f t="shared" ca="1" si="86"/>
        <v>#NAME?</v>
      </c>
      <c r="K5153" s="274">
        <f t="shared" si="87"/>
        <v>0</v>
      </c>
      <c r="N5153" s="274"/>
    </row>
    <row r="5154" spans="5:14" ht="13.5" customHeight="1">
      <c r="E5154" s="209" t="s">
        <v>1749</v>
      </c>
      <c r="F5154" s="209" t="s">
        <v>2963</v>
      </c>
      <c r="G5154" s="411" t="str">
        <f t="shared" si="85"/>
        <v>13-01</v>
      </c>
      <c r="H5154" s="273" t="e">
        <f ca="1">_xludf.IFNA(VLOOKUP(E5154,'Urban Plastix Holds'!$I$37:$U$705,9,0),0)</f>
        <v>#NAME?</v>
      </c>
      <c r="I5154" s="274"/>
      <c r="J5154" s="274" t="e">
        <f t="shared" ca="1" si="86"/>
        <v>#NAME?</v>
      </c>
      <c r="K5154" s="274">
        <f t="shared" si="87"/>
        <v>0</v>
      </c>
      <c r="N5154" s="274"/>
    </row>
    <row r="5155" spans="5:14" ht="13.5" customHeight="1">
      <c r="E5155" s="209" t="s">
        <v>1749</v>
      </c>
      <c r="F5155" s="209" t="s">
        <v>2963</v>
      </c>
      <c r="G5155" s="413" t="str">
        <f t="shared" si="85"/>
        <v>07-13</v>
      </c>
      <c r="H5155" s="273" t="e">
        <f ca="1">_xludf.IFNA(VLOOKUP(E5155,'Urban Plastix Holds'!$I$37:$U$705,10,0),0)</f>
        <v>#NAME?</v>
      </c>
      <c r="I5155" s="274"/>
      <c r="J5155" s="274" t="e">
        <f t="shared" ca="1" si="86"/>
        <v>#NAME?</v>
      </c>
      <c r="K5155" s="274">
        <f t="shared" si="87"/>
        <v>0</v>
      </c>
      <c r="N5155" s="274"/>
    </row>
    <row r="5156" spans="5:14" ht="13.5" customHeight="1">
      <c r="E5156" s="209" t="s">
        <v>1749</v>
      </c>
      <c r="F5156" s="209" t="s">
        <v>2963</v>
      </c>
      <c r="G5156" s="414" t="str">
        <f t="shared" si="85"/>
        <v>11-26</v>
      </c>
      <c r="H5156" s="273" t="e">
        <f ca="1">_xludf.IFNA(VLOOKUP(E5156,'Urban Plastix Holds'!$I$37:$U$705,11,0),0)</f>
        <v>#NAME?</v>
      </c>
      <c r="I5156" s="274"/>
      <c r="J5156" s="274" t="e">
        <f t="shared" ca="1" si="86"/>
        <v>#NAME?</v>
      </c>
      <c r="K5156" s="274">
        <f t="shared" si="87"/>
        <v>0</v>
      </c>
      <c r="N5156" s="274"/>
    </row>
    <row r="5157" spans="5:14" ht="13.5" customHeight="1">
      <c r="E5157" s="209" t="s">
        <v>1749</v>
      </c>
      <c r="F5157" s="209" t="s">
        <v>2963</v>
      </c>
      <c r="G5157" s="415" t="str">
        <f t="shared" si="85"/>
        <v>18-01</v>
      </c>
      <c r="H5157" s="273" t="e">
        <f ca="1">_xludf.IFNA(VLOOKUP(E5157,'Urban Plastix Holds'!$I$37:$U$705,12,0),0)</f>
        <v>#NAME?</v>
      </c>
      <c r="I5157" s="274"/>
      <c r="J5157" s="274" t="e">
        <f t="shared" ca="1" si="86"/>
        <v>#NAME?</v>
      </c>
      <c r="K5157" s="274">
        <f t="shared" si="87"/>
        <v>0</v>
      </c>
      <c r="N5157" s="274"/>
    </row>
    <row r="5158" spans="5:14" ht="13.5" customHeight="1">
      <c r="E5158" s="209" t="s">
        <v>1749</v>
      </c>
      <c r="F5158" s="209" t="s">
        <v>2963</v>
      </c>
      <c r="G5158" s="416" t="str">
        <f t="shared" si="85"/>
        <v>Color Code</v>
      </c>
      <c r="H5158" s="273" t="e">
        <f ca="1">_xludf.IFNA(VLOOKUP(E5158,'Urban Plastix Holds'!$I$37:$U$705,13,0),0)</f>
        <v>#NAME?</v>
      </c>
      <c r="I5158" s="274"/>
      <c r="J5158" s="274" t="e">
        <f t="shared" ca="1" si="86"/>
        <v>#NAME?</v>
      </c>
      <c r="K5158" s="274">
        <f t="shared" si="87"/>
        <v>0</v>
      </c>
      <c r="N5158" s="274"/>
    </row>
    <row r="5159" spans="5:14" ht="13.5" customHeight="1">
      <c r="E5159" s="209" t="s">
        <v>1845</v>
      </c>
      <c r="F5159" s="209" t="s">
        <v>2964</v>
      </c>
      <c r="G5159" s="406" t="str">
        <f t="shared" si="85"/>
        <v>11-12</v>
      </c>
      <c r="H5159" s="273" t="e">
        <f ca="1">_xludf.IFNA(VLOOKUP(E5159,'Urban Plastix Holds'!$I$37:$U$705,5,0),0)</f>
        <v>#NAME?</v>
      </c>
      <c r="I5159" s="274"/>
      <c r="J5159" s="274" t="e">
        <f t="shared" ca="1" si="86"/>
        <v>#NAME?</v>
      </c>
      <c r="K5159" s="274">
        <f t="shared" si="87"/>
        <v>0</v>
      </c>
      <c r="N5159" s="274"/>
    </row>
    <row r="5160" spans="5:14" ht="13.5" customHeight="1">
      <c r="E5160" s="209" t="s">
        <v>1845</v>
      </c>
      <c r="F5160" s="209" t="s">
        <v>2964</v>
      </c>
      <c r="G5160" s="408" t="str">
        <f t="shared" si="85"/>
        <v>14-01</v>
      </c>
      <c r="H5160" s="273" t="e">
        <f ca="1">_xludf.IFNA(VLOOKUP(E5160,'Urban Plastix Holds'!$I$37:$U$705,6,0),0)</f>
        <v>#NAME?</v>
      </c>
      <c r="I5160" s="274"/>
      <c r="J5160" s="274" t="e">
        <f t="shared" ca="1" si="86"/>
        <v>#NAME?</v>
      </c>
      <c r="K5160" s="274">
        <f t="shared" si="87"/>
        <v>0</v>
      </c>
      <c r="N5160" s="274"/>
    </row>
    <row r="5161" spans="5:14" ht="13.5" customHeight="1">
      <c r="E5161" s="209" t="s">
        <v>1845</v>
      </c>
      <c r="F5161" s="209" t="s">
        <v>2964</v>
      </c>
      <c r="G5161" s="409" t="str">
        <f t="shared" si="85"/>
        <v>15-12</v>
      </c>
      <c r="H5161" s="273" t="e">
        <f ca="1">_xludf.IFNA(VLOOKUP(E5161,'Urban Plastix Holds'!$I$37:$U$705,7,0),0)</f>
        <v>#NAME?</v>
      </c>
      <c r="I5161" s="274"/>
      <c r="J5161" s="274" t="e">
        <f t="shared" ca="1" si="86"/>
        <v>#NAME?</v>
      </c>
      <c r="K5161" s="274">
        <f t="shared" si="87"/>
        <v>0</v>
      </c>
      <c r="N5161" s="274"/>
    </row>
    <row r="5162" spans="5:14" ht="13.5" customHeight="1">
      <c r="E5162" s="209" t="s">
        <v>1845</v>
      </c>
      <c r="F5162" s="209" t="s">
        <v>2964</v>
      </c>
      <c r="G5162" s="410" t="str">
        <f t="shared" si="85"/>
        <v>16-16</v>
      </c>
      <c r="H5162" s="273" t="e">
        <f ca="1">_xludf.IFNA(VLOOKUP(E5162,'Urban Plastix Holds'!$I$37:$U$705,8,0),0)</f>
        <v>#NAME?</v>
      </c>
      <c r="I5162" s="274"/>
      <c r="J5162" s="274" t="e">
        <f t="shared" ca="1" si="86"/>
        <v>#NAME?</v>
      </c>
      <c r="K5162" s="274">
        <f t="shared" si="87"/>
        <v>0</v>
      </c>
      <c r="N5162" s="274"/>
    </row>
    <row r="5163" spans="5:14" ht="13.5" customHeight="1">
      <c r="E5163" s="209" t="s">
        <v>1845</v>
      </c>
      <c r="F5163" s="209" t="s">
        <v>2964</v>
      </c>
      <c r="G5163" s="411" t="str">
        <f t="shared" si="85"/>
        <v>13-01</v>
      </c>
      <c r="H5163" s="273" t="e">
        <f ca="1">_xludf.IFNA(VLOOKUP(E5163,'Urban Plastix Holds'!$I$37:$U$705,9,0),0)</f>
        <v>#NAME?</v>
      </c>
      <c r="I5163" s="274"/>
      <c r="J5163" s="274" t="e">
        <f t="shared" ca="1" si="86"/>
        <v>#NAME?</v>
      </c>
      <c r="K5163" s="274">
        <f t="shared" si="87"/>
        <v>0</v>
      </c>
      <c r="N5163" s="274"/>
    </row>
    <row r="5164" spans="5:14" ht="13.5" customHeight="1">
      <c r="E5164" s="209" t="s">
        <v>1845</v>
      </c>
      <c r="F5164" s="209" t="s">
        <v>2964</v>
      </c>
      <c r="G5164" s="413" t="str">
        <f t="shared" si="85"/>
        <v>07-13</v>
      </c>
      <c r="H5164" s="273" t="e">
        <f ca="1">_xludf.IFNA(VLOOKUP(E5164,'Urban Plastix Holds'!$I$37:$U$705,10,0),0)</f>
        <v>#NAME?</v>
      </c>
      <c r="I5164" s="274"/>
      <c r="J5164" s="274" t="e">
        <f t="shared" ca="1" si="86"/>
        <v>#NAME?</v>
      </c>
      <c r="K5164" s="274">
        <f t="shared" si="87"/>
        <v>0</v>
      </c>
      <c r="N5164" s="274"/>
    </row>
    <row r="5165" spans="5:14" ht="13.5" customHeight="1">
      <c r="E5165" s="209" t="s">
        <v>1845</v>
      </c>
      <c r="F5165" s="209" t="s">
        <v>2964</v>
      </c>
      <c r="G5165" s="414" t="str">
        <f t="shared" si="85"/>
        <v>11-26</v>
      </c>
      <c r="H5165" s="273" t="e">
        <f ca="1">_xludf.IFNA(VLOOKUP(E5165,'Urban Plastix Holds'!$I$37:$U$705,11,0),0)</f>
        <v>#NAME?</v>
      </c>
      <c r="I5165" s="274"/>
      <c r="J5165" s="274" t="e">
        <f t="shared" ca="1" si="86"/>
        <v>#NAME?</v>
      </c>
      <c r="K5165" s="274">
        <f t="shared" si="87"/>
        <v>0</v>
      </c>
      <c r="N5165" s="274"/>
    </row>
    <row r="5166" spans="5:14" ht="13.5" customHeight="1">
      <c r="E5166" s="209" t="s">
        <v>1845</v>
      </c>
      <c r="F5166" s="209" t="s">
        <v>2964</v>
      </c>
      <c r="G5166" s="415" t="str">
        <f t="shared" si="85"/>
        <v>18-01</v>
      </c>
      <c r="H5166" s="273" t="e">
        <f ca="1">_xludf.IFNA(VLOOKUP(E5166,'Urban Plastix Holds'!$I$37:$U$705,12,0),0)</f>
        <v>#NAME?</v>
      </c>
      <c r="I5166" s="274"/>
      <c r="J5166" s="274" t="e">
        <f t="shared" ca="1" si="86"/>
        <v>#NAME?</v>
      </c>
      <c r="K5166" s="274">
        <f t="shared" si="87"/>
        <v>0</v>
      </c>
      <c r="N5166" s="274"/>
    </row>
    <row r="5167" spans="5:14" ht="13.5" customHeight="1">
      <c r="E5167" s="209" t="s">
        <v>1845</v>
      </c>
      <c r="F5167" s="209" t="s">
        <v>2964</v>
      </c>
      <c r="G5167" s="416" t="str">
        <f t="shared" si="85"/>
        <v>Color Code</v>
      </c>
      <c r="H5167" s="273" t="e">
        <f ca="1">_xludf.IFNA(VLOOKUP(E5167,'Urban Plastix Holds'!$I$37:$U$705,13,0),0)</f>
        <v>#NAME?</v>
      </c>
      <c r="I5167" s="274"/>
      <c r="J5167" s="274" t="e">
        <f t="shared" ca="1" si="86"/>
        <v>#NAME?</v>
      </c>
      <c r="K5167" s="274">
        <f t="shared" si="87"/>
        <v>0</v>
      </c>
      <c r="N5167" s="274"/>
    </row>
    <row r="5168" spans="5:14" ht="13.5" customHeight="1">
      <c r="E5168" s="209" t="s">
        <v>1812</v>
      </c>
      <c r="F5168" s="209" t="s">
        <v>2965</v>
      </c>
      <c r="G5168" s="406" t="str">
        <f t="shared" si="85"/>
        <v>11-12</v>
      </c>
      <c r="H5168" s="273" t="e">
        <f ca="1">_xludf.IFNA(VLOOKUP(E5168,'Urban Plastix Holds'!$I$37:$U$705,5,0),0)</f>
        <v>#NAME?</v>
      </c>
      <c r="I5168" s="274"/>
      <c r="J5168" s="274" t="e">
        <f t="shared" ca="1" si="86"/>
        <v>#NAME?</v>
      </c>
      <c r="K5168" s="274">
        <f t="shared" si="87"/>
        <v>0</v>
      </c>
      <c r="N5168" s="274"/>
    </row>
    <row r="5169" spans="5:14" ht="13.5" customHeight="1">
      <c r="E5169" s="209" t="s">
        <v>1812</v>
      </c>
      <c r="F5169" s="209" t="s">
        <v>2965</v>
      </c>
      <c r="G5169" s="408" t="str">
        <f t="shared" si="85"/>
        <v>14-01</v>
      </c>
      <c r="H5169" s="273" t="e">
        <f ca="1">_xludf.IFNA(VLOOKUP(E5169,'Urban Plastix Holds'!$I$37:$U$705,6,0),0)</f>
        <v>#NAME?</v>
      </c>
      <c r="I5169" s="274"/>
      <c r="J5169" s="274" t="e">
        <f t="shared" ca="1" si="86"/>
        <v>#NAME?</v>
      </c>
      <c r="K5169" s="274">
        <f t="shared" si="87"/>
        <v>0</v>
      </c>
      <c r="N5169" s="274"/>
    </row>
    <row r="5170" spans="5:14" ht="13.5" customHeight="1">
      <c r="E5170" s="209" t="s">
        <v>1812</v>
      </c>
      <c r="F5170" s="209" t="s">
        <v>2965</v>
      </c>
      <c r="G5170" s="409" t="str">
        <f t="shared" si="85"/>
        <v>15-12</v>
      </c>
      <c r="H5170" s="273" t="e">
        <f ca="1">_xludf.IFNA(VLOOKUP(E5170,'Urban Plastix Holds'!$I$37:$U$705,7,0),0)</f>
        <v>#NAME?</v>
      </c>
      <c r="I5170" s="274"/>
      <c r="J5170" s="274" t="e">
        <f t="shared" ca="1" si="86"/>
        <v>#NAME?</v>
      </c>
      <c r="K5170" s="274">
        <f t="shared" si="87"/>
        <v>0</v>
      </c>
      <c r="N5170" s="274"/>
    </row>
    <row r="5171" spans="5:14" ht="13.5" customHeight="1">
      <c r="E5171" s="209" t="s">
        <v>1812</v>
      </c>
      <c r="F5171" s="209" t="s">
        <v>2965</v>
      </c>
      <c r="G5171" s="410" t="str">
        <f t="shared" si="85"/>
        <v>16-16</v>
      </c>
      <c r="H5171" s="273" t="e">
        <f ca="1">_xludf.IFNA(VLOOKUP(E5171,'Urban Plastix Holds'!$I$37:$U$705,8,0),0)</f>
        <v>#NAME?</v>
      </c>
      <c r="I5171" s="274"/>
      <c r="J5171" s="274" t="e">
        <f t="shared" ca="1" si="86"/>
        <v>#NAME?</v>
      </c>
      <c r="K5171" s="274">
        <f t="shared" si="87"/>
        <v>0</v>
      </c>
      <c r="N5171" s="274"/>
    </row>
    <row r="5172" spans="5:14" ht="13.5" customHeight="1">
      <c r="E5172" s="209" t="s">
        <v>1812</v>
      </c>
      <c r="F5172" s="209" t="s">
        <v>2965</v>
      </c>
      <c r="G5172" s="411" t="str">
        <f t="shared" si="85"/>
        <v>13-01</v>
      </c>
      <c r="H5172" s="273" t="e">
        <f ca="1">_xludf.IFNA(VLOOKUP(E5172,'Urban Plastix Holds'!$I$37:$U$705,9,0),0)</f>
        <v>#NAME?</v>
      </c>
      <c r="I5172" s="274"/>
      <c r="J5172" s="274" t="e">
        <f t="shared" ca="1" si="86"/>
        <v>#NAME?</v>
      </c>
      <c r="K5172" s="274">
        <f t="shared" si="87"/>
        <v>0</v>
      </c>
      <c r="N5172" s="274"/>
    </row>
    <row r="5173" spans="5:14" ht="13.5" customHeight="1">
      <c r="E5173" s="209" t="s">
        <v>1812</v>
      </c>
      <c r="F5173" s="209" t="s">
        <v>2965</v>
      </c>
      <c r="G5173" s="413" t="str">
        <f t="shared" si="85"/>
        <v>07-13</v>
      </c>
      <c r="H5173" s="273" t="e">
        <f ca="1">_xludf.IFNA(VLOOKUP(E5173,'Urban Plastix Holds'!$I$37:$U$705,10,0),0)</f>
        <v>#NAME?</v>
      </c>
      <c r="I5173" s="274"/>
      <c r="J5173" s="274" t="e">
        <f t="shared" ca="1" si="86"/>
        <v>#NAME?</v>
      </c>
      <c r="K5173" s="274">
        <f t="shared" si="87"/>
        <v>0</v>
      </c>
      <c r="N5173" s="274"/>
    </row>
    <row r="5174" spans="5:14" ht="13.5" customHeight="1">
      <c r="E5174" s="209" t="s">
        <v>1812</v>
      </c>
      <c r="F5174" s="209" t="s">
        <v>2965</v>
      </c>
      <c r="G5174" s="414" t="str">
        <f t="shared" si="85"/>
        <v>11-26</v>
      </c>
      <c r="H5174" s="273" t="e">
        <f ca="1">_xludf.IFNA(VLOOKUP(E5174,'Urban Plastix Holds'!$I$37:$U$705,11,0),0)</f>
        <v>#NAME?</v>
      </c>
      <c r="I5174" s="274"/>
      <c r="J5174" s="274" t="e">
        <f t="shared" ca="1" si="86"/>
        <v>#NAME?</v>
      </c>
      <c r="K5174" s="274">
        <f t="shared" si="87"/>
        <v>0</v>
      </c>
      <c r="N5174" s="274"/>
    </row>
    <row r="5175" spans="5:14" ht="13.5" customHeight="1">
      <c r="E5175" s="209" t="s">
        <v>1812</v>
      </c>
      <c r="F5175" s="209" t="s">
        <v>2965</v>
      </c>
      <c r="G5175" s="415" t="str">
        <f t="shared" si="85"/>
        <v>18-01</v>
      </c>
      <c r="H5175" s="273" t="e">
        <f ca="1">_xludf.IFNA(VLOOKUP(E5175,'Urban Plastix Holds'!$I$37:$U$705,12,0),0)</f>
        <v>#NAME?</v>
      </c>
      <c r="I5175" s="274"/>
      <c r="J5175" s="274" t="e">
        <f t="shared" ca="1" si="86"/>
        <v>#NAME?</v>
      </c>
      <c r="K5175" s="274">
        <f t="shared" si="87"/>
        <v>0</v>
      </c>
      <c r="N5175" s="274"/>
    </row>
    <row r="5176" spans="5:14" ht="13.5" customHeight="1">
      <c r="E5176" s="209" t="s">
        <v>1812</v>
      </c>
      <c r="F5176" s="209" t="s">
        <v>2965</v>
      </c>
      <c r="G5176" s="416" t="str">
        <f t="shared" si="85"/>
        <v>Color Code</v>
      </c>
      <c r="H5176" s="273" t="e">
        <f ca="1">_xludf.IFNA(VLOOKUP(E5176,'Urban Plastix Holds'!$I$37:$U$705,13,0),0)</f>
        <v>#NAME?</v>
      </c>
      <c r="I5176" s="274"/>
      <c r="J5176" s="274" t="e">
        <f t="shared" ca="1" si="86"/>
        <v>#NAME?</v>
      </c>
      <c r="K5176" s="274">
        <f t="shared" si="87"/>
        <v>0</v>
      </c>
      <c r="N5176" s="274"/>
    </row>
    <row r="5177" spans="5:14" ht="13.5" customHeight="1">
      <c r="E5177" s="209" t="s">
        <v>1843</v>
      </c>
      <c r="F5177" s="209" t="s">
        <v>2966</v>
      </c>
      <c r="G5177" s="406" t="str">
        <f t="shared" si="85"/>
        <v>11-12</v>
      </c>
      <c r="H5177" s="273" t="e">
        <f ca="1">_xludf.IFNA(VLOOKUP(E5177,'Urban Plastix Holds'!$I$37:$U$705,5,0),0)</f>
        <v>#NAME?</v>
      </c>
      <c r="I5177" s="274"/>
      <c r="J5177" s="274" t="e">
        <f t="shared" ca="1" si="86"/>
        <v>#NAME?</v>
      </c>
      <c r="K5177" s="274">
        <f t="shared" si="87"/>
        <v>0</v>
      </c>
      <c r="N5177" s="274"/>
    </row>
    <row r="5178" spans="5:14" ht="13.5" customHeight="1">
      <c r="E5178" s="209" t="s">
        <v>1843</v>
      </c>
      <c r="F5178" s="209" t="s">
        <v>2966</v>
      </c>
      <c r="G5178" s="408" t="str">
        <f t="shared" si="85"/>
        <v>14-01</v>
      </c>
      <c r="H5178" s="273" t="e">
        <f ca="1">_xludf.IFNA(VLOOKUP(E5178,'Urban Plastix Holds'!$I$37:$U$705,6,0),0)</f>
        <v>#NAME?</v>
      </c>
      <c r="I5178" s="274"/>
      <c r="J5178" s="274" t="e">
        <f t="shared" ca="1" si="86"/>
        <v>#NAME?</v>
      </c>
      <c r="K5178" s="274">
        <f t="shared" si="87"/>
        <v>0</v>
      </c>
      <c r="N5178" s="274"/>
    </row>
    <row r="5179" spans="5:14" ht="13.5" customHeight="1">
      <c r="E5179" s="209" t="s">
        <v>1843</v>
      </c>
      <c r="F5179" s="209" t="s">
        <v>2966</v>
      </c>
      <c r="G5179" s="409" t="str">
        <f t="shared" si="85"/>
        <v>15-12</v>
      </c>
      <c r="H5179" s="273" t="e">
        <f ca="1">_xludf.IFNA(VLOOKUP(E5179,'Urban Plastix Holds'!$I$37:$U$705,7,0),0)</f>
        <v>#NAME?</v>
      </c>
      <c r="I5179" s="274"/>
      <c r="J5179" s="274" t="e">
        <f t="shared" ca="1" si="86"/>
        <v>#NAME?</v>
      </c>
      <c r="K5179" s="274">
        <f t="shared" si="87"/>
        <v>0</v>
      </c>
      <c r="N5179" s="274"/>
    </row>
    <row r="5180" spans="5:14" ht="13.5" customHeight="1">
      <c r="E5180" s="209" t="s">
        <v>1843</v>
      </c>
      <c r="F5180" s="209" t="s">
        <v>2966</v>
      </c>
      <c r="G5180" s="410" t="str">
        <f t="shared" si="85"/>
        <v>16-16</v>
      </c>
      <c r="H5180" s="273" t="e">
        <f ca="1">_xludf.IFNA(VLOOKUP(E5180,'Urban Plastix Holds'!$I$37:$U$705,8,0),0)</f>
        <v>#NAME?</v>
      </c>
      <c r="I5180" s="274"/>
      <c r="J5180" s="274" t="e">
        <f t="shared" ca="1" si="86"/>
        <v>#NAME?</v>
      </c>
      <c r="K5180" s="274">
        <f t="shared" si="87"/>
        <v>0</v>
      </c>
      <c r="N5180" s="274"/>
    </row>
    <row r="5181" spans="5:14" ht="13.5" customHeight="1">
      <c r="E5181" s="209" t="s">
        <v>1843</v>
      </c>
      <c r="F5181" s="209" t="s">
        <v>2966</v>
      </c>
      <c r="G5181" s="411" t="str">
        <f t="shared" si="85"/>
        <v>13-01</v>
      </c>
      <c r="H5181" s="273" t="e">
        <f ca="1">_xludf.IFNA(VLOOKUP(E5181,'Urban Plastix Holds'!$I$37:$U$705,9,0),0)</f>
        <v>#NAME?</v>
      </c>
      <c r="I5181" s="274"/>
      <c r="J5181" s="274" t="e">
        <f t="shared" ca="1" si="86"/>
        <v>#NAME?</v>
      </c>
      <c r="K5181" s="274">
        <f t="shared" si="87"/>
        <v>0</v>
      </c>
      <c r="N5181" s="274"/>
    </row>
    <row r="5182" spans="5:14" ht="13.5" customHeight="1">
      <c r="E5182" s="209" t="s">
        <v>1843</v>
      </c>
      <c r="F5182" s="209" t="s">
        <v>2966</v>
      </c>
      <c r="G5182" s="413" t="str">
        <f t="shared" si="85"/>
        <v>07-13</v>
      </c>
      <c r="H5182" s="273" t="e">
        <f ca="1">_xludf.IFNA(VLOOKUP(E5182,'Urban Plastix Holds'!$I$37:$U$705,10,0),0)</f>
        <v>#NAME?</v>
      </c>
      <c r="I5182" s="274"/>
      <c r="J5182" s="274" t="e">
        <f t="shared" ca="1" si="86"/>
        <v>#NAME?</v>
      </c>
      <c r="K5182" s="274">
        <f t="shared" si="87"/>
        <v>0</v>
      </c>
      <c r="N5182" s="274"/>
    </row>
    <row r="5183" spans="5:14" ht="13.5" customHeight="1">
      <c r="E5183" s="209" t="s">
        <v>1843</v>
      </c>
      <c r="F5183" s="209" t="s">
        <v>2966</v>
      </c>
      <c r="G5183" s="414" t="str">
        <f t="shared" si="85"/>
        <v>11-26</v>
      </c>
      <c r="H5183" s="273" t="e">
        <f ca="1">_xludf.IFNA(VLOOKUP(E5183,'Urban Plastix Holds'!$I$37:$U$705,11,0),0)</f>
        <v>#NAME?</v>
      </c>
      <c r="I5183" s="274"/>
      <c r="J5183" s="274" t="e">
        <f t="shared" ca="1" si="86"/>
        <v>#NAME?</v>
      </c>
      <c r="K5183" s="274">
        <f t="shared" si="87"/>
        <v>0</v>
      </c>
      <c r="N5183" s="274"/>
    </row>
    <row r="5184" spans="5:14" ht="13.5" customHeight="1">
      <c r="E5184" s="209" t="s">
        <v>1843</v>
      </c>
      <c r="F5184" s="209" t="s">
        <v>2966</v>
      </c>
      <c r="G5184" s="415" t="str">
        <f t="shared" si="85"/>
        <v>18-01</v>
      </c>
      <c r="H5184" s="273" t="e">
        <f ca="1">_xludf.IFNA(VLOOKUP(E5184,'Urban Plastix Holds'!$I$37:$U$705,12,0),0)</f>
        <v>#NAME?</v>
      </c>
      <c r="I5184" s="274"/>
      <c r="J5184" s="274" t="e">
        <f t="shared" ca="1" si="86"/>
        <v>#NAME?</v>
      </c>
      <c r="K5184" s="274">
        <f t="shared" si="87"/>
        <v>0</v>
      </c>
      <c r="N5184" s="274"/>
    </row>
    <row r="5185" spans="5:14" ht="13.5" customHeight="1">
      <c r="E5185" s="209" t="s">
        <v>1843</v>
      </c>
      <c r="F5185" s="209" t="s">
        <v>2966</v>
      </c>
      <c r="G5185" s="416" t="str">
        <f t="shared" si="85"/>
        <v>Color Code</v>
      </c>
      <c r="H5185" s="273" t="e">
        <f ca="1">_xludf.IFNA(VLOOKUP(E5185,'Urban Plastix Holds'!$I$37:$U$705,13,0),0)</f>
        <v>#NAME?</v>
      </c>
      <c r="I5185" s="274"/>
      <c r="J5185" s="274" t="e">
        <f t="shared" ca="1" si="86"/>
        <v>#NAME?</v>
      </c>
      <c r="K5185" s="274">
        <f t="shared" si="87"/>
        <v>0</v>
      </c>
      <c r="N5185" s="274"/>
    </row>
    <row r="5186" spans="5:14" ht="13.5" customHeight="1">
      <c r="E5186" s="209" t="s">
        <v>1832</v>
      </c>
      <c r="F5186" s="209" t="s">
        <v>2967</v>
      </c>
      <c r="G5186" s="406" t="str">
        <f t="shared" si="85"/>
        <v>11-12</v>
      </c>
      <c r="H5186" s="273" t="e">
        <f ca="1">_xludf.IFNA(VLOOKUP(E5186,'Urban Plastix Holds'!$I$37:$U$705,5,0),0)</f>
        <v>#NAME?</v>
      </c>
      <c r="I5186" s="274"/>
      <c r="J5186" s="274" t="e">
        <f t="shared" ca="1" si="86"/>
        <v>#NAME?</v>
      </c>
      <c r="K5186" s="274">
        <f t="shared" si="87"/>
        <v>0</v>
      </c>
      <c r="N5186" s="274"/>
    </row>
    <row r="5187" spans="5:14" ht="13.5" customHeight="1">
      <c r="E5187" s="209" t="s">
        <v>1832</v>
      </c>
      <c r="F5187" s="209" t="s">
        <v>2967</v>
      </c>
      <c r="G5187" s="408" t="str">
        <f t="shared" si="85"/>
        <v>14-01</v>
      </c>
      <c r="H5187" s="273" t="e">
        <f ca="1">_xludf.IFNA(VLOOKUP(E5187,'Urban Plastix Holds'!$I$37:$U$705,6,0),0)</f>
        <v>#NAME?</v>
      </c>
      <c r="I5187" s="274"/>
      <c r="J5187" s="274" t="e">
        <f t="shared" ca="1" si="86"/>
        <v>#NAME?</v>
      </c>
      <c r="K5187" s="274">
        <f t="shared" si="87"/>
        <v>0</v>
      </c>
      <c r="N5187" s="274"/>
    </row>
    <row r="5188" spans="5:14" ht="13.5" customHeight="1">
      <c r="E5188" s="209" t="s">
        <v>1832</v>
      </c>
      <c r="F5188" s="209" t="s">
        <v>2967</v>
      </c>
      <c r="G5188" s="409" t="str">
        <f t="shared" si="85"/>
        <v>15-12</v>
      </c>
      <c r="H5188" s="273" t="e">
        <f ca="1">_xludf.IFNA(VLOOKUP(E5188,'Urban Plastix Holds'!$I$37:$U$705,7,0),0)</f>
        <v>#NAME?</v>
      </c>
      <c r="I5188" s="274"/>
      <c r="J5188" s="274" t="e">
        <f t="shared" ca="1" si="86"/>
        <v>#NAME?</v>
      </c>
      <c r="K5188" s="274">
        <f t="shared" si="87"/>
        <v>0</v>
      </c>
      <c r="N5188" s="274"/>
    </row>
    <row r="5189" spans="5:14" ht="13.5" customHeight="1">
      <c r="E5189" s="209" t="s">
        <v>1832</v>
      </c>
      <c r="F5189" s="209" t="s">
        <v>2967</v>
      </c>
      <c r="G5189" s="410" t="str">
        <f t="shared" si="85"/>
        <v>16-16</v>
      </c>
      <c r="H5189" s="273" t="e">
        <f ca="1">_xludf.IFNA(VLOOKUP(E5189,'Urban Plastix Holds'!$I$37:$U$705,8,0),0)</f>
        <v>#NAME?</v>
      </c>
      <c r="I5189" s="274"/>
      <c r="J5189" s="274" t="e">
        <f t="shared" ca="1" si="86"/>
        <v>#NAME?</v>
      </c>
      <c r="K5189" s="274">
        <f t="shared" si="87"/>
        <v>0</v>
      </c>
      <c r="N5189" s="274"/>
    </row>
    <row r="5190" spans="5:14" ht="13.5" customHeight="1">
      <c r="E5190" s="209" t="s">
        <v>1832</v>
      </c>
      <c r="F5190" s="209" t="s">
        <v>2967</v>
      </c>
      <c r="G5190" s="411" t="str">
        <f t="shared" si="85"/>
        <v>13-01</v>
      </c>
      <c r="H5190" s="273" t="e">
        <f ca="1">_xludf.IFNA(VLOOKUP(E5190,'Urban Plastix Holds'!$I$37:$U$705,9,0),0)</f>
        <v>#NAME?</v>
      </c>
      <c r="I5190" s="274"/>
      <c r="J5190" s="274" t="e">
        <f t="shared" ca="1" si="86"/>
        <v>#NAME?</v>
      </c>
      <c r="K5190" s="274">
        <f t="shared" si="87"/>
        <v>0</v>
      </c>
      <c r="N5190" s="274"/>
    </row>
    <row r="5191" spans="5:14" ht="13.5" customHeight="1">
      <c r="E5191" s="209" t="s">
        <v>1832</v>
      </c>
      <c r="F5191" s="209" t="s">
        <v>2967</v>
      </c>
      <c r="G5191" s="413" t="str">
        <f t="shared" si="85"/>
        <v>07-13</v>
      </c>
      <c r="H5191" s="273" t="e">
        <f ca="1">_xludf.IFNA(VLOOKUP(E5191,'Urban Plastix Holds'!$I$37:$U$705,10,0),0)</f>
        <v>#NAME?</v>
      </c>
      <c r="I5191" s="274"/>
      <c r="J5191" s="274" t="e">
        <f t="shared" ca="1" si="86"/>
        <v>#NAME?</v>
      </c>
      <c r="K5191" s="274">
        <f t="shared" si="87"/>
        <v>0</v>
      </c>
      <c r="N5191" s="274"/>
    </row>
    <row r="5192" spans="5:14" ht="13.5" customHeight="1">
      <c r="E5192" s="209" t="s">
        <v>1832</v>
      </c>
      <c r="F5192" s="209" t="s">
        <v>2967</v>
      </c>
      <c r="G5192" s="414" t="str">
        <f t="shared" si="85"/>
        <v>11-26</v>
      </c>
      <c r="H5192" s="273" t="e">
        <f ca="1">_xludf.IFNA(VLOOKUP(E5192,'Urban Plastix Holds'!$I$37:$U$705,11,0),0)</f>
        <v>#NAME?</v>
      </c>
      <c r="I5192" s="274"/>
      <c r="J5192" s="274" t="e">
        <f t="shared" ca="1" si="86"/>
        <v>#NAME?</v>
      </c>
      <c r="K5192" s="274">
        <f t="shared" si="87"/>
        <v>0</v>
      </c>
      <c r="N5192" s="274"/>
    </row>
    <row r="5193" spans="5:14" ht="13.5" customHeight="1">
      <c r="E5193" s="209" t="s">
        <v>1832</v>
      </c>
      <c r="F5193" s="209" t="s">
        <v>2967</v>
      </c>
      <c r="G5193" s="415" t="str">
        <f t="shared" si="85"/>
        <v>18-01</v>
      </c>
      <c r="H5193" s="273" t="e">
        <f ca="1">_xludf.IFNA(VLOOKUP(E5193,'Urban Plastix Holds'!$I$37:$U$705,12,0),0)</f>
        <v>#NAME?</v>
      </c>
      <c r="I5193" s="274"/>
      <c r="J5193" s="274" t="e">
        <f t="shared" ca="1" si="86"/>
        <v>#NAME?</v>
      </c>
      <c r="K5193" s="274">
        <f t="shared" si="87"/>
        <v>0</v>
      </c>
      <c r="N5193" s="274"/>
    </row>
    <row r="5194" spans="5:14" ht="13.5" customHeight="1">
      <c r="E5194" s="209" t="s">
        <v>1832</v>
      </c>
      <c r="F5194" s="209" t="s">
        <v>2967</v>
      </c>
      <c r="G5194" s="416" t="str">
        <f t="shared" si="85"/>
        <v>Color Code</v>
      </c>
      <c r="H5194" s="273" t="e">
        <f ca="1">_xludf.IFNA(VLOOKUP(E5194,'Urban Plastix Holds'!$I$37:$U$705,13,0),0)</f>
        <v>#NAME?</v>
      </c>
      <c r="I5194" s="274"/>
      <c r="J5194" s="274" t="e">
        <f t="shared" ca="1" si="86"/>
        <v>#NAME?</v>
      </c>
      <c r="K5194" s="274">
        <f t="shared" si="87"/>
        <v>0</v>
      </c>
      <c r="N5194" s="274"/>
    </row>
    <row r="5195" spans="5:14" ht="13.5" customHeight="1">
      <c r="E5195" s="209" t="s">
        <v>1752</v>
      </c>
      <c r="F5195" s="209" t="s">
        <v>2968</v>
      </c>
      <c r="G5195" s="406" t="str">
        <f t="shared" si="85"/>
        <v>11-12</v>
      </c>
      <c r="H5195" s="273" t="e">
        <f ca="1">_xludf.IFNA(VLOOKUP(E5195,'Urban Plastix Holds'!$I$37:$U$705,5,0),0)</f>
        <v>#NAME?</v>
      </c>
      <c r="I5195" s="274"/>
      <c r="J5195" s="274" t="e">
        <f t="shared" ca="1" si="86"/>
        <v>#NAME?</v>
      </c>
      <c r="K5195" s="274">
        <f t="shared" si="87"/>
        <v>0</v>
      </c>
      <c r="N5195" s="274"/>
    </row>
    <row r="5196" spans="5:14" ht="13.5" customHeight="1">
      <c r="E5196" s="209" t="s">
        <v>1752</v>
      </c>
      <c r="F5196" s="209" t="s">
        <v>2968</v>
      </c>
      <c r="G5196" s="408" t="str">
        <f t="shared" si="85"/>
        <v>14-01</v>
      </c>
      <c r="H5196" s="273" t="e">
        <f ca="1">_xludf.IFNA(VLOOKUP(E5196,'Urban Plastix Holds'!$I$37:$U$705,6,0),0)</f>
        <v>#NAME?</v>
      </c>
      <c r="I5196" s="274"/>
      <c r="J5196" s="274" t="e">
        <f t="shared" ca="1" si="86"/>
        <v>#NAME?</v>
      </c>
      <c r="K5196" s="274">
        <f t="shared" si="87"/>
        <v>0</v>
      </c>
      <c r="N5196" s="274"/>
    </row>
    <row r="5197" spans="5:14" ht="13.5" customHeight="1">
      <c r="E5197" s="209" t="s">
        <v>1752</v>
      </c>
      <c r="F5197" s="209" t="s">
        <v>2968</v>
      </c>
      <c r="G5197" s="409" t="str">
        <f t="shared" si="85"/>
        <v>15-12</v>
      </c>
      <c r="H5197" s="273" t="e">
        <f ca="1">_xludf.IFNA(VLOOKUP(E5197,'Urban Plastix Holds'!$I$37:$U$705,7,0),0)</f>
        <v>#NAME?</v>
      </c>
      <c r="I5197" s="274"/>
      <c r="J5197" s="274" t="e">
        <f t="shared" ca="1" si="86"/>
        <v>#NAME?</v>
      </c>
      <c r="K5197" s="274">
        <f t="shared" si="87"/>
        <v>0</v>
      </c>
      <c r="N5197" s="274"/>
    </row>
    <row r="5198" spans="5:14" ht="13.5" customHeight="1">
      <c r="E5198" s="209" t="s">
        <v>1752</v>
      </c>
      <c r="F5198" s="209" t="s">
        <v>2968</v>
      </c>
      <c r="G5198" s="410" t="str">
        <f t="shared" si="85"/>
        <v>16-16</v>
      </c>
      <c r="H5198" s="273" t="e">
        <f ca="1">_xludf.IFNA(VLOOKUP(E5198,'Urban Plastix Holds'!$I$37:$U$705,8,0),0)</f>
        <v>#NAME?</v>
      </c>
      <c r="I5198" s="274"/>
      <c r="J5198" s="274" t="e">
        <f t="shared" ca="1" si="86"/>
        <v>#NAME?</v>
      </c>
      <c r="K5198" s="274">
        <f t="shared" si="87"/>
        <v>0</v>
      </c>
      <c r="N5198" s="274"/>
    </row>
    <row r="5199" spans="5:14" ht="13.5" customHeight="1">
      <c r="E5199" s="209" t="s">
        <v>1752</v>
      </c>
      <c r="F5199" s="209" t="s">
        <v>2968</v>
      </c>
      <c r="G5199" s="411" t="str">
        <f t="shared" si="85"/>
        <v>13-01</v>
      </c>
      <c r="H5199" s="273" t="e">
        <f ca="1">_xludf.IFNA(VLOOKUP(E5199,'Urban Plastix Holds'!$I$37:$U$705,9,0),0)</f>
        <v>#NAME?</v>
      </c>
      <c r="I5199" s="274"/>
      <c r="J5199" s="274" t="e">
        <f t="shared" ca="1" si="86"/>
        <v>#NAME?</v>
      </c>
      <c r="K5199" s="274">
        <f t="shared" si="87"/>
        <v>0</v>
      </c>
      <c r="N5199" s="274"/>
    </row>
    <row r="5200" spans="5:14" ht="13.5" customHeight="1">
      <c r="E5200" s="209" t="s">
        <v>1752</v>
      </c>
      <c r="F5200" s="209" t="s">
        <v>2968</v>
      </c>
      <c r="G5200" s="413" t="str">
        <f t="shared" si="85"/>
        <v>07-13</v>
      </c>
      <c r="H5200" s="273" t="e">
        <f ca="1">_xludf.IFNA(VLOOKUP(E5200,'Urban Plastix Holds'!$I$37:$U$705,10,0),0)</f>
        <v>#NAME?</v>
      </c>
      <c r="I5200" s="274"/>
      <c r="J5200" s="274" t="e">
        <f t="shared" ca="1" si="86"/>
        <v>#NAME?</v>
      </c>
      <c r="K5200" s="274">
        <f t="shared" si="87"/>
        <v>0</v>
      </c>
      <c r="N5200" s="274"/>
    </row>
    <row r="5201" spans="5:14" ht="13.5" customHeight="1">
      <c r="E5201" s="209" t="s">
        <v>1752</v>
      </c>
      <c r="F5201" s="209" t="s">
        <v>2968</v>
      </c>
      <c r="G5201" s="414" t="str">
        <f t="shared" si="85"/>
        <v>11-26</v>
      </c>
      <c r="H5201" s="273" t="e">
        <f ca="1">_xludf.IFNA(VLOOKUP(E5201,'Urban Plastix Holds'!$I$37:$U$705,11,0),0)</f>
        <v>#NAME?</v>
      </c>
      <c r="I5201" s="274"/>
      <c r="J5201" s="274" t="e">
        <f t="shared" ca="1" si="86"/>
        <v>#NAME?</v>
      </c>
      <c r="K5201" s="274">
        <f t="shared" si="87"/>
        <v>0</v>
      </c>
      <c r="N5201" s="274"/>
    </row>
    <row r="5202" spans="5:14" ht="13.5" customHeight="1">
      <c r="E5202" s="209" t="s">
        <v>1752</v>
      </c>
      <c r="F5202" s="209" t="s">
        <v>2968</v>
      </c>
      <c r="G5202" s="415" t="str">
        <f t="shared" si="85"/>
        <v>18-01</v>
      </c>
      <c r="H5202" s="273" t="e">
        <f ca="1">_xludf.IFNA(VLOOKUP(E5202,'Urban Plastix Holds'!$I$37:$U$705,12,0),0)</f>
        <v>#NAME?</v>
      </c>
      <c r="I5202" s="274"/>
      <c r="J5202" s="274" t="e">
        <f t="shared" ca="1" si="86"/>
        <v>#NAME?</v>
      </c>
      <c r="K5202" s="274">
        <f t="shared" si="87"/>
        <v>0</v>
      </c>
      <c r="N5202" s="274"/>
    </row>
    <row r="5203" spans="5:14" ht="13.5" customHeight="1">
      <c r="E5203" s="209" t="s">
        <v>1752</v>
      </c>
      <c r="F5203" s="209" t="s">
        <v>2968</v>
      </c>
      <c r="G5203" s="416" t="str">
        <f t="shared" si="85"/>
        <v>Color Code</v>
      </c>
      <c r="H5203" s="273" t="e">
        <f ca="1">_xludf.IFNA(VLOOKUP(E5203,'Urban Plastix Holds'!$I$37:$U$705,13,0),0)</f>
        <v>#NAME?</v>
      </c>
      <c r="I5203" s="274"/>
      <c r="J5203" s="274" t="e">
        <f t="shared" ca="1" si="86"/>
        <v>#NAME?</v>
      </c>
      <c r="K5203" s="274">
        <f t="shared" si="87"/>
        <v>0</v>
      </c>
      <c r="N5203" s="274"/>
    </row>
    <row r="5204" spans="5:14" ht="13.5" customHeight="1">
      <c r="E5204" s="209" t="s">
        <v>1743</v>
      </c>
      <c r="F5204" s="209" t="s">
        <v>2969</v>
      </c>
      <c r="G5204" s="406" t="str">
        <f t="shared" si="85"/>
        <v>11-12</v>
      </c>
      <c r="H5204" s="273" t="e">
        <f ca="1">_xludf.IFNA(VLOOKUP(E5204,'Urban Plastix Holds'!$I$37:$U$705,5,0),0)</f>
        <v>#NAME?</v>
      </c>
      <c r="I5204" s="274"/>
      <c r="J5204" s="274" t="e">
        <f t="shared" ca="1" si="86"/>
        <v>#NAME?</v>
      </c>
      <c r="K5204" s="274">
        <f t="shared" si="87"/>
        <v>0</v>
      </c>
      <c r="N5204" s="274"/>
    </row>
    <row r="5205" spans="5:14" ht="13.5" customHeight="1">
      <c r="E5205" s="209" t="s">
        <v>1743</v>
      </c>
      <c r="F5205" s="209" t="s">
        <v>2969</v>
      </c>
      <c r="G5205" s="408" t="str">
        <f t="shared" si="85"/>
        <v>14-01</v>
      </c>
      <c r="H5205" s="273" t="e">
        <f ca="1">_xludf.IFNA(VLOOKUP(E5205,'Urban Plastix Holds'!$I$37:$U$705,6,0),0)</f>
        <v>#NAME?</v>
      </c>
      <c r="I5205" s="274"/>
      <c r="J5205" s="274" t="e">
        <f t="shared" ca="1" si="86"/>
        <v>#NAME?</v>
      </c>
      <c r="K5205" s="274">
        <f t="shared" si="87"/>
        <v>0</v>
      </c>
      <c r="N5205" s="274"/>
    </row>
    <row r="5206" spans="5:14" ht="13.5" customHeight="1">
      <c r="E5206" s="209" t="s">
        <v>1743</v>
      </c>
      <c r="F5206" s="209" t="s">
        <v>2969</v>
      </c>
      <c r="G5206" s="409" t="str">
        <f t="shared" si="85"/>
        <v>15-12</v>
      </c>
      <c r="H5206" s="273" t="e">
        <f ca="1">_xludf.IFNA(VLOOKUP(E5206,'Urban Plastix Holds'!$I$37:$U$705,7,0),0)</f>
        <v>#NAME?</v>
      </c>
      <c r="I5206" s="274"/>
      <c r="J5206" s="274" t="e">
        <f t="shared" ca="1" si="86"/>
        <v>#NAME?</v>
      </c>
      <c r="K5206" s="274">
        <f t="shared" si="87"/>
        <v>0</v>
      </c>
      <c r="N5206" s="274"/>
    </row>
    <row r="5207" spans="5:14" ht="13.5" customHeight="1">
      <c r="E5207" s="209" t="s">
        <v>1743</v>
      </c>
      <c r="F5207" s="209" t="s">
        <v>2969</v>
      </c>
      <c r="G5207" s="410" t="str">
        <f t="shared" si="85"/>
        <v>16-16</v>
      </c>
      <c r="H5207" s="273" t="e">
        <f ca="1">_xludf.IFNA(VLOOKUP(E5207,'Urban Plastix Holds'!$I$37:$U$705,8,0),0)</f>
        <v>#NAME?</v>
      </c>
      <c r="I5207" s="274"/>
      <c r="J5207" s="274" t="e">
        <f t="shared" ca="1" si="86"/>
        <v>#NAME?</v>
      </c>
      <c r="K5207" s="274">
        <f t="shared" si="87"/>
        <v>0</v>
      </c>
      <c r="N5207" s="274"/>
    </row>
    <row r="5208" spans="5:14" ht="13.5" customHeight="1">
      <c r="E5208" s="209" t="s">
        <v>1743</v>
      </c>
      <c r="F5208" s="209" t="s">
        <v>2969</v>
      </c>
      <c r="G5208" s="411" t="str">
        <f t="shared" si="85"/>
        <v>13-01</v>
      </c>
      <c r="H5208" s="273" t="e">
        <f ca="1">_xludf.IFNA(VLOOKUP(E5208,'Urban Plastix Holds'!$I$37:$U$705,9,0),0)</f>
        <v>#NAME?</v>
      </c>
      <c r="I5208" s="274"/>
      <c r="J5208" s="274" t="e">
        <f t="shared" ca="1" si="86"/>
        <v>#NAME?</v>
      </c>
      <c r="K5208" s="274">
        <f t="shared" si="87"/>
        <v>0</v>
      </c>
      <c r="N5208" s="274"/>
    </row>
    <row r="5209" spans="5:14" ht="13.5" customHeight="1">
      <c r="E5209" s="209" t="s">
        <v>1743</v>
      </c>
      <c r="F5209" s="209" t="s">
        <v>2969</v>
      </c>
      <c r="G5209" s="413" t="str">
        <f t="shared" si="85"/>
        <v>07-13</v>
      </c>
      <c r="H5209" s="273" t="e">
        <f ca="1">_xludf.IFNA(VLOOKUP(E5209,'Urban Plastix Holds'!$I$37:$U$705,10,0),0)</f>
        <v>#NAME?</v>
      </c>
      <c r="I5209" s="274"/>
      <c r="J5209" s="274" t="e">
        <f t="shared" ca="1" si="86"/>
        <v>#NAME?</v>
      </c>
      <c r="K5209" s="274">
        <f t="shared" si="87"/>
        <v>0</v>
      </c>
      <c r="N5209" s="274"/>
    </row>
    <row r="5210" spans="5:14" ht="13.5" customHeight="1">
      <c r="E5210" s="209" t="s">
        <v>1743</v>
      </c>
      <c r="F5210" s="209" t="s">
        <v>2969</v>
      </c>
      <c r="G5210" s="414" t="str">
        <f t="shared" si="85"/>
        <v>11-26</v>
      </c>
      <c r="H5210" s="273" t="e">
        <f ca="1">_xludf.IFNA(VLOOKUP(E5210,'Urban Plastix Holds'!$I$37:$U$705,11,0),0)</f>
        <v>#NAME?</v>
      </c>
      <c r="I5210" s="274"/>
      <c r="J5210" s="274" t="e">
        <f t="shared" ca="1" si="86"/>
        <v>#NAME?</v>
      </c>
      <c r="K5210" s="274">
        <f t="shared" si="87"/>
        <v>0</v>
      </c>
      <c r="N5210" s="274"/>
    </row>
    <row r="5211" spans="5:14" ht="13.5" customHeight="1">
      <c r="E5211" s="209" t="s">
        <v>1743</v>
      </c>
      <c r="F5211" s="209" t="s">
        <v>2969</v>
      </c>
      <c r="G5211" s="415" t="str">
        <f t="shared" si="85"/>
        <v>18-01</v>
      </c>
      <c r="H5211" s="273" t="e">
        <f ca="1">_xludf.IFNA(VLOOKUP(E5211,'Urban Plastix Holds'!$I$37:$U$705,12,0),0)</f>
        <v>#NAME?</v>
      </c>
      <c r="I5211" s="274"/>
      <c r="J5211" s="274" t="e">
        <f t="shared" ca="1" si="86"/>
        <v>#NAME?</v>
      </c>
      <c r="K5211" s="274">
        <f t="shared" si="87"/>
        <v>0</v>
      </c>
      <c r="N5211" s="274"/>
    </row>
    <row r="5212" spans="5:14" ht="13.5" customHeight="1">
      <c r="E5212" s="209" t="s">
        <v>1743</v>
      </c>
      <c r="F5212" s="209" t="s">
        <v>2969</v>
      </c>
      <c r="G5212" s="416" t="str">
        <f t="shared" si="85"/>
        <v>Color Code</v>
      </c>
      <c r="H5212" s="273" t="e">
        <f ca="1">_xludf.IFNA(VLOOKUP(E5212,'Urban Plastix Holds'!$I$37:$U$705,13,0),0)</f>
        <v>#NAME?</v>
      </c>
      <c r="I5212" s="274"/>
      <c r="J5212" s="274" t="e">
        <f t="shared" ca="1" si="86"/>
        <v>#NAME?</v>
      </c>
      <c r="K5212" s="274">
        <f t="shared" si="87"/>
        <v>0</v>
      </c>
      <c r="N5212" s="274"/>
    </row>
    <row r="5213" spans="5:14" ht="13.5" customHeight="1">
      <c r="E5213" s="209" t="s">
        <v>1570</v>
      </c>
      <c r="F5213" s="209" t="s">
        <v>2970</v>
      </c>
      <c r="G5213" s="406" t="str">
        <f t="shared" si="85"/>
        <v>11-12</v>
      </c>
      <c r="H5213" s="273" t="e">
        <f ca="1">_xludf.IFNA(VLOOKUP(E5213,'Urban Plastix Holds'!$I$37:$U$705,5,0),0)</f>
        <v>#NAME?</v>
      </c>
      <c r="I5213" s="274"/>
      <c r="J5213" s="274" t="e">
        <f t="shared" ca="1" si="86"/>
        <v>#NAME?</v>
      </c>
      <c r="K5213" s="274">
        <f t="shared" si="87"/>
        <v>0</v>
      </c>
      <c r="N5213" s="274"/>
    </row>
    <row r="5214" spans="5:14" ht="13.5" customHeight="1">
      <c r="E5214" s="209" t="s">
        <v>1570</v>
      </c>
      <c r="F5214" s="209" t="s">
        <v>2970</v>
      </c>
      <c r="G5214" s="408" t="str">
        <f t="shared" si="85"/>
        <v>14-01</v>
      </c>
      <c r="H5214" s="273" t="e">
        <f ca="1">_xludf.IFNA(VLOOKUP(E5214,'Urban Plastix Holds'!$I$37:$U$705,6,0),0)</f>
        <v>#NAME?</v>
      </c>
      <c r="I5214" s="274"/>
      <c r="J5214" s="274" t="e">
        <f t="shared" ca="1" si="86"/>
        <v>#NAME?</v>
      </c>
      <c r="K5214" s="274">
        <f t="shared" si="87"/>
        <v>0</v>
      </c>
      <c r="N5214" s="274"/>
    </row>
    <row r="5215" spans="5:14" ht="13.5" customHeight="1">
      <c r="E5215" s="209" t="s">
        <v>1570</v>
      </c>
      <c r="F5215" s="209" t="s">
        <v>2970</v>
      </c>
      <c r="G5215" s="409" t="str">
        <f t="shared" si="85"/>
        <v>15-12</v>
      </c>
      <c r="H5215" s="273" t="e">
        <f ca="1">_xludf.IFNA(VLOOKUP(E5215,'Urban Plastix Holds'!$I$37:$U$705,7,0),0)</f>
        <v>#NAME?</v>
      </c>
      <c r="I5215" s="274"/>
      <c r="J5215" s="274" t="e">
        <f t="shared" ca="1" si="86"/>
        <v>#NAME?</v>
      </c>
      <c r="K5215" s="274">
        <f t="shared" si="87"/>
        <v>0</v>
      </c>
      <c r="N5215" s="274"/>
    </row>
    <row r="5216" spans="5:14" ht="13.5" customHeight="1">
      <c r="E5216" s="209" t="s">
        <v>1570</v>
      </c>
      <c r="F5216" s="209" t="s">
        <v>2970</v>
      </c>
      <c r="G5216" s="410" t="str">
        <f t="shared" si="85"/>
        <v>16-16</v>
      </c>
      <c r="H5216" s="273" t="e">
        <f ca="1">_xludf.IFNA(VLOOKUP(E5216,'Urban Plastix Holds'!$I$37:$U$705,8,0),0)</f>
        <v>#NAME?</v>
      </c>
      <c r="I5216" s="274"/>
      <c r="J5216" s="274" t="e">
        <f t="shared" ca="1" si="86"/>
        <v>#NAME?</v>
      </c>
      <c r="K5216" s="274">
        <f t="shared" si="87"/>
        <v>0</v>
      </c>
      <c r="N5216" s="274"/>
    </row>
    <row r="5217" spans="5:14" ht="13.5" customHeight="1">
      <c r="E5217" s="209" t="s">
        <v>1570</v>
      </c>
      <c r="F5217" s="209" t="s">
        <v>2970</v>
      </c>
      <c r="G5217" s="411" t="str">
        <f t="shared" si="85"/>
        <v>13-01</v>
      </c>
      <c r="H5217" s="273" t="e">
        <f ca="1">_xludf.IFNA(VLOOKUP(E5217,'Urban Plastix Holds'!$I$37:$U$705,9,0),0)</f>
        <v>#NAME?</v>
      </c>
      <c r="I5217" s="274"/>
      <c r="J5217" s="274" t="e">
        <f t="shared" ca="1" si="86"/>
        <v>#NAME?</v>
      </c>
      <c r="K5217" s="274">
        <f t="shared" si="87"/>
        <v>0</v>
      </c>
      <c r="N5217" s="274"/>
    </row>
    <row r="5218" spans="5:14" ht="13.5" customHeight="1">
      <c r="E5218" s="209" t="s">
        <v>1570</v>
      </c>
      <c r="F5218" s="209" t="s">
        <v>2970</v>
      </c>
      <c r="G5218" s="413" t="str">
        <f t="shared" si="85"/>
        <v>07-13</v>
      </c>
      <c r="H5218" s="273" t="e">
        <f ca="1">_xludf.IFNA(VLOOKUP(E5218,'Urban Plastix Holds'!$I$37:$U$705,10,0),0)</f>
        <v>#NAME?</v>
      </c>
      <c r="I5218" s="274"/>
      <c r="J5218" s="274" t="e">
        <f t="shared" ca="1" si="86"/>
        <v>#NAME?</v>
      </c>
      <c r="K5218" s="274">
        <f t="shared" si="87"/>
        <v>0</v>
      </c>
      <c r="N5218" s="274"/>
    </row>
    <row r="5219" spans="5:14" ht="13.5" customHeight="1">
      <c r="E5219" s="209" t="s">
        <v>1570</v>
      </c>
      <c r="F5219" s="209" t="s">
        <v>2970</v>
      </c>
      <c r="G5219" s="414" t="str">
        <f t="shared" si="85"/>
        <v>11-26</v>
      </c>
      <c r="H5219" s="273" t="e">
        <f ca="1">_xludf.IFNA(VLOOKUP(E5219,'Urban Plastix Holds'!$I$37:$U$705,11,0),0)</f>
        <v>#NAME?</v>
      </c>
      <c r="I5219" s="274"/>
      <c r="J5219" s="274" t="e">
        <f t="shared" ca="1" si="86"/>
        <v>#NAME?</v>
      </c>
      <c r="K5219" s="274">
        <f t="shared" si="87"/>
        <v>0</v>
      </c>
      <c r="N5219" s="274"/>
    </row>
    <row r="5220" spans="5:14" ht="13.5" customHeight="1">
      <c r="E5220" s="209" t="s">
        <v>1570</v>
      </c>
      <c r="F5220" s="209" t="s">
        <v>2970</v>
      </c>
      <c r="G5220" s="415" t="str">
        <f t="shared" si="85"/>
        <v>18-01</v>
      </c>
      <c r="H5220" s="273" t="e">
        <f ca="1">_xludf.IFNA(VLOOKUP(E5220,'Urban Plastix Holds'!$I$37:$U$705,12,0),0)</f>
        <v>#NAME?</v>
      </c>
      <c r="I5220" s="274"/>
      <c r="J5220" s="274" t="e">
        <f t="shared" ca="1" si="86"/>
        <v>#NAME?</v>
      </c>
      <c r="K5220" s="274">
        <f t="shared" si="87"/>
        <v>0</v>
      </c>
      <c r="N5220" s="274"/>
    </row>
    <row r="5221" spans="5:14" ht="13.5" customHeight="1">
      <c r="E5221" s="209" t="s">
        <v>1570</v>
      </c>
      <c r="F5221" s="209" t="s">
        <v>2970</v>
      </c>
      <c r="G5221" s="416" t="str">
        <f t="shared" si="85"/>
        <v>Color Code</v>
      </c>
      <c r="H5221" s="273" t="e">
        <f ca="1">_xludf.IFNA(VLOOKUP(E5221,'Urban Plastix Holds'!$I$37:$U$705,13,0),0)</f>
        <v>#NAME?</v>
      </c>
      <c r="I5221" s="274"/>
      <c r="J5221" s="274" t="e">
        <f t="shared" ca="1" si="86"/>
        <v>#NAME?</v>
      </c>
      <c r="K5221" s="274">
        <f t="shared" si="87"/>
        <v>0</v>
      </c>
      <c r="N5221" s="274"/>
    </row>
    <row r="5222" spans="5:14" ht="13.5" customHeight="1">
      <c r="E5222" s="209" t="s">
        <v>1814</v>
      </c>
      <c r="F5222" s="209" t="s">
        <v>2971</v>
      </c>
      <c r="G5222" s="406" t="str">
        <f t="shared" si="85"/>
        <v>11-12</v>
      </c>
      <c r="H5222" s="273" t="e">
        <f ca="1">_xludf.IFNA(VLOOKUP(E5222,'Urban Plastix Holds'!$I$37:$U$705,5,0),0)</f>
        <v>#NAME?</v>
      </c>
      <c r="I5222" s="274"/>
      <c r="J5222" s="274" t="e">
        <f t="shared" ca="1" si="86"/>
        <v>#NAME?</v>
      </c>
      <c r="K5222" s="274">
        <f t="shared" si="87"/>
        <v>0</v>
      </c>
      <c r="N5222" s="274"/>
    </row>
    <row r="5223" spans="5:14" ht="13.5" customHeight="1">
      <c r="E5223" s="209" t="s">
        <v>1814</v>
      </c>
      <c r="F5223" s="209" t="s">
        <v>2971</v>
      </c>
      <c r="G5223" s="408" t="str">
        <f t="shared" si="85"/>
        <v>14-01</v>
      </c>
      <c r="H5223" s="273" t="e">
        <f ca="1">_xludf.IFNA(VLOOKUP(E5223,'Urban Plastix Holds'!$I$37:$U$705,6,0),0)</f>
        <v>#NAME?</v>
      </c>
      <c r="I5223" s="274"/>
      <c r="J5223" s="274" t="e">
        <f t="shared" ca="1" si="86"/>
        <v>#NAME?</v>
      </c>
      <c r="K5223" s="274">
        <f t="shared" si="87"/>
        <v>0</v>
      </c>
      <c r="N5223" s="274"/>
    </row>
    <row r="5224" spans="5:14" ht="13.5" customHeight="1">
      <c r="E5224" s="209" t="s">
        <v>1814</v>
      </c>
      <c r="F5224" s="209" t="s">
        <v>2971</v>
      </c>
      <c r="G5224" s="409" t="str">
        <f t="shared" si="85"/>
        <v>15-12</v>
      </c>
      <c r="H5224" s="273" t="e">
        <f ca="1">_xludf.IFNA(VLOOKUP(E5224,'Urban Plastix Holds'!$I$37:$U$705,7,0),0)</f>
        <v>#NAME?</v>
      </c>
      <c r="I5224" s="274"/>
      <c r="J5224" s="274" t="e">
        <f t="shared" ca="1" si="86"/>
        <v>#NAME?</v>
      </c>
      <c r="K5224" s="274">
        <f t="shared" si="87"/>
        <v>0</v>
      </c>
      <c r="N5224" s="274"/>
    </row>
    <row r="5225" spans="5:14" ht="13.5" customHeight="1">
      <c r="E5225" s="209" t="s">
        <v>1814</v>
      </c>
      <c r="F5225" s="209" t="s">
        <v>2971</v>
      </c>
      <c r="G5225" s="410" t="str">
        <f t="shared" si="85"/>
        <v>16-16</v>
      </c>
      <c r="H5225" s="273" t="e">
        <f ca="1">_xludf.IFNA(VLOOKUP(E5225,'Urban Plastix Holds'!$I$37:$U$705,8,0),0)</f>
        <v>#NAME?</v>
      </c>
      <c r="I5225" s="274"/>
      <c r="J5225" s="274" t="e">
        <f t="shared" ca="1" si="86"/>
        <v>#NAME?</v>
      </c>
      <c r="K5225" s="274">
        <f t="shared" si="87"/>
        <v>0</v>
      </c>
      <c r="N5225" s="274"/>
    </row>
    <row r="5226" spans="5:14" ht="13.5" customHeight="1">
      <c r="E5226" s="209" t="s">
        <v>1814</v>
      </c>
      <c r="F5226" s="209" t="s">
        <v>2971</v>
      </c>
      <c r="G5226" s="411" t="str">
        <f t="shared" si="85"/>
        <v>13-01</v>
      </c>
      <c r="H5226" s="273" t="e">
        <f ca="1">_xludf.IFNA(VLOOKUP(E5226,'Urban Plastix Holds'!$I$37:$U$705,9,0),0)</f>
        <v>#NAME?</v>
      </c>
      <c r="I5226" s="274"/>
      <c r="J5226" s="274" t="e">
        <f t="shared" ca="1" si="86"/>
        <v>#NAME?</v>
      </c>
      <c r="K5226" s="274">
        <f t="shared" si="87"/>
        <v>0</v>
      </c>
      <c r="N5226" s="274"/>
    </row>
    <row r="5227" spans="5:14" ht="13.5" customHeight="1">
      <c r="E5227" s="209" t="s">
        <v>1814</v>
      </c>
      <c r="F5227" s="209" t="s">
        <v>2971</v>
      </c>
      <c r="G5227" s="413" t="str">
        <f t="shared" si="85"/>
        <v>07-13</v>
      </c>
      <c r="H5227" s="273" t="e">
        <f ca="1">_xludf.IFNA(VLOOKUP(E5227,'Urban Plastix Holds'!$I$37:$U$705,10,0),0)</f>
        <v>#NAME?</v>
      </c>
      <c r="I5227" s="274"/>
      <c r="J5227" s="274" t="e">
        <f t="shared" ca="1" si="86"/>
        <v>#NAME?</v>
      </c>
      <c r="K5227" s="274">
        <f t="shared" si="87"/>
        <v>0</v>
      </c>
      <c r="N5227" s="274"/>
    </row>
    <row r="5228" spans="5:14" ht="13.5" customHeight="1">
      <c r="E5228" s="209" t="s">
        <v>1814</v>
      </c>
      <c r="F5228" s="209" t="s">
        <v>2971</v>
      </c>
      <c r="G5228" s="414" t="str">
        <f t="shared" si="85"/>
        <v>11-26</v>
      </c>
      <c r="H5228" s="273" t="e">
        <f ca="1">_xludf.IFNA(VLOOKUP(E5228,'Urban Plastix Holds'!$I$37:$U$705,11,0),0)</f>
        <v>#NAME?</v>
      </c>
      <c r="I5228" s="274"/>
      <c r="J5228" s="274" t="e">
        <f t="shared" ca="1" si="86"/>
        <v>#NAME?</v>
      </c>
      <c r="K5228" s="274">
        <f t="shared" si="87"/>
        <v>0</v>
      </c>
      <c r="N5228" s="274"/>
    </row>
    <row r="5229" spans="5:14" ht="13.5" customHeight="1">
      <c r="E5229" s="209" t="s">
        <v>1814</v>
      </c>
      <c r="F5229" s="209" t="s">
        <v>2971</v>
      </c>
      <c r="G5229" s="415" t="str">
        <f t="shared" si="85"/>
        <v>18-01</v>
      </c>
      <c r="H5229" s="273" t="e">
        <f ca="1">_xludf.IFNA(VLOOKUP(E5229,'Urban Plastix Holds'!$I$37:$U$705,12,0),0)</f>
        <v>#NAME?</v>
      </c>
      <c r="I5229" s="274"/>
      <c r="J5229" s="274" t="e">
        <f t="shared" ca="1" si="86"/>
        <v>#NAME?</v>
      </c>
      <c r="K5229" s="274">
        <f t="shared" si="87"/>
        <v>0</v>
      </c>
      <c r="N5229" s="274"/>
    </row>
    <row r="5230" spans="5:14" ht="13.5" customHeight="1">
      <c r="E5230" s="209" t="s">
        <v>1814</v>
      </c>
      <c r="F5230" s="209" t="s">
        <v>2971</v>
      </c>
      <c r="G5230" s="416" t="str">
        <f t="shared" si="85"/>
        <v>Color Code</v>
      </c>
      <c r="H5230" s="273" t="e">
        <f ca="1">_xludf.IFNA(VLOOKUP(E5230,'Urban Plastix Holds'!$I$37:$U$705,13,0),0)</f>
        <v>#NAME?</v>
      </c>
      <c r="I5230" s="274"/>
      <c r="J5230" s="274" t="e">
        <f t="shared" ca="1" si="86"/>
        <v>#NAME?</v>
      </c>
      <c r="K5230" s="274">
        <f t="shared" si="87"/>
        <v>0</v>
      </c>
      <c r="N5230" s="274"/>
    </row>
    <row r="5231" spans="5:14" ht="13.5" customHeight="1">
      <c r="E5231" s="209" t="s">
        <v>1468</v>
      </c>
      <c r="F5231" s="209" t="s">
        <v>2972</v>
      </c>
      <c r="G5231" s="406" t="str">
        <f t="shared" si="85"/>
        <v>11-12</v>
      </c>
      <c r="H5231" s="273" t="e">
        <f ca="1">_xludf.IFNA(VLOOKUP(E5231,'Urban Plastix Holds'!$I$37:$U$705,5,0),0)</f>
        <v>#NAME?</v>
      </c>
      <c r="I5231" s="274"/>
      <c r="J5231" s="274" t="e">
        <f t="shared" ca="1" si="86"/>
        <v>#NAME?</v>
      </c>
      <c r="K5231" s="274">
        <f t="shared" si="87"/>
        <v>0</v>
      </c>
      <c r="N5231" s="274"/>
    </row>
    <row r="5232" spans="5:14" ht="13.5" customHeight="1">
      <c r="E5232" s="209" t="s">
        <v>1468</v>
      </c>
      <c r="F5232" s="209" t="s">
        <v>2972</v>
      </c>
      <c r="G5232" s="408" t="str">
        <f t="shared" si="85"/>
        <v>14-01</v>
      </c>
      <c r="H5232" s="273" t="e">
        <f ca="1">_xludf.IFNA(VLOOKUP(E5232,'Urban Plastix Holds'!$I$37:$U$705,6,0),0)</f>
        <v>#NAME?</v>
      </c>
      <c r="I5232" s="274"/>
      <c r="J5232" s="274" t="e">
        <f t="shared" ca="1" si="86"/>
        <v>#NAME?</v>
      </c>
      <c r="K5232" s="274">
        <f t="shared" si="87"/>
        <v>0</v>
      </c>
      <c r="N5232" s="274"/>
    </row>
    <row r="5233" spans="5:14" ht="13.5" customHeight="1">
      <c r="E5233" s="209" t="s">
        <v>1468</v>
      </c>
      <c r="F5233" s="209" t="s">
        <v>2972</v>
      </c>
      <c r="G5233" s="409" t="str">
        <f t="shared" si="85"/>
        <v>15-12</v>
      </c>
      <c r="H5233" s="273" t="e">
        <f ca="1">_xludf.IFNA(VLOOKUP(E5233,'Urban Plastix Holds'!$I$37:$U$705,7,0),0)</f>
        <v>#NAME?</v>
      </c>
      <c r="I5233" s="274"/>
      <c r="J5233" s="274" t="e">
        <f t="shared" ca="1" si="86"/>
        <v>#NAME?</v>
      </c>
      <c r="K5233" s="274">
        <f t="shared" si="87"/>
        <v>0</v>
      </c>
      <c r="N5233" s="274"/>
    </row>
    <row r="5234" spans="5:14" ht="13.5" customHeight="1">
      <c r="E5234" s="209" t="s">
        <v>1468</v>
      </c>
      <c r="F5234" s="209" t="s">
        <v>2972</v>
      </c>
      <c r="G5234" s="410" t="str">
        <f t="shared" si="85"/>
        <v>16-16</v>
      </c>
      <c r="H5234" s="273" t="e">
        <f ca="1">_xludf.IFNA(VLOOKUP(E5234,'Urban Plastix Holds'!$I$37:$U$705,8,0),0)</f>
        <v>#NAME?</v>
      </c>
      <c r="I5234" s="274"/>
      <c r="J5234" s="274" t="e">
        <f t="shared" ca="1" si="86"/>
        <v>#NAME?</v>
      </c>
      <c r="K5234" s="274">
        <f t="shared" si="87"/>
        <v>0</v>
      </c>
      <c r="N5234" s="274"/>
    </row>
    <row r="5235" spans="5:14" ht="13.5" customHeight="1">
      <c r="E5235" s="209" t="s">
        <v>1468</v>
      </c>
      <c r="F5235" s="209" t="s">
        <v>2972</v>
      </c>
      <c r="G5235" s="411" t="str">
        <f t="shared" si="85"/>
        <v>13-01</v>
      </c>
      <c r="H5235" s="273" t="e">
        <f ca="1">_xludf.IFNA(VLOOKUP(E5235,'Urban Plastix Holds'!$I$37:$U$705,9,0),0)</f>
        <v>#NAME?</v>
      </c>
      <c r="I5235" s="274"/>
      <c r="J5235" s="274" t="e">
        <f t="shared" ca="1" si="86"/>
        <v>#NAME?</v>
      </c>
      <c r="K5235" s="274">
        <f t="shared" si="87"/>
        <v>0</v>
      </c>
      <c r="N5235" s="274"/>
    </row>
    <row r="5236" spans="5:14" ht="13.5" customHeight="1">
      <c r="E5236" s="209" t="s">
        <v>1468</v>
      </c>
      <c r="F5236" s="209" t="s">
        <v>2972</v>
      </c>
      <c r="G5236" s="413" t="str">
        <f t="shared" si="85"/>
        <v>07-13</v>
      </c>
      <c r="H5236" s="273" t="e">
        <f ca="1">_xludf.IFNA(VLOOKUP(E5236,'Urban Plastix Holds'!$I$37:$U$705,10,0),0)</f>
        <v>#NAME?</v>
      </c>
      <c r="I5236" s="274"/>
      <c r="J5236" s="274" t="e">
        <f t="shared" ca="1" si="86"/>
        <v>#NAME?</v>
      </c>
      <c r="K5236" s="274">
        <f t="shared" si="87"/>
        <v>0</v>
      </c>
      <c r="N5236" s="274"/>
    </row>
    <row r="5237" spans="5:14" ht="13.5" customHeight="1">
      <c r="E5237" s="209" t="s">
        <v>1468</v>
      </c>
      <c r="F5237" s="209" t="s">
        <v>2972</v>
      </c>
      <c r="G5237" s="414" t="str">
        <f t="shared" si="85"/>
        <v>11-26</v>
      </c>
      <c r="H5237" s="273" t="e">
        <f ca="1">_xludf.IFNA(VLOOKUP(E5237,'Urban Plastix Holds'!$I$37:$U$705,11,0),0)</f>
        <v>#NAME?</v>
      </c>
      <c r="I5237" s="274"/>
      <c r="J5237" s="274" t="e">
        <f t="shared" ca="1" si="86"/>
        <v>#NAME?</v>
      </c>
      <c r="K5237" s="274">
        <f t="shared" si="87"/>
        <v>0</v>
      </c>
      <c r="N5237" s="274"/>
    </row>
    <row r="5238" spans="5:14" ht="13.5" customHeight="1">
      <c r="E5238" s="209" t="s">
        <v>1468</v>
      </c>
      <c r="F5238" s="209" t="s">
        <v>2972</v>
      </c>
      <c r="G5238" s="415" t="str">
        <f t="shared" si="85"/>
        <v>18-01</v>
      </c>
      <c r="H5238" s="273" t="e">
        <f ca="1">_xludf.IFNA(VLOOKUP(E5238,'Urban Plastix Holds'!$I$37:$U$705,12,0),0)</f>
        <v>#NAME?</v>
      </c>
      <c r="I5238" s="274"/>
      <c r="J5238" s="274" t="e">
        <f t="shared" ca="1" si="86"/>
        <v>#NAME?</v>
      </c>
      <c r="K5238" s="274">
        <f t="shared" si="87"/>
        <v>0</v>
      </c>
      <c r="N5238" s="274"/>
    </row>
    <row r="5239" spans="5:14" ht="13.5" customHeight="1">
      <c r="E5239" s="209" t="s">
        <v>1468</v>
      </c>
      <c r="F5239" s="209" t="s">
        <v>2972</v>
      </c>
      <c r="G5239" s="416" t="str">
        <f t="shared" si="85"/>
        <v>Color Code</v>
      </c>
      <c r="H5239" s="273" t="e">
        <f ca="1">_xludf.IFNA(VLOOKUP(E5239,'Urban Plastix Holds'!$I$37:$U$705,13,0),0)</f>
        <v>#NAME?</v>
      </c>
      <c r="I5239" s="274"/>
      <c r="J5239" s="274" t="e">
        <f t="shared" ca="1" si="86"/>
        <v>#NAME?</v>
      </c>
      <c r="K5239" s="274">
        <f t="shared" si="87"/>
        <v>0</v>
      </c>
      <c r="N5239" s="274"/>
    </row>
    <row r="5240" spans="5:14" ht="13.5" customHeight="1">
      <c r="E5240" s="209" t="s">
        <v>1599</v>
      </c>
      <c r="F5240" s="209" t="s">
        <v>2973</v>
      </c>
      <c r="G5240" s="406" t="str">
        <f t="shared" si="85"/>
        <v>11-12</v>
      </c>
      <c r="H5240" s="273" t="e">
        <f ca="1">_xludf.IFNA(VLOOKUP(E5240,'Urban Plastix Holds'!$I$37:$U$705,5,0),0)</f>
        <v>#NAME?</v>
      </c>
      <c r="I5240" s="274"/>
      <c r="J5240" s="274" t="e">
        <f t="shared" ca="1" si="86"/>
        <v>#NAME?</v>
      </c>
      <c r="K5240" s="274">
        <f t="shared" si="87"/>
        <v>0</v>
      </c>
      <c r="N5240" s="274"/>
    </row>
    <row r="5241" spans="5:14" ht="13.5" customHeight="1">
      <c r="E5241" s="209" t="s">
        <v>1599</v>
      </c>
      <c r="F5241" s="209" t="s">
        <v>2973</v>
      </c>
      <c r="G5241" s="408" t="str">
        <f t="shared" si="85"/>
        <v>14-01</v>
      </c>
      <c r="H5241" s="273" t="e">
        <f ca="1">_xludf.IFNA(VLOOKUP(E5241,'Urban Plastix Holds'!$I$37:$U$705,6,0),0)</f>
        <v>#NAME?</v>
      </c>
      <c r="I5241" s="274"/>
      <c r="J5241" s="274" t="e">
        <f t="shared" ca="1" si="86"/>
        <v>#NAME?</v>
      </c>
      <c r="K5241" s="274">
        <f t="shared" si="87"/>
        <v>0</v>
      </c>
      <c r="N5241" s="274"/>
    </row>
    <row r="5242" spans="5:14" ht="13.5" customHeight="1">
      <c r="E5242" s="209" t="s">
        <v>1599</v>
      </c>
      <c r="F5242" s="209" t="s">
        <v>2973</v>
      </c>
      <c r="G5242" s="409" t="str">
        <f t="shared" si="85"/>
        <v>15-12</v>
      </c>
      <c r="H5242" s="273" t="e">
        <f ca="1">_xludf.IFNA(VLOOKUP(E5242,'Urban Plastix Holds'!$I$37:$U$705,7,0),0)</f>
        <v>#NAME?</v>
      </c>
      <c r="I5242" s="274"/>
      <c r="J5242" s="274" t="e">
        <f t="shared" ca="1" si="86"/>
        <v>#NAME?</v>
      </c>
      <c r="K5242" s="274">
        <f t="shared" si="87"/>
        <v>0</v>
      </c>
      <c r="N5242" s="274"/>
    </row>
    <row r="5243" spans="5:14" ht="13.5" customHeight="1">
      <c r="E5243" s="209" t="s">
        <v>1599</v>
      </c>
      <c r="F5243" s="209" t="s">
        <v>2973</v>
      </c>
      <c r="G5243" s="410" t="str">
        <f t="shared" si="85"/>
        <v>16-16</v>
      </c>
      <c r="H5243" s="273" t="e">
        <f ca="1">_xludf.IFNA(VLOOKUP(E5243,'Urban Plastix Holds'!$I$37:$U$705,8,0),0)</f>
        <v>#NAME?</v>
      </c>
      <c r="I5243" s="274"/>
      <c r="J5243" s="274" t="e">
        <f t="shared" ca="1" si="86"/>
        <v>#NAME?</v>
      </c>
      <c r="K5243" s="274">
        <f t="shared" si="87"/>
        <v>0</v>
      </c>
      <c r="N5243" s="274"/>
    </row>
    <row r="5244" spans="5:14" ht="13.5" customHeight="1">
      <c r="E5244" s="209" t="s">
        <v>1599</v>
      </c>
      <c r="F5244" s="209" t="s">
        <v>2973</v>
      </c>
      <c r="G5244" s="411" t="str">
        <f t="shared" si="85"/>
        <v>13-01</v>
      </c>
      <c r="H5244" s="273" t="e">
        <f ca="1">_xludf.IFNA(VLOOKUP(E5244,'Urban Plastix Holds'!$I$37:$U$705,9,0),0)</f>
        <v>#NAME?</v>
      </c>
      <c r="I5244" s="274"/>
      <c r="J5244" s="274" t="e">
        <f t="shared" ca="1" si="86"/>
        <v>#NAME?</v>
      </c>
      <c r="K5244" s="274">
        <f t="shared" si="87"/>
        <v>0</v>
      </c>
      <c r="N5244" s="274"/>
    </row>
    <row r="5245" spans="5:14" ht="13.5" customHeight="1">
      <c r="E5245" s="209" t="s">
        <v>1599</v>
      </c>
      <c r="F5245" s="209" t="s">
        <v>2973</v>
      </c>
      <c r="G5245" s="413" t="str">
        <f t="shared" si="85"/>
        <v>07-13</v>
      </c>
      <c r="H5245" s="273" t="e">
        <f ca="1">_xludf.IFNA(VLOOKUP(E5245,'Urban Plastix Holds'!$I$37:$U$705,10,0),0)</f>
        <v>#NAME?</v>
      </c>
      <c r="I5245" s="274"/>
      <c r="J5245" s="274" t="e">
        <f t="shared" ca="1" si="86"/>
        <v>#NAME?</v>
      </c>
      <c r="K5245" s="274">
        <f t="shared" si="87"/>
        <v>0</v>
      </c>
      <c r="N5245" s="274"/>
    </row>
    <row r="5246" spans="5:14" ht="13.5" customHeight="1">
      <c r="E5246" s="209" t="s">
        <v>1599</v>
      </c>
      <c r="F5246" s="209" t="s">
        <v>2973</v>
      </c>
      <c r="G5246" s="414" t="str">
        <f t="shared" si="85"/>
        <v>11-26</v>
      </c>
      <c r="H5246" s="273" t="e">
        <f ca="1">_xludf.IFNA(VLOOKUP(E5246,'Urban Plastix Holds'!$I$37:$U$705,11,0),0)</f>
        <v>#NAME?</v>
      </c>
      <c r="I5246" s="274"/>
      <c r="J5246" s="274" t="e">
        <f t="shared" ca="1" si="86"/>
        <v>#NAME?</v>
      </c>
      <c r="K5246" s="274">
        <f t="shared" si="87"/>
        <v>0</v>
      </c>
      <c r="N5246" s="274"/>
    </row>
    <row r="5247" spans="5:14" ht="13.5" customHeight="1">
      <c r="E5247" s="209" t="s">
        <v>1599</v>
      </c>
      <c r="F5247" s="209" t="s">
        <v>2973</v>
      </c>
      <c r="G5247" s="415" t="str">
        <f t="shared" si="85"/>
        <v>18-01</v>
      </c>
      <c r="H5247" s="273" t="e">
        <f ca="1">_xludf.IFNA(VLOOKUP(E5247,'Urban Plastix Holds'!$I$37:$U$705,12,0),0)</f>
        <v>#NAME?</v>
      </c>
      <c r="I5247" s="274"/>
      <c r="J5247" s="274" t="e">
        <f t="shared" ca="1" si="86"/>
        <v>#NAME?</v>
      </c>
      <c r="K5247" s="274">
        <f t="shared" si="87"/>
        <v>0</v>
      </c>
      <c r="N5247" s="274"/>
    </row>
    <row r="5248" spans="5:14" ht="13.5" customHeight="1">
      <c r="E5248" s="209" t="s">
        <v>1599</v>
      </c>
      <c r="F5248" s="209" t="s">
        <v>2973</v>
      </c>
      <c r="G5248" s="416" t="str">
        <f t="shared" si="85"/>
        <v>Color Code</v>
      </c>
      <c r="H5248" s="273" t="e">
        <f ca="1">_xludf.IFNA(VLOOKUP(E5248,'Urban Plastix Holds'!$I$37:$U$705,13,0),0)</f>
        <v>#NAME?</v>
      </c>
      <c r="I5248" s="274"/>
      <c r="J5248" s="274" t="e">
        <f t="shared" ca="1" si="86"/>
        <v>#NAME?</v>
      </c>
      <c r="K5248" s="274">
        <f t="shared" si="87"/>
        <v>0</v>
      </c>
      <c r="N5248" s="274"/>
    </row>
    <row r="5249" spans="5:14" ht="13.5" customHeight="1">
      <c r="E5249" s="209" t="s">
        <v>1733</v>
      </c>
      <c r="F5249" s="209" t="s">
        <v>2974</v>
      </c>
      <c r="G5249" s="406" t="str">
        <f t="shared" si="85"/>
        <v>11-12</v>
      </c>
      <c r="H5249" s="273" t="e">
        <f ca="1">_xludf.IFNA(VLOOKUP(E5249,'Urban Plastix Holds'!$I$37:$U$705,5,0),0)</f>
        <v>#NAME?</v>
      </c>
      <c r="I5249" s="274"/>
      <c r="J5249" s="274" t="e">
        <f t="shared" ca="1" si="86"/>
        <v>#NAME?</v>
      </c>
      <c r="K5249" s="274">
        <f t="shared" si="87"/>
        <v>0</v>
      </c>
      <c r="N5249" s="274"/>
    </row>
    <row r="5250" spans="5:14" ht="13.5" customHeight="1">
      <c r="E5250" s="209" t="s">
        <v>1733</v>
      </c>
      <c r="F5250" s="209" t="s">
        <v>2974</v>
      </c>
      <c r="G5250" s="408" t="str">
        <f t="shared" si="85"/>
        <v>14-01</v>
      </c>
      <c r="H5250" s="273" t="e">
        <f ca="1">_xludf.IFNA(VLOOKUP(E5250,'Urban Plastix Holds'!$I$37:$U$705,6,0),0)</f>
        <v>#NAME?</v>
      </c>
      <c r="I5250" s="274"/>
      <c r="J5250" s="274" t="e">
        <f t="shared" ca="1" si="86"/>
        <v>#NAME?</v>
      </c>
      <c r="K5250" s="274">
        <f t="shared" si="87"/>
        <v>0</v>
      </c>
      <c r="N5250" s="274"/>
    </row>
    <row r="5251" spans="5:14" ht="13.5" customHeight="1">
      <c r="E5251" s="209" t="s">
        <v>1733</v>
      </c>
      <c r="F5251" s="209" t="s">
        <v>2974</v>
      </c>
      <c r="G5251" s="409" t="str">
        <f t="shared" si="85"/>
        <v>15-12</v>
      </c>
      <c r="H5251" s="273" t="e">
        <f ca="1">_xludf.IFNA(VLOOKUP(E5251,'Urban Plastix Holds'!$I$37:$U$705,7,0),0)</f>
        <v>#NAME?</v>
      </c>
      <c r="I5251" s="274"/>
      <c r="J5251" s="274" t="e">
        <f t="shared" ca="1" si="86"/>
        <v>#NAME?</v>
      </c>
      <c r="K5251" s="274">
        <f t="shared" si="87"/>
        <v>0</v>
      </c>
      <c r="N5251" s="274"/>
    </row>
    <row r="5252" spans="5:14" ht="13.5" customHeight="1">
      <c r="E5252" s="209" t="s">
        <v>1733</v>
      </c>
      <c r="F5252" s="209" t="s">
        <v>2974</v>
      </c>
      <c r="G5252" s="410" t="str">
        <f t="shared" si="85"/>
        <v>16-16</v>
      </c>
      <c r="H5252" s="273" t="e">
        <f ca="1">_xludf.IFNA(VLOOKUP(E5252,'Urban Plastix Holds'!$I$37:$U$705,8,0),0)</f>
        <v>#NAME?</v>
      </c>
      <c r="I5252" s="274"/>
      <c r="J5252" s="274" t="e">
        <f t="shared" ca="1" si="86"/>
        <v>#NAME?</v>
      </c>
      <c r="K5252" s="274">
        <f t="shared" si="87"/>
        <v>0</v>
      </c>
      <c r="N5252" s="274"/>
    </row>
    <row r="5253" spans="5:14" ht="13.5" customHeight="1">
      <c r="E5253" s="209" t="s">
        <v>1733</v>
      </c>
      <c r="F5253" s="209" t="s">
        <v>2974</v>
      </c>
      <c r="G5253" s="411" t="str">
        <f t="shared" si="85"/>
        <v>13-01</v>
      </c>
      <c r="H5253" s="273" t="e">
        <f ca="1">_xludf.IFNA(VLOOKUP(E5253,'Urban Plastix Holds'!$I$37:$U$705,9,0),0)</f>
        <v>#NAME?</v>
      </c>
      <c r="I5253" s="274"/>
      <c r="J5253" s="274" t="e">
        <f t="shared" ca="1" si="86"/>
        <v>#NAME?</v>
      </c>
      <c r="K5253" s="274">
        <f t="shared" si="87"/>
        <v>0</v>
      </c>
      <c r="N5253" s="274"/>
    </row>
    <row r="5254" spans="5:14" ht="13.5" customHeight="1">
      <c r="E5254" s="209" t="s">
        <v>1733</v>
      </c>
      <c r="F5254" s="209" t="s">
        <v>2974</v>
      </c>
      <c r="G5254" s="413" t="str">
        <f t="shared" si="85"/>
        <v>07-13</v>
      </c>
      <c r="H5254" s="273" t="e">
        <f ca="1">_xludf.IFNA(VLOOKUP(E5254,'Urban Plastix Holds'!$I$37:$U$705,10,0),0)</f>
        <v>#NAME?</v>
      </c>
      <c r="I5254" s="274"/>
      <c r="J5254" s="274" t="e">
        <f t="shared" ca="1" si="86"/>
        <v>#NAME?</v>
      </c>
      <c r="K5254" s="274">
        <f t="shared" si="87"/>
        <v>0</v>
      </c>
      <c r="N5254" s="274"/>
    </row>
    <row r="5255" spans="5:14" ht="13.5" customHeight="1">
      <c r="E5255" s="209" t="s">
        <v>1733</v>
      </c>
      <c r="F5255" s="209" t="s">
        <v>2974</v>
      </c>
      <c r="G5255" s="414" t="str">
        <f t="shared" si="85"/>
        <v>11-26</v>
      </c>
      <c r="H5255" s="273" t="e">
        <f ca="1">_xludf.IFNA(VLOOKUP(E5255,'Urban Plastix Holds'!$I$37:$U$705,11,0),0)</f>
        <v>#NAME?</v>
      </c>
      <c r="I5255" s="274"/>
      <c r="J5255" s="274" t="e">
        <f t="shared" ca="1" si="86"/>
        <v>#NAME?</v>
      </c>
      <c r="K5255" s="274">
        <f t="shared" si="87"/>
        <v>0</v>
      </c>
      <c r="N5255" s="274"/>
    </row>
    <row r="5256" spans="5:14" ht="13.5" customHeight="1">
      <c r="E5256" s="209" t="s">
        <v>1733</v>
      </c>
      <c r="F5256" s="209" t="s">
        <v>2974</v>
      </c>
      <c r="G5256" s="415" t="str">
        <f t="shared" si="85"/>
        <v>18-01</v>
      </c>
      <c r="H5256" s="273" t="e">
        <f ca="1">_xludf.IFNA(VLOOKUP(E5256,'Urban Plastix Holds'!$I$37:$U$705,12,0),0)</f>
        <v>#NAME?</v>
      </c>
      <c r="I5256" s="274"/>
      <c r="J5256" s="274" t="e">
        <f t="shared" ca="1" si="86"/>
        <v>#NAME?</v>
      </c>
      <c r="K5256" s="274">
        <f t="shared" si="87"/>
        <v>0</v>
      </c>
      <c r="N5256" s="274"/>
    </row>
    <row r="5257" spans="5:14" ht="13.5" customHeight="1">
      <c r="E5257" s="209" t="s">
        <v>1733</v>
      </c>
      <c r="F5257" s="209" t="s">
        <v>2974</v>
      </c>
      <c r="G5257" s="416" t="str">
        <f t="shared" si="85"/>
        <v>Color Code</v>
      </c>
      <c r="H5257" s="273" t="e">
        <f ca="1">_xludf.IFNA(VLOOKUP(E5257,'Urban Plastix Holds'!$I$37:$U$705,13,0),0)</f>
        <v>#NAME?</v>
      </c>
      <c r="I5257" s="274"/>
      <c r="J5257" s="274" t="e">
        <f t="shared" ca="1" si="86"/>
        <v>#NAME?</v>
      </c>
      <c r="K5257" s="274">
        <f t="shared" si="87"/>
        <v>0</v>
      </c>
      <c r="N5257" s="274"/>
    </row>
    <row r="5258" spans="5:14" ht="13.5" customHeight="1">
      <c r="E5258" s="209" t="s">
        <v>1838</v>
      </c>
      <c r="F5258" s="209" t="s">
        <v>2975</v>
      </c>
      <c r="G5258" s="406" t="str">
        <f t="shared" si="85"/>
        <v>11-12</v>
      </c>
      <c r="H5258" s="273" t="e">
        <f ca="1">_xludf.IFNA(VLOOKUP(E5258,'Urban Plastix Holds'!$I$37:$U$705,5,0),0)</f>
        <v>#NAME?</v>
      </c>
      <c r="I5258" s="274"/>
      <c r="J5258" s="274" t="e">
        <f t="shared" ca="1" si="86"/>
        <v>#NAME?</v>
      </c>
      <c r="K5258" s="274">
        <f t="shared" si="87"/>
        <v>0</v>
      </c>
      <c r="N5258" s="274"/>
    </row>
    <row r="5259" spans="5:14" ht="13.5" customHeight="1">
      <c r="E5259" s="209" t="s">
        <v>1838</v>
      </c>
      <c r="F5259" s="209" t="s">
        <v>2975</v>
      </c>
      <c r="G5259" s="408" t="str">
        <f t="shared" si="85"/>
        <v>14-01</v>
      </c>
      <c r="H5259" s="273" t="e">
        <f ca="1">_xludf.IFNA(VLOOKUP(E5259,'Urban Plastix Holds'!$I$37:$U$705,6,0),0)</f>
        <v>#NAME?</v>
      </c>
      <c r="I5259" s="274"/>
      <c r="J5259" s="274" t="e">
        <f t="shared" ca="1" si="86"/>
        <v>#NAME?</v>
      </c>
      <c r="K5259" s="274">
        <f t="shared" si="87"/>
        <v>0</v>
      </c>
      <c r="N5259" s="274"/>
    </row>
    <row r="5260" spans="5:14" ht="13.5" customHeight="1">
      <c r="E5260" s="209" t="s">
        <v>1838</v>
      </c>
      <c r="F5260" s="209" t="s">
        <v>2975</v>
      </c>
      <c r="G5260" s="409" t="str">
        <f t="shared" si="85"/>
        <v>15-12</v>
      </c>
      <c r="H5260" s="273" t="e">
        <f ca="1">_xludf.IFNA(VLOOKUP(E5260,'Urban Plastix Holds'!$I$37:$U$705,7,0),0)</f>
        <v>#NAME?</v>
      </c>
      <c r="I5260" s="274"/>
      <c r="J5260" s="274" t="e">
        <f t="shared" ca="1" si="86"/>
        <v>#NAME?</v>
      </c>
      <c r="K5260" s="274">
        <f t="shared" si="87"/>
        <v>0</v>
      </c>
      <c r="N5260" s="274"/>
    </row>
    <row r="5261" spans="5:14" ht="13.5" customHeight="1">
      <c r="E5261" s="209" t="s">
        <v>1838</v>
      </c>
      <c r="F5261" s="209" t="s">
        <v>2975</v>
      </c>
      <c r="G5261" s="410" t="str">
        <f t="shared" si="85"/>
        <v>16-16</v>
      </c>
      <c r="H5261" s="273" t="e">
        <f ca="1">_xludf.IFNA(VLOOKUP(E5261,'Urban Plastix Holds'!$I$37:$U$705,8,0),0)</f>
        <v>#NAME?</v>
      </c>
      <c r="I5261" s="274"/>
      <c r="J5261" s="274" t="e">
        <f t="shared" ca="1" si="86"/>
        <v>#NAME?</v>
      </c>
      <c r="K5261" s="274">
        <f t="shared" si="87"/>
        <v>0</v>
      </c>
      <c r="N5261" s="274"/>
    </row>
    <row r="5262" spans="5:14" ht="13.5" customHeight="1">
      <c r="E5262" s="209" t="s">
        <v>1838</v>
      </c>
      <c r="F5262" s="209" t="s">
        <v>2975</v>
      </c>
      <c r="G5262" s="411" t="str">
        <f t="shared" si="85"/>
        <v>13-01</v>
      </c>
      <c r="H5262" s="273" t="e">
        <f ca="1">_xludf.IFNA(VLOOKUP(E5262,'Urban Plastix Holds'!$I$37:$U$705,9,0),0)</f>
        <v>#NAME?</v>
      </c>
      <c r="I5262" s="274"/>
      <c r="J5262" s="274" t="e">
        <f t="shared" ca="1" si="86"/>
        <v>#NAME?</v>
      </c>
      <c r="K5262" s="274">
        <f t="shared" si="87"/>
        <v>0</v>
      </c>
      <c r="N5262" s="274"/>
    </row>
    <row r="5263" spans="5:14" ht="13.5" customHeight="1">
      <c r="E5263" s="209" t="s">
        <v>1838</v>
      </c>
      <c r="F5263" s="209" t="s">
        <v>2975</v>
      </c>
      <c r="G5263" s="413" t="str">
        <f t="shared" si="85"/>
        <v>07-13</v>
      </c>
      <c r="H5263" s="273" t="e">
        <f ca="1">_xludf.IFNA(VLOOKUP(E5263,'Urban Plastix Holds'!$I$37:$U$705,10,0),0)</f>
        <v>#NAME?</v>
      </c>
      <c r="I5263" s="274"/>
      <c r="J5263" s="274" t="e">
        <f t="shared" ca="1" si="86"/>
        <v>#NAME?</v>
      </c>
      <c r="K5263" s="274">
        <f t="shared" si="87"/>
        <v>0</v>
      </c>
      <c r="N5263" s="274"/>
    </row>
    <row r="5264" spans="5:14" ht="13.5" customHeight="1">
      <c r="E5264" s="209" t="s">
        <v>1838</v>
      </c>
      <c r="F5264" s="209" t="s">
        <v>2975</v>
      </c>
      <c r="G5264" s="414" t="str">
        <f t="shared" si="85"/>
        <v>11-26</v>
      </c>
      <c r="H5264" s="273" t="e">
        <f ca="1">_xludf.IFNA(VLOOKUP(E5264,'Urban Plastix Holds'!$I$37:$U$705,11,0),0)</f>
        <v>#NAME?</v>
      </c>
      <c r="I5264" s="274"/>
      <c r="J5264" s="274" t="e">
        <f t="shared" ca="1" si="86"/>
        <v>#NAME?</v>
      </c>
      <c r="K5264" s="274">
        <f t="shared" si="87"/>
        <v>0</v>
      </c>
      <c r="N5264" s="274"/>
    </row>
    <row r="5265" spans="5:14" ht="13.5" customHeight="1">
      <c r="E5265" s="209" t="s">
        <v>1838</v>
      </c>
      <c r="F5265" s="209" t="s">
        <v>2975</v>
      </c>
      <c r="G5265" s="415" t="str">
        <f t="shared" si="85"/>
        <v>18-01</v>
      </c>
      <c r="H5265" s="273" t="e">
        <f ca="1">_xludf.IFNA(VLOOKUP(E5265,'Urban Plastix Holds'!$I$37:$U$705,12,0),0)</f>
        <v>#NAME?</v>
      </c>
      <c r="I5265" s="274"/>
      <c r="J5265" s="274" t="e">
        <f t="shared" ca="1" si="86"/>
        <v>#NAME?</v>
      </c>
      <c r="K5265" s="274">
        <f t="shared" si="87"/>
        <v>0</v>
      </c>
      <c r="N5265" s="274"/>
    </row>
    <row r="5266" spans="5:14" ht="13.5" customHeight="1">
      <c r="E5266" s="209" t="s">
        <v>1838</v>
      </c>
      <c r="F5266" s="209" t="s">
        <v>2975</v>
      </c>
      <c r="G5266" s="416" t="str">
        <f t="shared" si="85"/>
        <v>Color Code</v>
      </c>
      <c r="H5266" s="273" t="e">
        <f ca="1">_xludf.IFNA(VLOOKUP(E5266,'Urban Plastix Holds'!$I$37:$U$705,13,0),0)</f>
        <v>#NAME?</v>
      </c>
      <c r="I5266" s="274"/>
      <c r="J5266" s="274" t="e">
        <f t="shared" ca="1" si="86"/>
        <v>#NAME?</v>
      </c>
      <c r="K5266" s="274">
        <f t="shared" si="87"/>
        <v>0</v>
      </c>
      <c r="N5266" s="274"/>
    </row>
    <row r="5267" spans="5:14" ht="13.5" customHeight="1">
      <c r="E5267" s="209" t="s">
        <v>1847</v>
      </c>
      <c r="F5267" s="209" t="s">
        <v>2976</v>
      </c>
      <c r="G5267" s="406" t="str">
        <f t="shared" si="85"/>
        <v>11-12</v>
      </c>
      <c r="H5267" s="273" t="e">
        <f ca="1">_xludf.IFNA(VLOOKUP(E5267,'Urban Plastix Holds'!$I$37:$U$705,5,0),0)</f>
        <v>#NAME?</v>
      </c>
      <c r="I5267" s="274"/>
      <c r="J5267" s="274" t="e">
        <f t="shared" ca="1" si="86"/>
        <v>#NAME?</v>
      </c>
      <c r="K5267" s="274">
        <f t="shared" si="87"/>
        <v>0</v>
      </c>
      <c r="N5267" s="274"/>
    </row>
    <row r="5268" spans="5:14" ht="13.5" customHeight="1">
      <c r="E5268" s="209" t="s">
        <v>1847</v>
      </c>
      <c r="F5268" s="209" t="s">
        <v>2976</v>
      </c>
      <c r="G5268" s="408" t="str">
        <f t="shared" si="85"/>
        <v>14-01</v>
      </c>
      <c r="H5268" s="273" t="e">
        <f ca="1">_xludf.IFNA(VLOOKUP(E5268,'Urban Plastix Holds'!$I$37:$U$705,6,0),0)</f>
        <v>#NAME?</v>
      </c>
      <c r="I5268" s="274"/>
      <c r="J5268" s="274" t="e">
        <f t="shared" ca="1" si="86"/>
        <v>#NAME?</v>
      </c>
      <c r="K5268" s="274">
        <f t="shared" si="87"/>
        <v>0</v>
      </c>
      <c r="N5268" s="274"/>
    </row>
    <row r="5269" spans="5:14" ht="13.5" customHeight="1">
      <c r="E5269" s="209" t="s">
        <v>1847</v>
      </c>
      <c r="F5269" s="209" t="s">
        <v>2976</v>
      </c>
      <c r="G5269" s="409" t="str">
        <f t="shared" si="85"/>
        <v>15-12</v>
      </c>
      <c r="H5269" s="273" t="e">
        <f ca="1">_xludf.IFNA(VLOOKUP(E5269,'Urban Plastix Holds'!$I$37:$U$705,7,0),0)</f>
        <v>#NAME?</v>
      </c>
      <c r="I5269" s="274"/>
      <c r="J5269" s="274" t="e">
        <f t="shared" ca="1" si="86"/>
        <v>#NAME?</v>
      </c>
      <c r="K5269" s="274">
        <f t="shared" si="87"/>
        <v>0</v>
      </c>
      <c r="N5269" s="274"/>
    </row>
    <row r="5270" spans="5:14" ht="13.5" customHeight="1">
      <c r="E5270" s="209" t="s">
        <v>1847</v>
      </c>
      <c r="F5270" s="209" t="s">
        <v>2976</v>
      </c>
      <c r="G5270" s="410" t="str">
        <f t="shared" si="85"/>
        <v>16-16</v>
      </c>
      <c r="H5270" s="273" t="e">
        <f ca="1">_xludf.IFNA(VLOOKUP(E5270,'Urban Plastix Holds'!$I$37:$U$705,8,0),0)</f>
        <v>#NAME?</v>
      </c>
      <c r="I5270" s="274"/>
      <c r="J5270" s="274" t="e">
        <f t="shared" ca="1" si="86"/>
        <v>#NAME?</v>
      </c>
      <c r="K5270" s="274">
        <f t="shared" si="87"/>
        <v>0</v>
      </c>
      <c r="N5270" s="274"/>
    </row>
    <row r="5271" spans="5:14" ht="13.5" customHeight="1">
      <c r="E5271" s="209" t="s">
        <v>1847</v>
      </c>
      <c r="F5271" s="209" t="s">
        <v>2976</v>
      </c>
      <c r="G5271" s="411" t="str">
        <f t="shared" si="85"/>
        <v>13-01</v>
      </c>
      <c r="H5271" s="273" t="e">
        <f ca="1">_xludf.IFNA(VLOOKUP(E5271,'Urban Plastix Holds'!$I$37:$U$705,9,0),0)</f>
        <v>#NAME?</v>
      </c>
      <c r="I5271" s="274"/>
      <c r="J5271" s="274" t="e">
        <f t="shared" ca="1" si="86"/>
        <v>#NAME?</v>
      </c>
      <c r="K5271" s="274">
        <f t="shared" si="87"/>
        <v>0</v>
      </c>
      <c r="N5271" s="274"/>
    </row>
    <row r="5272" spans="5:14" ht="13.5" customHeight="1">
      <c r="E5272" s="209" t="s">
        <v>1847</v>
      </c>
      <c r="F5272" s="209" t="s">
        <v>2976</v>
      </c>
      <c r="G5272" s="413" t="str">
        <f t="shared" si="85"/>
        <v>07-13</v>
      </c>
      <c r="H5272" s="273" t="e">
        <f ca="1">_xludf.IFNA(VLOOKUP(E5272,'Urban Plastix Holds'!$I$37:$U$705,10,0),0)</f>
        <v>#NAME?</v>
      </c>
      <c r="I5272" s="274"/>
      <c r="J5272" s="274" t="e">
        <f t="shared" ca="1" si="86"/>
        <v>#NAME?</v>
      </c>
      <c r="K5272" s="274">
        <f t="shared" si="87"/>
        <v>0</v>
      </c>
      <c r="N5272" s="274"/>
    </row>
    <row r="5273" spans="5:14" ht="13.5" customHeight="1">
      <c r="E5273" s="209" t="s">
        <v>1847</v>
      </c>
      <c r="F5273" s="209" t="s">
        <v>2976</v>
      </c>
      <c r="G5273" s="414" t="str">
        <f t="shared" si="85"/>
        <v>11-26</v>
      </c>
      <c r="H5273" s="273" t="e">
        <f ca="1">_xludf.IFNA(VLOOKUP(E5273,'Urban Plastix Holds'!$I$37:$U$705,11,0),0)</f>
        <v>#NAME?</v>
      </c>
      <c r="I5273" s="274"/>
      <c r="J5273" s="274" t="e">
        <f t="shared" ca="1" si="86"/>
        <v>#NAME?</v>
      </c>
      <c r="K5273" s="274">
        <f t="shared" si="87"/>
        <v>0</v>
      </c>
      <c r="N5273" s="274"/>
    </row>
    <row r="5274" spans="5:14" ht="13.5" customHeight="1">
      <c r="E5274" s="209" t="s">
        <v>1847</v>
      </c>
      <c r="F5274" s="209" t="s">
        <v>2976</v>
      </c>
      <c r="G5274" s="415" t="str">
        <f t="shared" si="85"/>
        <v>18-01</v>
      </c>
      <c r="H5274" s="273" t="e">
        <f ca="1">_xludf.IFNA(VLOOKUP(E5274,'Urban Plastix Holds'!$I$37:$U$705,12,0),0)</f>
        <v>#NAME?</v>
      </c>
      <c r="I5274" s="274"/>
      <c r="J5274" s="274" t="e">
        <f t="shared" ca="1" si="86"/>
        <v>#NAME?</v>
      </c>
      <c r="K5274" s="274">
        <f t="shared" si="87"/>
        <v>0</v>
      </c>
      <c r="N5274" s="274"/>
    </row>
    <row r="5275" spans="5:14" ht="13.5" customHeight="1">
      <c r="E5275" s="209" t="s">
        <v>1847</v>
      </c>
      <c r="F5275" s="209" t="s">
        <v>2976</v>
      </c>
      <c r="G5275" s="416" t="str">
        <f t="shared" si="85"/>
        <v>Color Code</v>
      </c>
      <c r="H5275" s="273" t="e">
        <f ca="1">_xludf.IFNA(VLOOKUP(E5275,'Urban Plastix Holds'!$I$37:$U$705,13,0),0)</f>
        <v>#NAME?</v>
      </c>
      <c r="I5275" s="274"/>
      <c r="J5275" s="274" t="e">
        <f t="shared" ca="1" si="86"/>
        <v>#NAME?</v>
      </c>
      <c r="K5275" s="274">
        <f t="shared" si="87"/>
        <v>0</v>
      </c>
      <c r="N5275" s="274"/>
    </row>
    <row r="5276" spans="5:14" ht="13.5" customHeight="1">
      <c r="E5276" s="209" t="s">
        <v>1857</v>
      </c>
      <c r="F5276" s="209" t="s">
        <v>2977</v>
      </c>
      <c r="G5276" s="406" t="str">
        <f t="shared" si="85"/>
        <v>11-12</v>
      </c>
      <c r="H5276" s="273" t="e">
        <f ca="1">_xludf.IFNA(VLOOKUP(E5276,'Urban Plastix Holds'!$I$37:$U$705,5,0),0)</f>
        <v>#NAME?</v>
      </c>
      <c r="I5276" s="274"/>
      <c r="J5276" s="274" t="e">
        <f t="shared" ca="1" si="86"/>
        <v>#NAME?</v>
      </c>
      <c r="K5276" s="274">
        <f t="shared" si="87"/>
        <v>0</v>
      </c>
      <c r="N5276" s="274"/>
    </row>
    <row r="5277" spans="5:14" ht="13.5" customHeight="1">
      <c r="E5277" s="209" t="s">
        <v>1857</v>
      </c>
      <c r="F5277" s="209" t="s">
        <v>2977</v>
      </c>
      <c r="G5277" s="408" t="str">
        <f t="shared" si="85"/>
        <v>14-01</v>
      </c>
      <c r="H5277" s="273" t="e">
        <f ca="1">_xludf.IFNA(VLOOKUP(E5277,'Urban Plastix Holds'!$I$37:$U$705,6,0),0)</f>
        <v>#NAME?</v>
      </c>
      <c r="I5277" s="274"/>
      <c r="J5277" s="274" t="e">
        <f t="shared" ca="1" si="86"/>
        <v>#NAME?</v>
      </c>
      <c r="K5277" s="274">
        <f t="shared" si="87"/>
        <v>0</v>
      </c>
      <c r="N5277" s="274"/>
    </row>
    <row r="5278" spans="5:14" ht="13.5" customHeight="1">
      <c r="E5278" s="209" t="s">
        <v>1857</v>
      </c>
      <c r="F5278" s="209" t="s">
        <v>2977</v>
      </c>
      <c r="G5278" s="409" t="str">
        <f t="shared" si="85"/>
        <v>15-12</v>
      </c>
      <c r="H5278" s="273" t="e">
        <f ca="1">_xludf.IFNA(VLOOKUP(E5278,'Urban Plastix Holds'!$I$37:$U$705,7,0),0)</f>
        <v>#NAME?</v>
      </c>
      <c r="I5278" s="274"/>
      <c r="J5278" s="274" t="e">
        <f t="shared" ca="1" si="86"/>
        <v>#NAME?</v>
      </c>
      <c r="K5278" s="274">
        <f t="shared" si="87"/>
        <v>0</v>
      </c>
      <c r="N5278" s="274"/>
    </row>
    <row r="5279" spans="5:14" ht="13.5" customHeight="1">
      <c r="E5279" s="209" t="s">
        <v>1857</v>
      </c>
      <c r="F5279" s="209" t="s">
        <v>2977</v>
      </c>
      <c r="G5279" s="410" t="str">
        <f t="shared" si="85"/>
        <v>16-16</v>
      </c>
      <c r="H5279" s="273" t="e">
        <f ca="1">_xludf.IFNA(VLOOKUP(E5279,'Urban Plastix Holds'!$I$37:$U$705,8,0),0)</f>
        <v>#NAME?</v>
      </c>
      <c r="I5279" s="274"/>
      <c r="J5279" s="274" t="e">
        <f t="shared" ca="1" si="86"/>
        <v>#NAME?</v>
      </c>
      <c r="K5279" s="274">
        <f t="shared" si="87"/>
        <v>0</v>
      </c>
      <c r="N5279" s="274"/>
    </row>
    <row r="5280" spans="5:14" ht="13.5" customHeight="1">
      <c r="E5280" s="209" t="s">
        <v>1857</v>
      </c>
      <c r="F5280" s="209" t="s">
        <v>2977</v>
      </c>
      <c r="G5280" s="411" t="str">
        <f t="shared" si="85"/>
        <v>13-01</v>
      </c>
      <c r="H5280" s="273" t="e">
        <f ca="1">_xludf.IFNA(VLOOKUP(E5280,'Urban Plastix Holds'!$I$37:$U$705,9,0),0)</f>
        <v>#NAME?</v>
      </c>
      <c r="I5280" s="274"/>
      <c r="J5280" s="274" t="e">
        <f t="shared" ca="1" si="86"/>
        <v>#NAME?</v>
      </c>
      <c r="K5280" s="274">
        <f t="shared" si="87"/>
        <v>0</v>
      </c>
      <c r="N5280" s="274"/>
    </row>
    <row r="5281" spans="5:14" ht="13.5" customHeight="1">
      <c r="E5281" s="209" t="s">
        <v>1857</v>
      </c>
      <c r="F5281" s="209" t="s">
        <v>2977</v>
      </c>
      <c r="G5281" s="413" t="str">
        <f t="shared" si="85"/>
        <v>07-13</v>
      </c>
      <c r="H5281" s="273" t="e">
        <f ca="1">_xludf.IFNA(VLOOKUP(E5281,'Urban Plastix Holds'!$I$37:$U$705,10,0),0)</f>
        <v>#NAME?</v>
      </c>
      <c r="I5281" s="274"/>
      <c r="J5281" s="274" t="e">
        <f t="shared" ca="1" si="86"/>
        <v>#NAME?</v>
      </c>
      <c r="K5281" s="274">
        <f t="shared" si="87"/>
        <v>0</v>
      </c>
      <c r="N5281" s="274"/>
    </row>
    <row r="5282" spans="5:14" ht="13.5" customHeight="1">
      <c r="E5282" s="209" t="s">
        <v>1857</v>
      </c>
      <c r="F5282" s="209" t="s">
        <v>2977</v>
      </c>
      <c r="G5282" s="414" t="str">
        <f t="shared" si="85"/>
        <v>11-26</v>
      </c>
      <c r="H5282" s="273" t="e">
        <f ca="1">_xludf.IFNA(VLOOKUP(E5282,'Urban Plastix Holds'!$I$37:$U$705,11,0),0)</f>
        <v>#NAME?</v>
      </c>
      <c r="I5282" s="274"/>
      <c r="J5282" s="274" t="e">
        <f t="shared" ca="1" si="86"/>
        <v>#NAME?</v>
      </c>
      <c r="K5282" s="274">
        <f t="shared" si="87"/>
        <v>0</v>
      </c>
      <c r="N5282" s="274"/>
    </row>
    <row r="5283" spans="5:14" ht="13.5" customHeight="1">
      <c r="E5283" s="209" t="s">
        <v>1857</v>
      </c>
      <c r="F5283" s="209" t="s">
        <v>2977</v>
      </c>
      <c r="G5283" s="415" t="str">
        <f t="shared" si="85"/>
        <v>18-01</v>
      </c>
      <c r="H5283" s="273" t="e">
        <f ca="1">_xludf.IFNA(VLOOKUP(E5283,'Urban Plastix Holds'!$I$37:$U$705,12,0),0)</f>
        <v>#NAME?</v>
      </c>
      <c r="I5283" s="274"/>
      <c r="J5283" s="274" t="e">
        <f t="shared" ca="1" si="86"/>
        <v>#NAME?</v>
      </c>
      <c r="K5283" s="274">
        <f t="shared" si="87"/>
        <v>0</v>
      </c>
      <c r="N5283" s="274"/>
    </row>
    <row r="5284" spans="5:14" ht="13.5" customHeight="1">
      <c r="E5284" s="209" t="s">
        <v>1857</v>
      </c>
      <c r="F5284" s="209" t="s">
        <v>2977</v>
      </c>
      <c r="G5284" s="416" t="str">
        <f t="shared" si="85"/>
        <v>Color Code</v>
      </c>
      <c r="H5284" s="273" t="e">
        <f ca="1">_xludf.IFNA(VLOOKUP(E5284,'Urban Plastix Holds'!$I$37:$U$705,13,0),0)</f>
        <v>#NAME?</v>
      </c>
      <c r="I5284" s="274"/>
      <c r="J5284" s="274" t="e">
        <f t="shared" ca="1" si="86"/>
        <v>#NAME?</v>
      </c>
      <c r="K5284" s="274">
        <f t="shared" si="87"/>
        <v>0</v>
      </c>
      <c r="N5284" s="274"/>
    </row>
    <row r="5285" spans="5:14" ht="13.5" customHeight="1">
      <c r="E5285" s="209" t="s">
        <v>1829</v>
      </c>
      <c r="F5285" s="209" t="s">
        <v>2978</v>
      </c>
      <c r="G5285" s="406" t="str">
        <f t="shared" si="85"/>
        <v>11-12</v>
      </c>
      <c r="H5285" s="273" t="e">
        <f ca="1">_xludf.IFNA(VLOOKUP(E5285,'Urban Plastix Holds'!$I$37:$U$705,5,0),0)</f>
        <v>#NAME?</v>
      </c>
      <c r="I5285" s="274"/>
      <c r="J5285" s="274" t="e">
        <f t="shared" ca="1" si="86"/>
        <v>#NAME?</v>
      </c>
      <c r="K5285" s="274">
        <f t="shared" si="87"/>
        <v>0</v>
      </c>
      <c r="N5285" s="274"/>
    </row>
    <row r="5286" spans="5:14" ht="13.5" customHeight="1">
      <c r="E5286" s="209" t="s">
        <v>1829</v>
      </c>
      <c r="F5286" s="209" t="s">
        <v>2978</v>
      </c>
      <c r="G5286" s="408" t="str">
        <f t="shared" si="85"/>
        <v>14-01</v>
      </c>
      <c r="H5286" s="273" t="e">
        <f ca="1">_xludf.IFNA(VLOOKUP(E5286,'Urban Plastix Holds'!$I$37:$U$705,6,0),0)</f>
        <v>#NAME?</v>
      </c>
      <c r="I5286" s="274"/>
      <c r="J5286" s="274" t="e">
        <f t="shared" ca="1" si="86"/>
        <v>#NAME?</v>
      </c>
      <c r="K5286" s="274">
        <f t="shared" si="87"/>
        <v>0</v>
      </c>
      <c r="N5286" s="274"/>
    </row>
    <row r="5287" spans="5:14" ht="13.5" customHeight="1">
      <c r="E5287" s="209" t="s">
        <v>1829</v>
      </c>
      <c r="F5287" s="209" t="s">
        <v>2978</v>
      </c>
      <c r="G5287" s="409" t="str">
        <f t="shared" si="85"/>
        <v>15-12</v>
      </c>
      <c r="H5287" s="273" t="e">
        <f ca="1">_xludf.IFNA(VLOOKUP(E5287,'Urban Plastix Holds'!$I$37:$U$705,7,0),0)</f>
        <v>#NAME?</v>
      </c>
      <c r="I5287" s="274"/>
      <c r="J5287" s="274" t="e">
        <f t="shared" ca="1" si="86"/>
        <v>#NAME?</v>
      </c>
      <c r="K5287" s="274">
        <f t="shared" si="87"/>
        <v>0</v>
      </c>
      <c r="N5287" s="274"/>
    </row>
    <row r="5288" spans="5:14" ht="13.5" customHeight="1">
      <c r="E5288" s="209" t="s">
        <v>1829</v>
      </c>
      <c r="F5288" s="209" t="s">
        <v>2978</v>
      </c>
      <c r="G5288" s="410" t="str">
        <f t="shared" si="85"/>
        <v>16-16</v>
      </c>
      <c r="H5288" s="273" t="e">
        <f ca="1">_xludf.IFNA(VLOOKUP(E5288,'Urban Plastix Holds'!$I$37:$U$705,8,0),0)</f>
        <v>#NAME?</v>
      </c>
      <c r="I5288" s="274"/>
      <c r="J5288" s="274" t="e">
        <f t="shared" ca="1" si="86"/>
        <v>#NAME?</v>
      </c>
      <c r="K5288" s="274">
        <f t="shared" si="87"/>
        <v>0</v>
      </c>
      <c r="N5288" s="274"/>
    </row>
    <row r="5289" spans="5:14" ht="13.5" customHeight="1">
      <c r="E5289" s="209" t="s">
        <v>1829</v>
      </c>
      <c r="F5289" s="209" t="s">
        <v>2978</v>
      </c>
      <c r="G5289" s="411" t="str">
        <f t="shared" si="85"/>
        <v>13-01</v>
      </c>
      <c r="H5289" s="273" t="e">
        <f ca="1">_xludf.IFNA(VLOOKUP(E5289,'Urban Plastix Holds'!$I$37:$U$705,9,0),0)</f>
        <v>#NAME?</v>
      </c>
      <c r="I5289" s="274"/>
      <c r="J5289" s="274" t="e">
        <f t="shared" ca="1" si="86"/>
        <v>#NAME?</v>
      </c>
      <c r="K5289" s="274">
        <f t="shared" si="87"/>
        <v>0</v>
      </c>
      <c r="N5289" s="274"/>
    </row>
    <row r="5290" spans="5:14" ht="13.5" customHeight="1">
      <c r="E5290" s="209" t="s">
        <v>1829</v>
      </c>
      <c r="F5290" s="209" t="s">
        <v>2978</v>
      </c>
      <c r="G5290" s="413" t="str">
        <f t="shared" si="85"/>
        <v>07-13</v>
      </c>
      <c r="H5290" s="273" t="e">
        <f ca="1">_xludf.IFNA(VLOOKUP(E5290,'Urban Plastix Holds'!$I$37:$U$705,10,0),0)</f>
        <v>#NAME?</v>
      </c>
      <c r="I5290" s="274"/>
      <c r="J5290" s="274" t="e">
        <f t="shared" ca="1" si="86"/>
        <v>#NAME?</v>
      </c>
      <c r="K5290" s="274">
        <f t="shared" si="87"/>
        <v>0</v>
      </c>
      <c r="N5290" s="274"/>
    </row>
    <row r="5291" spans="5:14" ht="13.5" customHeight="1">
      <c r="E5291" s="209" t="s">
        <v>1829</v>
      </c>
      <c r="F5291" s="209" t="s">
        <v>2978</v>
      </c>
      <c r="G5291" s="414" t="str">
        <f t="shared" si="85"/>
        <v>11-26</v>
      </c>
      <c r="H5291" s="273" t="e">
        <f ca="1">_xludf.IFNA(VLOOKUP(E5291,'Urban Plastix Holds'!$I$37:$U$705,11,0),0)</f>
        <v>#NAME?</v>
      </c>
      <c r="I5291" s="274"/>
      <c r="J5291" s="274" t="e">
        <f t="shared" ca="1" si="86"/>
        <v>#NAME?</v>
      </c>
      <c r="K5291" s="274">
        <f t="shared" si="87"/>
        <v>0</v>
      </c>
      <c r="N5291" s="274"/>
    </row>
    <row r="5292" spans="5:14" ht="13.5" customHeight="1">
      <c r="E5292" s="209" t="s">
        <v>1829</v>
      </c>
      <c r="F5292" s="209" t="s">
        <v>2978</v>
      </c>
      <c r="G5292" s="415" t="str">
        <f t="shared" si="85"/>
        <v>18-01</v>
      </c>
      <c r="H5292" s="273" t="e">
        <f ca="1">_xludf.IFNA(VLOOKUP(E5292,'Urban Plastix Holds'!$I$37:$U$705,12,0),0)</f>
        <v>#NAME?</v>
      </c>
      <c r="I5292" s="274"/>
      <c r="J5292" s="274" t="e">
        <f t="shared" ca="1" si="86"/>
        <v>#NAME?</v>
      </c>
      <c r="K5292" s="274">
        <f t="shared" si="87"/>
        <v>0</v>
      </c>
      <c r="N5292" s="274"/>
    </row>
    <row r="5293" spans="5:14" ht="13.5" customHeight="1">
      <c r="E5293" s="209" t="s">
        <v>1829</v>
      </c>
      <c r="F5293" s="209" t="s">
        <v>2978</v>
      </c>
      <c r="G5293" s="416" t="str">
        <f t="shared" si="85"/>
        <v>Color Code</v>
      </c>
      <c r="H5293" s="273" t="e">
        <f ca="1">_xludf.IFNA(VLOOKUP(E5293,'Urban Plastix Holds'!$I$37:$U$705,13,0),0)</f>
        <v>#NAME?</v>
      </c>
      <c r="I5293" s="274"/>
      <c r="J5293" s="274" t="e">
        <f t="shared" ca="1" si="86"/>
        <v>#NAME?</v>
      </c>
      <c r="K5293" s="274">
        <f t="shared" si="87"/>
        <v>0</v>
      </c>
      <c r="N5293" s="274"/>
    </row>
    <row r="5294" spans="5:14" ht="13.5" customHeight="1">
      <c r="E5294" s="209" t="s">
        <v>1863</v>
      </c>
      <c r="F5294" s="209" t="s">
        <v>2979</v>
      </c>
      <c r="G5294" s="406" t="str">
        <f t="shared" si="85"/>
        <v>11-12</v>
      </c>
      <c r="H5294" s="273" t="e">
        <f ca="1">_xludf.IFNA(VLOOKUP(E5294,'Urban Plastix Holds'!$I$37:$U$705,5,0),0)</f>
        <v>#NAME?</v>
      </c>
      <c r="I5294" s="274"/>
      <c r="J5294" s="274" t="e">
        <f t="shared" ca="1" si="86"/>
        <v>#NAME?</v>
      </c>
      <c r="K5294" s="274">
        <f t="shared" si="87"/>
        <v>0</v>
      </c>
      <c r="N5294" s="274"/>
    </row>
    <row r="5295" spans="5:14" ht="13.5" customHeight="1">
      <c r="E5295" s="209" t="s">
        <v>1863</v>
      </c>
      <c r="F5295" s="209" t="s">
        <v>2979</v>
      </c>
      <c r="G5295" s="408" t="str">
        <f t="shared" si="85"/>
        <v>14-01</v>
      </c>
      <c r="H5295" s="273" t="e">
        <f ca="1">_xludf.IFNA(VLOOKUP(E5295,'Urban Plastix Holds'!$I$37:$U$705,6,0),0)</f>
        <v>#NAME?</v>
      </c>
      <c r="I5295" s="274"/>
      <c r="J5295" s="274" t="e">
        <f t="shared" ca="1" si="86"/>
        <v>#NAME?</v>
      </c>
      <c r="K5295" s="274">
        <f t="shared" si="87"/>
        <v>0</v>
      </c>
      <c r="N5295" s="274"/>
    </row>
    <row r="5296" spans="5:14" ht="13.5" customHeight="1">
      <c r="E5296" s="209" t="s">
        <v>1863</v>
      </c>
      <c r="F5296" s="209" t="s">
        <v>2979</v>
      </c>
      <c r="G5296" s="409" t="str">
        <f t="shared" si="85"/>
        <v>15-12</v>
      </c>
      <c r="H5296" s="273" t="e">
        <f ca="1">_xludf.IFNA(VLOOKUP(E5296,'Urban Plastix Holds'!$I$37:$U$705,7,0),0)</f>
        <v>#NAME?</v>
      </c>
      <c r="I5296" s="274"/>
      <c r="J5296" s="274" t="e">
        <f t="shared" ca="1" si="86"/>
        <v>#NAME?</v>
      </c>
      <c r="K5296" s="274">
        <f t="shared" si="87"/>
        <v>0</v>
      </c>
      <c r="N5296" s="274"/>
    </row>
    <row r="5297" spans="5:14" ht="13.5" customHeight="1">
      <c r="E5297" s="209" t="s">
        <v>1863</v>
      </c>
      <c r="F5297" s="209" t="s">
        <v>2979</v>
      </c>
      <c r="G5297" s="410" t="str">
        <f t="shared" si="85"/>
        <v>16-16</v>
      </c>
      <c r="H5297" s="273" t="e">
        <f ca="1">_xludf.IFNA(VLOOKUP(E5297,'Urban Plastix Holds'!$I$37:$U$705,8,0),0)</f>
        <v>#NAME?</v>
      </c>
      <c r="I5297" s="274"/>
      <c r="J5297" s="274" t="e">
        <f t="shared" ca="1" si="86"/>
        <v>#NAME?</v>
      </c>
      <c r="K5297" s="274">
        <f t="shared" si="87"/>
        <v>0</v>
      </c>
      <c r="N5297" s="274"/>
    </row>
    <row r="5298" spans="5:14" ht="13.5" customHeight="1">
      <c r="E5298" s="209" t="s">
        <v>1863</v>
      </c>
      <c r="F5298" s="209" t="s">
        <v>2979</v>
      </c>
      <c r="G5298" s="411" t="str">
        <f t="shared" si="85"/>
        <v>13-01</v>
      </c>
      <c r="H5298" s="273" t="e">
        <f ca="1">_xludf.IFNA(VLOOKUP(E5298,'Urban Plastix Holds'!$I$37:$U$705,9,0),0)</f>
        <v>#NAME?</v>
      </c>
      <c r="I5298" s="274"/>
      <c r="J5298" s="274" t="e">
        <f t="shared" ca="1" si="86"/>
        <v>#NAME?</v>
      </c>
      <c r="K5298" s="274">
        <f t="shared" si="87"/>
        <v>0</v>
      </c>
      <c r="N5298" s="274"/>
    </row>
    <row r="5299" spans="5:14" ht="13.5" customHeight="1">
      <c r="E5299" s="209" t="s">
        <v>1863</v>
      </c>
      <c r="F5299" s="209" t="s">
        <v>2979</v>
      </c>
      <c r="G5299" s="413" t="str">
        <f t="shared" si="85"/>
        <v>07-13</v>
      </c>
      <c r="H5299" s="273" t="e">
        <f ca="1">_xludf.IFNA(VLOOKUP(E5299,'Urban Plastix Holds'!$I$37:$U$705,10,0),0)</f>
        <v>#NAME?</v>
      </c>
      <c r="I5299" s="274"/>
      <c r="J5299" s="274" t="e">
        <f t="shared" ca="1" si="86"/>
        <v>#NAME?</v>
      </c>
      <c r="K5299" s="274">
        <f t="shared" si="87"/>
        <v>0</v>
      </c>
      <c r="N5299" s="274"/>
    </row>
    <row r="5300" spans="5:14" ht="13.5" customHeight="1">
      <c r="E5300" s="209" t="s">
        <v>1863</v>
      </c>
      <c r="F5300" s="209" t="s">
        <v>2979</v>
      </c>
      <c r="G5300" s="414" t="str">
        <f t="shared" ref="G5300:G5554" si="88">G5291</f>
        <v>11-26</v>
      </c>
      <c r="H5300" s="273" t="e">
        <f ca="1">_xludf.IFNA(VLOOKUP(E5300,'Urban Plastix Holds'!$I$37:$U$705,11,0),0)</f>
        <v>#NAME?</v>
      </c>
      <c r="I5300" s="274"/>
      <c r="J5300" s="274" t="e">
        <f t="shared" ca="1" si="86"/>
        <v>#NAME?</v>
      </c>
      <c r="K5300" s="274">
        <f t="shared" si="87"/>
        <v>0</v>
      </c>
      <c r="N5300" s="274"/>
    </row>
    <row r="5301" spans="5:14" ht="13.5" customHeight="1">
      <c r="E5301" s="209" t="s">
        <v>1863</v>
      </c>
      <c r="F5301" s="209" t="s">
        <v>2979</v>
      </c>
      <c r="G5301" s="415" t="str">
        <f t="shared" si="88"/>
        <v>18-01</v>
      </c>
      <c r="H5301" s="273" t="e">
        <f ca="1">_xludf.IFNA(VLOOKUP(E5301,'Urban Plastix Holds'!$I$37:$U$705,12,0),0)</f>
        <v>#NAME?</v>
      </c>
      <c r="I5301" s="274"/>
      <c r="J5301" s="274" t="e">
        <f t="shared" ca="1" si="86"/>
        <v>#NAME?</v>
      </c>
      <c r="K5301" s="274">
        <f t="shared" si="87"/>
        <v>0</v>
      </c>
      <c r="N5301" s="274"/>
    </row>
    <row r="5302" spans="5:14" ht="13.5" customHeight="1">
      <c r="E5302" s="209" t="s">
        <v>1863</v>
      </c>
      <c r="F5302" s="209" t="s">
        <v>2979</v>
      </c>
      <c r="G5302" s="416" t="str">
        <f t="shared" si="88"/>
        <v>Color Code</v>
      </c>
      <c r="H5302" s="273" t="e">
        <f ca="1">_xludf.IFNA(VLOOKUP(E5302,'Urban Plastix Holds'!$I$37:$U$705,13,0),0)</f>
        <v>#NAME?</v>
      </c>
      <c r="I5302" s="274"/>
      <c r="J5302" s="274" t="e">
        <f t="shared" ca="1" si="86"/>
        <v>#NAME?</v>
      </c>
      <c r="K5302" s="274">
        <f t="shared" si="87"/>
        <v>0</v>
      </c>
      <c r="N5302" s="274"/>
    </row>
    <row r="5303" spans="5:14" ht="13.5" customHeight="1">
      <c r="E5303" s="209" t="s">
        <v>2980</v>
      </c>
      <c r="F5303" s="209" t="s">
        <v>2981</v>
      </c>
      <c r="G5303" s="406" t="str">
        <f t="shared" si="88"/>
        <v>11-12</v>
      </c>
      <c r="H5303" s="273" t="e">
        <f ca="1">_xludf.IFNA(VLOOKUP(E5303,'Urban Plastix Holds'!$I$37:$U$705,5,0),0)</f>
        <v>#NAME?</v>
      </c>
      <c r="I5303" s="274"/>
      <c r="J5303" s="274" t="e">
        <f t="shared" ca="1" si="86"/>
        <v>#NAME?</v>
      </c>
      <c r="K5303" s="274">
        <f t="shared" si="87"/>
        <v>0</v>
      </c>
      <c r="N5303" s="274"/>
    </row>
    <row r="5304" spans="5:14" ht="13.5" customHeight="1">
      <c r="E5304" s="209" t="s">
        <v>2980</v>
      </c>
      <c r="F5304" s="209" t="s">
        <v>2981</v>
      </c>
      <c r="G5304" s="408" t="str">
        <f t="shared" si="88"/>
        <v>14-01</v>
      </c>
      <c r="H5304" s="273" t="e">
        <f ca="1">_xludf.IFNA(VLOOKUP(E5304,'Urban Plastix Holds'!$I$37:$U$705,6,0),0)</f>
        <v>#NAME?</v>
      </c>
      <c r="I5304" s="274"/>
      <c r="J5304" s="274" t="e">
        <f t="shared" ca="1" si="86"/>
        <v>#NAME?</v>
      </c>
      <c r="K5304" s="274">
        <f t="shared" si="87"/>
        <v>0</v>
      </c>
      <c r="N5304" s="274"/>
    </row>
    <row r="5305" spans="5:14" ht="13.5" customHeight="1">
      <c r="E5305" s="209" t="s">
        <v>2980</v>
      </c>
      <c r="F5305" s="209" t="s">
        <v>2981</v>
      </c>
      <c r="G5305" s="409" t="str">
        <f t="shared" si="88"/>
        <v>15-12</v>
      </c>
      <c r="H5305" s="273" t="e">
        <f ca="1">_xludf.IFNA(VLOOKUP(E5305,'Urban Plastix Holds'!$I$37:$U$705,7,0),0)</f>
        <v>#NAME?</v>
      </c>
      <c r="I5305" s="274"/>
      <c r="J5305" s="274" t="e">
        <f t="shared" ca="1" si="86"/>
        <v>#NAME?</v>
      </c>
      <c r="K5305" s="274">
        <f t="shared" si="87"/>
        <v>0</v>
      </c>
      <c r="N5305" s="274"/>
    </row>
    <row r="5306" spans="5:14" ht="13.5" customHeight="1">
      <c r="E5306" s="209" t="s">
        <v>2980</v>
      </c>
      <c r="F5306" s="209" t="s">
        <v>2981</v>
      </c>
      <c r="G5306" s="410" t="str">
        <f t="shared" si="88"/>
        <v>16-16</v>
      </c>
      <c r="H5306" s="273" t="e">
        <f ca="1">_xludf.IFNA(VLOOKUP(E5306,'Urban Plastix Holds'!$I$37:$U$705,8,0),0)</f>
        <v>#NAME?</v>
      </c>
      <c r="I5306" s="274"/>
      <c r="J5306" s="274" t="e">
        <f t="shared" ca="1" si="86"/>
        <v>#NAME?</v>
      </c>
      <c r="K5306" s="274">
        <f t="shared" si="87"/>
        <v>0</v>
      </c>
      <c r="N5306" s="274"/>
    </row>
    <row r="5307" spans="5:14" ht="13.5" customHeight="1">
      <c r="E5307" s="209" t="s">
        <v>2980</v>
      </c>
      <c r="F5307" s="209" t="s">
        <v>2981</v>
      </c>
      <c r="G5307" s="411" t="str">
        <f t="shared" si="88"/>
        <v>13-01</v>
      </c>
      <c r="H5307" s="273" t="e">
        <f ca="1">_xludf.IFNA(VLOOKUP(E5307,'Urban Plastix Holds'!$I$37:$U$705,9,0),0)</f>
        <v>#NAME?</v>
      </c>
      <c r="I5307" s="274"/>
      <c r="J5307" s="274" t="e">
        <f t="shared" ca="1" si="86"/>
        <v>#NAME?</v>
      </c>
      <c r="K5307" s="274">
        <f t="shared" si="87"/>
        <v>0</v>
      </c>
      <c r="N5307" s="274"/>
    </row>
    <row r="5308" spans="5:14" ht="13.5" customHeight="1">
      <c r="E5308" s="209" t="s">
        <v>2980</v>
      </c>
      <c r="F5308" s="209" t="s">
        <v>2981</v>
      </c>
      <c r="G5308" s="413" t="str">
        <f t="shared" si="88"/>
        <v>07-13</v>
      </c>
      <c r="H5308" s="273" t="e">
        <f ca="1">_xludf.IFNA(VLOOKUP(E5308,'Urban Plastix Holds'!$I$37:$U$705,10,0),0)</f>
        <v>#NAME?</v>
      </c>
      <c r="I5308" s="274"/>
      <c r="J5308" s="274" t="e">
        <f t="shared" ca="1" si="86"/>
        <v>#NAME?</v>
      </c>
      <c r="K5308" s="274">
        <f t="shared" si="87"/>
        <v>0</v>
      </c>
      <c r="N5308" s="274"/>
    </row>
    <row r="5309" spans="5:14" ht="13.5" customHeight="1">
      <c r="E5309" s="209" t="s">
        <v>2980</v>
      </c>
      <c r="F5309" s="209" t="s">
        <v>2981</v>
      </c>
      <c r="G5309" s="414" t="str">
        <f t="shared" si="88"/>
        <v>11-26</v>
      </c>
      <c r="H5309" s="273" t="e">
        <f ca="1">_xludf.IFNA(VLOOKUP(E5309,'Urban Plastix Holds'!$I$37:$U$705,11,0),0)</f>
        <v>#NAME?</v>
      </c>
      <c r="I5309" s="274"/>
      <c r="J5309" s="274" t="e">
        <f t="shared" ca="1" si="86"/>
        <v>#NAME?</v>
      </c>
      <c r="K5309" s="274">
        <f t="shared" si="87"/>
        <v>0</v>
      </c>
      <c r="N5309" s="274"/>
    </row>
    <row r="5310" spans="5:14" ht="13.5" customHeight="1">
      <c r="E5310" s="209" t="s">
        <v>2980</v>
      </c>
      <c r="F5310" s="209" t="s">
        <v>2981</v>
      </c>
      <c r="G5310" s="415" t="str">
        <f t="shared" si="88"/>
        <v>18-01</v>
      </c>
      <c r="H5310" s="273" t="e">
        <f ca="1">_xludf.IFNA(VLOOKUP(E5310,'Urban Plastix Holds'!$I$37:$U$705,12,0),0)</f>
        <v>#NAME?</v>
      </c>
      <c r="I5310" s="274"/>
      <c r="J5310" s="274" t="e">
        <f t="shared" ca="1" si="86"/>
        <v>#NAME?</v>
      </c>
      <c r="K5310" s="274">
        <f t="shared" si="87"/>
        <v>0</v>
      </c>
      <c r="N5310" s="274"/>
    </row>
    <row r="5311" spans="5:14" ht="13.5" customHeight="1">
      <c r="E5311" s="209" t="s">
        <v>2980</v>
      </c>
      <c r="F5311" s="209" t="s">
        <v>2981</v>
      </c>
      <c r="G5311" s="416" t="str">
        <f t="shared" si="88"/>
        <v>Color Code</v>
      </c>
      <c r="H5311" s="273" t="e">
        <f ca="1">_xludf.IFNA(VLOOKUP(E5311,'Urban Plastix Holds'!$I$37:$U$705,13,0),0)</f>
        <v>#NAME?</v>
      </c>
      <c r="I5311" s="274"/>
      <c r="J5311" s="274" t="e">
        <f t="shared" ca="1" si="86"/>
        <v>#NAME?</v>
      </c>
      <c r="K5311" s="274">
        <f t="shared" si="87"/>
        <v>0</v>
      </c>
      <c r="N5311" s="274"/>
    </row>
    <row r="5312" spans="5:14" ht="13.5" customHeight="1">
      <c r="E5312" s="209" t="s">
        <v>1802</v>
      </c>
      <c r="F5312" s="209" t="s">
        <v>2982</v>
      </c>
      <c r="G5312" s="406" t="str">
        <f t="shared" si="88"/>
        <v>11-12</v>
      </c>
      <c r="H5312" s="273" t="e">
        <f ca="1">_xludf.IFNA(VLOOKUP(E5312,'Urban Plastix Holds'!$I$37:$U$705,5,0),0)</f>
        <v>#NAME?</v>
      </c>
      <c r="I5312" s="274"/>
      <c r="J5312" s="274" t="e">
        <f t="shared" ca="1" si="86"/>
        <v>#NAME?</v>
      </c>
      <c r="K5312" s="274">
        <f t="shared" si="87"/>
        <v>0</v>
      </c>
      <c r="N5312" s="274"/>
    </row>
    <row r="5313" spans="5:14" ht="13.5" customHeight="1">
      <c r="E5313" s="209" t="s">
        <v>1802</v>
      </c>
      <c r="F5313" s="209" t="s">
        <v>2982</v>
      </c>
      <c r="G5313" s="408" t="str">
        <f t="shared" si="88"/>
        <v>14-01</v>
      </c>
      <c r="H5313" s="273" t="e">
        <f ca="1">_xludf.IFNA(VLOOKUP(E5313,'Urban Plastix Holds'!$I$37:$U$705,6,0),0)</f>
        <v>#NAME?</v>
      </c>
      <c r="I5313" s="274"/>
      <c r="J5313" s="274" t="e">
        <f t="shared" ca="1" si="86"/>
        <v>#NAME?</v>
      </c>
      <c r="K5313" s="274">
        <f t="shared" si="87"/>
        <v>0</v>
      </c>
      <c r="N5313" s="274"/>
    </row>
    <row r="5314" spans="5:14" ht="13.5" customHeight="1">
      <c r="E5314" s="209" t="s">
        <v>1802</v>
      </c>
      <c r="F5314" s="209" t="s">
        <v>2982</v>
      </c>
      <c r="G5314" s="409" t="str">
        <f t="shared" si="88"/>
        <v>15-12</v>
      </c>
      <c r="H5314" s="273" t="e">
        <f ca="1">_xludf.IFNA(VLOOKUP(E5314,'Urban Plastix Holds'!$I$37:$U$705,7,0),0)</f>
        <v>#NAME?</v>
      </c>
      <c r="I5314" s="274"/>
      <c r="J5314" s="274" t="e">
        <f t="shared" ca="1" si="86"/>
        <v>#NAME?</v>
      </c>
      <c r="K5314" s="274">
        <f t="shared" si="87"/>
        <v>0</v>
      </c>
      <c r="N5314" s="274"/>
    </row>
    <row r="5315" spans="5:14" ht="13.5" customHeight="1">
      <c r="E5315" s="209" t="s">
        <v>1802</v>
      </c>
      <c r="F5315" s="209" t="s">
        <v>2982</v>
      </c>
      <c r="G5315" s="410" t="str">
        <f t="shared" si="88"/>
        <v>16-16</v>
      </c>
      <c r="H5315" s="273" t="e">
        <f ca="1">_xludf.IFNA(VLOOKUP(E5315,'Urban Plastix Holds'!$I$37:$U$705,8,0),0)</f>
        <v>#NAME?</v>
      </c>
      <c r="I5315" s="274"/>
      <c r="J5315" s="274" t="e">
        <f t="shared" ca="1" si="86"/>
        <v>#NAME?</v>
      </c>
      <c r="K5315" s="274">
        <f t="shared" si="87"/>
        <v>0</v>
      </c>
      <c r="N5315" s="274"/>
    </row>
    <row r="5316" spans="5:14" ht="13.5" customHeight="1">
      <c r="E5316" s="209" t="s">
        <v>1802</v>
      </c>
      <c r="F5316" s="209" t="s">
        <v>2982</v>
      </c>
      <c r="G5316" s="411" t="str">
        <f t="shared" si="88"/>
        <v>13-01</v>
      </c>
      <c r="H5316" s="273" t="e">
        <f ca="1">_xludf.IFNA(VLOOKUP(E5316,'Urban Plastix Holds'!$I$37:$U$705,9,0),0)</f>
        <v>#NAME?</v>
      </c>
      <c r="I5316" s="274"/>
      <c r="J5316" s="274" t="e">
        <f t="shared" ca="1" si="86"/>
        <v>#NAME?</v>
      </c>
      <c r="K5316" s="274">
        <f t="shared" si="87"/>
        <v>0</v>
      </c>
      <c r="N5316" s="274"/>
    </row>
    <row r="5317" spans="5:14" ht="13.5" customHeight="1">
      <c r="E5317" s="209" t="s">
        <v>1802</v>
      </c>
      <c r="F5317" s="209" t="s">
        <v>2982</v>
      </c>
      <c r="G5317" s="413" t="str">
        <f t="shared" si="88"/>
        <v>07-13</v>
      </c>
      <c r="H5317" s="273" t="e">
        <f ca="1">_xludf.IFNA(VLOOKUP(E5317,'Urban Plastix Holds'!$I$37:$U$705,10,0),0)</f>
        <v>#NAME?</v>
      </c>
      <c r="I5317" s="274"/>
      <c r="J5317" s="274" t="e">
        <f t="shared" ca="1" si="86"/>
        <v>#NAME?</v>
      </c>
      <c r="K5317" s="274">
        <f t="shared" si="87"/>
        <v>0</v>
      </c>
      <c r="N5317" s="274"/>
    </row>
    <row r="5318" spans="5:14" ht="13.5" customHeight="1">
      <c r="E5318" s="209" t="s">
        <v>1802</v>
      </c>
      <c r="F5318" s="209" t="s">
        <v>2982</v>
      </c>
      <c r="G5318" s="414" t="str">
        <f t="shared" si="88"/>
        <v>11-26</v>
      </c>
      <c r="H5318" s="273" t="e">
        <f ca="1">_xludf.IFNA(VLOOKUP(E5318,'Urban Plastix Holds'!$I$37:$U$705,11,0),0)</f>
        <v>#NAME?</v>
      </c>
      <c r="I5318" s="274"/>
      <c r="J5318" s="274" t="e">
        <f t="shared" ca="1" si="86"/>
        <v>#NAME?</v>
      </c>
      <c r="K5318" s="274">
        <f t="shared" si="87"/>
        <v>0</v>
      </c>
      <c r="N5318" s="274"/>
    </row>
    <row r="5319" spans="5:14" ht="13.5" customHeight="1">
      <c r="E5319" s="209" t="s">
        <v>1802</v>
      </c>
      <c r="F5319" s="209" t="s">
        <v>2982</v>
      </c>
      <c r="G5319" s="415" t="str">
        <f t="shared" si="88"/>
        <v>18-01</v>
      </c>
      <c r="H5319" s="273" t="e">
        <f ca="1">_xludf.IFNA(VLOOKUP(E5319,'Urban Plastix Holds'!$I$37:$U$705,12,0),0)</f>
        <v>#NAME?</v>
      </c>
      <c r="I5319" s="274"/>
      <c r="J5319" s="274" t="e">
        <f t="shared" ca="1" si="86"/>
        <v>#NAME?</v>
      </c>
      <c r="K5319" s="274">
        <f t="shared" si="87"/>
        <v>0</v>
      </c>
      <c r="N5319" s="274"/>
    </row>
    <row r="5320" spans="5:14" ht="13.5" customHeight="1">
      <c r="E5320" s="209" t="s">
        <v>1802</v>
      </c>
      <c r="F5320" s="209" t="s">
        <v>2982</v>
      </c>
      <c r="G5320" s="416" t="str">
        <f t="shared" si="88"/>
        <v>Color Code</v>
      </c>
      <c r="H5320" s="273" t="e">
        <f ca="1">_xludf.IFNA(VLOOKUP(E5320,'Urban Plastix Holds'!$I$37:$U$705,13,0),0)</f>
        <v>#NAME?</v>
      </c>
      <c r="I5320" s="274"/>
      <c r="J5320" s="274" t="e">
        <f t="shared" ca="1" si="86"/>
        <v>#NAME?</v>
      </c>
      <c r="K5320" s="274">
        <f t="shared" si="87"/>
        <v>0</v>
      </c>
      <c r="N5320" s="274"/>
    </row>
    <row r="5321" spans="5:14" ht="13.5" customHeight="1">
      <c r="E5321" s="209" t="s">
        <v>1799</v>
      </c>
      <c r="F5321" s="209" t="s">
        <v>2983</v>
      </c>
      <c r="G5321" s="406" t="str">
        <f t="shared" si="88"/>
        <v>11-12</v>
      </c>
      <c r="H5321" s="273" t="e">
        <f ca="1">_xludf.IFNA(VLOOKUP(E5321,'Urban Plastix Holds'!$I$37:$U$705,5,0),0)</f>
        <v>#NAME?</v>
      </c>
      <c r="I5321" s="274"/>
      <c r="J5321" s="274" t="e">
        <f t="shared" ca="1" si="86"/>
        <v>#NAME?</v>
      </c>
      <c r="K5321" s="274">
        <f t="shared" si="87"/>
        <v>0</v>
      </c>
      <c r="N5321" s="274"/>
    </row>
    <row r="5322" spans="5:14" ht="13.5" customHeight="1">
      <c r="E5322" s="209" t="s">
        <v>1799</v>
      </c>
      <c r="F5322" s="209" t="s">
        <v>2983</v>
      </c>
      <c r="G5322" s="408" t="str">
        <f t="shared" si="88"/>
        <v>14-01</v>
      </c>
      <c r="H5322" s="273" t="e">
        <f ca="1">_xludf.IFNA(VLOOKUP(E5322,'Urban Plastix Holds'!$I$37:$U$705,6,0),0)</f>
        <v>#NAME?</v>
      </c>
      <c r="I5322" s="274"/>
      <c r="J5322" s="274" t="e">
        <f t="shared" ca="1" si="86"/>
        <v>#NAME?</v>
      </c>
      <c r="K5322" s="274">
        <f t="shared" si="87"/>
        <v>0</v>
      </c>
      <c r="N5322" s="274"/>
    </row>
    <row r="5323" spans="5:14" ht="13.5" customHeight="1">
      <c r="E5323" s="209" t="s">
        <v>1799</v>
      </c>
      <c r="F5323" s="209" t="s">
        <v>2983</v>
      </c>
      <c r="G5323" s="409" t="str">
        <f t="shared" si="88"/>
        <v>15-12</v>
      </c>
      <c r="H5323" s="273" t="e">
        <f ca="1">_xludf.IFNA(VLOOKUP(E5323,'Urban Plastix Holds'!$I$37:$U$705,7,0),0)</f>
        <v>#NAME?</v>
      </c>
      <c r="I5323" s="274"/>
      <c r="J5323" s="274" t="e">
        <f t="shared" ca="1" si="86"/>
        <v>#NAME?</v>
      </c>
      <c r="K5323" s="274">
        <f t="shared" si="87"/>
        <v>0</v>
      </c>
      <c r="N5323" s="274"/>
    </row>
    <row r="5324" spans="5:14" ht="13.5" customHeight="1">
      <c r="E5324" s="209" t="s">
        <v>1799</v>
      </c>
      <c r="F5324" s="209" t="s">
        <v>2983</v>
      </c>
      <c r="G5324" s="410" t="str">
        <f t="shared" si="88"/>
        <v>16-16</v>
      </c>
      <c r="H5324" s="273" t="e">
        <f ca="1">_xludf.IFNA(VLOOKUP(E5324,'Urban Plastix Holds'!$I$37:$U$705,8,0),0)</f>
        <v>#NAME?</v>
      </c>
      <c r="I5324" s="274"/>
      <c r="J5324" s="274" t="e">
        <f t="shared" ca="1" si="86"/>
        <v>#NAME?</v>
      </c>
      <c r="K5324" s="274">
        <f t="shared" si="87"/>
        <v>0</v>
      </c>
      <c r="N5324" s="274"/>
    </row>
    <row r="5325" spans="5:14" ht="13.5" customHeight="1">
      <c r="E5325" s="209" t="s">
        <v>1799</v>
      </c>
      <c r="F5325" s="209" t="s">
        <v>2983</v>
      </c>
      <c r="G5325" s="411" t="str">
        <f t="shared" si="88"/>
        <v>13-01</v>
      </c>
      <c r="H5325" s="273" t="e">
        <f ca="1">_xludf.IFNA(VLOOKUP(E5325,'Urban Plastix Holds'!$I$37:$U$705,9,0),0)</f>
        <v>#NAME?</v>
      </c>
      <c r="I5325" s="274"/>
      <c r="J5325" s="274" t="e">
        <f t="shared" ca="1" si="86"/>
        <v>#NAME?</v>
      </c>
      <c r="K5325" s="274">
        <f t="shared" si="87"/>
        <v>0</v>
      </c>
      <c r="N5325" s="274"/>
    </row>
    <row r="5326" spans="5:14" ht="13.5" customHeight="1">
      <c r="E5326" s="209" t="s">
        <v>1799</v>
      </c>
      <c r="F5326" s="209" t="s">
        <v>2983</v>
      </c>
      <c r="G5326" s="413" t="str">
        <f t="shared" si="88"/>
        <v>07-13</v>
      </c>
      <c r="H5326" s="273" t="e">
        <f ca="1">_xludf.IFNA(VLOOKUP(E5326,'Urban Plastix Holds'!$I$37:$U$705,10,0),0)</f>
        <v>#NAME?</v>
      </c>
      <c r="I5326" s="274"/>
      <c r="J5326" s="274" t="e">
        <f t="shared" ca="1" si="86"/>
        <v>#NAME?</v>
      </c>
      <c r="K5326" s="274">
        <f t="shared" si="87"/>
        <v>0</v>
      </c>
      <c r="N5326" s="274"/>
    </row>
    <row r="5327" spans="5:14" ht="13.5" customHeight="1">
      <c r="E5327" s="209" t="s">
        <v>1799</v>
      </c>
      <c r="F5327" s="209" t="s">
        <v>2983</v>
      </c>
      <c r="G5327" s="414" t="str">
        <f t="shared" si="88"/>
        <v>11-26</v>
      </c>
      <c r="H5327" s="273" t="e">
        <f ca="1">_xludf.IFNA(VLOOKUP(E5327,'Urban Plastix Holds'!$I$37:$U$705,11,0),0)</f>
        <v>#NAME?</v>
      </c>
      <c r="I5327" s="274"/>
      <c r="J5327" s="274" t="e">
        <f t="shared" ca="1" si="86"/>
        <v>#NAME?</v>
      </c>
      <c r="K5327" s="274">
        <f t="shared" si="87"/>
        <v>0</v>
      </c>
      <c r="N5327" s="274"/>
    </row>
    <row r="5328" spans="5:14" ht="13.5" customHeight="1">
      <c r="E5328" s="209" t="s">
        <v>1799</v>
      </c>
      <c r="F5328" s="209" t="s">
        <v>2983</v>
      </c>
      <c r="G5328" s="415" t="str">
        <f t="shared" si="88"/>
        <v>18-01</v>
      </c>
      <c r="H5328" s="273" t="e">
        <f ca="1">_xludf.IFNA(VLOOKUP(E5328,'Urban Plastix Holds'!$I$37:$U$705,12,0),0)</f>
        <v>#NAME?</v>
      </c>
      <c r="I5328" s="274"/>
      <c r="J5328" s="274" t="e">
        <f t="shared" ca="1" si="86"/>
        <v>#NAME?</v>
      </c>
      <c r="K5328" s="274">
        <f t="shared" si="87"/>
        <v>0</v>
      </c>
      <c r="N5328" s="274"/>
    </row>
    <row r="5329" spans="5:14" ht="13.5" customHeight="1">
      <c r="E5329" s="209" t="s">
        <v>1799</v>
      </c>
      <c r="F5329" s="209" t="s">
        <v>2983</v>
      </c>
      <c r="G5329" s="416" t="str">
        <f t="shared" si="88"/>
        <v>Color Code</v>
      </c>
      <c r="H5329" s="273" t="e">
        <f ca="1">_xludf.IFNA(VLOOKUP(E5329,'Urban Plastix Holds'!$I$37:$U$705,13,0),0)</f>
        <v>#NAME?</v>
      </c>
      <c r="I5329" s="274"/>
      <c r="J5329" s="274" t="e">
        <f t="shared" ca="1" si="86"/>
        <v>#NAME?</v>
      </c>
      <c r="K5329" s="274">
        <f t="shared" si="87"/>
        <v>0</v>
      </c>
      <c r="N5329" s="274"/>
    </row>
    <row r="5330" spans="5:14" ht="13.5" customHeight="1">
      <c r="E5330" s="209" t="s">
        <v>1868</v>
      </c>
      <c r="F5330" s="209" t="s">
        <v>2984</v>
      </c>
      <c r="G5330" s="406" t="str">
        <f t="shared" si="88"/>
        <v>11-12</v>
      </c>
      <c r="H5330" s="273" t="e">
        <f ca="1">_xludf.IFNA(VLOOKUP(E5330,'Urban Plastix Holds'!$I$37:$U$705,5,0),0)</f>
        <v>#NAME?</v>
      </c>
      <c r="I5330" s="274"/>
      <c r="J5330" s="274" t="e">
        <f t="shared" ca="1" si="86"/>
        <v>#NAME?</v>
      </c>
      <c r="K5330" s="274">
        <f t="shared" si="87"/>
        <v>0</v>
      </c>
      <c r="N5330" s="274"/>
    </row>
    <row r="5331" spans="5:14" ht="13.5" customHeight="1">
      <c r="E5331" s="209" t="s">
        <v>1868</v>
      </c>
      <c r="F5331" s="209" t="s">
        <v>2984</v>
      </c>
      <c r="G5331" s="408" t="str">
        <f t="shared" si="88"/>
        <v>14-01</v>
      </c>
      <c r="H5331" s="273" t="e">
        <f ca="1">_xludf.IFNA(VLOOKUP(E5331,'Urban Plastix Holds'!$I$37:$U$705,6,0),0)</f>
        <v>#NAME?</v>
      </c>
      <c r="I5331" s="274"/>
      <c r="J5331" s="274" t="e">
        <f t="shared" ca="1" si="86"/>
        <v>#NAME?</v>
      </c>
      <c r="K5331" s="274">
        <f t="shared" si="87"/>
        <v>0</v>
      </c>
      <c r="N5331" s="274"/>
    </row>
    <row r="5332" spans="5:14" ht="13.5" customHeight="1">
      <c r="E5332" s="209" t="s">
        <v>1868</v>
      </c>
      <c r="F5332" s="209" t="s">
        <v>2984</v>
      </c>
      <c r="G5332" s="409" t="str">
        <f t="shared" si="88"/>
        <v>15-12</v>
      </c>
      <c r="H5332" s="273" t="e">
        <f ca="1">_xludf.IFNA(VLOOKUP(E5332,'Urban Plastix Holds'!$I$37:$U$705,7,0),0)</f>
        <v>#NAME?</v>
      </c>
      <c r="I5332" s="274"/>
      <c r="J5332" s="274" t="e">
        <f t="shared" ca="1" si="86"/>
        <v>#NAME?</v>
      </c>
      <c r="K5332" s="274">
        <f t="shared" si="87"/>
        <v>0</v>
      </c>
      <c r="N5332" s="274"/>
    </row>
    <row r="5333" spans="5:14" ht="13.5" customHeight="1">
      <c r="E5333" s="209" t="s">
        <v>1868</v>
      </c>
      <c r="F5333" s="209" t="s">
        <v>2984</v>
      </c>
      <c r="G5333" s="410" t="str">
        <f t="shared" si="88"/>
        <v>16-16</v>
      </c>
      <c r="H5333" s="273" t="e">
        <f ca="1">_xludf.IFNA(VLOOKUP(E5333,'Urban Plastix Holds'!$I$37:$U$705,8,0),0)</f>
        <v>#NAME?</v>
      </c>
      <c r="I5333" s="274"/>
      <c r="J5333" s="274" t="e">
        <f t="shared" ca="1" si="86"/>
        <v>#NAME?</v>
      </c>
      <c r="K5333" s="274">
        <f t="shared" si="87"/>
        <v>0</v>
      </c>
      <c r="N5333" s="274"/>
    </row>
    <row r="5334" spans="5:14" ht="13.5" customHeight="1">
      <c r="E5334" s="209" t="s">
        <v>1868</v>
      </c>
      <c r="F5334" s="209" t="s">
        <v>2984</v>
      </c>
      <c r="G5334" s="411" t="str">
        <f t="shared" si="88"/>
        <v>13-01</v>
      </c>
      <c r="H5334" s="273" t="e">
        <f ca="1">_xludf.IFNA(VLOOKUP(E5334,'Urban Plastix Holds'!$I$37:$U$705,9,0),0)</f>
        <v>#NAME?</v>
      </c>
      <c r="I5334" s="274"/>
      <c r="J5334" s="274" t="e">
        <f t="shared" ca="1" si="86"/>
        <v>#NAME?</v>
      </c>
      <c r="K5334" s="274">
        <f t="shared" si="87"/>
        <v>0</v>
      </c>
      <c r="N5334" s="274"/>
    </row>
    <row r="5335" spans="5:14" ht="13.5" customHeight="1">
      <c r="E5335" s="209" t="s">
        <v>1868</v>
      </c>
      <c r="F5335" s="209" t="s">
        <v>2984</v>
      </c>
      <c r="G5335" s="413" t="str">
        <f t="shared" si="88"/>
        <v>07-13</v>
      </c>
      <c r="H5335" s="273" t="e">
        <f ca="1">_xludf.IFNA(VLOOKUP(E5335,'Urban Plastix Holds'!$I$37:$U$705,10,0),0)</f>
        <v>#NAME?</v>
      </c>
      <c r="I5335" s="274"/>
      <c r="J5335" s="274" t="e">
        <f t="shared" ca="1" si="86"/>
        <v>#NAME?</v>
      </c>
      <c r="K5335" s="274">
        <f t="shared" si="87"/>
        <v>0</v>
      </c>
      <c r="N5335" s="274"/>
    </row>
    <row r="5336" spans="5:14" ht="13.5" customHeight="1">
      <c r="E5336" s="209" t="s">
        <v>1868</v>
      </c>
      <c r="F5336" s="209" t="s">
        <v>2984</v>
      </c>
      <c r="G5336" s="414" t="str">
        <f t="shared" si="88"/>
        <v>11-26</v>
      </c>
      <c r="H5336" s="273" t="e">
        <f ca="1">_xludf.IFNA(VLOOKUP(E5336,'Urban Plastix Holds'!$I$37:$U$705,11,0),0)</f>
        <v>#NAME?</v>
      </c>
      <c r="I5336" s="274"/>
      <c r="J5336" s="274" t="e">
        <f t="shared" ca="1" si="86"/>
        <v>#NAME?</v>
      </c>
      <c r="K5336" s="274">
        <f t="shared" si="87"/>
        <v>0</v>
      </c>
      <c r="N5336" s="274"/>
    </row>
    <row r="5337" spans="5:14" ht="13.5" customHeight="1">
      <c r="E5337" s="209" t="s">
        <v>1868</v>
      </c>
      <c r="F5337" s="209" t="s">
        <v>2984</v>
      </c>
      <c r="G5337" s="415" t="str">
        <f t="shared" si="88"/>
        <v>18-01</v>
      </c>
      <c r="H5337" s="273" t="e">
        <f ca="1">_xludf.IFNA(VLOOKUP(E5337,'Urban Plastix Holds'!$I$37:$U$705,12,0),0)</f>
        <v>#NAME?</v>
      </c>
      <c r="I5337" s="274"/>
      <c r="J5337" s="274" t="e">
        <f t="shared" ca="1" si="86"/>
        <v>#NAME?</v>
      </c>
      <c r="K5337" s="274">
        <f t="shared" si="87"/>
        <v>0</v>
      </c>
      <c r="N5337" s="274"/>
    </row>
    <row r="5338" spans="5:14" ht="13.5" customHeight="1">
      <c r="E5338" s="209" t="s">
        <v>1868</v>
      </c>
      <c r="F5338" s="209" t="s">
        <v>2984</v>
      </c>
      <c r="G5338" s="416" t="str">
        <f t="shared" si="88"/>
        <v>Color Code</v>
      </c>
      <c r="H5338" s="273" t="e">
        <f ca="1">_xludf.IFNA(VLOOKUP(E5338,'Urban Plastix Holds'!$I$37:$U$705,13,0),0)</f>
        <v>#NAME?</v>
      </c>
      <c r="I5338" s="274"/>
      <c r="J5338" s="274" t="e">
        <f t="shared" ca="1" si="86"/>
        <v>#NAME?</v>
      </c>
      <c r="K5338" s="274">
        <f t="shared" si="87"/>
        <v>0</v>
      </c>
      <c r="N5338" s="274"/>
    </row>
    <row r="5339" spans="5:14" ht="13.5" customHeight="1">
      <c r="E5339" s="209" t="s">
        <v>1340</v>
      </c>
      <c r="F5339" s="209" t="s">
        <v>2985</v>
      </c>
      <c r="G5339" s="406" t="str">
        <f t="shared" si="88"/>
        <v>11-12</v>
      </c>
      <c r="H5339" s="273" t="e">
        <f ca="1">_xludf.IFNA(VLOOKUP(E5339,'Urban Plastix Holds'!$I$37:$U$705,5,0),0)</f>
        <v>#NAME?</v>
      </c>
      <c r="I5339" s="274"/>
      <c r="J5339" s="274" t="e">
        <f t="shared" ca="1" si="86"/>
        <v>#NAME?</v>
      </c>
      <c r="K5339" s="274">
        <f t="shared" si="87"/>
        <v>0</v>
      </c>
      <c r="N5339" s="274"/>
    </row>
    <row r="5340" spans="5:14" ht="13.5" customHeight="1">
      <c r="E5340" s="209" t="s">
        <v>1340</v>
      </c>
      <c r="F5340" s="209" t="s">
        <v>2985</v>
      </c>
      <c r="G5340" s="408" t="str">
        <f t="shared" si="88"/>
        <v>14-01</v>
      </c>
      <c r="H5340" s="273" t="e">
        <f ca="1">_xludf.IFNA(VLOOKUP(E5340,'Urban Plastix Holds'!$I$37:$U$705,6,0),0)</f>
        <v>#NAME?</v>
      </c>
      <c r="I5340" s="274"/>
      <c r="J5340" s="274" t="e">
        <f t="shared" ca="1" si="86"/>
        <v>#NAME?</v>
      </c>
      <c r="K5340" s="274">
        <f t="shared" si="87"/>
        <v>0</v>
      </c>
      <c r="N5340" s="274"/>
    </row>
    <row r="5341" spans="5:14" ht="13.5" customHeight="1">
      <c r="E5341" s="209" t="s">
        <v>1340</v>
      </c>
      <c r="F5341" s="209" t="s">
        <v>2985</v>
      </c>
      <c r="G5341" s="409" t="str">
        <f t="shared" si="88"/>
        <v>15-12</v>
      </c>
      <c r="H5341" s="273" t="e">
        <f ca="1">_xludf.IFNA(VLOOKUP(E5341,'Urban Plastix Holds'!$I$37:$U$705,7,0),0)</f>
        <v>#NAME?</v>
      </c>
      <c r="I5341" s="274"/>
      <c r="J5341" s="274" t="e">
        <f t="shared" ca="1" si="86"/>
        <v>#NAME?</v>
      </c>
      <c r="K5341" s="274">
        <f t="shared" si="87"/>
        <v>0</v>
      </c>
      <c r="N5341" s="274"/>
    </row>
    <row r="5342" spans="5:14" ht="13.5" customHeight="1">
      <c r="E5342" s="209" t="s">
        <v>1340</v>
      </c>
      <c r="F5342" s="209" t="s">
        <v>2985</v>
      </c>
      <c r="G5342" s="410" t="str">
        <f t="shared" si="88"/>
        <v>16-16</v>
      </c>
      <c r="H5342" s="273" t="e">
        <f ca="1">_xludf.IFNA(VLOOKUP(E5342,'Urban Plastix Holds'!$I$37:$U$705,8,0),0)</f>
        <v>#NAME?</v>
      </c>
      <c r="I5342" s="274"/>
      <c r="J5342" s="274" t="e">
        <f t="shared" ca="1" si="86"/>
        <v>#NAME?</v>
      </c>
      <c r="K5342" s="274">
        <f t="shared" si="87"/>
        <v>0</v>
      </c>
      <c r="N5342" s="274"/>
    </row>
    <row r="5343" spans="5:14" ht="13.5" customHeight="1">
      <c r="E5343" s="209" t="s">
        <v>1340</v>
      </c>
      <c r="F5343" s="209" t="s">
        <v>2985</v>
      </c>
      <c r="G5343" s="411" t="str">
        <f t="shared" si="88"/>
        <v>13-01</v>
      </c>
      <c r="H5343" s="273" t="e">
        <f ca="1">_xludf.IFNA(VLOOKUP(E5343,'Urban Plastix Holds'!$I$37:$U$705,9,0),0)</f>
        <v>#NAME?</v>
      </c>
      <c r="I5343" s="274"/>
      <c r="J5343" s="274" t="e">
        <f t="shared" ca="1" si="86"/>
        <v>#NAME?</v>
      </c>
      <c r="K5343" s="274">
        <f t="shared" si="87"/>
        <v>0</v>
      </c>
      <c r="N5343" s="274"/>
    </row>
    <row r="5344" spans="5:14" ht="13.5" customHeight="1">
      <c r="E5344" s="209" t="s">
        <v>1340</v>
      </c>
      <c r="F5344" s="209" t="s">
        <v>2985</v>
      </c>
      <c r="G5344" s="413" t="str">
        <f t="shared" si="88"/>
        <v>07-13</v>
      </c>
      <c r="H5344" s="273" t="e">
        <f ca="1">_xludf.IFNA(VLOOKUP(E5344,'Urban Plastix Holds'!$I$37:$U$705,10,0),0)</f>
        <v>#NAME?</v>
      </c>
      <c r="I5344" s="274"/>
      <c r="J5344" s="274" t="e">
        <f t="shared" ca="1" si="86"/>
        <v>#NAME?</v>
      </c>
      <c r="K5344" s="274">
        <f t="shared" si="87"/>
        <v>0</v>
      </c>
      <c r="N5344" s="274"/>
    </row>
    <row r="5345" spans="5:14" ht="13.5" customHeight="1">
      <c r="E5345" s="209" t="s">
        <v>1340</v>
      </c>
      <c r="F5345" s="209" t="s">
        <v>2985</v>
      </c>
      <c r="G5345" s="414" t="str">
        <f t="shared" si="88"/>
        <v>11-26</v>
      </c>
      <c r="H5345" s="273" t="e">
        <f ca="1">_xludf.IFNA(VLOOKUP(E5345,'Urban Plastix Holds'!$I$37:$U$705,11,0),0)</f>
        <v>#NAME?</v>
      </c>
      <c r="I5345" s="274"/>
      <c r="J5345" s="274" t="e">
        <f t="shared" ca="1" si="86"/>
        <v>#NAME?</v>
      </c>
      <c r="K5345" s="274">
        <f t="shared" si="87"/>
        <v>0</v>
      </c>
      <c r="N5345" s="274"/>
    </row>
    <row r="5346" spans="5:14" ht="13.5" customHeight="1">
      <c r="E5346" s="209" t="s">
        <v>1340</v>
      </c>
      <c r="F5346" s="209" t="s">
        <v>2985</v>
      </c>
      <c r="G5346" s="415" t="str">
        <f t="shared" si="88"/>
        <v>18-01</v>
      </c>
      <c r="H5346" s="273" t="e">
        <f ca="1">_xludf.IFNA(VLOOKUP(E5346,'Urban Plastix Holds'!$I$37:$U$705,12,0),0)</f>
        <v>#NAME?</v>
      </c>
      <c r="I5346" s="274"/>
      <c r="J5346" s="274" t="e">
        <f t="shared" ca="1" si="86"/>
        <v>#NAME?</v>
      </c>
      <c r="K5346" s="274">
        <f t="shared" si="87"/>
        <v>0</v>
      </c>
      <c r="N5346" s="274"/>
    </row>
    <row r="5347" spans="5:14" ht="13.5" customHeight="1">
      <c r="E5347" s="209" t="s">
        <v>1340</v>
      </c>
      <c r="F5347" s="209" t="s">
        <v>2985</v>
      </c>
      <c r="G5347" s="416" t="str">
        <f t="shared" si="88"/>
        <v>Color Code</v>
      </c>
      <c r="H5347" s="273" t="e">
        <f ca="1">_xludf.IFNA(VLOOKUP(E5347,'Urban Plastix Holds'!$I$37:$U$705,13,0),0)</f>
        <v>#NAME?</v>
      </c>
      <c r="I5347" s="274"/>
      <c r="J5347" s="274" t="e">
        <f t="shared" ca="1" si="86"/>
        <v>#NAME?</v>
      </c>
      <c r="K5347" s="274">
        <f t="shared" si="87"/>
        <v>0</v>
      </c>
      <c r="N5347" s="274"/>
    </row>
    <row r="5348" spans="5:14" ht="13.5" customHeight="1">
      <c r="E5348" s="209" t="s">
        <v>1826</v>
      </c>
      <c r="F5348" s="209" t="s">
        <v>2986</v>
      </c>
      <c r="G5348" s="406" t="str">
        <f t="shared" si="88"/>
        <v>11-12</v>
      </c>
      <c r="H5348" s="273" t="e">
        <f ca="1">_xludf.IFNA(VLOOKUP(E5348,'Urban Plastix Holds'!$I$37:$U$705,5,0),0)</f>
        <v>#NAME?</v>
      </c>
      <c r="I5348" s="274"/>
      <c r="J5348" s="274" t="e">
        <f t="shared" ca="1" si="86"/>
        <v>#NAME?</v>
      </c>
      <c r="K5348" s="274">
        <f t="shared" si="87"/>
        <v>0</v>
      </c>
      <c r="N5348" s="274"/>
    </row>
    <row r="5349" spans="5:14" ht="13.5" customHeight="1">
      <c r="E5349" s="209" t="s">
        <v>1826</v>
      </c>
      <c r="F5349" s="209" t="s">
        <v>2986</v>
      </c>
      <c r="G5349" s="408" t="str">
        <f t="shared" si="88"/>
        <v>14-01</v>
      </c>
      <c r="H5349" s="273" t="e">
        <f ca="1">_xludf.IFNA(VLOOKUP(E5349,'Urban Plastix Holds'!$I$37:$U$705,6,0),0)</f>
        <v>#NAME?</v>
      </c>
      <c r="I5349" s="274"/>
      <c r="J5349" s="274" t="e">
        <f t="shared" ca="1" si="86"/>
        <v>#NAME?</v>
      </c>
      <c r="K5349" s="274">
        <f t="shared" si="87"/>
        <v>0</v>
      </c>
      <c r="N5349" s="274"/>
    </row>
    <row r="5350" spans="5:14" ht="13.5" customHeight="1">
      <c r="E5350" s="209" t="s">
        <v>1826</v>
      </c>
      <c r="F5350" s="209" t="s">
        <v>2986</v>
      </c>
      <c r="G5350" s="409" t="str">
        <f t="shared" si="88"/>
        <v>15-12</v>
      </c>
      <c r="H5350" s="273" t="e">
        <f ca="1">_xludf.IFNA(VLOOKUP(E5350,'Urban Plastix Holds'!$I$37:$U$705,7,0),0)</f>
        <v>#NAME?</v>
      </c>
      <c r="I5350" s="274"/>
      <c r="J5350" s="274" t="e">
        <f t="shared" ca="1" si="86"/>
        <v>#NAME?</v>
      </c>
      <c r="K5350" s="274">
        <f t="shared" si="87"/>
        <v>0</v>
      </c>
      <c r="N5350" s="274"/>
    </row>
    <row r="5351" spans="5:14" ht="13.5" customHeight="1">
      <c r="E5351" s="209" t="s">
        <v>1826</v>
      </c>
      <c r="F5351" s="209" t="s">
        <v>2986</v>
      </c>
      <c r="G5351" s="410" t="str">
        <f t="shared" si="88"/>
        <v>16-16</v>
      </c>
      <c r="H5351" s="273" t="e">
        <f ca="1">_xludf.IFNA(VLOOKUP(E5351,'Urban Plastix Holds'!$I$37:$U$705,8,0),0)</f>
        <v>#NAME?</v>
      </c>
      <c r="I5351" s="274"/>
      <c r="J5351" s="274" t="e">
        <f t="shared" ca="1" si="86"/>
        <v>#NAME?</v>
      </c>
      <c r="K5351" s="274">
        <f t="shared" si="87"/>
        <v>0</v>
      </c>
      <c r="N5351" s="274"/>
    </row>
    <row r="5352" spans="5:14" ht="13.5" customHeight="1">
      <c r="E5352" s="209" t="s">
        <v>1826</v>
      </c>
      <c r="F5352" s="209" t="s">
        <v>2986</v>
      </c>
      <c r="G5352" s="411" t="str">
        <f t="shared" si="88"/>
        <v>13-01</v>
      </c>
      <c r="H5352" s="273" t="e">
        <f ca="1">_xludf.IFNA(VLOOKUP(E5352,'Urban Plastix Holds'!$I$37:$U$705,9,0),0)</f>
        <v>#NAME?</v>
      </c>
      <c r="I5352" s="274"/>
      <c r="J5352" s="274" t="e">
        <f t="shared" ca="1" si="86"/>
        <v>#NAME?</v>
      </c>
      <c r="K5352" s="274">
        <f t="shared" si="87"/>
        <v>0</v>
      </c>
      <c r="N5352" s="274"/>
    </row>
    <row r="5353" spans="5:14" ht="13.5" customHeight="1">
      <c r="E5353" s="209" t="s">
        <v>1826</v>
      </c>
      <c r="F5353" s="209" t="s">
        <v>2986</v>
      </c>
      <c r="G5353" s="413" t="str">
        <f t="shared" si="88"/>
        <v>07-13</v>
      </c>
      <c r="H5353" s="273" t="e">
        <f ca="1">_xludf.IFNA(VLOOKUP(E5353,'Urban Plastix Holds'!$I$37:$U$705,10,0),0)</f>
        <v>#NAME?</v>
      </c>
      <c r="I5353" s="274"/>
      <c r="J5353" s="274" t="e">
        <f t="shared" ca="1" si="86"/>
        <v>#NAME?</v>
      </c>
      <c r="K5353" s="274">
        <f t="shared" si="87"/>
        <v>0</v>
      </c>
      <c r="N5353" s="274"/>
    </row>
    <row r="5354" spans="5:14" ht="13.5" customHeight="1">
      <c r="E5354" s="209" t="s">
        <v>1826</v>
      </c>
      <c r="F5354" s="209" t="s">
        <v>2986</v>
      </c>
      <c r="G5354" s="414" t="str">
        <f t="shared" si="88"/>
        <v>11-26</v>
      </c>
      <c r="H5354" s="273" t="e">
        <f ca="1">_xludf.IFNA(VLOOKUP(E5354,'Urban Plastix Holds'!$I$37:$U$705,11,0),0)</f>
        <v>#NAME?</v>
      </c>
      <c r="I5354" s="274"/>
      <c r="J5354" s="274" t="e">
        <f t="shared" ca="1" si="86"/>
        <v>#NAME?</v>
      </c>
      <c r="K5354" s="274">
        <f t="shared" si="87"/>
        <v>0</v>
      </c>
      <c r="N5354" s="274"/>
    </row>
    <row r="5355" spans="5:14" ht="13.5" customHeight="1">
      <c r="E5355" s="209" t="s">
        <v>1826</v>
      </c>
      <c r="F5355" s="209" t="s">
        <v>2986</v>
      </c>
      <c r="G5355" s="415" t="str">
        <f t="shared" si="88"/>
        <v>18-01</v>
      </c>
      <c r="H5355" s="273" t="e">
        <f ca="1">_xludf.IFNA(VLOOKUP(E5355,'Urban Plastix Holds'!$I$37:$U$705,12,0),0)</f>
        <v>#NAME?</v>
      </c>
      <c r="I5355" s="274"/>
      <c r="J5355" s="274" t="e">
        <f t="shared" ca="1" si="86"/>
        <v>#NAME?</v>
      </c>
      <c r="K5355" s="274">
        <f t="shared" si="87"/>
        <v>0</v>
      </c>
      <c r="N5355" s="274"/>
    </row>
    <row r="5356" spans="5:14" ht="13.5" customHeight="1">
      <c r="E5356" s="209" t="s">
        <v>1826</v>
      </c>
      <c r="F5356" s="209" t="s">
        <v>2986</v>
      </c>
      <c r="G5356" s="416" t="str">
        <f t="shared" si="88"/>
        <v>Color Code</v>
      </c>
      <c r="H5356" s="273" t="e">
        <f ca="1">_xludf.IFNA(VLOOKUP(E5356,'Urban Plastix Holds'!$I$37:$U$705,13,0),0)</f>
        <v>#NAME?</v>
      </c>
      <c r="I5356" s="274"/>
      <c r="J5356" s="274" t="e">
        <f t="shared" ca="1" si="86"/>
        <v>#NAME?</v>
      </c>
      <c r="K5356" s="274">
        <f t="shared" si="87"/>
        <v>0</v>
      </c>
      <c r="N5356" s="274"/>
    </row>
    <row r="5357" spans="5:14" ht="13.5" customHeight="1">
      <c r="E5357" s="209" t="s">
        <v>1852</v>
      </c>
      <c r="F5357" s="209" t="s">
        <v>2987</v>
      </c>
      <c r="G5357" s="406" t="str">
        <f t="shared" si="88"/>
        <v>11-12</v>
      </c>
      <c r="H5357" s="273" t="e">
        <f ca="1">_xludf.IFNA(VLOOKUP(E5357,'Urban Plastix Holds'!$I$37:$U$705,5,0),0)</f>
        <v>#NAME?</v>
      </c>
      <c r="I5357" s="274"/>
      <c r="J5357" s="274" t="e">
        <f t="shared" ref="J5357:J5611" ca="1" si="89">H5357*I5357</f>
        <v>#NAME?</v>
      </c>
      <c r="K5357" s="274">
        <f t="shared" ref="K5357:K5611" si="90">IF($V$11="Y",J5357*0.05,0)</f>
        <v>0</v>
      </c>
      <c r="N5357" s="274"/>
    </row>
    <row r="5358" spans="5:14" ht="13.5" customHeight="1">
      <c r="E5358" s="209" t="s">
        <v>1852</v>
      </c>
      <c r="F5358" s="209" t="s">
        <v>2987</v>
      </c>
      <c r="G5358" s="408" t="str">
        <f t="shared" si="88"/>
        <v>14-01</v>
      </c>
      <c r="H5358" s="273" t="e">
        <f ca="1">_xludf.IFNA(VLOOKUP(E5358,'Urban Plastix Holds'!$I$37:$U$705,6,0),0)</f>
        <v>#NAME?</v>
      </c>
      <c r="I5358" s="274"/>
      <c r="J5358" s="274" t="e">
        <f t="shared" ca="1" si="89"/>
        <v>#NAME?</v>
      </c>
      <c r="K5358" s="274">
        <f t="shared" si="90"/>
        <v>0</v>
      </c>
      <c r="N5358" s="274"/>
    </row>
    <row r="5359" spans="5:14" ht="13.5" customHeight="1">
      <c r="E5359" s="209" t="s">
        <v>1852</v>
      </c>
      <c r="F5359" s="209" t="s">
        <v>2987</v>
      </c>
      <c r="G5359" s="409" t="str">
        <f t="shared" si="88"/>
        <v>15-12</v>
      </c>
      <c r="H5359" s="273" t="e">
        <f ca="1">_xludf.IFNA(VLOOKUP(E5359,'Urban Plastix Holds'!$I$37:$U$705,7,0),0)</f>
        <v>#NAME?</v>
      </c>
      <c r="I5359" s="274"/>
      <c r="J5359" s="274" t="e">
        <f t="shared" ca="1" si="89"/>
        <v>#NAME?</v>
      </c>
      <c r="K5359" s="274">
        <f t="shared" si="90"/>
        <v>0</v>
      </c>
      <c r="N5359" s="274"/>
    </row>
    <row r="5360" spans="5:14" ht="13.5" customHeight="1">
      <c r="E5360" s="209" t="s">
        <v>1852</v>
      </c>
      <c r="F5360" s="209" t="s">
        <v>2987</v>
      </c>
      <c r="G5360" s="410" t="str">
        <f t="shared" si="88"/>
        <v>16-16</v>
      </c>
      <c r="H5360" s="273" t="e">
        <f ca="1">_xludf.IFNA(VLOOKUP(E5360,'Urban Plastix Holds'!$I$37:$U$705,8,0),0)</f>
        <v>#NAME?</v>
      </c>
      <c r="I5360" s="274"/>
      <c r="J5360" s="274" t="e">
        <f t="shared" ca="1" si="89"/>
        <v>#NAME?</v>
      </c>
      <c r="K5360" s="274">
        <f t="shared" si="90"/>
        <v>0</v>
      </c>
      <c r="N5360" s="274"/>
    </row>
    <row r="5361" spans="5:14" ht="13.5" customHeight="1">
      <c r="E5361" s="209" t="s">
        <v>1852</v>
      </c>
      <c r="F5361" s="209" t="s">
        <v>2987</v>
      </c>
      <c r="G5361" s="411" t="str">
        <f t="shared" si="88"/>
        <v>13-01</v>
      </c>
      <c r="H5361" s="273" t="e">
        <f ca="1">_xludf.IFNA(VLOOKUP(E5361,'Urban Plastix Holds'!$I$37:$U$705,9,0),0)</f>
        <v>#NAME?</v>
      </c>
      <c r="I5361" s="274"/>
      <c r="J5361" s="274" t="e">
        <f t="shared" ca="1" si="89"/>
        <v>#NAME?</v>
      </c>
      <c r="K5361" s="274">
        <f t="shared" si="90"/>
        <v>0</v>
      </c>
      <c r="N5361" s="274"/>
    </row>
    <row r="5362" spans="5:14" ht="13.5" customHeight="1">
      <c r="E5362" s="209" t="s">
        <v>1852</v>
      </c>
      <c r="F5362" s="209" t="s">
        <v>2987</v>
      </c>
      <c r="G5362" s="413" t="str">
        <f t="shared" si="88"/>
        <v>07-13</v>
      </c>
      <c r="H5362" s="273" t="e">
        <f ca="1">_xludf.IFNA(VLOOKUP(E5362,'Urban Plastix Holds'!$I$37:$U$705,10,0),0)</f>
        <v>#NAME?</v>
      </c>
      <c r="I5362" s="274"/>
      <c r="J5362" s="274" t="e">
        <f t="shared" ca="1" si="89"/>
        <v>#NAME?</v>
      </c>
      <c r="K5362" s="274">
        <f t="shared" si="90"/>
        <v>0</v>
      </c>
      <c r="N5362" s="274"/>
    </row>
    <row r="5363" spans="5:14" ht="13.5" customHeight="1">
      <c r="E5363" s="209" t="s">
        <v>1852</v>
      </c>
      <c r="F5363" s="209" t="s">
        <v>2987</v>
      </c>
      <c r="G5363" s="414" t="str">
        <f t="shared" si="88"/>
        <v>11-26</v>
      </c>
      <c r="H5363" s="273" t="e">
        <f ca="1">_xludf.IFNA(VLOOKUP(E5363,'Urban Plastix Holds'!$I$37:$U$705,11,0),0)</f>
        <v>#NAME?</v>
      </c>
      <c r="I5363" s="274"/>
      <c r="J5363" s="274" t="e">
        <f t="shared" ca="1" si="89"/>
        <v>#NAME?</v>
      </c>
      <c r="K5363" s="274">
        <f t="shared" si="90"/>
        <v>0</v>
      </c>
      <c r="N5363" s="274"/>
    </row>
    <row r="5364" spans="5:14" ht="13.5" customHeight="1">
      <c r="E5364" s="209" t="s">
        <v>1852</v>
      </c>
      <c r="F5364" s="209" t="s">
        <v>2987</v>
      </c>
      <c r="G5364" s="415" t="str">
        <f t="shared" si="88"/>
        <v>18-01</v>
      </c>
      <c r="H5364" s="273" t="e">
        <f ca="1">_xludf.IFNA(VLOOKUP(E5364,'Urban Plastix Holds'!$I$37:$U$705,12,0),0)</f>
        <v>#NAME?</v>
      </c>
      <c r="I5364" s="274"/>
      <c r="J5364" s="274" t="e">
        <f t="shared" ca="1" si="89"/>
        <v>#NAME?</v>
      </c>
      <c r="K5364" s="274">
        <f t="shared" si="90"/>
        <v>0</v>
      </c>
      <c r="N5364" s="274"/>
    </row>
    <row r="5365" spans="5:14" ht="13.5" customHeight="1">
      <c r="E5365" s="209" t="s">
        <v>1852</v>
      </c>
      <c r="F5365" s="209" t="s">
        <v>2987</v>
      </c>
      <c r="G5365" s="416" t="str">
        <f t="shared" si="88"/>
        <v>Color Code</v>
      </c>
      <c r="H5365" s="273" t="e">
        <f ca="1">_xludf.IFNA(VLOOKUP(E5365,'Urban Plastix Holds'!$I$37:$U$705,13,0),0)</f>
        <v>#NAME?</v>
      </c>
      <c r="I5365" s="274"/>
      <c r="J5365" s="274" t="e">
        <f t="shared" ca="1" si="89"/>
        <v>#NAME?</v>
      </c>
      <c r="K5365" s="274">
        <f t="shared" si="90"/>
        <v>0</v>
      </c>
      <c r="N5365" s="274"/>
    </row>
    <row r="5366" spans="5:14" ht="13.5" customHeight="1">
      <c r="E5366" s="209" t="s">
        <v>1807</v>
      </c>
      <c r="F5366" s="209" t="s">
        <v>2988</v>
      </c>
      <c r="G5366" s="406" t="str">
        <f t="shared" si="88"/>
        <v>11-12</v>
      </c>
      <c r="H5366" s="273" t="e">
        <f ca="1">_xludf.IFNA(VLOOKUP(E5366,'Urban Plastix Holds'!$I$37:$U$705,5,0),0)</f>
        <v>#NAME?</v>
      </c>
      <c r="I5366" s="274"/>
      <c r="J5366" s="274" t="e">
        <f t="shared" ca="1" si="89"/>
        <v>#NAME?</v>
      </c>
      <c r="K5366" s="274">
        <f t="shared" si="90"/>
        <v>0</v>
      </c>
      <c r="N5366" s="274"/>
    </row>
    <row r="5367" spans="5:14" ht="13.5" customHeight="1">
      <c r="E5367" s="209" t="s">
        <v>1807</v>
      </c>
      <c r="F5367" s="209" t="s">
        <v>2988</v>
      </c>
      <c r="G5367" s="408" t="str">
        <f t="shared" si="88"/>
        <v>14-01</v>
      </c>
      <c r="H5367" s="273" t="e">
        <f ca="1">_xludf.IFNA(VLOOKUP(E5367,'Urban Plastix Holds'!$I$37:$U$705,6,0),0)</f>
        <v>#NAME?</v>
      </c>
      <c r="I5367" s="274"/>
      <c r="J5367" s="274" t="e">
        <f t="shared" ca="1" si="89"/>
        <v>#NAME?</v>
      </c>
      <c r="K5367" s="274">
        <f t="shared" si="90"/>
        <v>0</v>
      </c>
      <c r="N5367" s="274"/>
    </row>
    <row r="5368" spans="5:14" ht="13.5" customHeight="1">
      <c r="E5368" s="209" t="s">
        <v>1807</v>
      </c>
      <c r="F5368" s="209" t="s">
        <v>2988</v>
      </c>
      <c r="G5368" s="409" t="str">
        <f t="shared" si="88"/>
        <v>15-12</v>
      </c>
      <c r="H5368" s="273" t="e">
        <f ca="1">_xludf.IFNA(VLOOKUP(E5368,'Urban Plastix Holds'!$I$37:$U$705,7,0),0)</f>
        <v>#NAME?</v>
      </c>
      <c r="I5368" s="274"/>
      <c r="J5368" s="274" t="e">
        <f t="shared" ca="1" si="89"/>
        <v>#NAME?</v>
      </c>
      <c r="K5368" s="274">
        <f t="shared" si="90"/>
        <v>0</v>
      </c>
      <c r="N5368" s="274"/>
    </row>
    <row r="5369" spans="5:14" ht="13.5" customHeight="1">
      <c r="E5369" s="209" t="s">
        <v>1807</v>
      </c>
      <c r="F5369" s="209" t="s">
        <v>2988</v>
      </c>
      <c r="G5369" s="410" t="str">
        <f t="shared" si="88"/>
        <v>16-16</v>
      </c>
      <c r="H5369" s="273" t="e">
        <f ca="1">_xludf.IFNA(VLOOKUP(E5369,'Urban Plastix Holds'!$I$37:$U$705,8,0),0)</f>
        <v>#NAME?</v>
      </c>
      <c r="I5369" s="274"/>
      <c r="J5369" s="274" t="e">
        <f t="shared" ca="1" si="89"/>
        <v>#NAME?</v>
      </c>
      <c r="K5369" s="274">
        <f t="shared" si="90"/>
        <v>0</v>
      </c>
      <c r="N5369" s="274"/>
    </row>
    <row r="5370" spans="5:14" ht="13.5" customHeight="1">
      <c r="E5370" s="209" t="s">
        <v>1807</v>
      </c>
      <c r="F5370" s="209" t="s">
        <v>2988</v>
      </c>
      <c r="G5370" s="411" t="str">
        <f t="shared" si="88"/>
        <v>13-01</v>
      </c>
      <c r="H5370" s="273" t="e">
        <f ca="1">_xludf.IFNA(VLOOKUP(E5370,'Urban Plastix Holds'!$I$37:$U$705,9,0),0)</f>
        <v>#NAME?</v>
      </c>
      <c r="I5370" s="274"/>
      <c r="J5370" s="274" t="e">
        <f t="shared" ca="1" si="89"/>
        <v>#NAME?</v>
      </c>
      <c r="K5370" s="274">
        <f t="shared" si="90"/>
        <v>0</v>
      </c>
      <c r="N5370" s="274"/>
    </row>
    <row r="5371" spans="5:14" ht="13.5" customHeight="1">
      <c r="E5371" s="209" t="s">
        <v>1807</v>
      </c>
      <c r="F5371" s="209" t="s">
        <v>2988</v>
      </c>
      <c r="G5371" s="413" t="str">
        <f t="shared" si="88"/>
        <v>07-13</v>
      </c>
      <c r="H5371" s="273" t="e">
        <f ca="1">_xludf.IFNA(VLOOKUP(E5371,'Urban Plastix Holds'!$I$37:$U$705,10,0),0)</f>
        <v>#NAME?</v>
      </c>
      <c r="I5371" s="274"/>
      <c r="J5371" s="274" t="e">
        <f t="shared" ca="1" si="89"/>
        <v>#NAME?</v>
      </c>
      <c r="K5371" s="274">
        <f t="shared" si="90"/>
        <v>0</v>
      </c>
      <c r="N5371" s="274"/>
    </row>
    <row r="5372" spans="5:14" ht="13.5" customHeight="1">
      <c r="E5372" s="209" t="s">
        <v>1807</v>
      </c>
      <c r="F5372" s="209" t="s">
        <v>2988</v>
      </c>
      <c r="G5372" s="414" t="str">
        <f t="shared" si="88"/>
        <v>11-26</v>
      </c>
      <c r="H5372" s="273" t="e">
        <f ca="1">_xludf.IFNA(VLOOKUP(E5372,'Urban Plastix Holds'!$I$37:$U$705,11,0),0)</f>
        <v>#NAME?</v>
      </c>
      <c r="I5372" s="274"/>
      <c r="J5372" s="274" t="e">
        <f t="shared" ca="1" si="89"/>
        <v>#NAME?</v>
      </c>
      <c r="K5372" s="274">
        <f t="shared" si="90"/>
        <v>0</v>
      </c>
      <c r="N5372" s="274"/>
    </row>
    <row r="5373" spans="5:14" ht="13.5" customHeight="1">
      <c r="E5373" s="209" t="s">
        <v>1807</v>
      </c>
      <c r="F5373" s="209" t="s">
        <v>2988</v>
      </c>
      <c r="G5373" s="415" t="str">
        <f t="shared" si="88"/>
        <v>18-01</v>
      </c>
      <c r="H5373" s="273" t="e">
        <f ca="1">_xludf.IFNA(VLOOKUP(E5373,'Urban Plastix Holds'!$I$37:$U$705,12,0),0)</f>
        <v>#NAME?</v>
      </c>
      <c r="I5373" s="274"/>
      <c r="J5373" s="274" t="e">
        <f t="shared" ca="1" si="89"/>
        <v>#NAME?</v>
      </c>
      <c r="K5373" s="274">
        <f t="shared" si="90"/>
        <v>0</v>
      </c>
      <c r="N5373" s="274"/>
    </row>
    <row r="5374" spans="5:14" ht="13.5" customHeight="1">
      <c r="E5374" s="209" t="s">
        <v>1807</v>
      </c>
      <c r="F5374" s="209" t="s">
        <v>2988</v>
      </c>
      <c r="G5374" s="416" t="str">
        <f t="shared" si="88"/>
        <v>Color Code</v>
      </c>
      <c r="H5374" s="273" t="e">
        <f ca="1">_xludf.IFNA(VLOOKUP(E5374,'Urban Plastix Holds'!$I$37:$U$705,13,0),0)</f>
        <v>#NAME?</v>
      </c>
      <c r="I5374" s="274"/>
      <c r="J5374" s="274" t="e">
        <f t="shared" ca="1" si="89"/>
        <v>#NAME?</v>
      </c>
      <c r="K5374" s="274">
        <f t="shared" si="90"/>
        <v>0</v>
      </c>
      <c r="N5374" s="274"/>
    </row>
    <row r="5375" spans="5:14" ht="13.5" customHeight="1">
      <c r="E5375" s="209" t="s">
        <v>1805</v>
      </c>
      <c r="F5375" s="209" t="s">
        <v>2989</v>
      </c>
      <c r="G5375" s="406" t="str">
        <f t="shared" si="88"/>
        <v>11-12</v>
      </c>
      <c r="H5375" s="273" t="e">
        <f ca="1">_xludf.IFNA(VLOOKUP(E5375,'Urban Plastix Holds'!$I$37:$U$705,5,0),0)</f>
        <v>#NAME?</v>
      </c>
      <c r="I5375" s="274"/>
      <c r="J5375" s="274" t="e">
        <f t="shared" ca="1" si="89"/>
        <v>#NAME?</v>
      </c>
      <c r="K5375" s="274">
        <f t="shared" si="90"/>
        <v>0</v>
      </c>
      <c r="N5375" s="274"/>
    </row>
    <row r="5376" spans="5:14" ht="13.5" customHeight="1">
      <c r="E5376" s="209" t="s">
        <v>1805</v>
      </c>
      <c r="F5376" s="209" t="s">
        <v>2989</v>
      </c>
      <c r="G5376" s="408" t="str">
        <f t="shared" si="88"/>
        <v>14-01</v>
      </c>
      <c r="H5376" s="273" t="e">
        <f ca="1">_xludf.IFNA(VLOOKUP(E5376,'Urban Plastix Holds'!$I$37:$U$705,6,0),0)</f>
        <v>#NAME?</v>
      </c>
      <c r="I5376" s="274"/>
      <c r="J5376" s="274" t="e">
        <f t="shared" ca="1" si="89"/>
        <v>#NAME?</v>
      </c>
      <c r="K5376" s="274">
        <f t="shared" si="90"/>
        <v>0</v>
      </c>
      <c r="N5376" s="274"/>
    </row>
    <row r="5377" spans="5:14" ht="13.5" customHeight="1">
      <c r="E5377" s="209" t="s">
        <v>1805</v>
      </c>
      <c r="F5377" s="209" t="s">
        <v>2989</v>
      </c>
      <c r="G5377" s="409" t="str">
        <f t="shared" si="88"/>
        <v>15-12</v>
      </c>
      <c r="H5377" s="273" t="e">
        <f ca="1">_xludf.IFNA(VLOOKUP(E5377,'Urban Plastix Holds'!$I$37:$U$705,7,0),0)</f>
        <v>#NAME?</v>
      </c>
      <c r="I5377" s="274"/>
      <c r="J5377" s="274" t="e">
        <f t="shared" ca="1" si="89"/>
        <v>#NAME?</v>
      </c>
      <c r="K5377" s="274">
        <f t="shared" si="90"/>
        <v>0</v>
      </c>
      <c r="N5377" s="274"/>
    </row>
    <row r="5378" spans="5:14" ht="13.5" customHeight="1">
      <c r="E5378" s="209" t="s">
        <v>1805</v>
      </c>
      <c r="F5378" s="209" t="s">
        <v>2989</v>
      </c>
      <c r="G5378" s="410" t="str">
        <f t="shared" si="88"/>
        <v>16-16</v>
      </c>
      <c r="H5378" s="273" t="e">
        <f ca="1">_xludf.IFNA(VLOOKUP(E5378,'Urban Plastix Holds'!$I$37:$U$705,8,0),0)</f>
        <v>#NAME?</v>
      </c>
      <c r="I5378" s="274"/>
      <c r="J5378" s="274" t="e">
        <f t="shared" ca="1" si="89"/>
        <v>#NAME?</v>
      </c>
      <c r="K5378" s="274">
        <f t="shared" si="90"/>
        <v>0</v>
      </c>
      <c r="N5378" s="274"/>
    </row>
    <row r="5379" spans="5:14" ht="13.5" customHeight="1">
      <c r="E5379" s="209" t="s">
        <v>1805</v>
      </c>
      <c r="F5379" s="209" t="s">
        <v>2989</v>
      </c>
      <c r="G5379" s="411" t="str">
        <f t="shared" si="88"/>
        <v>13-01</v>
      </c>
      <c r="H5379" s="273" t="e">
        <f ca="1">_xludf.IFNA(VLOOKUP(E5379,'Urban Plastix Holds'!$I$37:$U$705,9,0),0)</f>
        <v>#NAME?</v>
      </c>
      <c r="I5379" s="274"/>
      <c r="J5379" s="274" t="e">
        <f t="shared" ca="1" si="89"/>
        <v>#NAME?</v>
      </c>
      <c r="K5379" s="274">
        <f t="shared" si="90"/>
        <v>0</v>
      </c>
      <c r="N5379" s="274"/>
    </row>
    <row r="5380" spans="5:14" ht="13.5" customHeight="1">
      <c r="E5380" s="209" t="s">
        <v>1805</v>
      </c>
      <c r="F5380" s="209" t="s">
        <v>2989</v>
      </c>
      <c r="G5380" s="413" t="str">
        <f t="shared" si="88"/>
        <v>07-13</v>
      </c>
      <c r="H5380" s="273" t="e">
        <f ca="1">_xludf.IFNA(VLOOKUP(E5380,'Urban Plastix Holds'!$I$37:$U$705,10,0),0)</f>
        <v>#NAME?</v>
      </c>
      <c r="I5380" s="274"/>
      <c r="J5380" s="274" t="e">
        <f t="shared" ca="1" si="89"/>
        <v>#NAME?</v>
      </c>
      <c r="K5380" s="274">
        <f t="shared" si="90"/>
        <v>0</v>
      </c>
      <c r="N5380" s="274"/>
    </row>
    <row r="5381" spans="5:14" ht="13.5" customHeight="1">
      <c r="E5381" s="209" t="s">
        <v>1805</v>
      </c>
      <c r="F5381" s="209" t="s">
        <v>2989</v>
      </c>
      <c r="G5381" s="414" t="str">
        <f t="shared" si="88"/>
        <v>11-26</v>
      </c>
      <c r="H5381" s="273" t="e">
        <f ca="1">_xludf.IFNA(VLOOKUP(E5381,'Urban Plastix Holds'!$I$37:$U$705,11,0),0)</f>
        <v>#NAME?</v>
      </c>
      <c r="I5381" s="274"/>
      <c r="J5381" s="274" t="e">
        <f t="shared" ca="1" si="89"/>
        <v>#NAME?</v>
      </c>
      <c r="K5381" s="274">
        <f t="shared" si="90"/>
        <v>0</v>
      </c>
      <c r="N5381" s="274"/>
    </row>
    <row r="5382" spans="5:14" ht="13.5" customHeight="1">
      <c r="E5382" s="209" t="s">
        <v>1805</v>
      </c>
      <c r="F5382" s="209" t="s">
        <v>2989</v>
      </c>
      <c r="G5382" s="415" t="str">
        <f t="shared" si="88"/>
        <v>18-01</v>
      </c>
      <c r="H5382" s="273" t="e">
        <f ca="1">_xludf.IFNA(VLOOKUP(E5382,'Urban Plastix Holds'!$I$37:$U$705,12,0),0)</f>
        <v>#NAME?</v>
      </c>
      <c r="I5382" s="274"/>
      <c r="J5382" s="274" t="e">
        <f t="shared" ca="1" si="89"/>
        <v>#NAME?</v>
      </c>
      <c r="K5382" s="274">
        <f t="shared" si="90"/>
        <v>0</v>
      </c>
      <c r="N5382" s="274"/>
    </row>
    <row r="5383" spans="5:14" ht="13.5" customHeight="1">
      <c r="E5383" s="209" t="s">
        <v>1805</v>
      </c>
      <c r="F5383" s="209" t="s">
        <v>2989</v>
      </c>
      <c r="G5383" s="416" t="str">
        <f t="shared" si="88"/>
        <v>Color Code</v>
      </c>
      <c r="H5383" s="273" t="e">
        <f ca="1">_xludf.IFNA(VLOOKUP(E5383,'Urban Plastix Holds'!$I$37:$U$705,13,0),0)</f>
        <v>#NAME?</v>
      </c>
      <c r="I5383" s="274"/>
      <c r="J5383" s="274" t="e">
        <f t="shared" ca="1" si="89"/>
        <v>#NAME?</v>
      </c>
      <c r="K5383" s="274">
        <f t="shared" si="90"/>
        <v>0</v>
      </c>
      <c r="N5383" s="274"/>
    </row>
    <row r="5384" spans="5:14" ht="13.5" customHeight="1">
      <c r="E5384" s="209" t="s">
        <v>1835</v>
      </c>
      <c r="F5384" s="209" t="s">
        <v>2990</v>
      </c>
      <c r="G5384" s="406" t="str">
        <f t="shared" si="88"/>
        <v>11-12</v>
      </c>
      <c r="H5384" s="273" t="e">
        <f ca="1">_xludf.IFNA(VLOOKUP(E5384,'Urban Plastix Holds'!$I$37:$U$705,5,0),0)</f>
        <v>#NAME?</v>
      </c>
      <c r="I5384" s="274"/>
      <c r="J5384" s="274" t="e">
        <f t="shared" ca="1" si="89"/>
        <v>#NAME?</v>
      </c>
      <c r="K5384" s="274">
        <f t="shared" si="90"/>
        <v>0</v>
      </c>
      <c r="N5384" s="274"/>
    </row>
    <row r="5385" spans="5:14" ht="13.5" customHeight="1">
      <c r="E5385" s="209" t="s">
        <v>1835</v>
      </c>
      <c r="F5385" s="209" t="s">
        <v>2990</v>
      </c>
      <c r="G5385" s="408" t="str">
        <f t="shared" si="88"/>
        <v>14-01</v>
      </c>
      <c r="H5385" s="273" t="e">
        <f ca="1">_xludf.IFNA(VLOOKUP(E5385,'Urban Plastix Holds'!$I$37:$U$705,6,0),0)</f>
        <v>#NAME?</v>
      </c>
      <c r="I5385" s="274"/>
      <c r="J5385" s="274" t="e">
        <f t="shared" ca="1" si="89"/>
        <v>#NAME?</v>
      </c>
      <c r="K5385" s="274">
        <f t="shared" si="90"/>
        <v>0</v>
      </c>
      <c r="N5385" s="274"/>
    </row>
    <row r="5386" spans="5:14" ht="13.5" customHeight="1">
      <c r="E5386" s="209" t="s">
        <v>1835</v>
      </c>
      <c r="F5386" s="209" t="s">
        <v>2990</v>
      </c>
      <c r="G5386" s="409" t="str">
        <f t="shared" si="88"/>
        <v>15-12</v>
      </c>
      <c r="H5386" s="273" t="e">
        <f ca="1">_xludf.IFNA(VLOOKUP(E5386,'Urban Plastix Holds'!$I$37:$U$705,7,0),0)</f>
        <v>#NAME?</v>
      </c>
      <c r="I5386" s="274"/>
      <c r="J5386" s="274" t="e">
        <f t="shared" ca="1" si="89"/>
        <v>#NAME?</v>
      </c>
      <c r="K5386" s="274">
        <f t="shared" si="90"/>
        <v>0</v>
      </c>
      <c r="N5386" s="274"/>
    </row>
    <row r="5387" spans="5:14" ht="13.5" customHeight="1">
      <c r="E5387" s="209" t="s">
        <v>1835</v>
      </c>
      <c r="F5387" s="209" t="s">
        <v>2990</v>
      </c>
      <c r="G5387" s="410" t="str">
        <f t="shared" si="88"/>
        <v>16-16</v>
      </c>
      <c r="H5387" s="273" t="e">
        <f ca="1">_xludf.IFNA(VLOOKUP(E5387,'Urban Plastix Holds'!$I$37:$U$705,8,0),0)</f>
        <v>#NAME?</v>
      </c>
      <c r="I5387" s="274"/>
      <c r="J5387" s="274" t="e">
        <f t="shared" ca="1" si="89"/>
        <v>#NAME?</v>
      </c>
      <c r="K5387" s="274">
        <f t="shared" si="90"/>
        <v>0</v>
      </c>
      <c r="N5387" s="274"/>
    </row>
    <row r="5388" spans="5:14" ht="13.5" customHeight="1">
      <c r="E5388" s="209" t="s">
        <v>1835</v>
      </c>
      <c r="F5388" s="209" t="s">
        <v>2990</v>
      </c>
      <c r="G5388" s="411" t="str">
        <f t="shared" si="88"/>
        <v>13-01</v>
      </c>
      <c r="H5388" s="273" t="e">
        <f ca="1">_xludf.IFNA(VLOOKUP(E5388,'Urban Plastix Holds'!$I$37:$U$705,9,0),0)</f>
        <v>#NAME?</v>
      </c>
      <c r="I5388" s="274"/>
      <c r="J5388" s="274" t="e">
        <f t="shared" ca="1" si="89"/>
        <v>#NAME?</v>
      </c>
      <c r="K5388" s="274">
        <f t="shared" si="90"/>
        <v>0</v>
      </c>
      <c r="N5388" s="274"/>
    </row>
    <row r="5389" spans="5:14" ht="13.5" customHeight="1">
      <c r="E5389" s="209" t="s">
        <v>1835</v>
      </c>
      <c r="F5389" s="209" t="s">
        <v>2990</v>
      </c>
      <c r="G5389" s="413" t="str">
        <f t="shared" si="88"/>
        <v>07-13</v>
      </c>
      <c r="H5389" s="273" t="e">
        <f ca="1">_xludf.IFNA(VLOOKUP(E5389,'Urban Plastix Holds'!$I$37:$U$705,10,0),0)</f>
        <v>#NAME?</v>
      </c>
      <c r="I5389" s="274"/>
      <c r="J5389" s="274" t="e">
        <f t="shared" ca="1" si="89"/>
        <v>#NAME?</v>
      </c>
      <c r="K5389" s="274">
        <f t="shared" si="90"/>
        <v>0</v>
      </c>
      <c r="N5389" s="274"/>
    </row>
    <row r="5390" spans="5:14" ht="13.5" customHeight="1">
      <c r="E5390" s="209" t="s">
        <v>1835</v>
      </c>
      <c r="F5390" s="209" t="s">
        <v>2990</v>
      </c>
      <c r="G5390" s="414" t="str">
        <f t="shared" si="88"/>
        <v>11-26</v>
      </c>
      <c r="H5390" s="273" t="e">
        <f ca="1">_xludf.IFNA(VLOOKUP(E5390,'Urban Plastix Holds'!$I$37:$U$705,11,0),0)</f>
        <v>#NAME?</v>
      </c>
      <c r="I5390" s="274"/>
      <c r="J5390" s="274" t="e">
        <f t="shared" ca="1" si="89"/>
        <v>#NAME?</v>
      </c>
      <c r="K5390" s="274">
        <f t="shared" si="90"/>
        <v>0</v>
      </c>
      <c r="N5390" s="274"/>
    </row>
    <row r="5391" spans="5:14" ht="13.5" customHeight="1">
      <c r="E5391" s="209" t="s">
        <v>1835</v>
      </c>
      <c r="F5391" s="209" t="s">
        <v>2990</v>
      </c>
      <c r="G5391" s="415" t="str">
        <f t="shared" si="88"/>
        <v>18-01</v>
      </c>
      <c r="H5391" s="273" t="e">
        <f ca="1">_xludf.IFNA(VLOOKUP(E5391,'Urban Plastix Holds'!$I$37:$U$705,12,0),0)</f>
        <v>#NAME?</v>
      </c>
      <c r="I5391" s="274"/>
      <c r="J5391" s="274" t="e">
        <f t="shared" ca="1" si="89"/>
        <v>#NAME?</v>
      </c>
      <c r="K5391" s="274">
        <f t="shared" si="90"/>
        <v>0</v>
      </c>
      <c r="N5391" s="274"/>
    </row>
    <row r="5392" spans="5:14" ht="13.5" customHeight="1">
      <c r="E5392" s="209" t="s">
        <v>1835</v>
      </c>
      <c r="F5392" s="209" t="s">
        <v>2990</v>
      </c>
      <c r="G5392" s="416" t="str">
        <f t="shared" si="88"/>
        <v>Color Code</v>
      </c>
      <c r="H5392" s="273" t="e">
        <f ca="1">_xludf.IFNA(VLOOKUP(E5392,'Urban Plastix Holds'!$I$37:$U$705,13,0),0)</f>
        <v>#NAME?</v>
      </c>
      <c r="I5392" s="274"/>
      <c r="J5392" s="274" t="e">
        <f t="shared" ca="1" si="89"/>
        <v>#NAME?</v>
      </c>
      <c r="K5392" s="274">
        <f t="shared" si="90"/>
        <v>0</v>
      </c>
      <c r="N5392" s="274"/>
    </row>
    <row r="5393" spans="5:14" ht="13.5" customHeight="1">
      <c r="E5393" s="209" t="s">
        <v>1284</v>
      </c>
      <c r="F5393" s="209" t="s">
        <v>2991</v>
      </c>
      <c r="G5393" s="406" t="str">
        <f t="shared" si="88"/>
        <v>11-12</v>
      </c>
      <c r="H5393" s="273" t="e">
        <f ca="1">_xludf.IFNA(VLOOKUP(E5393,'Urban Plastix Holds'!$I$37:$U$705,5,0),0)</f>
        <v>#NAME?</v>
      </c>
      <c r="I5393" s="274"/>
      <c r="J5393" s="274" t="e">
        <f t="shared" ca="1" si="89"/>
        <v>#NAME?</v>
      </c>
      <c r="K5393" s="274">
        <f t="shared" si="90"/>
        <v>0</v>
      </c>
      <c r="N5393" s="274"/>
    </row>
    <row r="5394" spans="5:14" ht="13.5" customHeight="1">
      <c r="E5394" s="209" t="s">
        <v>1284</v>
      </c>
      <c r="F5394" s="209" t="s">
        <v>2991</v>
      </c>
      <c r="G5394" s="408" t="str">
        <f t="shared" si="88"/>
        <v>14-01</v>
      </c>
      <c r="H5394" s="273" t="e">
        <f ca="1">_xludf.IFNA(VLOOKUP(E5394,'Urban Plastix Holds'!$I$37:$U$705,6,0),0)</f>
        <v>#NAME?</v>
      </c>
      <c r="I5394" s="274"/>
      <c r="J5394" s="274" t="e">
        <f t="shared" ca="1" si="89"/>
        <v>#NAME?</v>
      </c>
      <c r="K5394" s="274">
        <f t="shared" si="90"/>
        <v>0</v>
      </c>
      <c r="N5394" s="274"/>
    </row>
    <row r="5395" spans="5:14" ht="13.5" customHeight="1">
      <c r="E5395" s="209" t="s">
        <v>1284</v>
      </c>
      <c r="F5395" s="209" t="s">
        <v>2991</v>
      </c>
      <c r="G5395" s="409" t="str">
        <f t="shared" si="88"/>
        <v>15-12</v>
      </c>
      <c r="H5395" s="273" t="e">
        <f ca="1">_xludf.IFNA(VLOOKUP(E5395,'Urban Plastix Holds'!$I$37:$U$705,7,0),0)</f>
        <v>#NAME?</v>
      </c>
      <c r="I5395" s="274"/>
      <c r="J5395" s="274" t="e">
        <f t="shared" ca="1" si="89"/>
        <v>#NAME?</v>
      </c>
      <c r="K5395" s="274">
        <f t="shared" si="90"/>
        <v>0</v>
      </c>
      <c r="N5395" s="274"/>
    </row>
    <row r="5396" spans="5:14" ht="13.5" customHeight="1">
      <c r="E5396" s="209" t="s">
        <v>1284</v>
      </c>
      <c r="F5396" s="209" t="s">
        <v>2991</v>
      </c>
      <c r="G5396" s="410" t="str">
        <f t="shared" si="88"/>
        <v>16-16</v>
      </c>
      <c r="H5396" s="273" t="e">
        <f ca="1">_xludf.IFNA(VLOOKUP(E5396,'Urban Plastix Holds'!$I$37:$U$705,8,0),0)</f>
        <v>#NAME?</v>
      </c>
      <c r="I5396" s="274"/>
      <c r="J5396" s="274" t="e">
        <f t="shared" ca="1" si="89"/>
        <v>#NAME?</v>
      </c>
      <c r="K5396" s="274">
        <f t="shared" si="90"/>
        <v>0</v>
      </c>
      <c r="N5396" s="274"/>
    </row>
    <row r="5397" spans="5:14" ht="13.5" customHeight="1">
      <c r="E5397" s="209" t="s">
        <v>1284</v>
      </c>
      <c r="F5397" s="209" t="s">
        <v>2991</v>
      </c>
      <c r="G5397" s="411" t="str">
        <f t="shared" si="88"/>
        <v>13-01</v>
      </c>
      <c r="H5397" s="273" t="e">
        <f ca="1">_xludf.IFNA(VLOOKUP(E5397,'Urban Plastix Holds'!$I$37:$U$705,9,0),0)</f>
        <v>#NAME?</v>
      </c>
      <c r="I5397" s="274"/>
      <c r="J5397" s="274" t="e">
        <f t="shared" ca="1" si="89"/>
        <v>#NAME?</v>
      </c>
      <c r="K5397" s="274">
        <f t="shared" si="90"/>
        <v>0</v>
      </c>
      <c r="N5397" s="274"/>
    </row>
    <row r="5398" spans="5:14" ht="13.5" customHeight="1">
      <c r="E5398" s="209" t="s">
        <v>1284</v>
      </c>
      <c r="F5398" s="209" t="s">
        <v>2991</v>
      </c>
      <c r="G5398" s="413" t="str">
        <f t="shared" si="88"/>
        <v>07-13</v>
      </c>
      <c r="H5398" s="273" t="e">
        <f ca="1">_xludf.IFNA(VLOOKUP(E5398,'Urban Plastix Holds'!$I$37:$U$705,10,0),0)</f>
        <v>#NAME?</v>
      </c>
      <c r="I5398" s="274"/>
      <c r="J5398" s="274" t="e">
        <f t="shared" ca="1" si="89"/>
        <v>#NAME?</v>
      </c>
      <c r="K5398" s="274">
        <f t="shared" si="90"/>
        <v>0</v>
      </c>
      <c r="N5398" s="274"/>
    </row>
    <row r="5399" spans="5:14" ht="13.5" customHeight="1">
      <c r="E5399" s="209" t="s">
        <v>1284</v>
      </c>
      <c r="F5399" s="209" t="s">
        <v>2991</v>
      </c>
      <c r="G5399" s="414" t="str">
        <f t="shared" si="88"/>
        <v>11-26</v>
      </c>
      <c r="H5399" s="273" t="e">
        <f ca="1">_xludf.IFNA(VLOOKUP(E5399,'Urban Plastix Holds'!$I$37:$U$705,11,0),0)</f>
        <v>#NAME?</v>
      </c>
      <c r="I5399" s="274"/>
      <c r="J5399" s="274" t="e">
        <f t="shared" ca="1" si="89"/>
        <v>#NAME?</v>
      </c>
      <c r="K5399" s="274">
        <f t="shared" si="90"/>
        <v>0</v>
      </c>
      <c r="N5399" s="274"/>
    </row>
    <row r="5400" spans="5:14" ht="13.5" customHeight="1">
      <c r="E5400" s="209" t="s">
        <v>1284</v>
      </c>
      <c r="F5400" s="209" t="s">
        <v>2991</v>
      </c>
      <c r="G5400" s="415" t="str">
        <f t="shared" si="88"/>
        <v>18-01</v>
      </c>
      <c r="H5400" s="273" t="e">
        <f ca="1">_xludf.IFNA(VLOOKUP(E5400,'Urban Plastix Holds'!$I$37:$U$705,12,0),0)</f>
        <v>#NAME?</v>
      </c>
      <c r="I5400" s="274"/>
      <c r="J5400" s="274" t="e">
        <f t="shared" ca="1" si="89"/>
        <v>#NAME?</v>
      </c>
      <c r="K5400" s="274">
        <f t="shared" si="90"/>
        <v>0</v>
      </c>
      <c r="N5400" s="274"/>
    </row>
    <row r="5401" spans="5:14" ht="13.5" customHeight="1">
      <c r="E5401" s="209" t="s">
        <v>1284</v>
      </c>
      <c r="F5401" s="209" t="s">
        <v>2991</v>
      </c>
      <c r="G5401" s="416" t="str">
        <f t="shared" si="88"/>
        <v>Color Code</v>
      </c>
      <c r="H5401" s="273" t="e">
        <f ca="1">_xludf.IFNA(VLOOKUP(E5401,'Urban Plastix Holds'!$I$37:$U$705,13,0),0)</f>
        <v>#NAME?</v>
      </c>
      <c r="I5401" s="274"/>
      <c r="J5401" s="274" t="e">
        <f t="shared" ca="1" si="89"/>
        <v>#NAME?</v>
      </c>
      <c r="K5401" s="274">
        <f t="shared" si="90"/>
        <v>0</v>
      </c>
      <c r="N5401" s="274"/>
    </row>
    <row r="5402" spans="5:14" ht="13.5" customHeight="1">
      <c r="E5402" s="209" t="s">
        <v>1870</v>
      </c>
      <c r="F5402" s="209" t="s">
        <v>2992</v>
      </c>
      <c r="G5402" s="406" t="str">
        <f t="shared" si="88"/>
        <v>11-12</v>
      </c>
      <c r="H5402" s="273" t="e">
        <f ca="1">_xludf.IFNA(VLOOKUP(E5402,'Urban Plastix Holds'!$I$37:$U$705,5,0),0)</f>
        <v>#NAME?</v>
      </c>
      <c r="I5402" s="274"/>
      <c r="J5402" s="274" t="e">
        <f t="shared" ca="1" si="89"/>
        <v>#NAME?</v>
      </c>
      <c r="K5402" s="274">
        <f t="shared" si="90"/>
        <v>0</v>
      </c>
      <c r="N5402" s="274"/>
    </row>
    <row r="5403" spans="5:14" ht="13.5" customHeight="1">
      <c r="E5403" s="209" t="s">
        <v>1870</v>
      </c>
      <c r="F5403" s="209" t="s">
        <v>2992</v>
      </c>
      <c r="G5403" s="408" t="str">
        <f t="shared" si="88"/>
        <v>14-01</v>
      </c>
      <c r="H5403" s="273" t="e">
        <f ca="1">_xludf.IFNA(VLOOKUP(E5403,'Urban Plastix Holds'!$I$37:$U$705,6,0),0)</f>
        <v>#NAME?</v>
      </c>
      <c r="I5403" s="274"/>
      <c r="J5403" s="274" t="e">
        <f t="shared" ca="1" si="89"/>
        <v>#NAME?</v>
      </c>
      <c r="K5403" s="274">
        <f t="shared" si="90"/>
        <v>0</v>
      </c>
      <c r="N5403" s="274"/>
    </row>
    <row r="5404" spans="5:14" ht="13.5" customHeight="1">
      <c r="E5404" s="209" t="s">
        <v>1870</v>
      </c>
      <c r="F5404" s="209" t="s">
        <v>2992</v>
      </c>
      <c r="G5404" s="409" t="str">
        <f t="shared" si="88"/>
        <v>15-12</v>
      </c>
      <c r="H5404" s="273" t="e">
        <f ca="1">_xludf.IFNA(VLOOKUP(E5404,'Urban Plastix Holds'!$I$37:$U$705,7,0),0)</f>
        <v>#NAME?</v>
      </c>
      <c r="I5404" s="274"/>
      <c r="J5404" s="274" t="e">
        <f t="shared" ca="1" si="89"/>
        <v>#NAME?</v>
      </c>
      <c r="K5404" s="274">
        <f t="shared" si="90"/>
        <v>0</v>
      </c>
      <c r="N5404" s="274"/>
    </row>
    <row r="5405" spans="5:14" ht="13.5" customHeight="1">
      <c r="E5405" s="209" t="s">
        <v>1870</v>
      </c>
      <c r="F5405" s="209" t="s">
        <v>2992</v>
      </c>
      <c r="G5405" s="410" t="str">
        <f t="shared" si="88"/>
        <v>16-16</v>
      </c>
      <c r="H5405" s="273" t="e">
        <f ca="1">_xludf.IFNA(VLOOKUP(E5405,'Urban Plastix Holds'!$I$37:$U$705,8,0),0)</f>
        <v>#NAME?</v>
      </c>
      <c r="I5405" s="274"/>
      <c r="J5405" s="274" t="e">
        <f t="shared" ca="1" si="89"/>
        <v>#NAME?</v>
      </c>
      <c r="K5405" s="274">
        <f t="shared" si="90"/>
        <v>0</v>
      </c>
      <c r="N5405" s="274"/>
    </row>
    <row r="5406" spans="5:14" ht="13.5" customHeight="1">
      <c r="E5406" s="209" t="s">
        <v>1870</v>
      </c>
      <c r="F5406" s="209" t="s">
        <v>2992</v>
      </c>
      <c r="G5406" s="411" t="str">
        <f t="shared" si="88"/>
        <v>13-01</v>
      </c>
      <c r="H5406" s="273" t="e">
        <f ca="1">_xludf.IFNA(VLOOKUP(E5406,'Urban Plastix Holds'!$I$37:$U$705,9,0),0)</f>
        <v>#NAME?</v>
      </c>
      <c r="I5406" s="274"/>
      <c r="J5406" s="274" t="e">
        <f t="shared" ca="1" si="89"/>
        <v>#NAME?</v>
      </c>
      <c r="K5406" s="274">
        <f t="shared" si="90"/>
        <v>0</v>
      </c>
      <c r="N5406" s="274"/>
    </row>
    <row r="5407" spans="5:14" ht="13.5" customHeight="1">
      <c r="E5407" s="209" t="s">
        <v>1870</v>
      </c>
      <c r="F5407" s="209" t="s">
        <v>2992</v>
      </c>
      <c r="G5407" s="413" t="str">
        <f t="shared" si="88"/>
        <v>07-13</v>
      </c>
      <c r="H5407" s="273" t="e">
        <f ca="1">_xludf.IFNA(VLOOKUP(E5407,'Urban Plastix Holds'!$I$37:$U$705,10,0),0)</f>
        <v>#NAME?</v>
      </c>
      <c r="I5407" s="274"/>
      <c r="J5407" s="274" t="e">
        <f t="shared" ca="1" si="89"/>
        <v>#NAME?</v>
      </c>
      <c r="K5407" s="274">
        <f t="shared" si="90"/>
        <v>0</v>
      </c>
      <c r="N5407" s="274"/>
    </row>
    <row r="5408" spans="5:14" ht="13.5" customHeight="1">
      <c r="E5408" s="209" t="s">
        <v>1870</v>
      </c>
      <c r="F5408" s="209" t="s">
        <v>2992</v>
      </c>
      <c r="G5408" s="414" t="str">
        <f t="shared" si="88"/>
        <v>11-26</v>
      </c>
      <c r="H5408" s="273" t="e">
        <f ca="1">_xludf.IFNA(VLOOKUP(E5408,'Urban Plastix Holds'!$I$37:$U$705,11,0),0)</f>
        <v>#NAME?</v>
      </c>
      <c r="I5408" s="274"/>
      <c r="J5408" s="274" t="e">
        <f t="shared" ca="1" si="89"/>
        <v>#NAME?</v>
      </c>
      <c r="K5408" s="274">
        <f t="shared" si="90"/>
        <v>0</v>
      </c>
      <c r="N5408" s="274"/>
    </row>
    <row r="5409" spans="5:14" ht="13.5" customHeight="1">
      <c r="E5409" s="209" t="s">
        <v>1870</v>
      </c>
      <c r="F5409" s="209" t="s">
        <v>2992</v>
      </c>
      <c r="G5409" s="415" t="str">
        <f t="shared" si="88"/>
        <v>18-01</v>
      </c>
      <c r="H5409" s="273" t="e">
        <f ca="1">_xludf.IFNA(VLOOKUP(E5409,'Urban Plastix Holds'!$I$37:$U$705,12,0),0)</f>
        <v>#NAME?</v>
      </c>
      <c r="I5409" s="274"/>
      <c r="J5409" s="274" t="e">
        <f t="shared" ca="1" si="89"/>
        <v>#NAME?</v>
      </c>
      <c r="K5409" s="274">
        <f t="shared" si="90"/>
        <v>0</v>
      </c>
      <c r="N5409" s="274"/>
    </row>
    <row r="5410" spans="5:14" ht="13.5" customHeight="1">
      <c r="E5410" s="209" t="s">
        <v>1870</v>
      </c>
      <c r="F5410" s="209" t="s">
        <v>2992</v>
      </c>
      <c r="G5410" s="416" t="str">
        <f t="shared" si="88"/>
        <v>Color Code</v>
      </c>
      <c r="H5410" s="273" t="e">
        <f ca="1">_xludf.IFNA(VLOOKUP(E5410,'Urban Plastix Holds'!$I$37:$U$705,13,0),0)</f>
        <v>#NAME?</v>
      </c>
      <c r="I5410" s="274"/>
      <c r="J5410" s="274" t="e">
        <f t="shared" ca="1" si="89"/>
        <v>#NAME?</v>
      </c>
      <c r="K5410" s="274">
        <f t="shared" si="90"/>
        <v>0</v>
      </c>
      <c r="N5410" s="274"/>
    </row>
    <row r="5411" spans="5:14" ht="13.5" customHeight="1">
      <c r="E5411" s="209" t="s">
        <v>1351</v>
      </c>
      <c r="F5411" s="209" t="s">
        <v>2993</v>
      </c>
      <c r="G5411" s="406" t="str">
        <f t="shared" si="88"/>
        <v>11-12</v>
      </c>
      <c r="H5411" s="273" t="e">
        <f ca="1">_xludf.IFNA(VLOOKUP(E5411,'Urban Plastix Holds'!$I$37:$U$705,5,0),0)</f>
        <v>#NAME?</v>
      </c>
      <c r="I5411" s="274"/>
      <c r="J5411" s="274" t="e">
        <f t="shared" ca="1" si="89"/>
        <v>#NAME?</v>
      </c>
      <c r="K5411" s="274">
        <f t="shared" si="90"/>
        <v>0</v>
      </c>
      <c r="N5411" s="274"/>
    </row>
    <row r="5412" spans="5:14" ht="13.5" customHeight="1">
      <c r="E5412" s="209" t="s">
        <v>1351</v>
      </c>
      <c r="F5412" s="209" t="s">
        <v>2993</v>
      </c>
      <c r="G5412" s="408" t="str">
        <f t="shared" si="88"/>
        <v>14-01</v>
      </c>
      <c r="H5412" s="273" t="e">
        <f ca="1">_xludf.IFNA(VLOOKUP(E5412,'Urban Plastix Holds'!$I$37:$U$705,6,0),0)</f>
        <v>#NAME?</v>
      </c>
      <c r="I5412" s="274"/>
      <c r="J5412" s="274" t="e">
        <f t="shared" ca="1" si="89"/>
        <v>#NAME?</v>
      </c>
      <c r="K5412" s="274">
        <f t="shared" si="90"/>
        <v>0</v>
      </c>
      <c r="N5412" s="274"/>
    </row>
    <row r="5413" spans="5:14" ht="13.5" customHeight="1">
      <c r="E5413" s="209" t="s">
        <v>1351</v>
      </c>
      <c r="F5413" s="209" t="s">
        <v>2993</v>
      </c>
      <c r="G5413" s="409" t="str">
        <f t="shared" si="88"/>
        <v>15-12</v>
      </c>
      <c r="H5413" s="273" t="e">
        <f ca="1">_xludf.IFNA(VLOOKUP(E5413,'Urban Plastix Holds'!$I$37:$U$705,7,0),0)</f>
        <v>#NAME?</v>
      </c>
      <c r="I5413" s="274"/>
      <c r="J5413" s="274" t="e">
        <f t="shared" ca="1" si="89"/>
        <v>#NAME?</v>
      </c>
      <c r="K5413" s="274">
        <f t="shared" si="90"/>
        <v>0</v>
      </c>
      <c r="N5413" s="274"/>
    </row>
    <row r="5414" spans="5:14" ht="13.5" customHeight="1">
      <c r="E5414" s="209" t="s">
        <v>1351</v>
      </c>
      <c r="F5414" s="209" t="s">
        <v>2993</v>
      </c>
      <c r="G5414" s="410" t="str">
        <f t="shared" si="88"/>
        <v>16-16</v>
      </c>
      <c r="H5414" s="273" t="e">
        <f ca="1">_xludf.IFNA(VLOOKUP(E5414,'Urban Plastix Holds'!$I$37:$U$705,8,0),0)</f>
        <v>#NAME?</v>
      </c>
      <c r="I5414" s="274"/>
      <c r="J5414" s="274" t="e">
        <f t="shared" ca="1" si="89"/>
        <v>#NAME?</v>
      </c>
      <c r="K5414" s="274">
        <f t="shared" si="90"/>
        <v>0</v>
      </c>
      <c r="N5414" s="274"/>
    </row>
    <row r="5415" spans="5:14" ht="13.5" customHeight="1">
      <c r="E5415" s="209" t="s">
        <v>1351</v>
      </c>
      <c r="F5415" s="209" t="s">
        <v>2993</v>
      </c>
      <c r="G5415" s="411" t="str">
        <f t="shared" si="88"/>
        <v>13-01</v>
      </c>
      <c r="H5415" s="273" t="e">
        <f ca="1">_xludf.IFNA(VLOOKUP(E5415,'Urban Plastix Holds'!$I$37:$U$705,9,0),0)</f>
        <v>#NAME?</v>
      </c>
      <c r="I5415" s="274"/>
      <c r="J5415" s="274" t="e">
        <f t="shared" ca="1" si="89"/>
        <v>#NAME?</v>
      </c>
      <c r="K5415" s="274">
        <f t="shared" si="90"/>
        <v>0</v>
      </c>
      <c r="N5415" s="274"/>
    </row>
    <row r="5416" spans="5:14" ht="13.5" customHeight="1">
      <c r="E5416" s="209" t="s">
        <v>1351</v>
      </c>
      <c r="F5416" s="209" t="s">
        <v>2993</v>
      </c>
      <c r="G5416" s="413" t="str">
        <f t="shared" si="88"/>
        <v>07-13</v>
      </c>
      <c r="H5416" s="273" t="e">
        <f ca="1">_xludf.IFNA(VLOOKUP(E5416,'Urban Plastix Holds'!$I$37:$U$705,10,0),0)</f>
        <v>#NAME?</v>
      </c>
      <c r="I5416" s="274"/>
      <c r="J5416" s="274" t="e">
        <f t="shared" ca="1" si="89"/>
        <v>#NAME?</v>
      </c>
      <c r="K5416" s="274">
        <f t="shared" si="90"/>
        <v>0</v>
      </c>
      <c r="N5416" s="274"/>
    </row>
    <row r="5417" spans="5:14" ht="13.5" customHeight="1">
      <c r="E5417" s="209" t="s">
        <v>1351</v>
      </c>
      <c r="F5417" s="209" t="s">
        <v>2993</v>
      </c>
      <c r="G5417" s="414" t="str">
        <f t="shared" si="88"/>
        <v>11-26</v>
      </c>
      <c r="H5417" s="273" t="e">
        <f ca="1">_xludf.IFNA(VLOOKUP(E5417,'Urban Plastix Holds'!$I$37:$U$705,11,0),0)</f>
        <v>#NAME?</v>
      </c>
      <c r="I5417" s="274"/>
      <c r="J5417" s="274" t="e">
        <f t="shared" ca="1" si="89"/>
        <v>#NAME?</v>
      </c>
      <c r="K5417" s="274">
        <f t="shared" si="90"/>
        <v>0</v>
      </c>
      <c r="N5417" s="274"/>
    </row>
    <row r="5418" spans="5:14" ht="13.5" customHeight="1">
      <c r="E5418" s="209" t="s">
        <v>1351</v>
      </c>
      <c r="F5418" s="209" t="s">
        <v>2993</v>
      </c>
      <c r="G5418" s="415" t="str">
        <f t="shared" si="88"/>
        <v>18-01</v>
      </c>
      <c r="H5418" s="273" t="e">
        <f ca="1">_xludf.IFNA(VLOOKUP(E5418,'Urban Plastix Holds'!$I$37:$U$705,12,0),0)</f>
        <v>#NAME?</v>
      </c>
      <c r="I5418" s="274"/>
      <c r="J5418" s="274" t="e">
        <f t="shared" ca="1" si="89"/>
        <v>#NAME?</v>
      </c>
      <c r="K5418" s="274">
        <f t="shared" si="90"/>
        <v>0</v>
      </c>
      <c r="N5418" s="274"/>
    </row>
    <row r="5419" spans="5:14" ht="13.5" customHeight="1">
      <c r="E5419" s="209" t="s">
        <v>1351</v>
      </c>
      <c r="F5419" s="209" t="s">
        <v>2993</v>
      </c>
      <c r="G5419" s="416" t="str">
        <f t="shared" si="88"/>
        <v>Color Code</v>
      </c>
      <c r="H5419" s="273" t="e">
        <f ca="1">_xludf.IFNA(VLOOKUP(E5419,'Urban Plastix Holds'!$I$37:$U$705,13,0),0)</f>
        <v>#NAME?</v>
      </c>
      <c r="I5419" s="274"/>
      <c r="J5419" s="274" t="e">
        <f t="shared" ca="1" si="89"/>
        <v>#NAME?</v>
      </c>
      <c r="K5419" s="274">
        <f t="shared" si="90"/>
        <v>0</v>
      </c>
      <c r="N5419" s="274"/>
    </row>
    <row r="5420" spans="5:14" ht="13.5" customHeight="1">
      <c r="E5420" s="209" t="s">
        <v>1602</v>
      </c>
      <c r="F5420" s="209" t="s">
        <v>2994</v>
      </c>
      <c r="G5420" s="406" t="str">
        <f t="shared" si="88"/>
        <v>11-12</v>
      </c>
      <c r="H5420" s="273" t="e">
        <f ca="1">_xludf.IFNA(VLOOKUP(E5420,'Urban Plastix Holds'!$I$37:$U$705,5,0),0)</f>
        <v>#NAME?</v>
      </c>
      <c r="I5420" s="274"/>
      <c r="J5420" s="274" t="e">
        <f t="shared" ca="1" si="89"/>
        <v>#NAME?</v>
      </c>
      <c r="K5420" s="274">
        <f t="shared" si="90"/>
        <v>0</v>
      </c>
      <c r="N5420" s="274"/>
    </row>
    <row r="5421" spans="5:14" ht="13.5" customHeight="1">
      <c r="E5421" s="209" t="s">
        <v>1602</v>
      </c>
      <c r="F5421" s="209" t="s">
        <v>2994</v>
      </c>
      <c r="G5421" s="408" t="str">
        <f t="shared" si="88"/>
        <v>14-01</v>
      </c>
      <c r="H5421" s="273" t="e">
        <f ca="1">_xludf.IFNA(VLOOKUP(E5421,'Urban Plastix Holds'!$I$37:$U$705,6,0),0)</f>
        <v>#NAME?</v>
      </c>
      <c r="I5421" s="274"/>
      <c r="J5421" s="274" t="e">
        <f t="shared" ca="1" si="89"/>
        <v>#NAME?</v>
      </c>
      <c r="K5421" s="274">
        <f t="shared" si="90"/>
        <v>0</v>
      </c>
      <c r="N5421" s="274"/>
    </row>
    <row r="5422" spans="5:14" ht="13.5" customHeight="1">
      <c r="E5422" s="209" t="s">
        <v>1602</v>
      </c>
      <c r="F5422" s="209" t="s">
        <v>2994</v>
      </c>
      <c r="G5422" s="409" t="str">
        <f t="shared" si="88"/>
        <v>15-12</v>
      </c>
      <c r="H5422" s="273" t="e">
        <f ca="1">_xludf.IFNA(VLOOKUP(E5422,'Urban Plastix Holds'!$I$37:$U$705,7,0),0)</f>
        <v>#NAME?</v>
      </c>
      <c r="I5422" s="274"/>
      <c r="J5422" s="274" t="e">
        <f t="shared" ca="1" si="89"/>
        <v>#NAME?</v>
      </c>
      <c r="K5422" s="274">
        <f t="shared" si="90"/>
        <v>0</v>
      </c>
      <c r="N5422" s="274"/>
    </row>
    <row r="5423" spans="5:14" ht="13.5" customHeight="1">
      <c r="E5423" s="209" t="s">
        <v>1602</v>
      </c>
      <c r="F5423" s="209" t="s">
        <v>2994</v>
      </c>
      <c r="G5423" s="410" t="str">
        <f t="shared" si="88"/>
        <v>16-16</v>
      </c>
      <c r="H5423" s="273" t="e">
        <f ca="1">_xludf.IFNA(VLOOKUP(E5423,'Urban Plastix Holds'!$I$37:$U$705,8,0),0)</f>
        <v>#NAME?</v>
      </c>
      <c r="I5423" s="274"/>
      <c r="J5423" s="274" t="e">
        <f t="shared" ca="1" si="89"/>
        <v>#NAME?</v>
      </c>
      <c r="K5423" s="274">
        <f t="shared" si="90"/>
        <v>0</v>
      </c>
      <c r="N5423" s="274"/>
    </row>
    <row r="5424" spans="5:14" ht="13.5" customHeight="1">
      <c r="E5424" s="209" t="s">
        <v>1602</v>
      </c>
      <c r="F5424" s="209" t="s">
        <v>2994</v>
      </c>
      <c r="G5424" s="411" t="str">
        <f t="shared" si="88"/>
        <v>13-01</v>
      </c>
      <c r="H5424" s="273" t="e">
        <f ca="1">_xludf.IFNA(VLOOKUP(E5424,'Urban Plastix Holds'!$I$37:$U$705,9,0),0)</f>
        <v>#NAME?</v>
      </c>
      <c r="I5424" s="274"/>
      <c r="J5424" s="274" t="e">
        <f t="shared" ca="1" si="89"/>
        <v>#NAME?</v>
      </c>
      <c r="K5424" s="274">
        <f t="shared" si="90"/>
        <v>0</v>
      </c>
      <c r="N5424" s="274"/>
    </row>
    <row r="5425" spans="5:14" ht="13.5" customHeight="1">
      <c r="E5425" s="209" t="s">
        <v>1602</v>
      </c>
      <c r="F5425" s="209" t="s">
        <v>2994</v>
      </c>
      <c r="G5425" s="413" t="str">
        <f t="shared" si="88"/>
        <v>07-13</v>
      </c>
      <c r="H5425" s="273" t="e">
        <f ca="1">_xludf.IFNA(VLOOKUP(E5425,'Urban Plastix Holds'!$I$37:$U$705,10,0),0)</f>
        <v>#NAME?</v>
      </c>
      <c r="I5425" s="274"/>
      <c r="J5425" s="274" t="e">
        <f t="shared" ca="1" si="89"/>
        <v>#NAME?</v>
      </c>
      <c r="K5425" s="274">
        <f t="shared" si="90"/>
        <v>0</v>
      </c>
      <c r="N5425" s="274"/>
    </row>
    <row r="5426" spans="5:14" ht="13.5" customHeight="1">
      <c r="E5426" s="209" t="s">
        <v>1602</v>
      </c>
      <c r="F5426" s="209" t="s">
        <v>2994</v>
      </c>
      <c r="G5426" s="414" t="str">
        <f t="shared" si="88"/>
        <v>11-26</v>
      </c>
      <c r="H5426" s="273" t="e">
        <f ca="1">_xludf.IFNA(VLOOKUP(E5426,'Urban Plastix Holds'!$I$37:$U$705,11,0),0)</f>
        <v>#NAME?</v>
      </c>
      <c r="I5426" s="274"/>
      <c r="J5426" s="274" t="e">
        <f t="shared" ca="1" si="89"/>
        <v>#NAME?</v>
      </c>
      <c r="K5426" s="274">
        <f t="shared" si="90"/>
        <v>0</v>
      </c>
      <c r="N5426" s="274"/>
    </row>
    <row r="5427" spans="5:14" ht="13.5" customHeight="1">
      <c r="E5427" s="209" t="s">
        <v>1602</v>
      </c>
      <c r="F5427" s="209" t="s">
        <v>2994</v>
      </c>
      <c r="G5427" s="415" t="str">
        <f t="shared" si="88"/>
        <v>18-01</v>
      </c>
      <c r="H5427" s="273" t="e">
        <f ca="1">_xludf.IFNA(VLOOKUP(E5427,'Urban Plastix Holds'!$I$37:$U$705,12,0),0)</f>
        <v>#NAME?</v>
      </c>
      <c r="I5427" s="274"/>
      <c r="J5427" s="274" t="e">
        <f t="shared" ca="1" si="89"/>
        <v>#NAME?</v>
      </c>
      <c r="K5427" s="274">
        <f t="shared" si="90"/>
        <v>0</v>
      </c>
      <c r="N5427" s="274"/>
    </row>
    <row r="5428" spans="5:14" ht="13.5" customHeight="1">
      <c r="E5428" s="209" t="s">
        <v>1602</v>
      </c>
      <c r="F5428" s="209" t="s">
        <v>2994</v>
      </c>
      <c r="G5428" s="416" t="str">
        <f t="shared" si="88"/>
        <v>Color Code</v>
      </c>
      <c r="H5428" s="273" t="e">
        <f ca="1">_xludf.IFNA(VLOOKUP(E5428,'Urban Plastix Holds'!$I$37:$U$705,13,0),0)</f>
        <v>#NAME?</v>
      </c>
      <c r="I5428" s="274"/>
      <c r="J5428" s="274" t="e">
        <f t="shared" ca="1" si="89"/>
        <v>#NAME?</v>
      </c>
      <c r="K5428" s="274">
        <f t="shared" si="90"/>
        <v>0</v>
      </c>
      <c r="N5428" s="274"/>
    </row>
    <row r="5429" spans="5:14" ht="13.5" customHeight="1">
      <c r="E5429" s="209" t="s">
        <v>1650</v>
      </c>
      <c r="F5429" s="209" t="s">
        <v>2995</v>
      </c>
      <c r="G5429" s="406" t="str">
        <f t="shared" si="88"/>
        <v>11-12</v>
      </c>
      <c r="H5429" s="273" t="e">
        <f ca="1">_xludf.IFNA(VLOOKUP(E5429,'Urban Plastix Holds'!$I$37:$U$705,5,0),0)</f>
        <v>#NAME?</v>
      </c>
      <c r="I5429" s="274"/>
      <c r="J5429" s="274" t="e">
        <f t="shared" ca="1" si="89"/>
        <v>#NAME?</v>
      </c>
      <c r="K5429" s="274">
        <f t="shared" si="90"/>
        <v>0</v>
      </c>
      <c r="N5429" s="274"/>
    </row>
    <row r="5430" spans="5:14" ht="13.5" customHeight="1">
      <c r="E5430" s="209" t="s">
        <v>1650</v>
      </c>
      <c r="F5430" s="209" t="s">
        <v>2995</v>
      </c>
      <c r="G5430" s="408" t="str">
        <f t="shared" si="88"/>
        <v>14-01</v>
      </c>
      <c r="H5430" s="273" t="e">
        <f ca="1">_xludf.IFNA(VLOOKUP(E5430,'Urban Plastix Holds'!$I$37:$U$705,6,0),0)</f>
        <v>#NAME?</v>
      </c>
      <c r="I5430" s="274"/>
      <c r="J5430" s="274" t="e">
        <f t="shared" ca="1" si="89"/>
        <v>#NAME?</v>
      </c>
      <c r="K5430" s="274">
        <f t="shared" si="90"/>
        <v>0</v>
      </c>
      <c r="N5430" s="274"/>
    </row>
    <row r="5431" spans="5:14" ht="13.5" customHeight="1">
      <c r="E5431" s="209" t="s">
        <v>1650</v>
      </c>
      <c r="F5431" s="209" t="s">
        <v>2995</v>
      </c>
      <c r="G5431" s="409" t="str">
        <f t="shared" si="88"/>
        <v>15-12</v>
      </c>
      <c r="H5431" s="273" t="e">
        <f ca="1">_xludf.IFNA(VLOOKUP(E5431,'Urban Plastix Holds'!$I$37:$U$705,7,0),0)</f>
        <v>#NAME?</v>
      </c>
      <c r="I5431" s="274"/>
      <c r="J5431" s="274" t="e">
        <f t="shared" ca="1" si="89"/>
        <v>#NAME?</v>
      </c>
      <c r="K5431" s="274">
        <f t="shared" si="90"/>
        <v>0</v>
      </c>
      <c r="N5431" s="274"/>
    </row>
    <row r="5432" spans="5:14" ht="13.5" customHeight="1">
      <c r="E5432" s="209" t="s">
        <v>1650</v>
      </c>
      <c r="F5432" s="209" t="s">
        <v>2995</v>
      </c>
      <c r="G5432" s="410" t="str">
        <f t="shared" si="88"/>
        <v>16-16</v>
      </c>
      <c r="H5432" s="273" t="e">
        <f ca="1">_xludf.IFNA(VLOOKUP(E5432,'Urban Plastix Holds'!$I$37:$U$705,8,0),0)</f>
        <v>#NAME?</v>
      </c>
      <c r="I5432" s="274"/>
      <c r="J5432" s="274" t="e">
        <f t="shared" ca="1" si="89"/>
        <v>#NAME?</v>
      </c>
      <c r="K5432" s="274">
        <f t="shared" si="90"/>
        <v>0</v>
      </c>
      <c r="N5432" s="274"/>
    </row>
    <row r="5433" spans="5:14" ht="13.5" customHeight="1">
      <c r="E5433" s="209" t="s">
        <v>1650</v>
      </c>
      <c r="F5433" s="209" t="s">
        <v>2995</v>
      </c>
      <c r="G5433" s="411" t="str">
        <f t="shared" si="88"/>
        <v>13-01</v>
      </c>
      <c r="H5433" s="273" t="e">
        <f ca="1">_xludf.IFNA(VLOOKUP(E5433,'Urban Plastix Holds'!$I$37:$U$705,9,0),0)</f>
        <v>#NAME?</v>
      </c>
      <c r="I5433" s="274"/>
      <c r="J5433" s="274" t="e">
        <f t="shared" ca="1" si="89"/>
        <v>#NAME?</v>
      </c>
      <c r="K5433" s="274">
        <f t="shared" si="90"/>
        <v>0</v>
      </c>
      <c r="N5433" s="274"/>
    </row>
    <row r="5434" spans="5:14" ht="13.5" customHeight="1">
      <c r="E5434" s="209" t="s">
        <v>1650</v>
      </c>
      <c r="F5434" s="209" t="s">
        <v>2995</v>
      </c>
      <c r="G5434" s="413" t="str">
        <f t="shared" si="88"/>
        <v>07-13</v>
      </c>
      <c r="H5434" s="273" t="e">
        <f ca="1">_xludf.IFNA(VLOOKUP(E5434,'Urban Plastix Holds'!$I$37:$U$705,10,0),0)</f>
        <v>#NAME?</v>
      </c>
      <c r="I5434" s="274"/>
      <c r="J5434" s="274" t="e">
        <f t="shared" ca="1" si="89"/>
        <v>#NAME?</v>
      </c>
      <c r="K5434" s="274">
        <f t="shared" si="90"/>
        <v>0</v>
      </c>
      <c r="N5434" s="274"/>
    </row>
    <row r="5435" spans="5:14" ht="13.5" customHeight="1">
      <c r="E5435" s="209" t="s">
        <v>1650</v>
      </c>
      <c r="F5435" s="209" t="s">
        <v>2995</v>
      </c>
      <c r="G5435" s="414" t="str">
        <f t="shared" si="88"/>
        <v>11-26</v>
      </c>
      <c r="H5435" s="273" t="e">
        <f ca="1">_xludf.IFNA(VLOOKUP(E5435,'Urban Plastix Holds'!$I$37:$U$705,11,0),0)</f>
        <v>#NAME?</v>
      </c>
      <c r="I5435" s="274"/>
      <c r="J5435" s="274" t="e">
        <f t="shared" ca="1" si="89"/>
        <v>#NAME?</v>
      </c>
      <c r="K5435" s="274">
        <f t="shared" si="90"/>
        <v>0</v>
      </c>
      <c r="N5435" s="274"/>
    </row>
    <row r="5436" spans="5:14" ht="13.5" customHeight="1">
      <c r="E5436" s="209" t="s">
        <v>1650</v>
      </c>
      <c r="F5436" s="209" t="s">
        <v>2995</v>
      </c>
      <c r="G5436" s="415" t="str">
        <f t="shared" si="88"/>
        <v>18-01</v>
      </c>
      <c r="H5436" s="273" t="e">
        <f ca="1">_xludf.IFNA(VLOOKUP(E5436,'Urban Plastix Holds'!$I$37:$U$705,12,0),0)</f>
        <v>#NAME?</v>
      </c>
      <c r="I5436" s="274"/>
      <c r="J5436" s="274" t="e">
        <f t="shared" ca="1" si="89"/>
        <v>#NAME?</v>
      </c>
      <c r="K5436" s="274">
        <f t="shared" si="90"/>
        <v>0</v>
      </c>
      <c r="N5436" s="274"/>
    </row>
    <row r="5437" spans="5:14" ht="13.5" customHeight="1">
      <c r="E5437" s="209" t="s">
        <v>1650</v>
      </c>
      <c r="F5437" s="209" t="s">
        <v>2995</v>
      </c>
      <c r="G5437" s="416" t="str">
        <f t="shared" si="88"/>
        <v>Color Code</v>
      </c>
      <c r="H5437" s="273" t="e">
        <f ca="1">_xludf.IFNA(VLOOKUP(E5437,'Urban Plastix Holds'!$I$37:$U$705,13,0),0)</f>
        <v>#NAME?</v>
      </c>
      <c r="I5437" s="274"/>
      <c r="J5437" s="274" t="e">
        <f t="shared" ca="1" si="89"/>
        <v>#NAME?</v>
      </c>
      <c r="K5437" s="274">
        <f t="shared" si="90"/>
        <v>0</v>
      </c>
      <c r="N5437" s="274"/>
    </row>
    <row r="5438" spans="5:14" ht="13.5" customHeight="1">
      <c r="E5438" s="209" t="s">
        <v>1809</v>
      </c>
      <c r="F5438" s="209" t="s">
        <v>2996</v>
      </c>
      <c r="G5438" s="406" t="str">
        <f t="shared" si="88"/>
        <v>11-12</v>
      </c>
      <c r="H5438" s="273" t="e">
        <f ca="1">_xludf.IFNA(VLOOKUP(E5438,'Urban Plastix Holds'!$I$37:$U$705,5,0),0)</f>
        <v>#NAME?</v>
      </c>
      <c r="I5438" s="274"/>
      <c r="J5438" s="274" t="e">
        <f t="shared" ca="1" si="89"/>
        <v>#NAME?</v>
      </c>
      <c r="K5438" s="274">
        <f t="shared" si="90"/>
        <v>0</v>
      </c>
      <c r="N5438" s="274"/>
    </row>
    <row r="5439" spans="5:14" ht="13.5" customHeight="1">
      <c r="E5439" s="209" t="s">
        <v>1809</v>
      </c>
      <c r="F5439" s="209" t="s">
        <v>2996</v>
      </c>
      <c r="G5439" s="408" t="str">
        <f t="shared" si="88"/>
        <v>14-01</v>
      </c>
      <c r="H5439" s="273" t="e">
        <f ca="1">_xludf.IFNA(VLOOKUP(E5439,'Urban Plastix Holds'!$I$37:$U$705,6,0),0)</f>
        <v>#NAME?</v>
      </c>
      <c r="I5439" s="274"/>
      <c r="J5439" s="274" t="e">
        <f t="shared" ca="1" si="89"/>
        <v>#NAME?</v>
      </c>
      <c r="K5439" s="274">
        <f t="shared" si="90"/>
        <v>0</v>
      </c>
      <c r="N5439" s="274"/>
    </row>
    <row r="5440" spans="5:14" ht="13.5" customHeight="1">
      <c r="E5440" s="209" t="s">
        <v>1809</v>
      </c>
      <c r="F5440" s="209" t="s">
        <v>2996</v>
      </c>
      <c r="G5440" s="409" t="str">
        <f t="shared" si="88"/>
        <v>15-12</v>
      </c>
      <c r="H5440" s="273" t="e">
        <f ca="1">_xludf.IFNA(VLOOKUP(E5440,'Urban Plastix Holds'!$I$37:$U$705,7,0),0)</f>
        <v>#NAME?</v>
      </c>
      <c r="I5440" s="274"/>
      <c r="J5440" s="274" t="e">
        <f t="shared" ca="1" si="89"/>
        <v>#NAME?</v>
      </c>
      <c r="K5440" s="274">
        <f t="shared" si="90"/>
        <v>0</v>
      </c>
      <c r="N5440" s="274"/>
    </row>
    <row r="5441" spans="5:14" ht="13.5" customHeight="1">
      <c r="E5441" s="209" t="s">
        <v>1809</v>
      </c>
      <c r="F5441" s="209" t="s">
        <v>2996</v>
      </c>
      <c r="G5441" s="410" t="str">
        <f t="shared" si="88"/>
        <v>16-16</v>
      </c>
      <c r="H5441" s="273" t="e">
        <f ca="1">_xludf.IFNA(VLOOKUP(E5441,'Urban Plastix Holds'!$I$37:$U$705,8,0),0)</f>
        <v>#NAME?</v>
      </c>
      <c r="I5441" s="274"/>
      <c r="J5441" s="274" t="e">
        <f t="shared" ca="1" si="89"/>
        <v>#NAME?</v>
      </c>
      <c r="K5441" s="274">
        <f t="shared" si="90"/>
        <v>0</v>
      </c>
      <c r="N5441" s="274"/>
    </row>
    <row r="5442" spans="5:14" ht="13.5" customHeight="1">
      <c r="E5442" s="209" t="s">
        <v>1809</v>
      </c>
      <c r="F5442" s="209" t="s">
        <v>2996</v>
      </c>
      <c r="G5442" s="411" t="str">
        <f t="shared" si="88"/>
        <v>13-01</v>
      </c>
      <c r="H5442" s="273" t="e">
        <f ca="1">_xludf.IFNA(VLOOKUP(E5442,'Urban Plastix Holds'!$I$37:$U$705,9,0),0)</f>
        <v>#NAME?</v>
      </c>
      <c r="I5442" s="274"/>
      <c r="J5442" s="274" t="e">
        <f t="shared" ca="1" si="89"/>
        <v>#NAME?</v>
      </c>
      <c r="K5442" s="274">
        <f t="shared" si="90"/>
        <v>0</v>
      </c>
      <c r="N5442" s="274"/>
    </row>
    <row r="5443" spans="5:14" ht="13.5" customHeight="1">
      <c r="E5443" s="209" t="s">
        <v>1809</v>
      </c>
      <c r="F5443" s="209" t="s">
        <v>2996</v>
      </c>
      <c r="G5443" s="413" t="str">
        <f t="shared" si="88"/>
        <v>07-13</v>
      </c>
      <c r="H5443" s="273" t="e">
        <f ca="1">_xludf.IFNA(VLOOKUP(E5443,'Urban Plastix Holds'!$I$37:$U$705,10,0),0)</f>
        <v>#NAME?</v>
      </c>
      <c r="I5443" s="274"/>
      <c r="J5443" s="274" t="e">
        <f t="shared" ca="1" si="89"/>
        <v>#NAME?</v>
      </c>
      <c r="K5443" s="274">
        <f t="shared" si="90"/>
        <v>0</v>
      </c>
      <c r="N5443" s="274"/>
    </row>
    <row r="5444" spans="5:14" ht="13.5" customHeight="1">
      <c r="E5444" s="209" t="s">
        <v>1809</v>
      </c>
      <c r="F5444" s="209" t="s">
        <v>2996</v>
      </c>
      <c r="G5444" s="414" t="str">
        <f t="shared" si="88"/>
        <v>11-26</v>
      </c>
      <c r="H5444" s="273" t="e">
        <f ca="1">_xludf.IFNA(VLOOKUP(E5444,'Urban Plastix Holds'!$I$37:$U$705,11,0),0)</f>
        <v>#NAME?</v>
      </c>
      <c r="I5444" s="274"/>
      <c r="J5444" s="274" t="e">
        <f t="shared" ca="1" si="89"/>
        <v>#NAME?</v>
      </c>
      <c r="K5444" s="274">
        <f t="shared" si="90"/>
        <v>0</v>
      </c>
      <c r="N5444" s="274"/>
    </row>
    <row r="5445" spans="5:14" ht="13.5" customHeight="1">
      <c r="E5445" s="209" t="s">
        <v>1809</v>
      </c>
      <c r="F5445" s="209" t="s">
        <v>2996</v>
      </c>
      <c r="G5445" s="415" t="str">
        <f t="shared" si="88"/>
        <v>18-01</v>
      </c>
      <c r="H5445" s="273" t="e">
        <f ca="1">_xludf.IFNA(VLOOKUP(E5445,'Urban Plastix Holds'!$I$37:$U$705,12,0),0)</f>
        <v>#NAME?</v>
      </c>
      <c r="I5445" s="274"/>
      <c r="J5445" s="274" t="e">
        <f t="shared" ca="1" si="89"/>
        <v>#NAME?</v>
      </c>
      <c r="K5445" s="274">
        <f t="shared" si="90"/>
        <v>0</v>
      </c>
      <c r="N5445" s="274"/>
    </row>
    <row r="5446" spans="5:14" ht="13.5" customHeight="1">
      <c r="E5446" s="209" t="s">
        <v>1809</v>
      </c>
      <c r="F5446" s="209" t="s">
        <v>2996</v>
      </c>
      <c r="G5446" s="416" t="str">
        <f t="shared" si="88"/>
        <v>Color Code</v>
      </c>
      <c r="H5446" s="273" t="e">
        <f ca="1">_xludf.IFNA(VLOOKUP(E5446,'Urban Plastix Holds'!$I$37:$U$705,13,0),0)</f>
        <v>#NAME?</v>
      </c>
      <c r="I5446" s="274"/>
      <c r="J5446" s="274" t="e">
        <f t="shared" ca="1" si="89"/>
        <v>#NAME?</v>
      </c>
      <c r="K5446" s="274">
        <f t="shared" si="90"/>
        <v>0</v>
      </c>
      <c r="N5446" s="274"/>
    </row>
    <row r="5447" spans="5:14" ht="13.5" customHeight="1">
      <c r="E5447" s="209" t="s">
        <v>1763</v>
      </c>
      <c r="F5447" s="209" t="s">
        <v>2997</v>
      </c>
      <c r="G5447" s="406" t="str">
        <f t="shared" si="88"/>
        <v>11-12</v>
      </c>
      <c r="H5447" s="273" t="e">
        <f ca="1">_xludf.IFNA(VLOOKUP(E5447,'Urban Plastix Holds'!$I$37:$U$705,5,0),0)</f>
        <v>#NAME?</v>
      </c>
      <c r="I5447" s="274"/>
      <c r="J5447" s="274" t="e">
        <f t="shared" ca="1" si="89"/>
        <v>#NAME?</v>
      </c>
      <c r="K5447" s="274">
        <f t="shared" si="90"/>
        <v>0</v>
      </c>
      <c r="N5447" s="274"/>
    </row>
    <row r="5448" spans="5:14" ht="13.5" customHeight="1">
      <c r="E5448" s="209" t="s">
        <v>1763</v>
      </c>
      <c r="F5448" s="209" t="s">
        <v>2997</v>
      </c>
      <c r="G5448" s="408" t="str">
        <f t="shared" si="88"/>
        <v>14-01</v>
      </c>
      <c r="H5448" s="273" t="e">
        <f ca="1">_xludf.IFNA(VLOOKUP(E5448,'Urban Plastix Holds'!$I$37:$U$705,6,0),0)</f>
        <v>#NAME?</v>
      </c>
      <c r="I5448" s="274"/>
      <c r="J5448" s="274" t="e">
        <f t="shared" ca="1" si="89"/>
        <v>#NAME?</v>
      </c>
      <c r="K5448" s="274">
        <f t="shared" si="90"/>
        <v>0</v>
      </c>
      <c r="N5448" s="274"/>
    </row>
    <row r="5449" spans="5:14" ht="13.5" customHeight="1">
      <c r="E5449" s="209" t="s">
        <v>1763</v>
      </c>
      <c r="F5449" s="209" t="s">
        <v>2997</v>
      </c>
      <c r="G5449" s="409" t="str">
        <f t="shared" si="88"/>
        <v>15-12</v>
      </c>
      <c r="H5449" s="273" t="e">
        <f ca="1">_xludf.IFNA(VLOOKUP(E5449,'Urban Plastix Holds'!$I$37:$U$705,7,0),0)</f>
        <v>#NAME?</v>
      </c>
      <c r="I5449" s="274"/>
      <c r="J5449" s="274" t="e">
        <f t="shared" ca="1" si="89"/>
        <v>#NAME?</v>
      </c>
      <c r="K5449" s="274">
        <f t="shared" si="90"/>
        <v>0</v>
      </c>
      <c r="N5449" s="274"/>
    </row>
    <row r="5450" spans="5:14" ht="13.5" customHeight="1">
      <c r="E5450" s="209" t="s">
        <v>1763</v>
      </c>
      <c r="F5450" s="209" t="s">
        <v>2997</v>
      </c>
      <c r="G5450" s="410" t="str">
        <f t="shared" si="88"/>
        <v>16-16</v>
      </c>
      <c r="H5450" s="273" t="e">
        <f ca="1">_xludf.IFNA(VLOOKUP(E5450,'Urban Plastix Holds'!$I$37:$U$705,8,0),0)</f>
        <v>#NAME?</v>
      </c>
      <c r="I5450" s="274"/>
      <c r="J5450" s="274" t="e">
        <f t="shared" ca="1" si="89"/>
        <v>#NAME?</v>
      </c>
      <c r="K5450" s="274">
        <f t="shared" si="90"/>
        <v>0</v>
      </c>
      <c r="N5450" s="274"/>
    </row>
    <row r="5451" spans="5:14" ht="13.5" customHeight="1">
      <c r="E5451" s="209" t="s">
        <v>1763</v>
      </c>
      <c r="F5451" s="209" t="s">
        <v>2997</v>
      </c>
      <c r="G5451" s="411" t="str">
        <f t="shared" si="88"/>
        <v>13-01</v>
      </c>
      <c r="H5451" s="273" t="e">
        <f ca="1">_xludf.IFNA(VLOOKUP(E5451,'Urban Plastix Holds'!$I$37:$U$705,9,0),0)</f>
        <v>#NAME?</v>
      </c>
      <c r="I5451" s="274"/>
      <c r="J5451" s="274" t="e">
        <f t="shared" ca="1" si="89"/>
        <v>#NAME?</v>
      </c>
      <c r="K5451" s="274">
        <f t="shared" si="90"/>
        <v>0</v>
      </c>
      <c r="N5451" s="274"/>
    </row>
    <row r="5452" spans="5:14" ht="13.5" customHeight="1">
      <c r="E5452" s="209" t="s">
        <v>1763</v>
      </c>
      <c r="F5452" s="209" t="s">
        <v>2997</v>
      </c>
      <c r="G5452" s="413" t="str">
        <f t="shared" si="88"/>
        <v>07-13</v>
      </c>
      <c r="H5452" s="273" t="e">
        <f ca="1">_xludf.IFNA(VLOOKUP(E5452,'Urban Plastix Holds'!$I$37:$U$705,10,0),0)</f>
        <v>#NAME?</v>
      </c>
      <c r="I5452" s="274"/>
      <c r="J5452" s="274" t="e">
        <f t="shared" ca="1" si="89"/>
        <v>#NAME?</v>
      </c>
      <c r="K5452" s="274">
        <f t="shared" si="90"/>
        <v>0</v>
      </c>
      <c r="N5452" s="274"/>
    </row>
    <row r="5453" spans="5:14" ht="13.5" customHeight="1">
      <c r="E5453" s="209" t="s">
        <v>1763</v>
      </c>
      <c r="F5453" s="209" t="s">
        <v>2997</v>
      </c>
      <c r="G5453" s="414" t="str">
        <f t="shared" si="88"/>
        <v>11-26</v>
      </c>
      <c r="H5453" s="273" t="e">
        <f ca="1">_xludf.IFNA(VLOOKUP(E5453,'Urban Plastix Holds'!$I$37:$U$705,11,0),0)</f>
        <v>#NAME?</v>
      </c>
      <c r="I5453" s="274"/>
      <c r="J5453" s="274" t="e">
        <f t="shared" ca="1" si="89"/>
        <v>#NAME?</v>
      </c>
      <c r="K5453" s="274">
        <f t="shared" si="90"/>
        <v>0</v>
      </c>
      <c r="N5453" s="274"/>
    </row>
    <row r="5454" spans="5:14" ht="13.5" customHeight="1">
      <c r="E5454" s="209" t="s">
        <v>1763</v>
      </c>
      <c r="F5454" s="209" t="s">
        <v>2997</v>
      </c>
      <c r="G5454" s="415" t="str">
        <f t="shared" si="88"/>
        <v>18-01</v>
      </c>
      <c r="H5454" s="273" t="e">
        <f ca="1">_xludf.IFNA(VLOOKUP(E5454,'Urban Plastix Holds'!$I$37:$U$705,12,0),0)</f>
        <v>#NAME?</v>
      </c>
      <c r="I5454" s="274"/>
      <c r="J5454" s="274" t="e">
        <f t="shared" ca="1" si="89"/>
        <v>#NAME?</v>
      </c>
      <c r="K5454" s="274">
        <f t="shared" si="90"/>
        <v>0</v>
      </c>
      <c r="N5454" s="274"/>
    </row>
    <row r="5455" spans="5:14" ht="13.5" customHeight="1">
      <c r="E5455" s="209" t="s">
        <v>1763</v>
      </c>
      <c r="F5455" s="209" t="s">
        <v>2997</v>
      </c>
      <c r="G5455" s="416" t="str">
        <f t="shared" si="88"/>
        <v>Color Code</v>
      </c>
      <c r="H5455" s="273" t="e">
        <f ca="1">_xludf.IFNA(VLOOKUP(E5455,'Urban Plastix Holds'!$I$37:$U$705,13,0),0)</f>
        <v>#NAME?</v>
      </c>
      <c r="I5455" s="274"/>
      <c r="J5455" s="274" t="e">
        <f t="shared" ca="1" si="89"/>
        <v>#NAME?</v>
      </c>
      <c r="K5455" s="274">
        <f t="shared" si="90"/>
        <v>0</v>
      </c>
      <c r="N5455" s="274"/>
    </row>
    <row r="5456" spans="5:14" ht="13.5" customHeight="1">
      <c r="E5456" s="209" t="s">
        <v>1573</v>
      </c>
      <c r="F5456" s="209" t="s">
        <v>2998</v>
      </c>
      <c r="G5456" s="406" t="str">
        <f t="shared" si="88"/>
        <v>11-12</v>
      </c>
      <c r="H5456" s="273" t="e">
        <f ca="1">_xludf.IFNA(VLOOKUP(E5456,'Urban Plastix Holds'!$I$37:$U$705,5,0),0)</f>
        <v>#NAME?</v>
      </c>
      <c r="I5456" s="274"/>
      <c r="J5456" s="274" t="e">
        <f t="shared" ca="1" si="89"/>
        <v>#NAME?</v>
      </c>
      <c r="K5456" s="274">
        <f t="shared" si="90"/>
        <v>0</v>
      </c>
      <c r="N5456" s="274"/>
    </row>
    <row r="5457" spans="5:14" ht="13.5" customHeight="1">
      <c r="E5457" s="209" t="s">
        <v>1573</v>
      </c>
      <c r="F5457" s="209" t="s">
        <v>2998</v>
      </c>
      <c r="G5457" s="408" t="str">
        <f t="shared" si="88"/>
        <v>14-01</v>
      </c>
      <c r="H5457" s="273" t="e">
        <f ca="1">_xludf.IFNA(VLOOKUP(E5457,'Urban Plastix Holds'!$I$37:$U$705,6,0),0)</f>
        <v>#NAME?</v>
      </c>
      <c r="I5457" s="274"/>
      <c r="J5457" s="274" t="e">
        <f t="shared" ca="1" si="89"/>
        <v>#NAME?</v>
      </c>
      <c r="K5457" s="274">
        <f t="shared" si="90"/>
        <v>0</v>
      </c>
      <c r="N5457" s="274"/>
    </row>
    <row r="5458" spans="5:14" ht="13.5" customHeight="1">
      <c r="E5458" s="209" t="s">
        <v>1573</v>
      </c>
      <c r="F5458" s="209" t="s">
        <v>2998</v>
      </c>
      <c r="G5458" s="409" t="str">
        <f t="shared" si="88"/>
        <v>15-12</v>
      </c>
      <c r="H5458" s="273" t="e">
        <f ca="1">_xludf.IFNA(VLOOKUP(E5458,'Urban Plastix Holds'!$I$37:$U$705,7,0),0)</f>
        <v>#NAME?</v>
      </c>
      <c r="I5458" s="274"/>
      <c r="J5458" s="274" t="e">
        <f t="shared" ca="1" si="89"/>
        <v>#NAME?</v>
      </c>
      <c r="K5458" s="274">
        <f t="shared" si="90"/>
        <v>0</v>
      </c>
      <c r="N5458" s="274"/>
    </row>
    <row r="5459" spans="5:14" ht="13.5" customHeight="1">
      <c r="E5459" s="209" t="s">
        <v>1573</v>
      </c>
      <c r="F5459" s="209" t="s">
        <v>2998</v>
      </c>
      <c r="G5459" s="410" t="str">
        <f t="shared" si="88"/>
        <v>16-16</v>
      </c>
      <c r="H5459" s="273" t="e">
        <f ca="1">_xludf.IFNA(VLOOKUP(E5459,'Urban Plastix Holds'!$I$37:$U$705,8,0),0)</f>
        <v>#NAME?</v>
      </c>
      <c r="I5459" s="274"/>
      <c r="J5459" s="274" t="e">
        <f t="shared" ca="1" si="89"/>
        <v>#NAME?</v>
      </c>
      <c r="K5459" s="274">
        <f t="shared" si="90"/>
        <v>0</v>
      </c>
      <c r="N5459" s="274"/>
    </row>
    <row r="5460" spans="5:14" ht="13.5" customHeight="1">
      <c r="E5460" s="209" t="s">
        <v>1573</v>
      </c>
      <c r="F5460" s="209" t="s">
        <v>2998</v>
      </c>
      <c r="G5460" s="411" t="str">
        <f t="shared" si="88"/>
        <v>13-01</v>
      </c>
      <c r="H5460" s="273" t="e">
        <f ca="1">_xludf.IFNA(VLOOKUP(E5460,'Urban Plastix Holds'!$I$37:$U$705,9,0),0)</f>
        <v>#NAME?</v>
      </c>
      <c r="I5460" s="274"/>
      <c r="J5460" s="274" t="e">
        <f t="shared" ca="1" si="89"/>
        <v>#NAME?</v>
      </c>
      <c r="K5460" s="274">
        <f t="shared" si="90"/>
        <v>0</v>
      </c>
      <c r="N5460" s="274"/>
    </row>
    <row r="5461" spans="5:14" ht="13.5" customHeight="1">
      <c r="E5461" s="209" t="s">
        <v>1573</v>
      </c>
      <c r="F5461" s="209" t="s">
        <v>2998</v>
      </c>
      <c r="G5461" s="413" t="str">
        <f t="shared" si="88"/>
        <v>07-13</v>
      </c>
      <c r="H5461" s="273" t="e">
        <f ca="1">_xludf.IFNA(VLOOKUP(E5461,'Urban Plastix Holds'!$I$37:$U$705,10,0),0)</f>
        <v>#NAME?</v>
      </c>
      <c r="I5461" s="274"/>
      <c r="J5461" s="274" t="e">
        <f t="shared" ca="1" si="89"/>
        <v>#NAME?</v>
      </c>
      <c r="K5461" s="274">
        <f t="shared" si="90"/>
        <v>0</v>
      </c>
      <c r="N5461" s="274"/>
    </row>
    <row r="5462" spans="5:14" ht="13.5" customHeight="1">
      <c r="E5462" s="209" t="s">
        <v>1573</v>
      </c>
      <c r="F5462" s="209" t="s">
        <v>2998</v>
      </c>
      <c r="G5462" s="414" t="str">
        <f t="shared" si="88"/>
        <v>11-26</v>
      </c>
      <c r="H5462" s="273" t="e">
        <f ca="1">_xludf.IFNA(VLOOKUP(E5462,'Urban Plastix Holds'!$I$37:$U$705,11,0),0)</f>
        <v>#NAME?</v>
      </c>
      <c r="I5462" s="274"/>
      <c r="J5462" s="274" t="e">
        <f t="shared" ca="1" si="89"/>
        <v>#NAME?</v>
      </c>
      <c r="K5462" s="274">
        <f t="shared" si="90"/>
        <v>0</v>
      </c>
      <c r="N5462" s="274"/>
    </row>
    <row r="5463" spans="5:14" ht="13.5" customHeight="1">
      <c r="E5463" s="209" t="s">
        <v>1573</v>
      </c>
      <c r="F5463" s="209" t="s">
        <v>2998</v>
      </c>
      <c r="G5463" s="415" t="str">
        <f t="shared" si="88"/>
        <v>18-01</v>
      </c>
      <c r="H5463" s="273" t="e">
        <f ca="1">_xludf.IFNA(VLOOKUP(E5463,'Urban Plastix Holds'!$I$37:$U$705,12,0),0)</f>
        <v>#NAME?</v>
      </c>
      <c r="I5463" s="274"/>
      <c r="J5463" s="274" t="e">
        <f t="shared" ca="1" si="89"/>
        <v>#NAME?</v>
      </c>
      <c r="K5463" s="274">
        <f t="shared" si="90"/>
        <v>0</v>
      </c>
      <c r="N5463" s="274"/>
    </row>
    <row r="5464" spans="5:14" ht="13.5" customHeight="1">
      <c r="E5464" s="209" t="s">
        <v>1573</v>
      </c>
      <c r="F5464" s="209" t="s">
        <v>2998</v>
      </c>
      <c r="G5464" s="416" t="str">
        <f t="shared" si="88"/>
        <v>Color Code</v>
      </c>
      <c r="H5464" s="273" t="e">
        <f ca="1">_xludf.IFNA(VLOOKUP(E5464,'Urban Plastix Holds'!$I$37:$U$705,13,0),0)</f>
        <v>#NAME?</v>
      </c>
      <c r="I5464" s="274"/>
      <c r="J5464" s="274" t="e">
        <f t="shared" ca="1" si="89"/>
        <v>#NAME?</v>
      </c>
      <c r="K5464" s="274">
        <f t="shared" si="90"/>
        <v>0</v>
      </c>
      <c r="N5464" s="274"/>
    </row>
    <row r="5465" spans="5:14" ht="13.5" customHeight="1">
      <c r="E5465" s="209" t="s">
        <v>1428</v>
      </c>
      <c r="F5465" s="209" t="s">
        <v>2999</v>
      </c>
      <c r="G5465" s="406" t="str">
        <f t="shared" si="88"/>
        <v>11-12</v>
      </c>
      <c r="H5465" s="273" t="e">
        <f ca="1">_xludf.IFNA(VLOOKUP(E5465,'Urban Plastix Holds'!$I$37:$U$705,5,0),0)</f>
        <v>#NAME?</v>
      </c>
      <c r="I5465" s="274"/>
      <c r="J5465" s="274" t="e">
        <f t="shared" ca="1" si="89"/>
        <v>#NAME?</v>
      </c>
      <c r="K5465" s="274">
        <f t="shared" si="90"/>
        <v>0</v>
      </c>
      <c r="N5465" s="274"/>
    </row>
    <row r="5466" spans="5:14" ht="13.5" customHeight="1">
      <c r="E5466" s="209" t="s">
        <v>1428</v>
      </c>
      <c r="F5466" s="209" t="s">
        <v>2999</v>
      </c>
      <c r="G5466" s="408" t="str">
        <f t="shared" si="88"/>
        <v>14-01</v>
      </c>
      <c r="H5466" s="273" t="e">
        <f ca="1">_xludf.IFNA(VLOOKUP(E5466,'Urban Plastix Holds'!$I$37:$U$705,6,0),0)</f>
        <v>#NAME?</v>
      </c>
      <c r="I5466" s="274"/>
      <c r="J5466" s="274" t="e">
        <f t="shared" ca="1" si="89"/>
        <v>#NAME?</v>
      </c>
      <c r="K5466" s="274">
        <f t="shared" si="90"/>
        <v>0</v>
      </c>
      <c r="N5466" s="274"/>
    </row>
    <row r="5467" spans="5:14" ht="13.5" customHeight="1">
      <c r="E5467" s="209" t="s">
        <v>1428</v>
      </c>
      <c r="F5467" s="209" t="s">
        <v>2999</v>
      </c>
      <c r="G5467" s="409" t="str">
        <f t="shared" si="88"/>
        <v>15-12</v>
      </c>
      <c r="H5467" s="273" t="e">
        <f ca="1">_xludf.IFNA(VLOOKUP(E5467,'Urban Plastix Holds'!$I$37:$U$705,7,0),0)</f>
        <v>#NAME?</v>
      </c>
      <c r="I5467" s="274"/>
      <c r="J5467" s="274" t="e">
        <f t="shared" ca="1" si="89"/>
        <v>#NAME?</v>
      </c>
      <c r="K5467" s="274">
        <f t="shared" si="90"/>
        <v>0</v>
      </c>
      <c r="N5467" s="274"/>
    </row>
    <row r="5468" spans="5:14" ht="13.5" customHeight="1">
      <c r="E5468" s="209" t="s">
        <v>1428</v>
      </c>
      <c r="F5468" s="209" t="s">
        <v>2999</v>
      </c>
      <c r="G5468" s="410" t="str">
        <f t="shared" si="88"/>
        <v>16-16</v>
      </c>
      <c r="H5468" s="273" t="e">
        <f ca="1">_xludf.IFNA(VLOOKUP(E5468,'Urban Plastix Holds'!$I$37:$U$705,8,0),0)</f>
        <v>#NAME?</v>
      </c>
      <c r="I5468" s="274"/>
      <c r="J5468" s="274" t="e">
        <f t="shared" ca="1" si="89"/>
        <v>#NAME?</v>
      </c>
      <c r="K5468" s="274">
        <f t="shared" si="90"/>
        <v>0</v>
      </c>
      <c r="N5468" s="274"/>
    </row>
    <row r="5469" spans="5:14" ht="13.5" customHeight="1">
      <c r="E5469" s="209" t="s">
        <v>1428</v>
      </c>
      <c r="F5469" s="209" t="s">
        <v>2999</v>
      </c>
      <c r="G5469" s="411" t="str">
        <f t="shared" si="88"/>
        <v>13-01</v>
      </c>
      <c r="H5469" s="273" t="e">
        <f ca="1">_xludf.IFNA(VLOOKUP(E5469,'Urban Plastix Holds'!$I$37:$U$705,9,0),0)</f>
        <v>#NAME?</v>
      </c>
      <c r="I5469" s="274"/>
      <c r="J5469" s="274" t="e">
        <f t="shared" ca="1" si="89"/>
        <v>#NAME?</v>
      </c>
      <c r="K5469" s="274">
        <f t="shared" si="90"/>
        <v>0</v>
      </c>
      <c r="N5469" s="274"/>
    </row>
    <row r="5470" spans="5:14" ht="13.5" customHeight="1">
      <c r="E5470" s="209" t="s">
        <v>1428</v>
      </c>
      <c r="F5470" s="209" t="s">
        <v>2999</v>
      </c>
      <c r="G5470" s="413" t="str">
        <f t="shared" si="88"/>
        <v>07-13</v>
      </c>
      <c r="H5470" s="273" t="e">
        <f ca="1">_xludf.IFNA(VLOOKUP(E5470,'Urban Plastix Holds'!$I$37:$U$705,10,0),0)</f>
        <v>#NAME?</v>
      </c>
      <c r="I5470" s="274"/>
      <c r="J5470" s="274" t="e">
        <f t="shared" ca="1" si="89"/>
        <v>#NAME?</v>
      </c>
      <c r="K5470" s="274">
        <f t="shared" si="90"/>
        <v>0</v>
      </c>
      <c r="N5470" s="274"/>
    </row>
    <row r="5471" spans="5:14" ht="13.5" customHeight="1">
      <c r="E5471" s="209" t="s">
        <v>1428</v>
      </c>
      <c r="F5471" s="209" t="s">
        <v>2999</v>
      </c>
      <c r="G5471" s="414" t="str">
        <f t="shared" si="88"/>
        <v>11-26</v>
      </c>
      <c r="H5471" s="273" t="e">
        <f ca="1">_xludf.IFNA(VLOOKUP(E5471,'Urban Plastix Holds'!$I$37:$U$705,11,0),0)</f>
        <v>#NAME?</v>
      </c>
      <c r="I5471" s="274"/>
      <c r="J5471" s="274" t="e">
        <f t="shared" ca="1" si="89"/>
        <v>#NAME?</v>
      </c>
      <c r="K5471" s="274">
        <f t="shared" si="90"/>
        <v>0</v>
      </c>
      <c r="N5471" s="274"/>
    </row>
    <row r="5472" spans="5:14" ht="13.5" customHeight="1">
      <c r="E5472" s="209" t="s">
        <v>1428</v>
      </c>
      <c r="F5472" s="209" t="s">
        <v>2999</v>
      </c>
      <c r="G5472" s="415" t="str">
        <f t="shared" si="88"/>
        <v>18-01</v>
      </c>
      <c r="H5472" s="273" t="e">
        <f ca="1">_xludf.IFNA(VLOOKUP(E5472,'Urban Plastix Holds'!$I$37:$U$705,12,0),0)</f>
        <v>#NAME?</v>
      </c>
      <c r="I5472" s="274"/>
      <c r="J5472" s="274" t="e">
        <f t="shared" ca="1" si="89"/>
        <v>#NAME?</v>
      </c>
      <c r="K5472" s="274">
        <f t="shared" si="90"/>
        <v>0</v>
      </c>
      <c r="N5472" s="274"/>
    </row>
    <row r="5473" spans="5:14" ht="13.5" customHeight="1">
      <c r="E5473" s="209" t="s">
        <v>1428</v>
      </c>
      <c r="F5473" s="209" t="s">
        <v>2999</v>
      </c>
      <c r="G5473" s="416" t="str">
        <f t="shared" si="88"/>
        <v>Color Code</v>
      </c>
      <c r="H5473" s="273" t="e">
        <f ca="1">_xludf.IFNA(VLOOKUP(E5473,'Urban Plastix Holds'!$I$37:$U$705,13,0),0)</f>
        <v>#NAME?</v>
      </c>
      <c r="I5473" s="274"/>
      <c r="J5473" s="274" t="e">
        <f t="shared" ca="1" si="89"/>
        <v>#NAME?</v>
      </c>
      <c r="K5473" s="274">
        <f t="shared" si="90"/>
        <v>0</v>
      </c>
      <c r="N5473" s="274"/>
    </row>
    <row r="5474" spans="5:14" ht="13.5" customHeight="1">
      <c r="E5474" s="209" t="s">
        <v>1403</v>
      </c>
      <c r="F5474" s="209" t="s">
        <v>3000</v>
      </c>
      <c r="G5474" s="406" t="str">
        <f t="shared" si="88"/>
        <v>11-12</v>
      </c>
      <c r="H5474" s="273" t="e">
        <f ca="1">_xludf.IFNA(VLOOKUP(E5474,'Urban Plastix Holds'!$I$37:$U$705,5,0),0)</f>
        <v>#NAME?</v>
      </c>
      <c r="I5474" s="274"/>
      <c r="J5474" s="274" t="e">
        <f t="shared" ca="1" si="89"/>
        <v>#NAME?</v>
      </c>
      <c r="K5474" s="274">
        <f t="shared" si="90"/>
        <v>0</v>
      </c>
      <c r="N5474" s="274"/>
    </row>
    <row r="5475" spans="5:14" ht="13.5" customHeight="1">
      <c r="E5475" s="209" t="s">
        <v>1403</v>
      </c>
      <c r="F5475" s="209" t="s">
        <v>3000</v>
      </c>
      <c r="G5475" s="408" t="str">
        <f t="shared" si="88"/>
        <v>14-01</v>
      </c>
      <c r="H5475" s="273" t="e">
        <f ca="1">_xludf.IFNA(VLOOKUP(E5475,'Urban Plastix Holds'!$I$37:$U$705,6,0),0)</f>
        <v>#NAME?</v>
      </c>
      <c r="I5475" s="274"/>
      <c r="J5475" s="274" t="e">
        <f t="shared" ca="1" si="89"/>
        <v>#NAME?</v>
      </c>
      <c r="K5475" s="274">
        <f t="shared" si="90"/>
        <v>0</v>
      </c>
      <c r="N5475" s="274"/>
    </row>
    <row r="5476" spans="5:14" ht="13.5" customHeight="1">
      <c r="E5476" s="209" t="s">
        <v>1403</v>
      </c>
      <c r="F5476" s="209" t="s">
        <v>3000</v>
      </c>
      <c r="G5476" s="409" t="str">
        <f t="shared" si="88"/>
        <v>15-12</v>
      </c>
      <c r="H5476" s="273" t="e">
        <f ca="1">_xludf.IFNA(VLOOKUP(E5476,'Urban Plastix Holds'!$I$37:$U$705,7,0),0)</f>
        <v>#NAME?</v>
      </c>
      <c r="I5476" s="274"/>
      <c r="J5476" s="274" t="e">
        <f t="shared" ca="1" si="89"/>
        <v>#NAME?</v>
      </c>
      <c r="K5476" s="274">
        <f t="shared" si="90"/>
        <v>0</v>
      </c>
      <c r="N5476" s="274"/>
    </row>
    <row r="5477" spans="5:14" ht="13.5" customHeight="1">
      <c r="E5477" s="209" t="s">
        <v>1403</v>
      </c>
      <c r="F5477" s="209" t="s">
        <v>3000</v>
      </c>
      <c r="G5477" s="410" t="str">
        <f t="shared" si="88"/>
        <v>16-16</v>
      </c>
      <c r="H5477" s="273" t="e">
        <f ca="1">_xludf.IFNA(VLOOKUP(E5477,'Urban Plastix Holds'!$I$37:$U$705,8,0),0)</f>
        <v>#NAME?</v>
      </c>
      <c r="I5477" s="274"/>
      <c r="J5477" s="274" t="e">
        <f t="shared" ca="1" si="89"/>
        <v>#NAME?</v>
      </c>
      <c r="K5477" s="274">
        <f t="shared" si="90"/>
        <v>0</v>
      </c>
      <c r="N5477" s="274"/>
    </row>
    <row r="5478" spans="5:14" ht="13.5" customHeight="1">
      <c r="E5478" s="209" t="s">
        <v>1403</v>
      </c>
      <c r="F5478" s="209" t="s">
        <v>3000</v>
      </c>
      <c r="G5478" s="411" t="str">
        <f t="shared" si="88"/>
        <v>13-01</v>
      </c>
      <c r="H5478" s="273" t="e">
        <f ca="1">_xludf.IFNA(VLOOKUP(E5478,'Urban Plastix Holds'!$I$37:$U$705,9,0),0)</f>
        <v>#NAME?</v>
      </c>
      <c r="I5478" s="274"/>
      <c r="J5478" s="274" t="e">
        <f t="shared" ca="1" si="89"/>
        <v>#NAME?</v>
      </c>
      <c r="K5478" s="274">
        <f t="shared" si="90"/>
        <v>0</v>
      </c>
      <c r="N5478" s="274"/>
    </row>
    <row r="5479" spans="5:14" ht="13.5" customHeight="1">
      <c r="E5479" s="209" t="s">
        <v>1403</v>
      </c>
      <c r="F5479" s="209" t="s">
        <v>3000</v>
      </c>
      <c r="G5479" s="413" t="str">
        <f t="shared" si="88"/>
        <v>07-13</v>
      </c>
      <c r="H5479" s="273" t="e">
        <f ca="1">_xludf.IFNA(VLOOKUP(E5479,'Urban Plastix Holds'!$I$37:$U$705,10,0),0)</f>
        <v>#NAME?</v>
      </c>
      <c r="I5479" s="274"/>
      <c r="J5479" s="274" t="e">
        <f t="shared" ca="1" si="89"/>
        <v>#NAME?</v>
      </c>
      <c r="K5479" s="274">
        <f t="shared" si="90"/>
        <v>0</v>
      </c>
      <c r="N5479" s="274"/>
    </row>
    <row r="5480" spans="5:14" ht="13.5" customHeight="1">
      <c r="E5480" s="209" t="s">
        <v>1403</v>
      </c>
      <c r="F5480" s="209" t="s">
        <v>3000</v>
      </c>
      <c r="G5480" s="414" t="str">
        <f t="shared" si="88"/>
        <v>11-26</v>
      </c>
      <c r="H5480" s="273" t="e">
        <f ca="1">_xludf.IFNA(VLOOKUP(E5480,'Urban Plastix Holds'!$I$37:$U$705,11,0),0)</f>
        <v>#NAME?</v>
      </c>
      <c r="I5480" s="274"/>
      <c r="J5480" s="274" t="e">
        <f t="shared" ca="1" si="89"/>
        <v>#NAME?</v>
      </c>
      <c r="K5480" s="274">
        <f t="shared" si="90"/>
        <v>0</v>
      </c>
      <c r="N5480" s="274"/>
    </row>
    <row r="5481" spans="5:14" ht="13.5" customHeight="1">
      <c r="E5481" s="209" t="s">
        <v>1403</v>
      </c>
      <c r="F5481" s="209" t="s">
        <v>3000</v>
      </c>
      <c r="G5481" s="415" t="str">
        <f t="shared" si="88"/>
        <v>18-01</v>
      </c>
      <c r="H5481" s="273" t="e">
        <f ca="1">_xludf.IFNA(VLOOKUP(E5481,'Urban Plastix Holds'!$I$37:$U$705,12,0),0)</f>
        <v>#NAME?</v>
      </c>
      <c r="I5481" s="274"/>
      <c r="J5481" s="274" t="e">
        <f t="shared" ca="1" si="89"/>
        <v>#NAME?</v>
      </c>
      <c r="K5481" s="274">
        <f t="shared" si="90"/>
        <v>0</v>
      </c>
      <c r="N5481" s="274"/>
    </row>
    <row r="5482" spans="5:14" ht="13.5" customHeight="1">
      <c r="E5482" s="209" t="s">
        <v>1403</v>
      </c>
      <c r="F5482" s="209" t="s">
        <v>3000</v>
      </c>
      <c r="G5482" s="416" t="str">
        <f t="shared" si="88"/>
        <v>Color Code</v>
      </c>
      <c r="H5482" s="273" t="e">
        <f ca="1">_xludf.IFNA(VLOOKUP(E5482,'Urban Plastix Holds'!$I$37:$U$705,13,0),0)</f>
        <v>#NAME?</v>
      </c>
      <c r="I5482" s="274"/>
      <c r="J5482" s="274" t="e">
        <f t="shared" ca="1" si="89"/>
        <v>#NAME?</v>
      </c>
      <c r="K5482" s="274">
        <f t="shared" si="90"/>
        <v>0</v>
      </c>
      <c r="N5482" s="274"/>
    </row>
    <row r="5483" spans="5:14" ht="13.5" customHeight="1">
      <c r="E5483" s="209" t="s">
        <v>1384</v>
      </c>
      <c r="F5483" s="209" t="s">
        <v>3001</v>
      </c>
      <c r="G5483" s="406" t="str">
        <f t="shared" si="88"/>
        <v>11-12</v>
      </c>
      <c r="H5483" s="273" t="e">
        <f ca="1">_xludf.IFNA(VLOOKUP(E5483,'Urban Plastix Holds'!$I$37:$U$705,5,0),0)</f>
        <v>#NAME?</v>
      </c>
      <c r="I5483" s="274"/>
      <c r="J5483" s="274" t="e">
        <f t="shared" ca="1" si="89"/>
        <v>#NAME?</v>
      </c>
      <c r="K5483" s="274">
        <f t="shared" si="90"/>
        <v>0</v>
      </c>
      <c r="N5483" s="274"/>
    </row>
    <row r="5484" spans="5:14" ht="13.5" customHeight="1">
      <c r="E5484" s="209" t="s">
        <v>1384</v>
      </c>
      <c r="F5484" s="209" t="s">
        <v>3001</v>
      </c>
      <c r="G5484" s="408" t="str">
        <f t="shared" si="88"/>
        <v>14-01</v>
      </c>
      <c r="H5484" s="273" t="e">
        <f ca="1">_xludf.IFNA(VLOOKUP(E5484,'Urban Plastix Holds'!$I$37:$U$705,6,0),0)</f>
        <v>#NAME?</v>
      </c>
      <c r="I5484" s="274"/>
      <c r="J5484" s="274" t="e">
        <f t="shared" ca="1" si="89"/>
        <v>#NAME?</v>
      </c>
      <c r="K5484" s="274">
        <f t="shared" si="90"/>
        <v>0</v>
      </c>
      <c r="N5484" s="274"/>
    </row>
    <row r="5485" spans="5:14" ht="13.5" customHeight="1">
      <c r="E5485" s="209" t="s">
        <v>1384</v>
      </c>
      <c r="F5485" s="209" t="s">
        <v>3001</v>
      </c>
      <c r="G5485" s="409" t="str">
        <f t="shared" si="88"/>
        <v>15-12</v>
      </c>
      <c r="H5485" s="273" t="e">
        <f ca="1">_xludf.IFNA(VLOOKUP(E5485,'Urban Plastix Holds'!$I$37:$U$705,7,0),0)</f>
        <v>#NAME?</v>
      </c>
      <c r="I5485" s="274"/>
      <c r="J5485" s="274" t="e">
        <f t="shared" ca="1" si="89"/>
        <v>#NAME?</v>
      </c>
      <c r="K5485" s="274">
        <f t="shared" si="90"/>
        <v>0</v>
      </c>
      <c r="N5485" s="274"/>
    </row>
    <row r="5486" spans="5:14" ht="13.5" customHeight="1">
      <c r="E5486" s="209" t="s">
        <v>1384</v>
      </c>
      <c r="F5486" s="209" t="s">
        <v>3001</v>
      </c>
      <c r="G5486" s="410" t="str">
        <f t="shared" si="88"/>
        <v>16-16</v>
      </c>
      <c r="H5486" s="273" t="e">
        <f ca="1">_xludf.IFNA(VLOOKUP(E5486,'Urban Plastix Holds'!$I$37:$U$705,8,0),0)</f>
        <v>#NAME?</v>
      </c>
      <c r="I5486" s="274"/>
      <c r="J5486" s="274" t="e">
        <f t="shared" ca="1" si="89"/>
        <v>#NAME?</v>
      </c>
      <c r="K5486" s="274">
        <f t="shared" si="90"/>
        <v>0</v>
      </c>
      <c r="N5486" s="274"/>
    </row>
    <row r="5487" spans="5:14" ht="13.5" customHeight="1">
      <c r="E5487" s="209" t="s">
        <v>1384</v>
      </c>
      <c r="F5487" s="209" t="s">
        <v>3001</v>
      </c>
      <c r="G5487" s="411" t="str">
        <f t="shared" si="88"/>
        <v>13-01</v>
      </c>
      <c r="H5487" s="273" t="e">
        <f ca="1">_xludf.IFNA(VLOOKUP(E5487,'Urban Plastix Holds'!$I$37:$U$705,9,0),0)</f>
        <v>#NAME?</v>
      </c>
      <c r="I5487" s="274"/>
      <c r="J5487" s="274" t="e">
        <f t="shared" ca="1" si="89"/>
        <v>#NAME?</v>
      </c>
      <c r="K5487" s="274">
        <f t="shared" si="90"/>
        <v>0</v>
      </c>
      <c r="N5487" s="274"/>
    </row>
    <row r="5488" spans="5:14" ht="13.5" customHeight="1">
      <c r="E5488" s="209" t="s">
        <v>1384</v>
      </c>
      <c r="F5488" s="209" t="s">
        <v>3001</v>
      </c>
      <c r="G5488" s="413" t="str">
        <f t="shared" si="88"/>
        <v>07-13</v>
      </c>
      <c r="H5488" s="273" t="e">
        <f ca="1">_xludf.IFNA(VLOOKUP(E5488,'Urban Plastix Holds'!$I$37:$U$705,10,0),0)</f>
        <v>#NAME?</v>
      </c>
      <c r="I5488" s="274"/>
      <c r="J5488" s="274" t="e">
        <f t="shared" ca="1" si="89"/>
        <v>#NAME?</v>
      </c>
      <c r="K5488" s="274">
        <f t="shared" si="90"/>
        <v>0</v>
      </c>
      <c r="N5488" s="274"/>
    </row>
    <row r="5489" spans="5:14" ht="13.5" customHeight="1">
      <c r="E5489" s="209" t="s">
        <v>1384</v>
      </c>
      <c r="F5489" s="209" t="s">
        <v>3001</v>
      </c>
      <c r="G5489" s="414" t="str">
        <f t="shared" si="88"/>
        <v>11-26</v>
      </c>
      <c r="H5489" s="273" t="e">
        <f ca="1">_xludf.IFNA(VLOOKUP(E5489,'Urban Plastix Holds'!$I$37:$U$705,11,0),0)</f>
        <v>#NAME?</v>
      </c>
      <c r="I5489" s="274"/>
      <c r="J5489" s="274" t="e">
        <f t="shared" ca="1" si="89"/>
        <v>#NAME?</v>
      </c>
      <c r="K5489" s="274">
        <f t="shared" si="90"/>
        <v>0</v>
      </c>
      <c r="N5489" s="274"/>
    </row>
    <row r="5490" spans="5:14" ht="13.5" customHeight="1">
      <c r="E5490" s="209" t="s">
        <v>1384</v>
      </c>
      <c r="F5490" s="209" t="s">
        <v>3001</v>
      </c>
      <c r="G5490" s="415" t="str">
        <f t="shared" si="88"/>
        <v>18-01</v>
      </c>
      <c r="H5490" s="273" t="e">
        <f ca="1">_xludf.IFNA(VLOOKUP(E5490,'Urban Plastix Holds'!$I$37:$U$705,12,0),0)</f>
        <v>#NAME?</v>
      </c>
      <c r="I5490" s="274"/>
      <c r="J5490" s="274" t="e">
        <f t="shared" ca="1" si="89"/>
        <v>#NAME?</v>
      </c>
      <c r="K5490" s="274">
        <f t="shared" si="90"/>
        <v>0</v>
      </c>
      <c r="N5490" s="274"/>
    </row>
    <row r="5491" spans="5:14" ht="13.5" customHeight="1">
      <c r="E5491" s="209" t="s">
        <v>1384</v>
      </c>
      <c r="F5491" s="209" t="s">
        <v>3001</v>
      </c>
      <c r="G5491" s="416" t="str">
        <f t="shared" si="88"/>
        <v>Color Code</v>
      </c>
      <c r="H5491" s="273" t="e">
        <f ca="1">_xludf.IFNA(VLOOKUP(E5491,'Urban Plastix Holds'!$I$37:$U$705,13,0),0)</f>
        <v>#NAME?</v>
      </c>
      <c r="I5491" s="274"/>
      <c r="J5491" s="274" t="e">
        <f t="shared" ca="1" si="89"/>
        <v>#NAME?</v>
      </c>
      <c r="K5491" s="274">
        <f t="shared" si="90"/>
        <v>0</v>
      </c>
      <c r="N5491" s="274"/>
    </row>
    <row r="5492" spans="5:14" ht="13.5" customHeight="1">
      <c r="E5492" s="209" t="s">
        <v>1287</v>
      </c>
      <c r="F5492" s="209" t="s">
        <v>3002</v>
      </c>
      <c r="G5492" s="406" t="str">
        <f t="shared" si="88"/>
        <v>11-12</v>
      </c>
      <c r="H5492" s="273" t="e">
        <f ca="1">_xludf.IFNA(VLOOKUP(E5492,'Urban Plastix Holds'!$I$37:$U$705,5,0),0)</f>
        <v>#NAME?</v>
      </c>
      <c r="I5492" s="274"/>
      <c r="J5492" s="274" t="e">
        <f t="shared" ca="1" si="89"/>
        <v>#NAME?</v>
      </c>
      <c r="K5492" s="274">
        <f t="shared" si="90"/>
        <v>0</v>
      </c>
      <c r="N5492" s="274"/>
    </row>
    <row r="5493" spans="5:14" ht="13.5" customHeight="1">
      <c r="E5493" s="209" t="s">
        <v>1287</v>
      </c>
      <c r="F5493" s="209" t="s">
        <v>3002</v>
      </c>
      <c r="G5493" s="408" t="str">
        <f t="shared" si="88"/>
        <v>14-01</v>
      </c>
      <c r="H5493" s="273" t="e">
        <f ca="1">_xludf.IFNA(VLOOKUP(E5493,'Urban Plastix Holds'!$I$37:$U$705,6,0),0)</f>
        <v>#NAME?</v>
      </c>
      <c r="I5493" s="274"/>
      <c r="J5493" s="274" t="e">
        <f t="shared" ca="1" si="89"/>
        <v>#NAME?</v>
      </c>
      <c r="K5493" s="274">
        <f t="shared" si="90"/>
        <v>0</v>
      </c>
      <c r="N5493" s="274"/>
    </row>
    <row r="5494" spans="5:14" ht="13.5" customHeight="1">
      <c r="E5494" s="209" t="s">
        <v>1287</v>
      </c>
      <c r="F5494" s="209" t="s">
        <v>3002</v>
      </c>
      <c r="G5494" s="409" t="str">
        <f t="shared" si="88"/>
        <v>15-12</v>
      </c>
      <c r="H5494" s="273" t="e">
        <f ca="1">_xludf.IFNA(VLOOKUP(E5494,'Urban Plastix Holds'!$I$37:$U$705,7,0),0)</f>
        <v>#NAME?</v>
      </c>
      <c r="I5494" s="274"/>
      <c r="J5494" s="274" t="e">
        <f t="shared" ca="1" si="89"/>
        <v>#NAME?</v>
      </c>
      <c r="K5494" s="274">
        <f t="shared" si="90"/>
        <v>0</v>
      </c>
      <c r="N5494" s="274"/>
    </row>
    <row r="5495" spans="5:14" ht="13.5" customHeight="1">
      <c r="E5495" s="209" t="s">
        <v>1287</v>
      </c>
      <c r="F5495" s="209" t="s">
        <v>3002</v>
      </c>
      <c r="G5495" s="410" t="str">
        <f t="shared" si="88"/>
        <v>16-16</v>
      </c>
      <c r="H5495" s="273" t="e">
        <f ca="1">_xludf.IFNA(VLOOKUP(E5495,'Urban Plastix Holds'!$I$37:$U$705,8,0),0)</f>
        <v>#NAME?</v>
      </c>
      <c r="I5495" s="274"/>
      <c r="J5495" s="274" t="e">
        <f t="shared" ca="1" si="89"/>
        <v>#NAME?</v>
      </c>
      <c r="K5495" s="274">
        <f t="shared" si="90"/>
        <v>0</v>
      </c>
      <c r="N5495" s="274"/>
    </row>
    <row r="5496" spans="5:14" ht="13.5" customHeight="1">
      <c r="E5496" s="209" t="s">
        <v>1287</v>
      </c>
      <c r="F5496" s="209" t="s">
        <v>3002</v>
      </c>
      <c r="G5496" s="411" t="str">
        <f t="shared" si="88"/>
        <v>13-01</v>
      </c>
      <c r="H5496" s="273" t="e">
        <f ca="1">_xludf.IFNA(VLOOKUP(E5496,'Urban Plastix Holds'!$I$37:$U$705,9,0),0)</f>
        <v>#NAME?</v>
      </c>
      <c r="I5496" s="274"/>
      <c r="J5496" s="274" t="e">
        <f t="shared" ca="1" si="89"/>
        <v>#NAME?</v>
      </c>
      <c r="K5496" s="274">
        <f t="shared" si="90"/>
        <v>0</v>
      </c>
      <c r="N5496" s="274"/>
    </row>
    <row r="5497" spans="5:14" ht="13.5" customHeight="1">
      <c r="E5497" s="209" t="s">
        <v>1287</v>
      </c>
      <c r="F5497" s="209" t="s">
        <v>3002</v>
      </c>
      <c r="G5497" s="413" t="str">
        <f t="shared" si="88"/>
        <v>07-13</v>
      </c>
      <c r="H5497" s="273" t="e">
        <f ca="1">_xludf.IFNA(VLOOKUP(E5497,'Urban Plastix Holds'!$I$37:$U$705,10,0),0)</f>
        <v>#NAME?</v>
      </c>
      <c r="I5497" s="274"/>
      <c r="J5497" s="274" t="e">
        <f t="shared" ca="1" si="89"/>
        <v>#NAME?</v>
      </c>
      <c r="K5497" s="274">
        <f t="shared" si="90"/>
        <v>0</v>
      </c>
      <c r="N5497" s="274"/>
    </row>
    <row r="5498" spans="5:14" ht="13.5" customHeight="1">
      <c r="E5498" s="209" t="s">
        <v>1287</v>
      </c>
      <c r="F5498" s="209" t="s">
        <v>3002</v>
      </c>
      <c r="G5498" s="414" t="str">
        <f t="shared" si="88"/>
        <v>11-26</v>
      </c>
      <c r="H5498" s="273" t="e">
        <f ca="1">_xludf.IFNA(VLOOKUP(E5498,'Urban Plastix Holds'!$I$37:$U$705,11,0),0)</f>
        <v>#NAME?</v>
      </c>
      <c r="I5498" s="274"/>
      <c r="J5498" s="274" t="e">
        <f t="shared" ca="1" si="89"/>
        <v>#NAME?</v>
      </c>
      <c r="K5498" s="274">
        <f t="shared" si="90"/>
        <v>0</v>
      </c>
      <c r="N5498" s="274"/>
    </row>
    <row r="5499" spans="5:14" ht="13.5" customHeight="1">
      <c r="E5499" s="209" t="s">
        <v>1287</v>
      </c>
      <c r="F5499" s="209" t="s">
        <v>3002</v>
      </c>
      <c r="G5499" s="415" t="str">
        <f t="shared" si="88"/>
        <v>18-01</v>
      </c>
      <c r="H5499" s="273" t="e">
        <f ca="1">_xludf.IFNA(VLOOKUP(E5499,'Urban Plastix Holds'!$I$37:$U$705,12,0),0)</f>
        <v>#NAME?</v>
      </c>
      <c r="I5499" s="274"/>
      <c r="J5499" s="274" t="e">
        <f t="shared" ca="1" si="89"/>
        <v>#NAME?</v>
      </c>
      <c r="K5499" s="274">
        <f t="shared" si="90"/>
        <v>0</v>
      </c>
      <c r="N5499" s="274"/>
    </row>
    <row r="5500" spans="5:14" ht="13.5" customHeight="1">
      <c r="E5500" s="209" t="s">
        <v>1287</v>
      </c>
      <c r="F5500" s="209" t="s">
        <v>3002</v>
      </c>
      <c r="G5500" s="416" t="str">
        <f t="shared" si="88"/>
        <v>Color Code</v>
      </c>
      <c r="H5500" s="273" t="e">
        <f ca="1">_xludf.IFNA(VLOOKUP(E5500,'Urban Plastix Holds'!$I$37:$U$705,13,0),0)</f>
        <v>#NAME?</v>
      </c>
      <c r="I5500" s="274"/>
      <c r="J5500" s="274" t="e">
        <f t="shared" ca="1" si="89"/>
        <v>#NAME?</v>
      </c>
      <c r="K5500" s="274">
        <f t="shared" si="90"/>
        <v>0</v>
      </c>
      <c r="N5500" s="274"/>
    </row>
    <row r="5501" spans="5:14" ht="13.5" customHeight="1">
      <c r="E5501" s="209" t="s">
        <v>1290</v>
      </c>
      <c r="F5501" s="209" t="s">
        <v>3003</v>
      </c>
      <c r="G5501" s="406" t="str">
        <f t="shared" si="88"/>
        <v>11-12</v>
      </c>
      <c r="H5501" s="273" t="e">
        <f ca="1">_xludf.IFNA(VLOOKUP(E5501,'Urban Plastix Holds'!$I$37:$U$705,5,0),0)</f>
        <v>#NAME?</v>
      </c>
      <c r="I5501" s="274"/>
      <c r="J5501" s="274" t="e">
        <f t="shared" ca="1" si="89"/>
        <v>#NAME?</v>
      </c>
      <c r="K5501" s="274">
        <f t="shared" si="90"/>
        <v>0</v>
      </c>
      <c r="N5501" s="274"/>
    </row>
    <row r="5502" spans="5:14" ht="13.5" customHeight="1">
      <c r="E5502" s="209" t="s">
        <v>1290</v>
      </c>
      <c r="F5502" s="209" t="s">
        <v>3003</v>
      </c>
      <c r="G5502" s="408" t="str">
        <f t="shared" si="88"/>
        <v>14-01</v>
      </c>
      <c r="H5502" s="273" t="e">
        <f ca="1">_xludf.IFNA(VLOOKUP(E5502,'Urban Plastix Holds'!$I$37:$U$705,6,0),0)</f>
        <v>#NAME?</v>
      </c>
      <c r="I5502" s="274"/>
      <c r="J5502" s="274" t="e">
        <f t="shared" ca="1" si="89"/>
        <v>#NAME?</v>
      </c>
      <c r="K5502" s="274">
        <f t="shared" si="90"/>
        <v>0</v>
      </c>
      <c r="N5502" s="274"/>
    </row>
    <row r="5503" spans="5:14" ht="13.5" customHeight="1">
      <c r="E5503" s="209" t="s">
        <v>1290</v>
      </c>
      <c r="F5503" s="209" t="s">
        <v>3003</v>
      </c>
      <c r="G5503" s="409" t="str">
        <f t="shared" si="88"/>
        <v>15-12</v>
      </c>
      <c r="H5503" s="273" t="e">
        <f ca="1">_xludf.IFNA(VLOOKUP(E5503,'Urban Plastix Holds'!$I$37:$U$705,7,0),0)</f>
        <v>#NAME?</v>
      </c>
      <c r="I5503" s="274"/>
      <c r="J5503" s="274" t="e">
        <f t="shared" ca="1" si="89"/>
        <v>#NAME?</v>
      </c>
      <c r="K5503" s="274">
        <f t="shared" si="90"/>
        <v>0</v>
      </c>
      <c r="N5503" s="274"/>
    </row>
    <row r="5504" spans="5:14" ht="13.5" customHeight="1">
      <c r="E5504" s="209" t="s">
        <v>1290</v>
      </c>
      <c r="F5504" s="209" t="s">
        <v>3003</v>
      </c>
      <c r="G5504" s="410" t="str">
        <f t="shared" si="88"/>
        <v>16-16</v>
      </c>
      <c r="H5504" s="273" t="e">
        <f ca="1">_xludf.IFNA(VLOOKUP(E5504,'Urban Plastix Holds'!$I$37:$U$705,8,0),0)</f>
        <v>#NAME?</v>
      </c>
      <c r="I5504" s="274"/>
      <c r="J5504" s="274" t="e">
        <f t="shared" ca="1" si="89"/>
        <v>#NAME?</v>
      </c>
      <c r="K5504" s="274">
        <f t="shared" si="90"/>
        <v>0</v>
      </c>
      <c r="N5504" s="274"/>
    </row>
    <row r="5505" spans="5:14" ht="13.5" customHeight="1">
      <c r="E5505" s="209" t="s">
        <v>1290</v>
      </c>
      <c r="F5505" s="209" t="s">
        <v>3003</v>
      </c>
      <c r="G5505" s="411" t="str">
        <f t="shared" si="88"/>
        <v>13-01</v>
      </c>
      <c r="H5505" s="273" t="e">
        <f ca="1">_xludf.IFNA(VLOOKUP(E5505,'Urban Plastix Holds'!$I$37:$U$705,9,0),0)</f>
        <v>#NAME?</v>
      </c>
      <c r="I5505" s="274"/>
      <c r="J5505" s="274" t="e">
        <f t="shared" ca="1" si="89"/>
        <v>#NAME?</v>
      </c>
      <c r="K5505" s="274">
        <f t="shared" si="90"/>
        <v>0</v>
      </c>
      <c r="N5505" s="274"/>
    </row>
    <row r="5506" spans="5:14" ht="13.5" customHeight="1">
      <c r="E5506" s="209" t="s">
        <v>1290</v>
      </c>
      <c r="F5506" s="209" t="s">
        <v>3003</v>
      </c>
      <c r="G5506" s="413" t="str">
        <f t="shared" si="88"/>
        <v>07-13</v>
      </c>
      <c r="H5506" s="273" t="e">
        <f ca="1">_xludf.IFNA(VLOOKUP(E5506,'Urban Plastix Holds'!$I$37:$U$705,10,0),0)</f>
        <v>#NAME?</v>
      </c>
      <c r="I5506" s="274"/>
      <c r="J5506" s="274" t="e">
        <f t="shared" ca="1" si="89"/>
        <v>#NAME?</v>
      </c>
      <c r="K5506" s="274">
        <f t="shared" si="90"/>
        <v>0</v>
      </c>
      <c r="N5506" s="274"/>
    </row>
    <row r="5507" spans="5:14" ht="13.5" customHeight="1">
      <c r="E5507" s="209" t="s">
        <v>1290</v>
      </c>
      <c r="F5507" s="209" t="s">
        <v>3003</v>
      </c>
      <c r="G5507" s="414" t="str">
        <f t="shared" si="88"/>
        <v>11-26</v>
      </c>
      <c r="H5507" s="273" t="e">
        <f ca="1">_xludf.IFNA(VLOOKUP(E5507,'Urban Plastix Holds'!$I$37:$U$705,11,0),0)</f>
        <v>#NAME?</v>
      </c>
      <c r="I5507" s="274"/>
      <c r="J5507" s="274" t="e">
        <f t="shared" ca="1" si="89"/>
        <v>#NAME?</v>
      </c>
      <c r="K5507" s="274">
        <f t="shared" si="90"/>
        <v>0</v>
      </c>
      <c r="N5507" s="274"/>
    </row>
    <row r="5508" spans="5:14" ht="13.5" customHeight="1">
      <c r="E5508" s="209" t="s">
        <v>1290</v>
      </c>
      <c r="F5508" s="209" t="s">
        <v>3003</v>
      </c>
      <c r="G5508" s="415" t="str">
        <f t="shared" si="88"/>
        <v>18-01</v>
      </c>
      <c r="H5508" s="273" t="e">
        <f ca="1">_xludf.IFNA(VLOOKUP(E5508,'Urban Plastix Holds'!$I$37:$U$705,12,0),0)</f>
        <v>#NAME?</v>
      </c>
      <c r="I5508" s="274"/>
      <c r="J5508" s="274" t="e">
        <f t="shared" ca="1" si="89"/>
        <v>#NAME?</v>
      </c>
      <c r="K5508" s="274">
        <f t="shared" si="90"/>
        <v>0</v>
      </c>
      <c r="N5508" s="274"/>
    </row>
    <row r="5509" spans="5:14" ht="13.5" customHeight="1">
      <c r="E5509" s="209" t="s">
        <v>1290</v>
      </c>
      <c r="F5509" s="209" t="s">
        <v>3003</v>
      </c>
      <c r="G5509" s="416" t="str">
        <f t="shared" si="88"/>
        <v>Color Code</v>
      </c>
      <c r="H5509" s="273" t="e">
        <f ca="1">_xludf.IFNA(VLOOKUP(E5509,'Urban Plastix Holds'!$I$37:$U$705,13,0),0)</f>
        <v>#NAME?</v>
      </c>
      <c r="I5509" s="274"/>
      <c r="J5509" s="274" t="e">
        <f t="shared" ca="1" si="89"/>
        <v>#NAME?</v>
      </c>
      <c r="K5509" s="274">
        <f t="shared" si="90"/>
        <v>0</v>
      </c>
      <c r="N5509" s="274"/>
    </row>
    <row r="5510" spans="5:14" ht="13.5" customHeight="1">
      <c r="E5510" s="209" t="s">
        <v>1759</v>
      </c>
      <c r="F5510" s="209" t="s">
        <v>3004</v>
      </c>
      <c r="G5510" s="406" t="str">
        <f t="shared" si="88"/>
        <v>11-12</v>
      </c>
      <c r="H5510" s="273" t="e">
        <f ca="1">_xludf.IFNA(VLOOKUP(E5510,'Urban Plastix Holds'!$I$37:$U$705,5,0),0)</f>
        <v>#NAME?</v>
      </c>
      <c r="I5510" s="274"/>
      <c r="J5510" s="274" t="e">
        <f t="shared" ca="1" si="89"/>
        <v>#NAME?</v>
      </c>
      <c r="K5510" s="274">
        <f t="shared" si="90"/>
        <v>0</v>
      </c>
      <c r="N5510" s="274"/>
    </row>
    <row r="5511" spans="5:14" ht="13.5" customHeight="1">
      <c r="E5511" s="209" t="s">
        <v>1759</v>
      </c>
      <c r="F5511" s="209" t="s">
        <v>3004</v>
      </c>
      <c r="G5511" s="408" t="str">
        <f t="shared" si="88"/>
        <v>14-01</v>
      </c>
      <c r="H5511" s="273" t="e">
        <f ca="1">_xludf.IFNA(VLOOKUP(E5511,'Urban Plastix Holds'!$I$37:$U$705,6,0),0)</f>
        <v>#NAME?</v>
      </c>
      <c r="I5511" s="274"/>
      <c r="J5511" s="274" t="e">
        <f t="shared" ca="1" si="89"/>
        <v>#NAME?</v>
      </c>
      <c r="K5511" s="274">
        <f t="shared" si="90"/>
        <v>0</v>
      </c>
      <c r="N5511" s="274"/>
    </row>
    <row r="5512" spans="5:14" ht="13.5" customHeight="1">
      <c r="E5512" s="209" t="s">
        <v>1759</v>
      </c>
      <c r="F5512" s="209" t="s">
        <v>3004</v>
      </c>
      <c r="G5512" s="409" t="str">
        <f t="shared" si="88"/>
        <v>15-12</v>
      </c>
      <c r="H5512" s="273" t="e">
        <f ca="1">_xludf.IFNA(VLOOKUP(E5512,'Urban Plastix Holds'!$I$37:$U$705,7,0),0)</f>
        <v>#NAME?</v>
      </c>
      <c r="I5512" s="274"/>
      <c r="J5512" s="274" t="e">
        <f t="shared" ca="1" si="89"/>
        <v>#NAME?</v>
      </c>
      <c r="K5512" s="274">
        <f t="shared" si="90"/>
        <v>0</v>
      </c>
      <c r="N5512" s="274"/>
    </row>
    <row r="5513" spans="5:14" ht="13.5" customHeight="1">
      <c r="E5513" s="209" t="s">
        <v>1759</v>
      </c>
      <c r="F5513" s="209" t="s">
        <v>3004</v>
      </c>
      <c r="G5513" s="410" t="str">
        <f t="shared" si="88"/>
        <v>16-16</v>
      </c>
      <c r="H5513" s="273" t="e">
        <f ca="1">_xludf.IFNA(VLOOKUP(E5513,'Urban Plastix Holds'!$I$37:$U$705,8,0),0)</f>
        <v>#NAME?</v>
      </c>
      <c r="I5513" s="274"/>
      <c r="J5513" s="274" t="e">
        <f t="shared" ca="1" si="89"/>
        <v>#NAME?</v>
      </c>
      <c r="K5513" s="274">
        <f t="shared" si="90"/>
        <v>0</v>
      </c>
      <c r="N5513" s="274"/>
    </row>
    <row r="5514" spans="5:14" ht="13.5" customHeight="1">
      <c r="E5514" s="209" t="s">
        <v>1759</v>
      </c>
      <c r="F5514" s="209" t="s">
        <v>3004</v>
      </c>
      <c r="G5514" s="411" t="str">
        <f t="shared" si="88"/>
        <v>13-01</v>
      </c>
      <c r="H5514" s="273" t="e">
        <f ca="1">_xludf.IFNA(VLOOKUP(E5514,'Urban Plastix Holds'!$I$37:$U$705,9,0),0)</f>
        <v>#NAME?</v>
      </c>
      <c r="I5514" s="274"/>
      <c r="J5514" s="274" t="e">
        <f t="shared" ca="1" si="89"/>
        <v>#NAME?</v>
      </c>
      <c r="K5514" s="274">
        <f t="shared" si="90"/>
        <v>0</v>
      </c>
      <c r="N5514" s="274"/>
    </row>
    <row r="5515" spans="5:14" ht="13.5" customHeight="1">
      <c r="E5515" s="209" t="s">
        <v>1759</v>
      </c>
      <c r="F5515" s="209" t="s">
        <v>3004</v>
      </c>
      <c r="G5515" s="413" t="str">
        <f t="shared" si="88"/>
        <v>07-13</v>
      </c>
      <c r="H5515" s="273" t="e">
        <f ca="1">_xludf.IFNA(VLOOKUP(E5515,'Urban Plastix Holds'!$I$37:$U$705,10,0),0)</f>
        <v>#NAME?</v>
      </c>
      <c r="I5515" s="274"/>
      <c r="J5515" s="274" t="e">
        <f t="shared" ca="1" si="89"/>
        <v>#NAME?</v>
      </c>
      <c r="K5515" s="274">
        <f t="shared" si="90"/>
        <v>0</v>
      </c>
      <c r="N5515" s="274"/>
    </row>
    <row r="5516" spans="5:14" ht="13.5" customHeight="1">
      <c r="E5516" s="209" t="s">
        <v>1759</v>
      </c>
      <c r="F5516" s="209" t="s">
        <v>3004</v>
      </c>
      <c r="G5516" s="414" t="str">
        <f t="shared" si="88"/>
        <v>11-26</v>
      </c>
      <c r="H5516" s="273" t="e">
        <f ca="1">_xludf.IFNA(VLOOKUP(E5516,'Urban Plastix Holds'!$I$37:$U$705,11,0),0)</f>
        <v>#NAME?</v>
      </c>
      <c r="I5516" s="274"/>
      <c r="J5516" s="274" t="e">
        <f t="shared" ca="1" si="89"/>
        <v>#NAME?</v>
      </c>
      <c r="K5516" s="274">
        <f t="shared" si="90"/>
        <v>0</v>
      </c>
      <c r="N5516" s="274"/>
    </row>
    <row r="5517" spans="5:14" ht="13.5" customHeight="1">
      <c r="E5517" s="209" t="s">
        <v>1759</v>
      </c>
      <c r="F5517" s="209" t="s">
        <v>3004</v>
      </c>
      <c r="G5517" s="415" t="str">
        <f t="shared" si="88"/>
        <v>18-01</v>
      </c>
      <c r="H5517" s="273" t="e">
        <f ca="1">_xludf.IFNA(VLOOKUP(E5517,'Urban Plastix Holds'!$I$37:$U$705,12,0),0)</f>
        <v>#NAME?</v>
      </c>
      <c r="I5517" s="274"/>
      <c r="J5517" s="274" t="e">
        <f t="shared" ca="1" si="89"/>
        <v>#NAME?</v>
      </c>
      <c r="K5517" s="274">
        <f t="shared" si="90"/>
        <v>0</v>
      </c>
      <c r="N5517" s="274"/>
    </row>
    <row r="5518" spans="5:14" ht="13.5" customHeight="1">
      <c r="E5518" s="209" t="s">
        <v>1759</v>
      </c>
      <c r="F5518" s="209" t="s">
        <v>3004</v>
      </c>
      <c r="G5518" s="416" t="str">
        <f t="shared" si="88"/>
        <v>Color Code</v>
      </c>
      <c r="H5518" s="273" t="e">
        <f ca="1">_xludf.IFNA(VLOOKUP(E5518,'Urban Plastix Holds'!$I$37:$U$705,13,0),0)</f>
        <v>#NAME?</v>
      </c>
      <c r="I5518" s="274"/>
      <c r="J5518" s="274" t="e">
        <f t="shared" ca="1" si="89"/>
        <v>#NAME?</v>
      </c>
      <c r="K5518" s="274">
        <f t="shared" si="90"/>
        <v>0</v>
      </c>
      <c r="N5518" s="274"/>
    </row>
    <row r="5519" spans="5:14" ht="13.5" customHeight="1">
      <c r="E5519" s="209" t="s">
        <v>1756</v>
      </c>
      <c r="F5519" s="209" t="s">
        <v>3005</v>
      </c>
      <c r="G5519" s="406" t="str">
        <f t="shared" si="88"/>
        <v>11-12</v>
      </c>
      <c r="H5519" s="273" t="e">
        <f ca="1">_xludf.IFNA(VLOOKUP(E5519,'Urban Plastix Holds'!$I$37:$U$705,5,0),0)</f>
        <v>#NAME?</v>
      </c>
      <c r="I5519" s="274"/>
      <c r="J5519" s="274" t="e">
        <f t="shared" ca="1" si="89"/>
        <v>#NAME?</v>
      </c>
      <c r="K5519" s="274">
        <f t="shared" si="90"/>
        <v>0</v>
      </c>
      <c r="N5519" s="274"/>
    </row>
    <row r="5520" spans="5:14" ht="13.5" customHeight="1">
      <c r="E5520" s="209" t="s">
        <v>1756</v>
      </c>
      <c r="F5520" s="209" t="s">
        <v>3005</v>
      </c>
      <c r="G5520" s="408" t="str">
        <f t="shared" si="88"/>
        <v>14-01</v>
      </c>
      <c r="H5520" s="273" t="e">
        <f ca="1">_xludf.IFNA(VLOOKUP(E5520,'Urban Plastix Holds'!$I$37:$U$705,6,0),0)</f>
        <v>#NAME?</v>
      </c>
      <c r="I5520" s="274"/>
      <c r="J5520" s="274" t="e">
        <f t="shared" ca="1" si="89"/>
        <v>#NAME?</v>
      </c>
      <c r="K5520" s="274">
        <f t="shared" si="90"/>
        <v>0</v>
      </c>
      <c r="N5520" s="274"/>
    </row>
    <row r="5521" spans="5:14" ht="13.5" customHeight="1">
      <c r="E5521" s="209" t="s">
        <v>1756</v>
      </c>
      <c r="F5521" s="209" t="s">
        <v>3005</v>
      </c>
      <c r="G5521" s="409" t="str">
        <f t="shared" si="88"/>
        <v>15-12</v>
      </c>
      <c r="H5521" s="273" t="e">
        <f ca="1">_xludf.IFNA(VLOOKUP(E5521,'Urban Plastix Holds'!$I$37:$U$705,7,0),0)</f>
        <v>#NAME?</v>
      </c>
      <c r="I5521" s="274"/>
      <c r="J5521" s="274" t="e">
        <f t="shared" ca="1" si="89"/>
        <v>#NAME?</v>
      </c>
      <c r="K5521" s="274">
        <f t="shared" si="90"/>
        <v>0</v>
      </c>
      <c r="N5521" s="274"/>
    </row>
    <row r="5522" spans="5:14" ht="13.5" customHeight="1">
      <c r="E5522" s="209" t="s">
        <v>1756</v>
      </c>
      <c r="F5522" s="209" t="s">
        <v>3005</v>
      </c>
      <c r="G5522" s="410" t="str">
        <f t="shared" si="88"/>
        <v>16-16</v>
      </c>
      <c r="H5522" s="273" t="e">
        <f ca="1">_xludf.IFNA(VLOOKUP(E5522,'Urban Plastix Holds'!$I$37:$U$705,8,0),0)</f>
        <v>#NAME?</v>
      </c>
      <c r="I5522" s="274"/>
      <c r="J5522" s="274" t="e">
        <f t="shared" ca="1" si="89"/>
        <v>#NAME?</v>
      </c>
      <c r="K5522" s="274">
        <f t="shared" si="90"/>
        <v>0</v>
      </c>
      <c r="N5522" s="274"/>
    </row>
    <row r="5523" spans="5:14" ht="13.5" customHeight="1">
      <c r="E5523" s="209" t="s">
        <v>1756</v>
      </c>
      <c r="F5523" s="209" t="s">
        <v>3005</v>
      </c>
      <c r="G5523" s="411" t="str">
        <f t="shared" si="88"/>
        <v>13-01</v>
      </c>
      <c r="H5523" s="273" t="e">
        <f ca="1">_xludf.IFNA(VLOOKUP(E5523,'Urban Plastix Holds'!$I$37:$U$705,9,0),0)</f>
        <v>#NAME?</v>
      </c>
      <c r="I5523" s="274"/>
      <c r="J5523" s="274" t="e">
        <f t="shared" ca="1" si="89"/>
        <v>#NAME?</v>
      </c>
      <c r="K5523" s="274">
        <f t="shared" si="90"/>
        <v>0</v>
      </c>
      <c r="N5523" s="274"/>
    </row>
    <row r="5524" spans="5:14" ht="13.5" customHeight="1">
      <c r="E5524" s="209" t="s">
        <v>1756</v>
      </c>
      <c r="F5524" s="209" t="s">
        <v>3005</v>
      </c>
      <c r="G5524" s="413" t="str">
        <f t="shared" si="88"/>
        <v>07-13</v>
      </c>
      <c r="H5524" s="273" t="e">
        <f ca="1">_xludf.IFNA(VLOOKUP(E5524,'Urban Plastix Holds'!$I$37:$U$705,10,0),0)</f>
        <v>#NAME?</v>
      </c>
      <c r="I5524" s="274"/>
      <c r="J5524" s="274" t="e">
        <f t="shared" ca="1" si="89"/>
        <v>#NAME?</v>
      </c>
      <c r="K5524" s="274">
        <f t="shared" si="90"/>
        <v>0</v>
      </c>
      <c r="N5524" s="274"/>
    </row>
    <row r="5525" spans="5:14" ht="13.5" customHeight="1">
      <c r="E5525" s="209" t="s">
        <v>1756</v>
      </c>
      <c r="F5525" s="209" t="s">
        <v>3005</v>
      </c>
      <c r="G5525" s="414" t="str">
        <f t="shared" si="88"/>
        <v>11-26</v>
      </c>
      <c r="H5525" s="273" t="e">
        <f ca="1">_xludf.IFNA(VLOOKUP(E5525,'Urban Plastix Holds'!$I$37:$U$705,11,0),0)</f>
        <v>#NAME?</v>
      </c>
      <c r="I5525" s="274"/>
      <c r="J5525" s="274" t="e">
        <f t="shared" ca="1" si="89"/>
        <v>#NAME?</v>
      </c>
      <c r="K5525" s="274">
        <f t="shared" si="90"/>
        <v>0</v>
      </c>
      <c r="N5525" s="274"/>
    </row>
    <row r="5526" spans="5:14" ht="13.5" customHeight="1">
      <c r="E5526" s="209" t="s">
        <v>1756</v>
      </c>
      <c r="F5526" s="209" t="s">
        <v>3005</v>
      </c>
      <c r="G5526" s="415" t="str">
        <f t="shared" si="88"/>
        <v>18-01</v>
      </c>
      <c r="H5526" s="273" t="e">
        <f ca="1">_xludf.IFNA(VLOOKUP(E5526,'Urban Plastix Holds'!$I$37:$U$705,12,0),0)</f>
        <v>#NAME?</v>
      </c>
      <c r="I5526" s="274"/>
      <c r="J5526" s="274" t="e">
        <f t="shared" ca="1" si="89"/>
        <v>#NAME?</v>
      </c>
      <c r="K5526" s="274">
        <f t="shared" si="90"/>
        <v>0</v>
      </c>
      <c r="N5526" s="274"/>
    </row>
    <row r="5527" spans="5:14" ht="13.5" customHeight="1">
      <c r="E5527" s="209" t="s">
        <v>1756</v>
      </c>
      <c r="F5527" s="209" t="s">
        <v>3005</v>
      </c>
      <c r="G5527" s="416" t="str">
        <f t="shared" si="88"/>
        <v>Color Code</v>
      </c>
      <c r="H5527" s="273" t="e">
        <f ca="1">_xludf.IFNA(VLOOKUP(E5527,'Urban Plastix Holds'!$I$37:$U$705,13,0),0)</f>
        <v>#NAME?</v>
      </c>
      <c r="I5527" s="274"/>
      <c r="J5527" s="274" t="e">
        <f t="shared" ca="1" si="89"/>
        <v>#NAME?</v>
      </c>
      <c r="K5527" s="274">
        <f t="shared" si="90"/>
        <v>0</v>
      </c>
      <c r="N5527" s="274"/>
    </row>
    <row r="5528" spans="5:14" ht="13.5" customHeight="1">
      <c r="E5528" s="209" t="s">
        <v>1457</v>
      </c>
      <c r="F5528" s="209" t="s">
        <v>3006</v>
      </c>
      <c r="G5528" s="406" t="str">
        <f t="shared" si="88"/>
        <v>11-12</v>
      </c>
      <c r="H5528" s="273" t="e">
        <f ca="1">_xludf.IFNA(VLOOKUP(E5528,'Urban Plastix Holds'!$I$37:$U$705,5,0),0)</f>
        <v>#NAME?</v>
      </c>
      <c r="I5528" s="274"/>
      <c r="J5528" s="274" t="e">
        <f t="shared" ca="1" si="89"/>
        <v>#NAME?</v>
      </c>
      <c r="K5528" s="274">
        <f t="shared" si="90"/>
        <v>0</v>
      </c>
      <c r="N5528" s="274"/>
    </row>
    <row r="5529" spans="5:14" ht="13.5" customHeight="1">
      <c r="E5529" s="209" t="s">
        <v>1457</v>
      </c>
      <c r="F5529" s="209" t="s">
        <v>3006</v>
      </c>
      <c r="G5529" s="408" t="str">
        <f t="shared" si="88"/>
        <v>14-01</v>
      </c>
      <c r="H5529" s="273" t="e">
        <f ca="1">_xludf.IFNA(VLOOKUP(E5529,'Urban Plastix Holds'!$I$37:$U$705,6,0),0)</f>
        <v>#NAME?</v>
      </c>
      <c r="I5529" s="274"/>
      <c r="J5529" s="274" t="e">
        <f t="shared" ca="1" si="89"/>
        <v>#NAME?</v>
      </c>
      <c r="K5529" s="274">
        <f t="shared" si="90"/>
        <v>0</v>
      </c>
      <c r="N5529" s="274"/>
    </row>
    <row r="5530" spans="5:14" ht="13.5" customHeight="1">
      <c r="E5530" s="209" t="s">
        <v>1457</v>
      </c>
      <c r="F5530" s="209" t="s">
        <v>3006</v>
      </c>
      <c r="G5530" s="409" t="str">
        <f t="shared" si="88"/>
        <v>15-12</v>
      </c>
      <c r="H5530" s="273" t="e">
        <f ca="1">_xludf.IFNA(VLOOKUP(E5530,'Urban Plastix Holds'!$I$37:$U$705,7,0),0)</f>
        <v>#NAME?</v>
      </c>
      <c r="I5530" s="274"/>
      <c r="J5530" s="274" t="e">
        <f t="shared" ca="1" si="89"/>
        <v>#NAME?</v>
      </c>
      <c r="K5530" s="274">
        <f t="shared" si="90"/>
        <v>0</v>
      </c>
      <c r="N5530" s="274"/>
    </row>
    <row r="5531" spans="5:14" ht="13.5" customHeight="1">
      <c r="E5531" s="209" t="s">
        <v>1457</v>
      </c>
      <c r="F5531" s="209" t="s">
        <v>3006</v>
      </c>
      <c r="G5531" s="410" t="str">
        <f t="shared" si="88"/>
        <v>16-16</v>
      </c>
      <c r="H5531" s="273" t="e">
        <f ca="1">_xludf.IFNA(VLOOKUP(E5531,'Urban Plastix Holds'!$I$37:$U$705,8,0),0)</f>
        <v>#NAME?</v>
      </c>
      <c r="I5531" s="274"/>
      <c r="J5531" s="274" t="e">
        <f t="shared" ca="1" si="89"/>
        <v>#NAME?</v>
      </c>
      <c r="K5531" s="274">
        <f t="shared" si="90"/>
        <v>0</v>
      </c>
      <c r="N5531" s="274"/>
    </row>
    <row r="5532" spans="5:14" ht="13.5" customHeight="1">
      <c r="E5532" s="209" t="s">
        <v>1457</v>
      </c>
      <c r="F5532" s="209" t="s">
        <v>3006</v>
      </c>
      <c r="G5532" s="411" t="str">
        <f t="shared" si="88"/>
        <v>13-01</v>
      </c>
      <c r="H5532" s="273" t="e">
        <f ca="1">_xludf.IFNA(VLOOKUP(E5532,'Urban Plastix Holds'!$I$37:$U$705,9,0),0)</f>
        <v>#NAME?</v>
      </c>
      <c r="I5532" s="274"/>
      <c r="J5532" s="274" t="e">
        <f t="shared" ca="1" si="89"/>
        <v>#NAME?</v>
      </c>
      <c r="K5532" s="274">
        <f t="shared" si="90"/>
        <v>0</v>
      </c>
      <c r="N5532" s="274"/>
    </row>
    <row r="5533" spans="5:14" ht="13.5" customHeight="1">
      <c r="E5533" s="209" t="s">
        <v>1457</v>
      </c>
      <c r="F5533" s="209" t="s">
        <v>3006</v>
      </c>
      <c r="G5533" s="413" t="str">
        <f t="shared" si="88"/>
        <v>07-13</v>
      </c>
      <c r="H5533" s="273" t="e">
        <f ca="1">_xludf.IFNA(VLOOKUP(E5533,'Urban Plastix Holds'!$I$37:$U$705,10,0),0)</f>
        <v>#NAME?</v>
      </c>
      <c r="I5533" s="274"/>
      <c r="J5533" s="274" t="e">
        <f t="shared" ca="1" si="89"/>
        <v>#NAME?</v>
      </c>
      <c r="K5533" s="274">
        <f t="shared" si="90"/>
        <v>0</v>
      </c>
      <c r="N5533" s="274"/>
    </row>
    <row r="5534" spans="5:14" ht="13.5" customHeight="1">
      <c r="E5534" s="209" t="s">
        <v>1457</v>
      </c>
      <c r="F5534" s="209" t="s">
        <v>3006</v>
      </c>
      <c r="G5534" s="414" t="str">
        <f t="shared" si="88"/>
        <v>11-26</v>
      </c>
      <c r="H5534" s="273" t="e">
        <f ca="1">_xludf.IFNA(VLOOKUP(E5534,'Urban Plastix Holds'!$I$37:$U$705,11,0),0)</f>
        <v>#NAME?</v>
      </c>
      <c r="I5534" s="274"/>
      <c r="J5534" s="274" t="e">
        <f t="shared" ca="1" si="89"/>
        <v>#NAME?</v>
      </c>
      <c r="K5534" s="274">
        <f t="shared" si="90"/>
        <v>0</v>
      </c>
      <c r="N5534" s="274"/>
    </row>
    <row r="5535" spans="5:14" ht="13.5" customHeight="1">
      <c r="E5535" s="209" t="s">
        <v>1457</v>
      </c>
      <c r="F5535" s="209" t="s">
        <v>3006</v>
      </c>
      <c r="G5535" s="415" t="str">
        <f t="shared" si="88"/>
        <v>18-01</v>
      </c>
      <c r="H5535" s="273" t="e">
        <f ca="1">_xludf.IFNA(VLOOKUP(E5535,'Urban Plastix Holds'!$I$37:$U$705,12,0),0)</f>
        <v>#NAME?</v>
      </c>
      <c r="I5535" s="274"/>
      <c r="J5535" s="274" t="e">
        <f t="shared" ca="1" si="89"/>
        <v>#NAME?</v>
      </c>
      <c r="K5535" s="274">
        <f t="shared" si="90"/>
        <v>0</v>
      </c>
      <c r="N5535" s="274"/>
    </row>
    <row r="5536" spans="5:14" ht="13.5" customHeight="1">
      <c r="E5536" s="209" t="s">
        <v>1457</v>
      </c>
      <c r="F5536" s="209" t="s">
        <v>3006</v>
      </c>
      <c r="G5536" s="416" t="str">
        <f t="shared" si="88"/>
        <v>Color Code</v>
      </c>
      <c r="H5536" s="273" t="e">
        <f ca="1">_xludf.IFNA(VLOOKUP(E5536,'Urban Plastix Holds'!$I$37:$U$705,13,0),0)</f>
        <v>#NAME?</v>
      </c>
      <c r="I5536" s="274"/>
      <c r="J5536" s="274" t="e">
        <f t="shared" ca="1" si="89"/>
        <v>#NAME?</v>
      </c>
      <c r="K5536" s="274">
        <f t="shared" si="90"/>
        <v>0</v>
      </c>
      <c r="N5536" s="274"/>
    </row>
    <row r="5537" spans="5:14" ht="13.5" customHeight="1">
      <c r="E5537" s="209" t="s">
        <v>1305</v>
      </c>
      <c r="F5537" s="209" t="s">
        <v>3007</v>
      </c>
      <c r="G5537" s="406" t="str">
        <f t="shared" si="88"/>
        <v>11-12</v>
      </c>
      <c r="H5537" s="273" t="e">
        <f ca="1">_xludf.IFNA(VLOOKUP(E5537,'Urban Plastix Holds'!$I$37:$U$705,5,0),0)</f>
        <v>#NAME?</v>
      </c>
      <c r="I5537" s="274"/>
      <c r="J5537" s="274" t="e">
        <f t="shared" ca="1" si="89"/>
        <v>#NAME?</v>
      </c>
      <c r="K5537" s="274">
        <f t="shared" si="90"/>
        <v>0</v>
      </c>
      <c r="N5537" s="274"/>
    </row>
    <row r="5538" spans="5:14" ht="13.5" customHeight="1">
      <c r="E5538" s="209" t="s">
        <v>1305</v>
      </c>
      <c r="F5538" s="209" t="s">
        <v>3007</v>
      </c>
      <c r="G5538" s="408" t="str">
        <f t="shared" si="88"/>
        <v>14-01</v>
      </c>
      <c r="H5538" s="273" t="e">
        <f ca="1">_xludf.IFNA(VLOOKUP(E5538,'Urban Plastix Holds'!$I$37:$U$705,6,0),0)</f>
        <v>#NAME?</v>
      </c>
      <c r="I5538" s="274"/>
      <c r="J5538" s="274" t="e">
        <f t="shared" ca="1" si="89"/>
        <v>#NAME?</v>
      </c>
      <c r="K5538" s="274">
        <f t="shared" si="90"/>
        <v>0</v>
      </c>
      <c r="N5538" s="274"/>
    </row>
    <row r="5539" spans="5:14" ht="13.5" customHeight="1">
      <c r="E5539" s="209" t="s">
        <v>1305</v>
      </c>
      <c r="F5539" s="209" t="s">
        <v>3007</v>
      </c>
      <c r="G5539" s="409" t="str">
        <f t="shared" si="88"/>
        <v>15-12</v>
      </c>
      <c r="H5539" s="273" t="e">
        <f ca="1">_xludf.IFNA(VLOOKUP(E5539,'Urban Plastix Holds'!$I$37:$U$705,7,0),0)</f>
        <v>#NAME?</v>
      </c>
      <c r="I5539" s="274"/>
      <c r="J5539" s="274" t="e">
        <f t="shared" ca="1" si="89"/>
        <v>#NAME?</v>
      </c>
      <c r="K5539" s="274">
        <f t="shared" si="90"/>
        <v>0</v>
      </c>
      <c r="N5539" s="274"/>
    </row>
    <row r="5540" spans="5:14" ht="13.5" customHeight="1">
      <c r="E5540" s="209" t="s">
        <v>1305</v>
      </c>
      <c r="F5540" s="209" t="s">
        <v>3007</v>
      </c>
      <c r="G5540" s="410" t="str">
        <f t="shared" si="88"/>
        <v>16-16</v>
      </c>
      <c r="H5540" s="273" t="e">
        <f ca="1">_xludf.IFNA(VLOOKUP(E5540,'Urban Plastix Holds'!$I$37:$U$705,8,0),0)</f>
        <v>#NAME?</v>
      </c>
      <c r="I5540" s="274"/>
      <c r="J5540" s="274" t="e">
        <f t="shared" ca="1" si="89"/>
        <v>#NAME?</v>
      </c>
      <c r="K5540" s="274">
        <f t="shared" si="90"/>
        <v>0</v>
      </c>
      <c r="N5540" s="274"/>
    </row>
    <row r="5541" spans="5:14" ht="13.5" customHeight="1">
      <c r="E5541" s="209" t="s">
        <v>1305</v>
      </c>
      <c r="F5541" s="209" t="s">
        <v>3007</v>
      </c>
      <c r="G5541" s="411" t="str">
        <f t="shared" si="88"/>
        <v>13-01</v>
      </c>
      <c r="H5541" s="273" t="e">
        <f ca="1">_xludf.IFNA(VLOOKUP(E5541,'Urban Plastix Holds'!$I$37:$U$705,9,0),0)</f>
        <v>#NAME?</v>
      </c>
      <c r="I5541" s="274"/>
      <c r="J5541" s="274" t="e">
        <f t="shared" ca="1" si="89"/>
        <v>#NAME?</v>
      </c>
      <c r="K5541" s="274">
        <f t="shared" si="90"/>
        <v>0</v>
      </c>
      <c r="N5541" s="274"/>
    </row>
    <row r="5542" spans="5:14" ht="13.5" customHeight="1">
      <c r="E5542" s="209" t="s">
        <v>1305</v>
      </c>
      <c r="F5542" s="209" t="s">
        <v>3007</v>
      </c>
      <c r="G5542" s="413" t="str">
        <f t="shared" si="88"/>
        <v>07-13</v>
      </c>
      <c r="H5542" s="273" t="e">
        <f ca="1">_xludf.IFNA(VLOOKUP(E5542,'Urban Plastix Holds'!$I$37:$U$705,10,0),0)</f>
        <v>#NAME?</v>
      </c>
      <c r="I5542" s="274"/>
      <c r="J5542" s="274" t="e">
        <f t="shared" ca="1" si="89"/>
        <v>#NAME?</v>
      </c>
      <c r="K5542" s="274">
        <f t="shared" si="90"/>
        <v>0</v>
      </c>
      <c r="N5542" s="274"/>
    </row>
    <row r="5543" spans="5:14" ht="13.5" customHeight="1">
      <c r="E5543" s="209" t="s">
        <v>1305</v>
      </c>
      <c r="F5543" s="209" t="s">
        <v>3007</v>
      </c>
      <c r="G5543" s="414" t="str">
        <f t="shared" si="88"/>
        <v>11-26</v>
      </c>
      <c r="H5543" s="273" t="e">
        <f ca="1">_xludf.IFNA(VLOOKUP(E5543,'Urban Plastix Holds'!$I$37:$U$705,11,0),0)</f>
        <v>#NAME?</v>
      </c>
      <c r="I5543" s="274"/>
      <c r="J5543" s="274" t="e">
        <f t="shared" ca="1" si="89"/>
        <v>#NAME?</v>
      </c>
      <c r="K5543" s="274">
        <f t="shared" si="90"/>
        <v>0</v>
      </c>
      <c r="N5543" s="274"/>
    </row>
    <row r="5544" spans="5:14" ht="13.5" customHeight="1">
      <c r="E5544" s="209" t="s">
        <v>1305</v>
      </c>
      <c r="F5544" s="209" t="s">
        <v>3007</v>
      </c>
      <c r="G5544" s="415" t="str">
        <f t="shared" si="88"/>
        <v>18-01</v>
      </c>
      <c r="H5544" s="273" t="e">
        <f ca="1">_xludf.IFNA(VLOOKUP(E5544,'Urban Plastix Holds'!$I$37:$U$705,12,0),0)</f>
        <v>#NAME?</v>
      </c>
      <c r="I5544" s="274"/>
      <c r="J5544" s="274" t="e">
        <f t="shared" ca="1" si="89"/>
        <v>#NAME?</v>
      </c>
      <c r="K5544" s="274">
        <f t="shared" si="90"/>
        <v>0</v>
      </c>
      <c r="N5544" s="274"/>
    </row>
    <row r="5545" spans="5:14" ht="13.5" customHeight="1">
      <c r="E5545" s="209" t="s">
        <v>1305</v>
      </c>
      <c r="F5545" s="209" t="s">
        <v>3007</v>
      </c>
      <c r="G5545" s="416" t="str">
        <f t="shared" si="88"/>
        <v>Color Code</v>
      </c>
      <c r="H5545" s="273" t="e">
        <f ca="1">_xludf.IFNA(VLOOKUP(E5545,'Urban Plastix Holds'!$I$37:$U$705,13,0),0)</f>
        <v>#NAME?</v>
      </c>
      <c r="I5545" s="274"/>
      <c r="J5545" s="274" t="e">
        <f t="shared" ca="1" si="89"/>
        <v>#NAME?</v>
      </c>
      <c r="K5545" s="274">
        <f t="shared" si="90"/>
        <v>0</v>
      </c>
      <c r="N5545" s="274"/>
    </row>
    <row r="5546" spans="5:14" ht="13.5" customHeight="1">
      <c r="E5546" s="209" t="s">
        <v>1521</v>
      </c>
      <c r="F5546" s="209" t="s">
        <v>3008</v>
      </c>
      <c r="G5546" s="406" t="str">
        <f t="shared" si="88"/>
        <v>11-12</v>
      </c>
      <c r="H5546" s="273" t="e">
        <f ca="1">_xludf.IFNA(VLOOKUP(E5546,'Urban Plastix Holds'!$I$37:$U$705,5,0),0)</f>
        <v>#NAME?</v>
      </c>
      <c r="I5546" s="274"/>
      <c r="J5546" s="274" t="e">
        <f t="shared" ca="1" si="89"/>
        <v>#NAME?</v>
      </c>
      <c r="K5546" s="274">
        <f t="shared" si="90"/>
        <v>0</v>
      </c>
      <c r="N5546" s="274"/>
    </row>
    <row r="5547" spans="5:14" ht="13.5" customHeight="1">
      <c r="E5547" s="209" t="s">
        <v>1521</v>
      </c>
      <c r="F5547" s="209" t="s">
        <v>3008</v>
      </c>
      <c r="G5547" s="408" t="str">
        <f t="shared" si="88"/>
        <v>14-01</v>
      </c>
      <c r="H5547" s="273" t="e">
        <f ca="1">_xludf.IFNA(VLOOKUP(E5547,'Urban Plastix Holds'!$I$37:$U$705,6,0),0)</f>
        <v>#NAME?</v>
      </c>
      <c r="I5547" s="274"/>
      <c r="J5547" s="274" t="e">
        <f t="shared" ca="1" si="89"/>
        <v>#NAME?</v>
      </c>
      <c r="K5547" s="274">
        <f t="shared" si="90"/>
        <v>0</v>
      </c>
      <c r="N5547" s="274"/>
    </row>
    <row r="5548" spans="5:14" ht="13.5" customHeight="1">
      <c r="E5548" s="209" t="s">
        <v>1521</v>
      </c>
      <c r="F5548" s="209" t="s">
        <v>3008</v>
      </c>
      <c r="G5548" s="409" t="str">
        <f t="shared" si="88"/>
        <v>15-12</v>
      </c>
      <c r="H5548" s="273" t="e">
        <f ca="1">_xludf.IFNA(VLOOKUP(E5548,'Urban Plastix Holds'!$I$37:$U$705,7,0),0)</f>
        <v>#NAME?</v>
      </c>
      <c r="I5548" s="274"/>
      <c r="J5548" s="274" t="e">
        <f t="shared" ca="1" si="89"/>
        <v>#NAME?</v>
      </c>
      <c r="K5548" s="274">
        <f t="shared" si="90"/>
        <v>0</v>
      </c>
      <c r="N5548" s="274"/>
    </row>
    <row r="5549" spans="5:14" ht="13.5" customHeight="1">
      <c r="E5549" s="209" t="s">
        <v>1521</v>
      </c>
      <c r="F5549" s="209" t="s">
        <v>3008</v>
      </c>
      <c r="G5549" s="410" t="str">
        <f t="shared" si="88"/>
        <v>16-16</v>
      </c>
      <c r="H5549" s="273" t="e">
        <f ca="1">_xludf.IFNA(VLOOKUP(E5549,'Urban Plastix Holds'!$I$37:$U$705,8,0),0)</f>
        <v>#NAME?</v>
      </c>
      <c r="I5549" s="274"/>
      <c r="J5549" s="274" t="e">
        <f t="shared" ca="1" si="89"/>
        <v>#NAME?</v>
      </c>
      <c r="K5549" s="274">
        <f t="shared" si="90"/>
        <v>0</v>
      </c>
      <c r="N5549" s="274"/>
    </row>
    <row r="5550" spans="5:14" ht="13.5" customHeight="1">
      <c r="E5550" s="209" t="s">
        <v>1521</v>
      </c>
      <c r="F5550" s="209" t="s">
        <v>3008</v>
      </c>
      <c r="G5550" s="411" t="str">
        <f t="shared" si="88"/>
        <v>13-01</v>
      </c>
      <c r="H5550" s="273" t="e">
        <f ca="1">_xludf.IFNA(VLOOKUP(E5550,'Urban Plastix Holds'!$I$37:$U$705,9,0),0)</f>
        <v>#NAME?</v>
      </c>
      <c r="I5550" s="274"/>
      <c r="J5550" s="274" t="e">
        <f t="shared" ca="1" si="89"/>
        <v>#NAME?</v>
      </c>
      <c r="K5550" s="274">
        <f t="shared" si="90"/>
        <v>0</v>
      </c>
      <c r="N5550" s="274"/>
    </row>
    <row r="5551" spans="5:14" ht="13.5" customHeight="1">
      <c r="E5551" s="209" t="s">
        <v>1521</v>
      </c>
      <c r="F5551" s="209" t="s">
        <v>3008</v>
      </c>
      <c r="G5551" s="413" t="str">
        <f t="shared" si="88"/>
        <v>07-13</v>
      </c>
      <c r="H5551" s="273" t="e">
        <f ca="1">_xludf.IFNA(VLOOKUP(E5551,'Urban Plastix Holds'!$I$37:$U$705,10,0),0)</f>
        <v>#NAME?</v>
      </c>
      <c r="I5551" s="274"/>
      <c r="J5551" s="274" t="e">
        <f t="shared" ca="1" si="89"/>
        <v>#NAME?</v>
      </c>
      <c r="K5551" s="274">
        <f t="shared" si="90"/>
        <v>0</v>
      </c>
      <c r="N5551" s="274"/>
    </row>
    <row r="5552" spans="5:14" ht="13.5" customHeight="1">
      <c r="E5552" s="209" t="s">
        <v>1521</v>
      </c>
      <c r="F5552" s="209" t="s">
        <v>3008</v>
      </c>
      <c r="G5552" s="414" t="str">
        <f t="shared" si="88"/>
        <v>11-26</v>
      </c>
      <c r="H5552" s="273" t="e">
        <f ca="1">_xludf.IFNA(VLOOKUP(E5552,'Urban Plastix Holds'!$I$37:$U$705,11,0),0)</f>
        <v>#NAME?</v>
      </c>
      <c r="I5552" s="274"/>
      <c r="J5552" s="274" t="e">
        <f t="shared" ca="1" si="89"/>
        <v>#NAME?</v>
      </c>
      <c r="K5552" s="274">
        <f t="shared" si="90"/>
        <v>0</v>
      </c>
      <c r="N5552" s="274"/>
    </row>
    <row r="5553" spans="5:14" ht="13.5" customHeight="1">
      <c r="E5553" s="209" t="s">
        <v>1521</v>
      </c>
      <c r="F5553" s="209" t="s">
        <v>3008</v>
      </c>
      <c r="G5553" s="415" t="str">
        <f t="shared" si="88"/>
        <v>18-01</v>
      </c>
      <c r="H5553" s="273" t="e">
        <f ca="1">_xludf.IFNA(VLOOKUP(E5553,'Urban Plastix Holds'!$I$37:$U$705,12,0),0)</f>
        <v>#NAME?</v>
      </c>
      <c r="I5553" s="274"/>
      <c r="J5553" s="274" t="e">
        <f t="shared" ca="1" si="89"/>
        <v>#NAME?</v>
      </c>
      <c r="K5553" s="274">
        <f t="shared" si="90"/>
        <v>0</v>
      </c>
      <c r="N5553" s="274"/>
    </row>
    <row r="5554" spans="5:14" ht="13.5" customHeight="1">
      <c r="E5554" s="209" t="s">
        <v>1521</v>
      </c>
      <c r="F5554" s="209" t="s">
        <v>3008</v>
      </c>
      <c r="G5554" s="416" t="str">
        <f t="shared" si="88"/>
        <v>Color Code</v>
      </c>
      <c r="H5554" s="273" t="e">
        <f ca="1">_xludf.IFNA(VLOOKUP(E5554,'Urban Plastix Holds'!$I$37:$U$705,13,0),0)</f>
        <v>#NAME?</v>
      </c>
      <c r="I5554" s="274"/>
      <c r="J5554" s="274" t="e">
        <f t="shared" ca="1" si="89"/>
        <v>#NAME?</v>
      </c>
      <c r="K5554" s="274">
        <f t="shared" si="90"/>
        <v>0</v>
      </c>
      <c r="N5554" s="274"/>
    </row>
    <row r="5555" spans="5:14" ht="13.5" customHeight="1">
      <c r="E5555" s="209" t="s">
        <v>1514</v>
      </c>
      <c r="F5555" s="209" t="s">
        <v>3009</v>
      </c>
      <c r="G5555" s="406" t="str">
        <f t="shared" ref="G5555:G5770" si="91">G5546</f>
        <v>11-12</v>
      </c>
      <c r="H5555" s="273" t="e">
        <f ca="1">_xludf.IFNA(VLOOKUP(E5555,'Urban Plastix Holds'!$I$37:$U$705,5,0),0)</f>
        <v>#NAME?</v>
      </c>
      <c r="I5555" s="274"/>
      <c r="J5555" s="274" t="e">
        <f t="shared" ca="1" si="89"/>
        <v>#NAME?</v>
      </c>
      <c r="K5555" s="274">
        <f t="shared" si="90"/>
        <v>0</v>
      </c>
      <c r="N5555" s="274"/>
    </row>
    <row r="5556" spans="5:14" ht="13.5" customHeight="1">
      <c r="E5556" s="209" t="s">
        <v>1514</v>
      </c>
      <c r="F5556" s="209" t="s">
        <v>3009</v>
      </c>
      <c r="G5556" s="408" t="str">
        <f t="shared" si="91"/>
        <v>14-01</v>
      </c>
      <c r="H5556" s="273" t="e">
        <f ca="1">_xludf.IFNA(VLOOKUP(E5556,'Urban Plastix Holds'!$I$37:$U$705,6,0),0)</f>
        <v>#NAME?</v>
      </c>
      <c r="I5556" s="274"/>
      <c r="J5556" s="274" t="e">
        <f t="shared" ca="1" si="89"/>
        <v>#NAME?</v>
      </c>
      <c r="K5556" s="274">
        <f t="shared" si="90"/>
        <v>0</v>
      </c>
      <c r="N5556" s="274"/>
    </row>
    <row r="5557" spans="5:14" ht="13.5" customHeight="1">
      <c r="E5557" s="209" t="s">
        <v>1514</v>
      </c>
      <c r="F5557" s="209" t="s">
        <v>3009</v>
      </c>
      <c r="G5557" s="409" t="str">
        <f t="shared" si="91"/>
        <v>15-12</v>
      </c>
      <c r="H5557" s="273" t="e">
        <f ca="1">_xludf.IFNA(VLOOKUP(E5557,'Urban Plastix Holds'!$I$37:$U$705,7,0),0)</f>
        <v>#NAME?</v>
      </c>
      <c r="I5557" s="274"/>
      <c r="J5557" s="274" t="e">
        <f t="shared" ca="1" si="89"/>
        <v>#NAME?</v>
      </c>
      <c r="K5557" s="274">
        <f t="shared" si="90"/>
        <v>0</v>
      </c>
      <c r="N5557" s="274"/>
    </row>
    <row r="5558" spans="5:14" ht="13.5" customHeight="1">
      <c r="E5558" s="209" t="s">
        <v>1514</v>
      </c>
      <c r="F5558" s="209" t="s">
        <v>3009</v>
      </c>
      <c r="G5558" s="410" t="str">
        <f t="shared" si="91"/>
        <v>16-16</v>
      </c>
      <c r="H5558" s="273" t="e">
        <f ca="1">_xludf.IFNA(VLOOKUP(E5558,'Urban Plastix Holds'!$I$37:$U$705,8,0),0)</f>
        <v>#NAME?</v>
      </c>
      <c r="I5558" s="274"/>
      <c r="J5558" s="274" t="e">
        <f t="shared" ca="1" si="89"/>
        <v>#NAME?</v>
      </c>
      <c r="K5558" s="274">
        <f t="shared" si="90"/>
        <v>0</v>
      </c>
      <c r="N5558" s="274"/>
    </row>
    <row r="5559" spans="5:14" ht="13.5" customHeight="1">
      <c r="E5559" s="209" t="s">
        <v>1514</v>
      </c>
      <c r="F5559" s="209" t="s">
        <v>3009</v>
      </c>
      <c r="G5559" s="411" t="str">
        <f t="shared" si="91"/>
        <v>13-01</v>
      </c>
      <c r="H5559" s="273" t="e">
        <f ca="1">_xludf.IFNA(VLOOKUP(E5559,'Urban Plastix Holds'!$I$37:$U$705,9,0),0)</f>
        <v>#NAME?</v>
      </c>
      <c r="I5559" s="274"/>
      <c r="J5559" s="274" t="e">
        <f t="shared" ca="1" si="89"/>
        <v>#NAME?</v>
      </c>
      <c r="K5559" s="274">
        <f t="shared" si="90"/>
        <v>0</v>
      </c>
      <c r="N5559" s="274"/>
    </row>
    <row r="5560" spans="5:14" ht="13.5" customHeight="1">
      <c r="E5560" s="209" t="s">
        <v>1514</v>
      </c>
      <c r="F5560" s="209" t="s">
        <v>3009</v>
      </c>
      <c r="G5560" s="413" t="str">
        <f t="shared" si="91"/>
        <v>07-13</v>
      </c>
      <c r="H5560" s="273" t="e">
        <f ca="1">_xludf.IFNA(VLOOKUP(E5560,'Urban Plastix Holds'!$I$37:$U$705,10,0),0)</f>
        <v>#NAME?</v>
      </c>
      <c r="I5560" s="274"/>
      <c r="J5560" s="274" t="e">
        <f t="shared" ca="1" si="89"/>
        <v>#NAME?</v>
      </c>
      <c r="K5560" s="274">
        <f t="shared" si="90"/>
        <v>0</v>
      </c>
      <c r="N5560" s="274"/>
    </row>
    <row r="5561" spans="5:14" ht="13.5" customHeight="1">
      <c r="E5561" s="209" t="s">
        <v>1514</v>
      </c>
      <c r="F5561" s="209" t="s">
        <v>3009</v>
      </c>
      <c r="G5561" s="414" t="str">
        <f t="shared" si="91"/>
        <v>11-26</v>
      </c>
      <c r="H5561" s="273" t="e">
        <f ca="1">_xludf.IFNA(VLOOKUP(E5561,'Urban Plastix Holds'!$I$37:$U$705,11,0),0)</f>
        <v>#NAME?</v>
      </c>
      <c r="I5561" s="274"/>
      <c r="J5561" s="274" t="e">
        <f t="shared" ca="1" si="89"/>
        <v>#NAME?</v>
      </c>
      <c r="K5561" s="274">
        <f t="shared" si="90"/>
        <v>0</v>
      </c>
      <c r="N5561" s="274"/>
    </row>
    <row r="5562" spans="5:14" ht="13.5" customHeight="1">
      <c r="E5562" s="209" t="s">
        <v>1514</v>
      </c>
      <c r="F5562" s="209" t="s">
        <v>3009</v>
      </c>
      <c r="G5562" s="415" t="str">
        <f t="shared" si="91"/>
        <v>18-01</v>
      </c>
      <c r="H5562" s="273" t="e">
        <f ca="1">_xludf.IFNA(VLOOKUP(E5562,'Urban Plastix Holds'!$I$37:$U$705,12,0),0)</f>
        <v>#NAME?</v>
      </c>
      <c r="I5562" s="274"/>
      <c r="J5562" s="274" t="e">
        <f t="shared" ca="1" si="89"/>
        <v>#NAME?</v>
      </c>
      <c r="K5562" s="274">
        <f t="shared" si="90"/>
        <v>0</v>
      </c>
      <c r="N5562" s="274"/>
    </row>
    <row r="5563" spans="5:14" ht="13.5" customHeight="1">
      <c r="E5563" s="209" t="s">
        <v>1514</v>
      </c>
      <c r="F5563" s="209" t="s">
        <v>3009</v>
      </c>
      <c r="G5563" s="416" t="str">
        <f t="shared" si="91"/>
        <v>Color Code</v>
      </c>
      <c r="H5563" s="273" t="e">
        <f ca="1">_xludf.IFNA(VLOOKUP(E5563,'Urban Plastix Holds'!$I$37:$U$705,13,0),0)</f>
        <v>#NAME?</v>
      </c>
      <c r="I5563" s="274"/>
      <c r="J5563" s="274" t="e">
        <f t="shared" ca="1" si="89"/>
        <v>#NAME?</v>
      </c>
      <c r="K5563" s="274">
        <f t="shared" si="90"/>
        <v>0</v>
      </c>
      <c r="N5563" s="274"/>
    </row>
    <row r="5564" spans="5:14" ht="13.5" customHeight="1">
      <c r="E5564" s="209" t="s">
        <v>3010</v>
      </c>
      <c r="F5564" s="209" t="s">
        <v>3011</v>
      </c>
      <c r="G5564" s="406" t="str">
        <f t="shared" si="91"/>
        <v>11-12</v>
      </c>
      <c r="H5564" s="273" t="e">
        <f ca="1">_xludf.IFNA(VLOOKUP(E5564,'Urban Plastix Holds'!$I$37:$U$705,5,0),0)</f>
        <v>#NAME?</v>
      </c>
      <c r="I5564" s="274"/>
      <c r="J5564" s="274" t="e">
        <f t="shared" ca="1" si="89"/>
        <v>#NAME?</v>
      </c>
      <c r="K5564" s="274">
        <f t="shared" si="90"/>
        <v>0</v>
      </c>
      <c r="N5564" s="274"/>
    </row>
    <row r="5565" spans="5:14" ht="13.5" customHeight="1">
      <c r="E5565" s="209" t="s">
        <v>3010</v>
      </c>
      <c r="F5565" s="209" t="s">
        <v>3011</v>
      </c>
      <c r="G5565" s="408" t="str">
        <f t="shared" si="91"/>
        <v>14-01</v>
      </c>
      <c r="H5565" s="273" t="e">
        <f ca="1">_xludf.IFNA(VLOOKUP(E5565,'Urban Plastix Holds'!$I$37:$U$705,6,0),0)</f>
        <v>#NAME?</v>
      </c>
      <c r="I5565" s="274"/>
      <c r="J5565" s="274" t="e">
        <f t="shared" ca="1" si="89"/>
        <v>#NAME?</v>
      </c>
      <c r="K5565" s="274">
        <f t="shared" si="90"/>
        <v>0</v>
      </c>
      <c r="N5565" s="274"/>
    </row>
    <row r="5566" spans="5:14" ht="13.5" customHeight="1">
      <c r="E5566" s="209" t="s">
        <v>3010</v>
      </c>
      <c r="F5566" s="209" t="s">
        <v>3011</v>
      </c>
      <c r="G5566" s="409" t="str">
        <f t="shared" si="91"/>
        <v>15-12</v>
      </c>
      <c r="H5566" s="273" t="e">
        <f ca="1">_xludf.IFNA(VLOOKUP(E5566,'Urban Plastix Holds'!$I$37:$U$705,7,0),0)</f>
        <v>#NAME?</v>
      </c>
      <c r="I5566" s="274"/>
      <c r="J5566" s="274" t="e">
        <f t="shared" ca="1" si="89"/>
        <v>#NAME?</v>
      </c>
      <c r="K5566" s="274">
        <f t="shared" si="90"/>
        <v>0</v>
      </c>
      <c r="N5566" s="274"/>
    </row>
    <row r="5567" spans="5:14" ht="13.5" customHeight="1">
      <c r="E5567" s="209" t="s">
        <v>3010</v>
      </c>
      <c r="F5567" s="209" t="s">
        <v>3011</v>
      </c>
      <c r="G5567" s="410" t="str">
        <f t="shared" si="91"/>
        <v>16-16</v>
      </c>
      <c r="H5567" s="273" t="e">
        <f ca="1">_xludf.IFNA(VLOOKUP(E5567,'Urban Plastix Holds'!$I$37:$U$705,8,0),0)</f>
        <v>#NAME?</v>
      </c>
      <c r="I5567" s="274"/>
      <c r="J5567" s="274" t="e">
        <f t="shared" ca="1" si="89"/>
        <v>#NAME?</v>
      </c>
      <c r="K5567" s="274">
        <f t="shared" si="90"/>
        <v>0</v>
      </c>
      <c r="N5567" s="274"/>
    </row>
    <row r="5568" spans="5:14" ht="13.5" customHeight="1">
      <c r="E5568" s="209" t="s">
        <v>3010</v>
      </c>
      <c r="F5568" s="209" t="s">
        <v>3011</v>
      </c>
      <c r="G5568" s="411" t="str">
        <f t="shared" si="91"/>
        <v>13-01</v>
      </c>
      <c r="H5568" s="273" t="e">
        <f ca="1">_xludf.IFNA(VLOOKUP(E5568,'Urban Plastix Holds'!$I$37:$U$705,9,0),0)</f>
        <v>#NAME?</v>
      </c>
      <c r="I5568" s="274"/>
      <c r="J5568" s="274" t="e">
        <f t="shared" ca="1" si="89"/>
        <v>#NAME?</v>
      </c>
      <c r="K5568" s="274">
        <f t="shared" si="90"/>
        <v>0</v>
      </c>
      <c r="N5568" s="274"/>
    </row>
    <row r="5569" spans="5:14" ht="13.5" customHeight="1">
      <c r="E5569" s="209" t="s">
        <v>3010</v>
      </c>
      <c r="F5569" s="209" t="s">
        <v>3011</v>
      </c>
      <c r="G5569" s="413" t="str">
        <f t="shared" si="91"/>
        <v>07-13</v>
      </c>
      <c r="H5569" s="273" t="e">
        <f ca="1">_xludf.IFNA(VLOOKUP(E5569,'Urban Plastix Holds'!$I$37:$U$705,10,0),0)</f>
        <v>#NAME?</v>
      </c>
      <c r="I5569" s="274"/>
      <c r="J5569" s="274" t="e">
        <f t="shared" ca="1" si="89"/>
        <v>#NAME?</v>
      </c>
      <c r="K5569" s="274">
        <f t="shared" si="90"/>
        <v>0</v>
      </c>
      <c r="N5569" s="274"/>
    </row>
    <row r="5570" spans="5:14" ht="13.5" customHeight="1">
      <c r="E5570" s="209" t="s">
        <v>3010</v>
      </c>
      <c r="F5570" s="209" t="s">
        <v>3011</v>
      </c>
      <c r="G5570" s="414" t="str">
        <f t="shared" si="91"/>
        <v>11-26</v>
      </c>
      <c r="H5570" s="273" t="e">
        <f ca="1">_xludf.IFNA(VLOOKUP(E5570,'Urban Plastix Holds'!$I$37:$U$705,11,0),0)</f>
        <v>#NAME?</v>
      </c>
      <c r="I5570" s="274"/>
      <c r="J5570" s="274" t="e">
        <f t="shared" ca="1" si="89"/>
        <v>#NAME?</v>
      </c>
      <c r="K5570" s="274">
        <f t="shared" si="90"/>
        <v>0</v>
      </c>
      <c r="N5570" s="274"/>
    </row>
    <row r="5571" spans="5:14" ht="13.5" customHeight="1">
      <c r="E5571" s="209" t="s">
        <v>3010</v>
      </c>
      <c r="F5571" s="209" t="s">
        <v>3011</v>
      </c>
      <c r="G5571" s="415" t="str">
        <f t="shared" si="91"/>
        <v>18-01</v>
      </c>
      <c r="H5571" s="273" t="e">
        <f ca="1">_xludf.IFNA(VLOOKUP(E5571,'Urban Plastix Holds'!$I$37:$U$705,12,0),0)</f>
        <v>#NAME?</v>
      </c>
      <c r="I5571" s="274"/>
      <c r="J5571" s="274" t="e">
        <f t="shared" ca="1" si="89"/>
        <v>#NAME?</v>
      </c>
      <c r="K5571" s="274">
        <f t="shared" si="90"/>
        <v>0</v>
      </c>
      <c r="N5571" s="274"/>
    </row>
    <row r="5572" spans="5:14" ht="13.5" customHeight="1">
      <c r="E5572" s="209" t="s">
        <v>3010</v>
      </c>
      <c r="F5572" s="209" t="s">
        <v>3011</v>
      </c>
      <c r="G5572" s="416" t="str">
        <f t="shared" si="91"/>
        <v>Color Code</v>
      </c>
      <c r="H5572" s="273" t="e">
        <f ca="1">_xludf.IFNA(VLOOKUP(E5572,'Urban Plastix Holds'!$I$37:$U$705,13,0),0)</f>
        <v>#NAME?</v>
      </c>
      <c r="I5572" s="274"/>
      <c r="J5572" s="274" t="e">
        <f t="shared" ca="1" si="89"/>
        <v>#NAME?</v>
      </c>
      <c r="K5572" s="274">
        <f t="shared" si="90"/>
        <v>0</v>
      </c>
      <c r="N5572" s="274"/>
    </row>
    <row r="5573" spans="5:14" ht="13.5" customHeight="1">
      <c r="E5573" s="209" t="s">
        <v>1766</v>
      </c>
      <c r="F5573" s="209" t="s">
        <v>3012</v>
      </c>
      <c r="G5573" s="406" t="str">
        <f t="shared" si="91"/>
        <v>11-12</v>
      </c>
      <c r="H5573" s="273" t="e">
        <f ca="1">_xludf.IFNA(VLOOKUP(E5573,'Urban Plastix Holds'!$I$37:$U$705,5,0),0)</f>
        <v>#NAME?</v>
      </c>
      <c r="I5573" s="274"/>
      <c r="J5573" s="274" t="e">
        <f t="shared" ca="1" si="89"/>
        <v>#NAME?</v>
      </c>
      <c r="K5573" s="274">
        <f t="shared" si="90"/>
        <v>0</v>
      </c>
      <c r="N5573" s="274"/>
    </row>
    <row r="5574" spans="5:14" ht="13.5" customHeight="1">
      <c r="E5574" s="209" t="s">
        <v>1766</v>
      </c>
      <c r="F5574" s="209" t="s">
        <v>3012</v>
      </c>
      <c r="G5574" s="408" t="str">
        <f t="shared" si="91"/>
        <v>14-01</v>
      </c>
      <c r="H5574" s="273" t="e">
        <f ca="1">_xludf.IFNA(VLOOKUP(E5574,'Urban Plastix Holds'!$I$37:$U$705,6,0),0)</f>
        <v>#NAME?</v>
      </c>
      <c r="I5574" s="274"/>
      <c r="J5574" s="274" t="e">
        <f t="shared" ca="1" si="89"/>
        <v>#NAME?</v>
      </c>
      <c r="K5574" s="274">
        <f t="shared" si="90"/>
        <v>0</v>
      </c>
      <c r="N5574" s="274"/>
    </row>
    <row r="5575" spans="5:14" ht="13.5" customHeight="1">
      <c r="E5575" s="209" t="s">
        <v>1766</v>
      </c>
      <c r="F5575" s="209" t="s">
        <v>3012</v>
      </c>
      <c r="G5575" s="409" t="str">
        <f t="shared" si="91"/>
        <v>15-12</v>
      </c>
      <c r="H5575" s="273" t="e">
        <f ca="1">_xludf.IFNA(VLOOKUP(E5575,'Urban Plastix Holds'!$I$37:$U$705,7,0),0)</f>
        <v>#NAME?</v>
      </c>
      <c r="I5575" s="274"/>
      <c r="J5575" s="274" t="e">
        <f t="shared" ca="1" si="89"/>
        <v>#NAME?</v>
      </c>
      <c r="K5575" s="274">
        <f t="shared" si="90"/>
        <v>0</v>
      </c>
      <c r="N5575" s="274"/>
    </row>
    <row r="5576" spans="5:14" ht="13.5" customHeight="1">
      <c r="E5576" s="209" t="s">
        <v>1766</v>
      </c>
      <c r="F5576" s="209" t="s">
        <v>3012</v>
      </c>
      <c r="G5576" s="410" t="str">
        <f t="shared" si="91"/>
        <v>16-16</v>
      </c>
      <c r="H5576" s="273" t="e">
        <f ca="1">_xludf.IFNA(VLOOKUP(E5576,'Urban Plastix Holds'!$I$37:$U$705,8,0),0)</f>
        <v>#NAME?</v>
      </c>
      <c r="I5576" s="274"/>
      <c r="J5576" s="274" t="e">
        <f t="shared" ca="1" si="89"/>
        <v>#NAME?</v>
      </c>
      <c r="K5576" s="274">
        <f t="shared" si="90"/>
        <v>0</v>
      </c>
      <c r="N5576" s="274"/>
    </row>
    <row r="5577" spans="5:14" ht="13.5" customHeight="1">
      <c r="E5577" s="209" t="s">
        <v>1766</v>
      </c>
      <c r="F5577" s="209" t="s">
        <v>3012</v>
      </c>
      <c r="G5577" s="411" t="str">
        <f t="shared" si="91"/>
        <v>13-01</v>
      </c>
      <c r="H5577" s="273" t="e">
        <f ca="1">_xludf.IFNA(VLOOKUP(E5577,'Urban Plastix Holds'!$I$37:$U$705,9,0),0)</f>
        <v>#NAME?</v>
      </c>
      <c r="I5577" s="274"/>
      <c r="J5577" s="274" t="e">
        <f t="shared" ca="1" si="89"/>
        <v>#NAME?</v>
      </c>
      <c r="K5577" s="274">
        <f t="shared" si="90"/>
        <v>0</v>
      </c>
      <c r="N5577" s="274"/>
    </row>
    <row r="5578" spans="5:14" ht="13.5" customHeight="1">
      <c r="E5578" s="209" t="s">
        <v>1766</v>
      </c>
      <c r="F5578" s="209" t="s">
        <v>3012</v>
      </c>
      <c r="G5578" s="413" t="str">
        <f t="shared" si="91"/>
        <v>07-13</v>
      </c>
      <c r="H5578" s="273" t="e">
        <f ca="1">_xludf.IFNA(VLOOKUP(E5578,'Urban Plastix Holds'!$I$37:$U$705,10,0),0)</f>
        <v>#NAME?</v>
      </c>
      <c r="I5578" s="274"/>
      <c r="J5578" s="274" t="e">
        <f t="shared" ca="1" si="89"/>
        <v>#NAME?</v>
      </c>
      <c r="K5578" s="274">
        <f t="shared" si="90"/>
        <v>0</v>
      </c>
      <c r="N5578" s="274"/>
    </row>
    <row r="5579" spans="5:14" ht="13.5" customHeight="1">
      <c r="E5579" s="209" t="s">
        <v>1766</v>
      </c>
      <c r="F5579" s="209" t="s">
        <v>3012</v>
      </c>
      <c r="G5579" s="414" t="str">
        <f t="shared" si="91"/>
        <v>11-26</v>
      </c>
      <c r="H5579" s="273" t="e">
        <f ca="1">_xludf.IFNA(VLOOKUP(E5579,'Urban Plastix Holds'!$I$37:$U$705,11,0),0)</f>
        <v>#NAME?</v>
      </c>
      <c r="I5579" s="274"/>
      <c r="J5579" s="274" t="e">
        <f t="shared" ca="1" si="89"/>
        <v>#NAME?</v>
      </c>
      <c r="K5579" s="274">
        <f t="shared" si="90"/>
        <v>0</v>
      </c>
      <c r="N5579" s="274"/>
    </row>
    <row r="5580" spans="5:14" ht="13.5" customHeight="1">
      <c r="E5580" s="209" t="s">
        <v>1766</v>
      </c>
      <c r="F5580" s="209" t="s">
        <v>3012</v>
      </c>
      <c r="G5580" s="415" t="str">
        <f t="shared" si="91"/>
        <v>18-01</v>
      </c>
      <c r="H5580" s="273" t="e">
        <f ca="1">_xludf.IFNA(VLOOKUP(E5580,'Urban Plastix Holds'!$I$37:$U$705,12,0),0)</f>
        <v>#NAME?</v>
      </c>
      <c r="I5580" s="274"/>
      <c r="J5580" s="274" t="e">
        <f t="shared" ca="1" si="89"/>
        <v>#NAME?</v>
      </c>
      <c r="K5580" s="274">
        <f t="shared" si="90"/>
        <v>0</v>
      </c>
      <c r="N5580" s="274"/>
    </row>
    <row r="5581" spans="5:14" ht="13.5" customHeight="1">
      <c r="E5581" s="209" t="s">
        <v>1766</v>
      </c>
      <c r="F5581" s="209" t="s">
        <v>3012</v>
      </c>
      <c r="G5581" s="416" t="str">
        <f t="shared" si="91"/>
        <v>Color Code</v>
      </c>
      <c r="H5581" s="273" t="e">
        <f ca="1">_xludf.IFNA(VLOOKUP(E5581,'Urban Plastix Holds'!$I$37:$U$705,13,0),0)</f>
        <v>#NAME?</v>
      </c>
      <c r="I5581" s="274"/>
      <c r="J5581" s="274" t="e">
        <f t="shared" ca="1" si="89"/>
        <v>#NAME?</v>
      </c>
      <c r="K5581" s="274">
        <f t="shared" si="90"/>
        <v>0</v>
      </c>
      <c r="N5581" s="274"/>
    </row>
    <row r="5582" spans="5:14" ht="13.5" customHeight="1">
      <c r="E5582" s="209" t="s">
        <v>1817</v>
      </c>
      <c r="F5582" s="209" t="s">
        <v>3013</v>
      </c>
      <c r="G5582" s="406" t="str">
        <f t="shared" si="91"/>
        <v>11-12</v>
      </c>
      <c r="H5582" s="273" t="e">
        <f ca="1">_xludf.IFNA(VLOOKUP(E5582,'Urban Plastix Holds'!$I$37:$U$705,5,0),0)</f>
        <v>#NAME?</v>
      </c>
      <c r="I5582" s="274"/>
      <c r="J5582" s="274" t="e">
        <f t="shared" ca="1" si="89"/>
        <v>#NAME?</v>
      </c>
      <c r="K5582" s="274">
        <f t="shared" si="90"/>
        <v>0</v>
      </c>
      <c r="N5582" s="274"/>
    </row>
    <row r="5583" spans="5:14" ht="13.5" customHeight="1">
      <c r="E5583" s="209" t="s">
        <v>1817</v>
      </c>
      <c r="F5583" s="209" t="s">
        <v>3013</v>
      </c>
      <c r="G5583" s="408" t="str">
        <f t="shared" si="91"/>
        <v>14-01</v>
      </c>
      <c r="H5583" s="273" t="e">
        <f ca="1">_xludf.IFNA(VLOOKUP(E5583,'Urban Plastix Holds'!$I$37:$U$705,6,0),0)</f>
        <v>#NAME?</v>
      </c>
      <c r="I5583" s="274"/>
      <c r="J5583" s="274" t="e">
        <f t="shared" ca="1" si="89"/>
        <v>#NAME?</v>
      </c>
      <c r="K5583" s="274">
        <f t="shared" si="90"/>
        <v>0</v>
      </c>
      <c r="N5583" s="274"/>
    </row>
    <row r="5584" spans="5:14" ht="13.5" customHeight="1">
      <c r="E5584" s="209" t="s">
        <v>1817</v>
      </c>
      <c r="F5584" s="209" t="s">
        <v>3013</v>
      </c>
      <c r="G5584" s="409" t="str">
        <f t="shared" si="91"/>
        <v>15-12</v>
      </c>
      <c r="H5584" s="273" t="e">
        <f ca="1">_xludf.IFNA(VLOOKUP(E5584,'Urban Plastix Holds'!$I$37:$U$705,7,0),0)</f>
        <v>#NAME?</v>
      </c>
      <c r="I5584" s="274"/>
      <c r="J5584" s="274" t="e">
        <f t="shared" ca="1" si="89"/>
        <v>#NAME?</v>
      </c>
      <c r="K5584" s="274">
        <f t="shared" si="90"/>
        <v>0</v>
      </c>
      <c r="N5584" s="274"/>
    </row>
    <row r="5585" spans="5:14" ht="13.5" customHeight="1">
      <c r="E5585" s="209" t="s">
        <v>1817</v>
      </c>
      <c r="F5585" s="209" t="s">
        <v>3013</v>
      </c>
      <c r="G5585" s="410" t="str">
        <f t="shared" si="91"/>
        <v>16-16</v>
      </c>
      <c r="H5585" s="273" t="e">
        <f ca="1">_xludf.IFNA(VLOOKUP(E5585,'Urban Plastix Holds'!$I$37:$U$705,8,0),0)</f>
        <v>#NAME?</v>
      </c>
      <c r="I5585" s="274"/>
      <c r="J5585" s="274" t="e">
        <f t="shared" ca="1" si="89"/>
        <v>#NAME?</v>
      </c>
      <c r="K5585" s="274">
        <f t="shared" si="90"/>
        <v>0</v>
      </c>
      <c r="N5585" s="274"/>
    </row>
    <row r="5586" spans="5:14" ht="13.5" customHeight="1">
      <c r="E5586" s="209" t="s">
        <v>1817</v>
      </c>
      <c r="F5586" s="209" t="s">
        <v>3013</v>
      </c>
      <c r="G5586" s="411" t="str">
        <f t="shared" si="91"/>
        <v>13-01</v>
      </c>
      <c r="H5586" s="273" t="e">
        <f ca="1">_xludf.IFNA(VLOOKUP(E5586,'Urban Plastix Holds'!$I$37:$U$705,9,0),0)</f>
        <v>#NAME?</v>
      </c>
      <c r="I5586" s="274"/>
      <c r="J5586" s="274" t="e">
        <f t="shared" ca="1" si="89"/>
        <v>#NAME?</v>
      </c>
      <c r="K5586" s="274">
        <f t="shared" si="90"/>
        <v>0</v>
      </c>
      <c r="N5586" s="274"/>
    </row>
    <row r="5587" spans="5:14" ht="13.5" customHeight="1">
      <c r="E5587" s="209" t="s">
        <v>1817</v>
      </c>
      <c r="F5587" s="209" t="s">
        <v>3013</v>
      </c>
      <c r="G5587" s="413" t="str">
        <f t="shared" si="91"/>
        <v>07-13</v>
      </c>
      <c r="H5587" s="273" t="e">
        <f ca="1">_xludf.IFNA(VLOOKUP(E5587,'Urban Plastix Holds'!$I$37:$U$705,10,0),0)</f>
        <v>#NAME?</v>
      </c>
      <c r="I5587" s="274"/>
      <c r="J5587" s="274" t="e">
        <f t="shared" ca="1" si="89"/>
        <v>#NAME?</v>
      </c>
      <c r="K5587" s="274">
        <f t="shared" si="90"/>
        <v>0</v>
      </c>
      <c r="N5587" s="274"/>
    </row>
    <row r="5588" spans="5:14" ht="13.5" customHeight="1">
      <c r="E5588" s="209" t="s">
        <v>1817</v>
      </c>
      <c r="F5588" s="209" t="s">
        <v>3013</v>
      </c>
      <c r="G5588" s="414" t="str">
        <f t="shared" si="91"/>
        <v>11-26</v>
      </c>
      <c r="H5588" s="273" t="e">
        <f ca="1">_xludf.IFNA(VLOOKUP(E5588,'Urban Plastix Holds'!$I$37:$U$705,11,0),0)</f>
        <v>#NAME?</v>
      </c>
      <c r="I5588" s="274"/>
      <c r="J5588" s="274" t="e">
        <f t="shared" ca="1" si="89"/>
        <v>#NAME?</v>
      </c>
      <c r="K5588" s="274">
        <f t="shared" si="90"/>
        <v>0</v>
      </c>
      <c r="N5588" s="274"/>
    </row>
    <row r="5589" spans="5:14" ht="13.5" customHeight="1">
      <c r="E5589" s="209" t="s">
        <v>1817</v>
      </c>
      <c r="F5589" s="209" t="s">
        <v>3013</v>
      </c>
      <c r="G5589" s="415" t="str">
        <f t="shared" si="91"/>
        <v>18-01</v>
      </c>
      <c r="H5589" s="273" t="e">
        <f ca="1">_xludf.IFNA(VLOOKUP(E5589,'Urban Plastix Holds'!$I$37:$U$705,12,0),0)</f>
        <v>#NAME?</v>
      </c>
      <c r="I5589" s="274"/>
      <c r="J5589" s="274" t="e">
        <f t="shared" ca="1" si="89"/>
        <v>#NAME?</v>
      </c>
      <c r="K5589" s="274">
        <f t="shared" si="90"/>
        <v>0</v>
      </c>
      <c r="N5589" s="274"/>
    </row>
    <row r="5590" spans="5:14" ht="13.5" customHeight="1">
      <c r="E5590" s="209" t="s">
        <v>1817</v>
      </c>
      <c r="F5590" s="209" t="s">
        <v>3013</v>
      </c>
      <c r="G5590" s="416" t="str">
        <f t="shared" si="91"/>
        <v>Color Code</v>
      </c>
      <c r="H5590" s="273" t="e">
        <f ca="1">_xludf.IFNA(VLOOKUP(E5590,'Urban Plastix Holds'!$I$37:$U$705,13,0),0)</f>
        <v>#NAME?</v>
      </c>
      <c r="I5590" s="274"/>
      <c r="J5590" s="274" t="e">
        <f t="shared" ca="1" si="89"/>
        <v>#NAME?</v>
      </c>
      <c r="K5590" s="274">
        <f t="shared" si="90"/>
        <v>0</v>
      </c>
      <c r="N5590" s="274"/>
    </row>
    <row r="5591" spans="5:14" ht="13.5" customHeight="1">
      <c r="E5591" s="209" t="s">
        <v>1644</v>
      </c>
      <c r="F5591" s="209" t="s">
        <v>3014</v>
      </c>
      <c r="G5591" s="406" t="str">
        <f t="shared" si="91"/>
        <v>11-12</v>
      </c>
      <c r="H5591" s="273" t="e">
        <f ca="1">_xludf.IFNA(VLOOKUP(E5591,'Urban Plastix Holds'!$I$37:$U$705,5,0),0)</f>
        <v>#NAME?</v>
      </c>
      <c r="I5591" s="274"/>
      <c r="J5591" s="274" t="e">
        <f t="shared" ca="1" si="89"/>
        <v>#NAME?</v>
      </c>
      <c r="K5591" s="274">
        <f t="shared" si="90"/>
        <v>0</v>
      </c>
      <c r="N5591" s="274"/>
    </row>
    <row r="5592" spans="5:14" ht="13.5" customHeight="1">
      <c r="E5592" s="209" t="s">
        <v>1644</v>
      </c>
      <c r="F5592" s="209" t="s">
        <v>3014</v>
      </c>
      <c r="G5592" s="408" t="str">
        <f t="shared" si="91"/>
        <v>14-01</v>
      </c>
      <c r="H5592" s="273" t="e">
        <f ca="1">_xludf.IFNA(VLOOKUP(E5592,'Urban Plastix Holds'!$I$37:$U$705,6,0),0)</f>
        <v>#NAME?</v>
      </c>
      <c r="I5592" s="274"/>
      <c r="J5592" s="274" t="e">
        <f t="shared" ca="1" si="89"/>
        <v>#NAME?</v>
      </c>
      <c r="K5592" s="274">
        <f t="shared" si="90"/>
        <v>0</v>
      </c>
      <c r="N5592" s="274"/>
    </row>
    <row r="5593" spans="5:14" ht="13.5" customHeight="1">
      <c r="E5593" s="209" t="s">
        <v>1644</v>
      </c>
      <c r="F5593" s="209" t="s">
        <v>3014</v>
      </c>
      <c r="G5593" s="409" t="str">
        <f t="shared" si="91"/>
        <v>15-12</v>
      </c>
      <c r="H5593" s="273" t="e">
        <f ca="1">_xludf.IFNA(VLOOKUP(E5593,'Urban Plastix Holds'!$I$37:$U$705,7,0),0)</f>
        <v>#NAME?</v>
      </c>
      <c r="I5593" s="274"/>
      <c r="J5593" s="274" t="e">
        <f t="shared" ca="1" si="89"/>
        <v>#NAME?</v>
      </c>
      <c r="K5593" s="274">
        <f t="shared" si="90"/>
        <v>0</v>
      </c>
      <c r="N5593" s="274"/>
    </row>
    <row r="5594" spans="5:14" ht="13.5" customHeight="1">
      <c r="E5594" s="209" t="s">
        <v>1644</v>
      </c>
      <c r="F5594" s="209" t="s">
        <v>3014</v>
      </c>
      <c r="G5594" s="410" t="str">
        <f t="shared" si="91"/>
        <v>16-16</v>
      </c>
      <c r="H5594" s="273" t="e">
        <f ca="1">_xludf.IFNA(VLOOKUP(E5594,'Urban Plastix Holds'!$I$37:$U$705,8,0),0)</f>
        <v>#NAME?</v>
      </c>
      <c r="I5594" s="274"/>
      <c r="J5594" s="274" t="e">
        <f t="shared" ca="1" si="89"/>
        <v>#NAME?</v>
      </c>
      <c r="K5594" s="274">
        <f t="shared" si="90"/>
        <v>0</v>
      </c>
      <c r="N5594" s="274"/>
    </row>
    <row r="5595" spans="5:14" ht="13.5" customHeight="1">
      <c r="E5595" s="209" t="s">
        <v>1644</v>
      </c>
      <c r="F5595" s="209" t="s">
        <v>3014</v>
      </c>
      <c r="G5595" s="411" t="str">
        <f t="shared" si="91"/>
        <v>13-01</v>
      </c>
      <c r="H5595" s="273" t="e">
        <f ca="1">_xludf.IFNA(VLOOKUP(E5595,'Urban Plastix Holds'!$I$37:$U$705,9,0),0)</f>
        <v>#NAME?</v>
      </c>
      <c r="I5595" s="274"/>
      <c r="J5595" s="274" t="e">
        <f t="shared" ca="1" si="89"/>
        <v>#NAME?</v>
      </c>
      <c r="K5595" s="274">
        <f t="shared" si="90"/>
        <v>0</v>
      </c>
      <c r="N5595" s="274"/>
    </row>
    <row r="5596" spans="5:14" ht="13.5" customHeight="1">
      <c r="E5596" s="209" t="s">
        <v>1644</v>
      </c>
      <c r="F5596" s="209" t="s">
        <v>3014</v>
      </c>
      <c r="G5596" s="413" t="str">
        <f t="shared" si="91"/>
        <v>07-13</v>
      </c>
      <c r="H5596" s="273" t="e">
        <f ca="1">_xludf.IFNA(VLOOKUP(E5596,'Urban Plastix Holds'!$I$37:$U$705,10,0),0)</f>
        <v>#NAME?</v>
      </c>
      <c r="I5596" s="274"/>
      <c r="J5596" s="274" t="e">
        <f t="shared" ca="1" si="89"/>
        <v>#NAME?</v>
      </c>
      <c r="K5596" s="274">
        <f t="shared" si="90"/>
        <v>0</v>
      </c>
      <c r="N5596" s="274"/>
    </row>
    <row r="5597" spans="5:14" ht="13.5" customHeight="1">
      <c r="E5597" s="209" t="s">
        <v>1644</v>
      </c>
      <c r="F5597" s="209" t="s">
        <v>3014</v>
      </c>
      <c r="G5597" s="414" t="str">
        <f t="shared" si="91"/>
        <v>11-26</v>
      </c>
      <c r="H5597" s="273" t="e">
        <f ca="1">_xludf.IFNA(VLOOKUP(E5597,'Urban Plastix Holds'!$I$37:$U$705,11,0),0)</f>
        <v>#NAME?</v>
      </c>
      <c r="I5597" s="274"/>
      <c r="J5597" s="274" t="e">
        <f t="shared" ca="1" si="89"/>
        <v>#NAME?</v>
      </c>
      <c r="K5597" s="274">
        <f t="shared" si="90"/>
        <v>0</v>
      </c>
      <c r="N5597" s="274"/>
    </row>
    <row r="5598" spans="5:14" ht="13.5" customHeight="1">
      <c r="E5598" s="209" t="s">
        <v>1644</v>
      </c>
      <c r="F5598" s="209" t="s">
        <v>3014</v>
      </c>
      <c r="G5598" s="415" t="str">
        <f t="shared" si="91"/>
        <v>18-01</v>
      </c>
      <c r="H5598" s="273" t="e">
        <f ca="1">_xludf.IFNA(VLOOKUP(E5598,'Urban Plastix Holds'!$I$37:$U$705,12,0),0)</f>
        <v>#NAME?</v>
      </c>
      <c r="I5598" s="274"/>
      <c r="J5598" s="274" t="e">
        <f t="shared" ca="1" si="89"/>
        <v>#NAME?</v>
      </c>
      <c r="K5598" s="274">
        <f t="shared" si="90"/>
        <v>0</v>
      </c>
      <c r="N5598" s="274"/>
    </row>
    <row r="5599" spans="5:14" ht="13.5" customHeight="1">
      <c r="E5599" s="209" t="s">
        <v>1644</v>
      </c>
      <c r="F5599" s="209" t="s">
        <v>3014</v>
      </c>
      <c r="G5599" s="416" t="str">
        <f t="shared" si="91"/>
        <v>Color Code</v>
      </c>
      <c r="H5599" s="273" t="e">
        <f ca="1">_xludf.IFNA(VLOOKUP(E5599,'Urban Plastix Holds'!$I$37:$U$705,13,0),0)</f>
        <v>#NAME?</v>
      </c>
      <c r="I5599" s="274"/>
      <c r="J5599" s="274" t="e">
        <f t="shared" ca="1" si="89"/>
        <v>#NAME?</v>
      </c>
      <c r="K5599" s="274">
        <f t="shared" si="90"/>
        <v>0</v>
      </c>
      <c r="N5599" s="274"/>
    </row>
    <row r="5600" spans="5:14" ht="13.5" customHeight="1">
      <c r="E5600" s="209" t="s">
        <v>1770</v>
      </c>
      <c r="F5600" s="209" t="s">
        <v>3015</v>
      </c>
      <c r="G5600" s="406" t="str">
        <f t="shared" si="91"/>
        <v>11-12</v>
      </c>
      <c r="H5600" s="273" t="e">
        <f ca="1">_xludf.IFNA(VLOOKUP(E5600,'Urban Plastix Holds'!$I$37:$U$705,5,0),0)</f>
        <v>#NAME?</v>
      </c>
      <c r="I5600" s="274"/>
      <c r="J5600" s="274" t="e">
        <f t="shared" ca="1" si="89"/>
        <v>#NAME?</v>
      </c>
      <c r="K5600" s="274">
        <f t="shared" si="90"/>
        <v>0</v>
      </c>
      <c r="N5600" s="274"/>
    </row>
    <row r="5601" spans="5:14" ht="13.5" customHeight="1">
      <c r="E5601" s="209" t="s">
        <v>1770</v>
      </c>
      <c r="F5601" s="209" t="s">
        <v>3015</v>
      </c>
      <c r="G5601" s="408" t="str">
        <f t="shared" si="91"/>
        <v>14-01</v>
      </c>
      <c r="H5601" s="273" t="e">
        <f ca="1">_xludf.IFNA(VLOOKUP(E5601,'Urban Plastix Holds'!$I$37:$U$705,6,0),0)</f>
        <v>#NAME?</v>
      </c>
      <c r="I5601" s="274"/>
      <c r="J5601" s="274" t="e">
        <f t="shared" ca="1" si="89"/>
        <v>#NAME?</v>
      </c>
      <c r="K5601" s="274">
        <f t="shared" si="90"/>
        <v>0</v>
      </c>
      <c r="N5601" s="274"/>
    </row>
    <row r="5602" spans="5:14" ht="13.5" customHeight="1">
      <c r="E5602" s="209" t="s">
        <v>1770</v>
      </c>
      <c r="F5602" s="209" t="s">
        <v>3015</v>
      </c>
      <c r="G5602" s="409" t="str">
        <f t="shared" si="91"/>
        <v>15-12</v>
      </c>
      <c r="H5602" s="273" t="e">
        <f ca="1">_xludf.IFNA(VLOOKUP(E5602,'Urban Plastix Holds'!$I$37:$U$705,7,0),0)</f>
        <v>#NAME?</v>
      </c>
      <c r="I5602" s="274"/>
      <c r="J5602" s="274" t="e">
        <f t="shared" ca="1" si="89"/>
        <v>#NAME?</v>
      </c>
      <c r="K5602" s="274">
        <f t="shared" si="90"/>
        <v>0</v>
      </c>
      <c r="N5602" s="274"/>
    </row>
    <row r="5603" spans="5:14" ht="13.5" customHeight="1">
      <c r="E5603" s="209" t="s">
        <v>1770</v>
      </c>
      <c r="F5603" s="209" t="s">
        <v>3015</v>
      </c>
      <c r="G5603" s="410" t="str">
        <f t="shared" si="91"/>
        <v>16-16</v>
      </c>
      <c r="H5603" s="273" t="e">
        <f ca="1">_xludf.IFNA(VLOOKUP(E5603,'Urban Plastix Holds'!$I$37:$U$705,8,0),0)</f>
        <v>#NAME?</v>
      </c>
      <c r="I5603" s="274"/>
      <c r="J5603" s="274" t="e">
        <f t="shared" ca="1" si="89"/>
        <v>#NAME?</v>
      </c>
      <c r="K5603" s="274">
        <f t="shared" si="90"/>
        <v>0</v>
      </c>
      <c r="N5603" s="274"/>
    </row>
    <row r="5604" spans="5:14" ht="13.5" customHeight="1">
      <c r="E5604" s="209" t="s">
        <v>1770</v>
      </c>
      <c r="F5604" s="209" t="s">
        <v>3015</v>
      </c>
      <c r="G5604" s="411" t="str">
        <f t="shared" si="91"/>
        <v>13-01</v>
      </c>
      <c r="H5604" s="273" t="e">
        <f ca="1">_xludf.IFNA(VLOOKUP(E5604,'Urban Plastix Holds'!$I$37:$U$705,9,0),0)</f>
        <v>#NAME?</v>
      </c>
      <c r="I5604" s="274"/>
      <c r="J5604" s="274" t="e">
        <f t="shared" ca="1" si="89"/>
        <v>#NAME?</v>
      </c>
      <c r="K5604" s="274">
        <f t="shared" si="90"/>
        <v>0</v>
      </c>
      <c r="N5604" s="274"/>
    </row>
    <row r="5605" spans="5:14" ht="13.5" customHeight="1">
      <c r="E5605" s="209" t="s">
        <v>1770</v>
      </c>
      <c r="F5605" s="209" t="s">
        <v>3015</v>
      </c>
      <c r="G5605" s="413" t="str">
        <f t="shared" si="91"/>
        <v>07-13</v>
      </c>
      <c r="H5605" s="273" t="e">
        <f ca="1">_xludf.IFNA(VLOOKUP(E5605,'Urban Plastix Holds'!$I$37:$U$705,10,0),0)</f>
        <v>#NAME?</v>
      </c>
      <c r="I5605" s="274"/>
      <c r="J5605" s="274" t="e">
        <f t="shared" ca="1" si="89"/>
        <v>#NAME?</v>
      </c>
      <c r="K5605" s="274">
        <f t="shared" si="90"/>
        <v>0</v>
      </c>
      <c r="N5605" s="274"/>
    </row>
    <row r="5606" spans="5:14" ht="13.5" customHeight="1">
      <c r="E5606" s="209" t="s">
        <v>1770</v>
      </c>
      <c r="F5606" s="209" t="s">
        <v>3015</v>
      </c>
      <c r="G5606" s="414" t="str">
        <f t="shared" si="91"/>
        <v>11-26</v>
      </c>
      <c r="H5606" s="273" t="e">
        <f ca="1">_xludf.IFNA(VLOOKUP(E5606,'Urban Plastix Holds'!$I$37:$U$705,11,0),0)</f>
        <v>#NAME?</v>
      </c>
      <c r="I5606" s="274"/>
      <c r="J5606" s="274" t="e">
        <f t="shared" ca="1" si="89"/>
        <v>#NAME?</v>
      </c>
      <c r="K5606" s="274">
        <f t="shared" si="90"/>
        <v>0</v>
      </c>
      <c r="N5606" s="274"/>
    </row>
    <row r="5607" spans="5:14" ht="13.5" customHeight="1">
      <c r="E5607" s="209" t="s">
        <v>1770</v>
      </c>
      <c r="F5607" s="209" t="s">
        <v>3015</v>
      </c>
      <c r="G5607" s="415" t="str">
        <f t="shared" si="91"/>
        <v>18-01</v>
      </c>
      <c r="H5607" s="273" t="e">
        <f ca="1">_xludf.IFNA(VLOOKUP(E5607,'Urban Plastix Holds'!$I$37:$U$705,12,0),0)</f>
        <v>#NAME?</v>
      </c>
      <c r="I5607" s="274"/>
      <c r="J5607" s="274" t="e">
        <f t="shared" ca="1" si="89"/>
        <v>#NAME?</v>
      </c>
      <c r="K5607" s="274">
        <f t="shared" si="90"/>
        <v>0</v>
      </c>
      <c r="N5607" s="274"/>
    </row>
    <row r="5608" spans="5:14" ht="13.5" customHeight="1">
      <c r="E5608" s="209" t="s">
        <v>1770</v>
      </c>
      <c r="F5608" s="209" t="s">
        <v>3015</v>
      </c>
      <c r="G5608" s="416" t="str">
        <f t="shared" si="91"/>
        <v>Color Code</v>
      </c>
      <c r="H5608" s="273" t="e">
        <f ca="1">_xludf.IFNA(VLOOKUP(E5608,'Urban Plastix Holds'!$I$37:$U$705,13,0),0)</f>
        <v>#NAME?</v>
      </c>
      <c r="I5608" s="274"/>
      <c r="J5608" s="274" t="e">
        <f t="shared" ca="1" si="89"/>
        <v>#NAME?</v>
      </c>
      <c r="K5608" s="274">
        <f t="shared" si="90"/>
        <v>0</v>
      </c>
      <c r="N5608" s="274"/>
    </row>
    <row r="5609" spans="5:14" ht="13.5" customHeight="1">
      <c r="E5609" s="209" t="s">
        <v>1680</v>
      </c>
      <c r="F5609" s="209" t="s">
        <v>3016</v>
      </c>
      <c r="G5609" s="406" t="str">
        <f t="shared" si="91"/>
        <v>11-12</v>
      </c>
      <c r="H5609" s="273" t="e">
        <f ca="1">_xludf.IFNA(VLOOKUP(E5609,'Urban Plastix Holds'!$I$37:$U$705,5,0),0)</f>
        <v>#NAME?</v>
      </c>
      <c r="I5609" s="274"/>
      <c r="J5609" s="274" t="e">
        <f t="shared" ca="1" si="89"/>
        <v>#NAME?</v>
      </c>
      <c r="K5609" s="274">
        <f t="shared" si="90"/>
        <v>0</v>
      </c>
      <c r="N5609" s="274"/>
    </row>
    <row r="5610" spans="5:14" ht="13.5" customHeight="1">
      <c r="E5610" s="209" t="s">
        <v>1680</v>
      </c>
      <c r="F5610" s="209" t="s">
        <v>3016</v>
      </c>
      <c r="G5610" s="408" t="str">
        <f t="shared" si="91"/>
        <v>14-01</v>
      </c>
      <c r="H5610" s="273" t="e">
        <f ca="1">_xludf.IFNA(VLOOKUP(E5610,'Urban Plastix Holds'!$I$37:$U$705,6,0),0)</f>
        <v>#NAME?</v>
      </c>
      <c r="I5610" s="274"/>
      <c r="J5610" s="274" t="e">
        <f t="shared" ca="1" si="89"/>
        <v>#NAME?</v>
      </c>
      <c r="K5610" s="274">
        <f t="shared" si="90"/>
        <v>0</v>
      </c>
      <c r="N5610" s="274"/>
    </row>
    <row r="5611" spans="5:14" ht="13.5" customHeight="1">
      <c r="E5611" s="209" t="s">
        <v>1680</v>
      </c>
      <c r="F5611" s="209" t="s">
        <v>3016</v>
      </c>
      <c r="G5611" s="409" t="str">
        <f t="shared" si="91"/>
        <v>15-12</v>
      </c>
      <c r="H5611" s="273" t="e">
        <f ca="1">_xludf.IFNA(VLOOKUP(E5611,'Urban Plastix Holds'!$I$37:$U$705,7,0),0)</f>
        <v>#NAME?</v>
      </c>
      <c r="I5611" s="274"/>
      <c r="J5611" s="274" t="e">
        <f t="shared" ca="1" si="89"/>
        <v>#NAME?</v>
      </c>
      <c r="K5611" s="274">
        <f t="shared" si="90"/>
        <v>0</v>
      </c>
      <c r="N5611" s="274"/>
    </row>
    <row r="5612" spans="5:14" ht="13.5" customHeight="1">
      <c r="E5612" s="209" t="s">
        <v>1680</v>
      </c>
      <c r="F5612" s="209" t="s">
        <v>3016</v>
      </c>
      <c r="G5612" s="410" t="str">
        <f t="shared" si="91"/>
        <v>16-16</v>
      </c>
      <c r="H5612" s="273" t="e">
        <f ca="1">_xludf.IFNA(VLOOKUP(E5612,'Urban Plastix Holds'!$I$37:$U$705,8,0),0)</f>
        <v>#NAME?</v>
      </c>
      <c r="I5612" s="274"/>
      <c r="J5612" s="274" t="e">
        <f t="shared" ref="J5612:J5866" ca="1" si="92">H5612*I5612</f>
        <v>#NAME?</v>
      </c>
      <c r="K5612" s="274">
        <f t="shared" ref="K5612:K5866" si="93">IF($V$11="Y",J5612*0.05,0)</f>
        <v>0</v>
      </c>
      <c r="N5612" s="274"/>
    </row>
    <row r="5613" spans="5:14" ht="13.5" customHeight="1">
      <c r="E5613" s="209" t="s">
        <v>1680</v>
      </c>
      <c r="F5613" s="209" t="s">
        <v>3016</v>
      </c>
      <c r="G5613" s="411" t="str">
        <f t="shared" si="91"/>
        <v>13-01</v>
      </c>
      <c r="H5613" s="273" t="e">
        <f ca="1">_xludf.IFNA(VLOOKUP(E5613,'Urban Plastix Holds'!$I$37:$U$705,9,0),0)</f>
        <v>#NAME?</v>
      </c>
      <c r="I5613" s="274"/>
      <c r="J5613" s="274" t="e">
        <f t="shared" ca="1" si="92"/>
        <v>#NAME?</v>
      </c>
      <c r="K5613" s="274">
        <f t="shared" si="93"/>
        <v>0</v>
      </c>
      <c r="N5613" s="274"/>
    </row>
    <row r="5614" spans="5:14" ht="13.5" customHeight="1">
      <c r="E5614" s="209" t="s">
        <v>1680</v>
      </c>
      <c r="F5614" s="209" t="s">
        <v>3016</v>
      </c>
      <c r="G5614" s="413" t="str">
        <f t="shared" si="91"/>
        <v>07-13</v>
      </c>
      <c r="H5614" s="273" t="e">
        <f ca="1">_xludf.IFNA(VLOOKUP(E5614,'Urban Plastix Holds'!$I$37:$U$705,10,0),0)</f>
        <v>#NAME?</v>
      </c>
      <c r="I5614" s="274"/>
      <c r="J5614" s="274" t="e">
        <f t="shared" ca="1" si="92"/>
        <v>#NAME?</v>
      </c>
      <c r="K5614" s="274">
        <f t="shared" si="93"/>
        <v>0</v>
      </c>
      <c r="N5614" s="274"/>
    </row>
    <row r="5615" spans="5:14" ht="13.5" customHeight="1">
      <c r="E5615" s="209" t="s">
        <v>1680</v>
      </c>
      <c r="F5615" s="209" t="s">
        <v>3016</v>
      </c>
      <c r="G5615" s="414" t="str">
        <f t="shared" si="91"/>
        <v>11-26</v>
      </c>
      <c r="H5615" s="273" t="e">
        <f ca="1">_xludf.IFNA(VLOOKUP(E5615,'Urban Plastix Holds'!$I$37:$U$705,11,0),0)</f>
        <v>#NAME?</v>
      </c>
      <c r="I5615" s="274"/>
      <c r="J5615" s="274" t="e">
        <f t="shared" ca="1" si="92"/>
        <v>#NAME?</v>
      </c>
      <c r="K5615" s="274">
        <f t="shared" si="93"/>
        <v>0</v>
      </c>
      <c r="N5615" s="274"/>
    </row>
    <row r="5616" spans="5:14" ht="13.5" customHeight="1">
      <c r="E5616" s="209" t="s">
        <v>1680</v>
      </c>
      <c r="F5616" s="209" t="s">
        <v>3016</v>
      </c>
      <c r="G5616" s="415" t="str">
        <f t="shared" si="91"/>
        <v>18-01</v>
      </c>
      <c r="H5616" s="273" t="e">
        <f ca="1">_xludf.IFNA(VLOOKUP(E5616,'Urban Plastix Holds'!$I$37:$U$705,12,0),0)</f>
        <v>#NAME?</v>
      </c>
      <c r="I5616" s="274"/>
      <c r="J5616" s="274" t="e">
        <f t="shared" ca="1" si="92"/>
        <v>#NAME?</v>
      </c>
      <c r="K5616" s="274">
        <f t="shared" si="93"/>
        <v>0</v>
      </c>
      <c r="N5616" s="274"/>
    </row>
    <row r="5617" spans="5:14" ht="13.5" customHeight="1">
      <c r="E5617" s="209" t="s">
        <v>1680</v>
      </c>
      <c r="F5617" s="209" t="s">
        <v>3016</v>
      </c>
      <c r="G5617" s="416" t="str">
        <f t="shared" si="91"/>
        <v>Color Code</v>
      </c>
      <c r="H5617" s="273" t="e">
        <f ca="1">_xludf.IFNA(VLOOKUP(E5617,'Urban Plastix Holds'!$I$37:$U$705,13,0),0)</f>
        <v>#NAME?</v>
      </c>
      <c r="I5617" s="274"/>
      <c r="J5617" s="274" t="e">
        <f t="shared" ca="1" si="92"/>
        <v>#NAME?</v>
      </c>
      <c r="K5617" s="274">
        <f t="shared" si="93"/>
        <v>0</v>
      </c>
      <c r="N5617" s="274"/>
    </row>
    <row r="5618" spans="5:14" ht="13.5" customHeight="1">
      <c r="E5618" s="209" t="s">
        <v>1381</v>
      </c>
      <c r="F5618" s="209" t="s">
        <v>3017</v>
      </c>
      <c r="G5618" s="406" t="str">
        <f t="shared" si="91"/>
        <v>11-12</v>
      </c>
      <c r="H5618" s="273" t="e">
        <f ca="1">_xludf.IFNA(VLOOKUP(E5618,'Urban Plastix Holds'!$I$37:$U$705,5,0),0)</f>
        <v>#NAME?</v>
      </c>
      <c r="I5618" s="274"/>
      <c r="J5618" s="274" t="e">
        <f t="shared" ca="1" si="92"/>
        <v>#NAME?</v>
      </c>
      <c r="K5618" s="274">
        <f t="shared" si="93"/>
        <v>0</v>
      </c>
      <c r="N5618" s="274"/>
    </row>
    <row r="5619" spans="5:14" ht="13.5" customHeight="1">
      <c r="E5619" s="209" t="s">
        <v>1381</v>
      </c>
      <c r="F5619" s="209" t="s">
        <v>3017</v>
      </c>
      <c r="G5619" s="408" t="str">
        <f t="shared" si="91"/>
        <v>14-01</v>
      </c>
      <c r="H5619" s="273" t="e">
        <f ca="1">_xludf.IFNA(VLOOKUP(E5619,'Urban Plastix Holds'!$I$37:$U$705,6,0),0)</f>
        <v>#NAME?</v>
      </c>
      <c r="I5619" s="274"/>
      <c r="J5619" s="274" t="e">
        <f t="shared" ca="1" si="92"/>
        <v>#NAME?</v>
      </c>
      <c r="K5619" s="274">
        <f t="shared" si="93"/>
        <v>0</v>
      </c>
      <c r="N5619" s="274"/>
    </row>
    <row r="5620" spans="5:14" ht="13.5" customHeight="1">
      <c r="E5620" s="209" t="s">
        <v>1381</v>
      </c>
      <c r="F5620" s="209" t="s">
        <v>3017</v>
      </c>
      <c r="G5620" s="409" t="str">
        <f t="shared" si="91"/>
        <v>15-12</v>
      </c>
      <c r="H5620" s="273" t="e">
        <f ca="1">_xludf.IFNA(VLOOKUP(E5620,'Urban Plastix Holds'!$I$37:$U$705,7,0),0)</f>
        <v>#NAME?</v>
      </c>
      <c r="I5620" s="274"/>
      <c r="J5620" s="274" t="e">
        <f t="shared" ca="1" si="92"/>
        <v>#NAME?</v>
      </c>
      <c r="K5620" s="274">
        <f t="shared" si="93"/>
        <v>0</v>
      </c>
      <c r="N5620" s="274"/>
    </row>
    <row r="5621" spans="5:14" ht="13.5" customHeight="1">
      <c r="E5621" s="209" t="s">
        <v>1381</v>
      </c>
      <c r="F5621" s="209" t="s">
        <v>3017</v>
      </c>
      <c r="G5621" s="410" t="str">
        <f t="shared" si="91"/>
        <v>16-16</v>
      </c>
      <c r="H5621" s="273" t="e">
        <f ca="1">_xludf.IFNA(VLOOKUP(E5621,'Urban Plastix Holds'!$I$37:$U$705,8,0),0)</f>
        <v>#NAME?</v>
      </c>
      <c r="I5621" s="274"/>
      <c r="J5621" s="274" t="e">
        <f t="shared" ca="1" si="92"/>
        <v>#NAME?</v>
      </c>
      <c r="K5621" s="274">
        <f t="shared" si="93"/>
        <v>0</v>
      </c>
      <c r="N5621" s="274"/>
    </row>
    <row r="5622" spans="5:14" ht="13.5" customHeight="1">
      <c r="E5622" s="209" t="s">
        <v>1381</v>
      </c>
      <c r="F5622" s="209" t="s">
        <v>3017</v>
      </c>
      <c r="G5622" s="411" t="str">
        <f t="shared" si="91"/>
        <v>13-01</v>
      </c>
      <c r="H5622" s="273" t="e">
        <f ca="1">_xludf.IFNA(VLOOKUP(E5622,'Urban Plastix Holds'!$I$37:$U$705,9,0),0)</f>
        <v>#NAME?</v>
      </c>
      <c r="I5622" s="274"/>
      <c r="J5622" s="274" t="e">
        <f t="shared" ca="1" si="92"/>
        <v>#NAME?</v>
      </c>
      <c r="K5622" s="274">
        <f t="shared" si="93"/>
        <v>0</v>
      </c>
      <c r="N5622" s="274"/>
    </row>
    <row r="5623" spans="5:14" ht="13.5" customHeight="1">
      <c r="E5623" s="209" t="s">
        <v>1381</v>
      </c>
      <c r="F5623" s="209" t="s">
        <v>3017</v>
      </c>
      <c r="G5623" s="413" t="str">
        <f t="shared" si="91"/>
        <v>07-13</v>
      </c>
      <c r="H5623" s="273" t="e">
        <f ca="1">_xludf.IFNA(VLOOKUP(E5623,'Urban Plastix Holds'!$I$37:$U$705,10,0),0)</f>
        <v>#NAME?</v>
      </c>
      <c r="I5623" s="274"/>
      <c r="J5623" s="274" t="e">
        <f t="shared" ca="1" si="92"/>
        <v>#NAME?</v>
      </c>
      <c r="K5623" s="274">
        <f t="shared" si="93"/>
        <v>0</v>
      </c>
      <c r="N5623" s="274"/>
    </row>
    <row r="5624" spans="5:14" ht="13.5" customHeight="1">
      <c r="E5624" s="209" t="s">
        <v>1381</v>
      </c>
      <c r="F5624" s="209" t="s">
        <v>3017</v>
      </c>
      <c r="G5624" s="414" t="str">
        <f t="shared" si="91"/>
        <v>11-26</v>
      </c>
      <c r="H5624" s="273" t="e">
        <f ca="1">_xludf.IFNA(VLOOKUP(E5624,'Urban Plastix Holds'!$I$37:$U$705,11,0),0)</f>
        <v>#NAME?</v>
      </c>
      <c r="I5624" s="274"/>
      <c r="J5624" s="274" t="e">
        <f t="shared" ca="1" si="92"/>
        <v>#NAME?</v>
      </c>
      <c r="K5624" s="274">
        <f t="shared" si="93"/>
        <v>0</v>
      </c>
      <c r="N5624" s="274"/>
    </row>
    <row r="5625" spans="5:14" ht="13.5" customHeight="1">
      <c r="E5625" s="209" t="s">
        <v>1381</v>
      </c>
      <c r="F5625" s="209" t="s">
        <v>3017</v>
      </c>
      <c r="G5625" s="415" t="str">
        <f t="shared" si="91"/>
        <v>18-01</v>
      </c>
      <c r="H5625" s="273" t="e">
        <f ca="1">_xludf.IFNA(VLOOKUP(E5625,'Urban Plastix Holds'!$I$37:$U$705,12,0),0)</f>
        <v>#NAME?</v>
      </c>
      <c r="I5625" s="274"/>
      <c r="J5625" s="274" t="e">
        <f t="shared" ca="1" si="92"/>
        <v>#NAME?</v>
      </c>
      <c r="K5625" s="274">
        <f t="shared" si="93"/>
        <v>0</v>
      </c>
      <c r="N5625" s="274"/>
    </row>
    <row r="5626" spans="5:14" ht="13.5" customHeight="1">
      <c r="E5626" s="209" t="s">
        <v>1381</v>
      </c>
      <c r="F5626" s="209" t="s">
        <v>3017</v>
      </c>
      <c r="G5626" s="416" t="str">
        <f t="shared" si="91"/>
        <v>Color Code</v>
      </c>
      <c r="H5626" s="273" t="e">
        <f ca="1">_xludf.IFNA(VLOOKUP(E5626,'Urban Plastix Holds'!$I$37:$U$705,13,0),0)</f>
        <v>#NAME?</v>
      </c>
      <c r="I5626" s="274"/>
      <c r="J5626" s="274" t="e">
        <f t="shared" ca="1" si="92"/>
        <v>#NAME?</v>
      </c>
      <c r="K5626" s="274">
        <f t="shared" si="93"/>
        <v>0</v>
      </c>
      <c r="N5626" s="274"/>
    </row>
    <row r="5627" spans="5:14" ht="13.5" customHeight="1">
      <c r="E5627" s="209" t="s">
        <v>1431</v>
      </c>
      <c r="F5627" s="209" t="s">
        <v>3018</v>
      </c>
      <c r="G5627" s="406" t="str">
        <f t="shared" si="91"/>
        <v>11-12</v>
      </c>
      <c r="H5627" s="273" t="e">
        <f ca="1">_xludf.IFNA(VLOOKUP(E5627,'Urban Plastix Holds'!$I$37:$U$705,5,0),0)</f>
        <v>#NAME?</v>
      </c>
      <c r="I5627" s="274"/>
      <c r="J5627" s="274" t="e">
        <f t="shared" ca="1" si="92"/>
        <v>#NAME?</v>
      </c>
      <c r="K5627" s="274">
        <f t="shared" si="93"/>
        <v>0</v>
      </c>
      <c r="N5627" s="274"/>
    </row>
    <row r="5628" spans="5:14" ht="13.5" customHeight="1">
      <c r="E5628" s="209" t="s">
        <v>1431</v>
      </c>
      <c r="F5628" s="209" t="s">
        <v>3018</v>
      </c>
      <c r="G5628" s="408" t="str">
        <f t="shared" si="91"/>
        <v>14-01</v>
      </c>
      <c r="H5628" s="273" t="e">
        <f ca="1">_xludf.IFNA(VLOOKUP(E5628,'Urban Plastix Holds'!$I$37:$U$705,6,0),0)</f>
        <v>#NAME?</v>
      </c>
      <c r="I5628" s="274"/>
      <c r="J5628" s="274" t="e">
        <f t="shared" ca="1" si="92"/>
        <v>#NAME?</v>
      </c>
      <c r="K5628" s="274">
        <f t="shared" si="93"/>
        <v>0</v>
      </c>
      <c r="N5628" s="274"/>
    </row>
    <row r="5629" spans="5:14" ht="13.5" customHeight="1">
      <c r="E5629" s="209" t="s">
        <v>1431</v>
      </c>
      <c r="F5629" s="209" t="s">
        <v>3018</v>
      </c>
      <c r="G5629" s="409" t="str">
        <f t="shared" si="91"/>
        <v>15-12</v>
      </c>
      <c r="H5629" s="273" t="e">
        <f ca="1">_xludf.IFNA(VLOOKUP(E5629,'Urban Plastix Holds'!$I$37:$U$705,7,0),0)</f>
        <v>#NAME?</v>
      </c>
      <c r="I5629" s="274"/>
      <c r="J5629" s="274" t="e">
        <f t="shared" ca="1" si="92"/>
        <v>#NAME?</v>
      </c>
      <c r="K5629" s="274">
        <f t="shared" si="93"/>
        <v>0</v>
      </c>
      <c r="N5629" s="274"/>
    </row>
    <row r="5630" spans="5:14" ht="13.5" customHeight="1">
      <c r="E5630" s="209" t="s">
        <v>1431</v>
      </c>
      <c r="F5630" s="209" t="s">
        <v>3018</v>
      </c>
      <c r="G5630" s="410" t="str">
        <f t="shared" si="91"/>
        <v>16-16</v>
      </c>
      <c r="H5630" s="273" t="e">
        <f ca="1">_xludf.IFNA(VLOOKUP(E5630,'Urban Plastix Holds'!$I$37:$U$705,8,0),0)</f>
        <v>#NAME?</v>
      </c>
      <c r="I5630" s="274"/>
      <c r="J5630" s="274" t="e">
        <f t="shared" ca="1" si="92"/>
        <v>#NAME?</v>
      </c>
      <c r="K5630" s="274">
        <f t="shared" si="93"/>
        <v>0</v>
      </c>
      <c r="N5630" s="274"/>
    </row>
    <row r="5631" spans="5:14" ht="13.5" customHeight="1">
      <c r="E5631" s="209" t="s">
        <v>1431</v>
      </c>
      <c r="F5631" s="209" t="s">
        <v>3018</v>
      </c>
      <c r="G5631" s="411" t="str">
        <f t="shared" si="91"/>
        <v>13-01</v>
      </c>
      <c r="H5631" s="273" t="e">
        <f ca="1">_xludf.IFNA(VLOOKUP(E5631,'Urban Plastix Holds'!$I$37:$U$705,9,0),0)</f>
        <v>#NAME?</v>
      </c>
      <c r="I5631" s="274"/>
      <c r="J5631" s="274" t="e">
        <f t="shared" ca="1" si="92"/>
        <v>#NAME?</v>
      </c>
      <c r="K5631" s="274">
        <f t="shared" si="93"/>
        <v>0</v>
      </c>
      <c r="N5631" s="274"/>
    </row>
    <row r="5632" spans="5:14" ht="13.5" customHeight="1">
      <c r="E5632" s="209" t="s">
        <v>1431</v>
      </c>
      <c r="F5632" s="209" t="s">
        <v>3018</v>
      </c>
      <c r="G5632" s="413" t="str">
        <f t="shared" si="91"/>
        <v>07-13</v>
      </c>
      <c r="H5632" s="273" t="e">
        <f ca="1">_xludf.IFNA(VLOOKUP(E5632,'Urban Plastix Holds'!$I$37:$U$705,10,0),0)</f>
        <v>#NAME?</v>
      </c>
      <c r="I5632" s="274"/>
      <c r="J5632" s="274" t="e">
        <f t="shared" ca="1" si="92"/>
        <v>#NAME?</v>
      </c>
      <c r="K5632" s="274">
        <f t="shared" si="93"/>
        <v>0</v>
      </c>
      <c r="N5632" s="274"/>
    </row>
    <row r="5633" spans="5:14" ht="13.5" customHeight="1">
      <c r="E5633" s="209" t="s">
        <v>1431</v>
      </c>
      <c r="F5633" s="209" t="s">
        <v>3018</v>
      </c>
      <c r="G5633" s="414" t="str">
        <f t="shared" si="91"/>
        <v>11-26</v>
      </c>
      <c r="H5633" s="273" t="e">
        <f ca="1">_xludf.IFNA(VLOOKUP(E5633,'Urban Plastix Holds'!$I$37:$U$705,11,0),0)</f>
        <v>#NAME?</v>
      </c>
      <c r="I5633" s="274"/>
      <c r="J5633" s="274" t="e">
        <f t="shared" ca="1" si="92"/>
        <v>#NAME?</v>
      </c>
      <c r="K5633" s="274">
        <f t="shared" si="93"/>
        <v>0</v>
      </c>
      <c r="N5633" s="274"/>
    </row>
    <row r="5634" spans="5:14" ht="13.5" customHeight="1">
      <c r="E5634" s="209" t="s">
        <v>1431</v>
      </c>
      <c r="F5634" s="209" t="s">
        <v>3018</v>
      </c>
      <c r="G5634" s="415" t="str">
        <f t="shared" si="91"/>
        <v>18-01</v>
      </c>
      <c r="H5634" s="273" t="e">
        <f ca="1">_xludf.IFNA(VLOOKUP(E5634,'Urban Plastix Holds'!$I$37:$U$705,12,0),0)</f>
        <v>#NAME?</v>
      </c>
      <c r="I5634" s="274"/>
      <c r="J5634" s="274" t="e">
        <f t="shared" ca="1" si="92"/>
        <v>#NAME?</v>
      </c>
      <c r="K5634" s="274">
        <f t="shared" si="93"/>
        <v>0</v>
      </c>
      <c r="N5634" s="274"/>
    </row>
    <row r="5635" spans="5:14" ht="13.5" customHeight="1">
      <c r="E5635" s="209" t="s">
        <v>1431</v>
      </c>
      <c r="F5635" s="209" t="s">
        <v>3018</v>
      </c>
      <c r="G5635" s="416" t="str">
        <f t="shared" si="91"/>
        <v>Color Code</v>
      </c>
      <c r="H5635" s="273" t="e">
        <f ca="1">_xludf.IFNA(VLOOKUP(E5635,'Urban Plastix Holds'!$I$37:$U$705,13,0),0)</f>
        <v>#NAME?</v>
      </c>
      <c r="I5635" s="274"/>
      <c r="J5635" s="274" t="e">
        <f t="shared" ca="1" si="92"/>
        <v>#NAME?</v>
      </c>
      <c r="K5635" s="274">
        <f t="shared" si="93"/>
        <v>0</v>
      </c>
      <c r="N5635" s="274"/>
    </row>
    <row r="5636" spans="5:14" ht="13.5" customHeight="1">
      <c r="E5636" s="209" t="s">
        <v>1354</v>
      </c>
      <c r="F5636" s="209" t="s">
        <v>3019</v>
      </c>
      <c r="G5636" s="406" t="str">
        <f t="shared" si="91"/>
        <v>11-12</v>
      </c>
      <c r="H5636" s="273" t="e">
        <f ca="1">_xludf.IFNA(VLOOKUP(E5636,'Urban Plastix Holds'!$I$37:$U$705,5,0),0)</f>
        <v>#NAME?</v>
      </c>
      <c r="I5636" s="274"/>
      <c r="J5636" s="274" t="e">
        <f t="shared" ca="1" si="92"/>
        <v>#NAME?</v>
      </c>
      <c r="K5636" s="274">
        <f t="shared" si="93"/>
        <v>0</v>
      </c>
      <c r="N5636" s="274"/>
    </row>
    <row r="5637" spans="5:14" ht="13.5" customHeight="1">
      <c r="E5637" s="209" t="s">
        <v>1354</v>
      </c>
      <c r="F5637" s="209" t="s">
        <v>3019</v>
      </c>
      <c r="G5637" s="408" t="str">
        <f t="shared" si="91"/>
        <v>14-01</v>
      </c>
      <c r="H5637" s="273" t="e">
        <f ca="1">_xludf.IFNA(VLOOKUP(E5637,'Urban Plastix Holds'!$I$37:$U$705,6,0),0)</f>
        <v>#NAME?</v>
      </c>
      <c r="I5637" s="274"/>
      <c r="J5637" s="274" t="e">
        <f t="shared" ca="1" si="92"/>
        <v>#NAME?</v>
      </c>
      <c r="K5637" s="274">
        <f t="shared" si="93"/>
        <v>0</v>
      </c>
      <c r="N5637" s="274"/>
    </row>
    <row r="5638" spans="5:14" ht="13.5" customHeight="1">
      <c r="E5638" s="209" t="s">
        <v>1354</v>
      </c>
      <c r="F5638" s="209" t="s">
        <v>3019</v>
      </c>
      <c r="G5638" s="409" t="str">
        <f t="shared" si="91"/>
        <v>15-12</v>
      </c>
      <c r="H5638" s="273" t="e">
        <f ca="1">_xludf.IFNA(VLOOKUP(E5638,'Urban Plastix Holds'!$I$37:$U$705,7,0),0)</f>
        <v>#NAME?</v>
      </c>
      <c r="I5638" s="274"/>
      <c r="J5638" s="274" t="e">
        <f t="shared" ca="1" si="92"/>
        <v>#NAME?</v>
      </c>
      <c r="K5638" s="274">
        <f t="shared" si="93"/>
        <v>0</v>
      </c>
      <c r="N5638" s="274"/>
    </row>
    <row r="5639" spans="5:14" ht="13.5" customHeight="1">
      <c r="E5639" s="209" t="s">
        <v>1354</v>
      </c>
      <c r="F5639" s="209" t="s">
        <v>3019</v>
      </c>
      <c r="G5639" s="410" t="str">
        <f t="shared" si="91"/>
        <v>16-16</v>
      </c>
      <c r="H5639" s="273" t="e">
        <f ca="1">_xludf.IFNA(VLOOKUP(E5639,'Urban Plastix Holds'!$I$37:$U$705,8,0),0)</f>
        <v>#NAME?</v>
      </c>
      <c r="I5639" s="274"/>
      <c r="J5639" s="274" t="e">
        <f t="shared" ca="1" si="92"/>
        <v>#NAME?</v>
      </c>
      <c r="K5639" s="274">
        <f t="shared" si="93"/>
        <v>0</v>
      </c>
      <c r="N5639" s="274"/>
    </row>
    <row r="5640" spans="5:14" ht="13.5" customHeight="1">
      <c r="E5640" s="209" t="s">
        <v>1354</v>
      </c>
      <c r="F5640" s="209" t="s">
        <v>3019</v>
      </c>
      <c r="G5640" s="411" t="str">
        <f t="shared" si="91"/>
        <v>13-01</v>
      </c>
      <c r="H5640" s="273" t="e">
        <f ca="1">_xludf.IFNA(VLOOKUP(E5640,'Urban Plastix Holds'!$I$37:$U$705,9,0),0)</f>
        <v>#NAME?</v>
      </c>
      <c r="I5640" s="274"/>
      <c r="J5640" s="274" t="e">
        <f t="shared" ca="1" si="92"/>
        <v>#NAME?</v>
      </c>
      <c r="K5640" s="274">
        <f t="shared" si="93"/>
        <v>0</v>
      </c>
      <c r="N5640" s="274"/>
    </row>
    <row r="5641" spans="5:14" ht="13.5" customHeight="1">
      <c r="E5641" s="209" t="s">
        <v>1354</v>
      </c>
      <c r="F5641" s="209" t="s">
        <v>3019</v>
      </c>
      <c r="G5641" s="413" t="str">
        <f t="shared" si="91"/>
        <v>07-13</v>
      </c>
      <c r="H5641" s="273" t="e">
        <f ca="1">_xludf.IFNA(VLOOKUP(E5641,'Urban Plastix Holds'!$I$37:$U$705,10,0),0)</f>
        <v>#NAME?</v>
      </c>
      <c r="I5641" s="274"/>
      <c r="J5641" s="274" t="e">
        <f t="shared" ca="1" si="92"/>
        <v>#NAME?</v>
      </c>
      <c r="K5641" s="274">
        <f t="shared" si="93"/>
        <v>0</v>
      </c>
      <c r="N5641" s="274"/>
    </row>
    <row r="5642" spans="5:14" ht="13.5" customHeight="1">
      <c r="E5642" s="209" t="s">
        <v>1354</v>
      </c>
      <c r="F5642" s="209" t="s">
        <v>3019</v>
      </c>
      <c r="G5642" s="414" t="str">
        <f t="shared" si="91"/>
        <v>11-26</v>
      </c>
      <c r="H5642" s="273" t="e">
        <f ca="1">_xludf.IFNA(VLOOKUP(E5642,'Urban Plastix Holds'!$I$37:$U$705,11,0),0)</f>
        <v>#NAME?</v>
      </c>
      <c r="I5642" s="274"/>
      <c r="J5642" s="274" t="e">
        <f t="shared" ca="1" si="92"/>
        <v>#NAME?</v>
      </c>
      <c r="K5642" s="274">
        <f t="shared" si="93"/>
        <v>0</v>
      </c>
      <c r="N5642" s="274"/>
    </row>
    <row r="5643" spans="5:14" ht="13.5" customHeight="1">
      <c r="E5643" s="209" t="s">
        <v>1354</v>
      </c>
      <c r="F5643" s="209" t="s">
        <v>3019</v>
      </c>
      <c r="G5643" s="415" t="str">
        <f t="shared" si="91"/>
        <v>18-01</v>
      </c>
      <c r="H5643" s="273" t="e">
        <f ca="1">_xludf.IFNA(VLOOKUP(E5643,'Urban Plastix Holds'!$I$37:$U$705,12,0),0)</f>
        <v>#NAME?</v>
      </c>
      <c r="I5643" s="274"/>
      <c r="J5643" s="274" t="e">
        <f t="shared" ca="1" si="92"/>
        <v>#NAME?</v>
      </c>
      <c r="K5643" s="274">
        <f t="shared" si="93"/>
        <v>0</v>
      </c>
      <c r="N5643" s="274"/>
    </row>
    <row r="5644" spans="5:14" ht="13.5" customHeight="1">
      <c r="E5644" s="209" t="s">
        <v>1354</v>
      </c>
      <c r="F5644" s="209" t="s">
        <v>3019</v>
      </c>
      <c r="G5644" s="416" t="str">
        <f t="shared" si="91"/>
        <v>Color Code</v>
      </c>
      <c r="H5644" s="273" t="e">
        <f ca="1">_xludf.IFNA(VLOOKUP(E5644,'Urban Plastix Holds'!$I$37:$U$705,13,0),0)</f>
        <v>#NAME?</v>
      </c>
      <c r="I5644" s="274"/>
      <c r="J5644" s="274" t="e">
        <f t="shared" ca="1" si="92"/>
        <v>#NAME?</v>
      </c>
      <c r="K5644" s="274">
        <f t="shared" si="93"/>
        <v>0</v>
      </c>
      <c r="N5644" s="274"/>
    </row>
    <row r="5645" spans="5:14" ht="13.5" customHeight="1">
      <c r="E5645" s="209" t="s">
        <v>1308</v>
      </c>
      <c r="F5645" s="209" t="s">
        <v>3020</v>
      </c>
      <c r="G5645" s="406" t="str">
        <f t="shared" si="91"/>
        <v>11-12</v>
      </c>
      <c r="H5645" s="273" t="e">
        <f ca="1">_xludf.IFNA(VLOOKUP(E5645,'Urban Plastix Holds'!$I$37:$U$705,5,0),0)</f>
        <v>#NAME?</v>
      </c>
      <c r="I5645" s="274"/>
      <c r="J5645" s="274" t="e">
        <f t="shared" ca="1" si="92"/>
        <v>#NAME?</v>
      </c>
      <c r="K5645" s="274">
        <f t="shared" si="93"/>
        <v>0</v>
      </c>
      <c r="N5645" s="274"/>
    </row>
    <row r="5646" spans="5:14" ht="13.5" customHeight="1">
      <c r="E5646" s="209" t="s">
        <v>1308</v>
      </c>
      <c r="F5646" s="209" t="s">
        <v>3020</v>
      </c>
      <c r="G5646" s="408" t="str">
        <f t="shared" si="91"/>
        <v>14-01</v>
      </c>
      <c r="H5646" s="273" t="e">
        <f ca="1">_xludf.IFNA(VLOOKUP(E5646,'Urban Plastix Holds'!$I$37:$U$705,6,0),0)</f>
        <v>#NAME?</v>
      </c>
      <c r="I5646" s="274"/>
      <c r="J5646" s="274" t="e">
        <f t="shared" ca="1" si="92"/>
        <v>#NAME?</v>
      </c>
      <c r="K5646" s="274">
        <f t="shared" si="93"/>
        <v>0</v>
      </c>
      <c r="N5646" s="274"/>
    </row>
    <row r="5647" spans="5:14" ht="13.5" customHeight="1">
      <c r="E5647" s="209" t="s">
        <v>1308</v>
      </c>
      <c r="F5647" s="209" t="s">
        <v>3020</v>
      </c>
      <c r="G5647" s="409" t="str">
        <f t="shared" si="91"/>
        <v>15-12</v>
      </c>
      <c r="H5647" s="273" t="e">
        <f ca="1">_xludf.IFNA(VLOOKUP(E5647,'Urban Plastix Holds'!$I$37:$U$705,7,0),0)</f>
        <v>#NAME?</v>
      </c>
      <c r="I5647" s="274"/>
      <c r="J5647" s="274" t="e">
        <f t="shared" ca="1" si="92"/>
        <v>#NAME?</v>
      </c>
      <c r="K5647" s="274">
        <f t="shared" si="93"/>
        <v>0</v>
      </c>
      <c r="N5647" s="274"/>
    </row>
    <row r="5648" spans="5:14" ht="13.5" customHeight="1">
      <c r="E5648" s="209" t="s">
        <v>1308</v>
      </c>
      <c r="F5648" s="209" t="s">
        <v>3020</v>
      </c>
      <c r="G5648" s="410" t="str">
        <f t="shared" si="91"/>
        <v>16-16</v>
      </c>
      <c r="H5648" s="273" t="e">
        <f ca="1">_xludf.IFNA(VLOOKUP(E5648,'Urban Plastix Holds'!$I$37:$U$705,8,0),0)</f>
        <v>#NAME?</v>
      </c>
      <c r="I5648" s="274"/>
      <c r="J5648" s="274" t="e">
        <f t="shared" ca="1" si="92"/>
        <v>#NAME?</v>
      </c>
      <c r="K5648" s="274">
        <f t="shared" si="93"/>
        <v>0</v>
      </c>
      <c r="N5648" s="274"/>
    </row>
    <row r="5649" spans="5:14" ht="13.5" customHeight="1">
      <c r="E5649" s="209" t="s">
        <v>1308</v>
      </c>
      <c r="F5649" s="209" t="s">
        <v>3020</v>
      </c>
      <c r="G5649" s="411" t="str">
        <f t="shared" si="91"/>
        <v>13-01</v>
      </c>
      <c r="H5649" s="273" t="e">
        <f ca="1">_xludf.IFNA(VLOOKUP(E5649,'Urban Plastix Holds'!$I$37:$U$705,9,0),0)</f>
        <v>#NAME?</v>
      </c>
      <c r="I5649" s="274"/>
      <c r="J5649" s="274" t="e">
        <f t="shared" ca="1" si="92"/>
        <v>#NAME?</v>
      </c>
      <c r="K5649" s="274">
        <f t="shared" si="93"/>
        <v>0</v>
      </c>
      <c r="N5649" s="274"/>
    </row>
    <row r="5650" spans="5:14" ht="13.5" customHeight="1">
      <c r="E5650" s="209" t="s">
        <v>1308</v>
      </c>
      <c r="F5650" s="209" t="s">
        <v>3020</v>
      </c>
      <c r="G5650" s="413" t="str">
        <f t="shared" si="91"/>
        <v>07-13</v>
      </c>
      <c r="H5650" s="273" t="e">
        <f ca="1">_xludf.IFNA(VLOOKUP(E5650,'Urban Plastix Holds'!$I$37:$U$705,10,0),0)</f>
        <v>#NAME?</v>
      </c>
      <c r="I5650" s="274"/>
      <c r="J5650" s="274" t="e">
        <f t="shared" ca="1" si="92"/>
        <v>#NAME?</v>
      </c>
      <c r="K5650" s="274">
        <f t="shared" si="93"/>
        <v>0</v>
      </c>
      <c r="N5650" s="274"/>
    </row>
    <row r="5651" spans="5:14" ht="13.5" customHeight="1">
      <c r="E5651" s="209" t="s">
        <v>1308</v>
      </c>
      <c r="F5651" s="209" t="s">
        <v>3020</v>
      </c>
      <c r="G5651" s="414" t="str">
        <f t="shared" si="91"/>
        <v>11-26</v>
      </c>
      <c r="H5651" s="273" t="e">
        <f ca="1">_xludf.IFNA(VLOOKUP(E5651,'Urban Plastix Holds'!$I$37:$U$705,11,0),0)</f>
        <v>#NAME?</v>
      </c>
      <c r="I5651" s="274"/>
      <c r="J5651" s="274" t="e">
        <f t="shared" ca="1" si="92"/>
        <v>#NAME?</v>
      </c>
      <c r="K5651" s="274">
        <f t="shared" si="93"/>
        <v>0</v>
      </c>
      <c r="N5651" s="274"/>
    </row>
    <row r="5652" spans="5:14" ht="13.5" customHeight="1">
      <c r="E5652" s="209" t="s">
        <v>1308</v>
      </c>
      <c r="F5652" s="209" t="s">
        <v>3020</v>
      </c>
      <c r="G5652" s="415" t="str">
        <f t="shared" si="91"/>
        <v>18-01</v>
      </c>
      <c r="H5652" s="273" t="e">
        <f ca="1">_xludf.IFNA(VLOOKUP(E5652,'Urban Plastix Holds'!$I$37:$U$705,12,0),0)</f>
        <v>#NAME?</v>
      </c>
      <c r="I5652" s="274"/>
      <c r="J5652" s="274" t="e">
        <f t="shared" ca="1" si="92"/>
        <v>#NAME?</v>
      </c>
      <c r="K5652" s="274">
        <f t="shared" si="93"/>
        <v>0</v>
      </c>
      <c r="N5652" s="274"/>
    </row>
    <row r="5653" spans="5:14" ht="13.5" customHeight="1">
      <c r="E5653" s="209" t="s">
        <v>1308</v>
      </c>
      <c r="F5653" s="209" t="s">
        <v>3020</v>
      </c>
      <c r="G5653" s="416" t="str">
        <f t="shared" si="91"/>
        <v>Color Code</v>
      </c>
      <c r="H5653" s="273" t="e">
        <f ca="1">_xludf.IFNA(VLOOKUP(E5653,'Urban Plastix Holds'!$I$37:$U$705,13,0),0)</f>
        <v>#NAME?</v>
      </c>
      <c r="I5653" s="274"/>
      <c r="J5653" s="274" t="e">
        <f t="shared" ca="1" si="92"/>
        <v>#NAME?</v>
      </c>
      <c r="K5653" s="274">
        <f t="shared" si="93"/>
        <v>0</v>
      </c>
      <c r="N5653" s="274"/>
    </row>
    <row r="5654" spans="5:14" ht="13.5" customHeight="1">
      <c r="E5654" s="209" t="s">
        <v>1865</v>
      </c>
      <c r="F5654" s="209" t="s">
        <v>3021</v>
      </c>
      <c r="G5654" s="406" t="str">
        <f t="shared" si="91"/>
        <v>11-12</v>
      </c>
      <c r="H5654" s="273" t="e">
        <f ca="1">_xludf.IFNA(VLOOKUP(E5654,'Urban Plastix Holds'!$I$37:$U$705,5,0),0)</f>
        <v>#NAME?</v>
      </c>
      <c r="I5654" s="274"/>
      <c r="J5654" s="274" t="e">
        <f t="shared" ca="1" si="92"/>
        <v>#NAME?</v>
      </c>
      <c r="K5654" s="274">
        <f t="shared" si="93"/>
        <v>0</v>
      </c>
      <c r="N5654" s="274"/>
    </row>
    <row r="5655" spans="5:14" ht="13.5" customHeight="1">
      <c r="E5655" s="209" t="s">
        <v>1865</v>
      </c>
      <c r="F5655" s="209" t="s">
        <v>3021</v>
      </c>
      <c r="G5655" s="408" t="str">
        <f t="shared" si="91"/>
        <v>14-01</v>
      </c>
      <c r="H5655" s="273" t="e">
        <f ca="1">_xludf.IFNA(VLOOKUP(E5655,'Urban Plastix Holds'!$I$37:$U$705,6,0),0)</f>
        <v>#NAME?</v>
      </c>
      <c r="I5655" s="274"/>
      <c r="J5655" s="274" t="e">
        <f t="shared" ca="1" si="92"/>
        <v>#NAME?</v>
      </c>
      <c r="K5655" s="274">
        <f t="shared" si="93"/>
        <v>0</v>
      </c>
      <c r="N5655" s="274"/>
    </row>
    <row r="5656" spans="5:14" ht="13.5" customHeight="1">
      <c r="E5656" s="209" t="s">
        <v>1865</v>
      </c>
      <c r="F5656" s="209" t="s">
        <v>3021</v>
      </c>
      <c r="G5656" s="409" t="str">
        <f t="shared" si="91"/>
        <v>15-12</v>
      </c>
      <c r="H5656" s="273" t="e">
        <f ca="1">_xludf.IFNA(VLOOKUP(E5656,'Urban Plastix Holds'!$I$37:$U$705,7,0),0)</f>
        <v>#NAME?</v>
      </c>
      <c r="I5656" s="274"/>
      <c r="J5656" s="274" t="e">
        <f t="shared" ca="1" si="92"/>
        <v>#NAME?</v>
      </c>
      <c r="K5656" s="274">
        <f t="shared" si="93"/>
        <v>0</v>
      </c>
      <c r="N5656" s="274"/>
    </row>
    <row r="5657" spans="5:14" ht="13.5" customHeight="1">
      <c r="E5657" s="209" t="s">
        <v>1865</v>
      </c>
      <c r="F5657" s="209" t="s">
        <v>3021</v>
      </c>
      <c r="G5657" s="410" t="str">
        <f t="shared" si="91"/>
        <v>16-16</v>
      </c>
      <c r="H5657" s="273" t="e">
        <f ca="1">_xludf.IFNA(VLOOKUP(E5657,'Urban Plastix Holds'!$I$37:$U$705,8,0),0)</f>
        <v>#NAME?</v>
      </c>
      <c r="I5657" s="274"/>
      <c r="J5657" s="274" t="e">
        <f t="shared" ca="1" si="92"/>
        <v>#NAME?</v>
      </c>
      <c r="K5657" s="274">
        <f t="shared" si="93"/>
        <v>0</v>
      </c>
      <c r="N5657" s="274"/>
    </row>
    <row r="5658" spans="5:14" ht="13.5" customHeight="1">
      <c r="E5658" s="209" t="s">
        <v>1865</v>
      </c>
      <c r="F5658" s="209" t="s">
        <v>3021</v>
      </c>
      <c r="G5658" s="411" t="str">
        <f t="shared" si="91"/>
        <v>13-01</v>
      </c>
      <c r="H5658" s="273" t="e">
        <f ca="1">_xludf.IFNA(VLOOKUP(E5658,'Urban Plastix Holds'!$I$37:$U$705,9,0),0)</f>
        <v>#NAME?</v>
      </c>
      <c r="I5658" s="274"/>
      <c r="J5658" s="274" t="e">
        <f t="shared" ca="1" si="92"/>
        <v>#NAME?</v>
      </c>
      <c r="K5658" s="274">
        <f t="shared" si="93"/>
        <v>0</v>
      </c>
      <c r="N5658" s="274"/>
    </row>
    <row r="5659" spans="5:14" ht="13.5" customHeight="1">
      <c r="E5659" s="209" t="s">
        <v>1865</v>
      </c>
      <c r="F5659" s="209" t="s">
        <v>3021</v>
      </c>
      <c r="G5659" s="413" t="str">
        <f t="shared" si="91"/>
        <v>07-13</v>
      </c>
      <c r="H5659" s="273" t="e">
        <f ca="1">_xludf.IFNA(VLOOKUP(E5659,'Urban Plastix Holds'!$I$37:$U$705,10,0),0)</f>
        <v>#NAME?</v>
      </c>
      <c r="I5659" s="274"/>
      <c r="J5659" s="274" t="e">
        <f t="shared" ca="1" si="92"/>
        <v>#NAME?</v>
      </c>
      <c r="K5659" s="274">
        <f t="shared" si="93"/>
        <v>0</v>
      </c>
      <c r="N5659" s="274"/>
    </row>
    <row r="5660" spans="5:14" ht="13.5" customHeight="1">
      <c r="E5660" s="209" t="s">
        <v>1865</v>
      </c>
      <c r="F5660" s="209" t="s">
        <v>3021</v>
      </c>
      <c r="G5660" s="414" t="str">
        <f t="shared" si="91"/>
        <v>11-26</v>
      </c>
      <c r="H5660" s="273" t="e">
        <f ca="1">_xludf.IFNA(VLOOKUP(E5660,'Urban Plastix Holds'!$I$37:$U$705,11,0),0)</f>
        <v>#NAME?</v>
      </c>
      <c r="I5660" s="274"/>
      <c r="J5660" s="274" t="e">
        <f t="shared" ca="1" si="92"/>
        <v>#NAME?</v>
      </c>
      <c r="K5660" s="274">
        <f t="shared" si="93"/>
        <v>0</v>
      </c>
      <c r="N5660" s="274"/>
    </row>
    <row r="5661" spans="5:14" ht="13.5" customHeight="1">
      <c r="E5661" s="209" t="s">
        <v>1865</v>
      </c>
      <c r="F5661" s="209" t="s">
        <v>3021</v>
      </c>
      <c r="G5661" s="415" t="str">
        <f t="shared" si="91"/>
        <v>18-01</v>
      </c>
      <c r="H5661" s="273" t="e">
        <f ca="1">_xludf.IFNA(VLOOKUP(E5661,'Urban Plastix Holds'!$I$37:$U$705,12,0),0)</f>
        <v>#NAME?</v>
      </c>
      <c r="I5661" s="274"/>
      <c r="J5661" s="274" t="e">
        <f t="shared" ca="1" si="92"/>
        <v>#NAME?</v>
      </c>
      <c r="K5661" s="274">
        <f t="shared" si="93"/>
        <v>0</v>
      </c>
      <c r="N5661" s="274"/>
    </row>
    <row r="5662" spans="5:14" ht="13.5" customHeight="1">
      <c r="E5662" s="209" t="s">
        <v>1865</v>
      </c>
      <c r="F5662" s="209" t="s">
        <v>3021</v>
      </c>
      <c r="G5662" s="416" t="str">
        <f t="shared" si="91"/>
        <v>Color Code</v>
      </c>
      <c r="H5662" s="273" t="e">
        <f ca="1">_xludf.IFNA(VLOOKUP(E5662,'Urban Plastix Holds'!$I$37:$U$705,13,0),0)</f>
        <v>#NAME?</v>
      </c>
      <c r="I5662" s="274"/>
      <c r="J5662" s="274" t="e">
        <f t="shared" ca="1" si="92"/>
        <v>#NAME?</v>
      </c>
      <c r="K5662" s="274">
        <f t="shared" si="93"/>
        <v>0</v>
      </c>
      <c r="N5662" s="274"/>
    </row>
    <row r="5663" spans="5:14" ht="13.5" customHeight="1">
      <c r="E5663" s="209" t="s">
        <v>1434</v>
      </c>
      <c r="F5663" s="209" t="s">
        <v>3022</v>
      </c>
      <c r="G5663" s="406" t="str">
        <f t="shared" si="91"/>
        <v>11-12</v>
      </c>
      <c r="H5663" s="273" t="e">
        <f ca="1">_xludf.IFNA(VLOOKUP(E5663,'Urban Plastix Holds'!$I$37:$U$705,5,0),0)</f>
        <v>#NAME?</v>
      </c>
      <c r="I5663" s="274"/>
      <c r="J5663" s="274" t="e">
        <f t="shared" ca="1" si="92"/>
        <v>#NAME?</v>
      </c>
      <c r="K5663" s="274">
        <f t="shared" si="93"/>
        <v>0</v>
      </c>
      <c r="N5663" s="274"/>
    </row>
    <row r="5664" spans="5:14" ht="13.5" customHeight="1">
      <c r="E5664" s="209" t="s">
        <v>1434</v>
      </c>
      <c r="F5664" s="209" t="s">
        <v>3022</v>
      </c>
      <c r="G5664" s="408" t="str">
        <f t="shared" si="91"/>
        <v>14-01</v>
      </c>
      <c r="H5664" s="273" t="e">
        <f ca="1">_xludf.IFNA(VLOOKUP(E5664,'Urban Plastix Holds'!$I$37:$U$705,6,0),0)</f>
        <v>#NAME?</v>
      </c>
      <c r="I5664" s="274"/>
      <c r="J5664" s="274" t="e">
        <f t="shared" ca="1" si="92"/>
        <v>#NAME?</v>
      </c>
      <c r="K5664" s="274">
        <f t="shared" si="93"/>
        <v>0</v>
      </c>
      <c r="N5664" s="274"/>
    </row>
    <row r="5665" spans="5:14" ht="13.5" customHeight="1">
      <c r="E5665" s="209" t="s">
        <v>1434</v>
      </c>
      <c r="F5665" s="209" t="s">
        <v>3022</v>
      </c>
      <c r="G5665" s="409" t="str">
        <f t="shared" si="91"/>
        <v>15-12</v>
      </c>
      <c r="H5665" s="273" t="e">
        <f ca="1">_xludf.IFNA(VLOOKUP(E5665,'Urban Plastix Holds'!$I$37:$U$705,7,0),0)</f>
        <v>#NAME?</v>
      </c>
      <c r="I5665" s="274"/>
      <c r="J5665" s="274" t="e">
        <f t="shared" ca="1" si="92"/>
        <v>#NAME?</v>
      </c>
      <c r="K5665" s="274">
        <f t="shared" si="93"/>
        <v>0</v>
      </c>
      <c r="N5665" s="274"/>
    </row>
    <row r="5666" spans="5:14" ht="13.5" customHeight="1">
      <c r="E5666" s="209" t="s">
        <v>1434</v>
      </c>
      <c r="F5666" s="209" t="s">
        <v>3022</v>
      </c>
      <c r="G5666" s="410" t="str">
        <f t="shared" si="91"/>
        <v>16-16</v>
      </c>
      <c r="H5666" s="273" t="e">
        <f ca="1">_xludf.IFNA(VLOOKUP(E5666,'Urban Plastix Holds'!$I$37:$U$705,8,0),0)</f>
        <v>#NAME?</v>
      </c>
      <c r="I5666" s="274"/>
      <c r="J5666" s="274" t="e">
        <f t="shared" ca="1" si="92"/>
        <v>#NAME?</v>
      </c>
      <c r="K5666" s="274">
        <f t="shared" si="93"/>
        <v>0</v>
      </c>
      <c r="N5666" s="274"/>
    </row>
    <row r="5667" spans="5:14" ht="13.5" customHeight="1">
      <c r="E5667" s="209" t="s">
        <v>1434</v>
      </c>
      <c r="F5667" s="209" t="s">
        <v>3022</v>
      </c>
      <c r="G5667" s="411" t="str">
        <f t="shared" si="91"/>
        <v>13-01</v>
      </c>
      <c r="H5667" s="273" t="e">
        <f ca="1">_xludf.IFNA(VLOOKUP(E5667,'Urban Plastix Holds'!$I$37:$U$705,9,0),0)</f>
        <v>#NAME?</v>
      </c>
      <c r="I5667" s="274"/>
      <c r="J5667" s="274" t="e">
        <f t="shared" ca="1" si="92"/>
        <v>#NAME?</v>
      </c>
      <c r="K5667" s="274">
        <f t="shared" si="93"/>
        <v>0</v>
      </c>
      <c r="N5667" s="274"/>
    </row>
    <row r="5668" spans="5:14" ht="13.5" customHeight="1">
      <c r="E5668" s="209" t="s">
        <v>1434</v>
      </c>
      <c r="F5668" s="209" t="s">
        <v>3022</v>
      </c>
      <c r="G5668" s="413" t="str">
        <f t="shared" si="91"/>
        <v>07-13</v>
      </c>
      <c r="H5668" s="273" t="e">
        <f ca="1">_xludf.IFNA(VLOOKUP(E5668,'Urban Plastix Holds'!$I$37:$U$705,10,0),0)</f>
        <v>#NAME?</v>
      </c>
      <c r="I5668" s="274"/>
      <c r="J5668" s="274" t="e">
        <f t="shared" ca="1" si="92"/>
        <v>#NAME?</v>
      </c>
      <c r="K5668" s="274">
        <f t="shared" si="93"/>
        <v>0</v>
      </c>
      <c r="N5668" s="274"/>
    </row>
    <row r="5669" spans="5:14" ht="13.5" customHeight="1">
      <c r="E5669" s="209" t="s">
        <v>1434</v>
      </c>
      <c r="F5669" s="209" t="s">
        <v>3022</v>
      </c>
      <c r="G5669" s="414" t="str">
        <f t="shared" si="91"/>
        <v>11-26</v>
      </c>
      <c r="H5669" s="273" t="e">
        <f ca="1">_xludf.IFNA(VLOOKUP(E5669,'Urban Plastix Holds'!$I$37:$U$705,11,0),0)</f>
        <v>#NAME?</v>
      </c>
      <c r="I5669" s="274"/>
      <c r="J5669" s="274" t="e">
        <f t="shared" ca="1" si="92"/>
        <v>#NAME?</v>
      </c>
      <c r="K5669" s="274">
        <f t="shared" si="93"/>
        <v>0</v>
      </c>
      <c r="N5669" s="274"/>
    </row>
    <row r="5670" spans="5:14" ht="13.5" customHeight="1">
      <c r="E5670" s="209" t="s">
        <v>1434</v>
      </c>
      <c r="F5670" s="209" t="s">
        <v>3022</v>
      </c>
      <c r="G5670" s="415" t="str">
        <f t="shared" si="91"/>
        <v>18-01</v>
      </c>
      <c r="H5670" s="273" t="e">
        <f ca="1">_xludf.IFNA(VLOOKUP(E5670,'Urban Plastix Holds'!$I$37:$U$705,12,0),0)</f>
        <v>#NAME?</v>
      </c>
      <c r="I5670" s="274"/>
      <c r="J5670" s="274" t="e">
        <f t="shared" ca="1" si="92"/>
        <v>#NAME?</v>
      </c>
      <c r="K5670" s="274">
        <f t="shared" si="93"/>
        <v>0</v>
      </c>
      <c r="N5670" s="274"/>
    </row>
    <row r="5671" spans="5:14" ht="13.5" customHeight="1">
      <c r="E5671" s="209" t="s">
        <v>1434</v>
      </c>
      <c r="F5671" s="209" t="s">
        <v>3022</v>
      </c>
      <c r="G5671" s="416" t="str">
        <f t="shared" si="91"/>
        <v>Color Code</v>
      </c>
      <c r="H5671" s="273" t="e">
        <f ca="1">_xludf.IFNA(VLOOKUP(E5671,'Urban Plastix Holds'!$I$37:$U$705,13,0),0)</f>
        <v>#NAME?</v>
      </c>
      <c r="I5671" s="274"/>
      <c r="J5671" s="274" t="e">
        <f t="shared" ca="1" si="92"/>
        <v>#NAME?</v>
      </c>
      <c r="K5671" s="274">
        <f t="shared" si="93"/>
        <v>0</v>
      </c>
      <c r="N5671" s="274"/>
    </row>
    <row r="5672" spans="5:14" ht="13.5" customHeight="1">
      <c r="E5672" s="209" t="s">
        <v>1860</v>
      </c>
      <c r="F5672" s="209" t="s">
        <v>3023</v>
      </c>
      <c r="G5672" s="406" t="str">
        <f t="shared" si="91"/>
        <v>11-12</v>
      </c>
      <c r="H5672" s="273" t="e">
        <f ca="1">_xludf.IFNA(VLOOKUP(E5672,'Urban Plastix Holds'!$I$37:$U$705,5,0),0)</f>
        <v>#NAME?</v>
      </c>
      <c r="I5672" s="274"/>
      <c r="J5672" s="274" t="e">
        <f t="shared" ca="1" si="92"/>
        <v>#NAME?</v>
      </c>
      <c r="K5672" s="274">
        <f t="shared" si="93"/>
        <v>0</v>
      </c>
      <c r="N5672" s="274"/>
    </row>
    <row r="5673" spans="5:14" ht="13.5" customHeight="1">
      <c r="E5673" s="209" t="s">
        <v>1860</v>
      </c>
      <c r="F5673" s="209" t="s">
        <v>3023</v>
      </c>
      <c r="G5673" s="408" t="str">
        <f t="shared" si="91"/>
        <v>14-01</v>
      </c>
      <c r="H5673" s="273" t="e">
        <f ca="1">_xludf.IFNA(VLOOKUP(E5673,'Urban Plastix Holds'!$I$37:$U$705,6,0),0)</f>
        <v>#NAME?</v>
      </c>
      <c r="I5673" s="274"/>
      <c r="J5673" s="274" t="e">
        <f t="shared" ca="1" si="92"/>
        <v>#NAME?</v>
      </c>
      <c r="K5673" s="274">
        <f t="shared" si="93"/>
        <v>0</v>
      </c>
      <c r="N5673" s="274"/>
    </row>
    <row r="5674" spans="5:14" ht="13.5" customHeight="1">
      <c r="E5674" s="209" t="s">
        <v>1860</v>
      </c>
      <c r="F5674" s="209" t="s">
        <v>3023</v>
      </c>
      <c r="G5674" s="409" t="str">
        <f t="shared" si="91"/>
        <v>15-12</v>
      </c>
      <c r="H5674" s="273" t="e">
        <f ca="1">_xludf.IFNA(VLOOKUP(E5674,'Urban Plastix Holds'!$I$37:$U$705,7,0),0)</f>
        <v>#NAME?</v>
      </c>
      <c r="I5674" s="274"/>
      <c r="J5674" s="274" t="e">
        <f t="shared" ca="1" si="92"/>
        <v>#NAME?</v>
      </c>
      <c r="K5674" s="274">
        <f t="shared" si="93"/>
        <v>0</v>
      </c>
      <c r="N5674" s="274"/>
    </row>
    <row r="5675" spans="5:14" ht="13.5" customHeight="1">
      <c r="E5675" s="209" t="s">
        <v>1860</v>
      </c>
      <c r="F5675" s="209" t="s">
        <v>3023</v>
      </c>
      <c r="G5675" s="410" t="str">
        <f t="shared" si="91"/>
        <v>16-16</v>
      </c>
      <c r="H5675" s="273" t="e">
        <f ca="1">_xludf.IFNA(VLOOKUP(E5675,'Urban Plastix Holds'!$I$37:$U$705,8,0),0)</f>
        <v>#NAME?</v>
      </c>
      <c r="I5675" s="274"/>
      <c r="J5675" s="274" t="e">
        <f t="shared" ca="1" si="92"/>
        <v>#NAME?</v>
      </c>
      <c r="K5675" s="274">
        <f t="shared" si="93"/>
        <v>0</v>
      </c>
      <c r="N5675" s="274"/>
    </row>
    <row r="5676" spans="5:14" ht="13.5" customHeight="1">
      <c r="E5676" s="209" t="s">
        <v>1860</v>
      </c>
      <c r="F5676" s="209" t="s">
        <v>3023</v>
      </c>
      <c r="G5676" s="411" t="str">
        <f t="shared" si="91"/>
        <v>13-01</v>
      </c>
      <c r="H5676" s="273" t="e">
        <f ca="1">_xludf.IFNA(VLOOKUP(E5676,'Urban Plastix Holds'!$I$37:$U$705,9,0),0)</f>
        <v>#NAME?</v>
      </c>
      <c r="I5676" s="274"/>
      <c r="J5676" s="274" t="e">
        <f t="shared" ca="1" si="92"/>
        <v>#NAME?</v>
      </c>
      <c r="K5676" s="274">
        <f t="shared" si="93"/>
        <v>0</v>
      </c>
      <c r="N5676" s="274"/>
    </row>
    <row r="5677" spans="5:14" ht="13.5" customHeight="1">
      <c r="E5677" s="209" t="s">
        <v>1860</v>
      </c>
      <c r="F5677" s="209" t="s">
        <v>3023</v>
      </c>
      <c r="G5677" s="413" t="str">
        <f t="shared" si="91"/>
        <v>07-13</v>
      </c>
      <c r="H5677" s="273" t="e">
        <f ca="1">_xludf.IFNA(VLOOKUP(E5677,'Urban Plastix Holds'!$I$37:$U$705,10,0),0)</f>
        <v>#NAME?</v>
      </c>
      <c r="I5677" s="274"/>
      <c r="J5677" s="274" t="e">
        <f t="shared" ca="1" si="92"/>
        <v>#NAME?</v>
      </c>
      <c r="K5677" s="274">
        <f t="shared" si="93"/>
        <v>0</v>
      </c>
      <c r="N5677" s="274"/>
    </row>
    <row r="5678" spans="5:14" ht="13.5" customHeight="1">
      <c r="E5678" s="209" t="s">
        <v>1860</v>
      </c>
      <c r="F5678" s="209" t="s">
        <v>3023</v>
      </c>
      <c r="G5678" s="414" t="str">
        <f t="shared" si="91"/>
        <v>11-26</v>
      </c>
      <c r="H5678" s="273" t="e">
        <f ca="1">_xludf.IFNA(VLOOKUP(E5678,'Urban Plastix Holds'!$I$37:$U$705,11,0),0)</f>
        <v>#NAME?</v>
      </c>
      <c r="I5678" s="274"/>
      <c r="J5678" s="274" t="e">
        <f t="shared" ca="1" si="92"/>
        <v>#NAME?</v>
      </c>
      <c r="K5678" s="274">
        <f t="shared" si="93"/>
        <v>0</v>
      </c>
      <c r="N5678" s="274"/>
    </row>
    <row r="5679" spans="5:14" ht="13.5" customHeight="1">
      <c r="E5679" s="209" t="s">
        <v>1860</v>
      </c>
      <c r="F5679" s="209" t="s">
        <v>3023</v>
      </c>
      <c r="G5679" s="415" t="str">
        <f t="shared" si="91"/>
        <v>18-01</v>
      </c>
      <c r="H5679" s="273" t="e">
        <f ca="1">_xludf.IFNA(VLOOKUP(E5679,'Urban Plastix Holds'!$I$37:$U$705,12,0),0)</f>
        <v>#NAME?</v>
      </c>
      <c r="I5679" s="274"/>
      <c r="J5679" s="274" t="e">
        <f t="shared" ca="1" si="92"/>
        <v>#NAME?</v>
      </c>
      <c r="K5679" s="274">
        <f t="shared" si="93"/>
        <v>0</v>
      </c>
      <c r="N5679" s="274"/>
    </row>
    <row r="5680" spans="5:14" ht="13.5" customHeight="1">
      <c r="E5680" s="209" t="s">
        <v>1860</v>
      </c>
      <c r="F5680" s="209" t="s">
        <v>3023</v>
      </c>
      <c r="G5680" s="416" t="str">
        <f t="shared" si="91"/>
        <v>Color Code</v>
      </c>
      <c r="H5680" s="273" t="e">
        <f ca="1">_xludf.IFNA(VLOOKUP(E5680,'Urban Plastix Holds'!$I$37:$U$705,13,0),0)</f>
        <v>#NAME?</v>
      </c>
      <c r="I5680" s="274"/>
      <c r="J5680" s="274" t="e">
        <f t="shared" ca="1" si="92"/>
        <v>#NAME?</v>
      </c>
      <c r="K5680" s="274">
        <f t="shared" si="93"/>
        <v>0</v>
      </c>
      <c r="N5680" s="274"/>
    </row>
    <row r="5681" spans="5:14" ht="13.5" customHeight="1">
      <c r="E5681" s="209" t="s">
        <v>1545</v>
      </c>
      <c r="F5681" s="209" t="s">
        <v>3024</v>
      </c>
      <c r="G5681" s="406" t="str">
        <f t="shared" si="91"/>
        <v>11-12</v>
      </c>
      <c r="H5681" s="273" t="e">
        <f ca="1">_xludf.IFNA(VLOOKUP(E5681,'Urban Plastix Holds'!$I$37:$U$705,5,0),0)</f>
        <v>#NAME?</v>
      </c>
      <c r="I5681" s="274"/>
      <c r="J5681" s="274" t="e">
        <f t="shared" ca="1" si="92"/>
        <v>#NAME?</v>
      </c>
      <c r="K5681" s="274">
        <f t="shared" si="93"/>
        <v>0</v>
      </c>
      <c r="N5681" s="274"/>
    </row>
    <row r="5682" spans="5:14" ht="13.5" customHeight="1">
      <c r="E5682" s="209" t="s">
        <v>1545</v>
      </c>
      <c r="F5682" s="209" t="s">
        <v>3024</v>
      </c>
      <c r="G5682" s="408" t="str">
        <f t="shared" si="91"/>
        <v>14-01</v>
      </c>
      <c r="H5682" s="273" t="e">
        <f ca="1">_xludf.IFNA(VLOOKUP(E5682,'Urban Plastix Holds'!$I$37:$U$705,6,0),0)</f>
        <v>#NAME?</v>
      </c>
      <c r="I5682" s="274"/>
      <c r="J5682" s="274" t="e">
        <f t="shared" ca="1" si="92"/>
        <v>#NAME?</v>
      </c>
      <c r="K5682" s="274">
        <f t="shared" si="93"/>
        <v>0</v>
      </c>
      <c r="N5682" s="274"/>
    </row>
    <row r="5683" spans="5:14" ht="13.5" customHeight="1">
      <c r="E5683" s="209" t="s">
        <v>1545</v>
      </c>
      <c r="F5683" s="209" t="s">
        <v>3024</v>
      </c>
      <c r="G5683" s="409" t="str">
        <f t="shared" si="91"/>
        <v>15-12</v>
      </c>
      <c r="H5683" s="273" t="e">
        <f ca="1">_xludf.IFNA(VLOOKUP(E5683,'Urban Plastix Holds'!$I$37:$U$705,7,0),0)</f>
        <v>#NAME?</v>
      </c>
      <c r="I5683" s="274"/>
      <c r="J5683" s="274" t="e">
        <f t="shared" ca="1" si="92"/>
        <v>#NAME?</v>
      </c>
      <c r="K5683" s="274">
        <f t="shared" si="93"/>
        <v>0</v>
      </c>
      <c r="N5683" s="274"/>
    </row>
    <row r="5684" spans="5:14" ht="13.5" customHeight="1">
      <c r="E5684" s="209" t="s">
        <v>1545</v>
      </c>
      <c r="F5684" s="209" t="s">
        <v>3024</v>
      </c>
      <c r="G5684" s="410" t="str">
        <f t="shared" si="91"/>
        <v>16-16</v>
      </c>
      <c r="H5684" s="273" t="e">
        <f ca="1">_xludf.IFNA(VLOOKUP(E5684,'Urban Plastix Holds'!$I$37:$U$705,8,0),0)</f>
        <v>#NAME?</v>
      </c>
      <c r="I5684" s="274"/>
      <c r="J5684" s="274" t="e">
        <f t="shared" ca="1" si="92"/>
        <v>#NAME?</v>
      </c>
      <c r="K5684" s="274">
        <f t="shared" si="93"/>
        <v>0</v>
      </c>
      <c r="N5684" s="274"/>
    </row>
    <row r="5685" spans="5:14" ht="13.5" customHeight="1">
      <c r="E5685" s="209" t="s">
        <v>1545</v>
      </c>
      <c r="F5685" s="209" t="s">
        <v>3024</v>
      </c>
      <c r="G5685" s="411" t="str">
        <f t="shared" si="91"/>
        <v>13-01</v>
      </c>
      <c r="H5685" s="273" t="e">
        <f ca="1">_xludf.IFNA(VLOOKUP(E5685,'Urban Plastix Holds'!$I$37:$U$705,9,0),0)</f>
        <v>#NAME?</v>
      </c>
      <c r="I5685" s="274"/>
      <c r="J5685" s="274" t="e">
        <f t="shared" ca="1" si="92"/>
        <v>#NAME?</v>
      </c>
      <c r="K5685" s="274">
        <f t="shared" si="93"/>
        <v>0</v>
      </c>
      <c r="N5685" s="274"/>
    </row>
    <row r="5686" spans="5:14" ht="13.5" customHeight="1">
      <c r="E5686" s="209" t="s">
        <v>1545</v>
      </c>
      <c r="F5686" s="209" t="s">
        <v>3024</v>
      </c>
      <c r="G5686" s="413" t="str">
        <f t="shared" si="91"/>
        <v>07-13</v>
      </c>
      <c r="H5686" s="273" t="e">
        <f ca="1">_xludf.IFNA(VLOOKUP(E5686,'Urban Plastix Holds'!$I$37:$U$705,10,0),0)</f>
        <v>#NAME?</v>
      </c>
      <c r="I5686" s="274"/>
      <c r="J5686" s="274" t="e">
        <f t="shared" ca="1" si="92"/>
        <v>#NAME?</v>
      </c>
      <c r="K5686" s="274">
        <f t="shared" si="93"/>
        <v>0</v>
      </c>
      <c r="N5686" s="274"/>
    </row>
    <row r="5687" spans="5:14" ht="13.5" customHeight="1">
      <c r="E5687" s="209" t="s">
        <v>1545</v>
      </c>
      <c r="F5687" s="209" t="s">
        <v>3024</v>
      </c>
      <c r="G5687" s="414" t="str">
        <f t="shared" si="91"/>
        <v>11-26</v>
      </c>
      <c r="H5687" s="273" t="e">
        <f ca="1">_xludf.IFNA(VLOOKUP(E5687,'Urban Plastix Holds'!$I$37:$U$705,11,0),0)</f>
        <v>#NAME?</v>
      </c>
      <c r="I5687" s="274"/>
      <c r="J5687" s="274" t="e">
        <f t="shared" ca="1" si="92"/>
        <v>#NAME?</v>
      </c>
      <c r="K5687" s="274">
        <f t="shared" si="93"/>
        <v>0</v>
      </c>
      <c r="N5687" s="274"/>
    </row>
    <row r="5688" spans="5:14" ht="13.5" customHeight="1">
      <c r="E5688" s="209" t="s">
        <v>1545</v>
      </c>
      <c r="F5688" s="209" t="s">
        <v>3024</v>
      </c>
      <c r="G5688" s="415" t="str">
        <f t="shared" si="91"/>
        <v>18-01</v>
      </c>
      <c r="H5688" s="273" t="e">
        <f ca="1">_xludf.IFNA(VLOOKUP(E5688,'Urban Plastix Holds'!$I$37:$U$705,12,0),0)</f>
        <v>#NAME?</v>
      </c>
      <c r="I5688" s="274"/>
      <c r="J5688" s="274" t="e">
        <f t="shared" ca="1" si="92"/>
        <v>#NAME?</v>
      </c>
      <c r="K5688" s="274">
        <f t="shared" si="93"/>
        <v>0</v>
      </c>
      <c r="N5688" s="274"/>
    </row>
    <row r="5689" spans="5:14" ht="13.5" customHeight="1">
      <c r="E5689" s="209" t="s">
        <v>1545</v>
      </c>
      <c r="F5689" s="209" t="s">
        <v>3024</v>
      </c>
      <c r="G5689" s="416" t="str">
        <f t="shared" si="91"/>
        <v>Color Code</v>
      </c>
      <c r="H5689" s="273" t="e">
        <f ca="1">_xludf.IFNA(VLOOKUP(E5689,'Urban Plastix Holds'!$I$37:$U$705,13,0),0)</f>
        <v>#NAME?</v>
      </c>
      <c r="I5689" s="274"/>
      <c r="J5689" s="274" t="e">
        <f t="shared" ca="1" si="92"/>
        <v>#NAME?</v>
      </c>
      <c r="K5689" s="274">
        <f t="shared" si="93"/>
        <v>0</v>
      </c>
      <c r="N5689" s="274"/>
    </row>
    <row r="5690" spans="5:14" ht="13.5" customHeight="1">
      <c r="E5690" s="209" t="s">
        <v>1482</v>
      </c>
      <c r="F5690" s="209" t="s">
        <v>3025</v>
      </c>
      <c r="G5690" s="406" t="str">
        <f t="shared" si="91"/>
        <v>11-12</v>
      </c>
      <c r="H5690" s="273" t="e">
        <f ca="1">_xludf.IFNA(VLOOKUP(E5690,'Urban Plastix Holds'!$I$37:$U$705,5,0),0)</f>
        <v>#NAME?</v>
      </c>
      <c r="I5690" s="274"/>
      <c r="J5690" s="274" t="e">
        <f t="shared" ca="1" si="92"/>
        <v>#NAME?</v>
      </c>
      <c r="K5690" s="274">
        <f t="shared" si="93"/>
        <v>0</v>
      </c>
      <c r="N5690" s="274"/>
    </row>
    <row r="5691" spans="5:14" ht="13.5" customHeight="1">
      <c r="E5691" s="209" t="s">
        <v>1482</v>
      </c>
      <c r="F5691" s="209" t="s">
        <v>3025</v>
      </c>
      <c r="G5691" s="408" t="str">
        <f t="shared" si="91"/>
        <v>14-01</v>
      </c>
      <c r="H5691" s="273" t="e">
        <f ca="1">_xludf.IFNA(VLOOKUP(E5691,'Urban Plastix Holds'!$I$37:$U$705,6,0),0)</f>
        <v>#NAME?</v>
      </c>
      <c r="I5691" s="274"/>
      <c r="J5691" s="274" t="e">
        <f t="shared" ca="1" si="92"/>
        <v>#NAME?</v>
      </c>
      <c r="K5691" s="274">
        <f t="shared" si="93"/>
        <v>0</v>
      </c>
      <c r="N5691" s="274"/>
    </row>
    <row r="5692" spans="5:14" ht="13.5" customHeight="1">
      <c r="E5692" s="209" t="s">
        <v>1482</v>
      </c>
      <c r="F5692" s="209" t="s">
        <v>3025</v>
      </c>
      <c r="G5692" s="409" t="str">
        <f t="shared" si="91"/>
        <v>15-12</v>
      </c>
      <c r="H5692" s="273" t="e">
        <f ca="1">_xludf.IFNA(VLOOKUP(E5692,'Urban Plastix Holds'!$I$37:$U$705,7,0),0)</f>
        <v>#NAME?</v>
      </c>
      <c r="I5692" s="274"/>
      <c r="J5692" s="274" t="e">
        <f t="shared" ca="1" si="92"/>
        <v>#NAME?</v>
      </c>
      <c r="K5692" s="274">
        <f t="shared" si="93"/>
        <v>0</v>
      </c>
      <c r="N5692" s="274"/>
    </row>
    <row r="5693" spans="5:14" ht="13.5" customHeight="1">
      <c r="E5693" s="209" t="s">
        <v>1482</v>
      </c>
      <c r="F5693" s="209" t="s">
        <v>3025</v>
      </c>
      <c r="G5693" s="410" t="str">
        <f t="shared" si="91"/>
        <v>16-16</v>
      </c>
      <c r="H5693" s="273" t="e">
        <f ca="1">_xludf.IFNA(VLOOKUP(E5693,'Urban Plastix Holds'!$I$37:$U$705,8,0),0)</f>
        <v>#NAME?</v>
      </c>
      <c r="I5693" s="274"/>
      <c r="J5693" s="274" t="e">
        <f t="shared" ca="1" si="92"/>
        <v>#NAME?</v>
      </c>
      <c r="K5693" s="274">
        <f t="shared" si="93"/>
        <v>0</v>
      </c>
      <c r="N5693" s="274"/>
    </row>
    <row r="5694" spans="5:14" ht="13.5" customHeight="1">
      <c r="E5694" s="209" t="s">
        <v>1482</v>
      </c>
      <c r="F5694" s="209" t="s">
        <v>3025</v>
      </c>
      <c r="G5694" s="411" t="str">
        <f t="shared" si="91"/>
        <v>13-01</v>
      </c>
      <c r="H5694" s="273" t="e">
        <f ca="1">_xludf.IFNA(VLOOKUP(E5694,'Urban Plastix Holds'!$I$37:$U$705,9,0),0)</f>
        <v>#NAME?</v>
      </c>
      <c r="I5694" s="274"/>
      <c r="J5694" s="274" t="e">
        <f t="shared" ca="1" si="92"/>
        <v>#NAME?</v>
      </c>
      <c r="K5694" s="274">
        <f t="shared" si="93"/>
        <v>0</v>
      </c>
      <c r="N5694" s="274"/>
    </row>
    <row r="5695" spans="5:14" ht="13.5" customHeight="1">
      <c r="E5695" s="209" t="s">
        <v>1482</v>
      </c>
      <c r="F5695" s="209" t="s">
        <v>3025</v>
      </c>
      <c r="G5695" s="413" t="str">
        <f t="shared" si="91"/>
        <v>07-13</v>
      </c>
      <c r="H5695" s="273" t="e">
        <f ca="1">_xludf.IFNA(VLOOKUP(E5695,'Urban Plastix Holds'!$I$37:$U$705,10,0),0)</f>
        <v>#NAME?</v>
      </c>
      <c r="I5695" s="274"/>
      <c r="J5695" s="274" t="e">
        <f t="shared" ca="1" si="92"/>
        <v>#NAME?</v>
      </c>
      <c r="K5695" s="274">
        <f t="shared" si="93"/>
        <v>0</v>
      </c>
      <c r="N5695" s="274"/>
    </row>
    <row r="5696" spans="5:14" ht="13.5" customHeight="1">
      <c r="E5696" s="209" t="s">
        <v>1482</v>
      </c>
      <c r="F5696" s="209" t="s">
        <v>3025</v>
      </c>
      <c r="G5696" s="414" t="str">
        <f t="shared" si="91"/>
        <v>11-26</v>
      </c>
      <c r="H5696" s="273" t="e">
        <f ca="1">_xludf.IFNA(VLOOKUP(E5696,'Urban Plastix Holds'!$I$37:$U$705,11,0),0)</f>
        <v>#NAME?</v>
      </c>
      <c r="I5696" s="274"/>
      <c r="J5696" s="274" t="e">
        <f t="shared" ca="1" si="92"/>
        <v>#NAME?</v>
      </c>
      <c r="K5696" s="274">
        <f t="shared" si="93"/>
        <v>0</v>
      </c>
      <c r="N5696" s="274"/>
    </row>
    <row r="5697" spans="5:14" ht="13.5" customHeight="1">
      <c r="E5697" s="209" t="s">
        <v>1482</v>
      </c>
      <c r="F5697" s="209" t="s">
        <v>3025</v>
      </c>
      <c r="G5697" s="415" t="str">
        <f t="shared" si="91"/>
        <v>18-01</v>
      </c>
      <c r="H5697" s="273" t="e">
        <f ca="1">_xludf.IFNA(VLOOKUP(E5697,'Urban Plastix Holds'!$I$37:$U$705,12,0),0)</f>
        <v>#NAME?</v>
      </c>
      <c r="I5697" s="274"/>
      <c r="J5697" s="274" t="e">
        <f t="shared" ca="1" si="92"/>
        <v>#NAME?</v>
      </c>
      <c r="K5697" s="274">
        <f t="shared" si="93"/>
        <v>0</v>
      </c>
      <c r="N5697" s="274"/>
    </row>
    <row r="5698" spans="5:14" ht="13.5" customHeight="1">
      <c r="E5698" s="209" t="s">
        <v>1482</v>
      </c>
      <c r="F5698" s="209" t="s">
        <v>3025</v>
      </c>
      <c r="G5698" s="416" t="str">
        <f t="shared" si="91"/>
        <v>Color Code</v>
      </c>
      <c r="H5698" s="273" t="e">
        <f ca="1">_xludf.IFNA(VLOOKUP(E5698,'Urban Plastix Holds'!$I$37:$U$705,13,0),0)</f>
        <v>#NAME?</v>
      </c>
      <c r="I5698" s="274"/>
      <c r="J5698" s="274" t="e">
        <f t="shared" ca="1" si="92"/>
        <v>#NAME?</v>
      </c>
      <c r="K5698" s="274">
        <f t="shared" si="93"/>
        <v>0</v>
      </c>
      <c r="N5698" s="274"/>
    </row>
    <row r="5699" spans="5:14" ht="13.5" customHeight="1">
      <c r="E5699" s="209" t="s">
        <v>1479</v>
      </c>
      <c r="F5699" s="209" t="s">
        <v>3026</v>
      </c>
      <c r="G5699" s="406" t="str">
        <f t="shared" si="91"/>
        <v>11-12</v>
      </c>
      <c r="H5699" s="273" t="e">
        <f ca="1">_xludf.IFNA(VLOOKUP(E5699,'Urban Plastix Holds'!$I$37:$U$705,5,0),0)</f>
        <v>#NAME?</v>
      </c>
      <c r="I5699" s="274"/>
      <c r="J5699" s="274" t="e">
        <f t="shared" ca="1" si="92"/>
        <v>#NAME?</v>
      </c>
      <c r="K5699" s="274">
        <f t="shared" si="93"/>
        <v>0</v>
      </c>
      <c r="N5699" s="274"/>
    </row>
    <row r="5700" spans="5:14" ht="13.5" customHeight="1">
      <c r="E5700" s="209" t="s">
        <v>1479</v>
      </c>
      <c r="F5700" s="209" t="s">
        <v>3026</v>
      </c>
      <c r="G5700" s="408" t="str">
        <f t="shared" si="91"/>
        <v>14-01</v>
      </c>
      <c r="H5700" s="273" t="e">
        <f ca="1">_xludf.IFNA(VLOOKUP(E5700,'Urban Plastix Holds'!$I$37:$U$705,6,0),0)</f>
        <v>#NAME?</v>
      </c>
      <c r="I5700" s="274"/>
      <c r="J5700" s="274" t="e">
        <f t="shared" ca="1" si="92"/>
        <v>#NAME?</v>
      </c>
      <c r="K5700" s="274">
        <f t="shared" si="93"/>
        <v>0</v>
      </c>
      <c r="N5700" s="274"/>
    </row>
    <row r="5701" spans="5:14" ht="13.5" customHeight="1">
      <c r="E5701" s="209" t="s">
        <v>1479</v>
      </c>
      <c r="F5701" s="209" t="s">
        <v>3026</v>
      </c>
      <c r="G5701" s="409" t="str">
        <f t="shared" si="91"/>
        <v>15-12</v>
      </c>
      <c r="H5701" s="273" t="e">
        <f ca="1">_xludf.IFNA(VLOOKUP(E5701,'Urban Plastix Holds'!$I$37:$U$705,7,0),0)</f>
        <v>#NAME?</v>
      </c>
      <c r="I5701" s="274"/>
      <c r="J5701" s="274" t="e">
        <f t="shared" ca="1" si="92"/>
        <v>#NAME?</v>
      </c>
      <c r="K5701" s="274">
        <f t="shared" si="93"/>
        <v>0</v>
      </c>
      <c r="N5701" s="274"/>
    </row>
    <row r="5702" spans="5:14" ht="13.5" customHeight="1">
      <c r="E5702" s="209" t="s">
        <v>1479</v>
      </c>
      <c r="F5702" s="209" t="s">
        <v>3026</v>
      </c>
      <c r="G5702" s="410" t="str">
        <f t="shared" si="91"/>
        <v>16-16</v>
      </c>
      <c r="H5702" s="273" t="e">
        <f ca="1">_xludf.IFNA(VLOOKUP(E5702,'Urban Plastix Holds'!$I$37:$U$705,8,0),0)</f>
        <v>#NAME?</v>
      </c>
      <c r="I5702" s="274"/>
      <c r="J5702" s="274" t="e">
        <f t="shared" ca="1" si="92"/>
        <v>#NAME?</v>
      </c>
      <c r="K5702" s="274">
        <f t="shared" si="93"/>
        <v>0</v>
      </c>
      <c r="N5702" s="274"/>
    </row>
    <row r="5703" spans="5:14" ht="13.5" customHeight="1">
      <c r="E5703" s="209" t="s">
        <v>1479</v>
      </c>
      <c r="F5703" s="209" t="s">
        <v>3026</v>
      </c>
      <c r="G5703" s="411" t="str">
        <f t="shared" si="91"/>
        <v>13-01</v>
      </c>
      <c r="H5703" s="273" t="e">
        <f ca="1">_xludf.IFNA(VLOOKUP(E5703,'Urban Plastix Holds'!$I$37:$U$705,9,0),0)</f>
        <v>#NAME?</v>
      </c>
      <c r="I5703" s="274"/>
      <c r="J5703" s="274" t="e">
        <f t="shared" ca="1" si="92"/>
        <v>#NAME?</v>
      </c>
      <c r="K5703" s="274">
        <f t="shared" si="93"/>
        <v>0</v>
      </c>
      <c r="N5703" s="274"/>
    </row>
    <row r="5704" spans="5:14" ht="13.5" customHeight="1">
      <c r="E5704" s="209" t="s">
        <v>1479</v>
      </c>
      <c r="F5704" s="209" t="s">
        <v>3026</v>
      </c>
      <c r="G5704" s="413" t="str">
        <f t="shared" si="91"/>
        <v>07-13</v>
      </c>
      <c r="H5704" s="273" t="e">
        <f ca="1">_xludf.IFNA(VLOOKUP(E5704,'Urban Plastix Holds'!$I$37:$U$705,10,0),0)</f>
        <v>#NAME?</v>
      </c>
      <c r="I5704" s="274"/>
      <c r="J5704" s="274" t="e">
        <f t="shared" ca="1" si="92"/>
        <v>#NAME?</v>
      </c>
      <c r="K5704" s="274">
        <f t="shared" si="93"/>
        <v>0</v>
      </c>
      <c r="N5704" s="274"/>
    </row>
    <row r="5705" spans="5:14" ht="13.5" customHeight="1">
      <c r="E5705" s="209" t="s">
        <v>1479</v>
      </c>
      <c r="F5705" s="209" t="s">
        <v>3026</v>
      </c>
      <c r="G5705" s="414" t="str">
        <f t="shared" si="91"/>
        <v>11-26</v>
      </c>
      <c r="H5705" s="273" t="e">
        <f ca="1">_xludf.IFNA(VLOOKUP(E5705,'Urban Plastix Holds'!$I$37:$U$705,11,0),0)</f>
        <v>#NAME?</v>
      </c>
      <c r="I5705" s="274"/>
      <c r="J5705" s="274" t="e">
        <f t="shared" ca="1" si="92"/>
        <v>#NAME?</v>
      </c>
      <c r="K5705" s="274">
        <f t="shared" si="93"/>
        <v>0</v>
      </c>
      <c r="N5705" s="274"/>
    </row>
    <row r="5706" spans="5:14" ht="13.5" customHeight="1">
      <c r="E5706" s="209" t="s">
        <v>1479</v>
      </c>
      <c r="F5706" s="209" t="s">
        <v>3026</v>
      </c>
      <c r="G5706" s="415" t="str">
        <f t="shared" si="91"/>
        <v>18-01</v>
      </c>
      <c r="H5706" s="273" t="e">
        <f ca="1">_xludf.IFNA(VLOOKUP(E5706,'Urban Plastix Holds'!$I$37:$U$705,12,0),0)</f>
        <v>#NAME?</v>
      </c>
      <c r="I5706" s="274"/>
      <c r="J5706" s="274" t="e">
        <f t="shared" ca="1" si="92"/>
        <v>#NAME?</v>
      </c>
      <c r="K5706" s="274">
        <f t="shared" si="93"/>
        <v>0</v>
      </c>
      <c r="N5706" s="274"/>
    </row>
    <row r="5707" spans="5:14" ht="13.5" customHeight="1">
      <c r="E5707" s="209" t="s">
        <v>1479</v>
      </c>
      <c r="F5707" s="209" t="s">
        <v>3026</v>
      </c>
      <c r="G5707" s="416" t="str">
        <f t="shared" si="91"/>
        <v>Color Code</v>
      </c>
      <c r="H5707" s="273" t="e">
        <f ca="1">_xludf.IFNA(VLOOKUP(E5707,'Urban Plastix Holds'!$I$37:$U$705,13,0),0)</f>
        <v>#NAME?</v>
      </c>
      <c r="I5707" s="274"/>
      <c r="J5707" s="274" t="e">
        <f t="shared" ca="1" si="92"/>
        <v>#NAME?</v>
      </c>
      <c r="K5707" s="274">
        <f t="shared" si="93"/>
        <v>0</v>
      </c>
      <c r="N5707" s="274"/>
    </row>
    <row r="5708" spans="5:14" ht="13.5" customHeight="1">
      <c r="E5708" s="209" t="s">
        <v>1277</v>
      </c>
      <c r="F5708" s="209" t="s">
        <v>3027</v>
      </c>
      <c r="G5708" s="406" t="str">
        <f t="shared" si="91"/>
        <v>11-12</v>
      </c>
      <c r="H5708" s="273" t="e">
        <f ca="1">_xludf.IFNA(VLOOKUP(E5708,'Urban Plastix Holds'!$I$37:$U$705,5,0),0)</f>
        <v>#NAME?</v>
      </c>
      <c r="I5708" s="274"/>
      <c r="J5708" s="274" t="e">
        <f t="shared" ca="1" si="92"/>
        <v>#NAME?</v>
      </c>
      <c r="K5708" s="274">
        <f t="shared" si="93"/>
        <v>0</v>
      </c>
      <c r="N5708" s="274"/>
    </row>
    <row r="5709" spans="5:14" ht="13.5" customHeight="1">
      <c r="E5709" s="209" t="s">
        <v>1277</v>
      </c>
      <c r="F5709" s="209" t="s">
        <v>3027</v>
      </c>
      <c r="G5709" s="408" t="str">
        <f t="shared" si="91"/>
        <v>14-01</v>
      </c>
      <c r="H5709" s="273" t="e">
        <f ca="1">_xludf.IFNA(VLOOKUP(E5709,'Urban Plastix Holds'!$I$37:$U$705,6,0),0)</f>
        <v>#NAME?</v>
      </c>
      <c r="I5709" s="274"/>
      <c r="J5709" s="274" t="e">
        <f t="shared" ca="1" si="92"/>
        <v>#NAME?</v>
      </c>
      <c r="K5709" s="274">
        <f t="shared" si="93"/>
        <v>0</v>
      </c>
      <c r="N5709" s="274"/>
    </row>
    <row r="5710" spans="5:14" ht="13.5" customHeight="1">
      <c r="E5710" s="209" t="s">
        <v>1277</v>
      </c>
      <c r="F5710" s="209" t="s">
        <v>3027</v>
      </c>
      <c r="G5710" s="409" t="str">
        <f t="shared" si="91"/>
        <v>15-12</v>
      </c>
      <c r="H5710" s="273" t="e">
        <f ca="1">_xludf.IFNA(VLOOKUP(E5710,'Urban Plastix Holds'!$I$37:$U$705,7,0),0)</f>
        <v>#NAME?</v>
      </c>
      <c r="I5710" s="274"/>
      <c r="J5710" s="274" t="e">
        <f t="shared" ca="1" si="92"/>
        <v>#NAME?</v>
      </c>
      <c r="K5710" s="274">
        <f t="shared" si="93"/>
        <v>0</v>
      </c>
      <c r="N5710" s="274"/>
    </row>
    <row r="5711" spans="5:14" ht="13.5" customHeight="1">
      <c r="E5711" s="209" t="s">
        <v>1277</v>
      </c>
      <c r="F5711" s="209" t="s">
        <v>3027</v>
      </c>
      <c r="G5711" s="410" t="str">
        <f t="shared" si="91"/>
        <v>16-16</v>
      </c>
      <c r="H5711" s="273" t="e">
        <f ca="1">_xludf.IFNA(VLOOKUP(E5711,'Urban Plastix Holds'!$I$37:$U$705,8,0),0)</f>
        <v>#NAME?</v>
      </c>
      <c r="I5711" s="274"/>
      <c r="J5711" s="274" t="e">
        <f t="shared" ca="1" si="92"/>
        <v>#NAME?</v>
      </c>
      <c r="K5711" s="274">
        <f t="shared" si="93"/>
        <v>0</v>
      </c>
      <c r="N5711" s="274"/>
    </row>
    <row r="5712" spans="5:14" ht="13.5" customHeight="1">
      <c r="E5712" s="209" t="s">
        <v>1277</v>
      </c>
      <c r="F5712" s="209" t="s">
        <v>3027</v>
      </c>
      <c r="G5712" s="411" t="str">
        <f t="shared" si="91"/>
        <v>13-01</v>
      </c>
      <c r="H5712" s="273" t="e">
        <f ca="1">_xludf.IFNA(VLOOKUP(E5712,'Urban Plastix Holds'!$I$37:$U$705,9,0),0)</f>
        <v>#NAME?</v>
      </c>
      <c r="I5712" s="274"/>
      <c r="J5712" s="274" t="e">
        <f t="shared" ca="1" si="92"/>
        <v>#NAME?</v>
      </c>
      <c r="K5712" s="274">
        <f t="shared" si="93"/>
        <v>0</v>
      </c>
      <c r="N5712" s="274"/>
    </row>
    <row r="5713" spans="5:14" ht="13.5" customHeight="1">
      <c r="E5713" s="209" t="s">
        <v>1277</v>
      </c>
      <c r="F5713" s="209" t="s">
        <v>3027</v>
      </c>
      <c r="G5713" s="413" t="str">
        <f t="shared" si="91"/>
        <v>07-13</v>
      </c>
      <c r="H5713" s="273" t="e">
        <f ca="1">_xludf.IFNA(VLOOKUP(E5713,'Urban Plastix Holds'!$I$37:$U$705,10,0),0)</f>
        <v>#NAME?</v>
      </c>
      <c r="I5713" s="274"/>
      <c r="J5713" s="274" t="e">
        <f t="shared" ca="1" si="92"/>
        <v>#NAME?</v>
      </c>
      <c r="K5713" s="274">
        <f t="shared" si="93"/>
        <v>0</v>
      </c>
      <c r="N5713" s="274"/>
    </row>
    <row r="5714" spans="5:14" ht="13.5" customHeight="1">
      <c r="E5714" s="209" t="s">
        <v>1277</v>
      </c>
      <c r="F5714" s="209" t="s">
        <v>3027</v>
      </c>
      <c r="G5714" s="414" t="str">
        <f t="shared" si="91"/>
        <v>11-26</v>
      </c>
      <c r="H5714" s="273" t="e">
        <f ca="1">_xludf.IFNA(VLOOKUP(E5714,'Urban Plastix Holds'!$I$37:$U$705,11,0),0)</f>
        <v>#NAME?</v>
      </c>
      <c r="I5714" s="274"/>
      <c r="J5714" s="274" t="e">
        <f t="shared" ca="1" si="92"/>
        <v>#NAME?</v>
      </c>
      <c r="K5714" s="274">
        <f t="shared" si="93"/>
        <v>0</v>
      </c>
      <c r="N5714" s="274"/>
    </row>
    <row r="5715" spans="5:14" ht="13.5" customHeight="1">
      <c r="E5715" s="209" t="s">
        <v>1277</v>
      </c>
      <c r="F5715" s="209" t="s">
        <v>3027</v>
      </c>
      <c r="G5715" s="415" t="str">
        <f t="shared" si="91"/>
        <v>18-01</v>
      </c>
      <c r="H5715" s="273" t="e">
        <f ca="1">_xludf.IFNA(VLOOKUP(E5715,'Urban Plastix Holds'!$I$37:$U$705,12,0),0)</f>
        <v>#NAME?</v>
      </c>
      <c r="I5715" s="274"/>
      <c r="J5715" s="274" t="e">
        <f t="shared" ca="1" si="92"/>
        <v>#NAME?</v>
      </c>
      <c r="K5715" s="274">
        <f t="shared" si="93"/>
        <v>0</v>
      </c>
      <c r="N5715" s="274"/>
    </row>
    <row r="5716" spans="5:14" ht="13.5" customHeight="1">
      <c r="E5716" s="209" t="s">
        <v>1277</v>
      </c>
      <c r="F5716" s="209" t="s">
        <v>3027</v>
      </c>
      <c r="G5716" s="416" t="str">
        <f t="shared" si="91"/>
        <v>Color Code</v>
      </c>
      <c r="H5716" s="273" t="e">
        <f ca="1">_xludf.IFNA(VLOOKUP(E5716,'Urban Plastix Holds'!$I$37:$U$705,13,0),0)</f>
        <v>#NAME?</v>
      </c>
      <c r="I5716" s="274"/>
      <c r="J5716" s="274" t="e">
        <f t="shared" ca="1" si="92"/>
        <v>#NAME?</v>
      </c>
      <c r="K5716" s="274">
        <f t="shared" si="93"/>
        <v>0</v>
      </c>
      <c r="N5716" s="274"/>
    </row>
    <row r="5717" spans="5:14" ht="13.5" customHeight="1">
      <c r="E5717" s="209" t="s">
        <v>1280</v>
      </c>
      <c r="F5717" s="209" t="s">
        <v>3028</v>
      </c>
      <c r="G5717" s="406" t="str">
        <f t="shared" si="91"/>
        <v>11-12</v>
      </c>
      <c r="H5717" s="273" t="e">
        <f ca="1">_xludf.IFNA(VLOOKUP(E5717,'Urban Plastix Holds'!$I$37:$U$705,5,0),0)</f>
        <v>#NAME?</v>
      </c>
      <c r="I5717" s="274"/>
      <c r="J5717" s="274" t="e">
        <f t="shared" ca="1" si="92"/>
        <v>#NAME?</v>
      </c>
      <c r="K5717" s="274">
        <f t="shared" si="93"/>
        <v>0</v>
      </c>
      <c r="N5717" s="274"/>
    </row>
    <row r="5718" spans="5:14" ht="13.5" customHeight="1">
      <c r="E5718" s="209" t="s">
        <v>1280</v>
      </c>
      <c r="F5718" s="209" t="s">
        <v>3028</v>
      </c>
      <c r="G5718" s="408" t="str">
        <f t="shared" si="91"/>
        <v>14-01</v>
      </c>
      <c r="H5718" s="273" t="e">
        <f ca="1">_xludf.IFNA(VLOOKUP(E5718,'Urban Plastix Holds'!$I$37:$U$705,6,0),0)</f>
        <v>#NAME?</v>
      </c>
      <c r="I5718" s="274"/>
      <c r="J5718" s="274" t="e">
        <f t="shared" ca="1" si="92"/>
        <v>#NAME?</v>
      </c>
      <c r="K5718" s="274">
        <f t="shared" si="93"/>
        <v>0</v>
      </c>
      <c r="N5718" s="274"/>
    </row>
    <row r="5719" spans="5:14" ht="13.5" customHeight="1">
      <c r="E5719" s="209" t="s">
        <v>1280</v>
      </c>
      <c r="F5719" s="209" t="s">
        <v>3028</v>
      </c>
      <c r="G5719" s="409" t="str">
        <f t="shared" si="91"/>
        <v>15-12</v>
      </c>
      <c r="H5719" s="273" t="e">
        <f ca="1">_xludf.IFNA(VLOOKUP(E5719,'Urban Plastix Holds'!$I$37:$U$705,7,0),0)</f>
        <v>#NAME?</v>
      </c>
      <c r="I5719" s="274"/>
      <c r="J5719" s="274" t="e">
        <f t="shared" ca="1" si="92"/>
        <v>#NAME?</v>
      </c>
      <c r="K5719" s="274">
        <f t="shared" si="93"/>
        <v>0</v>
      </c>
      <c r="N5719" s="274"/>
    </row>
    <row r="5720" spans="5:14" ht="13.5" customHeight="1">
      <c r="E5720" s="209" t="s">
        <v>1280</v>
      </c>
      <c r="F5720" s="209" t="s">
        <v>3028</v>
      </c>
      <c r="G5720" s="410" t="str">
        <f t="shared" si="91"/>
        <v>16-16</v>
      </c>
      <c r="H5720" s="273" t="e">
        <f ca="1">_xludf.IFNA(VLOOKUP(E5720,'Urban Plastix Holds'!$I$37:$U$705,8,0),0)</f>
        <v>#NAME?</v>
      </c>
      <c r="I5720" s="274"/>
      <c r="J5720" s="274" t="e">
        <f t="shared" ca="1" si="92"/>
        <v>#NAME?</v>
      </c>
      <c r="K5720" s="274">
        <f t="shared" si="93"/>
        <v>0</v>
      </c>
      <c r="N5720" s="274"/>
    </row>
    <row r="5721" spans="5:14" ht="13.5" customHeight="1">
      <c r="E5721" s="209" t="s">
        <v>1280</v>
      </c>
      <c r="F5721" s="209" t="s">
        <v>3028</v>
      </c>
      <c r="G5721" s="411" t="str">
        <f t="shared" si="91"/>
        <v>13-01</v>
      </c>
      <c r="H5721" s="273" t="e">
        <f ca="1">_xludf.IFNA(VLOOKUP(E5721,'Urban Plastix Holds'!$I$37:$U$705,9,0),0)</f>
        <v>#NAME?</v>
      </c>
      <c r="I5721" s="274"/>
      <c r="J5721" s="274" t="e">
        <f t="shared" ca="1" si="92"/>
        <v>#NAME?</v>
      </c>
      <c r="K5721" s="274">
        <f t="shared" si="93"/>
        <v>0</v>
      </c>
      <c r="N5721" s="274"/>
    </row>
    <row r="5722" spans="5:14" ht="13.5" customHeight="1">
      <c r="E5722" s="209" t="s">
        <v>1280</v>
      </c>
      <c r="F5722" s="209" t="s">
        <v>3028</v>
      </c>
      <c r="G5722" s="413" t="str">
        <f t="shared" si="91"/>
        <v>07-13</v>
      </c>
      <c r="H5722" s="273" t="e">
        <f ca="1">_xludf.IFNA(VLOOKUP(E5722,'Urban Plastix Holds'!$I$37:$U$705,10,0),0)</f>
        <v>#NAME?</v>
      </c>
      <c r="I5722" s="274"/>
      <c r="J5722" s="274" t="e">
        <f t="shared" ca="1" si="92"/>
        <v>#NAME?</v>
      </c>
      <c r="K5722" s="274">
        <f t="shared" si="93"/>
        <v>0</v>
      </c>
      <c r="N5722" s="274"/>
    </row>
    <row r="5723" spans="5:14" ht="13.5" customHeight="1">
      <c r="E5723" s="209" t="s">
        <v>1280</v>
      </c>
      <c r="F5723" s="209" t="s">
        <v>3028</v>
      </c>
      <c r="G5723" s="414" t="str">
        <f t="shared" si="91"/>
        <v>11-26</v>
      </c>
      <c r="H5723" s="273" t="e">
        <f ca="1">_xludf.IFNA(VLOOKUP(E5723,'Urban Plastix Holds'!$I$37:$U$705,11,0),0)</f>
        <v>#NAME?</v>
      </c>
      <c r="I5723" s="274"/>
      <c r="J5723" s="274" t="e">
        <f t="shared" ca="1" si="92"/>
        <v>#NAME?</v>
      </c>
      <c r="K5723" s="274">
        <f t="shared" si="93"/>
        <v>0</v>
      </c>
      <c r="N5723" s="274"/>
    </row>
    <row r="5724" spans="5:14" ht="13.5" customHeight="1">
      <c r="E5724" s="209" t="s">
        <v>1280</v>
      </c>
      <c r="F5724" s="209" t="s">
        <v>3028</v>
      </c>
      <c r="G5724" s="415" t="str">
        <f t="shared" si="91"/>
        <v>18-01</v>
      </c>
      <c r="H5724" s="273" t="e">
        <f ca="1">_xludf.IFNA(VLOOKUP(E5724,'Urban Plastix Holds'!$I$37:$U$705,12,0),0)</f>
        <v>#NAME?</v>
      </c>
      <c r="I5724" s="274"/>
      <c r="J5724" s="274" t="e">
        <f t="shared" ca="1" si="92"/>
        <v>#NAME?</v>
      </c>
      <c r="K5724" s="274">
        <f t="shared" si="93"/>
        <v>0</v>
      </c>
      <c r="N5724" s="274"/>
    </row>
    <row r="5725" spans="5:14" ht="13.5" customHeight="1">
      <c r="E5725" s="209" t="s">
        <v>1280</v>
      </c>
      <c r="F5725" s="209" t="s">
        <v>3028</v>
      </c>
      <c r="G5725" s="416" t="str">
        <f t="shared" si="91"/>
        <v>Color Code</v>
      </c>
      <c r="H5725" s="273" t="e">
        <f ca="1">_xludf.IFNA(VLOOKUP(E5725,'Urban Plastix Holds'!$I$37:$U$705,13,0),0)</f>
        <v>#NAME?</v>
      </c>
      <c r="I5725" s="274"/>
      <c r="J5725" s="274" t="e">
        <f t="shared" ca="1" si="92"/>
        <v>#NAME?</v>
      </c>
      <c r="K5725" s="274">
        <f t="shared" si="93"/>
        <v>0</v>
      </c>
      <c r="N5725" s="274"/>
    </row>
    <row r="5726" spans="5:14" ht="13.5" customHeight="1">
      <c r="E5726" s="209" t="s">
        <v>1293</v>
      </c>
      <c r="F5726" s="209" t="s">
        <v>3029</v>
      </c>
      <c r="G5726" s="406" t="str">
        <f t="shared" si="91"/>
        <v>11-12</v>
      </c>
      <c r="H5726" s="273" t="e">
        <f ca="1">_xludf.IFNA(VLOOKUP(E5726,'Urban Plastix Holds'!$I$37:$U$705,5,0),0)</f>
        <v>#NAME?</v>
      </c>
      <c r="I5726" s="274"/>
      <c r="J5726" s="274" t="e">
        <f t="shared" ca="1" si="92"/>
        <v>#NAME?</v>
      </c>
      <c r="K5726" s="274">
        <f t="shared" si="93"/>
        <v>0</v>
      </c>
      <c r="N5726" s="274"/>
    </row>
    <row r="5727" spans="5:14" ht="13.5" customHeight="1">
      <c r="E5727" s="209" t="s">
        <v>1293</v>
      </c>
      <c r="F5727" s="209" t="s">
        <v>3029</v>
      </c>
      <c r="G5727" s="408" t="str">
        <f t="shared" si="91"/>
        <v>14-01</v>
      </c>
      <c r="H5727" s="273" t="e">
        <f ca="1">_xludf.IFNA(VLOOKUP(E5727,'Urban Plastix Holds'!$I$37:$U$705,6,0),0)</f>
        <v>#NAME?</v>
      </c>
      <c r="I5727" s="274"/>
      <c r="J5727" s="274" t="e">
        <f t="shared" ca="1" si="92"/>
        <v>#NAME?</v>
      </c>
      <c r="K5727" s="274">
        <f t="shared" si="93"/>
        <v>0</v>
      </c>
      <c r="N5727" s="274"/>
    </row>
    <row r="5728" spans="5:14" ht="13.5" customHeight="1">
      <c r="E5728" s="209" t="s">
        <v>1293</v>
      </c>
      <c r="F5728" s="209" t="s">
        <v>3029</v>
      </c>
      <c r="G5728" s="409" t="str">
        <f t="shared" si="91"/>
        <v>15-12</v>
      </c>
      <c r="H5728" s="273" t="e">
        <f ca="1">_xludf.IFNA(VLOOKUP(E5728,'Urban Plastix Holds'!$I$37:$U$705,7,0),0)</f>
        <v>#NAME?</v>
      </c>
      <c r="I5728" s="274"/>
      <c r="J5728" s="274" t="e">
        <f t="shared" ca="1" si="92"/>
        <v>#NAME?</v>
      </c>
      <c r="K5728" s="274">
        <f t="shared" si="93"/>
        <v>0</v>
      </c>
      <c r="N5728" s="274"/>
    </row>
    <row r="5729" spans="5:14" ht="13.5" customHeight="1">
      <c r="E5729" s="209" t="s">
        <v>1293</v>
      </c>
      <c r="F5729" s="209" t="s">
        <v>3029</v>
      </c>
      <c r="G5729" s="410" t="str">
        <f t="shared" si="91"/>
        <v>16-16</v>
      </c>
      <c r="H5729" s="273" t="e">
        <f ca="1">_xludf.IFNA(VLOOKUP(E5729,'Urban Plastix Holds'!$I$37:$U$705,8,0),0)</f>
        <v>#NAME?</v>
      </c>
      <c r="I5729" s="274"/>
      <c r="J5729" s="274" t="e">
        <f t="shared" ca="1" si="92"/>
        <v>#NAME?</v>
      </c>
      <c r="K5729" s="274">
        <f t="shared" si="93"/>
        <v>0</v>
      </c>
      <c r="N5729" s="274"/>
    </row>
    <row r="5730" spans="5:14" ht="13.5" customHeight="1">
      <c r="E5730" s="209" t="s">
        <v>1293</v>
      </c>
      <c r="F5730" s="209" t="s">
        <v>3029</v>
      </c>
      <c r="G5730" s="411" t="str">
        <f t="shared" si="91"/>
        <v>13-01</v>
      </c>
      <c r="H5730" s="273" t="e">
        <f ca="1">_xludf.IFNA(VLOOKUP(E5730,'Urban Plastix Holds'!$I$37:$U$705,9,0),0)</f>
        <v>#NAME?</v>
      </c>
      <c r="I5730" s="274"/>
      <c r="J5730" s="274" t="e">
        <f t="shared" ca="1" si="92"/>
        <v>#NAME?</v>
      </c>
      <c r="K5730" s="274">
        <f t="shared" si="93"/>
        <v>0</v>
      </c>
      <c r="N5730" s="274"/>
    </row>
    <row r="5731" spans="5:14" ht="13.5" customHeight="1">
      <c r="E5731" s="209" t="s">
        <v>1293</v>
      </c>
      <c r="F5731" s="209" t="s">
        <v>3029</v>
      </c>
      <c r="G5731" s="413" t="str">
        <f t="shared" si="91"/>
        <v>07-13</v>
      </c>
      <c r="H5731" s="273" t="e">
        <f ca="1">_xludf.IFNA(VLOOKUP(E5731,'Urban Plastix Holds'!$I$37:$U$705,10,0),0)</f>
        <v>#NAME?</v>
      </c>
      <c r="I5731" s="274"/>
      <c r="J5731" s="274" t="e">
        <f t="shared" ca="1" si="92"/>
        <v>#NAME?</v>
      </c>
      <c r="K5731" s="274">
        <f t="shared" si="93"/>
        <v>0</v>
      </c>
      <c r="N5731" s="274"/>
    </row>
    <row r="5732" spans="5:14" ht="13.5" customHeight="1">
      <c r="E5732" s="209" t="s">
        <v>1293</v>
      </c>
      <c r="F5732" s="209" t="s">
        <v>3029</v>
      </c>
      <c r="G5732" s="414" t="str">
        <f t="shared" si="91"/>
        <v>11-26</v>
      </c>
      <c r="H5732" s="273" t="e">
        <f ca="1">_xludf.IFNA(VLOOKUP(E5732,'Urban Plastix Holds'!$I$37:$U$705,11,0),0)</f>
        <v>#NAME?</v>
      </c>
      <c r="I5732" s="274"/>
      <c r="J5732" s="274" t="e">
        <f t="shared" ca="1" si="92"/>
        <v>#NAME?</v>
      </c>
      <c r="K5732" s="274">
        <f t="shared" si="93"/>
        <v>0</v>
      </c>
      <c r="N5732" s="274"/>
    </row>
    <row r="5733" spans="5:14" ht="13.5" customHeight="1">
      <c r="E5733" s="209" t="s">
        <v>1293</v>
      </c>
      <c r="F5733" s="209" t="s">
        <v>3029</v>
      </c>
      <c r="G5733" s="415" t="str">
        <f t="shared" si="91"/>
        <v>18-01</v>
      </c>
      <c r="H5733" s="273" t="e">
        <f ca="1">_xludf.IFNA(VLOOKUP(E5733,'Urban Plastix Holds'!$I$37:$U$705,12,0),0)</f>
        <v>#NAME?</v>
      </c>
      <c r="I5733" s="274"/>
      <c r="J5733" s="274" t="e">
        <f t="shared" ca="1" si="92"/>
        <v>#NAME?</v>
      </c>
      <c r="K5733" s="274">
        <f t="shared" si="93"/>
        <v>0</v>
      </c>
      <c r="N5733" s="274"/>
    </row>
    <row r="5734" spans="5:14" ht="13.5" customHeight="1">
      <c r="E5734" s="209" t="s">
        <v>1293</v>
      </c>
      <c r="F5734" s="209" t="s">
        <v>3029</v>
      </c>
      <c r="G5734" s="416" t="str">
        <f t="shared" si="91"/>
        <v>Color Code</v>
      </c>
      <c r="H5734" s="273" t="e">
        <f ca="1">_xludf.IFNA(VLOOKUP(E5734,'Urban Plastix Holds'!$I$37:$U$705,13,0),0)</f>
        <v>#NAME?</v>
      </c>
      <c r="I5734" s="274"/>
      <c r="J5734" s="274" t="e">
        <f t="shared" ca="1" si="92"/>
        <v>#NAME?</v>
      </c>
      <c r="K5734" s="274">
        <f t="shared" si="93"/>
        <v>0</v>
      </c>
      <c r="N5734" s="274"/>
    </row>
    <row r="5735" spans="5:14" ht="13.5" customHeight="1">
      <c r="E5735" s="209" t="s">
        <v>1315</v>
      </c>
      <c r="F5735" s="209" t="s">
        <v>3030</v>
      </c>
      <c r="G5735" s="406" t="str">
        <f t="shared" si="91"/>
        <v>11-12</v>
      </c>
      <c r="H5735" s="273" t="e">
        <f ca="1">_xludf.IFNA(VLOOKUP(E5735,'Urban Plastix Holds'!$I$37:$U$705,5,0),0)</f>
        <v>#NAME?</v>
      </c>
      <c r="I5735" s="274"/>
      <c r="J5735" s="274" t="e">
        <f t="shared" ca="1" si="92"/>
        <v>#NAME?</v>
      </c>
      <c r="K5735" s="274">
        <f t="shared" si="93"/>
        <v>0</v>
      </c>
      <c r="N5735" s="274"/>
    </row>
    <row r="5736" spans="5:14" ht="13.5" customHeight="1">
      <c r="E5736" s="209" t="s">
        <v>1315</v>
      </c>
      <c r="F5736" s="209" t="s">
        <v>3030</v>
      </c>
      <c r="G5736" s="408" t="str">
        <f t="shared" si="91"/>
        <v>14-01</v>
      </c>
      <c r="H5736" s="273" t="e">
        <f ca="1">_xludf.IFNA(VLOOKUP(E5736,'Urban Plastix Holds'!$I$37:$U$705,6,0),0)</f>
        <v>#NAME?</v>
      </c>
      <c r="I5736" s="274"/>
      <c r="J5736" s="274" t="e">
        <f t="shared" ca="1" si="92"/>
        <v>#NAME?</v>
      </c>
      <c r="K5736" s="274">
        <f t="shared" si="93"/>
        <v>0</v>
      </c>
      <c r="N5736" s="274"/>
    </row>
    <row r="5737" spans="5:14" ht="13.5" customHeight="1">
      <c r="E5737" s="209" t="s">
        <v>1315</v>
      </c>
      <c r="F5737" s="209" t="s">
        <v>3030</v>
      </c>
      <c r="G5737" s="409" t="str">
        <f t="shared" si="91"/>
        <v>15-12</v>
      </c>
      <c r="H5737" s="273" t="e">
        <f ca="1">_xludf.IFNA(VLOOKUP(E5737,'Urban Plastix Holds'!$I$37:$U$705,7,0),0)</f>
        <v>#NAME?</v>
      </c>
      <c r="I5737" s="274"/>
      <c r="J5737" s="274" t="e">
        <f t="shared" ca="1" si="92"/>
        <v>#NAME?</v>
      </c>
      <c r="K5737" s="274">
        <f t="shared" si="93"/>
        <v>0</v>
      </c>
      <c r="N5737" s="274"/>
    </row>
    <row r="5738" spans="5:14" ht="13.5" customHeight="1">
      <c r="E5738" s="209" t="s">
        <v>1315</v>
      </c>
      <c r="F5738" s="209" t="s">
        <v>3030</v>
      </c>
      <c r="G5738" s="410" t="str">
        <f t="shared" si="91"/>
        <v>16-16</v>
      </c>
      <c r="H5738" s="273" t="e">
        <f ca="1">_xludf.IFNA(VLOOKUP(E5738,'Urban Plastix Holds'!$I$37:$U$705,8,0),0)</f>
        <v>#NAME?</v>
      </c>
      <c r="I5738" s="274"/>
      <c r="J5738" s="274" t="e">
        <f t="shared" ca="1" si="92"/>
        <v>#NAME?</v>
      </c>
      <c r="K5738" s="274">
        <f t="shared" si="93"/>
        <v>0</v>
      </c>
      <c r="N5738" s="274"/>
    </row>
    <row r="5739" spans="5:14" ht="13.5" customHeight="1">
      <c r="E5739" s="209" t="s">
        <v>1315</v>
      </c>
      <c r="F5739" s="209" t="s">
        <v>3030</v>
      </c>
      <c r="G5739" s="411" t="str">
        <f t="shared" si="91"/>
        <v>13-01</v>
      </c>
      <c r="H5739" s="273" t="e">
        <f ca="1">_xludf.IFNA(VLOOKUP(E5739,'Urban Plastix Holds'!$I$37:$U$705,9,0),0)</f>
        <v>#NAME?</v>
      </c>
      <c r="I5739" s="274"/>
      <c r="J5739" s="274" t="e">
        <f t="shared" ca="1" si="92"/>
        <v>#NAME?</v>
      </c>
      <c r="K5739" s="274">
        <f t="shared" si="93"/>
        <v>0</v>
      </c>
      <c r="N5739" s="274"/>
    </row>
    <row r="5740" spans="5:14" ht="13.5" customHeight="1">
      <c r="E5740" s="209" t="s">
        <v>1315</v>
      </c>
      <c r="F5740" s="209" t="s">
        <v>3030</v>
      </c>
      <c r="G5740" s="413" t="str">
        <f t="shared" si="91"/>
        <v>07-13</v>
      </c>
      <c r="H5740" s="273" t="e">
        <f ca="1">_xludf.IFNA(VLOOKUP(E5740,'Urban Plastix Holds'!$I$37:$U$705,10,0),0)</f>
        <v>#NAME?</v>
      </c>
      <c r="I5740" s="274"/>
      <c r="J5740" s="274" t="e">
        <f t="shared" ca="1" si="92"/>
        <v>#NAME?</v>
      </c>
      <c r="K5740" s="274">
        <f t="shared" si="93"/>
        <v>0</v>
      </c>
      <c r="N5740" s="274"/>
    </row>
    <row r="5741" spans="5:14" ht="13.5" customHeight="1">
      <c r="E5741" s="209" t="s">
        <v>1315</v>
      </c>
      <c r="F5741" s="209" t="s">
        <v>3030</v>
      </c>
      <c r="G5741" s="414" t="str">
        <f t="shared" si="91"/>
        <v>11-26</v>
      </c>
      <c r="H5741" s="273" t="e">
        <f ca="1">_xludf.IFNA(VLOOKUP(E5741,'Urban Plastix Holds'!$I$37:$U$705,11,0),0)</f>
        <v>#NAME?</v>
      </c>
      <c r="I5741" s="274"/>
      <c r="J5741" s="274" t="e">
        <f t="shared" ca="1" si="92"/>
        <v>#NAME?</v>
      </c>
      <c r="K5741" s="274">
        <f t="shared" si="93"/>
        <v>0</v>
      </c>
      <c r="N5741" s="274"/>
    </row>
    <row r="5742" spans="5:14" ht="13.5" customHeight="1">
      <c r="E5742" s="209" t="s">
        <v>1315</v>
      </c>
      <c r="F5742" s="209" t="s">
        <v>3030</v>
      </c>
      <c r="G5742" s="415" t="str">
        <f t="shared" si="91"/>
        <v>18-01</v>
      </c>
      <c r="H5742" s="273" t="e">
        <f ca="1">_xludf.IFNA(VLOOKUP(E5742,'Urban Plastix Holds'!$I$37:$U$705,12,0),0)</f>
        <v>#NAME?</v>
      </c>
      <c r="I5742" s="274"/>
      <c r="J5742" s="274" t="e">
        <f t="shared" ca="1" si="92"/>
        <v>#NAME?</v>
      </c>
      <c r="K5742" s="274">
        <f t="shared" si="93"/>
        <v>0</v>
      </c>
      <c r="N5742" s="274"/>
    </row>
    <row r="5743" spans="5:14" ht="13.5" customHeight="1">
      <c r="E5743" s="209" t="s">
        <v>1315</v>
      </c>
      <c r="F5743" s="209" t="s">
        <v>3030</v>
      </c>
      <c r="G5743" s="416" t="str">
        <f t="shared" si="91"/>
        <v>Color Code</v>
      </c>
      <c r="H5743" s="273" t="e">
        <f ca="1">_xludf.IFNA(VLOOKUP(E5743,'Urban Plastix Holds'!$I$37:$U$705,13,0),0)</f>
        <v>#NAME?</v>
      </c>
      <c r="I5743" s="274"/>
      <c r="J5743" s="274" t="e">
        <f t="shared" ca="1" si="92"/>
        <v>#NAME?</v>
      </c>
      <c r="K5743" s="274">
        <f t="shared" si="93"/>
        <v>0</v>
      </c>
      <c r="N5743" s="274"/>
    </row>
    <row r="5744" spans="5:14" ht="13.5" customHeight="1">
      <c r="E5744" s="209" t="s">
        <v>1311</v>
      </c>
      <c r="F5744" s="209" t="s">
        <v>3031</v>
      </c>
      <c r="G5744" s="406" t="str">
        <f t="shared" si="91"/>
        <v>11-12</v>
      </c>
      <c r="H5744" s="273" t="e">
        <f ca="1">_xludf.IFNA(VLOOKUP(E5744,'Urban Plastix Holds'!$I$37:$U$705,5,0),0)</f>
        <v>#NAME?</v>
      </c>
      <c r="I5744" s="274"/>
      <c r="J5744" s="274" t="e">
        <f t="shared" ca="1" si="92"/>
        <v>#NAME?</v>
      </c>
      <c r="K5744" s="274">
        <f t="shared" si="93"/>
        <v>0</v>
      </c>
      <c r="N5744" s="274"/>
    </row>
    <row r="5745" spans="5:14" ht="13.5" customHeight="1">
      <c r="E5745" s="209" t="s">
        <v>1311</v>
      </c>
      <c r="F5745" s="209" t="s">
        <v>3031</v>
      </c>
      <c r="G5745" s="408" t="str">
        <f t="shared" si="91"/>
        <v>14-01</v>
      </c>
      <c r="H5745" s="273" t="e">
        <f ca="1">_xludf.IFNA(VLOOKUP(E5745,'Urban Plastix Holds'!$I$37:$U$705,6,0),0)</f>
        <v>#NAME?</v>
      </c>
      <c r="I5745" s="274"/>
      <c r="J5745" s="274" t="e">
        <f t="shared" ca="1" si="92"/>
        <v>#NAME?</v>
      </c>
      <c r="K5745" s="274">
        <f t="shared" si="93"/>
        <v>0</v>
      </c>
      <c r="N5745" s="274"/>
    </row>
    <row r="5746" spans="5:14" ht="13.5" customHeight="1">
      <c r="E5746" s="209" t="s">
        <v>1311</v>
      </c>
      <c r="F5746" s="209" t="s">
        <v>3031</v>
      </c>
      <c r="G5746" s="409" t="str">
        <f t="shared" si="91"/>
        <v>15-12</v>
      </c>
      <c r="H5746" s="273" t="e">
        <f ca="1">_xludf.IFNA(VLOOKUP(E5746,'Urban Plastix Holds'!$I$37:$U$705,7,0),0)</f>
        <v>#NAME?</v>
      </c>
      <c r="I5746" s="274"/>
      <c r="J5746" s="274" t="e">
        <f t="shared" ca="1" si="92"/>
        <v>#NAME?</v>
      </c>
      <c r="K5746" s="274">
        <f t="shared" si="93"/>
        <v>0</v>
      </c>
      <c r="N5746" s="274"/>
    </row>
    <row r="5747" spans="5:14" ht="13.5" customHeight="1">
      <c r="E5747" s="209" t="s">
        <v>1311</v>
      </c>
      <c r="F5747" s="209" t="s">
        <v>3031</v>
      </c>
      <c r="G5747" s="410" t="str">
        <f t="shared" si="91"/>
        <v>16-16</v>
      </c>
      <c r="H5747" s="273" t="e">
        <f ca="1">_xludf.IFNA(VLOOKUP(E5747,'Urban Plastix Holds'!$I$37:$U$705,8,0),0)</f>
        <v>#NAME?</v>
      </c>
      <c r="I5747" s="274"/>
      <c r="J5747" s="274" t="e">
        <f t="shared" ca="1" si="92"/>
        <v>#NAME?</v>
      </c>
      <c r="K5747" s="274">
        <f t="shared" si="93"/>
        <v>0</v>
      </c>
      <c r="N5747" s="274"/>
    </row>
    <row r="5748" spans="5:14" ht="13.5" customHeight="1">
      <c r="E5748" s="209" t="s">
        <v>1311</v>
      </c>
      <c r="F5748" s="209" t="s">
        <v>3031</v>
      </c>
      <c r="G5748" s="411" t="str">
        <f t="shared" si="91"/>
        <v>13-01</v>
      </c>
      <c r="H5748" s="273" t="e">
        <f ca="1">_xludf.IFNA(VLOOKUP(E5748,'Urban Plastix Holds'!$I$37:$U$705,9,0),0)</f>
        <v>#NAME?</v>
      </c>
      <c r="I5748" s="274"/>
      <c r="J5748" s="274" t="e">
        <f t="shared" ca="1" si="92"/>
        <v>#NAME?</v>
      </c>
      <c r="K5748" s="274">
        <f t="shared" si="93"/>
        <v>0</v>
      </c>
      <c r="N5748" s="274"/>
    </row>
    <row r="5749" spans="5:14" ht="13.5" customHeight="1">
      <c r="E5749" s="209" t="s">
        <v>1311</v>
      </c>
      <c r="F5749" s="209" t="s">
        <v>3031</v>
      </c>
      <c r="G5749" s="413" t="str">
        <f t="shared" si="91"/>
        <v>07-13</v>
      </c>
      <c r="H5749" s="273" t="e">
        <f ca="1">_xludf.IFNA(VLOOKUP(E5749,'Urban Plastix Holds'!$I$37:$U$705,10,0),0)</f>
        <v>#NAME?</v>
      </c>
      <c r="I5749" s="274"/>
      <c r="J5749" s="274" t="e">
        <f t="shared" ca="1" si="92"/>
        <v>#NAME?</v>
      </c>
      <c r="K5749" s="274">
        <f t="shared" si="93"/>
        <v>0</v>
      </c>
      <c r="N5749" s="274"/>
    </row>
    <row r="5750" spans="5:14" ht="13.5" customHeight="1">
      <c r="E5750" s="209" t="s">
        <v>1311</v>
      </c>
      <c r="F5750" s="209" t="s">
        <v>3031</v>
      </c>
      <c r="G5750" s="414" t="str">
        <f t="shared" si="91"/>
        <v>11-26</v>
      </c>
      <c r="H5750" s="273" t="e">
        <f ca="1">_xludf.IFNA(VLOOKUP(E5750,'Urban Plastix Holds'!$I$37:$U$705,11,0),0)</f>
        <v>#NAME?</v>
      </c>
      <c r="I5750" s="274"/>
      <c r="J5750" s="274" t="e">
        <f t="shared" ca="1" si="92"/>
        <v>#NAME?</v>
      </c>
      <c r="K5750" s="274">
        <f t="shared" si="93"/>
        <v>0</v>
      </c>
      <c r="N5750" s="274"/>
    </row>
    <row r="5751" spans="5:14" ht="13.5" customHeight="1">
      <c r="E5751" s="209" t="s">
        <v>1311</v>
      </c>
      <c r="F5751" s="209" t="s">
        <v>3031</v>
      </c>
      <c r="G5751" s="415" t="str">
        <f t="shared" si="91"/>
        <v>18-01</v>
      </c>
      <c r="H5751" s="273" t="e">
        <f ca="1">_xludf.IFNA(VLOOKUP(E5751,'Urban Plastix Holds'!$I$37:$U$705,12,0),0)</f>
        <v>#NAME?</v>
      </c>
      <c r="I5751" s="274"/>
      <c r="J5751" s="274" t="e">
        <f t="shared" ca="1" si="92"/>
        <v>#NAME?</v>
      </c>
      <c r="K5751" s="274">
        <f t="shared" si="93"/>
        <v>0</v>
      </c>
      <c r="N5751" s="274"/>
    </row>
    <row r="5752" spans="5:14" ht="13.5" customHeight="1">
      <c r="E5752" s="209" t="s">
        <v>1311</v>
      </c>
      <c r="F5752" s="209" t="s">
        <v>3031</v>
      </c>
      <c r="G5752" s="416" t="str">
        <f t="shared" si="91"/>
        <v>Color Code</v>
      </c>
      <c r="H5752" s="273" t="e">
        <f ca="1">_xludf.IFNA(VLOOKUP(E5752,'Urban Plastix Holds'!$I$37:$U$705,13,0),0)</f>
        <v>#NAME?</v>
      </c>
      <c r="I5752" s="274"/>
      <c r="J5752" s="274" t="e">
        <f t="shared" ca="1" si="92"/>
        <v>#NAME?</v>
      </c>
      <c r="K5752" s="274">
        <f t="shared" si="93"/>
        <v>0</v>
      </c>
      <c r="N5752" s="274"/>
    </row>
    <row r="5753" spans="5:14" ht="13.5" customHeight="1">
      <c r="E5753" s="209" t="s">
        <v>1321</v>
      </c>
      <c r="F5753" s="209" t="s">
        <v>3032</v>
      </c>
      <c r="G5753" s="406" t="str">
        <f t="shared" si="91"/>
        <v>11-12</v>
      </c>
      <c r="H5753" s="273" t="e">
        <f ca="1">_xludf.IFNA(VLOOKUP(E5753,'Urban Plastix Holds'!$I$37:$U$705,5,0),0)</f>
        <v>#NAME?</v>
      </c>
      <c r="I5753" s="274"/>
      <c r="J5753" s="274" t="e">
        <f t="shared" ca="1" si="92"/>
        <v>#NAME?</v>
      </c>
      <c r="K5753" s="274">
        <f t="shared" si="93"/>
        <v>0</v>
      </c>
      <c r="N5753" s="274"/>
    </row>
    <row r="5754" spans="5:14" ht="13.5" customHeight="1">
      <c r="E5754" s="209" t="s">
        <v>1321</v>
      </c>
      <c r="F5754" s="209" t="s">
        <v>3032</v>
      </c>
      <c r="G5754" s="408" t="str">
        <f t="shared" si="91"/>
        <v>14-01</v>
      </c>
      <c r="H5754" s="273" t="e">
        <f ca="1">_xludf.IFNA(VLOOKUP(E5754,'Urban Plastix Holds'!$I$37:$U$705,6,0),0)</f>
        <v>#NAME?</v>
      </c>
      <c r="I5754" s="274"/>
      <c r="J5754" s="274" t="e">
        <f t="shared" ca="1" si="92"/>
        <v>#NAME?</v>
      </c>
      <c r="K5754" s="274">
        <f t="shared" si="93"/>
        <v>0</v>
      </c>
      <c r="N5754" s="274"/>
    </row>
    <row r="5755" spans="5:14" ht="13.5" customHeight="1">
      <c r="E5755" s="209" t="s">
        <v>1321</v>
      </c>
      <c r="F5755" s="209" t="s">
        <v>3032</v>
      </c>
      <c r="G5755" s="409" t="str">
        <f t="shared" si="91"/>
        <v>15-12</v>
      </c>
      <c r="H5755" s="273" t="e">
        <f ca="1">_xludf.IFNA(VLOOKUP(E5755,'Urban Plastix Holds'!$I$37:$U$705,7,0),0)</f>
        <v>#NAME?</v>
      </c>
      <c r="I5755" s="274"/>
      <c r="J5755" s="274" t="e">
        <f t="shared" ca="1" si="92"/>
        <v>#NAME?</v>
      </c>
      <c r="K5755" s="274">
        <f t="shared" si="93"/>
        <v>0</v>
      </c>
      <c r="N5755" s="274"/>
    </row>
    <row r="5756" spans="5:14" ht="13.5" customHeight="1">
      <c r="E5756" s="209" t="s">
        <v>1321</v>
      </c>
      <c r="F5756" s="209" t="s">
        <v>3032</v>
      </c>
      <c r="G5756" s="410" t="str">
        <f t="shared" si="91"/>
        <v>16-16</v>
      </c>
      <c r="H5756" s="273" t="e">
        <f ca="1">_xludf.IFNA(VLOOKUP(E5756,'Urban Plastix Holds'!$I$37:$U$705,8,0),0)</f>
        <v>#NAME?</v>
      </c>
      <c r="I5756" s="274"/>
      <c r="J5756" s="274" t="e">
        <f t="shared" ca="1" si="92"/>
        <v>#NAME?</v>
      </c>
      <c r="K5756" s="274">
        <f t="shared" si="93"/>
        <v>0</v>
      </c>
      <c r="N5756" s="274"/>
    </row>
    <row r="5757" spans="5:14" ht="13.5" customHeight="1">
      <c r="E5757" s="209" t="s">
        <v>1321</v>
      </c>
      <c r="F5757" s="209" t="s">
        <v>3032</v>
      </c>
      <c r="G5757" s="411" t="str">
        <f t="shared" si="91"/>
        <v>13-01</v>
      </c>
      <c r="H5757" s="273" t="e">
        <f ca="1">_xludf.IFNA(VLOOKUP(E5757,'Urban Plastix Holds'!$I$37:$U$705,9,0),0)</f>
        <v>#NAME?</v>
      </c>
      <c r="I5757" s="274"/>
      <c r="J5757" s="274" t="e">
        <f t="shared" ca="1" si="92"/>
        <v>#NAME?</v>
      </c>
      <c r="K5757" s="274">
        <f t="shared" si="93"/>
        <v>0</v>
      </c>
      <c r="N5757" s="274"/>
    </row>
    <row r="5758" spans="5:14" ht="13.5" customHeight="1">
      <c r="E5758" s="209" t="s">
        <v>1321</v>
      </c>
      <c r="F5758" s="209" t="s">
        <v>3032</v>
      </c>
      <c r="G5758" s="413" t="str">
        <f t="shared" si="91"/>
        <v>07-13</v>
      </c>
      <c r="H5758" s="273" t="e">
        <f ca="1">_xludf.IFNA(VLOOKUP(E5758,'Urban Plastix Holds'!$I$37:$U$705,10,0),0)</f>
        <v>#NAME?</v>
      </c>
      <c r="I5758" s="274"/>
      <c r="J5758" s="274" t="e">
        <f t="shared" ca="1" si="92"/>
        <v>#NAME?</v>
      </c>
      <c r="K5758" s="274">
        <f t="shared" si="93"/>
        <v>0</v>
      </c>
      <c r="N5758" s="274"/>
    </row>
    <row r="5759" spans="5:14" ht="13.5" customHeight="1">
      <c r="E5759" s="209" t="s">
        <v>1321</v>
      </c>
      <c r="F5759" s="209" t="s">
        <v>3032</v>
      </c>
      <c r="G5759" s="414" t="str">
        <f t="shared" si="91"/>
        <v>11-26</v>
      </c>
      <c r="H5759" s="273" t="e">
        <f ca="1">_xludf.IFNA(VLOOKUP(E5759,'Urban Plastix Holds'!$I$37:$U$705,11,0),0)</f>
        <v>#NAME?</v>
      </c>
      <c r="I5759" s="274"/>
      <c r="J5759" s="274" t="e">
        <f t="shared" ca="1" si="92"/>
        <v>#NAME?</v>
      </c>
      <c r="K5759" s="274">
        <f t="shared" si="93"/>
        <v>0</v>
      </c>
      <c r="N5759" s="274"/>
    </row>
    <row r="5760" spans="5:14" ht="13.5" customHeight="1">
      <c r="E5760" s="209" t="s">
        <v>1321</v>
      </c>
      <c r="F5760" s="209" t="s">
        <v>3032</v>
      </c>
      <c r="G5760" s="415" t="str">
        <f t="shared" si="91"/>
        <v>18-01</v>
      </c>
      <c r="H5760" s="273" t="e">
        <f ca="1">_xludf.IFNA(VLOOKUP(E5760,'Urban Plastix Holds'!$I$37:$U$705,12,0),0)</f>
        <v>#NAME?</v>
      </c>
      <c r="I5760" s="274"/>
      <c r="J5760" s="274" t="e">
        <f t="shared" ca="1" si="92"/>
        <v>#NAME?</v>
      </c>
      <c r="K5760" s="274">
        <f t="shared" si="93"/>
        <v>0</v>
      </c>
      <c r="N5760" s="274"/>
    </row>
    <row r="5761" spans="5:14" ht="13.5" customHeight="1">
      <c r="E5761" s="209" t="s">
        <v>1321</v>
      </c>
      <c r="F5761" s="209" t="s">
        <v>3032</v>
      </c>
      <c r="G5761" s="416" t="str">
        <f t="shared" si="91"/>
        <v>Color Code</v>
      </c>
      <c r="H5761" s="273" t="e">
        <f ca="1">_xludf.IFNA(VLOOKUP(E5761,'Urban Plastix Holds'!$I$37:$U$705,13,0),0)</f>
        <v>#NAME?</v>
      </c>
      <c r="I5761" s="274"/>
      <c r="J5761" s="274" t="e">
        <f t="shared" ca="1" si="92"/>
        <v>#NAME?</v>
      </c>
      <c r="K5761" s="274">
        <f t="shared" si="93"/>
        <v>0</v>
      </c>
      <c r="N5761" s="274"/>
    </row>
    <row r="5762" spans="5:14" ht="13.5" customHeight="1">
      <c r="E5762" s="209" t="s">
        <v>1323</v>
      </c>
      <c r="F5762" s="209" t="s">
        <v>3033</v>
      </c>
      <c r="G5762" s="406" t="str">
        <f t="shared" si="91"/>
        <v>11-12</v>
      </c>
      <c r="H5762" s="273" t="e">
        <f ca="1">_xludf.IFNA(VLOOKUP(E5762,'Urban Plastix Holds'!$I$37:$U$705,5,0),0)</f>
        <v>#NAME?</v>
      </c>
      <c r="I5762" s="274"/>
      <c r="J5762" s="274" t="e">
        <f t="shared" ca="1" si="92"/>
        <v>#NAME?</v>
      </c>
      <c r="K5762" s="274">
        <f t="shared" si="93"/>
        <v>0</v>
      </c>
      <c r="N5762" s="274"/>
    </row>
    <row r="5763" spans="5:14" ht="13.5" customHeight="1">
      <c r="E5763" s="209" t="s">
        <v>1323</v>
      </c>
      <c r="F5763" s="209" t="s">
        <v>3033</v>
      </c>
      <c r="G5763" s="408" t="str">
        <f t="shared" si="91"/>
        <v>14-01</v>
      </c>
      <c r="H5763" s="273" t="e">
        <f ca="1">_xludf.IFNA(VLOOKUP(E5763,'Urban Plastix Holds'!$I$37:$U$705,6,0),0)</f>
        <v>#NAME?</v>
      </c>
      <c r="I5763" s="274"/>
      <c r="J5763" s="274" t="e">
        <f t="shared" ca="1" si="92"/>
        <v>#NAME?</v>
      </c>
      <c r="K5763" s="274">
        <f t="shared" si="93"/>
        <v>0</v>
      </c>
      <c r="N5763" s="274"/>
    </row>
    <row r="5764" spans="5:14" ht="13.5" customHeight="1">
      <c r="E5764" s="209" t="s">
        <v>1323</v>
      </c>
      <c r="F5764" s="209" t="s">
        <v>3033</v>
      </c>
      <c r="G5764" s="409" t="str">
        <f t="shared" si="91"/>
        <v>15-12</v>
      </c>
      <c r="H5764" s="273" t="e">
        <f ca="1">_xludf.IFNA(VLOOKUP(E5764,'Urban Plastix Holds'!$I$37:$U$705,7,0),0)</f>
        <v>#NAME?</v>
      </c>
      <c r="I5764" s="274"/>
      <c r="J5764" s="274" t="e">
        <f t="shared" ca="1" si="92"/>
        <v>#NAME?</v>
      </c>
      <c r="K5764" s="274">
        <f t="shared" si="93"/>
        <v>0</v>
      </c>
      <c r="N5764" s="274"/>
    </row>
    <row r="5765" spans="5:14" ht="13.5" customHeight="1">
      <c r="E5765" s="209" t="s">
        <v>1323</v>
      </c>
      <c r="F5765" s="209" t="s">
        <v>3033</v>
      </c>
      <c r="G5765" s="410" t="str">
        <f t="shared" si="91"/>
        <v>16-16</v>
      </c>
      <c r="H5765" s="273" t="e">
        <f ca="1">_xludf.IFNA(VLOOKUP(E5765,'Urban Plastix Holds'!$I$37:$U$705,8,0),0)</f>
        <v>#NAME?</v>
      </c>
      <c r="I5765" s="274"/>
      <c r="J5765" s="274" t="e">
        <f t="shared" ca="1" si="92"/>
        <v>#NAME?</v>
      </c>
      <c r="K5765" s="274">
        <f t="shared" si="93"/>
        <v>0</v>
      </c>
      <c r="N5765" s="274"/>
    </row>
    <row r="5766" spans="5:14" ht="13.5" customHeight="1">
      <c r="E5766" s="209" t="s">
        <v>1323</v>
      </c>
      <c r="F5766" s="209" t="s">
        <v>3033</v>
      </c>
      <c r="G5766" s="411" t="str">
        <f t="shared" si="91"/>
        <v>13-01</v>
      </c>
      <c r="H5766" s="273" t="e">
        <f ca="1">_xludf.IFNA(VLOOKUP(E5766,'Urban Plastix Holds'!$I$37:$U$705,9,0),0)</f>
        <v>#NAME?</v>
      </c>
      <c r="I5766" s="274"/>
      <c r="J5766" s="274" t="e">
        <f t="shared" ca="1" si="92"/>
        <v>#NAME?</v>
      </c>
      <c r="K5766" s="274">
        <f t="shared" si="93"/>
        <v>0</v>
      </c>
      <c r="N5766" s="274"/>
    </row>
    <row r="5767" spans="5:14" ht="13.5" customHeight="1">
      <c r="E5767" s="209" t="s">
        <v>1323</v>
      </c>
      <c r="F5767" s="209" t="s">
        <v>3033</v>
      </c>
      <c r="G5767" s="413" t="str">
        <f t="shared" si="91"/>
        <v>07-13</v>
      </c>
      <c r="H5767" s="273" t="e">
        <f ca="1">_xludf.IFNA(VLOOKUP(E5767,'Urban Plastix Holds'!$I$37:$U$705,10,0),0)</f>
        <v>#NAME?</v>
      </c>
      <c r="I5767" s="274"/>
      <c r="J5767" s="274" t="e">
        <f t="shared" ca="1" si="92"/>
        <v>#NAME?</v>
      </c>
      <c r="K5767" s="274">
        <f t="shared" si="93"/>
        <v>0</v>
      </c>
      <c r="N5767" s="274"/>
    </row>
    <row r="5768" spans="5:14" ht="13.5" customHeight="1">
      <c r="E5768" s="209" t="s">
        <v>1323</v>
      </c>
      <c r="F5768" s="209" t="s">
        <v>3033</v>
      </c>
      <c r="G5768" s="414" t="str">
        <f t="shared" si="91"/>
        <v>11-26</v>
      </c>
      <c r="H5768" s="273" t="e">
        <f ca="1">_xludf.IFNA(VLOOKUP(E5768,'Urban Plastix Holds'!$I$37:$U$705,11,0),0)</f>
        <v>#NAME?</v>
      </c>
      <c r="I5768" s="274"/>
      <c r="J5768" s="274" t="e">
        <f t="shared" ca="1" si="92"/>
        <v>#NAME?</v>
      </c>
      <c r="K5768" s="274">
        <f t="shared" si="93"/>
        <v>0</v>
      </c>
      <c r="N5768" s="274"/>
    </row>
    <row r="5769" spans="5:14" ht="13.5" customHeight="1">
      <c r="E5769" s="209" t="s">
        <v>1323</v>
      </c>
      <c r="F5769" s="209" t="s">
        <v>3033</v>
      </c>
      <c r="G5769" s="415" t="str">
        <f t="shared" si="91"/>
        <v>18-01</v>
      </c>
      <c r="H5769" s="273" t="e">
        <f ca="1">_xludf.IFNA(VLOOKUP(E5769,'Urban Plastix Holds'!$I$37:$U$705,12,0),0)</f>
        <v>#NAME?</v>
      </c>
      <c r="I5769" s="274"/>
      <c r="J5769" s="274" t="e">
        <f t="shared" ca="1" si="92"/>
        <v>#NAME?</v>
      </c>
      <c r="K5769" s="274">
        <f t="shared" si="93"/>
        <v>0</v>
      </c>
      <c r="N5769" s="274"/>
    </row>
    <row r="5770" spans="5:14" ht="13.5" customHeight="1">
      <c r="E5770" s="209" t="s">
        <v>1323</v>
      </c>
      <c r="F5770" s="209" t="s">
        <v>3033</v>
      </c>
      <c r="G5770" s="416" t="str">
        <f t="shared" si="91"/>
        <v>Color Code</v>
      </c>
      <c r="H5770" s="273" t="e">
        <f ca="1">_xludf.IFNA(VLOOKUP(E5770,'Urban Plastix Holds'!$I$37:$U$705,13,0),0)</f>
        <v>#NAME?</v>
      </c>
      <c r="I5770" s="274"/>
      <c r="J5770" s="274" t="e">
        <f t="shared" ca="1" si="92"/>
        <v>#NAME?</v>
      </c>
      <c r="K5770" s="274">
        <f t="shared" si="93"/>
        <v>0</v>
      </c>
      <c r="N5770" s="274"/>
    </row>
    <row r="5771" spans="5:14" ht="13.5" customHeight="1">
      <c r="E5771" s="209" t="s">
        <v>1325</v>
      </c>
      <c r="F5771" s="209" t="s">
        <v>3034</v>
      </c>
      <c r="G5771" s="406" t="str">
        <f t="shared" ref="G5771:G6025" si="94">G5744</f>
        <v>11-12</v>
      </c>
      <c r="H5771" s="273" t="e">
        <f ca="1">_xludf.IFNA(VLOOKUP(E5771,'Urban Plastix Holds'!$I$37:$U$705,5,0),0)</f>
        <v>#NAME?</v>
      </c>
      <c r="I5771" s="274"/>
      <c r="J5771" s="274" t="e">
        <f t="shared" ca="1" si="92"/>
        <v>#NAME?</v>
      </c>
      <c r="K5771" s="274">
        <f t="shared" si="93"/>
        <v>0</v>
      </c>
      <c r="N5771" s="274"/>
    </row>
    <row r="5772" spans="5:14" ht="13.5" customHeight="1">
      <c r="E5772" s="209" t="s">
        <v>1325</v>
      </c>
      <c r="F5772" s="209" t="s">
        <v>3034</v>
      </c>
      <c r="G5772" s="408" t="str">
        <f t="shared" si="94"/>
        <v>14-01</v>
      </c>
      <c r="H5772" s="273" t="e">
        <f ca="1">_xludf.IFNA(VLOOKUP(E5772,'Urban Plastix Holds'!$I$37:$U$705,6,0),0)</f>
        <v>#NAME?</v>
      </c>
      <c r="I5772" s="274"/>
      <c r="J5772" s="274" t="e">
        <f t="shared" ca="1" si="92"/>
        <v>#NAME?</v>
      </c>
      <c r="K5772" s="274">
        <f t="shared" si="93"/>
        <v>0</v>
      </c>
      <c r="N5772" s="274"/>
    </row>
    <row r="5773" spans="5:14" ht="13.5" customHeight="1">
      <c r="E5773" s="209" t="s">
        <v>1325</v>
      </c>
      <c r="F5773" s="209" t="s">
        <v>3034</v>
      </c>
      <c r="G5773" s="409" t="str">
        <f t="shared" si="94"/>
        <v>15-12</v>
      </c>
      <c r="H5773" s="273" t="e">
        <f ca="1">_xludf.IFNA(VLOOKUP(E5773,'Urban Plastix Holds'!$I$37:$U$705,7,0),0)</f>
        <v>#NAME?</v>
      </c>
      <c r="I5773" s="274"/>
      <c r="J5773" s="274" t="e">
        <f t="shared" ca="1" si="92"/>
        <v>#NAME?</v>
      </c>
      <c r="K5773" s="274">
        <f t="shared" si="93"/>
        <v>0</v>
      </c>
      <c r="N5773" s="274"/>
    </row>
    <row r="5774" spans="5:14" ht="13.5" customHeight="1">
      <c r="E5774" s="209" t="s">
        <v>1325</v>
      </c>
      <c r="F5774" s="209" t="s">
        <v>3034</v>
      </c>
      <c r="G5774" s="410" t="str">
        <f t="shared" si="94"/>
        <v>16-16</v>
      </c>
      <c r="H5774" s="273" t="e">
        <f ca="1">_xludf.IFNA(VLOOKUP(E5774,'Urban Plastix Holds'!$I$37:$U$705,8,0),0)</f>
        <v>#NAME?</v>
      </c>
      <c r="I5774" s="274"/>
      <c r="J5774" s="274" t="e">
        <f t="shared" ca="1" si="92"/>
        <v>#NAME?</v>
      </c>
      <c r="K5774" s="274">
        <f t="shared" si="93"/>
        <v>0</v>
      </c>
      <c r="N5774" s="274"/>
    </row>
    <row r="5775" spans="5:14" ht="13.5" customHeight="1">
      <c r="E5775" s="209" t="s">
        <v>1325</v>
      </c>
      <c r="F5775" s="209" t="s">
        <v>3034</v>
      </c>
      <c r="G5775" s="411" t="str">
        <f t="shared" si="94"/>
        <v>13-01</v>
      </c>
      <c r="H5775" s="273" t="e">
        <f ca="1">_xludf.IFNA(VLOOKUP(E5775,'Urban Plastix Holds'!$I$37:$U$705,9,0),0)</f>
        <v>#NAME?</v>
      </c>
      <c r="I5775" s="274"/>
      <c r="J5775" s="274" t="e">
        <f t="shared" ca="1" si="92"/>
        <v>#NAME?</v>
      </c>
      <c r="K5775" s="274">
        <f t="shared" si="93"/>
        <v>0</v>
      </c>
      <c r="N5775" s="274"/>
    </row>
    <row r="5776" spans="5:14" ht="13.5" customHeight="1">
      <c r="E5776" s="209" t="s">
        <v>1325</v>
      </c>
      <c r="F5776" s="209" t="s">
        <v>3034</v>
      </c>
      <c r="G5776" s="413" t="str">
        <f t="shared" si="94"/>
        <v>07-13</v>
      </c>
      <c r="H5776" s="273" t="e">
        <f ca="1">_xludf.IFNA(VLOOKUP(E5776,'Urban Plastix Holds'!$I$37:$U$705,10,0),0)</f>
        <v>#NAME?</v>
      </c>
      <c r="I5776" s="274"/>
      <c r="J5776" s="274" t="e">
        <f t="shared" ca="1" si="92"/>
        <v>#NAME?</v>
      </c>
      <c r="K5776" s="274">
        <f t="shared" si="93"/>
        <v>0</v>
      </c>
      <c r="N5776" s="274"/>
    </row>
    <row r="5777" spans="5:14" ht="13.5" customHeight="1">
      <c r="E5777" s="209" t="s">
        <v>1325</v>
      </c>
      <c r="F5777" s="209" t="s">
        <v>3034</v>
      </c>
      <c r="G5777" s="414" t="str">
        <f t="shared" si="94"/>
        <v>11-26</v>
      </c>
      <c r="H5777" s="273" t="e">
        <f ca="1">_xludf.IFNA(VLOOKUP(E5777,'Urban Plastix Holds'!$I$37:$U$705,11,0),0)</f>
        <v>#NAME?</v>
      </c>
      <c r="I5777" s="274"/>
      <c r="J5777" s="274" t="e">
        <f t="shared" ca="1" si="92"/>
        <v>#NAME?</v>
      </c>
      <c r="K5777" s="274">
        <f t="shared" si="93"/>
        <v>0</v>
      </c>
      <c r="N5777" s="274"/>
    </row>
    <row r="5778" spans="5:14" ht="13.5" customHeight="1">
      <c r="E5778" s="209" t="s">
        <v>1325</v>
      </c>
      <c r="F5778" s="209" t="s">
        <v>3034</v>
      </c>
      <c r="G5778" s="415" t="str">
        <f t="shared" si="94"/>
        <v>18-01</v>
      </c>
      <c r="H5778" s="273" t="e">
        <f ca="1">_xludf.IFNA(VLOOKUP(E5778,'Urban Plastix Holds'!$I$37:$U$705,12,0),0)</f>
        <v>#NAME?</v>
      </c>
      <c r="I5778" s="274"/>
      <c r="J5778" s="274" t="e">
        <f t="shared" ca="1" si="92"/>
        <v>#NAME?</v>
      </c>
      <c r="K5778" s="274">
        <f t="shared" si="93"/>
        <v>0</v>
      </c>
      <c r="N5778" s="274"/>
    </row>
    <row r="5779" spans="5:14" ht="13.5" customHeight="1">
      <c r="E5779" s="209" t="s">
        <v>1325</v>
      </c>
      <c r="F5779" s="209" t="s">
        <v>3034</v>
      </c>
      <c r="G5779" s="416" t="str">
        <f t="shared" si="94"/>
        <v>Color Code</v>
      </c>
      <c r="H5779" s="273" t="e">
        <f ca="1">_xludf.IFNA(VLOOKUP(E5779,'Urban Plastix Holds'!$I$37:$U$705,13,0),0)</f>
        <v>#NAME?</v>
      </c>
      <c r="I5779" s="274"/>
      <c r="J5779" s="274" t="e">
        <f t="shared" ca="1" si="92"/>
        <v>#NAME?</v>
      </c>
      <c r="K5779" s="274">
        <f t="shared" si="93"/>
        <v>0</v>
      </c>
      <c r="N5779" s="274"/>
    </row>
    <row r="5780" spans="5:14" ht="13.5" customHeight="1">
      <c r="E5780" s="209" t="s">
        <v>1327</v>
      </c>
      <c r="F5780" s="209" t="s">
        <v>3035</v>
      </c>
      <c r="G5780" s="406" t="str">
        <f t="shared" si="94"/>
        <v>11-12</v>
      </c>
      <c r="H5780" s="273" t="e">
        <f ca="1">_xludf.IFNA(VLOOKUP(E5780,'Urban Plastix Holds'!$I$37:$U$705,5,0),0)</f>
        <v>#NAME?</v>
      </c>
      <c r="I5780" s="274"/>
      <c r="J5780" s="274" t="e">
        <f t="shared" ca="1" si="92"/>
        <v>#NAME?</v>
      </c>
      <c r="K5780" s="274">
        <f t="shared" si="93"/>
        <v>0</v>
      </c>
      <c r="N5780" s="274"/>
    </row>
    <row r="5781" spans="5:14" ht="13.5" customHeight="1">
      <c r="E5781" s="209" t="s">
        <v>1327</v>
      </c>
      <c r="F5781" s="209" t="s">
        <v>3035</v>
      </c>
      <c r="G5781" s="408" t="str">
        <f t="shared" si="94"/>
        <v>14-01</v>
      </c>
      <c r="H5781" s="273" t="e">
        <f ca="1">_xludf.IFNA(VLOOKUP(E5781,'Urban Plastix Holds'!$I$37:$U$705,6,0),0)</f>
        <v>#NAME?</v>
      </c>
      <c r="I5781" s="274"/>
      <c r="J5781" s="274" t="e">
        <f t="shared" ca="1" si="92"/>
        <v>#NAME?</v>
      </c>
      <c r="K5781" s="274">
        <f t="shared" si="93"/>
        <v>0</v>
      </c>
      <c r="N5781" s="274"/>
    </row>
    <row r="5782" spans="5:14" ht="13.5" customHeight="1">
      <c r="E5782" s="209" t="s">
        <v>1327</v>
      </c>
      <c r="F5782" s="209" t="s">
        <v>3035</v>
      </c>
      <c r="G5782" s="409" t="str">
        <f t="shared" si="94"/>
        <v>15-12</v>
      </c>
      <c r="H5782" s="273" t="e">
        <f ca="1">_xludf.IFNA(VLOOKUP(E5782,'Urban Plastix Holds'!$I$37:$U$705,7,0),0)</f>
        <v>#NAME?</v>
      </c>
      <c r="I5782" s="274"/>
      <c r="J5782" s="274" t="e">
        <f t="shared" ca="1" si="92"/>
        <v>#NAME?</v>
      </c>
      <c r="K5782" s="274">
        <f t="shared" si="93"/>
        <v>0</v>
      </c>
      <c r="N5782" s="274"/>
    </row>
    <row r="5783" spans="5:14" ht="13.5" customHeight="1">
      <c r="E5783" s="209" t="s">
        <v>1327</v>
      </c>
      <c r="F5783" s="209" t="s">
        <v>3035</v>
      </c>
      <c r="G5783" s="410" t="str">
        <f t="shared" si="94"/>
        <v>16-16</v>
      </c>
      <c r="H5783" s="273" t="e">
        <f ca="1">_xludf.IFNA(VLOOKUP(E5783,'Urban Plastix Holds'!$I$37:$U$705,8,0),0)</f>
        <v>#NAME?</v>
      </c>
      <c r="I5783" s="274"/>
      <c r="J5783" s="274" t="e">
        <f t="shared" ca="1" si="92"/>
        <v>#NAME?</v>
      </c>
      <c r="K5783" s="274">
        <f t="shared" si="93"/>
        <v>0</v>
      </c>
      <c r="N5783" s="274"/>
    </row>
    <row r="5784" spans="5:14" ht="13.5" customHeight="1">
      <c r="E5784" s="209" t="s">
        <v>1327</v>
      </c>
      <c r="F5784" s="209" t="s">
        <v>3035</v>
      </c>
      <c r="G5784" s="411" t="str">
        <f t="shared" si="94"/>
        <v>13-01</v>
      </c>
      <c r="H5784" s="273" t="e">
        <f ca="1">_xludf.IFNA(VLOOKUP(E5784,'Urban Plastix Holds'!$I$37:$U$705,9,0),0)</f>
        <v>#NAME?</v>
      </c>
      <c r="I5784" s="274"/>
      <c r="J5784" s="274" t="e">
        <f t="shared" ca="1" si="92"/>
        <v>#NAME?</v>
      </c>
      <c r="K5784" s="274">
        <f t="shared" si="93"/>
        <v>0</v>
      </c>
      <c r="N5784" s="274"/>
    </row>
    <row r="5785" spans="5:14" ht="13.5" customHeight="1">
      <c r="E5785" s="209" t="s">
        <v>1327</v>
      </c>
      <c r="F5785" s="209" t="s">
        <v>3035</v>
      </c>
      <c r="G5785" s="413" t="str">
        <f t="shared" si="94"/>
        <v>07-13</v>
      </c>
      <c r="H5785" s="273" t="e">
        <f ca="1">_xludf.IFNA(VLOOKUP(E5785,'Urban Plastix Holds'!$I$37:$U$705,10,0),0)</f>
        <v>#NAME?</v>
      </c>
      <c r="I5785" s="274"/>
      <c r="J5785" s="274" t="e">
        <f t="shared" ca="1" si="92"/>
        <v>#NAME?</v>
      </c>
      <c r="K5785" s="274">
        <f t="shared" si="93"/>
        <v>0</v>
      </c>
      <c r="N5785" s="274"/>
    </row>
    <row r="5786" spans="5:14" ht="13.5" customHeight="1">
      <c r="E5786" s="209" t="s">
        <v>1327</v>
      </c>
      <c r="F5786" s="209" t="s">
        <v>3035</v>
      </c>
      <c r="G5786" s="414" t="str">
        <f t="shared" si="94"/>
        <v>11-26</v>
      </c>
      <c r="H5786" s="273" t="e">
        <f ca="1">_xludf.IFNA(VLOOKUP(E5786,'Urban Plastix Holds'!$I$37:$U$705,11,0),0)</f>
        <v>#NAME?</v>
      </c>
      <c r="I5786" s="274"/>
      <c r="J5786" s="274" t="e">
        <f t="shared" ca="1" si="92"/>
        <v>#NAME?</v>
      </c>
      <c r="K5786" s="274">
        <f t="shared" si="93"/>
        <v>0</v>
      </c>
      <c r="N5786" s="274"/>
    </row>
    <row r="5787" spans="5:14" ht="13.5" customHeight="1">
      <c r="E5787" s="209" t="s">
        <v>1327</v>
      </c>
      <c r="F5787" s="209" t="s">
        <v>3035</v>
      </c>
      <c r="G5787" s="415" t="str">
        <f t="shared" si="94"/>
        <v>18-01</v>
      </c>
      <c r="H5787" s="273" t="e">
        <f ca="1">_xludf.IFNA(VLOOKUP(E5787,'Urban Plastix Holds'!$I$37:$U$705,12,0),0)</f>
        <v>#NAME?</v>
      </c>
      <c r="I5787" s="274"/>
      <c r="J5787" s="274" t="e">
        <f t="shared" ca="1" si="92"/>
        <v>#NAME?</v>
      </c>
      <c r="K5787" s="274">
        <f t="shared" si="93"/>
        <v>0</v>
      </c>
      <c r="N5787" s="274"/>
    </row>
    <row r="5788" spans="5:14" ht="13.5" customHeight="1">
      <c r="E5788" s="209" t="s">
        <v>1327</v>
      </c>
      <c r="F5788" s="209" t="s">
        <v>3035</v>
      </c>
      <c r="G5788" s="416" t="str">
        <f t="shared" si="94"/>
        <v>Color Code</v>
      </c>
      <c r="H5788" s="273" t="e">
        <f ca="1">_xludf.IFNA(VLOOKUP(E5788,'Urban Plastix Holds'!$I$37:$U$705,13,0),0)</f>
        <v>#NAME?</v>
      </c>
      <c r="I5788" s="274"/>
      <c r="J5788" s="274" t="e">
        <f t="shared" ca="1" si="92"/>
        <v>#NAME?</v>
      </c>
      <c r="K5788" s="274">
        <f t="shared" si="93"/>
        <v>0</v>
      </c>
      <c r="N5788" s="274"/>
    </row>
    <row r="5789" spans="5:14" ht="13.5" customHeight="1">
      <c r="E5789" s="209" t="s">
        <v>1317</v>
      </c>
      <c r="F5789" s="209" t="s">
        <v>3036</v>
      </c>
      <c r="G5789" s="406" t="str">
        <f t="shared" si="94"/>
        <v>11-12</v>
      </c>
      <c r="H5789" s="273" t="e">
        <f ca="1">_xludf.IFNA(VLOOKUP(E5789,'Urban Plastix Holds'!$I$37:$U$705,5,0),0)</f>
        <v>#NAME?</v>
      </c>
      <c r="I5789" s="274"/>
      <c r="J5789" s="274" t="e">
        <f t="shared" ca="1" si="92"/>
        <v>#NAME?</v>
      </c>
      <c r="K5789" s="274">
        <f t="shared" si="93"/>
        <v>0</v>
      </c>
      <c r="N5789" s="274"/>
    </row>
    <row r="5790" spans="5:14" ht="13.5" customHeight="1">
      <c r="E5790" s="209" t="s">
        <v>1317</v>
      </c>
      <c r="F5790" s="209" t="s">
        <v>3036</v>
      </c>
      <c r="G5790" s="408" t="str">
        <f t="shared" si="94"/>
        <v>14-01</v>
      </c>
      <c r="H5790" s="273" t="e">
        <f ca="1">_xludf.IFNA(VLOOKUP(E5790,'Urban Plastix Holds'!$I$37:$U$705,6,0),0)</f>
        <v>#NAME?</v>
      </c>
      <c r="I5790" s="274"/>
      <c r="J5790" s="274" t="e">
        <f t="shared" ca="1" si="92"/>
        <v>#NAME?</v>
      </c>
      <c r="K5790" s="274">
        <f t="shared" si="93"/>
        <v>0</v>
      </c>
      <c r="N5790" s="274"/>
    </row>
    <row r="5791" spans="5:14" ht="13.5" customHeight="1">
      <c r="E5791" s="209" t="s">
        <v>1317</v>
      </c>
      <c r="F5791" s="209" t="s">
        <v>3036</v>
      </c>
      <c r="G5791" s="409" t="str">
        <f t="shared" si="94"/>
        <v>15-12</v>
      </c>
      <c r="H5791" s="273" t="e">
        <f ca="1">_xludf.IFNA(VLOOKUP(E5791,'Urban Plastix Holds'!$I$37:$U$705,7,0),0)</f>
        <v>#NAME?</v>
      </c>
      <c r="I5791" s="274"/>
      <c r="J5791" s="274" t="e">
        <f t="shared" ca="1" si="92"/>
        <v>#NAME?</v>
      </c>
      <c r="K5791" s="274">
        <f t="shared" si="93"/>
        <v>0</v>
      </c>
      <c r="N5791" s="274"/>
    </row>
    <row r="5792" spans="5:14" ht="13.5" customHeight="1">
      <c r="E5792" s="209" t="s">
        <v>1317</v>
      </c>
      <c r="F5792" s="209" t="s">
        <v>3036</v>
      </c>
      <c r="G5792" s="410" t="str">
        <f t="shared" si="94"/>
        <v>16-16</v>
      </c>
      <c r="H5792" s="273" t="e">
        <f ca="1">_xludf.IFNA(VLOOKUP(E5792,'Urban Plastix Holds'!$I$37:$U$705,8,0),0)</f>
        <v>#NAME?</v>
      </c>
      <c r="I5792" s="274"/>
      <c r="J5792" s="274" t="e">
        <f t="shared" ca="1" si="92"/>
        <v>#NAME?</v>
      </c>
      <c r="K5792" s="274">
        <f t="shared" si="93"/>
        <v>0</v>
      </c>
      <c r="N5792" s="274"/>
    </row>
    <row r="5793" spans="5:14" ht="13.5" customHeight="1">
      <c r="E5793" s="209" t="s">
        <v>1317</v>
      </c>
      <c r="F5793" s="209" t="s">
        <v>3036</v>
      </c>
      <c r="G5793" s="411" t="str">
        <f t="shared" si="94"/>
        <v>13-01</v>
      </c>
      <c r="H5793" s="273" t="e">
        <f ca="1">_xludf.IFNA(VLOOKUP(E5793,'Urban Plastix Holds'!$I$37:$U$705,9,0),0)</f>
        <v>#NAME?</v>
      </c>
      <c r="I5793" s="274"/>
      <c r="J5793" s="274" t="e">
        <f t="shared" ca="1" si="92"/>
        <v>#NAME?</v>
      </c>
      <c r="K5793" s="274">
        <f t="shared" si="93"/>
        <v>0</v>
      </c>
      <c r="N5793" s="274"/>
    </row>
    <row r="5794" spans="5:14" ht="13.5" customHeight="1">
      <c r="E5794" s="209" t="s">
        <v>1317</v>
      </c>
      <c r="F5794" s="209" t="s">
        <v>3036</v>
      </c>
      <c r="G5794" s="413" t="str">
        <f t="shared" si="94"/>
        <v>07-13</v>
      </c>
      <c r="H5794" s="273" t="e">
        <f ca="1">_xludf.IFNA(VLOOKUP(E5794,'Urban Plastix Holds'!$I$37:$U$705,10,0),0)</f>
        <v>#NAME?</v>
      </c>
      <c r="I5794" s="274"/>
      <c r="J5794" s="274" t="e">
        <f t="shared" ca="1" si="92"/>
        <v>#NAME?</v>
      </c>
      <c r="K5794" s="274">
        <f t="shared" si="93"/>
        <v>0</v>
      </c>
      <c r="N5794" s="274"/>
    </row>
    <row r="5795" spans="5:14" ht="13.5" customHeight="1">
      <c r="E5795" s="209" t="s">
        <v>1317</v>
      </c>
      <c r="F5795" s="209" t="s">
        <v>3036</v>
      </c>
      <c r="G5795" s="414" t="str">
        <f t="shared" si="94"/>
        <v>11-26</v>
      </c>
      <c r="H5795" s="273" t="e">
        <f ca="1">_xludf.IFNA(VLOOKUP(E5795,'Urban Plastix Holds'!$I$37:$U$705,11,0),0)</f>
        <v>#NAME?</v>
      </c>
      <c r="I5795" s="274"/>
      <c r="J5795" s="274" t="e">
        <f t="shared" ca="1" si="92"/>
        <v>#NAME?</v>
      </c>
      <c r="K5795" s="274">
        <f t="shared" si="93"/>
        <v>0</v>
      </c>
      <c r="N5795" s="274"/>
    </row>
    <row r="5796" spans="5:14" ht="13.5" customHeight="1">
      <c r="E5796" s="209" t="s">
        <v>1317</v>
      </c>
      <c r="F5796" s="209" t="s">
        <v>3036</v>
      </c>
      <c r="G5796" s="415" t="str">
        <f t="shared" si="94"/>
        <v>18-01</v>
      </c>
      <c r="H5796" s="273" t="e">
        <f ca="1">_xludf.IFNA(VLOOKUP(E5796,'Urban Plastix Holds'!$I$37:$U$705,12,0),0)</f>
        <v>#NAME?</v>
      </c>
      <c r="I5796" s="274"/>
      <c r="J5796" s="274" t="e">
        <f t="shared" ca="1" si="92"/>
        <v>#NAME?</v>
      </c>
      <c r="K5796" s="274">
        <f t="shared" si="93"/>
        <v>0</v>
      </c>
      <c r="N5796" s="274"/>
    </row>
    <row r="5797" spans="5:14" ht="13.5" customHeight="1">
      <c r="E5797" s="209" t="s">
        <v>1317</v>
      </c>
      <c r="F5797" s="209" t="s">
        <v>3036</v>
      </c>
      <c r="G5797" s="416" t="str">
        <f t="shared" si="94"/>
        <v>Color Code</v>
      </c>
      <c r="H5797" s="273" t="e">
        <f ca="1">_xludf.IFNA(VLOOKUP(E5797,'Urban Plastix Holds'!$I$37:$U$705,13,0),0)</f>
        <v>#NAME?</v>
      </c>
      <c r="I5797" s="274"/>
      <c r="J5797" s="274" t="e">
        <f t="shared" ca="1" si="92"/>
        <v>#NAME?</v>
      </c>
      <c r="K5797" s="274">
        <f t="shared" si="93"/>
        <v>0</v>
      </c>
      <c r="N5797" s="274"/>
    </row>
    <row r="5798" spans="5:14" ht="13.5" customHeight="1">
      <c r="E5798" s="209" t="s">
        <v>1295</v>
      </c>
      <c r="F5798" s="209" t="s">
        <v>3037</v>
      </c>
      <c r="G5798" s="406" t="str">
        <f t="shared" si="94"/>
        <v>11-12</v>
      </c>
      <c r="H5798" s="273" t="e">
        <f ca="1">_xludf.IFNA(VLOOKUP(E5798,'Urban Plastix Holds'!$I$37:$U$705,5,0),0)</f>
        <v>#NAME?</v>
      </c>
      <c r="I5798" s="274"/>
      <c r="J5798" s="274" t="e">
        <f t="shared" ca="1" si="92"/>
        <v>#NAME?</v>
      </c>
      <c r="K5798" s="274">
        <f t="shared" si="93"/>
        <v>0</v>
      </c>
      <c r="N5798" s="274"/>
    </row>
    <row r="5799" spans="5:14" ht="13.5" customHeight="1">
      <c r="E5799" s="209" t="s">
        <v>1295</v>
      </c>
      <c r="F5799" s="209" t="s">
        <v>3037</v>
      </c>
      <c r="G5799" s="408" t="str">
        <f t="shared" si="94"/>
        <v>14-01</v>
      </c>
      <c r="H5799" s="273" t="e">
        <f ca="1">_xludf.IFNA(VLOOKUP(E5799,'Urban Plastix Holds'!$I$37:$U$705,6,0),0)</f>
        <v>#NAME?</v>
      </c>
      <c r="I5799" s="274"/>
      <c r="J5799" s="274" t="e">
        <f t="shared" ca="1" si="92"/>
        <v>#NAME?</v>
      </c>
      <c r="K5799" s="274">
        <f t="shared" si="93"/>
        <v>0</v>
      </c>
      <c r="N5799" s="274"/>
    </row>
    <row r="5800" spans="5:14" ht="13.5" customHeight="1">
      <c r="E5800" s="209" t="s">
        <v>1295</v>
      </c>
      <c r="F5800" s="209" t="s">
        <v>3037</v>
      </c>
      <c r="G5800" s="409" t="str">
        <f t="shared" si="94"/>
        <v>15-12</v>
      </c>
      <c r="H5800" s="273" t="e">
        <f ca="1">_xludf.IFNA(VLOOKUP(E5800,'Urban Plastix Holds'!$I$37:$U$705,7,0),0)</f>
        <v>#NAME?</v>
      </c>
      <c r="I5800" s="274"/>
      <c r="J5800" s="274" t="e">
        <f t="shared" ca="1" si="92"/>
        <v>#NAME?</v>
      </c>
      <c r="K5800" s="274">
        <f t="shared" si="93"/>
        <v>0</v>
      </c>
      <c r="N5800" s="274"/>
    </row>
    <row r="5801" spans="5:14" ht="13.5" customHeight="1">
      <c r="E5801" s="209" t="s">
        <v>1295</v>
      </c>
      <c r="F5801" s="209" t="s">
        <v>3037</v>
      </c>
      <c r="G5801" s="410" t="str">
        <f t="shared" si="94"/>
        <v>16-16</v>
      </c>
      <c r="H5801" s="273" t="e">
        <f ca="1">_xludf.IFNA(VLOOKUP(E5801,'Urban Plastix Holds'!$I$37:$U$705,8,0),0)</f>
        <v>#NAME?</v>
      </c>
      <c r="I5801" s="274"/>
      <c r="J5801" s="274" t="e">
        <f t="shared" ca="1" si="92"/>
        <v>#NAME?</v>
      </c>
      <c r="K5801" s="274">
        <f t="shared" si="93"/>
        <v>0</v>
      </c>
      <c r="N5801" s="274"/>
    </row>
    <row r="5802" spans="5:14" ht="13.5" customHeight="1">
      <c r="E5802" s="209" t="s">
        <v>1295</v>
      </c>
      <c r="F5802" s="209" t="s">
        <v>3037</v>
      </c>
      <c r="G5802" s="411" t="str">
        <f t="shared" si="94"/>
        <v>13-01</v>
      </c>
      <c r="H5802" s="273" t="e">
        <f ca="1">_xludf.IFNA(VLOOKUP(E5802,'Urban Plastix Holds'!$I$37:$U$705,9,0),0)</f>
        <v>#NAME?</v>
      </c>
      <c r="I5802" s="274"/>
      <c r="J5802" s="274" t="e">
        <f t="shared" ca="1" si="92"/>
        <v>#NAME?</v>
      </c>
      <c r="K5802" s="274">
        <f t="shared" si="93"/>
        <v>0</v>
      </c>
      <c r="N5802" s="274"/>
    </row>
    <row r="5803" spans="5:14" ht="13.5" customHeight="1">
      <c r="E5803" s="209" t="s">
        <v>1295</v>
      </c>
      <c r="F5803" s="209" t="s">
        <v>3037</v>
      </c>
      <c r="G5803" s="413" t="str">
        <f t="shared" si="94"/>
        <v>07-13</v>
      </c>
      <c r="H5803" s="273" t="e">
        <f ca="1">_xludf.IFNA(VLOOKUP(E5803,'Urban Plastix Holds'!$I$37:$U$705,10,0),0)</f>
        <v>#NAME?</v>
      </c>
      <c r="I5803" s="274"/>
      <c r="J5803" s="274" t="e">
        <f t="shared" ca="1" si="92"/>
        <v>#NAME?</v>
      </c>
      <c r="K5803" s="274">
        <f t="shared" si="93"/>
        <v>0</v>
      </c>
      <c r="N5803" s="274"/>
    </row>
    <row r="5804" spans="5:14" ht="13.5" customHeight="1">
      <c r="E5804" s="209" t="s">
        <v>1295</v>
      </c>
      <c r="F5804" s="209" t="s">
        <v>3037</v>
      </c>
      <c r="G5804" s="414" t="str">
        <f t="shared" si="94"/>
        <v>11-26</v>
      </c>
      <c r="H5804" s="273" t="e">
        <f ca="1">_xludf.IFNA(VLOOKUP(E5804,'Urban Plastix Holds'!$I$37:$U$705,11,0),0)</f>
        <v>#NAME?</v>
      </c>
      <c r="I5804" s="274"/>
      <c r="J5804" s="274" t="e">
        <f t="shared" ca="1" si="92"/>
        <v>#NAME?</v>
      </c>
      <c r="K5804" s="274">
        <f t="shared" si="93"/>
        <v>0</v>
      </c>
      <c r="N5804" s="274"/>
    </row>
    <row r="5805" spans="5:14" ht="13.5" customHeight="1">
      <c r="E5805" s="209" t="s">
        <v>1295</v>
      </c>
      <c r="F5805" s="209" t="s">
        <v>3037</v>
      </c>
      <c r="G5805" s="415" t="str">
        <f t="shared" si="94"/>
        <v>18-01</v>
      </c>
      <c r="H5805" s="273" t="e">
        <f ca="1">_xludf.IFNA(VLOOKUP(E5805,'Urban Plastix Holds'!$I$37:$U$705,12,0),0)</f>
        <v>#NAME?</v>
      </c>
      <c r="I5805" s="274"/>
      <c r="J5805" s="274" t="e">
        <f t="shared" ca="1" si="92"/>
        <v>#NAME?</v>
      </c>
      <c r="K5805" s="274">
        <f t="shared" si="93"/>
        <v>0</v>
      </c>
      <c r="N5805" s="274"/>
    </row>
    <row r="5806" spans="5:14" ht="13.5" customHeight="1">
      <c r="E5806" s="209" t="s">
        <v>1295</v>
      </c>
      <c r="F5806" s="209" t="s">
        <v>3037</v>
      </c>
      <c r="G5806" s="416" t="str">
        <f t="shared" si="94"/>
        <v>Color Code</v>
      </c>
      <c r="H5806" s="273" t="e">
        <f ca="1">_xludf.IFNA(VLOOKUP(E5806,'Urban Plastix Holds'!$I$37:$U$705,13,0),0)</f>
        <v>#NAME?</v>
      </c>
      <c r="I5806" s="274"/>
      <c r="J5806" s="274" t="e">
        <f t="shared" ca="1" si="92"/>
        <v>#NAME?</v>
      </c>
      <c r="K5806" s="274">
        <f t="shared" si="93"/>
        <v>0</v>
      </c>
      <c r="N5806" s="274"/>
    </row>
    <row r="5807" spans="5:14" ht="13.5" customHeight="1">
      <c r="E5807" s="209" t="s">
        <v>1297</v>
      </c>
      <c r="F5807" s="209" t="s">
        <v>3038</v>
      </c>
      <c r="G5807" s="406" t="str">
        <f t="shared" si="94"/>
        <v>11-12</v>
      </c>
      <c r="H5807" s="273" t="e">
        <f ca="1">_xludf.IFNA(VLOOKUP(E5807,'Urban Plastix Holds'!$I$37:$U$705,5,0),0)</f>
        <v>#NAME?</v>
      </c>
      <c r="I5807" s="274"/>
      <c r="J5807" s="274" t="e">
        <f t="shared" ca="1" si="92"/>
        <v>#NAME?</v>
      </c>
      <c r="K5807" s="274">
        <f t="shared" si="93"/>
        <v>0</v>
      </c>
      <c r="N5807" s="274"/>
    </row>
    <row r="5808" spans="5:14" ht="13.5" customHeight="1">
      <c r="E5808" s="209" t="s">
        <v>1297</v>
      </c>
      <c r="F5808" s="209" t="s">
        <v>3038</v>
      </c>
      <c r="G5808" s="408" t="str">
        <f t="shared" si="94"/>
        <v>14-01</v>
      </c>
      <c r="H5808" s="273" t="e">
        <f ca="1">_xludf.IFNA(VLOOKUP(E5808,'Urban Plastix Holds'!$I$37:$U$705,6,0),0)</f>
        <v>#NAME?</v>
      </c>
      <c r="I5808" s="274"/>
      <c r="J5808" s="274" t="e">
        <f t="shared" ca="1" si="92"/>
        <v>#NAME?</v>
      </c>
      <c r="K5808" s="274">
        <f t="shared" si="93"/>
        <v>0</v>
      </c>
      <c r="N5808" s="274"/>
    </row>
    <row r="5809" spans="5:14" ht="13.5" customHeight="1">
      <c r="E5809" s="209" t="s">
        <v>1297</v>
      </c>
      <c r="F5809" s="209" t="s">
        <v>3038</v>
      </c>
      <c r="G5809" s="409" t="str">
        <f t="shared" si="94"/>
        <v>15-12</v>
      </c>
      <c r="H5809" s="273" t="e">
        <f ca="1">_xludf.IFNA(VLOOKUP(E5809,'Urban Plastix Holds'!$I$37:$U$705,7,0),0)</f>
        <v>#NAME?</v>
      </c>
      <c r="I5809" s="274"/>
      <c r="J5809" s="274" t="e">
        <f t="shared" ca="1" si="92"/>
        <v>#NAME?</v>
      </c>
      <c r="K5809" s="274">
        <f t="shared" si="93"/>
        <v>0</v>
      </c>
      <c r="N5809" s="274"/>
    </row>
    <row r="5810" spans="5:14" ht="13.5" customHeight="1">
      <c r="E5810" s="209" t="s">
        <v>1297</v>
      </c>
      <c r="F5810" s="209" t="s">
        <v>3038</v>
      </c>
      <c r="G5810" s="410" t="str">
        <f t="shared" si="94"/>
        <v>16-16</v>
      </c>
      <c r="H5810" s="273" t="e">
        <f ca="1">_xludf.IFNA(VLOOKUP(E5810,'Urban Plastix Holds'!$I$37:$U$705,8,0),0)</f>
        <v>#NAME?</v>
      </c>
      <c r="I5810" s="274"/>
      <c r="J5810" s="274" t="e">
        <f t="shared" ca="1" si="92"/>
        <v>#NAME?</v>
      </c>
      <c r="K5810" s="274">
        <f t="shared" si="93"/>
        <v>0</v>
      </c>
      <c r="N5810" s="274"/>
    </row>
    <row r="5811" spans="5:14" ht="13.5" customHeight="1">
      <c r="E5811" s="209" t="s">
        <v>1297</v>
      </c>
      <c r="F5811" s="209" t="s">
        <v>3038</v>
      </c>
      <c r="G5811" s="411" t="str">
        <f t="shared" si="94"/>
        <v>13-01</v>
      </c>
      <c r="H5811" s="273" t="e">
        <f ca="1">_xludf.IFNA(VLOOKUP(E5811,'Urban Plastix Holds'!$I$37:$U$705,9,0),0)</f>
        <v>#NAME?</v>
      </c>
      <c r="I5811" s="274"/>
      <c r="J5811" s="274" t="e">
        <f t="shared" ca="1" si="92"/>
        <v>#NAME?</v>
      </c>
      <c r="K5811" s="274">
        <f t="shared" si="93"/>
        <v>0</v>
      </c>
      <c r="N5811" s="274"/>
    </row>
    <row r="5812" spans="5:14" ht="13.5" customHeight="1">
      <c r="E5812" s="209" t="s">
        <v>1297</v>
      </c>
      <c r="F5812" s="209" t="s">
        <v>3038</v>
      </c>
      <c r="G5812" s="413" t="str">
        <f t="shared" si="94"/>
        <v>07-13</v>
      </c>
      <c r="H5812" s="273" t="e">
        <f ca="1">_xludf.IFNA(VLOOKUP(E5812,'Urban Plastix Holds'!$I$37:$U$705,10,0),0)</f>
        <v>#NAME?</v>
      </c>
      <c r="I5812" s="274"/>
      <c r="J5812" s="274" t="e">
        <f t="shared" ca="1" si="92"/>
        <v>#NAME?</v>
      </c>
      <c r="K5812" s="274">
        <f t="shared" si="93"/>
        <v>0</v>
      </c>
      <c r="N5812" s="274"/>
    </row>
    <row r="5813" spans="5:14" ht="13.5" customHeight="1">
      <c r="E5813" s="209" t="s">
        <v>1297</v>
      </c>
      <c r="F5813" s="209" t="s">
        <v>3038</v>
      </c>
      <c r="G5813" s="414" t="str">
        <f t="shared" si="94"/>
        <v>11-26</v>
      </c>
      <c r="H5813" s="273" t="e">
        <f ca="1">_xludf.IFNA(VLOOKUP(E5813,'Urban Plastix Holds'!$I$37:$U$705,11,0),0)</f>
        <v>#NAME?</v>
      </c>
      <c r="I5813" s="274"/>
      <c r="J5813" s="274" t="e">
        <f t="shared" ca="1" si="92"/>
        <v>#NAME?</v>
      </c>
      <c r="K5813" s="274">
        <f t="shared" si="93"/>
        <v>0</v>
      </c>
      <c r="N5813" s="274"/>
    </row>
    <row r="5814" spans="5:14" ht="13.5" customHeight="1">
      <c r="E5814" s="209" t="s">
        <v>1297</v>
      </c>
      <c r="F5814" s="209" t="s">
        <v>3038</v>
      </c>
      <c r="G5814" s="415" t="str">
        <f t="shared" si="94"/>
        <v>18-01</v>
      </c>
      <c r="H5814" s="273" t="e">
        <f ca="1">_xludf.IFNA(VLOOKUP(E5814,'Urban Plastix Holds'!$I$37:$U$705,12,0),0)</f>
        <v>#NAME?</v>
      </c>
      <c r="I5814" s="274"/>
      <c r="J5814" s="274" t="e">
        <f t="shared" ca="1" si="92"/>
        <v>#NAME?</v>
      </c>
      <c r="K5814" s="274">
        <f t="shared" si="93"/>
        <v>0</v>
      </c>
      <c r="N5814" s="274"/>
    </row>
    <row r="5815" spans="5:14" ht="13.5" customHeight="1">
      <c r="E5815" s="209" t="s">
        <v>1297</v>
      </c>
      <c r="F5815" s="209" t="s">
        <v>3038</v>
      </c>
      <c r="G5815" s="416" t="str">
        <f t="shared" si="94"/>
        <v>Color Code</v>
      </c>
      <c r="H5815" s="273" t="e">
        <f ca="1">_xludf.IFNA(VLOOKUP(E5815,'Urban Plastix Holds'!$I$37:$U$705,13,0),0)</f>
        <v>#NAME?</v>
      </c>
      <c r="I5815" s="274"/>
      <c r="J5815" s="274" t="e">
        <f t="shared" ca="1" si="92"/>
        <v>#NAME?</v>
      </c>
      <c r="K5815" s="274">
        <f t="shared" si="93"/>
        <v>0</v>
      </c>
      <c r="N5815" s="274"/>
    </row>
    <row r="5816" spans="5:14" ht="13.5" customHeight="1">
      <c r="E5816" s="209" t="s">
        <v>1554</v>
      </c>
      <c r="F5816" s="209" t="s">
        <v>3039</v>
      </c>
      <c r="G5816" s="406" t="str">
        <f t="shared" si="94"/>
        <v>11-12</v>
      </c>
      <c r="H5816" s="273" t="e">
        <f ca="1">_xludf.IFNA(VLOOKUP(E5816,'Urban Plastix Holds'!$I$37:$U$705,5,0),0)</f>
        <v>#NAME?</v>
      </c>
      <c r="I5816" s="274"/>
      <c r="J5816" s="274" t="e">
        <f t="shared" ca="1" si="92"/>
        <v>#NAME?</v>
      </c>
      <c r="K5816" s="274">
        <f t="shared" si="93"/>
        <v>0</v>
      </c>
      <c r="N5816" s="274"/>
    </row>
    <row r="5817" spans="5:14" ht="13.5" customHeight="1">
      <c r="E5817" s="209" t="s">
        <v>1554</v>
      </c>
      <c r="F5817" s="209" t="s">
        <v>3039</v>
      </c>
      <c r="G5817" s="408" t="str">
        <f t="shared" si="94"/>
        <v>14-01</v>
      </c>
      <c r="H5817" s="273" t="e">
        <f ca="1">_xludf.IFNA(VLOOKUP(E5817,'Urban Plastix Holds'!$I$37:$U$705,6,0),0)</f>
        <v>#NAME?</v>
      </c>
      <c r="I5817" s="274"/>
      <c r="J5817" s="274" t="e">
        <f t="shared" ca="1" si="92"/>
        <v>#NAME?</v>
      </c>
      <c r="K5817" s="274">
        <f t="shared" si="93"/>
        <v>0</v>
      </c>
      <c r="N5817" s="274"/>
    </row>
    <row r="5818" spans="5:14" ht="13.5" customHeight="1">
      <c r="E5818" s="209" t="s">
        <v>1554</v>
      </c>
      <c r="F5818" s="209" t="s">
        <v>3039</v>
      </c>
      <c r="G5818" s="409" t="str">
        <f t="shared" si="94"/>
        <v>15-12</v>
      </c>
      <c r="H5818" s="273" t="e">
        <f ca="1">_xludf.IFNA(VLOOKUP(E5818,'Urban Plastix Holds'!$I$37:$U$705,7,0),0)</f>
        <v>#NAME?</v>
      </c>
      <c r="I5818" s="274"/>
      <c r="J5818" s="274" t="e">
        <f t="shared" ca="1" si="92"/>
        <v>#NAME?</v>
      </c>
      <c r="K5818" s="274">
        <f t="shared" si="93"/>
        <v>0</v>
      </c>
      <c r="N5818" s="274"/>
    </row>
    <row r="5819" spans="5:14" ht="13.5" customHeight="1">
      <c r="E5819" s="209" t="s">
        <v>1554</v>
      </c>
      <c r="F5819" s="209" t="s">
        <v>3039</v>
      </c>
      <c r="G5819" s="410" t="str">
        <f t="shared" si="94"/>
        <v>16-16</v>
      </c>
      <c r="H5819" s="273" t="e">
        <f ca="1">_xludf.IFNA(VLOOKUP(E5819,'Urban Plastix Holds'!$I$37:$U$705,8,0),0)</f>
        <v>#NAME?</v>
      </c>
      <c r="I5819" s="274"/>
      <c r="J5819" s="274" t="e">
        <f t="shared" ca="1" si="92"/>
        <v>#NAME?</v>
      </c>
      <c r="K5819" s="274">
        <f t="shared" si="93"/>
        <v>0</v>
      </c>
      <c r="N5819" s="274"/>
    </row>
    <row r="5820" spans="5:14" ht="13.5" customHeight="1">
      <c r="E5820" s="209" t="s">
        <v>1554</v>
      </c>
      <c r="F5820" s="209" t="s">
        <v>3039</v>
      </c>
      <c r="G5820" s="411" t="str">
        <f t="shared" si="94"/>
        <v>13-01</v>
      </c>
      <c r="H5820" s="273" t="e">
        <f ca="1">_xludf.IFNA(VLOOKUP(E5820,'Urban Plastix Holds'!$I$37:$U$705,9,0),0)</f>
        <v>#NAME?</v>
      </c>
      <c r="I5820" s="274"/>
      <c r="J5820" s="274" t="e">
        <f t="shared" ca="1" si="92"/>
        <v>#NAME?</v>
      </c>
      <c r="K5820" s="274">
        <f t="shared" si="93"/>
        <v>0</v>
      </c>
      <c r="N5820" s="274"/>
    </row>
    <row r="5821" spans="5:14" ht="13.5" customHeight="1">
      <c r="E5821" s="209" t="s">
        <v>1554</v>
      </c>
      <c r="F5821" s="209" t="s">
        <v>3039</v>
      </c>
      <c r="G5821" s="413" t="str">
        <f t="shared" si="94"/>
        <v>07-13</v>
      </c>
      <c r="H5821" s="273" t="e">
        <f ca="1">_xludf.IFNA(VLOOKUP(E5821,'Urban Plastix Holds'!$I$37:$U$705,10,0),0)</f>
        <v>#NAME?</v>
      </c>
      <c r="I5821" s="274"/>
      <c r="J5821" s="274" t="e">
        <f t="shared" ca="1" si="92"/>
        <v>#NAME?</v>
      </c>
      <c r="K5821" s="274">
        <f t="shared" si="93"/>
        <v>0</v>
      </c>
      <c r="N5821" s="274"/>
    </row>
    <row r="5822" spans="5:14" ht="13.5" customHeight="1">
      <c r="E5822" s="209" t="s">
        <v>1554</v>
      </c>
      <c r="F5822" s="209" t="s">
        <v>3039</v>
      </c>
      <c r="G5822" s="414" t="str">
        <f t="shared" si="94"/>
        <v>11-26</v>
      </c>
      <c r="H5822" s="273" t="e">
        <f ca="1">_xludf.IFNA(VLOOKUP(E5822,'Urban Plastix Holds'!$I$37:$U$705,11,0),0)</f>
        <v>#NAME?</v>
      </c>
      <c r="I5822" s="274"/>
      <c r="J5822" s="274" t="e">
        <f t="shared" ca="1" si="92"/>
        <v>#NAME?</v>
      </c>
      <c r="K5822" s="274">
        <f t="shared" si="93"/>
        <v>0</v>
      </c>
      <c r="N5822" s="274"/>
    </row>
    <row r="5823" spans="5:14" ht="13.5" customHeight="1">
      <c r="E5823" s="209" t="s">
        <v>1554</v>
      </c>
      <c r="F5823" s="209" t="s">
        <v>3039</v>
      </c>
      <c r="G5823" s="415" t="str">
        <f t="shared" si="94"/>
        <v>18-01</v>
      </c>
      <c r="H5823" s="273" t="e">
        <f ca="1">_xludf.IFNA(VLOOKUP(E5823,'Urban Plastix Holds'!$I$37:$U$705,12,0),0)</f>
        <v>#NAME?</v>
      </c>
      <c r="I5823" s="274"/>
      <c r="J5823" s="274" t="e">
        <f t="shared" ca="1" si="92"/>
        <v>#NAME?</v>
      </c>
      <c r="K5823" s="274">
        <f t="shared" si="93"/>
        <v>0</v>
      </c>
      <c r="N5823" s="274"/>
    </row>
    <row r="5824" spans="5:14" ht="13.5" customHeight="1">
      <c r="E5824" s="209" t="s">
        <v>1554</v>
      </c>
      <c r="F5824" s="209" t="s">
        <v>3039</v>
      </c>
      <c r="G5824" s="416" t="str">
        <f t="shared" si="94"/>
        <v>Color Code</v>
      </c>
      <c r="H5824" s="273" t="e">
        <f ca="1">_xludf.IFNA(VLOOKUP(E5824,'Urban Plastix Holds'!$I$37:$U$705,13,0),0)</f>
        <v>#NAME?</v>
      </c>
      <c r="I5824" s="274"/>
      <c r="J5824" s="274" t="e">
        <f t="shared" ca="1" si="92"/>
        <v>#NAME?</v>
      </c>
      <c r="K5824" s="274">
        <f t="shared" si="93"/>
        <v>0</v>
      </c>
      <c r="N5824" s="274"/>
    </row>
    <row r="5825" spans="5:14" ht="13.5" customHeight="1">
      <c r="E5825" s="209" t="s">
        <v>1534</v>
      </c>
      <c r="F5825" s="209" t="s">
        <v>3040</v>
      </c>
      <c r="G5825" s="406" t="str">
        <f t="shared" si="94"/>
        <v>11-12</v>
      </c>
      <c r="H5825" s="273" t="e">
        <f ca="1">_xludf.IFNA(VLOOKUP(E5825,'Urban Plastix Holds'!$I$37:$U$705,5,0),0)</f>
        <v>#NAME?</v>
      </c>
      <c r="I5825" s="274"/>
      <c r="J5825" s="274" t="e">
        <f t="shared" ca="1" si="92"/>
        <v>#NAME?</v>
      </c>
      <c r="K5825" s="274">
        <f t="shared" si="93"/>
        <v>0</v>
      </c>
      <c r="N5825" s="274"/>
    </row>
    <row r="5826" spans="5:14" ht="13.5" customHeight="1">
      <c r="E5826" s="209" t="s">
        <v>1534</v>
      </c>
      <c r="F5826" s="209" t="s">
        <v>3040</v>
      </c>
      <c r="G5826" s="408" t="str">
        <f t="shared" si="94"/>
        <v>14-01</v>
      </c>
      <c r="H5826" s="273" t="e">
        <f ca="1">_xludf.IFNA(VLOOKUP(E5826,'Urban Plastix Holds'!$I$37:$U$705,6,0),0)</f>
        <v>#NAME?</v>
      </c>
      <c r="I5826" s="274"/>
      <c r="J5826" s="274" t="e">
        <f t="shared" ca="1" si="92"/>
        <v>#NAME?</v>
      </c>
      <c r="K5826" s="274">
        <f t="shared" si="93"/>
        <v>0</v>
      </c>
      <c r="N5826" s="274"/>
    </row>
    <row r="5827" spans="5:14" ht="13.5" customHeight="1">
      <c r="E5827" s="209" t="s">
        <v>1534</v>
      </c>
      <c r="F5827" s="209" t="s">
        <v>3040</v>
      </c>
      <c r="G5827" s="409" t="str">
        <f t="shared" si="94"/>
        <v>15-12</v>
      </c>
      <c r="H5827" s="273" t="e">
        <f ca="1">_xludf.IFNA(VLOOKUP(E5827,'Urban Plastix Holds'!$I$37:$U$705,7,0),0)</f>
        <v>#NAME?</v>
      </c>
      <c r="I5827" s="274"/>
      <c r="J5827" s="274" t="e">
        <f t="shared" ca="1" si="92"/>
        <v>#NAME?</v>
      </c>
      <c r="K5827" s="274">
        <f t="shared" si="93"/>
        <v>0</v>
      </c>
      <c r="N5827" s="274"/>
    </row>
    <row r="5828" spans="5:14" ht="13.5" customHeight="1">
      <c r="E5828" s="209" t="s">
        <v>1534</v>
      </c>
      <c r="F5828" s="209" t="s">
        <v>3040</v>
      </c>
      <c r="G5828" s="410" t="str">
        <f t="shared" si="94"/>
        <v>16-16</v>
      </c>
      <c r="H5828" s="273" t="e">
        <f ca="1">_xludf.IFNA(VLOOKUP(E5828,'Urban Plastix Holds'!$I$37:$U$705,8,0),0)</f>
        <v>#NAME?</v>
      </c>
      <c r="I5828" s="274"/>
      <c r="J5828" s="274" t="e">
        <f t="shared" ca="1" si="92"/>
        <v>#NAME?</v>
      </c>
      <c r="K5828" s="274">
        <f t="shared" si="93"/>
        <v>0</v>
      </c>
      <c r="N5828" s="274"/>
    </row>
    <row r="5829" spans="5:14" ht="13.5" customHeight="1">
      <c r="E5829" s="209" t="s">
        <v>1534</v>
      </c>
      <c r="F5829" s="209" t="s">
        <v>3040</v>
      </c>
      <c r="G5829" s="411" t="str">
        <f t="shared" si="94"/>
        <v>13-01</v>
      </c>
      <c r="H5829" s="273" t="e">
        <f ca="1">_xludf.IFNA(VLOOKUP(E5829,'Urban Plastix Holds'!$I$37:$U$705,9,0),0)</f>
        <v>#NAME?</v>
      </c>
      <c r="I5829" s="274"/>
      <c r="J5829" s="274" t="e">
        <f t="shared" ca="1" si="92"/>
        <v>#NAME?</v>
      </c>
      <c r="K5829" s="274">
        <f t="shared" si="93"/>
        <v>0</v>
      </c>
      <c r="N5829" s="274"/>
    </row>
    <row r="5830" spans="5:14" ht="13.5" customHeight="1">
      <c r="E5830" s="209" t="s">
        <v>1534</v>
      </c>
      <c r="F5830" s="209" t="s">
        <v>3040</v>
      </c>
      <c r="G5830" s="413" t="str">
        <f t="shared" si="94"/>
        <v>07-13</v>
      </c>
      <c r="H5830" s="273" t="e">
        <f ca="1">_xludf.IFNA(VLOOKUP(E5830,'Urban Plastix Holds'!$I$37:$U$705,10,0),0)</f>
        <v>#NAME?</v>
      </c>
      <c r="I5830" s="274"/>
      <c r="J5830" s="274" t="e">
        <f t="shared" ca="1" si="92"/>
        <v>#NAME?</v>
      </c>
      <c r="K5830" s="274">
        <f t="shared" si="93"/>
        <v>0</v>
      </c>
      <c r="N5830" s="274"/>
    </row>
    <row r="5831" spans="5:14" ht="13.5" customHeight="1">
      <c r="E5831" s="209" t="s">
        <v>1534</v>
      </c>
      <c r="F5831" s="209" t="s">
        <v>3040</v>
      </c>
      <c r="G5831" s="414" t="str">
        <f t="shared" si="94"/>
        <v>11-26</v>
      </c>
      <c r="H5831" s="273" t="e">
        <f ca="1">_xludf.IFNA(VLOOKUP(E5831,'Urban Plastix Holds'!$I$37:$U$705,11,0),0)</f>
        <v>#NAME?</v>
      </c>
      <c r="I5831" s="274"/>
      <c r="J5831" s="274" t="e">
        <f t="shared" ca="1" si="92"/>
        <v>#NAME?</v>
      </c>
      <c r="K5831" s="274">
        <f t="shared" si="93"/>
        <v>0</v>
      </c>
      <c r="N5831" s="274"/>
    </row>
    <row r="5832" spans="5:14" ht="13.5" customHeight="1">
      <c r="E5832" s="209" t="s">
        <v>1534</v>
      </c>
      <c r="F5832" s="209" t="s">
        <v>3040</v>
      </c>
      <c r="G5832" s="415" t="str">
        <f t="shared" si="94"/>
        <v>18-01</v>
      </c>
      <c r="H5832" s="273" t="e">
        <f ca="1">_xludf.IFNA(VLOOKUP(E5832,'Urban Plastix Holds'!$I$37:$U$705,12,0),0)</f>
        <v>#NAME?</v>
      </c>
      <c r="I5832" s="274"/>
      <c r="J5832" s="274" t="e">
        <f t="shared" ca="1" si="92"/>
        <v>#NAME?</v>
      </c>
      <c r="K5832" s="274">
        <f t="shared" si="93"/>
        <v>0</v>
      </c>
      <c r="N5832" s="274"/>
    </row>
    <row r="5833" spans="5:14" ht="13.5" customHeight="1">
      <c r="E5833" s="209" t="s">
        <v>1534</v>
      </c>
      <c r="F5833" s="1" t="s">
        <v>3040</v>
      </c>
      <c r="G5833" s="416" t="str">
        <f t="shared" si="94"/>
        <v>Color Code</v>
      </c>
      <c r="H5833" s="273" t="e">
        <f ca="1">_xludf.IFNA(VLOOKUP(E5833,'Urban Plastix Holds'!$I$37:$U$705,13,0),0)</f>
        <v>#NAME?</v>
      </c>
      <c r="I5833" s="274"/>
      <c r="J5833" s="274" t="e">
        <f t="shared" ca="1" si="92"/>
        <v>#NAME?</v>
      </c>
      <c r="K5833" s="274">
        <f t="shared" si="93"/>
        <v>0</v>
      </c>
      <c r="N5833" s="274"/>
    </row>
    <row r="5834" spans="5:14" ht="13.5" customHeight="1">
      <c r="E5834" s="209" t="s">
        <v>1536</v>
      </c>
      <c r="F5834" s="1" t="s">
        <v>3041</v>
      </c>
      <c r="G5834" s="406" t="str">
        <f t="shared" si="94"/>
        <v>11-12</v>
      </c>
      <c r="H5834" s="273" t="e">
        <f ca="1">_xludf.IFNA(VLOOKUP(E5834,'Urban Plastix Holds'!$I$37:$U$705,5,0),0)</f>
        <v>#NAME?</v>
      </c>
      <c r="I5834" s="274"/>
      <c r="J5834" s="274" t="e">
        <f t="shared" ca="1" si="92"/>
        <v>#NAME?</v>
      </c>
      <c r="K5834" s="274">
        <f t="shared" si="93"/>
        <v>0</v>
      </c>
      <c r="N5834" s="274"/>
    </row>
    <row r="5835" spans="5:14" ht="13.5" customHeight="1">
      <c r="E5835" s="209" t="s">
        <v>1536</v>
      </c>
      <c r="F5835" s="1" t="s">
        <v>3041</v>
      </c>
      <c r="G5835" s="408" t="str">
        <f t="shared" si="94"/>
        <v>14-01</v>
      </c>
      <c r="H5835" s="273" t="e">
        <f ca="1">_xludf.IFNA(VLOOKUP(E5835,'Urban Plastix Holds'!$I$37:$U$705,6,0),0)</f>
        <v>#NAME?</v>
      </c>
      <c r="I5835" s="274"/>
      <c r="J5835" s="274" t="e">
        <f t="shared" ca="1" si="92"/>
        <v>#NAME?</v>
      </c>
      <c r="K5835" s="274">
        <f t="shared" si="93"/>
        <v>0</v>
      </c>
      <c r="N5835" s="274"/>
    </row>
    <row r="5836" spans="5:14" ht="13.5" customHeight="1">
      <c r="E5836" s="209" t="s">
        <v>1536</v>
      </c>
      <c r="F5836" s="1" t="s">
        <v>3041</v>
      </c>
      <c r="G5836" s="409" t="str">
        <f t="shared" si="94"/>
        <v>15-12</v>
      </c>
      <c r="H5836" s="273" t="e">
        <f ca="1">_xludf.IFNA(VLOOKUP(E5836,'Urban Plastix Holds'!$I$37:$U$705,7,0),0)</f>
        <v>#NAME?</v>
      </c>
      <c r="I5836" s="274"/>
      <c r="J5836" s="274" t="e">
        <f t="shared" ca="1" si="92"/>
        <v>#NAME?</v>
      </c>
      <c r="K5836" s="274">
        <f t="shared" si="93"/>
        <v>0</v>
      </c>
      <c r="N5836" s="274"/>
    </row>
    <row r="5837" spans="5:14" ht="13.5" customHeight="1">
      <c r="E5837" s="209" t="s">
        <v>1536</v>
      </c>
      <c r="F5837" s="1" t="s">
        <v>3041</v>
      </c>
      <c r="G5837" s="410" t="str">
        <f t="shared" si="94"/>
        <v>16-16</v>
      </c>
      <c r="H5837" s="273" t="e">
        <f ca="1">_xludf.IFNA(VLOOKUP(E5837,'Urban Plastix Holds'!$I$37:$U$705,8,0),0)</f>
        <v>#NAME?</v>
      </c>
      <c r="I5837" s="274"/>
      <c r="J5837" s="274" t="e">
        <f t="shared" ca="1" si="92"/>
        <v>#NAME?</v>
      </c>
      <c r="K5837" s="274">
        <f t="shared" si="93"/>
        <v>0</v>
      </c>
      <c r="N5837" s="274"/>
    </row>
    <row r="5838" spans="5:14" ht="13.5" customHeight="1">
      <c r="E5838" s="209" t="s">
        <v>1536</v>
      </c>
      <c r="F5838" s="1" t="s">
        <v>3041</v>
      </c>
      <c r="G5838" s="411" t="str">
        <f t="shared" si="94"/>
        <v>13-01</v>
      </c>
      <c r="H5838" s="273" t="e">
        <f ca="1">_xludf.IFNA(VLOOKUP(E5838,'Urban Plastix Holds'!$I$37:$U$705,9,0),0)</f>
        <v>#NAME?</v>
      </c>
      <c r="I5838" s="274"/>
      <c r="J5838" s="274" t="e">
        <f t="shared" ca="1" si="92"/>
        <v>#NAME?</v>
      </c>
      <c r="K5838" s="274">
        <f t="shared" si="93"/>
        <v>0</v>
      </c>
      <c r="N5838" s="274"/>
    </row>
    <row r="5839" spans="5:14" ht="13.5" customHeight="1">
      <c r="E5839" s="209" t="s">
        <v>1536</v>
      </c>
      <c r="F5839" s="1" t="s">
        <v>3041</v>
      </c>
      <c r="G5839" s="413" t="str">
        <f t="shared" si="94"/>
        <v>07-13</v>
      </c>
      <c r="H5839" s="273" t="e">
        <f ca="1">_xludf.IFNA(VLOOKUP(E5839,'Urban Plastix Holds'!$I$37:$U$705,10,0),0)</f>
        <v>#NAME?</v>
      </c>
      <c r="I5839" s="274"/>
      <c r="J5839" s="274" t="e">
        <f t="shared" ca="1" si="92"/>
        <v>#NAME?</v>
      </c>
      <c r="K5839" s="274">
        <f t="shared" si="93"/>
        <v>0</v>
      </c>
      <c r="N5839" s="274"/>
    </row>
    <row r="5840" spans="5:14" ht="13.5" customHeight="1">
      <c r="E5840" s="209" t="s">
        <v>1536</v>
      </c>
      <c r="F5840" s="1" t="s">
        <v>3041</v>
      </c>
      <c r="G5840" s="414" t="str">
        <f t="shared" si="94"/>
        <v>11-26</v>
      </c>
      <c r="H5840" s="273" t="e">
        <f ca="1">_xludf.IFNA(VLOOKUP(E5840,'Urban Plastix Holds'!$I$37:$U$705,11,0),0)</f>
        <v>#NAME?</v>
      </c>
      <c r="I5840" s="274"/>
      <c r="J5840" s="274" t="e">
        <f t="shared" ca="1" si="92"/>
        <v>#NAME?</v>
      </c>
      <c r="K5840" s="274">
        <f t="shared" si="93"/>
        <v>0</v>
      </c>
      <c r="N5840" s="274"/>
    </row>
    <row r="5841" spans="5:14" ht="13.5" customHeight="1">
      <c r="E5841" s="209" t="s">
        <v>1536</v>
      </c>
      <c r="F5841" s="1" t="s">
        <v>3041</v>
      </c>
      <c r="G5841" s="415" t="str">
        <f t="shared" si="94"/>
        <v>18-01</v>
      </c>
      <c r="H5841" s="273" t="e">
        <f ca="1">_xludf.IFNA(VLOOKUP(E5841,'Urban Plastix Holds'!$I$37:$U$705,12,0),0)</f>
        <v>#NAME?</v>
      </c>
      <c r="I5841" s="274"/>
      <c r="J5841" s="274" t="e">
        <f t="shared" ca="1" si="92"/>
        <v>#NAME?</v>
      </c>
      <c r="K5841" s="274">
        <f t="shared" si="93"/>
        <v>0</v>
      </c>
      <c r="N5841" s="274"/>
    </row>
    <row r="5842" spans="5:14" ht="13.5" customHeight="1">
      <c r="E5842" s="209" t="s">
        <v>1536</v>
      </c>
      <c r="F5842" s="1" t="s">
        <v>3041</v>
      </c>
      <c r="G5842" s="416" t="str">
        <f t="shared" si="94"/>
        <v>Color Code</v>
      </c>
      <c r="H5842" s="273" t="e">
        <f ca="1">_xludf.IFNA(VLOOKUP(E5842,'Urban Plastix Holds'!$I$37:$U$705,13,0),0)</f>
        <v>#NAME?</v>
      </c>
      <c r="I5842" s="274"/>
      <c r="J5842" s="274" t="e">
        <f t="shared" ca="1" si="92"/>
        <v>#NAME?</v>
      </c>
      <c r="K5842" s="274">
        <f t="shared" si="93"/>
        <v>0</v>
      </c>
      <c r="N5842" s="274"/>
    </row>
    <row r="5843" spans="5:14" ht="13.5" customHeight="1">
      <c r="E5843" s="209" t="s">
        <v>1538</v>
      </c>
      <c r="F5843" s="1" t="s">
        <v>3042</v>
      </c>
      <c r="G5843" s="406" t="str">
        <f t="shared" si="94"/>
        <v>11-12</v>
      </c>
      <c r="H5843" s="273" t="e">
        <f ca="1">_xludf.IFNA(VLOOKUP(E5843,'Urban Plastix Holds'!$I$37:$U$705,5,0),0)</f>
        <v>#NAME?</v>
      </c>
      <c r="I5843" s="274"/>
      <c r="J5843" s="274" t="e">
        <f t="shared" ca="1" si="92"/>
        <v>#NAME?</v>
      </c>
      <c r="K5843" s="274">
        <f t="shared" si="93"/>
        <v>0</v>
      </c>
      <c r="N5843" s="274"/>
    </row>
    <row r="5844" spans="5:14" ht="13.5" customHeight="1">
      <c r="E5844" s="209" t="s">
        <v>1538</v>
      </c>
      <c r="F5844" s="1" t="s">
        <v>3042</v>
      </c>
      <c r="G5844" s="408" t="str">
        <f t="shared" si="94"/>
        <v>14-01</v>
      </c>
      <c r="H5844" s="273" t="e">
        <f ca="1">_xludf.IFNA(VLOOKUP(E5844,'Urban Plastix Holds'!$I$37:$U$705,6,0),0)</f>
        <v>#NAME?</v>
      </c>
      <c r="I5844" s="274"/>
      <c r="J5844" s="274" t="e">
        <f t="shared" ca="1" si="92"/>
        <v>#NAME?</v>
      </c>
      <c r="K5844" s="274">
        <f t="shared" si="93"/>
        <v>0</v>
      </c>
      <c r="N5844" s="274"/>
    </row>
    <row r="5845" spans="5:14" ht="13.5" customHeight="1">
      <c r="E5845" s="209" t="s">
        <v>1538</v>
      </c>
      <c r="F5845" s="1" t="s">
        <v>3042</v>
      </c>
      <c r="G5845" s="409" t="str">
        <f t="shared" si="94"/>
        <v>15-12</v>
      </c>
      <c r="H5845" s="273" t="e">
        <f ca="1">_xludf.IFNA(VLOOKUP(E5845,'Urban Plastix Holds'!$I$37:$U$705,7,0),0)</f>
        <v>#NAME?</v>
      </c>
      <c r="I5845" s="274"/>
      <c r="J5845" s="274" t="e">
        <f t="shared" ca="1" si="92"/>
        <v>#NAME?</v>
      </c>
      <c r="K5845" s="274">
        <f t="shared" si="93"/>
        <v>0</v>
      </c>
      <c r="N5845" s="274"/>
    </row>
    <row r="5846" spans="5:14" ht="13.5" customHeight="1">
      <c r="E5846" s="209" t="s">
        <v>1538</v>
      </c>
      <c r="F5846" s="1" t="s">
        <v>3042</v>
      </c>
      <c r="G5846" s="410" t="str">
        <f t="shared" si="94"/>
        <v>16-16</v>
      </c>
      <c r="H5846" s="273" t="e">
        <f ca="1">_xludf.IFNA(VLOOKUP(E5846,'Urban Plastix Holds'!$I$37:$U$705,8,0),0)</f>
        <v>#NAME?</v>
      </c>
      <c r="I5846" s="274"/>
      <c r="J5846" s="274" t="e">
        <f t="shared" ca="1" si="92"/>
        <v>#NAME?</v>
      </c>
      <c r="K5846" s="274">
        <f t="shared" si="93"/>
        <v>0</v>
      </c>
      <c r="N5846" s="274"/>
    </row>
    <row r="5847" spans="5:14" ht="13.5" customHeight="1">
      <c r="E5847" s="209" t="s">
        <v>1538</v>
      </c>
      <c r="F5847" s="1" t="s">
        <v>3042</v>
      </c>
      <c r="G5847" s="411" t="str">
        <f t="shared" si="94"/>
        <v>13-01</v>
      </c>
      <c r="H5847" s="273" t="e">
        <f ca="1">_xludf.IFNA(VLOOKUP(E5847,'Urban Plastix Holds'!$I$37:$U$705,9,0),0)</f>
        <v>#NAME?</v>
      </c>
      <c r="I5847" s="274"/>
      <c r="J5847" s="274" t="e">
        <f t="shared" ca="1" si="92"/>
        <v>#NAME?</v>
      </c>
      <c r="K5847" s="274">
        <f t="shared" si="93"/>
        <v>0</v>
      </c>
      <c r="N5847" s="274"/>
    </row>
    <row r="5848" spans="5:14" ht="13.5" customHeight="1">
      <c r="E5848" s="209" t="s">
        <v>1538</v>
      </c>
      <c r="F5848" s="1" t="s">
        <v>3042</v>
      </c>
      <c r="G5848" s="413" t="str">
        <f t="shared" si="94"/>
        <v>07-13</v>
      </c>
      <c r="H5848" s="273" t="e">
        <f ca="1">_xludf.IFNA(VLOOKUP(E5848,'Urban Plastix Holds'!$I$37:$U$705,10,0),0)</f>
        <v>#NAME?</v>
      </c>
      <c r="I5848" s="274"/>
      <c r="J5848" s="274" t="e">
        <f t="shared" ca="1" si="92"/>
        <v>#NAME?</v>
      </c>
      <c r="K5848" s="274">
        <f t="shared" si="93"/>
        <v>0</v>
      </c>
      <c r="N5848" s="274"/>
    </row>
    <row r="5849" spans="5:14" ht="13.5" customHeight="1">
      <c r="E5849" s="209" t="s">
        <v>1538</v>
      </c>
      <c r="F5849" s="1" t="s">
        <v>3042</v>
      </c>
      <c r="G5849" s="414" t="str">
        <f t="shared" si="94"/>
        <v>11-26</v>
      </c>
      <c r="H5849" s="273" t="e">
        <f ca="1">_xludf.IFNA(VLOOKUP(E5849,'Urban Plastix Holds'!$I$37:$U$705,11,0),0)</f>
        <v>#NAME?</v>
      </c>
      <c r="I5849" s="274"/>
      <c r="J5849" s="274" t="e">
        <f t="shared" ca="1" si="92"/>
        <v>#NAME?</v>
      </c>
      <c r="K5849" s="274">
        <f t="shared" si="93"/>
        <v>0</v>
      </c>
      <c r="N5849" s="274"/>
    </row>
    <row r="5850" spans="5:14" ht="13.5" customHeight="1">
      <c r="E5850" s="209" t="s">
        <v>1538</v>
      </c>
      <c r="F5850" s="1" t="s">
        <v>3042</v>
      </c>
      <c r="G5850" s="415" t="str">
        <f t="shared" si="94"/>
        <v>18-01</v>
      </c>
      <c r="H5850" s="273" t="e">
        <f ca="1">_xludf.IFNA(VLOOKUP(E5850,'Urban Plastix Holds'!$I$37:$U$705,12,0),0)</f>
        <v>#NAME?</v>
      </c>
      <c r="I5850" s="274"/>
      <c r="J5850" s="274" t="e">
        <f t="shared" ca="1" si="92"/>
        <v>#NAME?</v>
      </c>
      <c r="K5850" s="274">
        <f t="shared" si="93"/>
        <v>0</v>
      </c>
      <c r="N5850" s="274"/>
    </row>
    <row r="5851" spans="5:14" ht="13.5" customHeight="1">
      <c r="E5851" s="209" t="s">
        <v>1538</v>
      </c>
      <c r="F5851" s="1" t="s">
        <v>3042</v>
      </c>
      <c r="G5851" s="416" t="str">
        <f t="shared" si="94"/>
        <v>Color Code</v>
      </c>
      <c r="H5851" s="273" t="e">
        <f ca="1">_xludf.IFNA(VLOOKUP(E5851,'Urban Plastix Holds'!$I$37:$U$705,13,0),0)</f>
        <v>#NAME?</v>
      </c>
      <c r="I5851" s="274"/>
      <c r="J5851" s="274" t="e">
        <f t="shared" ca="1" si="92"/>
        <v>#NAME?</v>
      </c>
      <c r="K5851" s="274">
        <f t="shared" si="93"/>
        <v>0</v>
      </c>
      <c r="N5851" s="274"/>
    </row>
    <row r="5852" spans="5:14" ht="13.5" customHeight="1">
      <c r="E5852" s="209" t="s">
        <v>1530</v>
      </c>
      <c r="F5852" s="1" t="s">
        <v>3043</v>
      </c>
      <c r="G5852" s="406" t="str">
        <f t="shared" si="94"/>
        <v>11-12</v>
      </c>
      <c r="H5852" s="273" t="e">
        <f ca="1">_xludf.IFNA(VLOOKUP(E5852,'Urban Plastix Holds'!$I$37:$U$705,5,0),0)</f>
        <v>#NAME?</v>
      </c>
      <c r="I5852" s="274"/>
      <c r="J5852" s="274" t="e">
        <f t="shared" ca="1" si="92"/>
        <v>#NAME?</v>
      </c>
      <c r="K5852" s="274">
        <f t="shared" si="93"/>
        <v>0</v>
      </c>
      <c r="N5852" s="274"/>
    </row>
    <row r="5853" spans="5:14" ht="13.5" customHeight="1">
      <c r="E5853" s="209" t="s">
        <v>1530</v>
      </c>
      <c r="F5853" s="1" t="s">
        <v>3043</v>
      </c>
      <c r="G5853" s="408" t="str">
        <f t="shared" si="94"/>
        <v>14-01</v>
      </c>
      <c r="H5853" s="273" t="e">
        <f ca="1">_xludf.IFNA(VLOOKUP(E5853,'Urban Plastix Holds'!$I$37:$U$705,6,0),0)</f>
        <v>#NAME?</v>
      </c>
      <c r="I5853" s="274"/>
      <c r="J5853" s="274" t="e">
        <f t="shared" ca="1" si="92"/>
        <v>#NAME?</v>
      </c>
      <c r="K5853" s="274">
        <f t="shared" si="93"/>
        <v>0</v>
      </c>
      <c r="N5853" s="274"/>
    </row>
    <row r="5854" spans="5:14" ht="13.5" customHeight="1">
      <c r="E5854" s="209" t="s">
        <v>1530</v>
      </c>
      <c r="F5854" s="1" t="s">
        <v>3043</v>
      </c>
      <c r="G5854" s="409" t="str">
        <f t="shared" si="94"/>
        <v>15-12</v>
      </c>
      <c r="H5854" s="273" t="e">
        <f ca="1">_xludf.IFNA(VLOOKUP(E5854,'Urban Plastix Holds'!$I$37:$U$705,7,0),0)</f>
        <v>#NAME?</v>
      </c>
      <c r="I5854" s="274"/>
      <c r="J5854" s="274" t="e">
        <f t="shared" ca="1" si="92"/>
        <v>#NAME?</v>
      </c>
      <c r="K5854" s="274">
        <f t="shared" si="93"/>
        <v>0</v>
      </c>
      <c r="N5854" s="274"/>
    </row>
    <row r="5855" spans="5:14" ht="13.5" customHeight="1">
      <c r="E5855" s="209" t="s">
        <v>1530</v>
      </c>
      <c r="F5855" s="1" t="s">
        <v>3043</v>
      </c>
      <c r="G5855" s="410" t="str">
        <f t="shared" si="94"/>
        <v>16-16</v>
      </c>
      <c r="H5855" s="273" t="e">
        <f ca="1">_xludf.IFNA(VLOOKUP(E5855,'Urban Plastix Holds'!$I$37:$U$705,8,0),0)</f>
        <v>#NAME?</v>
      </c>
      <c r="I5855" s="274"/>
      <c r="J5855" s="274" t="e">
        <f t="shared" ca="1" si="92"/>
        <v>#NAME?</v>
      </c>
      <c r="K5855" s="274">
        <f t="shared" si="93"/>
        <v>0</v>
      </c>
      <c r="N5855" s="274"/>
    </row>
    <row r="5856" spans="5:14" ht="13.5" customHeight="1">
      <c r="E5856" s="209" t="s">
        <v>1530</v>
      </c>
      <c r="F5856" s="1" t="s">
        <v>3043</v>
      </c>
      <c r="G5856" s="411" t="str">
        <f t="shared" si="94"/>
        <v>13-01</v>
      </c>
      <c r="H5856" s="273" t="e">
        <f ca="1">_xludf.IFNA(VLOOKUP(E5856,'Urban Plastix Holds'!$I$37:$U$705,9,0),0)</f>
        <v>#NAME?</v>
      </c>
      <c r="I5856" s="274"/>
      <c r="J5856" s="274" t="e">
        <f t="shared" ca="1" si="92"/>
        <v>#NAME?</v>
      </c>
      <c r="K5856" s="274">
        <f t="shared" si="93"/>
        <v>0</v>
      </c>
      <c r="N5856" s="274"/>
    </row>
    <row r="5857" spans="5:14" ht="13.5" customHeight="1">
      <c r="E5857" s="209" t="s">
        <v>1530</v>
      </c>
      <c r="F5857" s="1" t="s">
        <v>3043</v>
      </c>
      <c r="G5857" s="413" t="str">
        <f t="shared" si="94"/>
        <v>07-13</v>
      </c>
      <c r="H5857" s="273" t="e">
        <f ca="1">_xludf.IFNA(VLOOKUP(E5857,'Urban Plastix Holds'!$I$37:$U$705,10,0),0)</f>
        <v>#NAME?</v>
      </c>
      <c r="I5857" s="274"/>
      <c r="J5857" s="274" t="e">
        <f t="shared" ca="1" si="92"/>
        <v>#NAME?</v>
      </c>
      <c r="K5857" s="274">
        <f t="shared" si="93"/>
        <v>0</v>
      </c>
      <c r="N5857" s="274"/>
    </row>
    <row r="5858" spans="5:14" ht="13.5" customHeight="1">
      <c r="E5858" s="209" t="s">
        <v>1530</v>
      </c>
      <c r="F5858" s="1" t="s">
        <v>3043</v>
      </c>
      <c r="G5858" s="414" t="str">
        <f t="shared" si="94"/>
        <v>11-26</v>
      </c>
      <c r="H5858" s="273" t="e">
        <f ca="1">_xludf.IFNA(VLOOKUP(E5858,'Urban Plastix Holds'!$I$37:$U$705,11,0),0)</f>
        <v>#NAME?</v>
      </c>
      <c r="I5858" s="274"/>
      <c r="J5858" s="274" t="e">
        <f t="shared" ca="1" si="92"/>
        <v>#NAME?</v>
      </c>
      <c r="K5858" s="274">
        <f t="shared" si="93"/>
        <v>0</v>
      </c>
      <c r="N5858" s="274"/>
    </row>
    <row r="5859" spans="5:14" ht="13.5" customHeight="1">
      <c r="E5859" s="209" t="s">
        <v>1530</v>
      </c>
      <c r="F5859" s="1" t="s">
        <v>3043</v>
      </c>
      <c r="G5859" s="415" t="str">
        <f t="shared" si="94"/>
        <v>18-01</v>
      </c>
      <c r="H5859" s="273" t="e">
        <f ca="1">_xludf.IFNA(VLOOKUP(E5859,'Urban Plastix Holds'!$I$37:$U$705,12,0),0)</f>
        <v>#NAME?</v>
      </c>
      <c r="I5859" s="274"/>
      <c r="J5859" s="274" t="e">
        <f t="shared" ca="1" si="92"/>
        <v>#NAME?</v>
      </c>
      <c r="K5859" s="274">
        <f t="shared" si="93"/>
        <v>0</v>
      </c>
      <c r="N5859" s="274"/>
    </row>
    <row r="5860" spans="5:14" ht="13.5" customHeight="1">
      <c r="E5860" s="209" t="s">
        <v>1530</v>
      </c>
      <c r="F5860" s="1" t="s">
        <v>3043</v>
      </c>
      <c r="G5860" s="416" t="str">
        <f t="shared" si="94"/>
        <v>Color Code</v>
      </c>
      <c r="H5860" s="273" t="e">
        <f ca="1">_xludf.IFNA(VLOOKUP(E5860,'Urban Plastix Holds'!$I$37:$U$705,13,0),0)</f>
        <v>#NAME?</v>
      </c>
      <c r="I5860" s="274"/>
      <c r="J5860" s="274" t="e">
        <f t="shared" ca="1" si="92"/>
        <v>#NAME?</v>
      </c>
      <c r="K5860" s="274">
        <f t="shared" si="93"/>
        <v>0</v>
      </c>
      <c r="N5860" s="274"/>
    </row>
    <row r="5861" spans="5:14" ht="13.5" customHeight="1">
      <c r="E5861" s="209" t="s">
        <v>1556</v>
      </c>
      <c r="F5861" s="1" t="s">
        <v>3044</v>
      </c>
      <c r="G5861" s="406" t="str">
        <f t="shared" si="94"/>
        <v>11-12</v>
      </c>
      <c r="H5861" s="273" t="e">
        <f ca="1">_xludf.IFNA(VLOOKUP(E5861,'Urban Plastix Holds'!$I$37:$U$705,5,0),0)</f>
        <v>#NAME?</v>
      </c>
      <c r="I5861" s="274"/>
      <c r="J5861" s="274" t="e">
        <f t="shared" ca="1" si="92"/>
        <v>#NAME?</v>
      </c>
      <c r="K5861" s="274">
        <f t="shared" si="93"/>
        <v>0</v>
      </c>
      <c r="N5861" s="274"/>
    </row>
    <row r="5862" spans="5:14" ht="13.5" customHeight="1">
      <c r="E5862" s="209" t="s">
        <v>1556</v>
      </c>
      <c r="F5862" s="1" t="s">
        <v>3044</v>
      </c>
      <c r="G5862" s="408" t="str">
        <f t="shared" si="94"/>
        <v>14-01</v>
      </c>
      <c r="H5862" s="273" t="e">
        <f ca="1">_xludf.IFNA(VLOOKUP(E5862,'Urban Plastix Holds'!$I$37:$U$705,6,0),0)</f>
        <v>#NAME?</v>
      </c>
      <c r="I5862" s="274"/>
      <c r="J5862" s="274" t="e">
        <f t="shared" ca="1" si="92"/>
        <v>#NAME?</v>
      </c>
      <c r="K5862" s="274">
        <f t="shared" si="93"/>
        <v>0</v>
      </c>
      <c r="N5862" s="274"/>
    </row>
    <row r="5863" spans="5:14" ht="13.5" customHeight="1">
      <c r="E5863" s="209" t="s">
        <v>1556</v>
      </c>
      <c r="F5863" s="1" t="s">
        <v>3044</v>
      </c>
      <c r="G5863" s="409" t="str">
        <f t="shared" si="94"/>
        <v>15-12</v>
      </c>
      <c r="H5863" s="273" t="e">
        <f ca="1">_xludf.IFNA(VLOOKUP(E5863,'Urban Plastix Holds'!$I$37:$U$705,7,0),0)</f>
        <v>#NAME?</v>
      </c>
      <c r="I5863" s="274"/>
      <c r="J5863" s="274" t="e">
        <f t="shared" ca="1" si="92"/>
        <v>#NAME?</v>
      </c>
      <c r="K5863" s="274">
        <f t="shared" si="93"/>
        <v>0</v>
      </c>
      <c r="N5863" s="274"/>
    </row>
    <row r="5864" spans="5:14" ht="13.5" customHeight="1">
      <c r="E5864" s="209" t="s">
        <v>1556</v>
      </c>
      <c r="F5864" s="1" t="s">
        <v>3044</v>
      </c>
      <c r="G5864" s="410" t="str">
        <f t="shared" si="94"/>
        <v>16-16</v>
      </c>
      <c r="H5864" s="273" t="e">
        <f ca="1">_xludf.IFNA(VLOOKUP(E5864,'Urban Plastix Holds'!$I$37:$U$705,8,0),0)</f>
        <v>#NAME?</v>
      </c>
      <c r="I5864" s="274"/>
      <c r="J5864" s="274" t="e">
        <f t="shared" ca="1" si="92"/>
        <v>#NAME?</v>
      </c>
      <c r="K5864" s="274">
        <f t="shared" si="93"/>
        <v>0</v>
      </c>
      <c r="N5864" s="274"/>
    </row>
    <row r="5865" spans="5:14" ht="13.5" customHeight="1">
      <c r="E5865" s="209" t="s">
        <v>1556</v>
      </c>
      <c r="F5865" s="1" t="s">
        <v>3044</v>
      </c>
      <c r="G5865" s="411" t="str">
        <f t="shared" si="94"/>
        <v>13-01</v>
      </c>
      <c r="H5865" s="273" t="e">
        <f ca="1">_xludf.IFNA(VLOOKUP(E5865,'Urban Plastix Holds'!$I$37:$U$705,9,0),0)</f>
        <v>#NAME?</v>
      </c>
      <c r="I5865" s="274"/>
      <c r="J5865" s="274" t="e">
        <f t="shared" ca="1" si="92"/>
        <v>#NAME?</v>
      </c>
      <c r="K5865" s="274">
        <f t="shared" si="93"/>
        <v>0</v>
      </c>
      <c r="N5865" s="274"/>
    </row>
    <row r="5866" spans="5:14" ht="13.5" customHeight="1">
      <c r="E5866" s="209" t="s">
        <v>1556</v>
      </c>
      <c r="F5866" s="1" t="s">
        <v>3044</v>
      </c>
      <c r="G5866" s="413" t="str">
        <f t="shared" si="94"/>
        <v>07-13</v>
      </c>
      <c r="H5866" s="273" t="e">
        <f ca="1">_xludf.IFNA(VLOOKUP(E5866,'Urban Plastix Holds'!$I$37:$U$705,10,0),0)</f>
        <v>#NAME?</v>
      </c>
      <c r="I5866" s="274"/>
      <c r="J5866" s="274" t="e">
        <f t="shared" ca="1" si="92"/>
        <v>#NAME?</v>
      </c>
      <c r="K5866" s="274">
        <f t="shared" si="93"/>
        <v>0</v>
      </c>
      <c r="N5866" s="274"/>
    </row>
    <row r="5867" spans="5:14" ht="13.5" customHeight="1">
      <c r="E5867" s="209" t="s">
        <v>1556</v>
      </c>
      <c r="F5867" s="1" t="s">
        <v>3044</v>
      </c>
      <c r="G5867" s="414" t="str">
        <f t="shared" si="94"/>
        <v>11-26</v>
      </c>
      <c r="H5867" s="273" t="e">
        <f ca="1">_xludf.IFNA(VLOOKUP(E5867,'Urban Plastix Holds'!$I$37:$U$705,11,0),0)</f>
        <v>#NAME?</v>
      </c>
      <c r="I5867" s="274"/>
      <c r="J5867" s="274" t="e">
        <f t="shared" ref="J5867:J6121" ca="1" si="95">H5867*I5867</f>
        <v>#NAME?</v>
      </c>
      <c r="K5867" s="274">
        <f t="shared" ref="K5867:K6121" si="96">IF($V$11="Y",J5867*0.05,0)</f>
        <v>0</v>
      </c>
      <c r="N5867" s="274"/>
    </row>
    <row r="5868" spans="5:14" ht="13.5" customHeight="1">
      <c r="E5868" s="209" t="s">
        <v>1556</v>
      </c>
      <c r="F5868" s="1" t="s">
        <v>3044</v>
      </c>
      <c r="G5868" s="415" t="str">
        <f t="shared" si="94"/>
        <v>18-01</v>
      </c>
      <c r="H5868" s="273" t="e">
        <f ca="1">_xludf.IFNA(VLOOKUP(E5868,'Urban Plastix Holds'!$I$37:$U$705,12,0),0)</f>
        <v>#NAME?</v>
      </c>
      <c r="I5868" s="274"/>
      <c r="J5868" s="274" t="e">
        <f t="shared" ca="1" si="95"/>
        <v>#NAME?</v>
      </c>
      <c r="K5868" s="274">
        <f t="shared" si="96"/>
        <v>0</v>
      </c>
      <c r="N5868" s="274"/>
    </row>
    <row r="5869" spans="5:14" ht="13.5" customHeight="1">
      <c r="E5869" s="209" t="s">
        <v>1556</v>
      </c>
      <c r="F5869" s="1" t="s">
        <v>3044</v>
      </c>
      <c r="G5869" s="416" t="str">
        <f t="shared" si="94"/>
        <v>Color Code</v>
      </c>
      <c r="H5869" s="273" t="e">
        <f ca="1">_xludf.IFNA(VLOOKUP(E5869,'Urban Plastix Holds'!$I$37:$U$705,13,0),0)</f>
        <v>#NAME?</v>
      </c>
      <c r="I5869" s="274"/>
      <c r="J5869" s="274" t="e">
        <f t="shared" ca="1" si="95"/>
        <v>#NAME?</v>
      </c>
      <c r="K5869" s="274">
        <f t="shared" si="96"/>
        <v>0</v>
      </c>
      <c r="N5869" s="274"/>
    </row>
    <row r="5870" spans="5:14" ht="13.5" customHeight="1">
      <c r="E5870" s="209" t="s">
        <v>1532</v>
      </c>
      <c r="F5870" s="1" t="s">
        <v>3045</v>
      </c>
      <c r="G5870" s="406" t="str">
        <f t="shared" si="94"/>
        <v>11-12</v>
      </c>
      <c r="H5870" s="273" t="e">
        <f ca="1">_xludf.IFNA(VLOOKUP(E5870,'Urban Plastix Holds'!$I$37:$U$705,5,0),0)</f>
        <v>#NAME?</v>
      </c>
      <c r="I5870" s="274"/>
      <c r="J5870" s="274" t="e">
        <f t="shared" ca="1" si="95"/>
        <v>#NAME?</v>
      </c>
      <c r="K5870" s="274">
        <f t="shared" si="96"/>
        <v>0</v>
      </c>
      <c r="N5870" s="274"/>
    </row>
    <row r="5871" spans="5:14" ht="13.5" customHeight="1">
      <c r="E5871" s="209" t="s">
        <v>1532</v>
      </c>
      <c r="F5871" s="1" t="s">
        <v>3045</v>
      </c>
      <c r="G5871" s="408" t="str">
        <f t="shared" si="94"/>
        <v>14-01</v>
      </c>
      <c r="H5871" s="273" t="e">
        <f ca="1">_xludf.IFNA(VLOOKUP(E5871,'Urban Plastix Holds'!$I$37:$U$705,6,0),0)</f>
        <v>#NAME?</v>
      </c>
      <c r="I5871" s="274"/>
      <c r="J5871" s="274" t="e">
        <f t="shared" ca="1" si="95"/>
        <v>#NAME?</v>
      </c>
      <c r="K5871" s="274">
        <f t="shared" si="96"/>
        <v>0</v>
      </c>
      <c r="N5871" s="274"/>
    </row>
    <row r="5872" spans="5:14" ht="13.5" customHeight="1">
      <c r="E5872" s="209" t="s">
        <v>1532</v>
      </c>
      <c r="F5872" s="1" t="s">
        <v>3045</v>
      </c>
      <c r="G5872" s="409" t="str">
        <f t="shared" si="94"/>
        <v>15-12</v>
      </c>
      <c r="H5872" s="273" t="e">
        <f ca="1">_xludf.IFNA(VLOOKUP(E5872,'Urban Plastix Holds'!$I$37:$U$705,7,0),0)</f>
        <v>#NAME?</v>
      </c>
      <c r="I5872" s="274"/>
      <c r="J5872" s="274" t="e">
        <f t="shared" ca="1" si="95"/>
        <v>#NAME?</v>
      </c>
      <c r="K5872" s="274">
        <f t="shared" si="96"/>
        <v>0</v>
      </c>
      <c r="N5872" s="274"/>
    </row>
    <row r="5873" spans="5:14" ht="13.5" customHeight="1">
      <c r="E5873" s="209" t="s">
        <v>1532</v>
      </c>
      <c r="F5873" s="1" t="s">
        <v>3045</v>
      </c>
      <c r="G5873" s="410" t="str">
        <f t="shared" si="94"/>
        <v>16-16</v>
      </c>
      <c r="H5873" s="273" t="e">
        <f ca="1">_xludf.IFNA(VLOOKUP(E5873,'Urban Plastix Holds'!$I$37:$U$705,8,0),0)</f>
        <v>#NAME?</v>
      </c>
      <c r="I5873" s="274"/>
      <c r="J5873" s="274" t="e">
        <f t="shared" ca="1" si="95"/>
        <v>#NAME?</v>
      </c>
      <c r="K5873" s="274">
        <f t="shared" si="96"/>
        <v>0</v>
      </c>
      <c r="N5873" s="274"/>
    </row>
    <row r="5874" spans="5:14" ht="13.5" customHeight="1">
      <c r="E5874" s="209" t="s">
        <v>1532</v>
      </c>
      <c r="F5874" s="1" t="s">
        <v>3045</v>
      </c>
      <c r="G5874" s="411" t="str">
        <f t="shared" si="94"/>
        <v>13-01</v>
      </c>
      <c r="H5874" s="273" t="e">
        <f ca="1">_xludf.IFNA(VLOOKUP(E5874,'Urban Plastix Holds'!$I$37:$U$705,9,0),0)</f>
        <v>#NAME?</v>
      </c>
      <c r="I5874" s="274"/>
      <c r="J5874" s="274" t="e">
        <f t="shared" ca="1" si="95"/>
        <v>#NAME?</v>
      </c>
      <c r="K5874" s="274">
        <f t="shared" si="96"/>
        <v>0</v>
      </c>
      <c r="N5874" s="274"/>
    </row>
    <row r="5875" spans="5:14" ht="13.5" customHeight="1">
      <c r="E5875" s="209" t="s">
        <v>1532</v>
      </c>
      <c r="F5875" s="1" t="s">
        <v>3045</v>
      </c>
      <c r="G5875" s="413" t="str">
        <f t="shared" si="94"/>
        <v>07-13</v>
      </c>
      <c r="H5875" s="273" t="e">
        <f ca="1">_xludf.IFNA(VLOOKUP(E5875,'Urban Plastix Holds'!$I$37:$U$705,10,0),0)</f>
        <v>#NAME?</v>
      </c>
      <c r="I5875" s="274"/>
      <c r="J5875" s="274" t="e">
        <f t="shared" ca="1" si="95"/>
        <v>#NAME?</v>
      </c>
      <c r="K5875" s="274">
        <f t="shared" si="96"/>
        <v>0</v>
      </c>
      <c r="N5875" s="274"/>
    </row>
    <row r="5876" spans="5:14" ht="13.5" customHeight="1">
      <c r="E5876" s="209" t="s">
        <v>1532</v>
      </c>
      <c r="F5876" s="1" t="s">
        <v>3045</v>
      </c>
      <c r="G5876" s="414" t="str">
        <f t="shared" si="94"/>
        <v>11-26</v>
      </c>
      <c r="H5876" s="273" t="e">
        <f ca="1">_xludf.IFNA(VLOOKUP(E5876,'Urban Plastix Holds'!$I$37:$U$705,11,0),0)</f>
        <v>#NAME?</v>
      </c>
      <c r="I5876" s="274"/>
      <c r="J5876" s="274" t="e">
        <f t="shared" ca="1" si="95"/>
        <v>#NAME?</v>
      </c>
      <c r="K5876" s="274">
        <f t="shared" si="96"/>
        <v>0</v>
      </c>
      <c r="N5876" s="274"/>
    </row>
    <row r="5877" spans="5:14" ht="13.5" customHeight="1">
      <c r="E5877" s="209" t="s">
        <v>1532</v>
      </c>
      <c r="F5877" s="1" t="s">
        <v>3045</v>
      </c>
      <c r="G5877" s="415" t="str">
        <f t="shared" si="94"/>
        <v>18-01</v>
      </c>
      <c r="H5877" s="273" t="e">
        <f ca="1">_xludf.IFNA(VLOOKUP(E5877,'Urban Plastix Holds'!$I$37:$U$705,12,0),0)</f>
        <v>#NAME?</v>
      </c>
      <c r="I5877" s="274"/>
      <c r="J5877" s="274" t="e">
        <f t="shared" ca="1" si="95"/>
        <v>#NAME?</v>
      </c>
      <c r="K5877" s="274">
        <f t="shared" si="96"/>
        <v>0</v>
      </c>
      <c r="N5877" s="274"/>
    </row>
    <row r="5878" spans="5:14" ht="13.5" customHeight="1">
      <c r="E5878" s="209" t="s">
        <v>1532</v>
      </c>
      <c r="F5878" s="1" t="s">
        <v>3045</v>
      </c>
      <c r="G5878" s="416" t="str">
        <f t="shared" si="94"/>
        <v>Color Code</v>
      </c>
      <c r="H5878" s="273" t="e">
        <f ca="1">_xludf.IFNA(VLOOKUP(E5878,'Urban Plastix Holds'!$I$37:$U$705,13,0),0)</f>
        <v>#NAME?</v>
      </c>
      <c r="I5878" s="274"/>
      <c r="J5878" s="274" t="e">
        <f t="shared" ca="1" si="95"/>
        <v>#NAME?</v>
      </c>
      <c r="K5878" s="274">
        <f t="shared" si="96"/>
        <v>0</v>
      </c>
      <c r="N5878" s="274"/>
    </row>
    <row r="5879" spans="5:14" ht="13.5" customHeight="1">
      <c r="E5879" s="209" t="s">
        <v>1540</v>
      </c>
      <c r="F5879" s="1" t="s">
        <v>3046</v>
      </c>
      <c r="G5879" s="406" t="str">
        <f t="shared" si="94"/>
        <v>11-12</v>
      </c>
      <c r="H5879" s="273" t="e">
        <f ca="1">_xludf.IFNA(VLOOKUP(E5879,'Urban Plastix Holds'!$I$37:$U$705,5,0),0)</f>
        <v>#NAME?</v>
      </c>
      <c r="I5879" s="274"/>
      <c r="J5879" s="274" t="e">
        <f t="shared" ca="1" si="95"/>
        <v>#NAME?</v>
      </c>
      <c r="K5879" s="274">
        <f t="shared" si="96"/>
        <v>0</v>
      </c>
      <c r="N5879" s="274"/>
    </row>
    <row r="5880" spans="5:14" ht="13.5" customHeight="1">
      <c r="E5880" s="209" t="s">
        <v>1540</v>
      </c>
      <c r="F5880" s="1" t="s">
        <v>3046</v>
      </c>
      <c r="G5880" s="408" t="str">
        <f t="shared" si="94"/>
        <v>14-01</v>
      </c>
      <c r="H5880" s="273" t="e">
        <f ca="1">_xludf.IFNA(VLOOKUP(E5880,'Urban Plastix Holds'!$I$37:$U$705,6,0),0)</f>
        <v>#NAME?</v>
      </c>
      <c r="I5880" s="274"/>
      <c r="J5880" s="274" t="e">
        <f t="shared" ca="1" si="95"/>
        <v>#NAME?</v>
      </c>
      <c r="K5880" s="274">
        <f t="shared" si="96"/>
        <v>0</v>
      </c>
      <c r="N5880" s="274"/>
    </row>
    <row r="5881" spans="5:14" ht="13.5" customHeight="1">
      <c r="E5881" s="209" t="s">
        <v>1540</v>
      </c>
      <c r="F5881" s="1" t="s">
        <v>3046</v>
      </c>
      <c r="G5881" s="409" t="str">
        <f t="shared" si="94"/>
        <v>15-12</v>
      </c>
      <c r="H5881" s="273" t="e">
        <f ca="1">_xludf.IFNA(VLOOKUP(E5881,'Urban Plastix Holds'!$I$37:$U$705,7,0),0)</f>
        <v>#NAME?</v>
      </c>
      <c r="I5881" s="274"/>
      <c r="J5881" s="274" t="e">
        <f t="shared" ca="1" si="95"/>
        <v>#NAME?</v>
      </c>
      <c r="K5881" s="274">
        <f t="shared" si="96"/>
        <v>0</v>
      </c>
      <c r="N5881" s="274"/>
    </row>
    <row r="5882" spans="5:14" ht="13.5" customHeight="1">
      <c r="E5882" s="209" t="s">
        <v>1540</v>
      </c>
      <c r="F5882" s="1" t="s">
        <v>3046</v>
      </c>
      <c r="G5882" s="410" t="str">
        <f t="shared" si="94"/>
        <v>16-16</v>
      </c>
      <c r="H5882" s="273" t="e">
        <f ca="1">_xludf.IFNA(VLOOKUP(E5882,'Urban Plastix Holds'!$I$37:$U$705,8,0),0)</f>
        <v>#NAME?</v>
      </c>
      <c r="I5882" s="274"/>
      <c r="J5882" s="274" t="e">
        <f t="shared" ca="1" si="95"/>
        <v>#NAME?</v>
      </c>
      <c r="K5882" s="274">
        <f t="shared" si="96"/>
        <v>0</v>
      </c>
      <c r="N5882" s="274"/>
    </row>
    <row r="5883" spans="5:14" ht="13.5" customHeight="1">
      <c r="E5883" s="209" t="s">
        <v>1540</v>
      </c>
      <c r="F5883" s="1" t="s">
        <v>3046</v>
      </c>
      <c r="G5883" s="411" t="str">
        <f t="shared" si="94"/>
        <v>13-01</v>
      </c>
      <c r="H5883" s="273" t="e">
        <f ca="1">_xludf.IFNA(VLOOKUP(E5883,'Urban Plastix Holds'!$I$37:$U$705,9,0),0)</f>
        <v>#NAME?</v>
      </c>
      <c r="I5883" s="274"/>
      <c r="J5883" s="274" t="e">
        <f t="shared" ca="1" si="95"/>
        <v>#NAME?</v>
      </c>
      <c r="K5883" s="274">
        <f t="shared" si="96"/>
        <v>0</v>
      </c>
      <c r="N5883" s="274"/>
    </row>
    <row r="5884" spans="5:14" ht="13.5" customHeight="1">
      <c r="E5884" s="209" t="s">
        <v>1540</v>
      </c>
      <c r="F5884" s="1" t="s">
        <v>3046</v>
      </c>
      <c r="G5884" s="413" t="str">
        <f t="shared" si="94"/>
        <v>07-13</v>
      </c>
      <c r="H5884" s="273" t="e">
        <f ca="1">_xludf.IFNA(VLOOKUP(E5884,'Urban Plastix Holds'!$I$37:$U$705,10,0),0)</f>
        <v>#NAME?</v>
      </c>
      <c r="I5884" s="274"/>
      <c r="J5884" s="274" t="e">
        <f t="shared" ca="1" si="95"/>
        <v>#NAME?</v>
      </c>
      <c r="K5884" s="274">
        <f t="shared" si="96"/>
        <v>0</v>
      </c>
      <c r="N5884" s="274"/>
    </row>
    <row r="5885" spans="5:14" ht="13.5" customHeight="1">
      <c r="E5885" s="209" t="s">
        <v>1540</v>
      </c>
      <c r="F5885" s="1" t="s">
        <v>3046</v>
      </c>
      <c r="G5885" s="414" t="str">
        <f t="shared" si="94"/>
        <v>11-26</v>
      </c>
      <c r="H5885" s="273" t="e">
        <f ca="1">_xludf.IFNA(VLOOKUP(E5885,'Urban Plastix Holds'!$I$37:$U$705,11,0),0)</f>
        <v>#NAME?</v>
      </c>
      <c r="I5885" s="274"/>
      <c r="J5885" s="274" t="e">
        <f t="shared" ca="1" si="95"/>
        <v>#NAME?</v>
      </c>
      <c r="K5885" s="274">
        <f t="shared" si="96"/>
        <v>0</v>
      </c>
      <c r="N5885" s="274"/>
    </row>
    <row r="5886" spans="5:14" ht="13.5" customHeight="1">
      <c r="E5886" s="209" t="s">
        <v>1540</v>
      </c>
      <c r="F5886" s="1" t="s">
        <v>3046</v>
      </c>
      <c r="G5886" s="415" t="str">
        <f t="shared" si="94"/>
        <v>18-01</v>
      </c>
      <c r="H5886" s="273" t="e">
        <f ca="1">_xludf.IFNA(VLOOKUP(E5886,'Urban Plastix Holds'!$I$37:$U$705,12,0),0)</f>
        <v>#NAME?</v>
      </c>
      <c r="I5886" s="274"/>
      <c r="J5886" s="274" t="e">
        <f t="shared" ca="1" si="95"/>
        <v>#NAME?</v>
      </c>
      <c r="K5886" s="274">
        <f t="shared" si="96"/>
        <v>0</v>
      </c>
      <c r="N5886" s="274"/>
    </row>
    <row r="5887" spans="5:14" ht="13.5" customHeight="1">
      <c r="E5887" s="209" t="s">
        <v>1540</v>
      </c>
      <c r="F5887" s="1" t="s">
        <v>3046</v>
      </c>
      <c r="G5887" s="416" t="str">
        <f t="shared" si="94"/>
        <v>Color Code</v>
      </c>
      <c r="H5887" s="273" t="e">
        <f ca="1">_xludf.IFNA(VLOOKUP(E5887,'Urban Plastix Holds'!$I$37:$U$705,13,0),0)</f>
        <v>#NAME?</v>
      </c>
      <c r="I5887" s="274"/>
      <c r="J5887" s="274" t="e">
        <f t="shared" ca="1" si="95"/>
        <v>#NAME?</v>
      </c>
      <c r="K5887" s="274">
        <f t="shared" si="96"/>
        <v>0</v>
      </c>
      <c r="N5887" s="274"/>
    </row>
    <row r="5888" spans="5:14" ht="13.5" customHeight="1">
      <c r="E5888" s="209" t="s">
        <v>1329</v>
      </c>
      <c r="F5888" s="1" t="s">
        <v>3047</v>
      </c>
      <c r="G5888" s="406" t="str">
        <f t="shared" si="94"/>
        <v>11-12</v>
      </c>
      <c r="H5888" s="273" t="e">
        <f ca="1">_xludf.IFNA(VLOOKUP(E5888,'Urban Plastix Holds'!$I$37:$U$705,5,0),0)</f>
        <v>#NAME?</v>
      </c>
      <c r="I5888" s="274"/>
      <c r="J5888" s="274" t="e">
        <f t="shared" ca="1" si="95"/>
        <v>#NAME?</v>
      </c>
      <c r="K5888" s="274">
        <f t="shared" si="96"/>
        <v>0</v>
      </c>
      <c r="N5888" s="274"/>
    </row>
    <row r="5889" spans="5:14" ht="13.5" customHeight="1">
      <c r="E5889" s="209" t="s">
        <v>1329</v>
      </c>
      <c r="F5889" s="1" t="s">
        <v>3047</v>
      </c>
      <c r="G5889" s="408" t="str">
        <f t="shared" si="94"/>
        <v>14-01</v>
      </c>
      <c r="H5889" s="273" t="e">
        <f ca="1">_xludf.IFNA(VLOOKUP(E5889,'Urban Plastix Holds'!$I$37:$U$705,6,0),0)</f>
        <v>#NAME?</v>
      </c>
      <c r="I5889" s="274"/>
      <c r="J5889" s="274" t="e">
        <f t="shared" ca="1" si="95"/>
        <v>#NAME?</v>
      </c>
      <c r="K5889" s="274">
        <f t="shared" si="96"/>
        <v>0</v>
      </c>
      <c r="N5889" s="274"/>
    </row>
    <row r="5890" spans="5:14" ht="13.5" customHeight="1">
      <c r="E5890" s="209" t="s">
        <v>1329</v>
      </c>
      <c r="F5890" s="1" t="s">
        <v>3047</v>
      </c>
      <c r="G5890" s="409" t="str">
        <f t="shared" si="94"/>
        <v>15-12</v>
      </c>
      <c r="H5890" s="273" t="e">
        <f ca="1">_xludf.IFNA(VLOOKUP(E5890,'Urban Plastix Holds'!$I$37:$U$705,7,0),0)</f>
        <v>#NAME?</v>
      </c>
      <c r="I5890" s="274"/>
      <c r="J5890" s="274" t="e">
        <f t="shared" ca="1" si="95"/>
        <v>#NAME?</v>
      </c>
      <c r="K5890" s="274">
        <f t="shared" si="96"/>
        <v>0</v>
      </c>
      <c r="N5890" s="274"/>
    </row>
    <row r="5891" spans="5:14" ht="13.5" customHeight="1">
      <c r="E5891" s="209" t="s">
        <v>1329</v>
      </c>
      <c r="F5891" s="1" t="s">
        <v>3047</v>
      </c>
      <c r="G5891" s="410" t="str">
        <f t="shared" si="94"/>
        <v>16-16</v>
      </c>
      <c r="H5891" s="273" t="e">
        <f ca="1">_xludf.IFNA(VLOOKUP(E5891,'Urban Plastix Holds'!$I$37:$U$705,8,0),0)</f>
        <v>#NAME?</v>
      </c>
      <c r="I5891" s="274"/>
      <c r="J5891" s="274" t="e">
        <f t="shared" ca="1" si="95"/>
        <v>#NAME?</v>
      </c>
      <c r="K5891" s="274">
        <f t="shared" si="96"/>
        <v>0</v>
      </c>
      <c r="N5891" s="274"/>
    </row>
    <row r="5892" spans="5:14" ht="13.5" customHeight="1">
      <c r="E5892" s="209" t="s">
        <v>1329</v>
      </c>
      <c r="F5892" s="1" t="s">
        <v>3047</v>
      </c>
      <c r="G5892" s="411" t="str">
        <f t="shared" si="94"/>
        <v>13-01</v>
      </c>
      <c r="H5892" s="273" t="e">
        <f ca="1">_xludf.IFNA(VLOOKUP(E5892,'Urban Plastix Holds'!$I$37:$U$705,9,0),0)</f>
        <v>#NAME?</v>
      </c>
      <c r="I5892" s="274"/>
      <c r="J5892" s="274" t="e">
        <f t="shared" ca="1" si="95"/>
        <v>#NAME?</v>
      </c>
      <c r="K5892" s="274">
        <f t="shared" si="96"/>
        <v>0</v>
      </c>
      <c r="N5892" s="274"/>
    </row>
    <row r="5893" spans="5:14" ht="13.5" customHeight="1">
      <c r="E5893" s="209" t="s">
        <v>1329</v>
      </c>
      <c r="F5893" s="1" t="s">
        <v>3047</v>
      </c>
      <c r="G5893" s="413" t="str">
        <f t="shared" si="94"/>
        <v>07-13</v>
      </c>
      <c r="H5893" s="273" t="e">
        <f ca="1">_xludf.IFNA(VLOOKUP(E5893,'Urban Plastix Holds'!$I$37:$U$705,10,0),0)</f>
        <v>#NAME?</v>
      </c>
      <c r="I5893" s="274"/>
      <c r="J5893" s="274" t="e">
        <f t="shared" ca="1" si="95"/>
        <v>#NAME?</v>
      </c>
      <c r="K5893" s="274">
        <f t="shared" si="96"/>
        <v>0</v>
      </c>
      <c r="N5893" s="274"/>
    </row>
    <row r="5894" spans="5:14" ht="13.5" customHeight="1">
      <c r="E5894" s="209" t="s">
        <v>1329</v>
      </c>
      <c r="F5894" s="1" t="s">
        <v>3047</v>
      </c>
      <c r="G5894" s="414" t="str">
        <f t="shared" si="94"/>
        <v>11-26</v>
      </c>
      <c r="H5894" s="273" t="e">
        <f ca="1">_xludf.IFNA(VLOOKUP(E5894,'Urban Plastix Holds'!$I$37:$U$705,11,0),0)</f>
        <v>#NAME?</v>
      </c>
      <c r="I5894" s="274"/>
      <c r="J5894" s="274" t="e">
        <f t="shared" ca="1" si="95"/>
        <v>#NAME?</v>
      </c>
      <c r="K5894" s="274">
        <f t="shared" si="96"/>
        <v>0</v>
      </c>
      <c r="N5894" s="274"/>
    </row>
    <row r="5895" spans="5:14" ht="13.5" customHeight="1">
      <c r="E5895" s="209" t="s">
        <v>1329</v>
      </c>
      <c r="F5895" s="1" t="s">
        <v>3047</v>
      </c>
      <c r="G5895" s="415" t="str">
        <f t="shared" si="94"/>
        <v>18-01</v>
      </c>
      <c r="H5895" s="273" t="e">
        <f ca="1">_xludf.IFNA(VLOOKUP(E5895,'Urban Plastix Holds'!$I$37:$U$705,12,0),0)</f>
        <v>#NAME?</v>
      </c>
      <c r="I5895" s="274"/>
      <c r="J5895" s="274" t="e">
        <f t="shared" ca="1" si="95"/>
        <v>#NAME?</v>
      </c>
      <c r="K5895" s="274">
        <f t="shared" si="96"/>
        <v>0</v>
      </c>
      <c r="N5895" s="274"/>
    </row>
    <row r="5896" spans="5:14" ht="13.5" customHeight="1">
      <c r="E5896" s="209" t="s">
        <v>1329</v>
      </c>
      <c r="F5896" s="1" t="s">
        <v>3047</v>
      </c>
      <c r="G5896" s="416" t="str">
        <f t="shared" si="94"/>
        <v>Color Code</v>
      </c>
      <c r="H5896" s="273" t="e">
        <f ca="1">_xludf.IFNA(VLOOKUP(E5896,'Urban Plastix Holds'!$I$37:$U$705,13,0),0)</f>
        <v>#NAME?</v>
      </c>
      <c r="I5896" s="274"/>
      <c r="J5896" s="274" t="e">
        <f t="shared" ca="1" si="95"/>
        <v>#NAME?</v>
      </c>
      <c r="K5896" s="274">
        <f t="shared" si="96"/>
        <v>0</v>
      </c>
      <c r="N5896" s="274"/>
    </row>
    <row r="5897" spans="5:14" ht="13.5" customHeight="1">
      <c r="E5897" s="209" t="s">
        <v>1319</v>
      </c>
      <c r="F5897" s="1" t="s">
        <v>3048</v>
      </c>
      <c r="G5897" s="406" t="str">
        <f t="shared" si="94"/>
        <v>11-12</v>
      </c>
      <c r="H5897" s="273" t="e">
        <f ca="1">_xludf.IFNA(VLOOKUP(E5897,'Urban Plastix Holds'!$I$37:$U$705,5,0),0)</f>
        <v>#NAME?</v>
      </c>
      <c r="I5897" s="274"/>
      <c r="J5897" s="274" t="e">
        <f t="shared" ca="1" si="95"/>
        <v>#NAME?</v>
      </c>
      <c r="K5897" s="274">
        <f t="shared" si="96"/>
        <v>0</v>
      </c>
      <c r="N5897" s="274"/>
    </row>
    <row r="5898" spans="5:14" ht="13.5" customHeight="1">
      <c r="E5898" s="209" t="s">
        <v>1319</v>
      </c>
      <c r="F5898" s="1" t="s">
        <v>3048</v>
      </c>
      <c r="G5898" s="408" t="str">
        <f t="shared" si="94"/>
        <v>14-01</v>
      </c>
      <c r="H5898" s="273" t="e">
        <f ca="1">_xludf.IFNA(VLOOKUP(E5898,'Urban Plastix Holds'!$I$37:$U$705,6,0),0)</f>
        <v>#NAME?</v>
      </c>
      <c r="I5898" s="274"/>
      <c r="J5898" s="274" t="e">
        <f t="shared" ca="1" si="95"/>
        <v>#NAME?</v>
      </c>
      <c r="K5898" s="274">
        <f t="shared" si="96"/>
        <v>0</v>
      </c>
      <c r="N5898" s="274"/>
    </row>
    <row r="5899" spans="5:14" ht="13.5" customHeight="1">
      <c r="E5899" s="209" t="s">
        <v>1319</v>
      </c>
      <c r="F5899" s="1" t="s">
        <v>3048</v>
      </c>
      <c r="G5899" s="409" t="str">
        <f t="shared" si="94"/>
        <v>15-12</v>
      </c>
      <c r="H5899" s="273" t="e">
        <f ca="1">_xludf.IFNA(VLOOKUP(E5899,'Urban Plastix Holds'!$I$37:$U$705,7,0),0)</f>
        <v>#NAME?</v>
      </c>
      <c r="I5899" s="274"/>
      <c r="J5899" s="274" t="e">
        <f t="shared" ca="1" si="95"/>
        <v>#NAME?</v>
      </c>
      <c r="K5899" s="274">
        <f t="shared" si="96"/>
        <v>0</v>
      </c>
      <c r="N5899" s="274"/>
    </row>
    <row r="5900" spans="5:14" ht="13.5" customHeight="1">
      <c r="E5900" s="209" t="s">
        <v>1319</v>
      </c>
      <c r="F5900" s="1" t="s">
        <v>3048</v>
      </c>
      <c r="G5900" s="410" t="str">
        <f t="shared" si="94"/>
        <v>16-16</v>
      </c>
      <c r="H5900" s="273" t="e">
        <f ca="1">_xludf.IFNA(VLOOKUP(E5900,'Urban Plastix Holds'!$I$37:$U$705,8,0),0)</f>
        <v>#NAME?</v>
      </c>
      <c r="I5900" s="274"/>
      <c r="J5900" s="274" t="e">
        <f t="shared" ca="1" si="95"/>
        <v>#NAME?</v>
      </c>
      <c r="K5900" s="274">
        <f t="shared" si="96"/>
        <v>0</v>
      </c>
      <c r="N5900" s="274"/>
    </row>
    <row r="5901" spans="5:14" ht="13.5" customHeight="1">
      <c r="E5901" s="209" t="s">
        <v>1319</v>
      </c>
      <c r="F5901" s="1" t="s">
        <v>3048</v>
      </c>
      <c r="G5901" s="411" t="str">
        <f t="shared" si="94"/>
        <v>13-01</v>
      </c>
      <c r="H5901" s="273" t="e">
        <f ca="1">_xludf.IFNA(VLOOKUP(E5901,'Urban Plastix Holds'!$I$37:$U$705,9,0),0)</f>
        <v>#NAME?</v>
      </c>
      <c r="I5901" s="274"/>
      <c r="J5901" s="274" t="e">
        <f t="shared" ca="1" si="95"/>
        <v>#NAME?</v>
      </c>
      <c r="K5901" s="274">
        <f t="shared" si="96"/>
        <v>0</v>
      </c>
      <c r="N5901" s="274"/>
    </row>
    <row r="5902" spans="5:14" ht="13.5" customHeight="1">
      <c r="E5902" s="209" t="s">
        <v>1319</v>
      </c>
      <c r="F5902" s="1" t="s">
        <v>3048</v>
      </c>
      <c r="G5902" s="413" t="str">
        <f t="shared" si="94"/>
        <v>07-13</v>
      </c>
      <c r="H5902" s="273" t="e">
        <f ca="1">_xludf.IFNA(VLOOKUP(E5902,'Urban Plastix Holds'!$I$37:$U$705,10,0),0)</f>
        <v>#NAME?</v>
      </c>
      <c r="I5902" s="274"/>
      <c r="J5902" s="274" t="e">
        <f t="shared" ca="1" si="95"/>
        <v>#NAME?</v>
      </c>
      <c r="K5902" s="274">
        <f t="shared" si="96"/>
        <v>0</v>
      </c>
      <c r="N5902" s="274"/>
    </row>
    <row r="5903" spans="5:14" ht="13.5" customHeight="1">
      <c r="E5903" s="209" t="s">
        <v>1319</v>
      </c>
      <c r="F5903" s="1" t="s">
        <v>3048</v>
      </c>
      <c r="G5903" s="414" t="str">
        <f t="shared" si="94"/>
        <v>11-26</v>
      </c>
      <c r="H5903" s="273" t="e">
        <f ca="1">_xludf.IFNA(VLOOKUP(E5903,'Urban Plastix Holds'!$I$37:$U$705,11,0),0)</f>
        <v>#NAME?</v>
      </c>
      <c r="I5903" s="274"/>
      <c r="J5903" s="274" t="e">
        <f t="shared" ca="1" si="95"/>
        <v>#NAME?</v>
      </c>
      <c r="K5903" s="274">
        <f t="shared" si="96"/>
        <v>0</v>
      </c>
      <c r="N5903" s="274"/>
    </row>
    <row r="5904" spans="5:14" ht="13.5" customHeight="1">
      <c r="E5904" s="209" t="s">
        <v>1319</v>
      </c>
      <c r="F5904" s="1" t="s">
        <v>3048</v>
      </c>
      <c r="G5904" s="415" t="str">
        <f t="shared" si="94"/>
        <v>18-01</v>
      </c>
      <c r="H5904" s="273" t="e">
        <f ca="1">_xludf.IFNA(VLOOKUP(E5904,'Urban Plastix Holds'!$I$37:$U$705,12,0),0)</f>
        <v>#NAME?</v>
      </c>
      <c r="I5904" s="274"/>
      <c r="J5904" s="274" t="e">
        <f t="shared" ca="1" si="95"/>
        <v>#NAME?</v>
      </c>
      <c r="K5904" s="274">
        <f t="shared" si="96"/>
        <v>0</v>
      </c>
      <c r="N5904" s="274"/>
    </row>
    <row r="5905" spans="5:14" ht="13.5" customHeight="1">
      <c r="E5905" s="209" t="s">
        <v>1319</v>
      </c>
      <c r="F5905" s="1" t="s">
        <v>3048</v>
      </c>
      <c r="G5905" s="416" t="str">
        <f t="shared" si="94"/>
        <v>Color Code</v>
      </c>
      <c r="H5905" s="273" t="e">
        <f ca="1">_xludf.IFNA(VLOOKUP(E5905,'Urban Plastix Holds'!$I$37:$U$705,13,0),0)</f>
        <v>#NAME?</v>
      </c>
      <c r="I5905" s="274"/>
      <c r="J5905" s="274" t="e">
        <f t="shared" ca="1" si="95"/>
        <v>#NAME?</v>
      </c>
      <c r="K5905" s="274">
        <f t="shared" si="96"/>
        <v>0</v>
      </c>
      <c r="N5905" s="274"/>
    </row>
    <row r="5906" spans="5:14" ht="13.5" customHeight="1">
      <c r="E5906" s="209" t="s">
        <v>1282</v>
      </c>
      <c r="F5906" s="1" t="s">
        <v>3049</v>
      </c>
      <c r="G5906" s="406" t="str">
        <f t="shared" si="94"/>
        <v>11-12</v>
      </c>
      <c r="H5906" s="273" t="e">
        <f ca="1">_xludf.IFNA(VLOOKUP(E5906,'Urban Plastix Holds'!$I$37:$U$705,5,0),0)</f>
        <v>#NAME?</v>
      </c>
      <c r="I5906" s="274"/>
      <c r="J5906" s="274" t="e">
        <f t="shared" ca="1" si="95"/>
        <v>#NAME?</v>
      </c>
      <c r="K5906" s="274">
        <f t="shared" si="96"/>
        <v>0</v>
      </c>
      <c r="N5906" s="274"/>
    </row>
    <row r="5907" spans="5:14" ht="13.5" customHeight="1">
      <c r="E5907" s="209" t="s">
        <v>1282</v>
      </c>
      <c r="F5907" s="1" t="s">
        <v>3049</v>
      </c>
      <c r="G5907" s="408" t="str">
        <f t="shared" si="94"/>
        <v>14-01</v>
      </c>
      <c r="H5907" s="273" t="e">
        <f ca="1">_xludf.IFNA(VLOOKUP(E5907,'Urban Plastix Holds'!$I$37:$U$705,6,0),0)</f>
        <v>#NAME?</v>
      </c>
      <c r="I5907" s="274"/>
      <c r="J5907" s="274" t="e">
        <f t="shared" ca="1" si="95"/>
        <v>#NAME?</v>
      </c>
      <c r="K5907" s="274">
        <f t="shared" si="96"/>
        <v>0</v>
      </c>
      <c r="N5907" s="274"/>
    </row>
    <row r="5908" spans="5:14" ht="13.5" customHeight="1">
      <c r="E5908" s="209" t="s">
        <v>1282</v>
      </c>
      <c r="F5908" s="1" t="s">
        <v>3049</v>
      </c>
      <c r="G5908" s="409" t="str">
        <f t="shared" si="94"/>
        <v>15-12</v>
      </c>
      <c r="H5908" s="273" t="e">
        <f ca="1">_xludf.IFNA(VLOOKUP(E5908,'Urban Plastix Holds'!$I$37:$U$705,7,0),0)</f>
        <v>#NAME?</v>
      </c>
      <c r="I5908" s="274"/>
      <c r="J5908" s="274" t="e">
        <f t="shared" ca="1" si="95"/>
        <v>#NAME?</v>
      </c>
      <c r="K5908" s="274">
        <f t="shared" si="96"/>
        <v>0</v>
      </c>
      <c r="N5908" s="274"/>
    </row>
    <row r="5909" spans="5:14" ht="13.5" customHeight="1">
      <c r="E5909" s="209" t="s">
        <v>1282</v>
      </c>
      <c r="F5909" s="1" t="s">
        <v>3049</v>
      </c>
      <c r="G5909" s="410" t="str">
        <f t="shared" si="94"/>
        <v>16-16</v>
      </c>
      <c r="H5909" s="273" t="e">
        <f ca="1">_xludf.IFNA(VLOOKUP(E5909,'Urban Plastix Holds'!$I$37:$U$705,8,0),0)</f>
        <v>#NAME?</v>
      </c>
      <c r="I5909" s="274"/>
      <c r="J5909" s="274" t="e">
        <f t="shared" ca="1" si="95"/>
        <v>#NAME?</v>
      </c>
      <c r="K5909" s="274">
        <f t="shared" si="96"/>
        <v>0</v>
      </c>
      <c r="N5909" s="274"/>
    </row>
    <row r="5910" spans="5:14" ht="13.5" customHeight="1">
      <c r="E5910" s="209" t="s">
        <v>1282</v>
      </c>
      <c r="F5910" s="1" t="s">
        <v>3049</v>
      </c>
      <c r="G5910" s="411" t="str">
        <f t="shared" si="94"/>
        <v>13-01</v>
      </c>
      <c r="H5910" s="273" t="e">
        <f ca="1">_xludf.IFNA(VLOOKUP(E5910,'Urban Plastix Holds'!$I$37:$U$705,9,0),0)</f>
        <v>#NAME?</v>
      </c>
      <c r="I5910" s="274"/>
      <c r="J5910" s="274" t="e">
        <f t="shared" ca="1" si="95"/>
        <v>#NAME?</v>
      </c>
      <c r="K5910" s="274">
        <f t="shared" si="96"/>
        <v>0</v>
      </c>
      <c r="N5910" s="274"/>
    </row>
    <row r="5911" spans="5:14" ht="13.5" customHeight="1">
      <c r="E5911" s="209" t="s">
        <v>1282</v>
      </c>
      <c r="F5911" s="1" t="s">
        <v>3049</v>
      </c>
      <c r="G5911" s="413" t="str">
        <f t="shared" si="94"/>
        <v>07-13</v>
      </c>
      <c r="H5911" s="273" t="e">
        <f ca="1">_xludf.IFNA(VLOOKUP(E5911,'Urban Plastix Holds'!$I$37:$U$705,10,0),0)</f>
        <v>#NAME?</v>
      </c>
      <c r="I5911" s="274"/>
      <c r="J5911" s="274" t="e">
        <f t="shared" ca="1" si="95"/>
        <v>#NAME?</v>
      </c>
      <c r="K5911" s="274">
        <f t="shared" si="96"/>
        <v>0</v>
      </c>
      <c r="N5911" s="274"/>
    </row>
    <row r="5912" spans="5:14" ht="13.5" customHeight="1">
      <c r="E5912" s="209" t="s">
        <v>1282</v>
      </c>
      <c r="F5912" s="1" t="s">
        <v>3049</v>
      </c>
      <c r="G5912" s="414" t="str">
        <f t="shared" si="94"/>
        <v>11-26</v>
      </c>
      <c r="H5912" s="273" t="e">
        <f ca="1">_xludf.IFNA(VLOOKUP(E5912,'Urban Plastix Holds'!$I$37:$U$705,11,0),0)</f>
        <v>#NAME?</v>
      </c>
      <c r="I5912" s="274"/>
      <c r="J5912" s="274" t="e">
        <f t="shared" ca="1" si="95"/>
        <v>#NAME?</v>
      </c>
      <c r="K5912" s="274">
        <f t="shared" si="96"/>
        <v>0</v>
      </c>
      <c r="N5912" s="274"/>
    </row>
    <row r="5913" spans="5:14" ht="13.5" customHeight="1">
      <c r="E5913" s="209" t="s">
        <v>1282</v>
      </c>
      <c r="F5913" s="1" t="s">
        <v>3049</v>
      </c>
      <c r="G5913" s="415" t="str">
        <f t="shared" si="94"/>
        <v>18-01</v>
      </c>
      <c r="H5913" s="273" t="e">
        <f ca="1">_xludf.IFNA(VLOOKUP(E5913,'Urban Plastix Holds'!$I$37:$U$705,12,0),0)</f>
        <v>#NAME?</v>
      </c>
      <c r="I5913" s="274"/>
      <c r="J5913" s="274" t="e">
        <f t="shared" ca="1" si="95"/>
        <v>#NAME?</v>
      </c>
      <c r="K5913" s="274">
        <f t="shared" si="96"/>
        <v>0</v>
      </c>
      <c r="N5913" s="274"/>
    </row>
    <row r="5914" spans="5:14" ht="13.5" customHeight="1">
      <c r="E5914" s="209" t="s">
        <v>1282</v>
      </c>
      <c r="F5914" s="1" t="s">
        <v>3049</v>
      </c>
      <c r="G5914" s="416" t="str">
        <f t="shared" si="94"/>
        <v>Color Code</v>
      </c>
      <c r="H5914" s="273" t="e">
        <f ca="1">_xludf.IFNA(VLOOKUP(E5914,'Urban Plastix Holds'!$I$37:$U$705,13,0),0)</f>
        <v>#NAME?</v>
      </c>
      <c r="I5914" s="274"/>
      <c r="J5914" s="274" t="e">
        <f t="shared" ca="1" si="95"/>
        <v>#NAME?</v>
      </c>
      <c r="K5914" s="274">
        <f t="shared" si="96"/>
        <v>0</v>
      </c>
      <c r="N5914" s="274"/>
    </row>
    <row r="5915" spans="5:14" ht="13.5" customHeight="1">
      <c r="E5915" s="1" t="s">
        <v>1526</v>
      </c>
      <c r="F5915" s="1" t="s">
        <v>3050</v>
      </c>
      <c r="G5915" s="406" t="str">
        <f t="shared" si="94"/>
        <v>11-12</v>
      </c>
      <c r="H5915" s="273" t="e">
        <f ca="1">_xludf.IFNA(VLOOKUP(E5915,'Urban Plastix Holds'!$I$37:$U$705,5,0),0)</f>
        <v>#NAME?</v>
      </c>
      <c r="I5915" s="274"/>
      <c r="J5915" s="274" t="e">
        <f t="shared" ca="1" si="95"/>
        <v>#NAME?</v>
      </c>
      <c r="K5915" s="274">
        <f t="shared" si="96"/>
        <v>0</v>
      </c>
      <c r="N5915" s="274"/>
    </row>
    <row r="5916" spans="5:14" ht="13.5" customHeight="1">
      <c r="E5916" s="1" t="s">
        <v>1526</v>
      </c>
      <c r="F5916" s="1" t="s">
        <v>3050</v>
      </c>
      <c r="G5916" s="408" t="str">
        <f t="shared" si="94"/>
        <v>14-01</v>
      </c>
      <c r="H5916" s="273" t="e">
        <f ca="1">_xludf.IFNA(VLOOKUP(E5916,'Urban Plastix Holds'!$I$37:$U$705,6,0),0)</f>
        <v>#NAME?</v>
      </c>
      <c r="I5916" s="274"/>
      <c r="J5916" s="274" t="e">
        <f t="shared" ca="1" si="95"/>
        <v>#NAME?</v>
      </c>
      <c r="K5916" s="274">
        <f t="shared" si="96"/>
        <v>0</v>
      </c>
      <c r="N5916" s="274"/>
    </row>
    <row r="5917" spans="5:14" ht="13.5" customHeight="1">
      <c r="E5917" s="1" t="s">
        <v>1526</v>
      </c>
      <c r="F5917" s="1" t="s">
        <v>3050</v>
      </c>
      <c r="G5917" s="409" t="str">
        <f t="shared" si="94"/>
        <v>15-12</v>
      </c>
      <c r="H5917" s="273" t="e">
        <f ca="1">_xludf.IFNA(VLOOKUP(E5917,'Urban Plastix Holds'!$I$37:$U$705,7,0),0)</f>
        <v>#NAME?</v>
      </c>
      <c r="I5917" s="274"/>
      <c r="J5917" s="274" t="e">
        <f t="shared" ca="1" si="95"/>
        <v>#NAME?</v>
      </c>
      <c r="K5917" s="274">
        <f t="shared" si="96"/>
        <v>0</v>
      </c>
      <c r="N5917" s="274"/>
    </row>
    <row r="5918" spans="5:14" ht="13.5" customHeight="1">
      <c r="E5918" s="1" t="s">
        <v>1526</v>
      </c>
      <c r="F5918" s="1" t="s">
        <v>3050</v>
      </c>
      <c r="G5918" s="410" t="str">
        <f t="shared" si="94"/>
        <v>16-16</v>
      </c>
      <c r="H5918" s="273" t="e">
        <f ca="1">_xludf.IFNA(VLOOKUP(E5918,'Urban Plastix Holds'!$I$37:$U$705,8,0),0)</f>
        <v>#NAME?</v>
      </c>
      <c r="I5918" s="274"/>
      <c r="J5918" s="274" t="e">
        <f t="shared" ca="1" si="95"/>
        <v>#NAME?</v>
      </c>
      <c r="K5918" s="274">
        <f t="shared" si="96"/>
        <v>0</v>
      </c>
      <c r="N5918" s="274"/>
    </row>
    <row r="5919" spans="5:14" ht="13.5" customHeight="1">
      <c r="E5919" s="1" t="s">
        <v>1526</v>
      </c>
      <c r="F5919" s="1" t="s">
        <v>3050</v>
      </c>
      <c r="G5919" s="411" t="str">
        <f t="shared" si="94"/>
        <v>13-01</v>
      </c>
      <c r="H5919" s="273" t="e">
        <f ca="1">_xludf.IFNA(VLOOKUP(E5919,'Urban Plastix Holds'!$I$37:$U$705,9,0),0)</f>
        <v>#NAME?</v>
      </c>
      <c r="I5919" s="274"/>
      <c r="J5919" s="274" t="e">
        <f t="shared" ca="1" si="95"/>
        <v>#NAME?</v>
      </c>
      <c r="K5919" s="274">
        <f t="shared" si="96"/>
        <v>0</v>
      </c>
      <c r="N5919" s="274"/>
    </row>
    <row r="5920" spans="5:14" ht="13.5" customHeight="1">
      <c r="E5920" s="1" t="s">
        <v>1526</v>
      </c>
      <c r="F5920" s="1" t="s">
        <v>3050</v>
      </c>
      <c r="G5920" s="413" t="str">
        <f t="shared" si="94"/>
        <v>07-13</v>
      </c>
      <c r="H5920" s="273" t="e">
        <f ca="1">_xludf.IFNA(VLOOKUP(E5920,'Urban Plastix Holds'!$I$37:$U$705,10,0),0)</f>
        <v>#NAME?</v>
      </c>
      <c r="I5920" s="274"/>
      <c r="J5920" s="274" t="e">
        <f t="shared" ca="1" si="95"/>
        <v>#NAME?</v>
      </c>
      <c r="K5920" s="274">
        <f t="shared" si="96"/>
        <v>0</v>
      </c>
      <c r="N5920" s="274"/>
    </row>
    <row r="5921" spans="5:14" ht="13.5" customHeight="1">
      <c r="E5921" s="1" t="s">
        <v>1526</v>
      </c>
      <c r="F5921" s="1" t="s">
        <v>3050</v>
      </c>
      <c r="G5921" s="414" t="str">
        <f t="shared" si="94"/>
        <v>11-26</v>
      </c>
      <c r="H5921" s="273" t="e">
        <f ca="1">_xludf.IFNA(VLOOKUP(E5921,'Urban Plastix Holds'!$I$37:$U$705,11,0),0)</f>
        <v>#NAME?</v>
      </c>
      <c r="I5921" s="274"/>
      <c r="J5921" s="274" t="e">
        <f t="shared" ca="1" si="95"/>
        <v>#NAME?</v>
      </c>
      <c r="K5921" s="274">
        <f t="shared" si="96"/>
        <v>0</v>
      </c>
      <c r="N5921" s="274"/>
    </row>
    <row r="5922" spans="5:14" ht="13.5" customHeight="1">
      <c r="E5922" s="1" t="s">
        <v>1526</v>
      </c>
      <c r="F5922" s="1" t="s">
        <v>3050</v>
      </c>
      <c r="G5922" s="415" t="str">
        <f t="shared" si="94"/>
        <v>18-01</v>
      </c>
      <c r="H5922" s="273" t="e">
        <f ca="1">_xludf.IFNA(VLOOKUP(E5922,'Urban Plastix Holds'!$I$37:$U$705,12,0),0)</f>
        <v>#NAME?</v>
      </c>
      <c r="I5922" s="274"/>
      <c r="J5922" s="274" t="e">
        <f t="shared" ca="1" si="95"/>
        <v>#NAME?</v>
      </c>
      <c r="K5922" s="274">
        <f t="shared" si="96"/>
        <v>0</v>
      </c>
      <c r="N5922" s="274"/>
    </row>
    <row r="5923" spans="5:14" ht="13.5" customHeight="1">
      <c r="E5923" s="1" t="s">
        <v>1526</v>
      </c>
      <c r="F5923" s="1" t="s">
        <v>3050</v>
      </c>
      <c r="G5923" s="416" t="str">
        <f t="shared" si="94"/>
        <v>Color Code</v>
      </c>
      <c r="H5923" s="273" t="e">
        <f ca="1">_xludf.IFNA(VLOOKUP(E5923,'Urban Plastix Holds'!$I$37:$U$705,13,0),0)</f>
        <v>#NAME?</v>
      </c>
      <c r="I5923" s="274"/>
      <c r="J5923" s="274" t="e">
        <f t="shared" ca="1" si="95"/>
        <v>#NAME?</v>
      </c>
      <c r="K5923" s="274">
        <f t="shared" si="96"/>
        <v>0</v>
      </c>
      <c r="N5923" s="274"/>
    </row>
    <row r="5924" spans="5:14" ht="13.5" customHeight="1">
      <c r="E5924" s="1" t="s">
        <v>1299</v>
      </c>
      <c r="F5924" s="1" t="s">
        <v>3051</v>
      </c>
      <c r="G5924" s="406" t="str">
        <f t="shared" si="94"/>
        <v>11-12</v>
      </c>
      <c r="H5924" s="273" t="e">
        <f ca="1">_xludf.IFNA(VLOOKUP(E5924,'Urban Plastix Holds'!$I$37:$U$705,5,0),0)</f>
        <v>#NAME?</v>
      </c>
      <c r="I5924" s="274"/>
      <c r="J5924" s="274" t="e">
        <f t="shared" ca="1" si="95"/>
        <v>#NAME?</v>
      </c>
      <c r="K5924" s="274">
        <f t="shared" si="96"/>
        <v>0</v>
      </c>
      <c r="N5924" s="274"/>
    </row>
    <row r="5925" spans="5:14" ht="13.5" customHeight="1">
      <c r="E5925" s="1" t="s">
        <v>1299</v>
      </c>
      <c r="F5925" s="1" t="s">
        <v>3051</v>
      </c>
      <c r="G5925" s="408" t="str">
        <f t="shared" si="94"/>
        <v>14-01</v>
      </c>
      <c r="H5925" s="273" t="e">
        <f ca="1">_xludf.IFNA(VLOOKUP(E5925,'Urban Plastix Holds'!$I$37:$U$705,6,0),0)</f>
        <v>#NAME?</v>
      </c>
      <c r="I5925" s="274"/>
      <c r="J5925" s="274" t="e">
        <f t="shared" ca="1" si="95"/>
        <v>#NAME?</v>
      </c>
      <c r="K5925" s="274">
        <f t="shared" si="96"/>
        <v>0</v>
      </c>
      <c r="N5925" s="274"/>
    </row>
    <row r="5926" spans="5:14" ht="13.5" customHeight="1">
      <c r="E5926" s="1" t="s">
        <v>1299</v>
      </c>
      <c r="F5926" s="1" t="s">
        <v>3051</v>
      </c>
      <c r="G5926" s="409" t="str">
        <f t="shared" si="94"/>
        <v>15-12</v>
      </c>
      <c r="H5926" s="273" t="e">
        <f ca="1">_xludf.IFNA(VLOOKUP(E5926,'Urban Plastix Holds'!$I$37:$U$705,7,0),0)</f>
        <v>#NAME?</v>
      </c>
      <c r="I5926" s="274"/>
      <c r="J5926" s="274" t="e">
        <f t="shared" ca="1" si="95"/>
        <v>#NAME?</v>
      </c>
      <c r="K5926" s="274">
        <f t="shared" si="96"/>
        <v>0</v>
      </c>
      <c r="N5926" s="274"/>
    </row>
    <row r="5927" spans="5:14" ht="13.5" customHeight="1">
      <c r="E5927" s="1" t="s">
        <v>1299</v>
      </c>
      <c r="F5927" s="1" t="s">
        <v>3051</v>
      </c>
      <c r="G5927" s="410" t="str">
        <f t="shared" si="94"/>
        <v>16-16</v>
      </c>
      <c r="H5927" s="273" t="e">
        <f ca="1">_xludf.IFNA(VLOOKUP(E5927,'Urban Plastix Holds'!$I$37:$U$705,8,0),0)</f>
        <v>#NAME?</v>
      </c>
      <c r="I5927" s="274"/>
      <c r="J5927" s="274" t="e">
        <f t="shared" ca="1" si="95"/>
        <v>#NAME?</v>
      </c>
      <c r="K5927" s="274">
        <f t="shared" si="96"/>
        <v>0</v>
      </c>
      <c r="N5927" s="274"/>
    </row>
    <row r="5928" spans="5:14" ht="13.5" customHeight="1">
      <c r="E5928" s="1" t="s">
        <v>1299</v>
      </c>
      <c r="F5928" s="1" t="s">
        <v>3051</v>
      </c>
      <c r="G5928" s="411" t="str">
        <f t="shared" si="94"/>
        <v>13-01</v>
      </c>
      <c r="H5928" s="273" t="e">
        <f ca="1">_xludf.IFNA(VLOOKUP(E5928,'Urban Plastix Holds'!$I$37:$U$705,9,0),0)</f>
        <v>#NAME?</v>
      </c>
      <c r="I5928" s="274"/>
      <c r="J5928" s="274" t="e">
        <f t="shared" ca="1" si="95"/>
        <v>#NAME?</v>
      </c>
      <c r="K5928" s="274">
        <f t="shared" si="96"/>
        <v>0</v>
      </c>
      <c r="N5928" s="274"/>
    </row>
    <row r="5929" spans="5:14" ht="13.5" customHeight="1">
      <c r="E5929" s="1" t="s">
        <v>1299</v>
      </c>
      <c r="F5929" s="1" t="s">
        <v>3051</v>
      </c>
      <c r="G5929" s="413" t="str">
        <f t="shared" si="94"/>
        <v>07-13</v>
      </c>
      <c r="H5929" s="273" t="e">
        <f ca="1">_xludf.IFNA(VLOOKUP(E5929,'Urban Plastix Holds'!$I$37:$U$705,10,0),0)</f>
        <v>#NAME?</v>
      </c>
      <c r="I5929" s="274"/>
      <c r="J5929" s="274" t="e">
        <f t="shared" ca="1" si="95"/>
        <v>#NAME?</v>
      </c>
      <c r="K5929" s="274">
        <f t="shared" si="96"/>
        <v>0</v>
      </c>
      <c r="N5929" s="274"/>
    </row>
    <row r="5930" spans="5:14" ht="13.5" customHeight="1">
      <c r="E5930" s="1" t="s">
        <v>1299</v>
      </c>
      <c r="F5930" s="1" t="s">
        <v>3051</v>
      </c>
      <c r="G5930" s="414" t="str">
        <f t="shared" si="94"/>
        <v>11-26</v>
      </c>
      <c r="H5930" s="273" t="e">
        <f ca="1">_xludf.IFNA(VLOOKUP(E5930,'Urban Plastix Holds'!$I$37:$U$705,11,0),0)</f>
        <v>#NAME?</v>
      </c>
      <c r="I5930" s="274"/>
      <c r="J5930" s="274" t="e">
        <f t="shared" ca="1" si="95"/>
        <v>#NAME?</v>
      </c>
      <c r="K5930" s="274">
        <f t="shared" si="96"/>
        <v>0</v>
      </c>
      <c r="N5930" s="274"/>
    </row>
    <row r="5931" spans="5:14" ht="13.5" customHeight="1">
      <c r="E5931" s="1" t="s">
        <v>1299</v>
      </c>
      <c r="F5931" s="1" t="s">
        <v>3051</v>
      </c>
      <c r="G5931" s="415" t="str">
        <f t="shared" si="94"/>
        <v>18-01</v>
      </c>
      <c r="H5931" s="273" t="e">
        <f ca="1">_xludf.IFNA(VLOOKUP(E5931,'Urban Plastix Holds'!$I$37:$U$705,12,0),0)</f>
        <v>#NAME?</v>
      </c>
      <c r="I5931" s="274"/>
      <c r="J5931" s="274" t="e">
        <f t="shared" ca="1" si="95"/>
        <v>#NAME?</v>
      </c>
      <c r="K5931" s="274">
        <f t="shared" si="96"/>
        <v>0</v>
      </c>
      <c r="N5931" s="274"/>
    </row>
    <row r="5932" spans="5:14" ht="13.5" customHeight="1">
      <c r="E5932" s="1" t="s">
        <v>1299</v>
      </c>
      <c r="F5932" s="1" t="s">
        <v>3051</v>
      </c>
      <c r="G5932" s="416" t="str">
        <f t="shared" si="94"/>
        <v>Color Code</v>
      </c>
      <c r="H5932" s="273" t="e">
        <f ca="1">_xludf.IFNA(VLOOKUP(E5932,'Urban Plastix Holds'!$I$37:$U$705,13,0),0)</f>
        <v>#NAME?</v>
      </c>
      <c r="I5932" s="274"/>
      <c r="J5932" s="274" t="e">
        <f t="shared" ca="1" si="95"/>
        <v>#NAME?</v>
      </c>
      <c r="K5932" s="274">
        <f t="shared" si="96"/>
        <v>0</v>
      </c>
      <c r="N5932" s="274"/>
    </row>
    <row r="5933" spans="5:14" ht="13.5" customHeight="1">
      <c r="E5933" s="1" t="s">
        <v>1575</v>
      </c>
      <c r="F5933" s="1" t="s">
        <v>3052</v>
      </c>
      <c r="G5933" s="406" t="str">
        <f t="shared" si="94"/>
        <v>11-12</v>
      </c>
      <c r="H5933" s="273" t="e">
        <f ca="1">_xludf.IFNA(VLOOKUP(E5933,'Urban Plastix Holds'!$I$37:$U$705,5,0),0)</f>
        <v>#NAME?</v>
      </c>
      <c r="I5933" s="274"/>
      <c r="J5933" s="274" t="e">
        <f t="shared" ca="1" si="95"/>
        <v>#NAME?</v>
      </c>
      <c r="K5933" s="274">
        <f t="shared" si="96"/>
        <v>0</v>
      </c>
      <c r="N5933" s="274"/>
    </row>
    <row r="5934" spans="5:14" ht="13.5" customHeight="1">
      <c r="E5934" s="1" t="s">
        <v>1575</v>
      </c>
      <c r="F5934" s="1" t="s">
        <v>3052</v>
      </c>
      <c r="G5934" s="408" t="str">
        <f t="shared" si="94"/>
        <v>14-01</v>
      </c>
      <c r="H5934" s="273" t="e">
        <f ca="1">_xludf.IFNA(VLOOKUP(E5934,'Urban Plastix Holds'!$I$37:$U$705,6,0),0)</f>
        <v>#NAME?</v>
      </c>
      <c r="I5934" s="274"/>
      <c r="J5934" s="274" t="e">
        <f t="shared" ca="1" si="95"/>
        <v>#NAME?</v>
      </c>
      <c r="K5934" s="274">
        <f t="shared" si="96"/>
        <v>0</v>
      </c>
      <c r="N5934" s="274"/>
    </row>
    <row r="5935" spans="5:14" ht="13.5" customHeight="1">
      <c r="E5935" s="1" t="s">
        <v>1575</v>
      </c>
      <c r="F5935" s="1" t="s">
        <v>3052</v>
      </c>
      <c r="G5935" s="409" t="str">
        <f t="shared" si="94"/>
        <v>15-12</v>
      </c>
      <c r="H5935" s="273" t="e">
        <f ca="1">_xludf.IFNA(VLOOKUP(E5935,'Urban Plastix Holds'!$I$37:$U$705,7,0),0)</f>
        <v>#NAME?</v>
      </c>
      <c r="I5935" s="274"/>
      <c r="J5935" s="274" t="e">
        <f t="shared" ca="1" si="95"/>
        <v>#NAME?</v>
      </c>
      <c r="K5935" s="274">
        <f t="shared" si="96"/>
        <v>0</v>
      </c>
      <c r="N5935" s="274"/>
    </row>
    <row r="5936" spans="5:14" ht="13.5" customHeight="1">
      <c r="E5936" s="1" t="s">
        <v>1575</v>
      </c>
      <c r="F5936" s="1" t="s">
        <v>3052</v>
      </c>
      <c r="G5936" s="410" t="str">
        <f t="shared" si="94"/>
        <v>16-16</v>
      </c>
      <c r="H5936" s="273" t="e">
        <f ca="1">_xludf.IFNA(VLOOKUP(E5936,'Urban Plastix Holds'!$I$37:$U$705,8,0),0)</f>
        <v>#NAME?</v>
      </c>
      <c r="I5936" s="274"/>
      <c r="J5936" s="274" t="e">
        <f t="shared" ca="1" si="95"/>
        <v>#NAME?</v>
      </c>
      <c r="K5936" s="274">
        <f t="shared" si="96"/>
        <v>0</v>
      </c>
      <c r="N5936" s="274"/>
    </row>
    <row r="5937" spans="5:14" ht="13.5" customHeight="1">
      <c r="E5937" s="1" t="s">
        <v>1575</v>
      </c>
      <c r="F5937" s="1" t="s">
        <v>3052</v>
      </c>
      <c r="G5937" s="411" t="str">
        <f t="shared" si="94"/>
        <v>13-01</v>
      </c>
      <c r="H5937" s="273" t="e">
        <f ca="1">_xludf.IFNA(VLOOKUP(E5937,'Urban Plastix Holds'!$I$37:$U$705,9,0),0)</f>
        <v>#NAME?</v>
      </c>
      <c r="I5937" s="274"/>
      <c r="J5937" s="274" t="e">
        <f t="shared" ca="1" si="95"/>
        <v>#NAME?</v>
      </c>
      <c r="K5937" s="274">
        <f t="shared" si="96"/>
        <v>0</v>
      </c>
      <c r="N5937" s="274"/>
    </row>
    <row r="5938" spans="5:14" ht="13.5" customHeight="1">
      <c r="E5938" s="1" t="s">
        <v>1575</v>
      </c>
      <c r="F5938" s="1" t="s">
        <v>3052</v>
      </c>
      <c r="G5938" s="413" t="str">
        <f t="shared" si="94"/>
        <v>07-13</v>
      </c>
      <c r="H5938" s="273" t="e">
        <f ca="1">_xludf.IFNA(VLOOKUP(E5938,'Urban Plastix Holds'!$I$37:$U$705,10,0),0)</f>
        <v>#NAME?</v>
      </c>
      <c r="I5938" s="274"/>
      <c r="J5938" s="274" t="e">
        <f t="shared" ca="1" si="95"/>
        <v>#NAME?</v>
      </c>
      <c r="K5938" s="274">
        <f t="shared" si="96"/>
        <v>0</v>
      </c>
      <c r="N5938" s="274"/>
    </row>
    <row r="5939" spans="5:14" ht="13.5" customHeight="1">
      <c r="E5939" s="1" t="s">
        <v>1575</v>
      </c>
      <c r="F5939" s="1" t="s">
        <v>3052</v>
      </c>
      <c r="G5939" s="414" t="str">
        <f t="shared" si="94"/>
        <v>11-26</v>
      </c>
      <c r="H5939" s="273" t="e">
        <f ca="1">_xludf.IFNA(VLOOKUP(E5939,'Urban Plastix Holds'!$I$37:$U$705,11,0),0)</f>
        <v>#NAME?</v>
      </c>
      <c r="I5939" s="274"/>
      <c r="J5939" s="274" t="e">
        <f t="shared" ca="1" si="95"/>
        <v>#NAME?</v>
      </c>
      <c r="K5939" s="274">
        <f t="shared" si="96"/>
        <v>0</v>
      </c>
      <c r="N5939" s="274"/>
    </row>
    <row r="5940" spans="5:14" ht="13.5" customHeight="1">
      <c r="E5940" s="1" t="s">
        <v>1575</v>
      </c>
      <c r="F5940" s="1" t="s">
        <v>3052</v>
      </c>
      <c r="G5940" s="415" t="str">
        <f t="shared" si="94"/>
        <v>18-01</v>
      </c>
      <c r="H5940" s="273" t="e">
        <f ca="1">_xludf.IFNA(VLOOKUP(E5940,'Urban Plastix Holds'!$I$37:$U$705,12,0),0)</f>
        <v>#NAME?</v>
      </c>
      <c r="I5940" s="274"/>
      <c r="J5940" s="274" t="e">
        <f t="shared" ca="1" si="95"/>
        <v>#NAME?</v>
      </c>
      <c r="K5940" s="274">
        <f t="shared" si="96"/>
        <v>0</v>
      </c>
      <c r="N5940" s="274"/>
    </row>
    <row r="5941" spans="5:14" ht="13.5" customHeight="1">
      <c r="E5941" s="1" t="s">
        <v>1575</v>
      </c>
      <c r="F5941" s="1" t="s">
        <v>3052</v>
      </c>
      <c r="G5941" s="416" t="str">
        <f t="shared" si="94"/>
        <v>Color Code</v>
      </c>
      <c r="H5941" s="273" t="e">
        <f ca="1">_xludf.IFNA(VLOOKUP(E5941,'Urban Plastix Holds'!$I$37:$U$705,13,0),0)</f>
        <v>#NAME?</v>
      </c>
      <c r="I5941" s="274"/>
      <c r="J5941" s="274" t="e">
        <f t="shared" ca="1" si="95"/>
        <v>#NAME?</v>
      </c>
      <c r="K5941" s="274">
        <f t="shared" si="96"/>
        <v>0</v>
      </c>
      <c r="N5941" s="274"/>
    </row>
    <row r="5942" spans="5:14" ht="13.5" customHeight="1">
      <c r="E5942" s="1" t="s">
        <v>1371</v>
      </c>
      <c r="F5942" s="1" t="s">
        <v>3053</v>
      </c>
      <c r="G5942" s="406" t="str">
        <f t="shared" si="94"/>
        <v>11-12</v>
      </c>
      <c r="H5942" s="273" t="e">
        <f ca="1">_xludf.IFNA(VLOOKUP(E5942,'Urban Plastix Holds'!$I$37:$U$705,5,0),0)</f>
        <v>#NAME?</v>
      </c>
      <c r="I5942" s="274"/>
      <c r="J5942" s="274" t="e">
        <f t="shared" ca="1" si="95"/>
        <v>#NAME?</v>
      </c>
      <c r="K5942" s="274">
        <f t="shared" si="96"/>
        <v>0</v>
      </c>
      <c r="N5942" s="274"/>
    </row>
    <row r="5943" spans="5:14" ht="13.5" customHeight="1">
      <c r="E5943" s="1" t="s">
        <v>1371</v>
      </c>
      <c r="F5943" s="1" t="s">
        <v>3053</v>
      </c>
      <c r="G5943" s="408" t="str">
        <f t="shared" si="94"/>
        <v>14-01</v>
      </c>
      <c r="H5943" s="273" t="e">
        <f ca="1">_xludf.IFNA(VLOOKUP(E5943,'Urban Plastix Holds'!$I$37:$U$705,6,0),0)</f>
        <v>#NAME?</v>
      </c>
      <c r="I5943" s="274"/>
      <c r="J5943" s="274" t="e">
        <f t="shared" ca="1" si="95"/>
        <v>#NAME?</v>
      </c>
      <c r="K5943" s="274">
        <f t="shared" si="96"/>
        <v>0</v>
      </c>
      <c r="N5943" s="274"/>
    </row>
    <row r="5944" spans="5:14" ht="13.5" customHeight="1">
      <c r="E5944" s="1" t="s">
        <v>1371</v>
      </c>
      <c r="F5944" s="1" t="s">
        <v>3053</v>
      </c>
      <c r="G5944" s="409" t="str">
        <f t="shared" si="94"/>
        <v>15-12</v>
      </c>
      <c r="H5944" s="273" t="e">
        <f ca="1">_xludf.IFNA(VLOOKUP(E5944,'Urban Plastix Holds'!$I$37:$U$705,7,0),0)</f>
        <v>#NAME?</v>
      </c>
      <c r="I5944" s="274"/>
      <c r="J5944" s="274" t="e">
        <f t="shared" ca="1" si="95"/>
        <v>#NAME?</v>
      </c>
      <c r="K5944" s="274">
        <f t="shared" si="96"/>
        <v>0</v>
      </c>
      <c r="N5944" s="274"/>
    </row>
    <row r="5945" spans="5:14" ht="13.5" customHeight="1">
      <c r="E5945" s="1" t="s">
        <v>1371</v>
      </c>
      <c r="F5945" s="1" t="s">
        <v>3053</v>
      </c>
      <c r="G5945" s="410" t="str">
        <f t="shared" si="94"/>
        <v>16-16</v>
      </c>
      <c r="H5945" s="273" t="e">
        <f ca="1">_xludf.IFNA(VLOOKUP(E5945,'Urban Plastix Holds'!$I$37:$U$705,8,0),0)</f>
        <v>#NAME?</v>
      </c>
      <c r="I5945" s="274"/>
      <c r="J5945" s="274" t="e">
        <f t="shared" ca="1" si="95"/>
        <v>#NAME?</v>
      </c>
      <c r="K5945" s="274">
        <f t="shared" si="96"/>
        <v>0</v>
      </c>
      <c r="N5945" s="274"/>
    </row>
    <row r="5946" spans="5:14" ht="13.5" customHeight="1">
      <c r="E5946" s="1" t="s">
        <v>1371</v>
      </c>
      <c r="F5946" s="1" t="s">
        <v>3053</v>
      </c>
      <c r="G5946" s="411" t="str">
        <f t="shared" si="94"/>
        <v>13-01</v>
      </c>
      <c r="H5946" s="273" t="e">
        <f ca="1">_xludf.IFNA(VLOOKUP(E5946,'Urban Plastix Holds'!$I$37:$U$705,9,0),0)</f>
        <v>#NAME?</v>
      </c>
      <c r="I5946" s="274"/>
      <c r="J5946" s="274" t="e">
        <f t="shared" ca="1" si="95"/>
        <v>#NAME?</v>
      </c>
      <c r="K5946" s="274">
        <f t="shared" si="96"/>
        <v>0</v>
      </c>
      <c r="N5946" s="274"/>
    </row>
    <row r="5947" spans="5:14" ht="13.5" customHeight="1">
      <c r="E5947" s="1" t="s">
        <v>1371</v>
      </c>
      <c r="F5947" s="1" t="s">
        <v>3053</v>
      </c>
      <c r="G5947" s="413" t="str">
        <f t="shared" si="94"/>
        <v>07-13</v>
      </c>
      <c r="H5947" s="273" t="e">
        <f ca="1">_xludf.IFNA(VLOOKUP(E5947,'Urban Plastix Holds'!$I$37:$U$705,10,0),0)</f>
        <v>#NAME?</v>
      </c>
      <c r="I5947" s="274"/>
      <c r="J5947" s="274" t="e">
        <f t="shared" ca="1" si="95"/>
        <v>#NAME?</v>
      </c>
      <c r="K5947" s="274">
        <f t="shared" si="96"/>
        <v>0</v>
      </c>
      <c r="N5947" s="274"/>
    </row>
    <row r="5948" spans="5:14" ht="13.5" customHeight="1">
      <c r="E5948" s="1" t="s">
        <v>1371</v>
      </c>
      <c r="F5948" s="1" t="s">
        <v>3053</v>
      </c>
      <c r="G5948" s="414" t="str">
        <f t="shared" si="94"/>
        <v>11-26</v>
      </c>
      <c r="H5948" s="273" t="e">
        <f ca="1">_xludf.IFNA(VLOOKUP(E5948,'Urban Plastix Holds'!$I$37:$U$705,11,0),0)</f>
        <v>#NAME?</v>
      </c>
      <c r="I5948" s="274"/>
      <c r="J5948" s="274" t="e">
        <f t="shared" ca="1" si="95"/>
        <v>#NAME?</v>
      </c>
      <c r="K5948" s="274">
        <f t="shared" si="96"/>
        <v>0</v>
      </c>
      <c r="N5948" s="274"/>
    </row>
    <row r="5949" spans="5:14" ht="13.5" customHeight="1">
      <c r="E5949" s="1" t="s">
        <v>1371</v>
      </c>
      <c r="F5949" s="1" t="s">
        <v>3053</v>
      </c>
      <c r="G5949" s="415" t="str">
        <f t="shared" si="94"/>
        <v>18-01</v>
      </c>
      <c r="H5949" s="273" t="e">
        <f ca="1">_xludf.IFNA(VLOOKUP(E5949,'Urban Plastix Holds'!$I$37:$U$705,12,0),0)</f>
        <v>#NAME?</v>
      </c>
      <c r="I5949" s="274"/>
      <c r="J5949" s="274" t="e">
        <f t="shared" ca="1" si="95"/>
        <v>#NAME?</v>
      </c>
      <c r="K5949" s="274">
        <f t="shared" si="96"/>
        <v>0</v>
      </c>
      <c r="N5949" s="274"/>
    </row>
    <row r="5950" spans="5:14" ht="13.5" customHeight="1">
      <c r="E5950" s="1" t="s">
        <v>1371</v>
      </c>
      <c r="F5950" s="1" t="s">
        <v>3053</v>
      </c>
      <c r="G5950" s="416" t="str">
        <f t="shared" si="94"/>
        <v>Color Code</v>
      </c>
      <c r="H5950" s="273" t="e">
        <f ca="1">_xludf.IFNA(VLOOKUP(E5950,'Urban Plastix Holds'!$I$37:$U$705,13,0),0)</f>
        <v>#NAME?</v>
      </c>
      <c r="I5950" s="274"/>
      <c r="J5950" s="274" t="e">
        <f t="shared" ca="1" si="95"/>
        <v>#NAME?</v>
      </c>
      <c r="K5950" s="274">
        <f t="shared" si="96"/>
        <v>0</v>
      </c>
      <c r="N5950" s="274"/>
    </row>
    <row r="5951" spans="5:14" ht="13.5" customHeight="1">
      <c r="E5951" s="1" t="s">
        <v>1548</v>
      </c>
      <c r="F5951" s="1" t="s">
        <v>3054</v>
      </c>
      <c r="G5951" s="406" t="str">
        <f t="shared" si="94"/>
        <v>11-12</v>
      </c>
      <c r="H5951" s="273" t="e">
        <f ca="1">_xludf.IFNA(VLOOKUP(E5951,'Urban Plastix Holds'!$I$37:$U$705,5,0),0)</f>
        <v>#NAME?</v>
      </c>
      <c r="I5951" s="274"/>
      <c r="J5951" s="274" t="e">
        <f t="shared" ca="1" si="95"/>
        <v>#NAME?</v>
      </c>
      <c r="K5951" s="274">
        <f t="shared" si="96"/>
        <v>0</v>
      </c>
      <c r="N5951" s="274"/>
    </row>
    <row r="5952" spans="5:14" ht="13.5" customHeight="1">
      <c r="E5952" s="1" t="s">
        <v>1548</v>
      </c>
      <c r="F5952" s="1" t="s">
        <v>3054</v>
      </c>
      <c r="G5952" s="408" t="str">
        <f t="shared" si="94"/>
        <v>14-01</v>
      </c>
      <c r="H5952" s="273" t="e">
        <f ca="1">_xludf.IFNA(VLOOKUP(E5952,'Urban Plastix Holds'!$I$37:$U$705,6,0),0)</f>
        <v>#NAME?</v>
      </c>
      <c r="I5952" s="274"/>
      <c r="J5952" s="274" t="e">
        <f t="shared" ca="1" si="95"/>
        <v>#NAME?</v>
      </c>
      <c r="K5952" s="274">
        <f t="shared" si="96"/>
        <v>0</v>
      </c>
      <c r="N5952" s="274"/>
    </row>
    <row r="5953" spans="5:14" ht="13.5" customHeight="1">
      <c r="E5953" s="1" t="s">
        <v>1548</v>
      </c>
      <c r="F5953" s="1" t="s">
        <v>3054</v>
      </c>
      <c r="G5953" s="409" t="str">
        <f t="shared" si="94"/>
        <v>15-12</v>
      </c>
      <c r="H5953" s="273" t="e">
        <f ca="1">_xludf.IFNA(VLOOKUP(E5953,'Urban Plastix Holds'!$I$37:$U$705,7,0),0)</f>
        <v>#NAME?</v>
      </c>
      <c r="I5953" s="274"/>
      <c r="J5953" s="274" t="e">
        <f t="shared" ca="1" si="95"/>
        <v>#NAME?</v>
      </c>
      <c r="K5953" s="274">
        <f t="shared" si="96"/>
        <v>0</v>
      </c>
      <c r="N5953" s="274"/>
    </row>
    <row r="5954" spans="5:14" ht="13.5" customHeight="1">
      <c r="E5954" s="1" t="s">
        <v>1548</v>
      </c>
      <c r="F5954" s="1" t="s">
        <v>3054</v>
      </c>
      <c r="G5954" s="410" t="str">
        <f t="shared" si="94"/>
        <v>16-16</v>
      </c>
      <c r="H5954" s="273" t="e">
        <f ca="1">_xludf.IFNA(VLOOKUP(E5954,'Urban Plastix Holds'!$I$37:$U$705,8,0),0)</f>
        <v>#NAME?</v>
      </c>
      <c r="I5954" s="274"/>
      <c r="J5954" s="274" t="e">
        <f t="shared" ca="1" si="95"/>
        <v>#NAME?</v>
      </c>
      <c r="K5954" s="274">
        <f t="shared" si="96"/>
        <v>0</v>
      </c>
      <c r="N5954" s="274"/>
    </row>
    <row r="5955" spans="5:14" ht="13.5" customHeight="1">
      <c r="E5955" s="1" t="s">
        <v>1548</v>
      </c>
      <c r="F5955" s="1" t="s">
        <v>3054</v>
      </c>
      <c r="G5955" s="411" t="str">
        <f t="shared" si="94"/>
        <v>13-01</v>
      </c>
      <c r="H5955" s="273" t="e">
        <f ca="1">_xludf.IFNA(VLOOKUP(E5955,'Urban Plastix Holds'!$I$37:$U$705,9,0),0)</f>
        <v>#NAME?</v>
      </c>
      <c r="I5955" s="274"/>
      <c r="J5955" s="274" t="e">
        <f t="shared" ca="1" si="95"/>
        <v>#NAME?</v>
      </c>
      <c r="K5955" s="274">
        <f t="shared" si="96"/>
        <v>0</v>
      </c>
      <c r="N5955" s="274"/>
    </row>
    <row r="5956" spans="5:14" ht="13.5" customHeight="1">
      <c r="E5956" s="1" t="s">
        <v>1548</v>
      </c>
      <c r="F5956" s="1" t="s">
        <v>3054</v>
      </c>
      <c r="G5956" s="413" t="str">
        <f t="shared" si="94"/>
        <v>07-13</v>
      </c>
      <c r="H5956" s="273" t="e">
        <f ca="1">_xludf.IFNA(VLOOKUP(E5956,'Urban Plastix Holds'!$I$37:$U$705,10,0),0)</f>
        <v>#NAME?</v>
      </c>
      <c r="I5956" s="274"/>
      <c r="J5956" s="274" t="e">
        <f t="shared" ca="1" si="95"/>
        <v>#NAME?</v>
      </c>
      <c r="K5956" s="274">
        <f t="shared" si="96"/>
        <v>0</v>
      </c>
      <c r="N5956" s="274"/>
    </row>
    <row r="5957" spans="5:14" ht="13.5" customHeight="1">
      <c r="E5957" s="1" t="s">
        <v>1548</v>
      </c>
      <c r="F5957" s="1" t="s">
        <v>3054</v>
      </c>
      <c r="G5957" s="414" t="str">
        <f t="shared" si="94"/>
        <v>11-26</v>
      </c>
      <c r="H5957" s="273" t="e">
        <f ca="1">_xludf.IFNA(VLOOKUP(E5957,'Urban Plastix Holds'!$I$37:$U$705,11,0),0)</f>
        <v>#NAME?</v>
      </c>
      <c r="I5957" s="274"/>
      <c r="J5957" s="274" t="e">
        <f t="shared" ca="1" si="95"/>
        <v>#NAME?</v>
      </c>
      <c r="K5957" s="274">
        <f t="shared" si="96"/>
        <v>0</v>
      </c>
      <c r="N5957" s="274"/>
    </row>
    <row r="5958" spans="5:14" ht="13.5" customHeight="1">
      <c r="E5958" s="1" t="s">
        <v>1548</v>
      </c>
      <c r="F5958" s="1" t="s">
        <v>3054</v>
      </c>
      <c r="G5958" s="415" t="str">
        <f t="shared" si="94"/>
        <v>18-01</v>
      </c>
      <c r="H5958" s="273" t="e">
        <f ca="1">_xludf.IFNA(VLOOKUP(E5958,'Urban Plastix Holds'!$I$37:$U$705,12,0),0)</f>
        <v>#NAME?</v>
      </c>
      <c r="I5958" s="274"/>
      <c r="J5958" s="274" t="e">
        <f t="shared" ca="1" si="95"/>
        <v>#NAME?</v>
      </c>
      <c r="K5958" s="274">
        <f t="shared" si="96"/>
        <v>0</v>
      </c>
      <c r="N5958" s="274"/>
    </row>
    <row r="5959" spans="5:14" ht="13.5" customHeight="1">
      <c r="E5959" s="1" t="s">
        <v>1548</v>
      </c>
      <c r="F5959" s="1" t="s">
        <v>3054</v>
      </c>
      <c r="G5959" s="416" t="str">
        <f t="shared" si="94"/>
        <v>Color Code</v>
      </c>
      <c r="H5959" s="273" t="e">
        <f ca="1">_xludf.IFNA(VLOOKUP(E5959,'Urban Plastix Holds'!$I$37:$U$705,13,0),0)</f>
        <v>#NAME?</v>
      </c>
      <c r="I5959" s="274"/>
      <c r="J5959" s="274" t="e">
        <f t="shared" ca="1" si="95"/>
        <v>#NAME?</v>
      </c>
      <c r="K5959" s="274">
        <f t="shared" si="96"/>
        <v>0</v>
      </c>
      <c r="N5959" s="274"/>
    </row>
    <row r="5960" spans="5:14" ht="13.5" customHeight="1">
      <c r="E5960" s="1" t="s">
        <v>1550</v>
      </c>
      <c r="F5960" s="1" t="s">
        <v>3055</v>
      </c>
      <c r="G5960" s="406" t="str">
        <f t="shared" si="94"/>
        <v>11-12</v>
      </c>
      <c r="H5960" s="273" t="e">
        <f ca="1">_xludf.IFNA(VLOOKUP(E5960,'Urban Plastix Holds'!$I$37:$U$705,5,0),0)</f>
        <v>#NAME?</v>
      </c>
      <c r="I5960" s="274"/>
      <c r="J5960" s="274" t="e">
        <f t="shared" ca="1" si="95"/>
        <v>#NAME?</v>
      </c>
      <c r="K5960" s="274">
        <f t="shared" si="96"/>
        <v>0</v>
      </c>
      <c r="N5960" s="274"/>
    </row>
    <row r="5961" spans="5:14" ht="13.5" customHeight="1">
      <c r="E5961" s="1" t="s">
        <v>1550</v>
      </c>
      <c r="F5961" s="1" t="s">
        <v>3055</v>
      </c>
      <c r="G5961" s="408" t="str">
        <f t="shared" si="94"/>
        <v>14-01</v>
      </c>
      <c r="H5961" s="273" t="e">
        <f ca="1">_xludf.IFNA(VLOOKUP(E5961,'Urban Plastix Holds'!$I$37:$U$705,6,0),0)</f>
        <v>#NAME?</v>
      </c>
      <c r="I5961" s="274"/>
      <c r="J5961" s="274" t="e">
        <f t="shared" ca="1" si="95"/>
        <v>#NAME?</v>
      </c>
      <c r="K5961" s="274">
        <f t="shared" si="96"/>
        <v>0</v>
      </c>
      <c r="N5961" s="274"/>
    </row>
    <row r="5962" spans="5:14" ht="13.5" customHeight="1">
      <c r="E5962" s="1" t="s">
        <v>1550</v>
      </c>
      <c r="F5962" s="1" t="s">
        <v>3055</v>
      </c>
      <c r="G5962" s="409" t="str">
        <f t="shared" si="94"/>
        <v>15-12</v>
      </c>
      <c r="H5962" s="273" t="e">
        <f ca="1">_xludf.IFNA(VLOOKUP(E5962,'Urban Plastix Holds'!$I$37:$U$705,7,0),0)</f>
        <v>#NAME?</v>
      </c>
      <c r="I5962" s="274"/>
      <c r="J5962" s="274" t="e">
        <f t="shared" ca="1" si="95"/>
        <v>#NAME?</v>
      </c>
      <c r="K5962" s="274">
        <f t="shared" si="96"/>
        <v>0</v>
      </c>
      <c r="N5962" s="274"/>
    </row>
    <row r="5963" spans="5:14" ht="13.5" customHeight="1">
      <c r="E5963" s="1" t="s">
        <v>1550</v>
      </c>
      <c r="F5963" s="1" t="s">
        <v>3055</v>
      </c>
      <c r="G5963" s="410" t="str">
        <f t="shared" si="94"/>
        <v>16-16</v>
      </c>
      <c r="H5963" s="273" t="e">
        <f ca="1">_xludf.IFNA(VLOOKUP(E5963,'Urban Plastix Holds'!$I$37:$U$705,8,0),0)</f>
        <v>#NAME?</v>
      </c>
      <c r="I5963" s="274"/>
      <c r="J5963" s="274" t="e">
        <f t="shared" ca="1" si="95"/>
        <v>#NAME?</v>
      </c>
      <c r="K5963" s="274">
        <f t="shared" si="96"/>
        <v>0</v>
      </c>
      <c r="N5963" s="274"/>
    </row>
    <row r="5964" spans="5:14" ht="13.5" customHeight="1">
      <c r="E5964" s="1" t="s">
        <v>1550</v>
      </c>
      <c r="F5964" s="1" t="s">
        <v>3055</v>
      </c>
      <c r="G5964" s="411" t="str">
        <f t="shared" si="94"/>
        <v>13-01</v>
      </c>
      <c r="H5964" s="273" t="e">
        <f ca="1">_xludf.IFNA(VLOOKUP(E5964,'Urban Plastix Holds'!$I$37:$U$705,9,0),0)</f>
        <v>#NAME?</v>
      </c>
      <c r="I5964" s="274"/>
      <c r="J5964" s="274" t="e">
        <f t="shared" ca="1" si="95"/>
        <v>#NAME?</v>
      </c>
      <c r="K5964" s="274">
        <f t="shared" si="96"/>
        <v>0</v>
      </c>
      <c r="N5964" s="274"/>
    </row>
    <row r="5965" spans="5:14" ht="13.5" customHeight="1">
      <c r="E5965" s="1" t="s">
        <v>1550</v>
      </c>
      <c r="F5965" s="1" t="s">
        <v>3055</v>
      </c>
      <c r="G5965" s="413" t="str">
        <f t="shared" si="94"/>
        <v>07-13</v>
      </c>
      <c r="H5965" s="273" t="e">
        <f ca="1">_xludf.IFNA(VLOOKUP(E5965,'Urban Plastix Holds'!$I$37:$U$705,10,0),0)</f>
        <v>#NAME?</v>
      </c>
      <c r="I5965" s="274"/>
      <c r="J5965" s="274" t="e">
        <f t="shared" ca="1" si="95"/>
        <v>#NAME?</v>
      </c>
      <c r="K5965" s="274">
        <f t="shared" si="96"/>
        <v>0</v>
      </c>
      <c r="N5965" s="274"/>
    </row>
    <row r="5966" spans="5:14" ht="13.5" customHeight="1">
      <c r="E5966" s="1" t="s">
        <v>1550</v>
      </c>
      <c r="F5966" s="1" t="s">
        <v>3055</v>
      </c>
      <c r="G5966" s="414" t="str">
        <f t="shared" si="94"/>
        <v>11-26</v>
      </c>
      <c r="H5966" s="273" t="e">
        <f ca="1">_xludf.IFNA(VLOOKUP(E5966,'Urban Plastix Holds'!$I$37:$U$705,11,0),0)</f>
        <v>#NAME?</v>
      </c>
      <c r="I5966" s="274"/>
      <c r="J5966" s="274" t="e">
        <f t="shared" ca="1" si="95"/>
        <v>#NAME?</v>
      </c>
      <c r="K5966" s="274">
        <f t="shared" si="96"/>
        <v>0</v>
      </c>
      <c r="N5966" s="274"/>
    </row>
    <row r="5967" spans="5:14" ht="13.5" customHeight="1">
      <c r="E5967" s="1" t="s">
        <v>1550</v>
      </c>
      <c r="F5967" s="1" t="s">
        <v>3055</v>
      </c>
      <c r="G5967" s="415" t="str">
        <f t="shared" si="94"/>
        <v>18-01</v>
      </c>
      <c r="H5967" s="273" t="e">
        <f ca="1">_xludf.IFNA(VLOOKUP(E5967,'Urban Plastix Holds'!$I$37:$U$705,12,0),0)</f>
        <v>#NAME?</v>
      </c>
      <c r="I5967" s="274"/>
      <c r="J5967" s="274" t="e">
        <f t="shared" ca="1" si="95"/>
        <v>#NAME?</v>
      </c>
      <c r="K5967" s="274">
        <f t="shared" si="96"/>
        <v>0</v>
      </c>
      <c r="N5967" s="274"/>
    </row>
    <row r="5968" spans="5:14" ht="13.5" customHeight="1">
      <c r="E5968" s="1" t="s">
        <v>1550</v>
      </c>
      <c r="F5968" s="1" t="s">
        <v>3055</v>
      </c>
      <c r="G5968" s="416" t="str">
        <f t="shared" si="94"/>
        <v>Color Code</v>
      </c>
      <c r="H5968" s="273" t="e">
        <f ca="1">_xludf.IFNA(VLOOKUP(E5968,'Urban Plastix Holds'!$I$37:$U$705,13,0),0)</f>
        <v>#NAME?</v>
      </c>
      <c r="I5968" s="274"/>
      <c r="J5968" s="274" t="e">
        <f t="shared" ca="1" si="95"/>
        <v>#NAME?</v>
      </c>
      <c r="K5968" s="274">
        <f t="shared" si="96"/>
        <v>0</v>
      </c>
      <c r="N5968" s="274"/>
    </row>
    <row r="5969" spans="5:14" ht="13.5" customHeight="1">
      <c r="E5969" s="1" t="s">
        <v>1552</v>
      </c>
      <c r="F5969" s="1" t="s">
        <v>3056</v>
      </c>
      <c r="G5969" s="406" t="str">
        <f t="shared" si="94"/>
        <v>11-12</v>
      </c>
      <c r="H5969" s="273" t="e">
        <f ca="1">_xludf.IFNA(VLOOKUP(E5969,'Urban Plastix Holds'!$I$37:$U$705,5,0),0)</f>
        <v>#NAME?</v>
      </c>
      <c r="I5969" s="274"/>
      <c r="J5969" s="274" t="e">
        <f t="shared" ca="1" si="95"/>
        <v>#NAME?</v>
      </c>
      <c r="K5969" s="274">
        <f t="shared" si="96"/>
        <v>0</v>
      </c>
      <c r="N5969" s="274"/>
    </row>
    <row r="5970" spans="5:14" ht="13.5" customHeight="1">
      <c r="E5970" s="1" t="s">
        <v>1552</v>
      </c>
      <c r="F5970" s="1" t="s">
        <v>3056</v>
      </c>
      <c r="G5970" s="408" t="str">
        <f t="shared" si="94"/>
        <v>14-01</v>
      </c>
      <c r="H5970" s="273" t="e">
        <f ca="1">_xludf.IFNA(VLOOKUP(E5970,'Urban Plastix Holds'!$I$37:$U$705,6,0),0)</f>
        <v>#NAME?</v>
      </c>
      <c r="I5970" s="274"/>
      <c r="J5970" s="274" t="e">
        <f t="shared" ca="1" si="95"/>
        <v>#NAME?</v>
      </c>
      <c r="K5970" s="274">
        <f t="shared" si="96"/>
        <v>0</v>
      </c>
      <c r="N5970" s="274"/>
    </row>
    <row r="5971" spans="5:14" ht="13.5" customHeight="1">
      <c r="E5971" s="1" t="s">
        <v>1552</v>
      </c>
      <c r="F5971" s="1" t="s">
        <v>3056</v>
      </c>
      <c r="G5971" s="409" t="str">
        <f t="shared" si="94"/>
        <v>15-12</v>
      </c>
      <c r="H5971" s="273" t="e">
        <f ca="1">_xludf.IFNA(VLOOKUP(E5971,'Urban Plastix Holds'!$I$37:$U$705,7,0),0)</f>
        <v>#NAME?</v>
      </c>
      <c r="I5971" s="274"/>
      <c r="J5971" s="274" t="e">
        <f t="shared" ca="1" si="95"/>
        <v>#NAME?</v>
      </c>
      <c r="K5971" s="274">
        <f t="shared" si="96"/>
        <v>0</v>
      </c>
      <c r="N5971" s="274"/>
    </row>
    <row r="5972" spans="5:14" ht="13.5" customHeight="1">
      <c r="E5972" s="1" t="s">
        <v>1552</v>
      </c>
      <c r="F5972" s="1" t="s">
        <v>3056</v>
      </c>
      <c r="G5972" s="410" t="str">
        <f t="shared" si="94"/>
        <v>16-16</v>
      </c>
      <c r="H5972" s="273" t="e">
        <f ca="1">_xludf.IFNA(VLOOKUP(E5972,'Urban Plastix Holds'!$I$37:$U$705,8,0),0)</f>
        <v>#NAME?</v>
      </c>
      <c r="I5972" s="274"/>
      <c r="J5972" s="274" t="e">
        <f t="shared" ca="1" si="95"/>
        <v>#NAME?</v>
      </c>
      <c r="K5972" s="274">
        <f t="shared" si="96"/>
        <v>0</v>
      </c>
      <c r="N5972" s="274"/>
    </row>
    <row r="5973" spans="5:14" ht="13.5" customHeight="1">
      <c r="E5973" s="1" t="s">
        <v>1552</v>
      </c>
      <c r="F5973" s="1" t="s">
        <v>3056</v>
      </c>
      <c r="G5973" s="411" t="str">
        <f t="shared" si="94"/>
        <v>13-01</v>
      </c>
      <c r="H5973" s="273" t="e">
        <f ca="1">_xludf.IFNA(VLOOKUP(E5973,'Urban Plastix Holds'!$I$37:$U$705,9,0),0)</f>
        <v>#NAME?</v>
      </c>
      <c r="I5973" s="274"/>
      <c r="J5973" s="274" t="e">
        <f t="shared" ca="1" si="95"/>
        <v>#NAME?</v>
      </c>
      <c r="K5973" s="274">
        <f t="shared" si="96"/>
        <v>0</v>
      </c>
      <c r="N5973" s="274"/>
    </row>
    <row r="5974" spans="5:14" ht="13.5" customHeight="1">
      <c r="E5974" s="1" t="s">
        <v>1552</v>
      </c>
      <c r="F5974" s="1" t="s">
        <v>3056</v>
      </c>
      <c r="G5974" s="413" t="str">
        <f t="shared" si="94"/>
        <v>07-13</v>
      </c>
      <c r="H5974" s="273" t="e">
        <f ca="1">_xludf.IFNA(VLOOKUP(E5974,'Urban Plastix Holds'!$I$37:$U$705,10,0),0)</f>
        <v>#NAME?</v>
      </c>
      <c r="I5974" s="274"/>
      <c r="J5974" s="274" t="e">
        <f t="shared" ca="1" si="95"/>
        <v>#NAME?</v>
      </c>
      <c r="K5974" s="274">
        <f t="shared" si="96"/>
        <v>0</v>
      </c>
      <c r="N5974" s="274"/>
    </row>
    <row r="5975" spans="5:14" ht="13.5" customHeight="1">
      <c r="E5975" s="1" t="s">
        <v>1552</v>
      </c>
      <c r="F5975" s="1" t="s">
        <v>3056</v>
      </c>
      <c r="G5975" s="414" t="str">
        <f t="shared" si="94"/>
        <v>11-26</v>
      </c>
      <c r="H5975" s="273" t="e">
        <f ca="1">_xludf.IFNA(VLOOKUP(E5975,'Urban Plastix Holds'!$I$37:$U$705,11,0),0)</f>
        <v>#NAME?</v>
      </c>
      <c r="I5975" s="274"/>
      <c r="J5975" s="274" t="e">
        <f t="shared" ca="1" si="95"/>
        <v>#NAME?</v>
      </c>
      <c r="K5975" s="274">
        <f t="shared" si="96"/>
        <v>0</v>
      </c>
      <c r="N5975" s="274"/>
    </row>
    <row r="5976" spans="5:14" ht="13.5" customHeight="1">
      <c r="E5976" s="1" t="s">
        <v>1552</v>
      </c>
      <c r="F5976" s="1" t="s">
        <v>3056</v>
      </c>
      <c r="G5976" s="415" t="str">
        <f t="shared" si="94"/>
        <v>18-01</v>
      </c>
      <c r="H5976" s="273" t="e">
        <f ca="1">_xludf.IFNA(VLOOKUP(E5976,'Urban Plastix Holds'!$I$37:$U$705,12,0),0)</f>
        <v>#NAME?</v>
      </c>
      <c r="I5976" s="274"/>
      <c r="J5976" s="274" t="e">
        <f t="shared" ca="1" si="95"/>
        <v>#NAME?</v>
      </c>
      <c r="K5976" s="274">
        <f t="shared" si="96"/>
        <v>0</v>
      </c>
      <c r="N5976" s="274"/>
    </row>
    <row r="5977" spans="5:14" ht="13.5" customHeight="1">
      <c r="E5977" s="1" t="s">
        <v>1552</v>
      </c>
      <c r="F5977" s="1" t="s">
        <v>3056</v>
      </c>
      <c r="G5977" s="416" t="str">
        <f t="shared" si="94"/>
        <v>Color Code</v>
      </c>
      <c r="H5977" s="273" t="e">
        <f ca="1">_xludf.IFNA(VLOOKUP(E5977,'Urban Plastix Holds'!$I$37:$U$705,13,0),0)</f>
        <v>#NAME?</v>
      </c>
      <c r="I5977" s="274"/>
      <c r="J5977" s="274" t="e">
        <f t="shared" ca="1" si="95"/>
        <v>#NAME?</v>
      </c>
      <c r="K5977" s="274">
        <f t="shared" si="96"/>
        <v>0</v>
      </c>
      <c r="N5977" s="274"/>
    </row>
    <row r="5978" spans="5:14" ht="13.5" customHeight="1">
      <c r="E5978" s="1" t="s">
        <v>1618</v>
      </c>
      <c r="F5978" s="1" t="s">
        <v>3057</v>
      </c>
      <c r="G5978" s="406" t="str">
        <f t="shared" si="94"/>
        <v>11-12</v>
      </c>
      <c r="H5978" s="273" t="e">
        <f ca="1">_xludf.IFNA(VLOOKUP(E5978,'Urban Plastix Holds'!$I$37:$U$705,5,0),0)</f>
        <v>#NAME?</v>
      </c>
      <c r="I5978" s="274"/>
      <c r="J5978" s="274" t="e">
        <f t="shared" ca="1" si="95"/>
        <v>#NAME?</v>
      </c>
      <c r="K5978" s="274">
        <f t="shared" si="96"/>
        <v>0</v>
      </c>
      <c r="N5978" s="274"/>
    </row>
    <row r="5979" spans="5:14" ht="13.5" customHeight="1">
      <c r="E5979" s="1" t="s">
        <v>1618</v>
      </c>
      <c r="F5979" s="1" t="s">
        <v>3057</v>
      </c>
      <c r="G5979" s="408" t="str">
        <f t="shared" si="94"/>
        <v>14-01</v>
      </c>
      <c r="H5979" s="273" t="e">
        <f ca="1">_xludf.IFNA(VLOOKUP(E5979,'Urban Plastix Holds'!$I$37:$U$705,6,0),0)</f>
        <v>#NAME?</v>
      </c>
      <c r="I5979" s="274"/>
      <c r="J5979" s="274" t="e">
        <f t="shared" ca="1" si="95"/>
        <v>#NAME?</v>
      </c>
      <c r="K5979" s="274">
        <f t="shared" si="96"/>
        <v>0</v>
      </c>
      <c r="N5979" s="274"/>
    </row>
    <row r="5980" spans="5:14" ht="13.5" customHeight="1">
      <c r="E5980" s="1" t="s">
        <v>1618</v>
      </c>
      <c r="F5980" s="1" t="s">
        <v>3057</v>
      </c>
      <c r="G5980" s="409" t="str">
        <f t="shared" si="94"/>
        <v>15-12</v>
      </c>
      <c r="H5980" s="273" t="e">
        <f ca="1">_xludf.IFNA(VLOOKUP(E5980,'Urban Plastix Holds'!$I$37:$U$705,7,0),0)</f>
        <v>#NAME?</v>
      </c>
      <c r="I5980" s="274"/>
      <c r="J5980" s="274" t="e">
        <f t="shared" ca="1" si="95"/>
        <v>#NAME?</v>
      </c>
      <c r="K5980" s="274">
        <f t="shared" si="96"/>
        <v>0</v>
      </c>
      <c r="N5980" s="274"/>
    </row>
    <row r="5981" spans="5:14" ht="13.5" customHeight="1">
      <c r="E5981" s="1" t="s">
        <v>1618</v>
      </c>
      <c r="F5981" s="1" t="s">
        <v>3057</v>
      </c>
      <c r="G5981" s="410" t="str">
        <f t="shared" si="94"/>
        <v>16-16</v>
      </c>
      <c r="H5981" s="273" t="e">
        <f ca="1">_xludf.IFNA(VLOOKUP(E5981,'Urban Plastix Holds'!$I$37:$U$705,8,0),0)</f>
        <v>#NAME?</v>
      </c>
      <c r="I5981" s="274"/>
      <c r="J5981" s="274" t="e">
        <f t="shared" ca="1" si="95"/>
        <v>#NAME?</v>
      </c>
      <c r="K5981" s="274">
        <f t="shared" si="96"/>
        <v>0</v>
      </c>
      <c r="N5981" s="274"/>
    </row>
    <row r="5982" spans="5:14" ht="13.5" customHeight="1">
      <c r="E5982" s="1" t="s">
        <v>1618</v>
      </c>
      <c r="F5982" s="1" t="s">
        <v>3057</v>
      </c>
      <c r="G5982" s="411" t="str">
        <f t="shared" si="94"/>
        <v>13-01</v>
      </c>
      <c r="H5982" s="273" t="e">
        <f ca="1">_xludf.IFNA(VLOOKUP(E5982,'Urban Plastix Holds'!$I$37:$U$705,9,0),0)</f>
        <v>#NAME?</v>
      </c>
      <c r="I5982" s="274"/>
      <c r="J5982" s="274" t="e">
        <f t="shared" ca="1" si="95"/>
        <v>#NAME?</v>
      </c>
      <c r="K5982" s="274">
        <f t="shared" si="96"/>
        <v>0</v>
      </c>
      <c r="N5982" s="274"/>
    </row>
    <row r="5983" spans="5:14" ht="13.5" customHeight="1">
      <c r="E5983" s="1" t="s">
        <v>1618</v>
      </c>
      <c r="F5983" s="1" t="s">
        <v>3057</v>
      </c>
      <c r="G5983" s="413" t="str">
        <f t="shared" si="94"/>
        <v>07-13</v>
      </c>
      <c r="H5983" s="273" t="e">
        <f ca="1">_xludf.IFNA(VLOOKUP(E5983,'Urban Plastix Holds'!$I$37:$U$705,10,0),0)</f>
        <v>#NAME?</v>
      </c>
      <c r="I5983" s="274"/>
      <c r="J5983" s="274" t="e">
        <f t="shared" ca="1" si="95"/>
        <v>#NAME?</v>
      </c>
      <c r="K5983" s="274">
        <f t="shared" si="96"/>
        <v>0</v>
      </c>
      <c r="N5983" s="274"/>
    </row>
    <row r="5984" spans="5:14" ht="13.5" customHeight="1">
      <c r="E5984" s="1" t="s">
        <v>1618</v>
      </c>
      <c r="F5984" s="1" t="s">
        <v>3057</v>
      </c>
      <c r="G5984" s="414" t="str">
        <f t="shared" si="94"/>
        <v>11-26</v>
      </c>
      <c r="H5984" s="273" t="e">
        <f ca="1">_xludf.IFNA(VLOOKUP(E5984,'Urban Plastix Holds'!$I$37:$U$705,11,0),0)</f>
        <v>#NAME?</v>
      </c>
      <c r="I5984" s="274"/>
      <c r="J5984" s="274" t="e">
        <f t="shared" ca="1" si="95"/>
        <v>#NAME?</v>
      </c>
      <c r="K5984" s="274">
        <f t="shared" si="96"/>
        <v>0</v>
      </c>
      <c r="N5984" s="274"/>
    </row>
    <row r="5985" spans="5:14" ht="13.5" customHeight="1">
      <c r="E5985" s="1" t="s">
        <v>1618</v>
      </c>
      <c r="F5985" s="1" t="s">
        <v>3057</v>
      </c>
      <c r="G5985" s="415" t="str">
        <f t="shared" si="94"/>
        <v>18-01</v>
      </c>
      <c r="H5985" s="273" t="e">
        <f ca="1">_xludf.IFNA(VLOOKUP(E5985,'Urban Plastix Holds'!$I$37:$U$705,12,0),0)</f>
        <v>#NAME?</v>
      </c>
      <c r="I5985" s="274"/>
      <c r="J5985" s="274" t="e">
        <f t="shared" ca="1" si="95"/>
        <v>#NAME?</v>
      </c>
      <c r="K5985" s="274">
        <f t="shared" si="96"/>
        <v>0</v>
      </c>
      <c r="N5985" s="274"/>
    </row>
    <row r="5986" spans="5:14" ht="13.5" customHeight="1">
      <c r="E5986" s="1" t="s">
        <v>1618</v>
      </c>
      <c r="F5986" s="1" t="s">
        <v>3057</v>
      </c>
      <c r="G5986" s="416" t="str">
        <f t="shared" si="94"/>
        <v>Color Code</v>
      </c>
      <c r="H5986" s="273" t="e">
        <f ca="1">_xludf.IFNA(VLOOKUP(E5986,'Urban Plastix Holds'!$I$37:$U$705,13,0),0)</f>
        <v>#NAME?</v>
      </c>
      <c r="I5986" s="274"/>
      <c r="J5986" s="274" t="e">
        <f t="shared" ca="1" si="95"/>
        <v>#NAME?</v>
      </c>
      <c r="K5986" s="274">
        <f t="shared" si="96"/>
        <v>0</v>
      </c>
      <c r="N5986" s="274"/>
    </row>
    <row r="5987" spans="5:14" ht="13.5" customHeight="1">
      <c r="E5987" s="1" t="s">
        <v>1620</v>
      </c>
      <c r="F5987" s="1" t="s">
        <v>3058</v>
      </c>
      <c r="G5987" s="406" t="str">
        <f t="shared" si="94"/>
        <v>11-12</v>
      </c>
      <c r="H5987" s="273" t="e">
        <f ca="1">_xludf.IFNA(VLOOKUP(E5987,'Urban Plastix Holds'!$I$37:$U$705,5,0),0)</f>
        <v>#NAME?</v>
      </c>
      <c r="I5987" s="274"/>
      <c r="J5987" s="274" t="e">
        <f t="shared" ca="1" si="95"/>
        <v>#NAME?</v>
      </c>
      <c r="K5987" s="274">
        <f t="shared" si="96"/>
        <v>0</v>
      </c>
      <c r="N5987" s="274"/>
    </row>
    <row r="5988" spans="5:14" ht="13.5" customHeight="1">
      <c r="E5988" s="1" t="s">
        <v>1620</v>
      </c>
      <c r="F5988" s="1" t="s">
        <v>3058</v>
      </c>
      <c r="G5988" s="408" t="str">
        <f t="shared" si="94"/>
        <v>14-01</v>
      </c>
      <c r="H5988" s="273" t="e">
        <f ca="1">_xludf.IFNA(VLOOKUP(E5988,'Urban Plastix Holds'!$I$37:$U$705,6,0),0)</f>
        <v>#NAME?</v>
      </c>
      <c r="I5988" s="274"/>
      <c r="J5988" s="274" t="e">
        <f t="shared" ca="1" si="95"/>
        <v>#NAME?</v>
      </c>
      <c r="K5988" s="274">
        <f t="shared" si="96"/>
        <v>0</v>
      </c>
      <c r="N5988" s="274"/>
    </row>
    <row r="5989" spans="5:14" ht="13.5" customHeight="1">
      <c r="E5989" s="1" t="s">
        <v>1620</v>
      </c>
      <c r="F5989" s="1" t="s">
        <v>3058</v>
      </c>
      <c r="G5989" s="409" t="str">
        <f t="shared" si="94"/>
        <v>15-12</v>
      </c>
      <c r="H5989" s="273" t="e">
        <f ca="1">_xludf.IFNA(VLOOKUP(E5989,'Urban Plastix Holds'!$I$37:$U$705,7,0),0)</f>
        <v>#NAME?</v>
      </c>
      <c r="I5989" s="274"/>
      <c r="J5989" s="274" t="e">
        <f t="shared" ca="1" si="95"/>
        <v>#NAME?</v>
      </c>
      <c r="K5989" s="274">
        <f t="shared" si="96"/>
        <v>0</v>
      </c>
      <c r="N5989" s="274"/>
    </row>
    <row r="5990" spans="5:14" ht="13.5" customHeight="1">
      <c r="E5990" s="1" t="s">
        <v>1620</v>
      </c>
      <c r="F5990" s="1" t="s">
        <v>3058</v>
      </c>
      <c r="G5990" s="410" t="str">
        <f t="shared" si="94"/>
        <v>16-16</v>
      </c>
      <c r="H5990" s="273" t="e">
        <f ca="1">_xludf.IFNA(VLOOKUP(E5990,'Urban Plastix Holds'!$I$37:$U$705,8,0),0)</f>
        <v>#NAME?</v>
      </c>
      <c r="I5990" s="274"/>
      <c r="J5990" s="274" t="e">
        <f t="shared" ca="1" si="95"/>
        <v>#NAME?</v>
      </c>
      <c r="K5990" s="274">
        <f t="shared" si="96"/>
        <v>0</v>
      </c>
      <c r="N5990" s="274"/>
    </row>
    <row r="5991" spans="5:14" ht="13.5" customHeight="1">
      <c r="E5991" s="1" t="s">
        <v>1620</v>
      </c>
      <c r="F5991" s="1" t="s">
        <v>3058</v>
      </c>
      <c r="G5991" s="411" t="str">
        <f t="shared" si="94"/>
        <v>13-01</v>
      </c>
      <c r="H5991" s="273" t="e">
        <f ca="1">_xludf.IFNA(VLOOKUP(E5991,'Urban Plastix Holds'!$I$37:$U$705,9,0),0)</f>
        <v>#NAME?</v>
      </c>
      <c r="I5991" s="274"/>
      <c r="J5991" s="274" t="e">
        <f t="shared" ca="1" si="95"/>
        <v>#NAME?</v>
      </c>
      <c r="K5991" s="274">
        <f t="shared" si="96"/>
        <v>0</v>
      </c>
      <c r="N5991" s="274"/>
    </row>
    <row r="5992" spans="5:14" ht="13.5" customHeight="1">
      <c r="E5992" s="1" t="s">
        <v>1620</v>
      </c>
      <c r="F5992" s="1" t="s">
        <v>3058</v>
      </c>
      <c r="G5992" s="413" t="str">
        <f t="shared" si="94"/>
        <v>07-13</v>
      </c>
      <c r="H5992" s="273" t="e">
        <f ca="1">_xludf.IFNA(VLOOKUP(E5992,'Urban Plastix Holds'!$I$37:$U$705,10,0),0)</f>
        <v>#NAME?</v>
      </c>
      <c r="I5992" s="274"/>
      <c r="J5992" s="274" t="e">
        <f t="shared" ca="1" si="95"/>
        <v>#NAME?</v>
      </c>
      <c r="K5992" s="274">
        <f t="shared" si="96"/>
        <v>0</v>
      </c>
      <c r="N5992" s="274"/>
    </row>
    <row r="5993" spans="5:14" ht="13.5" customHeight="1">
      <c r="E5993" s="1" t="s">
        <v>1620</v>
      </c>
      <c r="F5993" s="1" t="s">
        <v>3058</v>
      </c>
      <c r="G5993" s="414" t="str">
        <f t="shared" si="94"/>
        <v>11-26</v>
      </c>
      <c r="H5993" s="273" t="e">
        <f ca="1">_xludf.IFNA(VLOOKUP(E5993,'Urban Plastix Holds'!$I$37:$U$705,11,0),0)</f>
        <v>#NAME?</v>
      </c>
      <c r="I5993" s="274"/>
      <c r="J5993" s="274" t="e">
        <f t="shared" ca="1" si="95"/>
        <v>#NAME?</v>
      </c>
      <c r="K5993" s="274">
        <f t="shared" si="96"/>
        <v>0</v>
      </c>
      <c r="N5993" s="274"/>
    </row>
    <row r="5994" spans="5:14" ht="13.5" customHeight="1">
      <c r="E5994" s="1" t="s">
        <v>1620</v>
      </c>
      <c r="F5994" s="1" t="s">
        <v>3058</v>
      </c>
      <c r="G5994" s="415" t="str">
        <f t="shared" si="94"/>
        <v>18-01</v>
      </c>
      <c r="H5994" s="273" t="e">
        <f ca="1">_xludf.IFNA(VLOOKUP(E5994,'Urban Plastix Holds'!$I$37:$U$705,12,0),0)</f>
        <v>#NAME?</v>
      </c>
      <c r="I5994" s="274"/>
      <c r="J5994" s="274" t="e">
        <f t="shared" ca="1" si="95"/>
        <v>#NAME?</v>
      </c>
      <c r="K5994" s="274">
        <f t="shared" si="96"/>
        <v>0</v>
      </c>
      <c r="N5994" s="274"/>
    </row>
    <row r="5995" spans="5:14" ht="13.5" customHeight="1">
      <c r="E5995" s="1" t="s">
        <v>1620</v>
      </c>
      <c r="F5995" s="1" t="s">
        <v>3058</v>
      </c>
      <c r="G5995" s="416" t="str">
        <f t="shared" si="94"/>
        <v>Color Code</v>
      </c>
      <c r="H5995" s="273" t="e">
        <f ca="1">_xludf.IFNA(VLOOKUP(E5995,'Urban Plastix Holds'!$I$37:$U$705,13,0),0)</f>
        <v>#NAME?</v>
      </c>
      <c r="I5995" s="274"/>
      <c r="J5995" s="274" t="e">
        <f t="shared" ca="1" si="95"/>
        <v>#NAME?</v>
      </c>
      <c r="K5995" s="274">
        <f t="shared" si="96"/>
        <v>0</v>
      </c>
      <c r="N5995" s="274"/>
    </row>
    <row r="5996" spans="5:14" ht="13.5" customHeight="1">
      <c r="E5996" s="1" t="s">
        <v>1686</v>
      </c>
      <c r="F5996" s="1" t="s">
        <v>3059</v>
      </c>
      <c r="G5996" s="406" t="str">
        <f t="shared" si="94"/>
        <v>11-12</v>
      </c>
      <c r="H5996" s="273" t="e">
        <f ca="1">_xludf.IFNA(VLOOKUP(E5996,'Urban Plastix Holds'!$I$37:$U$705,5,0),0)</f>
        <v>#NAME?</v>
      </c>
      <c r="I5996" s="274"/>
      <c r="J5996" s="274" t="e">
        <f t="shared" ca="1" si="95"/>
        <v>#NAME?</v>
      </c>
      <c r="K5996" s="274">
        <f t="shared" si="96"/>
        <v>0</v>
      </c>
      <c r="N5996" s="274"/>
    </row>
    <row r="5997" spans="5:14" ht="13.5" customHeight="1">
      <c r="E5997" s="1" t="s">
        <v>1686</v>
      </c>
      <c r="F5997" s="1" t="s">
        <v>3059</v>
      </c>
      <c r="G5997" s="408" t="str">
        <f t="shared" si="94"/>
        <v>14-01</v>
      </c>
      <c r="H5997" s="273" t="e">
        <f ca="1">_xludf.IFNA(VLOOKUP(E5997,'Urban Plastix Holds'!$I$37:$U$705,6,0),0)</f>
        <v>#NAME?</v>
      </c>
      <c r="I5997" s="274"/>
      <c r="J5997" s="274" t="e">
        <f t="shared" ca="1" si="95"/>
        <v>#NAME?</v>
      </c>
      <c r="K5997" s="274">
        <f t="shared" si="96"/>
        <v>0</v>
      </c>
      <c r="N5997" s="274"/>
    </row>
    <row r="5998" spans="5:14" ht="13.5" customHeight="1">
      <c r="E5998" s="1" t="s">
        <v>1686</v>
      </c>
      <c r="F5998" s="1" t="s">
        <v>3059</v>
      </c>
      <c r="G5998" s="409" t="str">
        <f t="shared" si="94"/>
        <v>15-12</v>
      </c>
      <c r="H5998" s="273" t="e">
        <f ca="1">_xludf.IFNA(VLOOKUP(E5998,'Urban Plastix Holds'!$I$37:$U$705,7,0),0)</f>
        <v>#NAME?</v>
      </c>
      <c r="I5998" s="274"/>
      <c r="J5998" s="274" t="e">
        <f t="shared" ca="1" si="95"/>
        <v>#NAME?</v>
      </c>
      <c r="K5998" s="274">
        <f t="shared" si="96"/>
        <v>0</v>
      </c>
      <c r="N5998" s="274"/>
    </row>
    <row r="5999" spans="5:14" ht="13.5" customHeight="1">
      <c r="E5999" s="1" t="s">
        <v>1686</v>
      </c>
      <c r="F5999" s="1" t="s">
        <v>3059</v>
      </c>
      <c r="G5999" s="410" t="str">
        <f t="shared" si="94"/>
        <v>16-16</v>
      </c>
      <c r="H5999" s="273" t="e">
        <f ca="1">_xludf.IFNA(VLOOKUP(E5999,'Urban Plastix Holds'!$I$37:$U$705,8,0),0)</f>
        <v>#NAME?</v>
      </c>
      <c r="I5999" s="274"/>
      <c r="J5999" s="274" t="e">
        <f t="shared" ca="1" si="95"/>
        <v>#NAME?</v>
      </c>
      <c r="K5999" s="274">
        <f t="shared" si="96"/>
        <v>0</v>
      </c>
      <c r="N5999" s="274"/>
    </row>
    <row r="6000" spans="5:14" ht="13.5" customHeight="1">
      <c r="E6000" s="1" t="s">
        <v>1686</v>
      </c>
      <c r="F6000" s="1" t="s">
        <v>3059</v>
      </c>
      <c r="G6000" s="411" t="str">
        <f t="shared" si="94"/>
        <v>13-01</v>
      </c>
      <c r="H6000" s="273" t="e">
        <f ca="1">_xludf.IFNA(VLOOKUP(E6000,'Urban Plastix Holds'!$I$37:$U$705,9,0),0)</f>
        <v>#NAME?</v>
      </c>
      <c r="I6000" s="274"/>
      <c r="J6000" s="274" t="e">
        <f t="shared" ca="1" si="95"/>
        <v>#NAME?</v>
      </c>
      <c r="K6000" s="274">
        <f t="shared" si="96"/>
        <v>0</v>
      </c>
      <c r="N6000" s="274"/>
    </row>
    <row r="6001" spans="5:14" ht="13.5" customHeight="1">
      <c r="E6001" s="1" t="s">
        <v>1686</v>
      </c>
      <c r="F6001" s="1" t="s">
        <v>3059</v>
      </c>
      <c r="G6001" s="413" t="str">
        <f t="shared" si="94"/>
        <v>07-13</v>
      </c>
      <c r="H6001" s="273" t="e">
        <f ca="1">_xludf.IFNA(VLOOKUP(E6001,'Urban Plastix Holds'!$I$37:$U$705,10,0),0)</f>
        <v>#NAME?</v>
      </c>
      <c r="I6001" s="274"/>
      <c r="J6001" s="274" t="e">
        <f t="shared" ca="1" si="95"/>
        <v>#NAME?</v>
      </c>
      <c r="K6001" s="274">
        <f t="shared" si="96"/>
        <v>0</v>
      </c>
      <c r="N6001" s="274"/>
    </row>
    <row r="6002" spans="5:14" ht="13.5" customHeight="1">
      <c r="E6002" s="1" t="s">
        <v>1686</v>
      </c>
      <c r="F6002" s="1" t="s">
        <v>3059</v>
      </c>
      <c r="G6002" s="414" t="str">
        <f t="shared" si="94"/>
        <v>11-26</v>
      </c>
      <c r="H6002" s="273" t="e">
        <f ca="1">_xludf.IFNA(VLOOKUP(E6002,'Urban Plastix Holds'!$I$37:$U$705,11,0),0)</f>
        <v>#NAME?</v>
      </c>
      <c r="I6002" s="274"/>
      <c r="J6002" s="274" t="e">
        <f t="shared" ca="1" si="95"/>
        <v>#NAME?</v>
      </c>
      <c r="K6002" s="274">
        <f t="shared" si="96"/>
        <v>0</v>
      </c>
      <c r="N6002" s="274"/>
    </row>
    <row r="6003" spans="5:14" ht="13.5" customHeight="1">
      <c r="E6003" s="1" t="s">
        <v>1686</v>
      </c>
      <c r="F6003" s="1" t="s">
        <v>3059</v>
      </c>
      <c r="G6003" s="415" t="str">
        <f t="shared" si="94"/>
        <v>18-01</v>
      </c>
      <c r="H6003" s="273" t="e">
        <f ca="1">_xludf.IFNA(VLOOKUP(E6003,'Urban Plastix Holds'!$I$37:$U$705,12,0),0)</f>
        <v>#NAME?</v>
      </c>
      <c r="I6003" s="274"/>
      <c r="J6003" s="274" t="e">
        <f t="shared" ca="1" si="95"/>
        <v>#NAME?</v>
      </c>
      <c r="K6003" s="274">
        <f t="shared" si="96"/>
        <v>0</v>
      </c>
      <c r="N6003" s="274"/>
    </row>
    <row r="6004" spans="5:14" ht="13.5" customHeight="1">
      <c r="E6004" s="1" t="s">
        <v>1686</v>
      </c>
      <c r="F6004" s="1" t="s">
        <v>3059</v>
      </c>
      <c r="G6004" s="416" t="str">
        <f t="shared" si="94"/>
        <v>Color Code</v>
      </c>
      <c r="H6004" s="273" t="e">
        <f ca="1">_xludf.IFNA(VLOOKUP(E6004,'Urban Plastix Holds'!$I$37:$U$705,13,0),0)</f>
        <v>#NAME?</v>
      </c>
      <c r="I6004" s="274"/>
      <c r="J6004" s="274" t="e">
        <f t="shared" ca="1" si="95"/>
        <v>#NAME?</v>
      </c>
      <c r="K6004" s="274">
        <f t="shared" si="96"/>
        <v>0</v>
      </c>
      <c r="N6004" s="274"/>
    </row>
    <row r="6005" spans="5:14" ht="13.5" customHeight="1">
      <c r="E6005" s="1" t="s">
        <v>1653</v>
      </c>
      <c r="F6005" s="1" t="s">
        <v>3060</v>
      </c>
      <c r="G6005" s="406" t="str">
        <f t="shared" si="94"/>
        <v>11-12</v>
      </c>
      <c r="H6005" s="273" t="e">
        <f ca="1">_xludf.IFNA(VLOOKUP(E6005,'Urban Plastix Holds'!$I$37:$U$705,5,0),0)</f>
        <v>#NAME?</v>
      </c>
      <c r="I6005" s="274"/>
      <c r="J6005" s="274" t="e">
        <f t="shared" ca="1" si="95"/>
        <v>#NAME?</v>
      </c>
      <c r="K6005" s="274">
        <f t="shared" si="96"/>
        <v>0</v>
      </c>
      <c r="N6005" s="274"/>
    </row>
    <row r="6006" spans="5:14" ht="13.5" customHeight="1">
      <c r="E6006" s="1" t="s">
        <v>1653</v>
      </c>
      <c r="F6006" s="1" t="s">
        <v>3060</v>
      </c>
      <c r="G6006" s="408" t="str">
        <f t="shared" si="94"/>
        <v>14-01</v>
      </c>
      <c r="H6006" s="273" t="e">
        <f ca="1">_xludf.IFNA(VLOOKUP(E6006,'Urban Plastix Holds'!$I$37:$U$705,6,0),0)</f>
        <v>#NAME?</v>
      </c>
      <c r="I6006" s="274"/>
      <c r="J6006" s="274" t="e">
        <f t="shared" ca="1" si="95"/>
        <v>#NAME?</v>
      </c>
      <c r="K6006" s="274">
        <f t="shared" si="96"/>
        <v>0</v>
      </c>
      <c r="N6006" s="274"/>
    </row>
    <row r="6007" spans="5:14" ht="13.5" customHeight="1">
      <c r="E6007" s="1" t="s">
        <v>1653</v>
      </c>
      <c r="F6007" s="1" t="s">
        <v>3060</v>
      </c>
      <c r="G6007" s="409" t="str">
        <f t="shared" si="94"/>
        <v>15-12</v>
      </c>
      <c r="H6007" s="273" t="e">
        <f ca="1">_xludf.IFNA(VLOOKUP(E6007,'Urban Plastix Holds'!$I$37:$U$705,7,0),0)</f>
        <v>#NAME?</v>
      </c>
      <c r="I6007" s="274"/>
      <c r="J6007" s="274" t="e">
        <f t="shared" ca="1" si="95"/>
        <v>#NAME?</v>
      </c>
      <c r="K6007" s="274">
        <f t="shared" si="96"/>
        <v>0</v>
      </c>
      <c r="N6007" s="274"/>
    </row>
    <row r="6008" spans="5:14" ht="13.5" customHeight="1">
      <c r="E6008" s="1" t="s">
        <v>1653</v>
      </c>
      <c r="F6008" s="1" t="s">
        <v>3060</v>
      </c>
      <c r="G6008" s="410" t="str">
        <f t="shared" si="94"/>
        <v>16-16</v>
      </c>
      <c r="H6008" s="273" t="e">
        <f ca="1">_xludf.IFNA(VLOOKUP(E6008,'Urban Plastix Holds'!$I$37:$U$705,8,0),0)</f>
        <v>#NAME?</v>
      </c>
      <c r="I6008" s="274"/>
      <c r="J6008" s="274" t="e">
        <f t="shared" ca="1" si="95"/>
        <v>#NAME?</v>
      </c>
      <c r="K6008" s="274">
        <f t="shared" si="96"/>
        <v>0</v>
      </c>
      <c r="N6008" s="274"/>
    </row>
    <row r="6009" spans="5:14" ht="13.5" customHeight="1">
      <c r="E6009" s="1" t="s">
        <v>1653</v>
      </c>
      <c r="F6009" s="1" t="s">
        <v>3060</v>
      </c>
      <c r="G6009" s="411" t="str">
        <f t="shared" si="94"/>
        <v>13-01</v>
      </c>
      <c r="H6009" s="273" t="e">
        <f ca="1">_xludf.IFNA(VLOOKUP(E6009,'Urban Plastix Holds'!$I$37:$U$705,9,0),0)</f>
        <v>#NAME?</v>
      </c>
      <c r="I6009" s="274"/>
      <c r="J6009" s="274" t="e">
        <f t="shared" ca="1" si="95"/>
        <v>#NAME?</v>
      </c>
      <c r="K6009" s="274">
        <f t="shared" si="96"/>
        <v>0</v>
      </c>
      <c r="N6009" s="274"/>
    </row>
    <row r="6010" spans="5:14" ht="13.5" customHeight="1">
      <c r="E6010" s="1" t="s">
        <v>1653</v>
      </c>
      <c r="F6010" s="1" t="s">
        <v>3060</v>
      </c>
      <c r="G6010" s="413" t="str">
        <f t="shared" si="94"/>
        <v>07-13</v>
      </c>
      <c r="H6010" s="273" t="e">
        <f ca="1">_xludf.IFNA(VLOOKUP(E6010,'Urban Plastix Holds'!$I$37:$U$705,10,0),0)</f>
        <v>#NAME?</v>
      </c>
      <c r="I6010" s="274"/>
      <c r="J6010" s="274" t="e">
        <f t="shared" ca="1" si="95"/>
        <v>#NAME?</v>
      </c>
      <c r="K6010" s="274">
        <f t="shared" si="96"/>
        <v>0</v>
      </c>
      <c r="N6010" s="274"/>
    </row>
    <row r="6011" spans="5:14" ht="13.5" customHeight="1">
      <c r="E6011" s="1" t="s">
        <v>1653</v>
      </c>
      <c r="F6011" s="1" t="s">
        <v>3060</v>
      </c>
      <c r="G6011" s="414" t="str">
        <f t="shared" si="94"/>
        <v>11-26</v>
      </c>
      <c r="H6011" s="273" t="e">
        <f ca="1">_xludf.IFNA(VLOOKUP(E6011,'Urban Plastix Holds'!$I$37:$U$705,11,0),0)</f>
        <v>#NAME?</v>
      </c>
      <c r="I6011" s="274"/>
      <c r="J6011" s="274" t="e">
        <f t="shared" ca="1" si="95"/>
        <v>#NAME?</v>
      </c>
      <c r="K6011" s="274">
        <f t="shared" si="96"/>
        <v>0</v>
      </c>
      <c r="N6011" s="274"/>
    </row>
    <row r="6012" spans="5:14" ht="13.5" customHeight="1">
      <c r="E6012" s="1" t="s">
        <v>1653</v>
      </c>
      <c r="F6012" s="1" t="s">
        <v>3060</v>
      </c>
      <c r="G6012" s="415" t="str">
        <f t="shared" si="94"/>
        <v>18-01</v>
      </c>
      <c r="H6012" s="273" t="e">
        <f ca="1">_xludf.IFNA(VLOOKUP(E6012,'Urban Plastix Holds'!$I$37:$U$705,12,0),0)</f>
        <v>#NAME?</v>
      </c>
      <c r="I6012" s="274"/>
      <c r="J6012" s="274" t="e">
        <f t="shared" ca="1" si="95"/>
        <v>#NAME?</v>
      </c>
      <c r="K6012" s="274">
        <f t="shared" si="96"/>
        <v>0</v>
      </c>
      <c r="N6012" s="274"/>
    </row>
    <row r="6013" spans="5:14" ht="13.5" customHeight="1">
      <c r="E6013" s="1" t="s">
        <v>1653</v>
      </c>
      <c r="F6013" s="1" t="s">
        <v>3060</v>
      </c>
      <c r="G6013" s="416" t="str">
        <f t="shared" si="94"/>
        <v>Color Code</v>
      </c>
      <c r="H6013" s="273" t="e">
        <f ca="1">_xludf.IFNA(VLOOKUP(E6013,'Urban Plastix Holds'!$I$37:$U$705,13,0),0)</f>
        <v>#NAME?</v>
      </c>
      <c r="I6013" s="274"/>
      <c r="J6013" s="274" t="e">
        <f t="shared" ca="1" si="95"/>
        <v>#NAME?</v>
      </c>
      <c r="K6013" s="274">
        <f t="shared" si="96"/>
        <v>0</v>
      </c>
      <c r="N6013" s="274"/>
    </row>
    <row r="6014" spans="5:14" ht="13.5" customHeight="1">
      <c r="E6014" s="1" t="s">
        <v>1622</v>
      </c>
      <c r="F6014" s="1" t="s">
        <v>3061</v>
      </c>
      <c r="G6014" s="406" t="str">
        <f t="shared" si="94"/>
        <v>11-12</v>
      </c>
      <c r="H6014" s="273" t="e">
        <f ca="1">_xludf.IFNA(VLOOKUP(E6014,'Urban Plastix Holds'!$I$37:$U$705,5,0),0)</f>
        <v>#NAME?</v>
      </c>
      <c r="I6014" s="274"/>
      <c r="J6014" s="274" t="e">
        <f t="shared" ca="1" si="95"/>
        <v>#NAME?</v>
      </c>
      <c r="K6014" s="274">
        <f t="shared" si="96"/>
        <v>0</v>
      </c>
      <c r="N6014" s="274"/>
    </row>
    <row r="6015" spans="5:14" ht="13.5" customHeight="1">
      <c r="E6015" s="1" t="s">
        <v>1622</v>
      </c>
      <c r="F6015" s="1" t="s">
        <v>3061</v>
      </c>
      <c r="G6015" s="408" t="str">
        <f t="shared" si="94"/>
        <v>14-01</v>
      </c>
      <c r="H6015" s="273" t="e">
        <f ca="1">_xludf.IFNA(VLOOKUP(E6015,'Urban Plastix Holds'!$I$37:$U$705,6,0),0)</f>
        <v>#NAME?</v>
      </c>
      <c r="I6015" s="274"/>
      <c r="J6015" s="274" t="e">
        <f t="shared" ca="1" si="95"/>
        <v>#NAME?</v>
      </c>
      <c r="K6015" s="274">
        <f t="shared" si="96"/>
        <v>0</v>
      </c>
      <c r="N6015" s="274"/>
    </row>
    <row r="6016" spans="5:14" ht="13.5" customHeight="1">
      <c r="E6016" s="1" t="s">
        <v>1622</v>
      </c>
      <c r="F6016" s="1" t="s">
        <v>3061</v>
      </c>
      <c r="G6016" s="409" t="str">
        <f t="shared" si="94"/>
        <v>15-12</v>
      </c>
      <c r="H6016" s="273" t="e">
        <f ca="1">_xludf.IFNA(VLOOKUP(E6016,'Urban Plastix Holds'!$I$37:$U$705,7,0),0)</f>
        <v>#NAME?</v>
      </c>
      <c r="I6016" s="274"/>
      <c r="J6016" s="274" t="e">
        <f t="shared" ca="1" si="95"/>
        <v>#NAME?</v>
      </c>
      <c r="K6016" s="274">
        <f t="shared" si="96"/>
        <v>0</v>
      </c>
      <c r="N6016" s="274"/>
    </row>
    <row r="6017" spans="5:14" ht="13.5" customHeight="1">
      <c r="E6017" s="1" t="s">
        <v>1622</v>
      </c>
      <c r="F6017" s="1" t="s">
        <v>3061</v>
      </c>
      <c r="G6017" s="410" t="str">
        <f t="shared" si="94"/>
        <v>16-16</v>
      </c>
      <c r="H6017" s="273" t="e">
        <f ca="1">_xludf.IFNA(VLOOKUP(E6017,'Urban Plastix Holds'!$I$37:$U$705,8,0),0)</f>
        <v>#NAME?</v>
      </c>
      <c r="I6017" s="274"/>
      <c r="J6017" s="274" t="e">
        <f t="shared" ca="1" si="95"/>
        <v>#NAME?</v>
      </c>
      <c r="K6017" s="274">
        <f t="shared" si="96"/>
        <v>0</v>
      </c>
      <c r="N6017" s="274"/>
    </row>
    <row r="6018" spans="5:14" ht="13.5" customHeight="1">
      <c r="E6018" s="1" t="s">
        <v>1622</v>
      </c>
      <c r="F6018" s="1" t="s">
        <v>3061</v>
      </c>
      <c r="G6018" s="411" t="str">
        <f t="shared" si="94"/>
        <v>13-01</v>
      </c>
      <c r="H6018" s="273" t="e">
        <f ca="1">_xludf.IFNA(VLOOKUP(E6018,'Urban Plastix Holds'!$I$37:$U$705,9,0),0)</f>
        <v>#NAME?</v>
      </c>
      <c r="I6018" s="274"/>
      <c r="J6018" s="274" t="e">
        <f t="shared" ca="1" si="95"/>
        <v>#NAME?</v>
      </c>
      <c r="K6018" s="274">
        <f t="shared" si="96"/>
        <v>0</v>
      </c>
      <c r="N6018" s="274"/>
    </row>
    <row r="6019" spans="5:14" ht="13.5" customHeight="1">
      <c r="E6019" s="1" t="s">
        <v>1622</v>
      </c>
      <c r="F6019" s="1" t="s">
        <v>3061</v>
      </c>
      <c r="G6019" s="413" t="str">
        <f t="shared" si="94"/>
        <v>07-13</v>
      </c>
      <c r="H6019" s="273" t="e">
        <f ca="1">_xludf.IFNA(VLOOKUP(E6019,'Urban Plastix Holds'!$I$37:$U$705,10,0),0)</f>
        <v>#NAME?</v>
      </c>
      <c r="I6019" s="274"/>
      <c r="J6019" s="274" t="e">
        <f t="shared" ca="1" si="95"/>
        <v>#NAME?</v>
      </c>
      <c r="K6019" s="274">
        <f t="shared" si="96"/>
        <v>0</v>
      </c>
      <c r="N6019" s="274"/>
    </row>
    <row r="6020" spans="5:14" ht="13.5" customHeight="1">
      <c r="E6020" s="1" t="s">
        <v>1622</v>
      </c>
      <c r="F6020" s="1" t="s">
        <v>3061</v>
      </c>
      <c r="G6020" s="414" t="str">
        <f t="shared" si="94"/>
        <v>11-26</v>
      </c>
      <c r="H6020" s="273" t="e">
        <f ca="1">_xludf.IFNA(VLOOKUP(E6020,'Urban Plastix Holds'!$I$37:$U$705,11,0),0)</f>
        <v>#NAME?</v>
      </c>
      <c r="I6020" s="274"/>
      <c r="J6020" s="274" t="e">
        <f t="shared" ca="1" si="95"/>
        <v>#NAME?</v>
      </c>
      <c r="K6020" s="274">
        <f t="shared" si="96"/>
        <v>0</v>
      </c>
      <c r="N6020" s="274"/>
    </row>
    <row r="6021" spans="5:14" ht="13.5" customHeight="1">
      <c r="E6021" s="1" t="s">
        <v>1622</v>
      </c>
      <c r="F6021" s="1" t="s">
        <v>3061</v>
      </c>
      <c r="G6021" s="415" t="str">
        <f t="shared" si="94"/>
        <v>18-01</v>
      </c>
      <c r="H6021" s="273" t="e">
        <f ca="1">_xludf.IFNA(VLOOKUP(E6021,'Urban Plastix Holds'!$I$37:$U$705,12,0),0)</f>
        <v>#NAME?</v>
      </c>
      <c r="I6021" s="274"/>
      <c r="J6021" s="274" t="e">
        <f t="shared" ca="1" si="95"/>
        <v>#NAME?</v>
      </c>
      <c r="K6021" s="274">
        <f t="shared" si="96"/>
        <v>0</v>
      </c>
      <c r="N6021" s="274"/>
    </row>
    <row r="6022" spans="5:14" ht="13.5" customHeight="1">
      <c r="E6022" s="1" t="s">
        <v>1622</v>
      </c>
      <c r="F6022" s="1" t="s">
        <v>3061</v>
      </c>
      <c r="G6022" s="416" t="str">
        <f t="shared" si="94"/>
        <v>Color Code</v>
      </c>
      <c r="H6022" s="273" t="e">
        <f ca="1">_xludf.IFNA(VLOOKUP(E6022,'Urban Plastix Holds'!$I$37:$U$705,13,0),0)</f>
        <v>#NAME?</v>
      </c>
      <c r="I6022" s="274"/>
      <c r="J6022" s="274" t="e">
        <f t="shared" ca="1" si="95"/>
        <v>#NAME?</v>
      </c>
      <c r="K6022" s="274">
        <f t="shared" si="96"/>
        <v>0</v>
      </c>
      <c r="N6022" s="274"/>
    </row>
    <row r="6023" spans="5:14" ht="13.5" customHeight="1">
      <c r="E6023" s="1" t="s">
        <v>1655</v>
      </c>
      <c r="F6023" s="1" t="s">
        <v>3062</v>
      </c>
      <c r="G6023" s="406" t="str">
        <f t="shared" si="94"/>
        <v>11-12</v>
      </c>
      <c r="H6023" s="273" t="e">
        <f ca="1">_xludf.IFNA(VLOOKUP(E6023,'Urban Plastix Holds'!$I$37:$U$705,5,0),0)</f>
        <v>#NAME?</v>
      </c>
      <c r="I6023" s="274"/>
      <c r="J6023" s="274" t="e">
        <f t="shared" ca="1" si="95"/>
        <v>#NAME?</v>
      </c>
      <c r="K6023" s="274">
        <f t="shared" si="96"/>
        <v>0</v>
      </c>
      <c r="N6023" s="274"/>
    </row>
    <row r="6024" spans="5:14" ht="13.5" customHeight="1">
      <c r="E6024" s="1" t="s">
        <v>1655</v>
      </c>
      <c r="F6024" s="1" t="s">
        <v>3062</v>
      </c>
      <c r="G6024" s="408" t="str">
        <f t="shared" si="94"/>
        <v>14-01</v>
      </c>
      <c r="H6024" s="273" t="e">
        <f ca="1">_xludf.IFNA(VLOOKUP(E6024,'Urban Plastix Holds'!$I$37:$U$705,6,0),0)</f>
        <v>#NAME?</v>
      </c>
      <c r="I6024" s="274"/>
      <c r="J6024" s="274" t="e">
        <f t="shared" ca="1" si="95"/>
        <v>#NAME?</v>
      </c>
      <c r="K6024" s="274">
        <f t="shared" si="96"/>
        <v>0</v>
      </c>
      <c r="N6024" s="274"/>
    </row>
    <row r="6025" spans="5:14" ht="13.5" customHeight="1">
      <c r="E6025" s="1" t="s">
        <v>1655</v>
      </c>
      <c r="F6025" s="1" t="s">
        <v>3062</v>
      </c>
      <c r="G6025" s="409" t="str">
        <f t="shared" si="94"/>
        <v>15-12</v>
      </c>
      <c r="H6025" s="273" t="e">
        <f ca="1">_xludf.IFNA(VLOOKUP(E6025,'Urban Plastix Holds'!$I$37:$U$705,7,0),0)</f>
        <v>#NAME?</v>
      </c>
      <c r="I6025" s="274"/>
      <c r="J6025" s="274" t="e">
        <f t="shared" ca="1" si="95"/>
        <v>#NAME?</v>
      </c>
      <c r="K6025" s="274">
        <f t="shared" si="96"/>
        <v>0</v>
      </c>
      <c r="N6025" s="274"/>
    </row>
    <row r="6026" spans="5:14" ht="13.5" customHeight="1">
      <c r="E6026" s="1" t="s">
        <v>1655</v>
      </c>
      <c r="F6026" s="1" t="s">
        <v>3062</v>
      </c>
      <c r="G6026" s="410" t="str">
        <f t="shared" ref="G6026:G6094" si="97">G5999</f>
        <v>16-16</v>
      </c>
      <c r="H6026" s="273" t="e">
        <f ca="1">_xludf.IFNA(VLOOKUP(E6026,'Urban Plastix Holds'!$I$37:$U$705,8,0),0)</f>
        <v>#NAME?</v>
      </c>
      <c r="I6026" s="274"/>
      <c r="J6026" s="274" t="e">
        <f t="shared" ca="1" si="95"/>
        <v>#NAME?</v>
      </c>
      <c r="K6026" s="274">
        <f t="shared" si="96"/>
        <v>0</v>
      </c>
      <c r="N6026" s="274"/>
    </row>
    <row r="6027" spans="5:14" ht="13.5" customHeight="1">
      <c r="E6027" s="1" t="s">
        <v>1655</v>
      </c>
      <c r="F6027" s="1" t="s">
        <v>3062</v>
      </c>
      <c r="G6027" s="411" t="str">
        <f t="shared" si="97"/>
        <v>13-01</v>
      </c>
      <c r="H6027" s="273" t="e">
        <f ca="1">_xludf.IFNA(VLOOKUP(E6027,'Urban Plastix Holds'!$I$37:$U$705,9,0),0)</f>
        <v>#NAME?</v>
      </c>
      <c r="I6027" s="274"/>
      <c r="J6027" s="274" t="e">
        <f t="shared" ca="1" si="95"/>
        <v>#NAME?</v>
      </c>
      <c r="K6027" s="274">
        <f t="shared" si="96"/>
        <v>0</v>
      </c>
      <c r="N6027" s="274"/>
    </row>
    <row r="6028" spans="5:14" ht="13.5" customHeight="1">
      <c r="E6028" s="1" t="s">
        <v>1655</v>
      </c>
      <c r="F6028" s="1" t="s">
        <v>3062</v>
      </c>
      <c r="G6028" s="413" t="str">
        <f t="shared" si="97"/>
        <v>07-13</v>
      </c>
      <c r="H6028" s="273" t="e">
        <f ca="1">_xludf.IFNA(VLOOKUP(E6028,'Urban Plastix Holds'!$I$37:$U$705,10,0),0)</f>
        <v>#NAME?</v>
      </c>
      <c r="I6028" s="274"/>
      <c r="J6028" s="274" t="e">
        <f t="shared" ca="1" si="95"/>
        <v>#NAME?</v>
      </c>
      <c r="K6028" s="274">
        <f t="shared" si="96"/>
        <v>0</v>
      </c>
      <c r="N6028" s="274"/>
    </row>
    <row r="6029" spans="5:14" ht="13.5" customHeight="1">
      <c r="E6029" s="1" t="s">
        <v>1655</v>
      </c>
      <c r="F6029" s="1" t="s">
        <v>3062</v>
      </c>
      <c r="G6029" s="414" t="str">
        <f t="shared" si="97"/>
        <v>11-26</v>
      </c>
      <c r="H6029" s="273" t="e">
        <f ca="1">_xludf.IFNA(VLOOKUP(E6029,'Urban Plastix Holds'!$I$37:$U$705,11,0),0)</f>
        <v>#NAME?</v>
      </c>
      <c r="I6029" s="274"/>
      <c r="J6029" s="274" t="e">
        <f t="shared" ca="1" si="95"/>
        <v>#NAME?</v>
      </c>
      <c r="K6029" s="274">
        <f t="shared" si="96"/>
        <v>0</v>
      </c>
      <c r="N6029" s="274"/>
    </row>
    <row r="6030" spans="5:14" ht="13.5" customHeight="1">
      <c r="E6030" s="1" t="s">
        <v>1655</v>
      </c>
      <c r="F6030" s="1" t="s">
        <v>3062</v>
      </c>
      <c r="G6030" s="415" t="str">
        <f t="shared" si="97"/>
        <v>18-01</v>
      </c>
      <c r="H6030" s="273" t="e">
        <f ca="1">_xludf.IFNA(VLOOKUP(E6030,'Urban Plastix Holds'!$I$37:$U$705,12,0),0)</f>
        <v>#NAME?</v>
      </c>
      <c r="I6030" s="274"/>
      <c r="J6030" s="274" t="e">
        <f t="shared" ca="1" si="95"/>
        <v>#NAME?</v>
      </c>
      <c r="K6030" s="274">
        <f t="shared" si="96"/>
        <v>0</v>
      </c>
      <c r="N6030" s="274"/>
    </row>
    <row r="6031" spans="5:14" ht="13.5" customHeight="1">
      <c r="E6031" s="1" t="s">
        <v>1655</v>
      </c>
      <c r="F6031" s="1" t="s">
        <v>3062</v>
      </c>
      <c r="G6031" s="416" t="str">
        <f t="shared" si="97"/>
        <v>Color Code</v>
      </c>
      <c r="H6031" s="273" t="e">
        <f ca="1">_xludf.IFNA(VLOOKUP(E6031,'Urban Plastix Holds'!$I$37:$U$705,13,0),0)</f>
        <v>#NAME?</v>
      </c>
      <c r="I6031" s="274"/>
      <c r="J6031" s="274" t="e">
        <f t="shared" ca="1" si="95"/>
        <v>#NAME?</v>
      </c>
      <c r="K6031" s="274">
        <f t="shared" si="96"/>
        <v>0</v>
      </c>
      <c r="N6031" s="274"/>
    </row>
    <row r="6032" spans="5:14" ht="13.5" customHeight="1">
      <c r="E6032" s="1" t="s">
        <v>1657</v>
      </c>
      <c r="F6032" s="1" t="s">
        <v>3063</v>
      </c>
      <c r="G6032" s="406" t="str">
        <f t="shared" si="97"/>
        <v>11-12</v>
      </c>
      <c r="H6032" s="273" t="e">
        <f ca="1">_xludf.IFNA(VLOOKUP(E6032,'Urban Plastix Holds'!$I$37:$U$705,5,0),0)</f>
        <v>#NAME?</v>
      </c>
      <c r="I6032" s="274"/>
      <c r="J6032" s="274" t="e">
        <f t="shared" ca="1" si="95"/>
        <v>#NAME?</v>
      </c>
      <c r="K6032" s="274">
        <f t="shared" si="96"/>
        <v>0</v>
      </c>
      <c r="N6032" s="274"/>
    </row>
    <row r="6033" spans="5:14" ht="13.5" customHeight="1">
      <c r="E6033" s="1" t="s">
        <v>1657</v>
      </c>
      <c r="F6033" s="1" t="s">
        <v>3063</v>
      </c>
      <c r="G6033" s="408" t="str">
        <f t="shared" si="97"/>
        <v>14-01</v>
      </c>
      <c r="H6033" s="273" t="e">
        <f ca="1">_xludf.IFNA(VLOOKUP(E6033,'Urban Plastix Holds'!$I$37:$U$705,6,0),0)</f>
        <v>#NAME?</v>
      </c>
      <c r="I6033" s="274"/>
      <c r="J6033" s="274" t="e">
        <f t="shared" ca="1" si="95"/>
        <v>#NAME?</v>
      </c>
      <c r="K6033" s="274">
        <f t="shared" si="96"/>
        <v>0</v>
      </c>
      <c r="N6033" s="274"/>
    </row>
    <row r="6034" spans="5:14" ht="13.5" customHeight="1">
      <c r="E6034" s="1" t="s">
        <v>1657</v>
      </c>
      <c r="F6034" s="1" t="s">
        <v>3063</v>
      </c>
      <c r="G6034" s="409" t="str">
        <f t="shared" si="97"/>
        <v>15-12</v>
      </c>
      <c r="H6034" s="273" t="e">
        <f ca="1">_xludf.IFNA(VLOOKUP(E6034,'Urban Plastix Holds'!$I$37:$U$705,7,0),0)</f>
        <v>#NAME?</v>
      </c>
      <c r="I6034" s="274"/>
      <c r="J6034" s="274" t="e">
        <f t="shared" ca="1" si="95"/>
        <v>#NAME?</v>
      </c>
      <c r="K6034" s="274">
        <f t="shared" si="96"/>
        <v>0</v>
      </c>
      <c r="N6034" s="274"/>
    </row>
    <row r="6035" spans="5:14" ht="13.5" customHeight="1">
      <c r="E6035" s="1" t="s">
        <v>1657</v>
      </c>
      <c r="F6035" s="1" t="s">
        <v>3063</v>
      </c>
      <c r="G6035" s="410" t="str">
        <f t="shared" si="97"/>
        <v>16-16</v>
      </c>
      <c r="H6035" s="273" t="e">
        <f ca="1">_xludf.IFNA(VLOOKUP(E6035,'Urban Plastix Holds'!$I$37:$U$705,8,0),0)</f>
        <v>#NAME?</v>
      </c>
      <c r="I6035" s="274"/>
      <c r="J6035" s="274" t="e">
        <f t="shared" ca="1" si="95"/>
        <v>#NAME?</v>
      </c>
      <c r="K6035" s="274">
        <f t="shared" si="96"/>
        <v>0</v>
      </c>
      <c r="N6035" s="274"/>
    </row>
    <row r="6036" spans="5:14" ht="13.5" customHeight="1">
      <c r="E6036" s="1" t="s">
        <v>1657</v>
      </c>
      <c r="F6036" s="1" t="s">
        <v>3063</v>
      </c>
      <c r="G6036" s="411" t="str">
        <f t="shared" si="97"/>
        <v>13-01</v>
      </c>
      <c r="H6036" s="273" t="e">
        <f ca="1">_xludf.IFNA(VLOOKUP(E6036,'Urban Plastix Holds'!$I$37:$U$705,9,0),0)</f>
        <v>#NAME?</v>
      </c>
      <c r="I6036" s="274"/>
      <c r="J6036" s="274" t="e">
        <f t="shared" ca="1" si="95"/>
        <v>#NAME?</v>
      </c>
      <c r="K6036" s="274">
        <f t="shared" si="96"/>
        <v>0</v>
      </c>
      <c r="N6036" s="274"/>
    </row>
    <row r="6037" spans="5:14" ht="13.5" customHeight="1">
      <c r="E6037" s="1" t="s">
        <v>1657</v>
      </c>
      <c r="F6037" s="1" t="s">
        <v>3063</v>
      </c>
      <c r="G6037" s="413" t="str">
        <f t="shared" si="97"/>
        <v>07-13</v>
      </c>
      <c r="H6037" s="273" t="e">
        <f ca="1">_xludf.IFNA(VLOOKUP(E6037,'Urban Plastix Holds'!$I$37:$U$705,10,0),0)</f>
        <v>#NAME?</v>
      </c>
      <c r="I6037" s="274"/>
      <c r="J6037" s="274" t="e">
        <f t="shared" ca="1" si="95"/>
        <v>#NAME?</v>
      </c>
      <c r="K6037" s="274">
        <f t="shared" si="96"/>
        <v>0</v>
      </c>
      <c r="N6037" s="274"/>
    </row>
    <row r="6038" spans="5:14" ht="13.5" customHeight="1">
      <c r="E6038" s="1" t="s">
        <v>1657</v>
      </c>
      <c r="F6038" s="1" t="s">
        <v>3063</v>
      </c>
      <c r="G6038" s="414" t="str">
        <f t="shared" si="97"/>
        <v>11-26</v>
      </c>
      <c r="H6038" s="273" t="e">
        <f ca="1">_xludf.IFNA(VLOOKUP(E6038,'Urban Plastix Holds'!$I$37:$U$705,11,0),0)</f>
        <v>#NAME?</v>
      </c>
      <c r="I6038" s="274"/>
      <c r="J6038" s="274" t="e">
        <f t="shared" ca="1" si="95"/>
        <v>#NAME?</v>
      </c>
      <c r="K6038" s="274">
        <f t="shared" si="96"/>
        <v>0</v>
      </c>
      <c r="N6038" s="274"/>
    </row>
    <row r="6039" spans="5:14" ht="13.5" customHeight="1">
      <c r="E6039" s="1" t="s">
        <v>1657</v>
      </c>
      <c r="F6039" s="1" t="s">
        <v>3063</v>
      </c>
      <c r="G6039" s="415" t="str">
        <f t="shared" si="97"/>
        <v>18-01</v>
      </c>
      <c r="H6039" s="273" t="e">
        <f ca="1">_xludf.IFNA(VLOOKUP(E6039,'Urban Plastix Holds'!$I$37:$U$705,12,0),0)</f>
        <v>#NAME?</v>
      </c>
      <c r="I6039" s="274"/>
      <c r="J6039" s="274" t="e">
        <f t="shared" ca="1" si="95"/>
        <v>#NAME?</v>
      </c>
      <c r="K6039" s="274">
        <f t="shared" si="96"/>
        <v>0</v>
      </c>
      <c r="N6039" s="274"/>
    </row>
    <row r="6040" spans="5:14" ht="13.5" customHeight="1">
      <c r="E6040" s="1" t="s">
        <v>1657</v>
      </c>
      <c r="F6040" s="1" t="s">
        <v>3063</v>
      </c>
      <c r="G6040" s="416" t="str">
        <f t="shared" si="97"/>
        <v>Color Code</v>
      </c>
      <c r="H6040" s="273" t="e">
        <f ca="1">_xludf.IFNA(VLOOKUP(E6040,'Urban Plastix Holds'!$I$37:$U$705,13,0),0)</f>
        <v>#NAME?</v>
      </c>
      <c r="I6040" s="274"/>
      <c r="J6040" s="274" t="e">
        <f t="shared" ca="1" si="95"/>
        <v>#NAME?</v>
      </c>
      <c r="K6040" s="274">
        <f t="shared" si="96"/>
        <v>0</v>
      </c>
      <c r="N6040" s="274"/>
    </row>
    <row r="6041" spans="5:14" ht="13.5" customHeight="1">
      <c r="E6041" s="1" t="s">
        <v>1624</v>
      </c>
      <c r="F6041" s="1" t="s">
        <v>3064</v>
      </c>
      <c r="G6041" s="406" t="str">
        <f t="shared" si="97"/>
        <v>11-12</v>
      </c>
      <c r="H6041" s="273" t="e">
        <f ca="1">_xludf.IFNA(VLOOKUP(E6041,'Urban Plastix Holds'!$I$37:$U$705,5,0),0)</f>
        <v>#NAME?</v>
      </c>
      <c r="I6041" s="274"/>
      <c r="J6041" s="274" t="e">
        <f t="shared" ca="1" si="95"/>
        <v>#NAME?</v>
      </c>
      <c r="K6041" s="274">
        <f t="shared" si="96"/>
        <v>0</v>
      </c>
      <c r="N6041" s="274"/>
    </row>
    <row r="6042" spans="5:14" ht="13.5" customHeight="1">
      <c r="E6042" s="1" t="s">
        <v>1624</v>
      </c>
      <c r="F6042" s="1" t="s">
        <v>3064</v>
      </c>
      <c r="G6042" s="408" t="str">
        <f t="shared" si="97"/>
        <v>14-01</v>
      </c>
      <c r="H6042" s="273" t="e">
        <f ca="1">_xludf.IFNA(VLOOKUP(E6042,'Urban Plastix Holds'!$I$37:$U$705,6,0),0)</f>
        <v>#NAME?</v>
      </c>
      <c r="I6042" s="274"/>
      <c r="J6042" s="274" t="e">
        <f t="shared" ca="1" si="95"/>
        <v>#NAME?</v>
      </c>
      <c r="K6042" s="274">
        <f t="shared" si="96"/>
        <v>0</v>
      </c>
      <c r="N6042" s="274"/>
    </row>
    <row r="6043" spans="5:14" ht="13.5" customHeight="1">
      <c r="E6043" s="1" t="s">
        <v>1624</v>
      </c>
      <c r="F6043" s="1" t="s">
        <v>3064</v>
      </c>
      <c r="G6043" s="409" t="str">
        <f t="shared" si="97"/>
        <v>15-12</v>
      </c>
      <c r="H6043" s="273" t="e">
        <f ca="1">_xludf.IFNA(VLOOKUP(E6043,'Urban Plastix Holds'!$I$37:$U$705,7,0),0)</f>
        <v>#NAME?</v>
      </c>
      <c r="I6043" s="274"/>
      <c r="J6043" s="274" t="e">
        <f t="shared" ca="1" si="95"/>
        <v>#NAME?</v>
      </c>
      <c r="K6043" s="274">
        <f t="shared" si="96"/>
        <v>0</v>
      </c>
      <c r="N6043" s="274"/>
    </row>
    <row r="6044" spans="5:14" ht="13.5" customHeight="1">
      <c r="E6044" s="1" t="s">
        <v>1624</v>
      </c>
      <c r="F6044" s="1" t="s">
        <v>3064</v>
      </c>
      <c r="G6044" s="410" t="str">
        <f t="shared" si="97"/>
        <v>16-16</v>
      </c>
      <c r="H6044" s="273" t="e">
        <f ca="1">_xludf.IFNA(VLOOKUP(E6044,'Urban Plastix Holds'!$I$37:$U$705,8,0),0)</f>
        <v>#NAME?</v>
      </c>
      <c r="I6044" s="274"/>
      <c r="J6044" s="274" t="e">
        <f t="shared" ca="1" si="95"/>
        <v>#NAME?</v>
      </c>
      <c r="K6044" s="274">
        <f t="shared" si="96"/>
        <v>0</v>
      </c>
      <c r="N6044" s="274"/>
    </row>
    <row r="6045" spans="5:14" ht="13.5" customHeight="1">
      <c r="E6045" s="1" t="s">
        <v>1624</v>
      </c>
      <c r="F6045" s="1" t="s">
        <v>3064</v>
      </c>
      <c r="G6045" s="411" t="str">
        <f t="shared" si="97"/>
        <v>13-01</v>
      </c>
      <c r="H6045" s="273" t="e">
        <f ca="1">_xludf.IFNA(VLOOKUP(E6045,'Urban Plastix Holds'!$I$37:$U$705,9,0),0)</f>
        <v>#NAME?</v>
      </c>
      <c r="I6045" s="274"/>
      <c r="J6045" s="274" t="e">
        <f t="shared" ca="1" si="95"/>
        <v>#NAME?</v>
      </c>
      <c r="K6045" s="274">
        <f t="shared" si="96"/>
        <v>0</v>
      </c>
      <c r="N6045" s="274"/>
    </row>
    <row r="6046" spans="5:14" ht="13.5" customHeight="1">
      <c r="E6046" s="1" t="s">
        <v>1624</v>
      </c>
      <c r="F6046" s="1" t="s">
        <v>3064</v>
      </c>
      <c r="G6046" s="413" t="str">
        <f t="shared" si="97"/>
        <v>07-13</v>
      </c>
      <c r="H6046" s="273" t="e">
        <f ca="1">_xludf.IFNA(VLOOKUP(E6046,'Urban Plastix Holds'!$I$37:$U$705,10,0),0)</f>
        <v>#NAME?</v>
      </c>
      <c r="I6046" s="274"/>
      <c r="J6046" s="274" t="e">
        <f t="shared" ca="1" si="95"/>
        <v>#NAME?</v>
      </c>
      <c r="K6046" s="274">
        <f t="shared" si="96"/>
        <v>0</v>
      </c>
      <c r="N6046" s="274"/>
    </row>
    <row r="6047" spans="5:14" ht="13.5" customHeight="1">
      <c r="E6047" s="1" t="s">
        <v>1624</v>
      </c>
      <c r="F6047" s="1" t="s">
        <v>3064</v>
      </c>
      <c r="G6047" s="414" t="str">
        <f t="shared" si="97"/>
        <v>11-26</v>
      </c>
      <c r="H6047" s="273" t="e">
        <f ca="1">_xludf.IFNA(VLOOKUP(E6047,'Urban Plastix Holds'!$I$37:$U$705,11,0),0)</f>
        <v>#NAME?</v>
      </c>
      <c r="I6047" s="274"/>
      <c r="J6047" s="274" t="e">
        <f t="shared" ca="1" si="95"/>
        <v>#NAME?</v>
      </c>
      <c r="K6047" s="274">
        <f t="shared" si="96"/>
        <v>0</v>
      </c>
      <c r="N6047" s="274"/>
    </row>
    <row r="6048" spans="5:14" ht="13.5" customHeight="1">
      <c r="E6048" s="1" t="s">
        <v>1624</v>
      </c>
      <c r="F6048" s="1" t="s">
        <v>3064</v>
      </c>
      <c r="G6048" s="415" t="str">
        <f t="shared" si="97"/>
        <v>18-01</v>
      </c>
      <c r="H6048" s="273" t="e">
        <f ca="1">_xludf.IFNA(VLOOKUP(E6048,'Urban Plastix Holds'!$I$37:$U$705,12,0),0)</f>
        <v>#NAME?</v>
      </c>
      <c r="I6048" s="274"/>
      <c r="J6048" s="274" t="e">
        <f t="shared" ca="1" si="95"/>
        <v>#NAME?</v>
      </c>
      <c r="K6048" s="274">
        <f t="shared" si="96"/>
        <v>0</v>
      </c>
      <c r="N6048" s="274"/>
    </row>
    <row r="6049" spans="5:14" ht="13.5" customHeight="1">
      <c r="E6049" s="1" t="s">
        <v>1624</v>
      </c>
      <c r="F6049" s="1" t="s">
        <v>3064</v>
      </c>
      <c r="G6049" s="416" t="str">
        <f t="shared" si="97"/>
        <v>Color Code</v>
      </c>
      <c r="H6049" s="273" t="e">
        <f ca="1">_xludf.IFNA(VLOOKUP(E6049,'Urban Plastix Holds'!$I$37:$U$705,13,0),0)</f>
        <v>#NAME?</v>
      </c>
      <c r="I6049" s="274"/>
      <c r="J6049" s="274" t="e">
        <f t="shared" ca="1" si="95"/>
        <v>#NAME?</v>
      </c>
      <c r="K6049" s="274">
        <f t="shared" si="96"/>
        <v>0</v>
      </c>
      <c r="N6049" s="274"/>
    </row>
    <row r="6050" spans="5:14" ht="13.5" customHeight="1">
      <c r="E6050" s="1" t="s">
        <v>1577</v>
      </c>
      <c r="F6050" s="1" t="s">
        <v>3065</v>
      </c>
      <c r="G6050" s="406" t="str">
        <f t="shared" si="97"/>
        <v>11-12</v>
      </c>
      <c r="H6050" s="273" t="e">
        <f ca="1">_xludf.IFNA(VLOOKUP(E6050,'Urban Plastix Holds'!$I$37:$U$705,5,0),0)</f>
        <v>#NAME?</v>
      </c>
      <c r="I6050" s="274"/>
      <c r="J6050" s="274" t="e">
        <f t="shared" ca="1" si="95"/>
        <v>#NAME?</v>
      </c>
      <c r="K6050" s="274">
        <f t="shared" si="96"/>
        <v>0</v>
      </c>
      <c r="N6050" s="274"/>
    </row>
    <row r="6051" spans="5:14" ht="13.5" customHeight="1">
      <c r="E6051" s="1" t="s">
        <v>1577</v>
      </c>
      <c r="F6051" s="1" t="s">
        <v>3065</v>
      </c>
      <c r="G6051" s="408" t="str">
        <f t="shared" si="97"/>
        <v>14-01</v>
      </c>
      <c r="H6051" s="273" t="e">
        <f ca="1">_xludf.IFNA(VLOOKUP(E6051,'Urban Plastix Holds'!$I$37:$U$705,6,0),0)</f>
        <v>#NAME?</v>
      </c>
      <c r="I6051" s="274"/>
      <c r="J6051" s="274" t="e">
        <f t="shared" ca="1" si="95"/>
        <v>#NAME?</v>
      </c>
      <c r="K6051" s="274">
        <f t="shared" si="96"/>
        <v>0</v>
      </c>
      <c r="N6051" s="274"/>
    </row>
    <row r="6052" spans="5:14" ht="13.5" customHeight="1">
      <c r="E6052" s="1" t="s">
        <v>1577</v>
      </c>
      <c r="F6052" s="1" t="s">
        <v>3065</v>
      </c>
      <c r="G6052" s="409" t="str">
        <f t="shared" si="97"/>
        <v>15-12</v>
      </c>
      <c r="H6052" s="273" t="e">
        <f ca="1">_xludf.IFNA(VLOOKUP(E6052,'Urban Plastix Holds'!$I$37:$U$705,7,0),0)</f>
        <v>#NAME?</v>
      </c>
      <c r="I6052" s="274"/>
      <c r="J6052" s="274" t="e">
        <f t="shared" ca="1" si="95"/>
        <v>#NAME?</v>
      </c>
      <c r="K6052" s="274">
        <f t="shared" si="96"/>
        <v>0</v>
      </c>
      <c r="N6052" s="274"/>
    </row>
    <row r="6053" spans="5:14" ht="13.5" customHeight="1">
      <c r="E6053" s="1" t="s">
        <v>1577</v>
      </c>
      <c r="F6053" s="1" t="s">
        <v>3065</v>
      </c>
      <c r="G6053" s="410" t="str">
        <f t="shared" si="97"/>
        <v>16-16</v>
      </c>
      <c r="H6053" s="273" t="e">
        <f ca="1">_xludf.IFNA(VLOOKUP(E6053,'Urban Plastix Holds'!$I$37:$U$705,8,0),0)</f>
        <v>#NAME?</v>
      </c>
      <c r="I6053" s="274"/>
      <c r="J6053" s="274" t="e">
        <f t="shared" ca="1" si="95"/>
        <v>#NAME?</v>
      </c>
      <c r="K6053" s="274">
        <f t="shared" si="96"/>
        <v>0</v>
      </c>
      <c r="N6053" s="274"/>
    </row>
    <row r="6054" spans="5:14" ht="13.5" customHeight="1">
      <c r="E6054" s="1" t="s">
        <v>1577</v>
      </c>
      <c r="F6054" s="1" t="s">
        <v>3065</v>
      </c>
      <c r="G6054" s="411" t="str">
        <f t="shared" si="97"/>
        <v>13-01</v>
      </c>
      <c r="H6054" s="273" t="e">
        <f ca="1">_xludf.IFNA(VLOOKUP(E6054,'Urban Plastix Holds'!$I$37:$U$705,9,0),0)</f>
        <v>#NAME?</v>
      </c>
      <c r="I6054" s="274"/>
      <c r="J6054" s="274" t="e">
        <f t="shared" ca="1" si="95"/>
        <v>#NAME?</v>
      </c>
      <c r="K6054" s="274">
        <f t="shared" si="96"/>
        <v>0</v>
      </c>
      <c r="N6054" s="274"/>
    </row>
    <row r="6055" spans="5:14" ht="13.5" customHeight="1">
      <c r="E6055" s="1" t="s">
        <v>1577</v>
      </c>
      <c r="F6055" s="1" t="s">
        <v>3065</v>
      </c>
      <c r="G6055" s="413" t="str">
        <f t="shared" si="97"/>
        <v>07-13</v>
      </c>
      <c r="H6055" s="273" t="e">
        <f ca="1">_xludf.IFNA(VLOOKUP(E6055,'Urban Plastix Holds'!$I$37:$U$705,10,0),0)</f>
        <v>#NAME?</v>
      </c>
      <c r="I6055" s="274"/>
      <c r="J6055" s="274" t="e">
        <f t="shared" ca="1" si="95"/>
        <v>#NAME?</v>
      </c>
      <c r="K6055" s="274">
        <f t="shared" si="96"/>
        <v>0</v>
      </c>
      <c r="N6055" s="274"/>
    </row>
    <row r="6056" spans="5:14" ht="13.5" customHeight="1">
      <c r="E6056" s="1" t="s">
        <v>1577</v>
      </c>
      <c r="F6056" s="1" t="s">
        <v>3065</v>
      </c>
      <c r="G6056" s="414" t="str">
        <f t="shared" si="97"/>
        <v>11-26</v>
      </c>
      <c r="H6056" s="273" t="e">
        <f ca="1">_xludf.IFNA(VLOOKUP(E6056,'Urban Plastix Holds'!$I$37:$U$705,11,0),0)</f>
        <v>#NAME?</v>
      </c>
      <c r="I6056" s="274"/>
      <c r="J6056" s="274" t="e">
        <f t="shared" ca="1" si="95"/>
        <v>#NAME?</v>
      </c>
      <c r="K6056" s="274">
        <f t="shared" si="96"/>
        <v>0</v>
      </c>
      <c r="N6056" s="274"/>
    </row>
    <row r="6057" spans="5:14" ht="13.5" customHeight="1">
      <c r="E6057" s="1" t="s">
        <v>1577</v>
      </c>
      <c r="F6057" s="1" t="s">
        <v>3065</v>
      </c>
      <c r="G6057" s="415" t="str">
        <f t="shared" si="97"/>
        <v>18-01</v>
      </c>
      <c r="H6057" s="273" t="e">
        <f ca="1">_xludf.IFNA(VLOOKUP(E6057,'Urban Plastix Holds'!$I$37:$U$705,12,0),0)</f>
        <v>#NAME?</v>
      </c>
      <c r="I6057" s="274"/>
      <c r="J6057" s="274" t="e">
        <f t="shared" ca="1" si="95"/>
        <v>#NAME?</v>
      </c>
      <c r="K6057" s="274">
        <f t="shared" si="96"/>
        <v>0</v>
      </c>
      <c r="N6057" s="274"/>
    </row>
    <row r="6058" spans="5:14" ht="13.5" customHeight="1">
      <c r="E6058" s="1" t="s">
        <v>1577</v>
      </c>
      <c r="F6058" s="1" t="s">
        <v>3065</v>
      </c>
      <c r="G6058" s="416" t="str">
        <f t="shared" si="97"/>
        <v>Color Code</v>
      </c>
      <c r="H6058" s="273" t="e">
        <f ca="1">_xludf.IFNA(VLOOKUP(E6058,'Urban Plastix Holds'!$I$37:$U$705,13,0),0)</f>
        <v>#NAME?</v>
      </c>
      <c r="I6058" s="274"/>
      <c r="J6058" s="274" t="e">
        <f t="shared" ca="1" si="95"/>
        <v>#NAME?</v>
      </c>
      <c r="K6058" s="274">
        <f t="shared" si="96"/>
        <v>0</v>
      </c>
      <c r="N6058" s="274"/>
    </row>
    <row r="6059" spans="5:14" ht="13.5" customHeight="1">
      <c r="E6059" s="1" t="s">
        <v>1579</v>
      </c>
      <c r="F6059" s="1" t="s">
        <v>3066</v>
      </c>
      <c r="G6059" s="406" t="str">
        <f t="shared" si="97"/>
        <v>11-12</v>
      </c>
      <c r="H6059" s="273" t="e">
        <f ca="1">_xludf.IFNA(VLOOKUP(E6059,'Urban Plastix Holds'!$I$37:$U$705,5,0),0)</f>
        <v>#NAME?</v>
      </c>
      <c r="I6059" s="274"/>
      <c r="J6059" s="274" t="e">
        <f t="shared" ca="1" si="95"/>
        <v>#NAME?</v>
      </c>
      <c r="K6059" s="274">
        <f t="shared" si="96"/>
        <v>0</v>
      </c>
      <c r="N6059" s="274"/>
    </row>
    <row r="6060" spans="5:14" ht="13.5" customHeight="1">
      <c r="E6060" s="1" t="s">
        <v>1579</v>
      </c>
      <c r="F6060" s="1" t="s">
        <v>3066</v>
      </c>
      <c r="G6060" s="408" t="str">
        <f t="shared" si="97"/>
        <v>14-01</v>
      </c>
      <c r="H6060" s="273" t="e">
        <f ca="1">_xludf.IFNA(VLOOKUP(E6060,'Urban Plastix Holds'!$I$37:$U$705,6,0),0)</f>
        <v>#NAME?</v>
      </c>
      <c r="I6060" s="274"/>
      <c r="J6060" s="274" t="e">
        <f t="shared" ca="1" si="95"/>
        <v>#NAME?</v>
      </c>
      <c r="K6060" s="274">
        <f t="shared" si="96"/>
        <v>0</v>
      </c>
      <c r="N6060" s="274"/>
    </row>
    <row r="6061" spans="5:14" ht="13.5" customHeight="1">
      <c r="E6061" s="1" t="s">
        <v>1579</v>
      </c>
      <c r="F6061" s="1" t="s">
        <v>3066</v>
      </c>
      <c r="G6061" s="409" t="str">
        <f t="shared" si="97"/>
        <v>15-12</v>
      </c>
      <c r="H6061" s="273" t="e">
        <f ca="1">_xludf.IFNA(VLOOKUP(E6061,'Urban Plastix Holds'!$I$37:$U$705,7,0),0)</f>
        <v>#NAME?</v>
      </c>
      <c r="I6061" s="274"/>
      <c r="J6061" s="274" t="e">
        <f t="shared" ca="1" si="95"/>
        <v>#NAME?</v>
      </c>
      <c r="K6061" s="274">
        <f t="shared" si="96"/>
        <v>0</v>
      </c>
      <c r="N6061" s="274"/>
    </row>
    <row r="6062" spans="5:14" ht="13.5" customHeight="1">
      <c r="E6062" s="1" t="s">
        <v>1579</v>
      </c>
      <c r="F6062" s="1" t="s">
        <v>3066</v>
      </c>
      <c r="G6062" s="410" t="str">
        <f t="shared" si="97"/>
        <v>16-16</v>
      </c>
      <c r="H6062" s="273" t="e">
        <f ca="1">_xludf.IFNA(VLOOKUP(E6062,'Urban Plastix Holds'!$I$37:$U$705,8,0),0)</f>
        <v>#NAME?</v>
      </c>
      <c r="I6062" s="274"/>
      <c r="J6062" s="274" t="e">
        <f t="shared" ca="1" si="95"/>
        <v>#NAME?</v>
      </c>
      <c r="K6062" s="274">
        <f t="shared" si="96"/>
        <v>0</v>
      </c>
      <c r="N6062" s="274"/>
    </row>
    <row r="6063" spans="5:14" ht="13.5" customHeight="1">
      <c r="E6063" s="1" t="s">
        <v>1579</v>
      </c>
      <c r="F6063" s="1" t="s">
        <v>3066</v>
      </c>
      <c r="G6063" s="411" t="str">
        <f t="shared" si="97"/>
        <v>13-01</v>
      </c>
      <c r="H6063" s="273" t="e">
        <f ca="1">_xludf.IFNA(VLOOKUP(E6063,'Urban Plastix Holds'!$I$37:$U$705,9,0),0)</f>
        <v>#NAME?</v>
      </c>
      <c r="I6063" s="274"/>
      <c r="J6063" s="274" t="e">
        <f t="shared" ca="1" si="95"/>
        <v>#NAME?</v>
      </c>
      <c r="K6063" s="274">
        <f t="shared" si="96"/>
        <v>0</v>
      </c>
      <c r="N6063" s="274"/>
    </row>
    <row r="6064" spans="5:14" ht="13.5" customHeight="1">
      <c r="E6064" s="1" t="s">
        <v>1579</v>
      </c>
      <c r="F6064" s="1" t="s">
        <v>3066</v>
      </c>
      <c r="G6064" s="413" t="str">
        <f t="shared" si="97"/>
        <v>07-13</v>
      </c>
      <c r="H6064" s="273" t="e">
        <f ca="1">_xludf.IFNA(VLOOKUP(E6064,'Urban Plastix Holds'!$I$37:$U$705,10,0),0)</f>
        <v>#NAME?</v>
      </c>
      <c r="I6064" s="274"/>
      <c r="J6064" s="274" t="e">
        <f t="shared" ca="1" si="95"/>
        <v>#NAME?</v>
      </c>
      <c r="K6064" s="274">
        <f t="shared" si="96"/>
        <v>0</v>
      </c>
      <c r="N6064" s="274"/>
    </row>
    <row r="6065" spans="5:14" ht="13.5" customHeight="1">
      <c r="E6065" s="1" t="s">
        <v>1579</v>
      </c>
      <c r="F6065" s="1" t="s">
        <v>3066</v>
      </c>
      <c r="G6065" s="414" t="str">
        <f t="shared" si="97"/>
        <v>11-26</v>
      </c>
      <c r="H6065" s="273" t="e">
        <f ca="1">_xludf.IFNA(VLOOKUP(E6065,'Urban Plastix Holds'!$I$37:$U$705,11,0),0)</f>
        <v>#NAME?</v>
      </c>
      <c r="I6065" s="274"/>
      <c r="J6065" s="274" t="e">
        <f t="shared" ca="1" si="95"/>
        <v>#NAME?</v>
      </c>
      <c r="K6065" s="274">
        <f t="shared" si="96"/>
        <v>0</v>
      </c>
      <c r="N6065" s="274"/>
    </row>
    <row r="6066" spans="5:14" ht="13.5" customHeight="1">
      <c r="E6066" s="1" t="s">
        <v>1579</v>
      </c>
      <c r="F6066" s="1" t="s">
        <v>3066</v>
      </c>
      <c r="G6066" s="415" t="str">
        <f t="shared" si="97"/>
        <v>18-01</v>
      </c>
      <c r="H6066" s="273" t="e">
        <f ca="1">_xludf.IFNA(VLOOKUP(E6066,'Urban Plastix Holds'!$I$37:$U$705,12,0),0)</f>
        <v>#NAME?</v>
      </c>
      <c r="I6066" s="274"/>
      <c r="J6066" s="274" t="e">
        <f t="shared" ca="1" si="95"/>
        <v>#NAME?</v>
      </c>
      <c r="K6066" s="274">
        <f t="shared" si="96"/>
        <v>0</v>
      </c>
      <c r="N6066" s="274"/>
    </row>
    <row r="6067" spans="5:14" ht="13.5" customHeight="1">
      <c r="E6067" s="1" t="s">
        <v>1579</v>
      </c>
      <c r="F6067" s="1" t="s">
        <v>3066</v>
      </c>
      <c r="G6067" s="416" t="str">
        <f t="shared" si="97"/>
        <v>Color Code</v>
      </c>
      <c r="H6067" s="273" t="e">
        <f ca="1">_xludf.IFNA(VLOOKUP(E6067,'Urban Plastix Holds'!$I$37:$U$705,13,0),0)</f>
        <v>#NAME?</v>
      </c>
      <c r="I6067" s="274"/>
      <c r="J6067" s="274" t="e">
        <f t="shared" ca="1" si="95"/>
        <v>#NAME?</v>
      </c>
      <c r="K6067" s="274">
        <f t="shared" si="96"/>
        <v>0</v>
      </c>
      <c r="N6067" s="274"/>
    </row>
    <row r="6068" spans="5:14" ht="13.5" customHeight="1">
      <c r="E6068" s="1" t="s">
        <v>1528</v>
      </c>
      <c r="F6068" s="1" t="s">
        <v>3067</v>
      </c>
      <c r="G6068" s="406" t="str">
        <f t="shared" si="97"/>
        <v>11-12</v>
      </c>
      <c r="H6068" s="273" t="e">
        <f ca="1">_xludf.IFNA(VLOOKUP(E6068,'Urban Plastix Holds'!$I$37:$U$705,5,0),0)</f>
        <v>#NAME?</v>
      </c>
      <c r="I6068" s="274"/>
      <c r="J6068" s="274" t="e">
        <f t="shared" ca="1" si="95"/>
        <v>#NAME?</v>
      </c>
      <c r="K6068" s="274">
        <f t="shared" si="96"/>
        <v>0</v>
      </c>
      <c r="N6068" s="274"/>
    </row>
    <row r="6069" spans="5:14" ht="13.5" customHeight="1">
      <c r="E6069" s="1" t="s">
        <v>1528</v>
      </c>
      <c r="F6069" s="1" t="s">
        <v>3067</v>
      </c>
      <c r="G6069" s="408" t="str">
        <f t="shared" si="97"/>
        <v>14-01</v>
      </c>
      <c r="H6069" s="273" t="e">
        <f ca="1">_xludf.IFNA(VLOOKUP(E6069,'Urban Plastix Holds'!$I$37:$U$705,6,0),0)</f>
        <v>#NAME?</v>
      </c>
      <c r="I6069" s="274"/>
      <c r="J6069" s="274" t="e">
        <f t="shared" ca="1" si="95"/>
        <v>#NAME?</v>
      </c>
      <c r="K6069" s="274">
        <f t="shared" si="96"/>
        <v>0</v>
      </c>
      <c r="N6069" s="274"/>
    </row>
    <row r="6070" spans="5:14" ht="13.5" customHeight="1">
      <c r="E6070" s="1" t="s">
        <v>1528</v>
      </c>
      <c r="F6070" s="1" t="s">
        <v>3067</v>
      </c>
      <c r="G6070" s="409" t="str">
        <f t="shared" si="97"/>
        <v>15-12</v>
      </c>
      <c r="H6070" s="273" t="e">
        <f ca="1">_xludf.IFNA(VLOOKUP(E6070,'Urban Plastix Holds'!$I$37:$U$705,7,0),0)</f>
        <v>#NAME?</v>
      </c>
      <c r="I6070" s="274"/>
      <c r="J6070" s="274" t="e">
        <f t="shared" ca="1" si="95"/>
        <v>#NAME?</v>
      </c>
      <c r="K6070" s="274">
        <f t="shared" si="96"/>
        <v>0</v>
      </c>
      <c r="N6070" s="274"/>
    </row>
    <row r="6071" spans="5:14" ht="13.5" customHeight="1">
      <c r="E6071" s="1" t="s">
        <v>1528</v>
      </c>
      <c r="F6071" s="1" t="s">
        <v>3067</v>
      </c>
      <c r="G6071" s="410" t="str">
        <f t="shared" si="97"/>
        <v>16-16</v>
      </c>
      <c r="H6071" s="273" t="e">
        <f ca="1">_xludf.IFNA(VLOOKUP(E6071,'Urban Plastix Holds'!$I$37:$U$705,8,0),0)</f>
        <v>#NAME?</v>
      </c>
      <c r="I6071" s="274"/>
      <c r="J6071" s="274" t="e">
        <f t="shared" ca="1" si="95"/>
        <v>#NAME?</v>
      </c>
      <c r="K6071" s="274">
        <f t="shared" si="96"/>
        <v>0</v>
      </c>
      <c r="N6071" s="274"/>
    </row>
    <row r="6072" spans="5:14" ht="13.5" customHeight="1">
      <c r="E6072" s="1" t="s">
        <v>1528</v>
      </c>
      <c r="F6072" s="1" t="s">
        <v>3067</v>
      </c>
      <c r="G6072" s="411" t="str">
        <f t="shared" si="97"/>
        <v>13-01</v>
      </c>
      <c r="H6072" s="273" t="e">
        <f ca="1">_xludf.IFNA(VLOOKUP(E6072,'Urban Plastix Holds'!$I$37:$U$705,9,0),0)</f>
        <v>#NAME?</v>
      </c>
      <c r="I6072" s="274"/>
      <c r="J6072" s="274" t="e">
        <f t="shared" ca="1" si="95"/>
        <v>#NAME?</v>
      </c>
      <c r="K6072" s="274">
        <f t="shared" si="96"/>
        <v>0</v>
      </c>
      <c r="N6072" s="274"/>
    </row>
    <row r="6073" spans="5:14" ht="13.5" customHeight="1">
      <c r="E6073" s="1" t="s">
        <v>1528</v>
      </c>
      <c r="F6073" s="1" t="s">
        <v>3067</v>
      </c>
      <c r="G6073" s="413" t="str">
        <f t="shared" si="97"/>
        <v>07-13</v>
      </c>
      <c r="H6073" s="273" t="e">
        <f ca="1">_xludf.IFNA(VLOOKUP(E6073,'Urban Plastix Holds'!$I$37:$U$705,10,0),0)</f>
        <v>#NAME?</v>
      </c>
      <c r="I6073" s="274"/>
      <c r="J6073" s="274" t="e">
        <f t="shared" ca="1" si="95"/>
        <v>#NAME?</v>
      </c>
      <c r="K6073" s="274">
        <f t="shared" si="96"/>
        <v>0</v>
      </c>
      <c r="N6073" s="274"/>
    </row>
    <row r="6074" spans="5:14" ht="13.5" customHeight="1">
      <c r="E6074" s="1" t="s">
        <v>1528</v>
      </c>
      <c r="F6074" s="1" t="s">
        <v>3067</v>
      </c>
      <c r="G6074" s="414" t="str">
        <f t="shared" si="97"/>
        <v>11-26</v>
      </c>
      <c r="H6074" s="273" t="e">
        <f ca="1">_xludf.IFNA(VLOOKUP(E6074,'Urban Plastix Holds'!$I$37:$U$705,11,0),0)</f>
        <v>#NAME?</v>
      </c>
      <c r="I6074" s="274"/>
      <c r="J6074" s="274" t="e">
        <f t="shared" ca="1" si="95"/>
        <v>#NAME?</v>
      </c>
      <c r="K6074" s="274">
        <f t="shared" si="96"/>
        <v>0</v>
      </c>
      <c r="N6074" s="274"/>
    </row>
    <row r="6075" spans="5:14" ht="13.5" customHeight="1">
      <c r="E6075" s="1" t="s">
        <v>1528</v>
      </c>
      <c r="F6075" s="1" t="s">
        <v>3067</v>
      </c>
      <c r="G6075" s="415" t="str">
        <f t="shared" si="97"/>
        <v>18-01</v>
      </c>
      <c r="H6075" s="273" t="e">
        <f ca="1">_xludf.IFNA(VLOOKUP(E6075,'Urban Plastix Holds'!$I$37:$U$705,12,0),0)</f>
        <v>#NAME?</v>
      </c>
      <c r="I6075" s="274"/>
      <c r="J6075" s="274" t="e">
        <f t="shared" ca="1" si="95"/>
        <v>#NAME?</v>
      </c>
      <c r="K6075" s="274">
        <f t="shared" si="96"/>
        <v>0</v>
      </c>
      <c r="N6075" s="274"/>
    </row>
    <row r="6076" spans="5:14" ht="13.5" customHeight="1">
      <c r="E6076" s="1" t="s">
        <v>1528</v>
      </c>
      <c r="F6076" s="1" t="s">
        <v>3067</v>
      </c>
      <c r="G6076" s="416" t="str">
        <f t="shared" si="97"/>
        <v>Color Code</v>
      </c>
      <c r="H6076" s="273" t="e">
        <f ca="1">_xludf.IFNA(VLOOKUP(E6076,'Urban Plastix Holds'!$I$37:$U$705,13,0),0)</f>
        <v>#NAME?</v>
      </c>
      <c r="I6076" s="274"/>
      <c r="J6076" s="274" t="e">
        <f t="shared" ca="1" si="95"/>
        <v>#NAME?</v>
      </c>
      <c r="K6076" s="274">
        <f t="shared" si="96"/>
        <v>0</v>
      </c>
      <c r="N6076" s="274"/>
    </row>
    <row r="6077" spans="5:14" ht="13.5" customHeight="1">
      <c r="E6077" s="1" t="s">
        <v>1563</v>
      </c>
      <c r="F6077" s="1" t="s">
        <v>3068</v>
      </c>
      <c r="G6077" s="406" t="str">
        <f t="shared" si="97"/>
        <v>11-12</v>
      </c>
      <c r="H6077" s="273" t="e">
        <f ca="1">_xludf.IFNA(VLOOKUP(E6077,'Urban Plastix Holds'!$I$37:$U$705,5,0),0)</f>
        <v>#NAME?</v>
      </c>
      <c r="I6077" s="274"/>
      <c r="J6077" s="274" t="e">
        <f t="shared" ca="1" si="95"/>
        <v>#NAME?</v>
      </c>
      <c r="K6077" s="274">
        <f t="shared" si="96"/>
        <v>0</v>
      </c>
      <c r="N6077" s="274"/>
    </row>
    <row r="6078" spans="5:14" ht="13.5" customHeight="1">
      <c r="E6078" s="1" t="s">
        <v>1563</v>
      </c>
      <c r="F6078" s="1" t="s">
        <v>3068</v>
      </c>
      <c r="G6078" s="408" t="str">
        <f t="shared" si="97"/>
        <v>14-01</v>
      </c>
      <c r="H6078" s="273" t="e">
        <f ca="1">_xludf.IFNA(VLOOKUP(E6078,'Urban Plastix Holds'!$I$37:$U$705,6,0),0)</f>
        <v>#NAME?</v>
      </c>
      <c r="I6078" s="274"/>
      <c r="J6078" s="274" t="e">
        <f t="shared" ca="1" si="95"/>
        <v>#NAME?</v>
      </c>
      <c r="K6078" s="274">
        <f t="shared" si="96"/>
        <v>0</v>
      </c>
      <c r="N6078" s="274"/>
    </row>
    <row r="6079" spans="5:14" ht="13.5" customHeight="1">
      <c r="E6079" s="1" t="s">
        <v>1563</v>
      </c>
      <c r="F6079" s="1" t="s">
        <v>3068</v>
      </c>
      <c r="G6079" s="409" t="str">
        <f t="shared" si="97"/>
        <v>15-12</v>
      </c>
      <c r="H6079" s="273" t="e">
        <f ca="1">_xludf.IFNA(VLOOKUP(E6079,'Urban Plastix Holds'!$I$37:$U$705,7,0),0)</f>
        <v>#NAME?</v>
      </c>
      <c r="I6079" s="274"/>
      <c r="J6079" s="274" t="e">
        <f t="shared" ca="1" si="95"/>
        <v>#NAME?</v>
      </c>
      <c r="K6079" s="274">
        <f t="shared" si="96"/>
        <v>0</v>
      </c>
      <c r="N6079" s="274"/>
    </row>
    <row r="6080" spans="5:14" ht="13.5" customHeight="1">
      <c r="E6080" s="1" t="s">
        <v>1563</v>
      </c>
      <c r="F6080" s="1" t="s">
        <v>3068</v>
      </c>
      <c r="G6080" s="410" t="str">
        <f t="shared" si="97"/>
        <v>16-16</v>
      </c>
      <c r="H6080" s="273" t="e">
        <f ca="1">_xludf.IFNA(VLOOKUP(E6080,'Urban Plastix Holds'!$I$37:$U$705,8,0),0)</f>
        <v>#NAME?</v>
      </c>
      <c r="I6080" s="274"/>
      <c r="J6080" s="274" t="e">
        <f t="shared" ca="1" si="95"/>
        <v>#NAME?</v>
      </c>
      <c r="K6080" s="274">
        <f t="shared" si="96"/>
        <v>0</v>
      </c>
      <c r="N6080" s="274"/>
    </row>
    <row r="6081" spans="5:14" ht="13.5" customHeight="1">
      <c r="E6081" s="1" t="s">
        <v>1563</v>
      </c>
      <c r="F6081" s="1" t="s">
        <v>3068</v>
      </c>
      <c r="G6081" s="411" t="str">
        <f t="shared" si="97"/>
        <v>13-01</v>
      </c>
      <c r="H6081" s="273" t="e">
        <f ca="1">_xludf.IFNA(VLOOKUP(E6081,'Urban Plastix Holds'!$I$37:$U$705,9,0),0)</f>
        <v>#NAME?</v>
      </c>
      <c r="I6081" s="274"/>
      <c r="J6081" s="274" t="e">
        <f t="shared" ca="1" si="95"/>
        <v>#NAME?</v>
      </c>
      <c r="K6081" s="274">
        <f t="shared" si="96"/>
        <v>0</v>
      </c>
      <c r="N6081" s="274"/>
    </row>
    <row r="6082" spans="5:14" ht="13.5" customHeight="1">
      <c r="E6082" s="1" t="s">
        <v>1563</v>
      </c>
      <c r="F6082" s="1" t="s">
        <v>3068</v>
      </c>
      <c r="G6082" s="413" t="str">
        <f t="shared" si="97"/>
        <v>07-13</v>
      </c>
      <c r="H6082" s="273" t="e">
        <f ca="1">_xludf.IFNA(VLOOKUP(E6082,'Urban Plastix Holds'!$I$37:$U$705,10,0),0)</f>
        <v>#NAME?</v>
      </c>
      <c r="I6082" s="274"/>
      <c r="J6082" s="274" t="e">
        <f t="shared" ca="1" si="95"/>
        <v>#NAME?</v>
      </c>
      <c r="K6082" s="274">
        <f t="shared" si="96"/>
        <v>0</v>
      </c>
      <c r="N6082" s="274"/>
    </row>
    <row r="6083" spans="5:14" ht="13.5" customHeight="1">
      <c r="E6083" s="1" t="s">
        <v>1563</v>
      </c>
      <c r="F6083" s="1" t="s">
        <v>3068</v>
      </c>
      <c r="G6083" s="414" t="str">
        <f t="shared" si="97"/>
        <v>11-26</v>
      </c>
      <c r="H6083" s="273" t="e">
        <f ca="1">_xludf.IFNA(VLOOKUP(E6083,'Urban Plastix Holds'!$I$37:$U$705,11,0),0)</f>
        <v>#NAME?</v>
      </c>
      <c r="I6083" s="274"/>
      <c r="J6083" s="274" t="e">
        <f t="shared" ca="1" si="95"/>
        <v>#NAME?</v>
      </c>
      <c r="K6083" s="274">
        <f t="shared" si="96"/>
        <v>0</v>
      </c>
      <c r="N6083" s="274"/>
    </row>
    <row r="6084" spans="5:14" ht="13.5" customHeight="1">
      <c r="E6084" s="1" t="s">
        <v>1563</v>
      </c>
      <c r="F6084" s="1" t="s">
        <v>3068</v>
      </c>
      <c r="G6084" s="415" t="str">
        <f t="shared" si="97"/>
        <v>18-01</v>
      </c>
      <c r="H6084" s="273" t="e">
        <f ca="1">_xludf.IFNA(VLOOKUP(E6084,'Urban Plastix Holds'!$I$37:$U$705,12,0),0)</f>
        <v>#NAME?</v>
      </c>
      <c r="I6084" s="274"/>
      <c r="J6084" s="274" t="e">
        <f t="shared" ca="1" si="95"/>
        <v>#NAME?</v>
      </c>
      <c r="K6084" s="274">
        <f t="shared" si="96"/>
        <v>0</v>
      </c>
      <c r="N6084" s="274"/>
    </row>
    <row r="6085" spans="5:14" ht="13.5" customHeight="1">
      <c r="E6085" s="1" t="s">
        <v>1563</v>
      </c>
      <c r="F6085" s="1" t="s">
        <v>3068</v>
      </c>
      <c r="G6085" s="416" t="str">
        <f t="shared" si="97"/>
        <v>Color Code</v>
      </c>
      <c r="H6085" s="273" t="e">
        <f ca="1">_xludf.IFNA(VLOOKUP(E6085,'Urban Plastix Holds'!$I$37:$U$705,13,0),0)</f>
        <v>#NAME?</v>
      </c>
      <c r="I6085" s="274"/>
      <c r="J6085" s="274" t="e">
        <f t="shared" ca="1" si="95"/>
        <v>#NAME?</v>
      </c>
      <c r="K6085" s="274">
        <f t="shared" si="96"/>
        <v>0</v>
      </c>
      <c r="N6085" s="274"/>
    </row>
    <row r="6086" spans="5:14" ht="13.5" customHeight="1">
      <c r="E6086" s="1" t="s">
        <v>1717</v>
      </c>
      <c r="F6086" s="1" t="s">
        <v>3069</v>
      </c>
      <c r="G6086" s="406" t="str">
        <f t="shared" si="97"/>
        <v>11-12</v>
      </c>
      <c r="H6086" s="273" t="e">
        <f ca="1">_xludf.IFNA(VLOOKUP(E6086,'Urban Plastix Holds'!$I$37:$U$705,5,0),0)</f>
        <v>#NAME?</v>
      </c>
      <c r="I6086" s="274"/>
      <c r="J6086" s="274" t="e">
        <f t="shared" ca="1" si="95"/>
        <v>#NAME?</v>
      </c>
      <c r="K6086" s="274">
        <f t="shared" si="96"/>
        <v>0</v>
      </c>
      <c r="N6086" s="274"/>
    </row>
    <row r="6087" spans="5:14" ht="13.5" customHeight="1">
      <c r="E6087" s="1" t="s">
        <v>1717</v>
      </c>
      <c r="F6087" s="1" t="s">
        <v>3069</v>
      </c>
      <c r="G6087" s="408" t="str">
        <f t="shared" si="97"/>
        <v>14-01</v>
      </c>
      <c r="H6087" s="273" t="e">
        <f ca="1">_xludf.IFNA(VLOOKUP(E6087,'Urban Plastix Holds'!$I$37:$U$705,6,0),0)</f>
        <v>#NAME?</v>
      </c>
      <c r="I6087" s="274"/>
      <c r="J6087" s="274" t="e">
        <f t="shared" ca="1" si="95"/>
        <v>#NAME?</v>
      </c>
      <c r="K6087" s="274">
        <f t="shared" si="96"/>
        <v>0</v>
      </c>
      <c r="N6087" s="274"/>
    </row>
    <row r="6088" spans="5:14" ht="13.5" customHeight="1">
      <c r="E6088" s="1" t="s">
        <v>1717</v>
      </c>
      <c r="F6088" s="1" t="s">
        <v>3069</v>
      </c>
      <c r="G6088" s="409" t="str">
        <f t="shared" si="97"/>
        <v>15-12</v>
      </c>
      <c r="H6088" s="273" t="e">
        <f ca="1">_xludf.IFNA(VLOOKUP(E6088,'Urban Plastix Holds'!$I$37:$U$705,7,0),0)</f>
        <v>#NAME?</v>
      </c>
      <c r="I6088" s="274"/>
      <c r="J6088" s="274" t="e">
        <f t="shared" ca="1" si="95"/>
        <v>#NAME?</v>
      </c>
      <c r="K6088" s="274">
        <f t="shared" si="96"/>
        <v>0</v>
      </c>
      <c r="N6088" s="274"/>
    </row>
    <row r="6089" spans="5:14" ht="13.5" customHeight="1">
      <c r="E6089" s="1" t="s">
        <v>1717</v>
      </c>
      <c r="F6089" s="1" t="s">
        <v>3069</v>
      </c>
      <c r="G6089" s="410" t="str">
        <f t="shared" si="97"/>
        <v>16-16</v>
      </c>
      <c r="H6089" s="273" t="e">
        <f ca="1">_xludf.IFNA(VLOOKUP(E6089,'Urban Plastix Holds'!$I$37:$U$705,8,0),0)</f>
        <v>#NAME?</v>
      </c>
      <c r="I6089" s="274"/>
      <c r="J6089" s="274" t="e">
        <f t="shared" ca="1" si="95"/>
        <v>#NAME?</v>
      </c>
      <c r="K6089" s="274">
        <f t="shared" si="96"/>
        <v>0</v>
      </c>
      <c r="N6089" s="274"/>
    </row>
    <row r="6090" spans="5:14" ht="13.5" customHeight="1">
      <c r="E6090" s="1" t="s">
        <v>1717</v>
      </c>
      <c r="F6090" s="1" t="s">
        <v>3069</v>
      </c>
      <c r="G6090" s="411" t="str">
        <f t="shared" si="97"/>
        <v>13-01</v>
      </c>
      <c r="H6090" s="273" t="e">
        <f ca="1">_xludf.IFNA(VLOOKUP(E6090,'Urban Plastix Holds'!$I$37:$U$705,9,0),0)</f>
        <v>#NAME?</v>
      </c>
      <c r="I6090" s="274"/>
      <c r="J6090" s="274" t="e">
        <f t="shared" ca="1" si="95"/>
        <v>#NAME?</v>
      </c>
      <c r="K6090" s="274">
        <f t="shared" si="96"/>
        <v>0</v>
      </c>
      <c r="N6090" s="274"/>
    </row>
    <row r="6091" spans="5:14" ht="13.5" customHeight="1">
      <c r="E6091" s="1" t="s">
        <v>1717</v>
      </c>
      <c r="F6091" s="1" t="s">
        <v>3069</v>
      </c>
      <c r="G6091" s="413" t="str">
        <f t="shared" si="97"/>
        <v>07-13</v>
      </c>
      <c r="H6091" s="273" t="e">
        <f ca="1">_xludf.IFNA(VLOOKUP(E6091,'Urban Plastix Holds'!$I$37:$U$705,10,0),0)</f>
        <v>#NAME?</v>
      </c>
      <c r="I6091" s="274"/>
      <c r="J6091" s="274" t="e">
        <f t="shared" ca="1" si="95"/>
        <v>#NAME?</v>
      </c>
      <c r="K6091" s="274">
        <f t="shared" si="96"/>
        <v>0</v>
      </c>
      <c r="N6091" s="274"/>
    </row>
    <row r="6092" spans="5:14" ht="13.5" customHeight="1">
      <c r="E6092" s="1" t="s">
        <v>1717</v>
      </c>
      <c r="F6092" s="1" t="s">
        <v>3069</v>
      </c>
      <c r="G6092" s="414" t="str">
        <f t="shared" si="97"/>
        <v>11-26</v>
      </c>
      <c r="H6092" s="273" t="e">
        <f ca="1">_xludf.IFNA(VLOOKUP(E6092,'Urban Plastix Holds'!$I$37:$U$705,11,0),0)</f>
        <v>#NAME?</v>
      </c>
      <c r="I6092" s="274"/>
      <c r="J6092" s="274" t="e">
        <f t="shared" ca="1" si="95"/>
        <v>#NAME?</v>
      </c>
      <c r="K6092" s="274">
        <f t="shared" si="96"/>
        <v>0</v>
      </c>
      <c r="N6092" s="274"/>
    </row>
    <row r="6093" spans="5:14" ht="13.5" customHeight="1">
      <c r="E6093" s="1" t="s">
        <v>1717</v>
      </c>
      <c r="F6093" s="1" t="s">
        <v>3069</v>
      </c>
      <c r="G6093" s="415" t="str">
        <f t="shared" si="97"/>
        <v>18-01</v>
      </c>
      <c r="H6093" s="273" t="e">
        <f ca="1">_xludf.IFNA(VLOOKUP(E6093,'Urban Plastix Holds'!$I$37:$U$705,12,0),0)</f>
        <v>#NAME?</v>
      </c>
      <c r="I6093" s="274"/>
      <c r="J6093" s="274" t="e">
        <f t="shared" ca="1" si="95"/>
        <v>#NAME?</v>
      </c>
      <c r="K6093" s="274">
        <f t="shared" si="96"/>
        <v>0</v>
      </c>
      <c r="N6093" s="274"/>
    </row>
    <row r="6094" spans="5:14" ht="13.5" customHeight="1">
      <c r="E6094" s="1" t="s">
        <v>1717</v>
      </c>
      <c r="F6094" s="1" t="s">
        <v>3069</v>
      </c>
      <c r="G6094" s="416" t="str">
        <f t="shared" si="97"/>
        <v>Color Code</v>
      </c>
      <c r="H6094" s="273" t="e">
        <f ca="1">_xludf.IFNA(VLOOKUP(E6094,'Urban Plastix Holds'!$I$37:$U$705,13,0),0)</f>
        <v>#NAME?</v>
      </c>
      <c r="I6094" s="274"/>
      <c r="J6094" s="274" t="e">
        <f t="shared" ca="1" si="95"/>
        <v>#NAME?</v>
      </c>
      <c r="K6094" s="274">
        <f t="shared" si="96"/>
        <v>0</v>
      </c>
      <c r="N6094" s="274"/>
    </row>
    <row r="6095" spans="5:14" ht="13.5" customHeight="1">
      <c r="E6095" s="1" t="s">
        <v>1727</v>
      </c>
      <c r="F6095" s="1" t="s">
        <v>3070</v>
      </c>
      <c r="G6095" s="406" t="str">
        <f t="shared" ref="G6095:G6103" si="98">G6050</f>
        <v>11-12</v>
      </c>
      <c r="H6095" s="273" t="e">
        <f ca="1">_xludf.IFNA(VLOOKUP(E6095,'Urban Plastix Holds'!$I$37:$U$705,5,0),0)</f>
        <v>#NAME?</v>
      </c>
      <c r="I6095" s="274"/>
      <c r="J6095" s="274" t="e">
        <f t="shared" ca="1" si="95"/>
        <v>#NAME?</v>
      </c>
      <c r="K6095" s="274">
        <f t="shared" si="96"/>
        <v>0</v>
      </c>
      <c r="N6095" s="274"/>
    </row>
    <row r="6096" spans="5:14" ht="13.5" customHeight="1">
      <c r="E6096" s="1" t="s">
        <v>1727</v>
      </c>
      <c r="F6096" s="1" t="s">
        <v>3070</v>
      </c>
      <c r="G6096" s="408" t="str">
        <f t="shared" si="98"/>
        <v>14-01</v>
      </c>
      <c r="H6096" s="273" t="e">
        <f ca="1">_xludf.IFNA(VLOOKUP(E6096,'Urban Plastix Holds'!$I$37:$U$705,6,0),0)</f>
        <v>#NAME?</v>
      </c>
      <c r="I6096" s="274"/>
      <c r="J6096" s="274" t="e">
        <f t="shared" ca="1" si="95"/>
        <v>#NAME?</v>
      </c>
      <c r="K6096" s="274">
        <f t="shared" si="96"/>
        <v>0</v>
      </c>
      <c r="N6096" s="274"/>
    </row>
    <row r="6097" spans="5:14" ht="13.5" customHeight="1">
      <c r="E6097" s="1" t="s">
        <v>1727</v>
      </c>
      <c r="F6097" s="1" t="s">
        <v>3070</v>
      </c>
      <c r="G6097" s="409" t="str">
        <f t="shared" si="98"/>
        <v>15-12</v>
      </c>
      <c r="H6097" s="273" t="e">
        <f ca="1">_xludf.IFNA(VLOOKUP(E6097,'Urban Plastix Holds'!$I$37:$U$705,7,0),0)</f>
        <v>#NAME?</v>
      </c>
      <c r="I6097" s="274"/>
      <c r="J6097" s="274" t="e">
        <f t="shared" ca="1" si="95"/>
        <v>#NAME?</v>
      </c>
      <c r="K6097" s="274">
        <f t="shared" si="96"/>
        <v>0</v>
      </c>
      <c r="N6097" s="274"/>
    </row>
    <row r="6098" spans="5:14" ht="13.5" customHeight="1">
      <c r="E6098" s="1" t="s">
        <v>1727</v>
      </c>
      <c r="F6098" s="1" t="s">
        <v>3070</v>
      </c>
      <c r="G6098" s="410" t="str">
        <f t="shared" si="98"/>
        <v>16-16</v>
      </c>
      <c r="H6098" s="273" t="e">
        <f ca="1">_xludf.IFNA(VLOOKUP(E6098,'Urban Plastix Holds'!$I$37:$U$705,8,0),0)</f>
        <v>#NAME?</v>
      </c>
      <c r="I6098" s="274"/>
      <c r="J6098" s="274" t="e">
        <f t="shared" ca="1" si="95"/>
        <v>#NAME?</v>
      </c>
      <c r="K6098" s="274">
        <f t="shared" si="96"/>
        <v>0</v>
      </c>
      <c r="N6098" s="274"/>
    </row>
    <row r="6099" spans="5:14" ht="13.5" customHeight="1">
      <c r="E6099" s="1" t="s">
        <v>1727</v>
      </c>
      <c r="F6099" s="1" t="s">
        <v>3070</v>
      </c>
      <c r="G6099" s="411" t="str">
        <f t="shared" si="98"/>
        <v>13-01</v>
      </c>
      <c r="H6099" s="273" t="e">
        <f ca="1">_xludf.IFNA(VLOOKUP(E6099,'Urban Plastix Holds'!$I$37:$U$705,9,0),0)</f>
        <v>#NAME?</v>
      </c>
      <c r="I6099" s="274"/>
      <c r="J6099" s="274" t="e">
        <f t="shared" ca="1" si="95"/>
        <v>#NAME?</v>
      </c>
      <c r="K6099" s="274">
        <f t="shared" si="96"/>
        <v>0</v>
      </c>
      <c r="N6099" s="274"/>
    </row>
    <row r="6100" spans="5:14" ht="13.5" customHeight="1">
      <c r="E6100" s="1" t="s">
        <v>1727</v>
      </c>
      <c r="F6100" s="1" t="s">
        <v>3070</v>
      </c>
      <c r="G6100" s="413" t="str">
        <f t="shared" si="98"/>
        <v>07-13</v>
      </c>
      <c r="H6100" s="273" t="e">
        <f ca="1">_xludf.IFNA(VLOOKUP(E6100,'Urban Plastix Holds'!$I$37:$U$705,10,0),0)</f>
        <v>#NAME?</v>
      </c>
      <c r="I6100" s="274"/>
      <c r="J6100" s="274" t="e">
        <f t="shared" ca="1" si="95"/>
        <v>#NAME?</v>
      </c>
      <c r="K6100" s="274">
        <f t="shared" si="96"/>
        <v>0</v>
      </c>
      <c r="N6100" s="274"/>
    </row>
    <row r="6101" spans="5:14" ht="13.5" customHeight="1">
      <c r="E6101" s="1" t="s">
        <v>1727</v>
      </c>
      <c r="F6101" s="1" t="s">
        <v>3070</v>
      </c>
      <c r="G6101" s="414" t="str">
        <f t="shared" si="98"/>
        <v>11-26</v>
      </c>
      <c r="H6101" s="273" t="e">
        <f ca="1">_xludf.IFNA(VLOOKUP(E6101,'Urban Plastix Holds'!$I$37:$U$705,11,0),0)</f>
        <v>#NAME?</v>
      </c>
      <c r="I6101" s="274"/>
      <c r="J6101" s="274" t="e">
        <f t="shared" ca="1" si="95"/>
        <v>#NAME?</v>
      </c>
      <c r="K6101" s="274">
        <f t="shared" si="96"/>
        <v>0</v>
      </c>
      <c r="N6101" s="274"/>
    </row>
    <row r="6102" spans="5:14" ht="13.5" customHeight="1">
      <c r="E6102" s="1" t="s">
        <v>1727</v>
      </c>
      <c r="F6102" s="1" t="s">
        <v>3070</v>
      </c>
      <c r="G6102" s="415" t="str">
        <f t="shared" si="98"/>
        <v>18-01</v>
      </c>
      <c r="H6102" s="273" t="e">
        <f ca="1">_xludf.IFNA(VLOOKUP(E6102,'Urban Plastix Holds'!$I$37:$U$705,12,0),0)</f>
        <v>#NAME?</v>
      </c>
      <c r="I6102" s="274"/>
      <c r="J6102" s="274" t="e">
        <f t="shared" ca="1" si="95"/>
        <v>#NAME?</v>
      </c>
      <c r="K6102" s="274">
        <f t="shared" si="96"/>
        <v>0</v>
      </c>
      <c r="N6102" s="274"/>
    </row>
    <row r="6103" spans="5:14" ht="13.5" customHeight="1">
      <c r="E6103" s="1" t="s">
        <v>1727</v>
      </c>
      <c r="F6103" s="1" t="s">
        <v>3070</v>
      </c>
      <c r="G6103" s="416" t="str">
        <f t="shared" si="98"/>
        <v>Color Code</v>
      </c>
      <c r="H6103" s="273" t="e">
        <f ca="1">_xludf.IFNA(VLOOKUP(E6103,'Urban Plastix Holds'!$I$37:$U$705,13,0),0)</f>
        <v>#NAME?</v>
      </c>
      <c r="I6103" s="274"/>
      <c r="J6103" s="274" t="e">
        <f t="shared" ca="1" si="95"/>
        <v>#NAME?</v>
      </c>
      <c r="K6103" s="274">
        <f t="shared" si="96"/>
        <v>0</v>
      </c>
      <c r="N6103" s="274"/>
    </row>
    <row r="6104" spans="5:14" ht="13.5" customHeight="1">
      <c r="E6104" s="1" t="s">
        <v>1701</v>
      </c>
      <c r="F6104" s="1" t="s">
        <v>3071</v>
      </c>
      <c r="G6104" s="406" t="str">
        <f t="shared" ref="G6104:G6148" si="99">G6032</f>
        <v>11-12</v>
      </c>
      <c r="H6104" s="273" t="e">
        <f ca="1">_xludf.IFNA(VLOOKUP(E6104,'Urban Plastix Holds'!$I$37:$U$705,5,0),0)</f>
        <v>#NAME?</v>
      </c>
      <c r="I6104" s="274"/>
      <c r="J6104" s="274" t="e">
        <f t="shared" ca="1" si="95"/>
        <v>#NAME?</v>
      </c>
      <c r="K6104" s="274">
        <f t="shared" si="96"/>
        <v>0</v>
      </c>
      <c r="N6104" s="274"/>
    </row>
    <row r="6105" spans="5:14" ht="13.5" customHeight="1">
      <c r="E6105" s="1" t="s">
        <v>1701</v>
      </c>
      <c r="F6105" s="1" t="s">
        <v>3071</v>
      </c>
      <c r="G6105" s="408" t="str">
        <f t="shared" si="99"/>
        <v>14-01</v>
      </c>
      <c r="H6105" s="273" t="e">
        <f ca="1">_xludf.IFNA(VLOOKUP(E6105,'Urban Plastix Holds'!$I$37:$U$705,6,0),0)</f>
        <v>#NAME?</v>
      </c>
      <c r="I6105" s="274"/>
      <c r="J6105" s="274" t="e">
        <f t="shared" ca="1" si="95"/>
        <v>#NAME?</v>
      </c>
      <c r="K6105" s="274">
        <f t="shared" si="96"/>
        <v>0</v>
      </c>
      <c r="N6105" s="274"/>
    </row>
    <row r="6106" spans="5:14" ht="13.5" customHeight="1">
      <c r="E6106" s="1" t="s">
        <v>1701</v>
      </c>
      <c r="F6106" s="1" t="s">
        <v>3071</v>
      </c>
      <c r="G6106" s="409" t="str">
        <f t="shared" si="99"/>
        <v>15-12</v>
      </c>
      <c r="H6106" s="273" t="e">
        <f ca="1">_xludf.IFNA(VLOOKUP(E6106,'Urban Plastix Holds'!$I$37:$U$705,7,0),0)</f>
        <v>#NAME?</v>
      </c>
      <c r="I6106" s="274"/>
      <c r="J6106" s="274" t="e">
        <f t="shared" ca="1" si="95"/>
        <v>#NAME?</v>
      </c>
      <c r="K6106" s="274">
        <f t="shared" si="96"/>
        <v>0</v>
      </c>
      <c r="N6106" s="274"/>
    </row>
    <row r="6107" spans="5:14" ht="13.5" customHeight="1">
      <c r="E6107" s="1" t="s">
        <v>1701</v>
      </c>
      <c r="F6107" s="1" t="s">
        <v>3071</v>
      </c>
      <c r="G6107" s="410" t="str">
        <f t="shared" si="99"/>
        <v>16-16</v>
      </c>
      <c r="H6107" s="273" t="e">
        <f ca="1">_xludf.IFNA(VLOOKUP(E6107,'Urban Plastix Holds'!$I$37:$U$705,8,0),0)</f>
        <v>#NAME?</v>
      </c>
      <c r="I6107" s="274"/>
      <c r="J6107" s="274" t="e">
        <f t="shared" ca="1" si="95"/>
        <v>#NAME?</v>
      </c>
      <c r="K6107" s="274">
        <f t="shared" si="96"/>
        <v>0</v>
      </c>
      <c r="N6107" s="274"/>
    </row>
    <row r="6108" spans="5:14" ht="13.5" customHeight="1">
      <c r="E6108" s="1" t="s">
        <v>1701</v>
      </c>
      <c r="F6108" s="1" t="s">
        <v>3071</v>
      </c>
      <c r="G6108" s="411" t="str">
        <f t="shared" si="99"/>
        <v>13-01</v>
      </c>
      <c r="H6108" s="273" t="e">
        <f ca="1">_xludf.IFNA(VLOOKUP(E6108,'Urban Plastix Holds'!$I$37:$U$705,9,0),0)</f>
        <v>#NAME?</v>
      </c>
      <c r="I6108" s="274"/>
      <c r="J6108" s="274" t="e">
        <f t="shared" ca="1" si="95"/>
        <v>#NAME?</v>
      </c>
      <c r="K6108" s="274">
        <f t="shared" si="96"/>
        <v>0</v>
      </c>
      <c r="N6108" s="274"/>
    </row>
    <row r="6109" spans="5:14" ht="13.5" customHeight="1">
      <c r="E6109" s="1" t="s">
        <v>1701</v>
      </c>
      <c r="F6109" s="1" t="s">
        <v>3071</v>
      </c>
      <c r="G6109" s="413" t="str">
        <f t="shared" si="99"/>
        <v>07-13</v>
      </c>
      <c r="H6109" s="273" t="e">
        <f ca="1">_xludf.IFNA(VLOOKUP(E6109,'Urban Plastix Holds'!$I$37:$U$705,10,0),0)</f>
        <v>#NAME?</v>
      </c>
      <c r="I6109" s="274"/>
      <c r="J6109" s="274" t="e">
        <f t="shared" ca="1" si="95"/>
        <v>#NAME?</v>
      </c>
      <c r="K6109" s="274">
        <f t="shared" si="96"/>
        <v>0</v>
      </c>
      <c r="N6109" s="274"/>
    </row>
    <row r="6110" spans="5:14" ht="13.5" customHeight="1">
      <c r="E6110" s="1" t="s">
        <v>1701</v>
      </c>
      <c r="F6110" s="1" t="s">
        <v>3071</v>
      </c>
      <c r="G6110" s="414" t="str">
        <f t="shared" si="99"/>
        <v>11-26</v>
      </c>
      <c r="H6110" s="273" t="e">
        <f ca="1">_xludf.IFNA(VLOOKUP(E6110,'Urban Plastix Holds'!$I$37:$U$705,11,0),0)</f>
        <v>#NAME?</v>
      </c>
      <c r="I6110" s="274"/>
      <c r="J6110" s="274" t="e">
        <f t="shared" ca="1" si="95"/>
        <v>#NAME?</v>
      </c>
      <c r="K6110" s="274">
        <f t="shared" si="96"/>
        <v>0</v>
      </c>
      <c r="N6110" s="274"/>
    </row>
    <row r="6111" spans="5:14" ht="13.5" customHeight="1">
      <c r="E6111" s="1" t="s">
        <v>1701</v>
      </c>
      <c r="F6111" s="1" t="s">
        <v>3071</v>
      </c>
      <c r="G6111" s="415" t="str">
        <f t="shared" si="99"/>
        <v>18-01</v>
      </c>
      <c r="H6111" s="273" t="e">
        <f ca="1">_xludf.IFNA(VLOOKUP(E6111,'Urban Plastix Holds'!$I$37:$U$705,12,0),0)</f>
        <v>#NAME?</v>
      </c>
      <c r="I6111" s="274"/>
      <c r="J6111" s="274" t="e">
        <f t="shared" ca="1" si="95"/>
        <v>#NAME?</v>
      </c>
      <c r="K6111" s="274">
        <f t="shared" si="96"/>
        <v>0</v>
      </c>
      <c r="N6111" s="274"/>
    </row>
    <row r="6112" spans="5:14" ht="13.5" customHeight="1">
      <c r="E6112" s="1" t="s">
        <v>1701</v>
      </c>
      <c r="F6112" s="1" t="s">
        <v>3071</v>
      </c>
      <c r="G6112" s="416" t="str">
        <f t="shared" si="99"/>
        <v>Color Code</v>
      </c>
      <c r="H6112" s="273" t="e">
        <f ca="1">_xludf.IFNA(VLOOKUP(E6112,'Urban Plastix Holds'!$I$37:$U$705,13,0),0)</f>
        <v>#NAME?</v>
      </c>
      <c r="I6112" s="274"/>
      <c r="J6112" s="274" t="e">
        <f t="shared" ca="1" si="95"/>
        <v>#NAME?</v>
      </c>
      <c r="K6112" s="274">
        <f t="shared" si="96"/>
        <v>0</v>
      </c>
      <c r="N6112" s="274"/>
    </row>
    <row r="6113" spans="5:14" ht="13.5" customHeight="1">
      <c r="E6113" s="1" t="s">
        <v>1713</v>
      </c>
      <c r="F6113" s="1" t="s">
        <v>3072</v>
      </c>
      <c r="G6113" s="406" t="str">
        <f t="shared" si="99"/>
        <v>11-12</v>
      </c>
      <c r="H6113" s="273" t="e">
        <f ca="1">_xludf.IFNA(VLOOKUP(E6113,'Urban Plastix Holds'!$I$37:$U$705,5,0),0)</f>
        <v>#NAME?</v>
      </c>
      <c r="I6113" s="274"/>
      <c r="J6113" s="274" t="e">
        <f t="shared" ca="1" si="95"/>
        <v>#NAME?</v>
      </c>
      <c r="K6113" s="274">
        <f t="shared" si="96"/>
        <v>0</v>
      </c>
      <c r="N6113" s="274"/>
    </row>
    <row r="6114" spans="5:14" ht="13.5" customHeight="1">
      <c r="E6114" s="1" t="s">
        <v>1713</v>
      </c>
      <c r="F6114" s="1" t="s">
        <v>3072</v>
      </c>
      <c r="G6114" s="408" t="str">
        <f t="shared" si="99"/>
        <v>14-01</v>
      </c>
      <c r="H6114" s="273" t="e">
        <f ca="1">_xludf.IFNA(VLOOKUP(E6114,'Urban Plastix Holds'!$I$37:$U$705,6,0),0)</f>
        <v>#NAME?</v>
      </c>
      <c r="I6114" s="274"/>
      <c r="J6114" s="274" t="e">
        <f t="shared" ca="1" si="95"/>
        <v>#NAME?</v>
      </c>
      <c r="K6114" s="274">
        <f t="shared" si="96"/>
        <v>0</v>
      </c>
      <c r="N6114" s="274"/>
    </row>
    <row r="6115" spans="5:14" ht="13.5" customHeight="1">
      <c r="E6115" s="1" t="s">
        <v>1713</v>
      </c>
      <c r="F6115" s="1" t="s">
        <v>3072</v>
      </c>
      <c r="G6115" s="409" t="str">
        <f t="shared" si="99"/>
        <v>15-12</v>
      </c>
      <c r="H6115" s="273" t="e">
        <f ca="1">_xludf.IFNA(VLOOKUP(E6115,'Urban Plastix Holds'!$I$37:$U$705,7,0),0)</f>
        <v>#NAME?</v>
      </c>
      <c r="I6115" s="274"/>
      <c r="J6115" s="274" t="e">
        <f t="shared" ca="1" si="95"/>
        <v>#NAME?</v>
      </c>
      <c r="K6115" s="274">
        <f t="shared" si="96"/>
        <v>0</v>
      </c>
      <c r="N6115" s="274"/>
    </row>
    <row r="6116" spans="5:14" ht="13.5" customHeight="1">
      <c r="E6116" s="1" t="s">
        <v>1713</v>
      </c>
      <c r="F6116" s="1" t="s">
        <v>3072</v>
      </c>
      <c r="G6116" s="410" t="str">
        <f t="shared" si="99"/>
        <v>16-16</v>
      </c>
      <c r="H6116" s="273" t="e">
        <f ca="1">_xludf.IFNA(VLOOKUP(E6116,'Urban Plastix Holds'!$I$37:$U$705,8,0),0)</f>
        <v>#NAME?</v>
      </c>
      <c r="I6116" s="274"/>
      <c r="J6116" s="274" t="e">
        <f t="shared" ca="1" si="95"/>
        <v>#NAME?</v>
      </c>
      <c r="K6116" s="274">
        <f t="shared" si="96"/>
        <v>0</v>
      </c>
      <c r="N6116" s="274"/>
    </row>
    <row r="6117" spans="5:14" ht="13.5" customHeight="1">
      <c r="E6117" s="1" t="s">
        <v>1713</v>
      </c>
      <c r="F6117" s="1" t="s">
        <v>3072</v>
      </c>
      <c r="G6117" s="411" t="str">
        <f t="shared" si="99"/>
        <v>13-01</v>
      </c>
      <c r="H6117" s="273" t="e">
        <f ca="1">_xludf.IFNA(VLOOKUP(E6117,'Urban Plastix Holds'!$I$37:$U$705,9,0),0)</f>
        <v>#NAME?</v>
      </c>
      <c r="I6117" s="274"/>
      <c r="J6117" s="274" t="e">
        <f t="shared" ca="1" si="95"/>
        <v>#NAME?</v>
      </c>
      <c r="K6117" s="274">
        <f t="shared" si="96"/>
        <v>0</v>
      </c>
      <c r="N6117" s="274"/>
    </row>
    <row r="6118" spans="5:14" ht="13.5" customHeight="1">
      <c r="E6118" s="1" t="s">
        <v>1713</v>
      </c>
      <c r="F6118" s="1" t="s">
        <v>3072</v>
      </c>
      <c r="G6118" s="413" t="str">
        <f t="shared" si="99"/>
        <v>07-13</v>
      </c>
      <c r="H6118" s="273" t="e">
        <f ca="1">_xludf.IFNA(VLOOKUP(E6118,'Urban Plastix Holds'!$I$37:$U$705,10,0),0)</f>
        <v>#NAME?</v>
      </c>
      <c r="I6118" s="274"/>
      <c r="J6118" s="274" t="e">
        <f t="shared" ca="1" si="95"/>
        <v>#NAME?</v>
      </c>
      <c r="K6118" s="274">
        <f t="shared" si="96"/>
        <v>0</v>
      </c>
      <c r="N6118" s="274"/>
    </row>
    <row r="6119" spans="5:14" ht="13.5" customHeight="1">
      <c r="E6119" s="1" t="s">
        <v>1713</v>
      </c>
      <c r="F6119" s="1" t="s">
        <v>3072</v>
      </c>
      <c r="G6119" s="414" t="str">
        <f t="shared" si="99"/>
        <v>11-26</v>
      </c>
      <c r="H6119" s="273" t="e">
        <f ca="1">_xludf.IFNA(VLOOKUP(E6119,'Urban Plastix Holds'!$I$37:$U$705,11,0),0)</f>
        <v>#NAME?</v>
      </c>
      <c r="I6119" s="274"/>
      <c r="J6119" s="274" t="e">
        <f t="shared" ca="1" si="95"/>
        <v>#NAME?</v>
      </c>
      <c r="K6119" s="274">
        <f t="shared" si="96"/>
        <v>0</v>
      </c>
      <c r="N6119" s="274"/>
    </row>
    <row r="6120" spans="5:14" ht="13.5" customHeight="1">
      <c r="E6120" s="1" t="s">
        <v>1713</v>
      </c>
      <c r="F6120" s="1" t="s">
        <v>3072</v>
      </c>
      <c r="G6120" s="415" t="str">
        <f t="shared" si="99"/>
        <v>18-01</v>
      </c>
      <c r="H6120" s="273" t="e">
        <f ca="1">_xludf.IFNA(VLOOKUP(E6120,'Urban Plastix Holds'!$I$37:$U$705,12,0),0)</f>
        <v>#NAME?</v>
      </c>
      <c r="I6120" s="274"/>
      <c r="J6120" s="274" t="e">
        <f t="shared" ca="1" si="95"/>
        <v>#NAME?</v>
      </c>
      <c r="K6120" s="274">
        <f t="shared" si="96"/>
        <v>0</v>
      </c>
      <c r="N6120" s="274"/>
    </row>
    <row r="6121" spans="5:14" ht="13.5" customHeight="1">
      <c r="E6121" s="1" t="s">
        <v>1713</v>
      </c>
      <c r="F6121" s="1" t="s">
        <v>3072</v>
      </c>
      <c r="G6121" s="416" t="str">
        <f t="shared" si="99"/>
        <v>Color Code</v>
      </c>
      <c r="H6121" s="273" t="e">
        <f ca="1">_xludf.IFNA(VLOOKUP(E6121,'Urban Plastix Holds'!$I$37:$U$705,13,0),0)</f>
        <v>#NAME?</v>
      </c>
      <c r="I6121" s="274"/>
      <c r="J6121" s="274" t="e">
        <f t="shared" ca="1" si="95"/>
        <v>#NAME?</v>
      </c>
      <c r="K6121" s="274">
        <f t="shared" si="96"/>
        <v>0</v>
      </c>
      <c r="N6121" s="274"/>
    </row>
    <row r="6122" spans="5:14" ht="13.5" customHeight="1">
      <c r="E6122" s="1" t="s">
        <v>1873</v>
      </c>
      <c r="F6122" s="1" t="s">
        <v>3073</v>
      </c>
      <c r="G6122" s="406" t="str">
        <f t="shared" si="99"/>
        <v>11-12</v>
      </c>
      <c r="H6122" s="273" t="e">
        <f ca="1">_xludf.IFNA(VLOOKUP(E6122,'Urban Plastix Holds'!$I$37:$U$705,5,0),0)</f>
        <v>#NAME?</v>
      </c>
      <c r="I6122" s="274"/>
      <c r="J6122" s="274" t="e">
        <f t="shared" ref="J6122:J6376" ca="1" si="100">H6122*I6122</f>
        <v>#NAME?</v>
      </c>
      <c r="K6122" s="274">
        <f t="shared" ref="K6122:K6376" si="101">IF($V$11="Y",J6122*0.05,0)</f>
        <v>0</v>
      </c>
      <c r="N6122" s="274"/>
    </row>
    <row r="6123" spans="5:14" ht="13.5" customHeight="1">
      <c r="E6123" s="1" t="s">
        <v>1873</v>
      </c>
      <c r="F6123" s="1" t="s">
        <v>3073</v>
      </c>
      <c r="G6123" s="408" t="str">
        <f t="shared" si="99"/>
        <v>14-01</v>
      </c>
      <c r="H6123" s="273" t="e">
        <f ca="1">_xludf.IFNA(VLOOKUP(E6123,'Urban Plastix Holds'!$I$37:$U$705,6,0),0)</f>
        <v>#NAME?</v>
      </c>
      <c r="I6123" s="274"/>
      <c r="J6123" s="274" t="e">
        <f t="shared" ca="1" si="100"/>
        <v>#NAME?</v>
      </c>
      <c r="K6123" s="274">
        <f t="shared" si="101"/>
        <v>0</v>
      </c>
      <c r="N6123" s="274"/>
    </row>
    <row r="6124" spans="5:14" ht="13.5" customHeight="1">
      <c r="E6124" s="1" t="s">
        <v>1873</v>
      </c>
      <c r="F6124" s="1" t="s">
        <v>3073</v>
      </c>
      <c r="G6124" s="409" t="str">
        <f t="shared" si="99"/>
        <v>15-12</v>
      </c>
      <c r="H6124" s="273" t="e">
        <f ca="1">_xludf.IFNA(VLOOKUP(E6124,'Urban Plastix Holds'!$I$37:$U$705,7,0),0)</f>
        <v>#NAME?</v>
      </c>
      <c r="I6124" s="274"/>
      <c r="J6124" s="274" t="e">
        <f t="shared" ca="1" si="100"/>
        <v>#NAME?</v>
      </c>
      <c r="K6124" s="274">
        <f t="shared" si="101"/>
        <v>0</v>
      </c>
      <c r="N6124" s="274"/>
    </row>
    <row r="6125" spans="5:14" ht="13.5" customHeight="1">
      <c r="E6125" s="1" t="s">
        <v>1873</v>
      </c>
      <c r="F6125" s="1" t="s">
        <v>3073</v>
      </c>
      <c r="G6125" s="410" t="str">
        <f t="shared" si="99"/>
        <v>16-16</v>
      </c>
      <c r="H6125" s="273" t="e">
        <f ca="1">_xludf.IFNA(VLOOKUP(E6125,'Urban Plastix Holds'!$I$37:$U$705,8,0),0)</f>
        <v>#NAME?</v>
      </c>
      <c r="I6125" s="274"/>
      <c r="J6125" s="274" t="e">
        <f t="shared" ca="1" si="100"/>
        <v>#NAME?</v>
      </c>
      <c r="K6125" s="274">
        <f t="shared" si="101"/>
        <v>0</v>
      </c>
      <c r="N6125" s="274"/>
    </row>
    <row r="6126" spans="5:14" ht="13.5" customHeight="1">
      <c r="E6126" s="1" t="s">
        <v>1873</v>
      </c>
      <c r="F6126" s="1" t="s">
        <v>3073</v>
      </c>
      <c r="G6126" s="411" t="str">
        <f t="shared" si="99"/>
        <v>13-01</v>
      </c>
      <c r="H6126" s="273" t="e">
        <f ca="1">_xludf.IFNA(VLOOKUP(E6126,'Urban Plastix Holds'!$I$37:$U$705,9,0),0)</f>
        <v>#NAME?</v>
      </c>
      <c r="I6126" s="274"/>
      <c r="J6126" s="274" t="e">
        <f t="shared" ca="1" si="100"/>
        <v>#NAME?</v>
      </c>
      <c r="K6126" s="274">
        <f t="shared" si="101"/>
        <v>0</v>
      </c>
      <c r="N6126" s="274"/>
    </row>
    <row r="6127" spans="5:14" ht="13.5" customHeight="1">
      <c r="E6127" s="1" t="s">
        <v>1873</v>
      </c>
      <c r="F6127" s="1" t="s">
        <v>3073</v>
      </c>
      <c r="G6127" s="413" t="str">
        <f t="shared" si="99"/>
        <v>07-13</v>
      </c>
      <c r="H6127" s="273" t="e">
        <f ca="1">_xludf.IFNA(VLOOKUP(E6127,'Urban Plastix Holds'!$I$37:$U$705,10,0),0)</f>
        <v>#NAME?</v>
      </c>
      <c r="I6127" s="274"/>
      <c r="J6127" s="274" t="e">
        <f t="shared" ca="1" si="100"/>
        <v>#NAME?</v>
      </c>
      <c r="K6127" s="274">
        <f t="shared" si="101"/>
        <v>0</v>
      </c>
      <c r="N6127" s="274"/>
    </row>
    <row r="6128" spans="5:14" ht="13.5" customHeight="1">
      <c r="E6128" s="1" t="s">
        <v>1873</v>
      </c>
      <c r="F6128" s="1" t="s">
        <v>3073</v>
      </c>
      <c r="G6128" s="414" t="str">
        <f t="shared" si="99"/>
        <v>11-26</v>
      </c>
      <c r="H6128" s="273" t="e">
        <f ca="1">_xludf.IFNA(VLOOKUP(E6128,'Urban Plastix Holds'!$I$37:$U$705,11,0),0)</f>
        <v>#NAME?</v>
      </c>
      <c r="I6128" s="274"/>
      <c r="J6128" s="274" t="e">
        <f t="shared" ca="1" si="100"/>
        <v>#NAME?</v>
      </c>
      <c r="K6128" s="274">
        <f t="shared" si="101"/>
        <v>0</v>
      </c>
      <c r="N6128" s="274"/>
    </row>
    <row r="6129" spans="5:14" ht="13.5" customHeight="1">
      <c r="E6129" s="1" t="s">
        <v>1873</v>
      </c>
      <c r="F6129" s="1" t="s">
        <v>3073</v>
      </c>
      <c r="G6129" s="415" t="str">
        <f t="shared" si="99"/>
        <v>18-01</v>
      </c>
      <c r="H6129" s="273" t="e">
        <f ca="1">_xludf.IFNA(VLOOKUP(E6129,'Urban Plastix Holds'!$I$37:$U$705,12,0),0)</f>
        <v>#NAME?</v>
      </c>
      <c r="I6129" s="274"/>
      <c r="J6129" s="274" t="e">
        <f t="shared" ca="1" si="100"/>
        <v>#NAME?</v>
      </c>
      <c r="K6129" s="274">
        <f t="shared" si="101"/>
        <v>0</v>
      </c>
      <c r="N6129" s="274"/>
    </row>
    <row r="6130" spans="5:14" ht="13.5" customHeight="1">
      <c r="E6130" s="1" t="s">
        <v>1873</v>
      </c>
      <c r="F6130" s="1" t="s">
        <v>3073</v>
      </c>
      <c r="G6130" s="416" t="str">
        <f t="shared" si="99"/>
        <v>Color Code</v>
      </c>
      <c r="H6130" s="273" t="e">
        <f ca="1">_xludf.IFNA(VLOOKUP(E6130,'Urban Plastix Holds'!$I$37:$U$705,13,0),0)</f>
        <v>#NAME?</v>
      </c>
      <c r="I6130" s="274"/>
      <c r="J6130" s="274" t="e">
        <f t="shared" ca="1" si="100"/>
        <v>#NAME?</v>
      </c>
      <c r="K6130" s="274">
        <f t="shared" si="101"/>
        <v>0</v>
      </c>
      <c r="N6130" s="274"/>
    </row>
    <row r="6131" spans="5:14" ht="13.5" customHeight="1">
      <c r="E6131" s="1" t="s">
        <v>1703</v>
      </c>
      <c r="F6131" s="1" t="s">
        <v>3074</v>
      </c>
      <c r="G6131" s="406" t="str">
        <f t="shared" si="99"/>
        <v>11-12</v>
      </c>
      <c r="H6131" s="273" t="e">
        <f ca="1">_xludf.IFNA(VLOOKUP(E6131,'Urban Plastix Holds'!$I$37:$U$705,5,0),0)</f>
        <v>#NAME?</v>
      </c>
      <c r="I6131" s="274"/>
      <c r="J6131" s="274" t="e">
        <f t="shared" ca="1" si="100"/>
        <v>#NAME?</v>
      </c>
      <c r="K6131" s="274">
        <f t="shared" si="101"/>
        <v>0</v>
      </c>
      <c r="N6131" s="274"/>
    </row>
    <row r="6132" spans="5:14" ht="13.5" customHeight="1">
      <c r="E6132" s="1" t="s">
        <v>1703</v>
      </c>
      <c r="F6132" s="1" t="s">
        <v>3074</v>
      </c>
      <c r="G6132" s="408" t="str">
        <f t="shared" si="99"/>
        <v>14-01</v>
      </c>
      <c r="H6132" s="273" t="e">
        <f ca="1">_xludf.IFNA(VLOOKUP(E6132,'Urban Plastix Holds'!$I$37:$U$705,6,0),0)</f>
        <v>#NAME?</v>
      </c>
      <c r="I6132" s="274"/>
      <c r="J6132" s="274" t="e">
        <f t="shared" ca="1" si="100"/>
        <v>#NAME?</v>
      </c>
      <c r="K6132" s="274">
        <f t="shared" si="101"/>
        <v>0</v>
      </c>
      <c r="N6132" s="274"/>
    </row>
    <row r="6133" spans="5:14" ht="13.5" customHeight="1">
      <c r="E6133" s="1" t="s">
        <v>1703</v>
      </c>
      <c r="F6133" s="1" t="s">
        <v>3074</v>
      </c>
      <c r="G6133" s="409" t="str">
        <f t="shared" si="99"/>
        <v>15-12</v>
      </c>
      <c r="H6133" s="273" t="e">
        <f ca="1">_xludf.IFNA(VLOOKUP(E6133,'Urban Plastix Holds'!$I$37:$U$705,7,0),0)</f>
        <v>#NAME?</v>
      </c>
      <c r="I6133" s="274"/>
      <c r="J6133" s="274" t="e">
        <f t="shared" ca="1" si="100"/>
        <v>#NAME?</v>
      </c>
      <c r="K6133" s="274">
        <f t="shared" si="101"/>
        <v>0</v>
      </c>
      <c r="N6133" s="274"/>
    </row>
    <row r="6134" spans="5:14" ht="13.5" customHeight="1">
      <c r="E6134" s="1" t="s">
        <v>1703</v>
      </c>
      <c r="F6134" s="1" t="s">
        <v>3074</v>
      </c>
      <c r="G6134" s="410" t="str">
        <f t="shared" si="99"/>
        <v>16-16</v>
      </c>
      <c r="H6134" s="273" t="e">
        <f ca="1">_xludf.IFNA(VLOOKUP(E6134,'Urban Plastix Holds'!$I$37:$U$705,8,0),0)</f>
        <v>#NAME?</v>
      </c>
      <c r="I6134" s="274"/>
      <c r="J6134" s="274" t="e">
        <f t="shared" ca="1" si="100"/>
        <v>#NAME?</v>
      </c>
      <c r="K6134" s="274">
        <f t="shared" si="101"/>
        <v>0</v>
      </c>
      <c r="N6134" s="274"/>
    </row>
    <row r="6135" spans="5:14" ht="13.5" customHeight="1">
      <c r="E6135" s="1" t="s">
        <v>1703</v>
      </c>
      <c r="F6135" s="1" t="s">
        <v>3074</v>
      </c>
      <c r="G6135" s="411" t="str">
        <f t="shared" si="99"/>
        <v>13-01</v>
      </c>
      <c r="H6135" s="273" t="e">
        <f ca="1">_xludf.IFNA(VLOOKUP(E6135,'Urban Plastix Holds'!$I$37:$U$705,9,0),0)</f>
        <v>#NAME?</v>
      </c>
      <c r="I6135" s="274"/>
      <c r="J6135" s="274" t="e">
        <f t="shared" ca="1" si="100"/>
        <v>#NAME?</v>
      </c>
      <c r="K6135" s="274">
        <f t="shared" si="101"/>
        <v>0</v>
      </c>
      <c r="N6135" s="274"/>
    </row>
    <row r="6136" spans="5:14" ht="13.5" customHeight="1">
      <c r="E6136" s="1" t="s">
        <v>1703</v>
      </c>
      <c r="F6136" s="1" t="s">
        <v>3074</v>
      </c>
      <c r="G6136" s="413" t="str">
        <f t="shared" si="99"/>
        <v>07-13</v>
      </c>
      <c r="H6136" s="273" t="e">
        <f ca="1">_xludf.IFNA(VLOOKUP(E6136,'Urban Plastix Holds'!$I$37:$U$705,10,0),0)</f>
        <v>#NAME?</v>
      </c>
      <c r="I6136" s="274"/>
      <c r="J6136" s="274" t="e">
        <f t="shared" ca="1" si="100"/>
        <v>#NAME?</v>
      </c>
      <c r="K6136" s="274">
        <f t="shared" si="101"/>
        <v>0</v>
      </c>
      <c r="N6136" s="274"/>
    </row>
    <row r="6137" spans="5:14" ht="13.5" customHeight="1">
      <c r="E6137" s="1" t="s">
        <v>1703</v>
      </c>
      <c r="F6137" s="1" t="s">
        <v>3074</v>
      </c>
      <c r="G6137" s="414" t="str">
        <f t="shared" si="99"/>
        <v>11-26</v>
      </c>
      <c r="H6137" s="273" t="e">
        <f ca="1">_xludf.IFNA(VLOOKUP(E6137,'Urban Plastix Holds'!$I$37:$U$705,11,0),0)</f>
        <v>#NAME?</v>
      </c>
      <c r="I6137" s="274"/>
      <c r="J6137" s="274" t="e">
        <f t="shared" ca="1" si="100"/>
        <v>#NAME?</v>
      </c>
      <c r="K6137" s="274">
        <f t="shared" si="101"/>
        <v>0</v>
      </c>
      <c r="N6137" s="274"/>
    </row>
    <row r="6138" spans="5:14" ht="13.5" customHeight="1">
      <c r="E6138" s="1" t="s">
        <v>1703</v>
      </c>
      <c r="F6138" s="1" t="s">
        <v>3074</v>
      </c>
      <c r="G6138" s="415" t="str">
        <f t="shared" si="99"/>
        <v>18-01</v>
      </c>
      <c r="H6138" s="273" t="e">
        <f ca="1">_xludf.IFNA(VLOOKUP(E6138,'Urban Plastix Holds'!$I$37:$U$705,12,0),0)</f>
        <v>#NAME?</v>
      </c>
      <c r="I6138" s="274"/>
      <c r="J6138" s="274" t="e">
        <f t="shared" ca="1" si="100"/>
        <v>#NAME?</v>
      </c>
      <c r="K6138" s="274">
        <f t="shared" si="101"/>
        <v>0</v>
      </c>
      <c r="N6138" s="274"/>
    </row>
    <row r="6139" spans="5:14" ht="13.5" customHeight="1">
      <c r="E6139" s="1" t="s">
        <v>1703</v>
      </c>
      <c r="F6139" s="1" t="s">
        <v>3074</v>
      </c>
      <c r="G6139" s="416" t="str">
        <f t="shared" si="99"/>
        <v>Color Code</v>
      </c>
      <c r="H6139" s="273" t="e">
        <f ca="1">_xludf.IFNA(VLOOKUP(E6139,'Urban Plastix Holds'!$I$37:$U$705,13,0),0)</f>
        <v>#NAME?</v>
      </c>
      <c r="I6139" s="274"/>
      <c r="J6139" s="274" t="e">
        <f t="shared" ca="1" si="100"/>
        <v>#NAME?</v>
      </c>
      <c r="K6139" s="274">
        <f t="shared" si="101"/>
        <v>0</v>
      </c>
      <c r="N6139" s="274"/>
    </row>
    <row r="6140" spans="5:14" ht="13.5" customHeight="1">
      <c r="E6140" s="1" t="s">
        <v>1705</v>
      </c>
      <c r="F6140" s="1" t="s">
        <v>3075</v>
      </c>
      <c r="G6140" s="406" t="str">
        <f t="shared" si="99"/>
        <v>11-12</v>
      </c>
      <c r="H6140" s="273" t="e">
        <f ca="1">_xludf.IFNA(VLOOKUP(E6140,'Urban Plastix Holds'!$I$37:$U$705,5,0),0)</f>
        <v>#NAME?</v>
      </c>
      <c r="I6140" s="274"/>
      <c r="J6140" s="274" t="e">
        <f t="shared" ca="1" si="100"/>
        <v>#NAME?</v>
      </c>
      <c r="K6140" s="274">
        <f t="shared" si="101"/>
        <v>0</v>
      </c>
      <c r="N6140" s="274"/>
    </row>
    <row r="6141" spans="5:14" ht="13.5" customHeight="1">
      <c r="E6141" s="1" t="s">
        <v>1705</v>
      </c>
      <c r="F6141" s="1" t="s">
        <v>3075</v>
      </c>
      <c r="G6141" s="408" t="str">
        <f t="shared" si="99"/>
        <v>14-01</v>
      </c>
      <c r="H6141" s="273" t="e">
        <f ca="1">_xludf.IFNA(VLOOKUP(E6141,'Urban Plastix Holds'!$I$37:$U$705,6,0),0)</f>
        <v>#NAME?</v>
      </c>
      <c r="I6141" s="274"/>
      <c r="J6141" s="274" t="e">
        <f t="shared" ca="1" si="100"/>
        <v>#NAME?</v>
      </c>
      <c r="K6141" s="274">
        <f t="shared" si="101"/>
        <v>0</v>
      </c>
      <c r="N6141" s="274"/>
    </row>
    <row r="6142" spans="5:14" ht="13.5" customHeight="1">
      <c r="E6142" s="1" t="s">
        <v>1705</v>
      </c>
      <c r="F6142" s="1" t="s">
        <v>3075</v>
      </c>
      <c r="G6142" s="409" t="str">
        <f t="shared" si="99"/>
        <v>15-12</v>
      </c>
      <c r="H6142" s="273" t="e">
        <f ca="1">_xludf.IFNA(VLOOKUP(E6142,'Urban Plastix Holds'!$I$37:$U$705,7,0),0)</f>
        <v>#NAME?</v>
      </c>
      <c r="I6142" s="274"/>
      <c r="J6142" s="274" t="e">
        <f t="shared" ca="1" si="100"/>
        <v>#NAME?</v>
      </c>
      <c r="K6142" s="274">
        <f t="shared" si="101"/>
        <v>0</v>
      </c>
      <c r="N6142" s="274"/>
    </row>
    <row r="6143" spans="5:14" ht="13.5" customHeight="1">
      <c r="E6143" s="1" t="s">
        <v>1705</v>
      </c>
      <c r="F6143" s="1" t="s">
        <v>3075</v>
      </c>
      <c r="G6143" s="410" t="str">
        <f t="shared" si="99"/>
        <v>16-16</v>
      </c>
      <c r="H6143" s="273" t="e">
        <f ca="1">_xludf.IFNA(VLOOKUP(E6143,'Urban Plastix Holds'!$I$37:$U$705,8,0),0)</f>
        <v>#NAME?</v>
      </c>
      <c r="I6143" s="274"/>
      <c r="J6143" s="274" t="e">
        <f t="shared" ca="1" si="100"/>
        <v>#NAME?</v>
      </c>
      <c r="K6143" s="274">
        <f t="shared" si="101"/>
        <v>0</v>
      </c>
      <c r="N6143" s="274"/>
    </row>
    <row r="6144" spans="5:14" ht="13.5" customHeight="1">
      <c r="E6144" s="1" t="s">
        <v>1705</v>
      </c>
      <c r="F6144" s="1" t="s">
        <v>3075</v>
      </c>
      <c r="G6144" s="411" t="str">
        <f t="shared" si="99"/>
        <v>13-01</v>
      </c>
      <c r="H6144" s="273" t="e">
        <f ca="1">_xludf.IFNA(VLOOKUP(E6144,'Urban Plastix Holds'!$I$37:$U$705,9,0),0)</f>
        <v>#NAME?</v>
      </c>
      <c r="I6144" s="274"/>
      <c r="J6144" s="274" t="e">
        <f t="shared" ca="1" si="100"/>
        <v>#NAME?</v>
      </c>
      <c r="K6144" s="274">
        <f t="shared" si="101"/>
        <v>0</v>
      </c>
      <c r="N6144" s="274"/>
    </row>
    <row r="6145" spans="5:14" ht="13.5" customHeight="1">
      <c r="E6145" s="1" t="s">
        <v>1705</v>
      </c>
      <c r="F6145" s="1" t="s">
        <v>3075</v>
      </c>
      <c r="G6145" s="413" t="str">
        <f t="shared" si="99"/>
        <v>07-13</v>
      </c>
      <c r="H6145" s="273" t="e">
        <f ca="1">_xludf.IFNA(VLOOKUP(E6145,'Urban Plastix Holds'!$I$37:$U$705,10,0),0)</f>
        <v>#NAME?</v>
      </c>
      <c r="I6145" s="274"/>
      <c r="J6145" s="274" t="e">
        <f t="shared" ca="1" si="100"/>
        <v>#NAME?</v>
      </c>
      <c r="K6145" s="274">
        <f t="shared" si="101"/>
        <v>0</v>
      </c>
      <c r="N6145" s="274"/>
    </row>
    <row r="6146" spans="5:14" ht="13.5" customHeight="1">
      <c r="E6146" s="1" t="s">
        <v>1705</v>
      </c>
      <c r="F6146" s="1" t="s">
        <v>3075</v>
      </c>
      <c r="G6146" s="414" t="str">
        <f t="shared" si="99"/>
        <v>11-26</v>
      </c>
      <c r="H6146" s="273" t="e">
        <f ca="1">_xludf.IFNA(VLOOKUP(E6146,'Urban Plastix Holds'!$I$37:$U$705,11,0),0)</f>
        <v>#NAME?</v>
      </c>
      <c r="I6146" s="274"/>
      <c r="J6146" s="274" t="e">
        <f t="shared" ca="1" si="100"/>
        <v>#NAME?</v>
      </c>
      <c r="K6146" s="274">
        <f t="shared" si="101"/>
        <v>0</v>
      </c>
      <c r="N6146" s="274"/>
    </row>
    <row r="6147" spans="5:14" ht="13.5" customHeight="1">
      <c r="E6147" s="1" t="s">
        <v>1705</v>
      </c>
      <c r="F6147" s="1" t="s">
        <v>3075</v>
      </c>
      <c r="G6147" s="415" t="str">
        <f t="shared" si="99"/>
        <v>18-01</v>
      </c>
      <c r="H6147" s="273" t="e">
        <f ca="1">_xludf.IFNA(VLOOKUP(E6147,'Urban Plastix Holds'!$I$37:$U$705,12,0),0)</f>
        <v>#NAME?</v>
      </c>
      <c r="I6147" s="274"/>
      <c r="J6147" s="274" t="e">
        <f t="shared" ca="1" si="100"/>
        <v>#NAME?</v>
      </c>
      <c r="K6147" s="274">
        <f t="shared" si="101"/>
        <v>0</v>
      </c>
      <c r="N6147" s="274"/>
    </row>
    <row r="6148" spans="5:14" ht="13.5" customHeight="1">
      <c r="E6148" s="1" t="s">
        <v>1705</v>
      </c>
      <c r="F6148" s="1" t="s">
        <v>3075</v>
      </c>
      <c r="G6148" s="416" t="str">
        <f t="shared" si="99"/>
        <v>Color Code</v>
      </c>
      <c r="H6148" s="273" t="e">
        <f ca="1">_xludf.IFNA(VLOOKUP(E6148,'Urban Plastix Holds'!$I$37:$U$705,13,0),0)</f>
        <v>#NAME?</v>
      </c>
      <c r="I6148" s="274"/>
      <c r="J6148" s="274" t="e">
        <f t="shared" ca="1" si="100"/>
        <v>#NAME?</v>
      </c>
      <c r="K6148" s="274">
        <f t="shared" si="101"/>
        <v>0</v>
      </c>
      <c r="N6148" s="274"/>
    </row>
    <row r="6149" spans="5:14" ht="13.5" customHeight="1">
      <c r="E6149" s="1" t="s">
        <v>1715</v>
      </c>
      <c r="F6149" s="1" t="s">
        <v>3076</v>
      </c>
      <c r="G6149" s="406" t="str">
        <f t="shared" ref="G6149:G6220" si="102">G6104</f>
        <v>11-12</v>
      </c>
      <c r="H6149" s="273" t="e">
        <f ca="1">_xludf.IFNA(VLOOKUP(E6149,'Urban Plastix Holds'!$I$37:$U$705,5,0),0)</f>
        <v>#NAME?</v>
      </c>
      <c r="I6149" s="274"/>
      <c r="J6149" s="274" t="e">
        <f t="shared" ca="1" si="100"/>
        <v>#NAME?</v>
      </c>
      <c r="K6149" s="274">
        <f t="shared" si="101"/>
        <v>0</v>
      </c>
      <c r="N6149" s="274"/>
    </row>
    <row r="6150" spans="5:14" ht="13.5" customHeight="1">
      <c r="E6150" s="1" t="s">
        <v>1715</v>
      </c>
      <c r="F6150" s="1" t="s">
        <v>3076</v>
      </c>
      <c r="G6150" s="408" t="str">
        <f t="shared" si="102"/>
        <v>14-01</v>
      </c>
      <c r="H6150" s="273" t="e">
        <f ca="1">_xludf.IFNA(VLOOKUP(E6150,'Urban Plastix Holds'!$I$37:$U$705,6,0),0)</f>
        <v>#NAME?</v>
      </c>
      <c r="I6150" s="274"/>
      <c r="J6150" s="274" t="e">
        <f t="shared" ca="1" si="100"/>
        <v>#NAME?</v>
      </c>
      <c r="K6150" s="274">
        <f t="shared" si="101"/>
        <v>0</v>
      </c>
      <c r="N6150" s="274"/>
    </row>
    <row r="6151" spans="5:14" ht="13.5" customHeight="1">
      <c r="E6151" s="1" t="s">
        <v>1715</v>
      </c>
      <c r="F6151" s="1" t="s">
        <v>3076</v>
      </c>
      <c r="G6151" s="409" t="str">
        <f t="shared" si="102"/>
        <v>15-12</v>
      </c>
      <c r="H6151" s="273" t="e">
        <f ca="1">_xludf.IFNA(VLOOKUP(E6151,'Urban Plastix Holds'!$I$37:$U$705,7,0),0)</f>
        <v>#NAME?</v>
      </c>
      <c r="I6151" s="274"/>
      <c r="J6151" s="274" t="e">
        <f t="shared" ca="1" si="100"/>
        <v>#NAME?</v>
      </c>
      <c r="K6151" s="274">
        <f t="shared" si="101"/>
        <v>0</v>
      </c>
      <c r="N6151" s="274"/>
    </row>
    <row r="6152" spans="5:14" ht="13.5" customHeight="1">
      <c r="E6152" s="1" t="s">
        <v>1715</v>
      </c>
      <c r="F6152" s="1" t="s">
        <v>3076</v>
      </c>
      <c r="G6152" s="410" t="str">
        <f t="shared" si="102"/>
        <v>16-16</v>
      </c>
      <c r="H6152" s="273" t="e">
        <f ca="1">_xludf.IFNA(VLOOKUP(E6152,'Urban Plastix Holds'!$I$37:$U$705,8,0),0)</f>
        <v>#NAME?</v>
      </c>
      <c r="I6152" s="274"/>
      <c r="J6152" s="274" t="e">
        <f t="shared" ca="1" si="100"/>
        <v>#NAME?</v>
      </c>
      <c r="K6152" s="274">
        <f t="shared" si="101"/>
        <v>0</v>
      </c>
      <c r="N6152" s="274"/>
    </row>
    <row r="6153" spans="5:14" ht="13.5" customHeight="1">
      <c r="E6153" s="1" t="s">
        <v>1715</v>
      </c>
      <c r="F6153" s="1" t="s">
        <v>3076</v>
      </c>
      <c r="G6153" s="411" t="str">
        <f t="shared" si="102"/>
        <v>13-01</v>
      </c>
      <c r="H6153" s="273" t="e">
        <f ca="1">_xludf.IFNA(VLOOKUP(E6153,'Urban Plastix Holds'!$I$37:$U$705,9,0),0)</f>
        <v>#NAME?</v>
      </c>
      <c r="I6153" s="274"/>
      <c r="J6153" s="274" t="e">
        <f t="shared" ca="1" si="100"/>
        <v>#NAME?</v>
      </c>
      <c r="K6153" s="274">
        <f t="shared" si="101"/>
        <v>0</v>
      </c>
      <c r="N6153" s="274"/>
    </row>
    <row r="6154" spans="5:14" ht="13.5" customHeight="1">
      <c r="E6154" s="1" t="s">
        <v>1715</v>
      </c>
      <c r="F6154" s="1" t="s">
        <v>3076</v>
      </c>
      <c r="G6154" s="413" t="str">
        <f t="shared" si="102"/>
        <v>07-13</v>
      </c>
      <c r="H6154" s="273" t="e">
        <f ca="1">_xludf.IFNA(VLOOKUP(E6154,'Urban Plastix Holds'!$I$37:$U$705,10,0),0)</f>
        <v>#NAME?</v>
      </c>
      <c r="I6154" s="274"/>
      <c r="J6154" s="274" t="e">
        <f t="shared" ca="1" si="100"/>
        <v>#NAME?</v>
      </c>
      <c r="K6154" s="274">
        <f t="shared" si="101"/>
        <v>0</v>
      </c>
      <c r="N6154" s="274"/>
    </row>
    <row r="6155" spans="5:14" ht="13.5" customHeight="1">
      <c r="E6155" s="1" t="s">
        <v>1715</v>
      </c>
      <c r="F6155" s="1" t="s">
        <v>3076</v>
      </c>
      <c r="G6155" s="414" t="str">
        <f t="shared" si="102"/>
        <v>11-26</v>
      </c>
      <c r="H6155" s="273" t="e">
        <f ca="1">_xludf.IFNA(VLOOKUP(E6155,'Urban Plastix Holds'!$I$37:$U$705,11,0),0)</f>
        <v>#NAME?</v>
      </c>
      <c r="I6155" s="274"/>
      <c r="J6155" s="274" t="e">
        <f t="shared" ca="1" si="100"/>
        <v>#NAME?</v>
      </c>
      <c r="K6155" s="274">
        <f t="shared" si="101"/>
        <v>0</v>
      </c>
      <c r="N6155" s="274"/>
    </row>
    <row r="6156" spans="5:14" ht="13.5" customHeight="1">
      <c r="E6156" s="1" t="s">
        <v>1715</v>
      </c>
      <c r="F6156" s="1" t="s">
        <v>3076</v>
      </c>
      <c r="G6156" s="415" t="str">
        <f t="shared" si="102"/>
        <v>18-01</v>
      </c>
      <c r="H6156" s="273" t="e">
        <f ca="1">_xludf.IFNA(VLOOKUP(E6156,'Urban Plastix Holds'!$I$37:$U$705,12,0),0)</f>
        <v>#NAME?</v>
      </c>
      <c r="I6156" s="274"/>
      <c r="J6156" s="274" t="e">
        <f t="shared" ca="1" si="100"/>
        <v>#NAME?</v>
      </c>
      <c r="K6156" s="274">
        <f t="shared" si="101"/>
        <v>0</v>
      </c>
      <c r="N6156" s="274"/>
    </row>
    <row r="6157" spans="5:14" ht="13.5" customHeight="1">
      <c r="E6157" s="1" t="s">
        <v>1715</v>
      </c>
      <c r="F6157" s="1" t="s">
        <v>3076</v>
      </c>
      <c r="G6157" s="416" t="str">
        <f t="shared" si="102"/>
        <v>Color Code</v>
      </c>
      <c r="H6157" s="273" t="e">
        <f ca="1">_xludf.IFNA(VLOOKUP(E6157,'Urban Plastix Holds'!$I$37:$U$705,13,0),0)</f>
        <v>#NAME?</v>
      </c>
      <c r="I6157" s="274"/>
      <c r="J6157" s="274" t="e">
        <f t="shared" ca="1" si="100"/>
        <v>#NAME?</v>
      </c>
      <c r="K6157" s="274">
        <f t="shared" si="101"/>
        <v>0</v>
      </c>
      <c r="N6157" s="274"/>
    </row>
    <row r="6158" spans="5:14" ht="13.5" customHeight="1">
      <c r="E6158" s="1" t="s">
        <v>1707</v>
      </c>
      <c r="F6158" s="1" t="s">
        <v>3077</v>
      </c>
      <c r="G6158" s="406" t="str">
        <f t="shared" si="102"/>
        <v>11-12</v>
      </c>
      <c r="H6158" s="273" t="e">
        <f ca="1">_xludf.IFNA(VLOOKUP(E6158,'Urban Plastix Holds'!$I$37:$U$705,5,0),0)</f>
        <v>#NAME?</v>
      </c>
      <c r="I6158" s="274"/>
      <c r="J6158" s="274" t="e">
        <f t="shared" ca="1" si="100"/>
        <v>#NAME?</v>
      </c>
      <c r="K6158" s="274">
        <f t="shared" si="101"/>
        <v>0</v>
      </c>
      <c r="N6158" s="274"/>
    </row>
    <row r="6159" spans="5:14" ht="13.5" customHeight="1">
      <c r="E6159" s="1" t="s">
        <v>1707</v>
      </c>
      <c r="F6159" s="1" t="s">
        <v>3077</v>
      </c>
      <c r="G6159" s="408" t="str">
        <f t="shared" si="102"/>
        <v>14-01</v>
      </c>
      <c r="H6159" s="273" t="e">
        <f ca="1">_xludf.IFNA(VLOOKUP(E6159,'Urban Plastix Holds'!$I$37:$U$705,6,0),0)</f>
        <v>#NAME?</v>
      </c>
      <c r="I6159" s="274"/>
      <c r="J6159" s="274" t="e">
        <f t="shared" ca="1" si="100"/>
        <v>#NAME?</v>
      </c>
      <c r="K6159" s="274">
        <f t="shared" si="101"/>
        <v>0</v>
      </c>
      <c r="N6159" s="274"/>
    </row>
    <row r="6160" spans="5:14" ht="13.5" customHeight="1">
      <c r="E6160" s="1" t="s">
        <v>1707</v>
      </c>
      <c r="F6160" s="1" t="s">
        <v>3077</v>
      </c>
      <c r="G6160" s="409" t="str">
        <f t="shared" si="102"/>
        <v>15-12</v>
      </c>
      <c r="H6160" s="273" t="e">
        <f ca="1">_xludf.IFNA(VLOOKUP(E6160,'Urban Plastix Holds'!$I$37:$U$705,7,0),0)</f>
        <v>#NAME?</v>
      </c>
      <c r="I6160" s="274"/>
      <c r="J6160" s="274" t="e">
        <f t="shared" ca="1" si="100"/>
        <v>#NAME?</v>
      </c>
      <c r="K6160" s="274">
        <f t="shared" si="101"/>
        <v>0</v>
      </c>
      <c r="N6160" s="274"/>
    </row>
    <row r="6161" spans="5:14" ht="13.5" customHeight="1">
      <c r="E6161" s="1" t="s">
        <v>1707</v>
      </c>
      <c r="F6161" s="1" t="s">
        <v>3077</v>
      </c>
      <c r="G6161" s="410" t="str">
        <f t="shared" si="102"/>
        <v>16-16</v>
      </c>
      <c r="H6161" s="273" t="e">
        <f ca="1">_xludf.IFNA(VLOOKUP(E6161,'Urban Plastix Holds'!$I$37:$U$705,8,0),0)</f>
        <v>#NAME?</v>
      </c>
      <c r="I6161" s="274"/>
      <c r="J6161" s="274" t="e">
        <f t="shared" ca="1" si="100"/>
        <v>#NAME?</v>
      </c>
      <c r="K6161" s="274">
        <f t="shared" si="101"/>
        <v>0</v>
      </c>
      <c r="N6161" s="274"/>
    </row>
    <row r="6162" spans="5:14" ht="13.5" customHeight="1">
      <c r="E6162" s="1" t="s">
        <v>1707</v>
      </c>
      <c r="F6162" s="1" t="s">
        <v>3077</v>
      </c>
      <c r="G6162" s="411" t="str">
        <f t="shared" si="102"/>
        <v>13-01</v>
      </c>
      <c r="H6162" s="273" t="e">
        <f ca="1">_xludf.IFNA(VLOOKUP(E6162,'Urban Plastix Holds'!$I$37:$U$705,9,0),0)</f>
        <v>#NAME?</v>
      </c>
      <c r="I6162" s="274"/>
      <c r="J6162" s="274" t="e">
        <f t="shared" ca="1" si="100"/>
        <v>#NAME?</v>
      </c>
      <c r="K6162" s="274">
        <f t="shared" si="101"/>
        <v>0</v>
      </c>
      <c r="N6162" s="274"/>
    </row>
    <row r="6163" spans="5:14" ht="13.5" customHeight="1">
      <c r="E6163" s="1" t="s">
        <v>1707</v>
      </c>
      <c r="F6163" s="1" t="s">
        <v>3077</v>
      </c>
      <c r="G6163" s="413" t="str">
        <f t="shared" si="102"/>
        <v>07-13</v>
      </c>
      <c r="H6163" s="273" t="e">
        <f ca="1">_xludf.IFNA(VLOOKUP(E6163,'Urban Plastix Holds'!$I$37:$U$705,10,0),0)</f>
        <v>#NAME?</v>
      </c>
      <c r="I6163" s="274"/>
      <c r="J6163" s="274" t="e">
        <f t="shared" ca="1" si="100"/>
        <v>#NAME?</v>
      </c>
      <c r="K6163" s="274">
        <f t="shared" si="101"/>
        <v>0</v>
      </c>
      <c r="N6163" s="274"/>
    </row>
    <row r="6164" spans="5:14" ht="13.5" customHeight="1">
      <c r="E6164" s="1" t="s">
        <v>1707</v>
      </c>
      <c r="F6164" s="1" t="s">
        <v>3077</v>
      </c>
      <c r="G6164" s="414" t="str">
        <f t="shared" si="102"/>
        <v>11-26</v>
      </c>
      <c r="H6164" s="273" t="e">
        <f ca="1">_xludf.IFNA(VLOOKUP(E6164,'Urban Plastix Holds'!$I$37:$U$705,11,0),0)</f>
        <v>#NAME?</v>
      </c>
      <c r="I6164" s="274"/>
      <c r="J6164" s="274" t="e">
        <f t="shared" ca="1" si="100"/>
        <v>#NAME?</v>
      </c>
      <c r="K6164" s="274">
        <f t="shared" si="101"/>
        <v>0</v>
      </c>
      <c r="N6164" s="274"/>
    </row>
    <row r="6165" spans="5:14" ht="13.5" customHeight="1">
      <c r="E6165" s="1" t="s">
        <v>1707</v>
      </c>
      <c r="F6165" s="1" t="s">
        <v>3077</v>
      </c>
      <c r="G6165" s="415" t="str">
        <f t="shared" si="102"/>
        <v>18-01</v>
      </c>
      <c r="H6165" s="273" t="e">
        <f ca="1">_xludf.IFNA(VLOOKUP(E6165,'Urban Plastix Holds'!$I$37:$U$705,12,0),0)</f>
        <v>#NAME?</v>
      </c>
      <c r="I6165" s="274"/>
      <c r="J6165" s="274" t="e">
        <f t="shared" ca="1" si="100"/>
        <v>#NAME?</v>
      </c>
      <c r="K6165" s="274">
        <f t="shared" si="101"/>
        <v>0</v>
      </c>
      <c r="N6165" s="274"/>
    </row>
    <row r="6166" spans="5:14" ht="13.5" customHeight="1">
      <c r="E6166" s="1" t="s">
        <v>1707</v>
      </c>
      <c r="F6166" s="1" t="s">
        <v>3077</v>
      </c>
      <c r="G6166" s="416" t="str">
        <f t="shared" si="102"/>
        <v>Color Code</v>
      </c>
      <c r="H6166" s="273" t="e">
        <f ca="1">_xludf.IFNA(VLOOKUP(E6166,'Urban Plastix Holds'!$I$37:$U$705,13,0),0)</f>
        <v>#NAME?</v>
      </c>
      <c r="I6166" s="274"/>
      <c r="J6166" s="274" t="e">
        <f t="shared" ca="1" si="100"/>
        <v>#NAME?</v>
      </c>
      <c r="K6166" s="274">
        <f t="shared" si="101"/>
        <v>0</v>
      </c>
      <c r="N6166" s="274"/>
    </row>
    <row r="6167" spans="5:14" ht="13.5" customHeight="1">
      <c r="E6167" s="1" t="s">
        <v>1736</v>
      </c>
      <c r="F6167" s="1" t="s">
        <v>3078</v>
      </c>
      <c r="G6167" s="406" t="str">
        <f t="shared" si="102"/>
        <v>11-12</v>
      </c>
      <c r="H6167" s="273" t="e">
        <f ca="1">_xludf.IFNA(VLOOKUP(E6167,'Urban Plastix Holds'!$I$37:$U$705,5,0),0)</f>
        <v>#NAME?</v>
      </c>
      <c r="I6167" s="274"/>
      <c r="J6167" s="274" t="e">
        <f t="shared" ca="1" si="100"/>
        <v>#NAME?</v>
      </c>
      <c r="K6167" s="274">
        <f t="shared" si="101"/>
        <v>0</v>
      </c>
      <c r="N6167" s="274"/>
    </row>
    <row r="6168" spans="5:14" ht="13.5" customHeight="1">
      <c r="E6168" s="1" t="s">
        <v>1736</v>
      </c>
      <c r="F6168" s="1" t="s">
        <v>3078</v>
      </c>
      <c r="G6168" s="408" t="str">
        <f t="shared" si="102"/>
        <v>14-01</v>
      </c>
      <c r="H6168" s="273" t="e">
        <f ca="1">_xludf.IFNA(VLOOKUP(E6168,'Urban Plastix Holds'!$I$37:$U$705,6,0),0)</f>
        <v>#NAME?</v>
      </c>
      <c r="I6168" s="274"/>
      <c r="J6168" s="274" t="e">
        <f t="shared" ca="1" si="100"/>
        <v>#NAME?</v>
      </c>
      <c r="K6168" s="274">
        <f t="shared" si="101"/>
        <v>0</v>
      </c>
      <c r="N6168" s="274"/>
    </row>
    <row r="6169" spans="5:14" ht="13.5" customHeight="1">
      <c r="E6169" s="1" t="s">
        <v>1736</v>
      </c>
      <c r="F6169" s="1" t="s">
        <v>3078</v>
      </c>
      <c r="G6169" s="409" t="str">
        <f t="shared" si="102"/>
        <v>15-12</v>
      </c>
      <c r="H6169" s="273" t="e">
        <f ca="1">_xludf.IFNA(VLOOKUP(E6169,'Urban Plastix Holds'!$I$37:$U$705,7,0),0)</f>
        <v>#NAME?</v>
      </c>
      <c r="I6169" s="274"/>
      <c r="J6169" s="274" t="e">
        <f t="shared" ca="1" si="100"/>
        <v>#NAME?</v>
      </c>
      <c r="K6169" s="274">
        <f t="shared" si="101"/>
        <v>0</v>
      </c>
      <c r="N6169" s="274"/>
    </row>
    <row r="6170" spans="5:14" ht="13.5" customHeight="1">
      <c r="E6170" s="1" t="s">
        <v>1736</v>
      </c>
      <c r="F6170" s="1" t="s">
        <v>3078</v>
      </c>
      <c r="G6170" s="410" t="str">
        <f t="shared" si="102"/>
        <v>16-16</v>
      </c>
      <c r="H6170" s="273" t="e">
        <f ca="1">_xludf.IFNA(VLOOKUP(E6170,'Urban Plastix Holds'!$I$37:$U$705,8,0),0)</f>
        <v>#NAME?</v>
      </c>
      <c r="I6170" s="274"/>
      <c r="J6170" s="274" t="e">
        <f t="shared" ca="1" si="100"/>
        <v>#NAME?</v>
      </c>
      <c r="K6170" s="274">
        <f t="shared" si="101"/>
        <v>0</v>
      </c>
      <c r="N6170" s="274"/>
    </row>
    <row r="6171" spans="5:14" ht="13.5" customHeight="1">
      <c r="E6171" s="1" t="s">
        <v>1736</v>
      </c>
      <c r="F6171" s="1" t="s">
        <v>3078</v>
      </c>
      <c r="G6171" s="411" t="str">
        <f t="shared" si="102"/>
        <v>13-01</v>
      </c>
      <c r="H6171" s="273" t="e">
        <f ca="1">_xludf.IFNA(VLOOKUP(E6171,'Urban Plastix Holds'!$I$37:$U$705,9,0),0)</f>
        <v>#NAME?</v>
      </c>
      <c r="I6171" s="274"/>
      <c r="J6171" s="274" t="e">
        <f t="shared" ca="1" si="100"/>
        <v>#NAME?</v>
      </c>
      <c r="K6171" s="274">
        <f t="shared" si="101"/>
        <v>0</v>
      </c>
      <c r="N6171" s="274"/>
    </row>
    <row r="6172" spans="5:14" ht="13.5" customHeight="1">
      <c r="E6172" s="1" t="s">
        <v>1736</v>
      </c>
      <c r="F6172" s="1" t="s">
        <v>3078</v>
      </c>
      <c r="G6172" s="413" t="str">
        <f t="shared" si="102"/>
        <v>07-13</v>
      </c>
      <c r="H6172" s="273" t="e">
        <f ca="1">_xludf.IFNA(VLOOKUP(E6172,'Urban Plastix Holds'!$I$37:$U$705,10,0),0)</f>
        <v>#NAME?</v>
      </c>
      <c r="I6172" s="274"/>
      <c r="J6172" s="274" t="e">
        <f t="shared" ca="1" si="100"/>
        <v>#NAME?</v>
      </c>
      <c r="K6172" s="274">
        <f t="shared" si="101"/>
        <v>0</v>
      </c>
      <c r="N6172" s="274"/>
    </row>
    <row r="6173" spans="5:14" ht="13.5" customHeight="1">
      <c r="E6173" s="1" t="s">
        <v>1736</v>
      </c>
      <c r="F6173" s="1" t="s">
        <v>3078</v>
      </c>
      <c r="G6173" s="414" t="str">
        <f t="shared" si="102"/>
        <v>11-26</v>
      </c>
      <c r="H6173" s="273" t="e">
        <f ca="1">_xludf.IFNA(VLOOKUP(E6173,'Urban Plastix Holds'!$I$37:$U$705,11,0),0)</f>
        <v>#NAME?</v>
      </c>
      <c r="I6173" s="274"/>
      <c r="J6173" s="274" t="e">
        <f t="shared" ca="1" si="100"/>
        <v>#NAME?</v>
      </c>
      <c r="K6173" s="274">
        <f t="shared" si="101"/>
        <v>0</v>
      </c>
      <c r="N6173" s="274"/>
    </row>
    <row r="6174" spans="5:14" ht="13.5" customHeight="1">
      <c r="E6174" s="1" t="s">
        <v>1736</v>
      </c>
      <c r="F6174" s="1" t="s">
        <v>3078</v>
      </c>
      <c r="G6174" s="415" t="str">
        <f t="shared" si="102"/>
        <v>18-01</v>
      </c>
      <c r="H6174" s="273" t="e">
        <f ca="1">_xludf.IFNA(VLOOKUP(E6174,'Urban Plastix Holds'!$I$37:$U$705,12,0),0)</f>
        <v>#NAME?</v>
      </c>
      <c r="I6174" s="274"/>
      <c r="J6174" s="274" t="e">
        <f t="shared" ca="1" si="100"/>
        <v>#NAME?</v>
      </c>
      <c r="K6174" s="274">
        <f t="shared" si="101"/>
        <v>0</v>
      </c>
      <c r="N6174" s="274"/>
    </row>
    <row r="6175" spans="5:14" ht="13.5" customHeight="1">
      <c r="E6175" s="1" t="s">
        <v>1736</v>
      </c>
      <c r="F6175" s="1" t="s">
        <v>3078</v>
      </c>
      <c r="G6175" s="416" t="str">
        <f t="shared" si="102"/>
        <v>Color Code</v>
      </c>
      <c r="H6175" s="273" t="e">
        <f ca="1">_xludf.IFNA(VLOOKUP(E6175,'Urban Plastix Holds'!$I$37:$U$705,13,0),0)</f>
        <v>#NAME?</v>
      </c>
      <c r="I6175" s="274"/>
      <c r="J6175" s="274" t="e">
        <f t="shared" ca="1" si="100"/>
        <v>#NAME?</v>
      </c>
      <c r="K6175" s="274">
        <f t="shared" si="101"/>
        <v>0</v>
      </c>
      <c r="N6175" s="274"/>
    </row>
    <row r="6176" spans="5:14" ht="13.5" customHeight="1">
      <c r="E6176" s="1" t="s">
        <v>1725</v>
      </c>
      <c r="F6176" s="1" t="s">
        <v>3079</v>
      </c>
      <c r="G6176" s="406" t="str">
        <f t="shared" si="102"/>
        <v>11-12</v>
      </c>
      <c r="H6176" s="273" t="e">
        <f ca="1">_xludf.IFNA(VLOOKUP(E6176,'Urban Plastix Holds'!$I$37:$U$705,5,0),0)</f>
        <v>#NAME?</v>
      </c>
      <c r="I6176" s="274"/>
      <c r="J6176" s="274" t="e">
        <f t="shared" ca="1" si="100"/>
        <v>#NAME?</v>
      </c>
      <c r="K6176" s="274">
        <f t="shared" si="101"/>
        <v>0</v>
      </c>
      <c r="N6176" s="274"/>
    </row>
    <row r="6177" spans="5:14" ht="13.5" customHeight="1">
      <c r="E6177" s="1" t="s">
        <v>1725</v>
      </c>
      <c r="F6177" s="1" t="s">
        <v>3079</v>
      </c>
      <c r="G6177" s="408" t="str">
        <f t="shared" si="102"/>
        <v>14-01</v>
      </c>
      <c r="H6177" s="273" t="e">
        <f ca="1">_xludf.IFNA(VLOOKUP(E6177,'Urban Plastix Holds'!$I$37:$U$705,6,0),0)</f>
        <v>#NAME?</v>
      </c>
      <c r="I6177" s="274"/>
      <c r="J6177" s="274" t="e">
        <f t="shared" ca="1" si="100"/>
        <v>#NAME?</v>
      </c>
      <c r="K6177" s="274">
        <f t="shared" si="101"/>
        <v>0</v>
      </c>
      <c r="N6177" s="274"/>
    </row>
    <row r="6178" spans="5:14" ht="13.5" customHeight="1">
      <c r="E6178" s="1" t="s">
        <v>1725</v>
      </c>
      <c r="F6178" s="1" t="s">
        <v>3079</v>
      </c>
      <c r="G6178" s="409" t="str">
        <f t="shared" si="102"/>
        <v>15-12</v>
      </c>
      <c r="H6178" s="273" t="e">
        <f ca="1">_xludf.IFNA(VLOOKUP(E6178,'Urban Plastix Holds'!$I$37:$U$705,7,0),0)</f>
        <v>#NAME?</v>
      </c>
      <c r="I6178" s="274"/>
      <c r="J6178" s="274" t="e">
        <f t="shared" ca="1" si="100"/>
        <v>#NAME?</v>
      </c>
      <c r="K6178" s="274">
        <f t="shared" si="101"/>
        <v>0</v>
      </c>
      <c r="N6178" s="274"/>
    </row>
    <row r="6179" spans="5:14" ht="13.5" customHeight="1">
      <c r="E6179" s="1" t="s">
        <v>1725</v>
      </c>
      <c r="F6179" s="1" t="s">
        <v>3079</v>
      </c>
      <c r="G6179" s="410" t="str">
        <f t="shared" si="102"/>
        <v>16-16</v>
      </c>
      <c r="H6179" s="273" t="e">
        <f ca="1">_xludf.IFNA(VLOOKUP(E6179,'Urban Plastix Holds'!$I$37:$U$705,8,0),0)</f>
        <v>#NAME?</v>
      </c>
      <c r="I6179" s="274"/>
      <c r="J6179" s="274" t="e">
        <f t="shared" ca="1" si="100"/>
        <v>#NAME?</v>
      </c>
      <c r="K6179" s="274">
        <f t="shared" si="101"/>
        <v>0</v>
      </c>
      <c r="N6179" s="274"/>
    </row>
    <row r="6180" spans="5:14" ht="13.5" customHeight="1">
      <c r="E6180" s="1" t="s">
        <v>1725</v>
      </c>
      <c r="F6180" s="1" t="s">
        <v>3079</v>
      </c>
      <c r="G6180" s="411" t="str">
        <f t="shared" si="102"/>
        <v>13-01</v>
      </c>
      <c r="H6180" s="273" t="e">
        <f ca="1">_xludf.IFNA(VLOOKUP(E6180,'Urban Plastix Holds'!$I$37:$U$705,9,0),0)</f>
        <v>#NAME?</v>
      </c>
      <c r="I6180" s="274"/>
      <c r="J6180" s="274" t="e">
        <f t="shared" ca="1" si="100"/>
        <v>#NAME?</v>
      </c>
      <c r="K6180" s="274">
        <f t="shared" si="101"/>
        <v>0</v>
      </c>
      <c r="N6180" s="274"/>
    </row>
    <row r="6181" spans="5:14" ht="13.5" customHeight="1">
      <c r="E6181" s="1" t="s">
        <v>1725</v>
      </c>
      <c r="F6181" s="1" t="s">
        <v>3079</v>
      </c>
      <c r="G6181" s="413" t="str">
        <f t="shared" si="102"/>
        <v>07-13</v>
      </c>
      <c r="H6181" s="273" t="e">
        <f ca="1">_xludf.IFNA(VLOOKUP(E6181,'Urban Plastix Holds'!$I$37:$U$705,10,0),0)</f>
        <v>#NAME?</v>
      </c>
      <c r="I6181" s="274"/>
      <c r="J6181" s="274" t="e">
        <f t="shared" ca="1" si="100"/>
        <v>#NAME?</v>
      </c>
      <c r="K6181" s="274">
        <f t="shared" si="101"/>
        <v>0</v>
      </c>
      <c r="N6181" s="274"/>
    </row>
    <row r="6182" spans="5:14" ht="13.5" customHeight="1">
      <c r="E6182" s="1" t="s">
        <v>1725</v>
      </c>
      <c r="F6182" s="1" t="s">
        <v>3079</v>
      </c>
      <c r="G6182" s="414" t="str">
        <f t="shared" si="102"/>
        <v>11-26</v>
      </c>
      <c r="H6182" s="273" t="e">
        <f ca="1">_xludf.IFNA(VLOOKUP(E6182,'Urban Plastix Holds'!$I$37:$U$705,11,0),0)</f>
        <v>#NAME?</v>
      </c>
      <c r="I6182" s="274"/>
      <c r="J6182" s="274" t="e">
        <f t="shared" ca="1" si="100"/>
        <v>#NAME?</v>
      </c>
      <c r="K6182" s="274">
        <f t="shared" si="101"/>
        <v>0</v>
      </c>
      <c r="N6182" s="274"/>
    </row>
    <row r="6183" spans="5:14" ht="13.5" customHeight="1">
      <c r="E6183" s="1" t="s">
        <v>1725</v>
      </c>
      <c r="F6183" s="1" t="s">
        <v>3079</v>
      </c>
      <c r="G6183" s="415" t="str">
        <f t="shared" si="102"/>
        <v>18-01</v>
      </c>
      <c r="H6183" s="273" t="e">
        <f ca="1">_xludf.IFNA(VLOOKUP(E6183,'Urban Plastix Holds'!$I$37:$U$705,12,0),0)</f>
        <v>#NAME?</v>
      </c>
      <c r="I6183" s="274"/>
      <c r="J6183" s="274" t="e">
        <f t="shared" ca="1" si="100"/>
        <v>#NAME?</v>
      </c>
      <c r="K6183" s="274">
        <f t="shared" si="101"/>
        <v>0</v>
      </c>
      <c r="N6183" s="274"/>
    </row>
    <row r="6184" spans="5:14" ht="13.5" customHeight="1">
      <c r="E6184" s="1" t="s">
        <v>1725</v>
      </c>
      <c r="F6184" s="1" t="s">
        <v>3079</v>
      </c>
      <c r="G6184" s="416" t="str">
        <f t="shared" si="102"/>
        <v>Color Code</v>
      </c>
      <c r="H6184" s="273" t="e">
        <f ca="1">_xludf.IFNA(VLOOKUP(E6184,'Urban Plastix Holds'!$I$37:$U$705,13,0),0)</f>
        <v>#NAME?</v>
      </c>
      <c r="I6184" s="274"/>
      <c r="J6184" s="274" t="e">
        <f t="shared" ca="1" si="100"/>
        <v>#NAME?</v>
      </c>
      <c r="K6184" s="274">
        <f t="shared" si="101"/>
        <v>0</v>
      </c>
      <c r="N6184" s="274"/>
    </row>
    <row r="6185" spans="5:14" ht="13.5" customHeight="1">
      <c r="E6185" s="1" t="s">
        <v>1738</v>
      </c>
      <c r="F6185" s="1" t="s">
        <v>3080</v>
      </c>
      <c r="G6185" s="406" t="str">
        <f t="shared" si="102"/>
        <v>11-12</v>
      </c>
      <c r="H6185" s="273" t="e">
        <f ca="1">_xludf.IFNA(VLOOKUP(E6185,'Urban Plastix Holds'!$I$37:$U$705,5,0),0)</f>
        <v>#NAME?</v>
      </c>
      <c r="I6185" s="274"/>
      <c r="J6185" s="274" t="e">
        <f t="shared" ca="1" si="100"/>
        <v>#NAME?</v>
      </c>
      <c r="K6185" s="274">
        <f t="shared" si="101"/>
        <v>0</v>
      </c>
      <c r="N6185" s="274"/>
    </row>
    <row r="6186" spans="5:14" ht="13.5" customHeight="1">
      <c r="E6186" s="1" t="s">
        <v>1738</v>
      </c>
      <c r="F6186" s="1" t="s">
        <v>3080</v>
      </c>
      <c r="G6186" s="408" t="str">
        <f t="shared" si="102"/>
        <v>14-01</v>
      </c>
      <c r="H6186" s="273" t="e">
        <f ca="1">_xludf.IFNA(VLOOKUP(E6186,'Urban Plastix Holds'!$I$37:$U$705,6,0),0)</f>
        <v>#NAME?</v>
      </c>
      <c r="I6186" s="274"/>
      <c r="J6186" s="274" t="e">
        <f t="shared" ca="1" si="100"/>
        <v>#NAME?</v>
      </c>
      <c r="K6186" s="274">
        <f t="shared" si="101"/>
        <v>0</v>
      </c>
      <c r="N6186" s="274"/>
    </row>
    <row r="6187" spans="5:14" ht="13.5" customHeight="1">
      <c r="E6187" s="1" t="s">
        <v>1738</v>
      </c>
      <c r="F6187" s="1" t="s">
        <v>3080</v>
      </c>
      <c r="G6187" s="409" t="str">
        <f t="shared" si="102"/>
        <v>15-12</v>
      </c>
      <c r="H6187" s="273" t="e">
        <f ca="1">_xludf.IFNA(VLOOKUP(E6187,'Urban Plastix Holds'!$I$37:$U$705,7,0),0)</f>
        <v>#NAME?</v>
      </c>
      <c r="I6187" s="274"/>
      <c r="J6187" s="274" t="e">
        <f t="shared" ca="1" si="100"/>
        <v>#NAME?</v>
      </c>
      <c r="K6187" s="274">
        <f t="shared" si="101"/>
        <v>0</v>
      </c>
      <c r="N6187" s="274"/>
    </row>
    <row r="6188" spans="5:14" ht="13.5" customHeight="1">
      <c r="E6188" s="1" t="s">
        <v>1738</v>
      </c>
      <c r="F6188" s="1" t="s">
        <v>3080</v>
      </c>
      <c r="G6188" s="410" t="str">
        <f t="shared" si="102"/>
        <v>16-16</v>
      </c>
      <c r="H6188" s="273" t="e">
        <f ca="1">_xludf.IFNA(VLOOKUP(E6188,'Urban Plastix Holds'!$I$37:$U$705,8,0),0)</f>
        <v>#NAME?</v>
      </c>
      <c r="I6188" s="274"/>
      <c r="J6188" s="274" t="e">
        <f t="shared" ca="1" si="100"/>
        <v>#NAME?</v>
      </c>
      <c r="K6188" s="274">
        <f t="shared" si="101"/>
        <v>0</v>
      </c>
      <c r="N6188" s="274"/>
    </row>
    <row r="6189" spans="5:14" ht="13.5" customHeight="1">
      <c r="E6189" s="1" t="s">
        <v>1738</v>
      </c>
      <c r="F6189" s="1" t="s">
        <v>3080</v>
      </c>
      <c r="G6189" s="411" t="str">
        <f t="shared" si="102"/>
        <v>13-01</v>
      </c>
      <c r="H6189" s="273" t="e">
        <f ca="1">_xludf.IFNA(VLOOKUP(E6189,'Urban Plastix Holds'!$I$37:$U$705,9,0),0)</f>
        <v>#NAME?</v>
      </c>
      <c r="I6189" s="274"/>
      <c r="J6189" s="274" t="e">
        <f t="shared" ca="1" si="100"/>
        <v>#NAME?</v>
      </c>
      <c r="K6189" s="274">
        <f t="shared" si="101"/>
        <v>0</v>
      </c>
      <c r="N6189" s="274"/>
    </row>
    <row r="6190" spans="5:14" ht="13.5" customHeight="1">
      <c r="E6190" s="1" t="s">
        <v>1738</v>
      </c>
      <c r="F6190" s="1" t="s">
        <v>3080</v>
      </c>
      <c r="G6190" s="413" t="str">
        <f t="shared" si="102"/>
        <v>07-13</v>
      </c>
      <c r="H6190" s="273" t="e">
        <f ca="1">_xludf.IFNA(VLOOKUP(E6190,'Urban Plastix Holds'!$I$37:$U$705,10,0),0)</f>
        <v>#NAME?</v>
      </c>
      <c r="I6190" s="274"/>
      <c r="J6190" s="274" t="e">
        <f t="shared" ca="1" si="100"/>
        <v>#NAME?</v>
      </c>
      <c r="K6190" s="274">
        <f t="shared" si="101"/>
        <v>0</v>
      </c>
      <c r="N6190" s="274"/>
    </row>
    <row r="6191" spans="5:14" ht="13.5" customHeight="1">
      <c r="E6191" s="1" t="s">
        <v>1738</v>
      </c>
      <c r="F6191" s="1" t="s">
        <v>3080</v>
      </c>
      <c r="G6191" s="414" t="str">
        <f t="shared" si="102"/>
        <v>11-26</v>
      </c>
      <c r="H6191" s="273" t="e">
        <f ca="1">_xludf.IFNA(VLOOKUP(E6191,'Urban Plastix Holds'!$I$37:$U$705,11,0),0)</f>
        <v>#NAME?</v>
      </c>
      <c r="I6191" s="274"/>
      <c r="J6191" s="274" t="e">
        <f t="shared" ca="1" si="100"/>
        <v>#NAME?</v>
      </c>
      <c r="K6191" s="274">
        <f t="shared" si="101"/>
        <v>0</v>
      </c>
      <c r="N6191" s="274"/>
    </row>
    <row r="6192" spans="5:14" ht="13.5" customHeight="1">
      <c r="E6192" s="1" t="s">
        <v>1738</v>
      </c>
      <c r="F6192" s="1" t="s">
        <v>3080</v>
      </c>
      <c r="G6192" s="415" t="str">
        <f t="shared" si="102"/>
        <v>18-01</v>
      </c>
      <c r="H6192" s="273" t="e">
        <f ca="1">_xludf.IFNA(VLOOKUP(E6192,'Urban Plastix Holds'!$I$37:$U$705,12,0),0)</f>
        <v>#NAME?</v>
      </c>
      <c r="I6192" s="274"/>
      <c r="J6192" s="274" t="e">
        <f t="shared" ca="1" si="100"/>
        <v>#NAME?</v>
      </c>
      <c r="K6192" s="274">
        <f t="shared" si="101"/>
        <v>0</v>
      </c>
      <c r="N6192" s="274"/>
    </row>
    <row r="6193" spans="5:14" ht="13.5" customHeight="1">
      <c r="E6193" s="1" t="s">
        <v>1738</v>
      </c>
      <c r="F6193" s="1" t="s">
        <v>3080</v>
      </c>
      <c r="G6193" s="416" t="str">
        <f t="shared" si="102"/>
        <v>Color Code</v>
      </c>
      <c r="H6193" s="273" t="e">
        <f ca="1">_xludf.IFNA(VLOOKUP(E6193,'Urban Plastix Holds'!$I$37:$U$705,13,0),0)</f>
        <v>#NAME?</v>
      </c>
      <c r="I6193" s="274"/>
      <c r="J6193" s="274" t="e">
        <f t="shared" ca="1" si="100"/>
        <v>#NAME?</v>
      </c>
      <c r="K6193" s="274">
        <f t="shared" si="101"/>
        <v>0</v>
      </c>
      <c r="N6193" s="274"/>
    </row>
    <row r="6194" spans="5:14" ht="13.5" customHeight="1">
      <c r="E6194" s="1" t="s">
        <v>1729</v>
      </c>
      <c r="F6194" s="1" t="s">
        <v>3081</v>
      </c>
      <c r="G6194" s="406" t="str">
        <f t="shared" si="102"/>
        <v>11-12</v>
      </c>
      <c r="H6194" s="273" t="e">
        <f ca="1">_xludf.IFNA(VLOOKUP(E6194,'Urban Plastix Holds'!$I$37:$U$705,5,0),0)</f>
        <v>#NAME?</v>
      </c>
      <c r="I6194" s="274"/>
      <c r="J6194" s="274" t="e">
        <f t="shared" ca="1" si="100"/>
        <v>#NAME?</v>
      </c>
      <c r="K6194" s="274">
        <f t="shared" si="101"/>
        <v>0</v>
      </c>
      <c r="N6194" s="274"/>
    </row>
    <row r="6195" spans="5:14" ht="13.5" customHeight="1">
      <c r="E6195" s="1" t="s">
        <v>1729</v>
      </c>
      <c r="F6195" s="1" t="s">
        <v>3081</v>
      </c>
      <c r="G6195" s="408" t="str">
        <f t="shared" si="102"/>
        <v>14-01</v>
      </c>
      <c r="H6195" s="273" t="e">
        <f ca="1">_xludf.IFNA(VLOOKUP(E6195,'Urban Plastix Holds'!$I$37:$U$705,6,0),0)</f>
        <v>#NAME?</v>
      </c>
      <c r="I6195" s="274"/>
      <c r="J6195" s="274" t="e">
        <f t="shared" ca="1" si="100"/>
        <v>#NAME?</v>
      </c>
      <c r="K6195" s="274">
        <f t="shared" si="101"/>
        <v>0</v>
      </c>
      <c r="N6195" s="274"/>
    </row>
    <row r="6196" spans="5:14" ht="13.5" customHeight="1">
      <c r="E6196" s="1" t="s">
        <v>1729</v>
      </c>
      <c r="F6196" s="1" t="s">
        <v>3081</v>
      </c>
      <c r="G6196" s="409" t="str">
        <f t="shared" si="102"/>
        <v>15-12</v>
      </c>
      <c r="H6196" s="273" t="e">
        <f ca="1">_xludf.IFNA(VLOOKUP(E6196,'Urban Plastix Holds'!$I$37:$U$705,7,0),0)</f>
        <v>#NAME?</v>
      </c>
      <c r="I6196" s="274"/>
      <c r="J6196" s="274" t="e">
        <f t="shared" ca="1" si="100"/>
        <v>#NAME?</v>
      </c>
      <c r="K6196" s="274">
        <f t="shared" si="101"/>
        <v>0</v>
      </c>
      <c r="N6196" s="274"/>
    </row>
    <row r="6197" spans="5:14" ht="13.5" customHeight="1">
      <c r="E6197" s="1" t="s">
        <v>1729</v>
      </c>
      <c r="F6197" s="1" t="s">
        <v>3081</v>
      </c>
      <c r="G6197" s="410" t="str">
        <f t="shared" si="102"/>
        <v>16-16</v>
      </c>
      <c r="H6197" s="273" t="e">
        <f ca="1">_xludf.IFNA(VLOOKUP(E6197,'Urban Plastix Holds'!$I$37:$U$705,8,0),0)</f>
        <v>#NAME?</v>
      </c>
      <c r="I6197" s="274"/>
      <c r="J6197" s="274" t="e">
        <f t="shared" ca="1" si="100"/>
        <v>#NAME?</v>
      </c>
      <c r="K6197" s="274">
        <f t="shared" si="101"/>
        <v>0</v>
      </c>
      <c r="N6197" s="274"/>
    </row>
    <row r="6198" spans="5:14" ht="13.5" customHeight="1">
      <c r="E6198" s="1" t="s">
        <v>1729</v>
      </c>
      <c r="F6198" s="1" t="s">
        <v>3081</v>
      </c>
      <c r="G6198" s="411" t="str">
        <f t="shared" si="102"/>
        <v>13-01</v>
      </c>
      <c r="H6198" s="273" t="e">
        <f ca="1">_xludf.IFNA(VLOOKUP(E6198,'Urban Plastix Holds'!$I$37:$U$705,9,0),0)</f>
        <v>#NAME?</v>
      </c>
      <c r="I6198" s="274"/>
      <c r="J6198" s="274" t="e">
        <f t="shared" ca="1" si="100"/>
        <v>#NAME?</v>
      </c>
      <c r="K6198" s="274">
        <f t="shared" si="101"/>
        <v>0</v>
      </c>
      <c r="N6198" s="274"/>
    </row>
    <row r="6199" spans="5:14" ht="13.5" customHeight="1">
      <c r="E6199" s="1" t="s">
        <v>1729</v>
      </c>
      <c r="F6199" s="1" t="s">
        <v>3081</v>
      </c>
      <c r="G6199" s="413" t="str">
        <f t="shared" si="102"/>
        <v>07-13</v>
      </c>
      <c r="H6199" s="273" t="e">
        <f ca="1">_xludf.IFNA(VLOOKUP(E6199,'Urban Plastix Holds'!$I$37:$U$705,10,0),0)</f>
        <v>#NAME?</v>
      </c>
      <c r="I6199" s="274"/>
      <c r="J6199" s="274" t="e">
        <f t="shared" ca="1" si="100"/>
        <v>#NAME?</v>
      </c>
      <c r="K6199" s="274">
        <f t="shared" si="101"/>
        <v>0</v>
      </c>
      <c r="N6199" s="274"/>
    </row>
    <row r="6200" spans="5:14" ht="13.5" customHeight="1">
      <c r="E6200" s="1" t="s">
        <v>1729</v>
      </c>
      <c r="F6200" s="1" t="s">
        <v>3081</v>
      </c>
      <c r="G6200" s="414" t="str">
        <f t="shared" si="102"/>
        <v>11-26</v>
      </c>
      <c r="H6200" s="273" t="e">
        <f ca="1">_xludf.IFNA(VLOOKUP(E6200,'Urban Plastix Holds'!$I$37:$U$705,11,0),0)</f>
        <v>#NAME?</v>
      </c>
      <c r="I6200" s="274"/>
      <c r="J6200" s="274" t="e">
        <f t="shared" ca="1" si="100"/>
        <v>#NAME?</v>
      </c>
      <c r="K6200" s="274">
        <f t="shared" si="101"/>
        <v>0</v>
      </c>
      <c r="N6200" s="274"/>
    </row>
    <row r="6201" spans="5:14" ht="13.5" customHeight="1">
      <c r="E6201" s="1" t="s">
        <v>1729</v>
      </c>
      <c r="F6201" s="1" t="s">
        <v>3081</v>
      </c>
      <c r="G6201" s="415" t="str">
        <f t="shared" si="102"/>
        <v>18-01</v>
      </c>
      <c r="H6201" s="273" t="e">
        <f ca="1">_xludf.IFNA(VLOOKUP(E6201,'Urban Plastix Holds'!$I$37:$U$705,12,0),0)</f>
        <v>#NAME?</v>
      </c>
      <c r="I6201" s="274"/>
      <c r="J6201" s="274" t="e">
        <f t="shared" ca="1" si="100"/>
        <v>#NAME?</v>
      </c>
      <c r="K6201" s="274">
        <f t="shared" si="101"/>
        <v>0</v>
      </c>
      <c r="N6201" s="274"/>
    </row>
    <row r="6202" spans="5:14" ht="13.5" customHeight="1">
      <c r="E6202" s="1" t="s">
        <v>1729</v>
      </c>
      <c r="F6202" s="1" t="s">
        <v>3081</v>
      </c>
      <c r="G6202" s="416" t="str">
        <f t="shared" si="102"/>
        <v>Color Code</v>
      </c>
      <c r="H6202" s="273" t="e">
        <f ca="1">_xludf.IFNA(VLOOKUP(E6202,'Urban Plastix Holds'!$I$37:$U$705,13,0),0)</f>
        <v>#NAME?</v>
      </c>
      <c r="I6202" s="274"/>
      <c r="J6202" s="274" t="e">
        <f t="shared" ca="1" si="100"/>
        <v>#NAME?</v>
      </c>
      <c r="K6202" s="274">
        <f t="shared" si="101"/>
        <v>0</v>
      </c>
      <c r="N6202" s="274"/>
    </row>
    <row r="6203" spans="5:14" ht="13.5" customHeight="1">
      <c r="E6203" s="1" t="s">
        <v>1709</v>
      </c>
      <c r="F6203" s="1" t="s">
        <v>3082</v>
      </c>
      <c r="G6203" s="406" t="str">
        <f t="shared" si="102"/>
        <v>11-12</v>
      </c>
      <c r="H6203" s="273" t="e">
        <f ca="1">_xludf.IFNA(VLOOKUP(E6203,'Urban Plastix Holds'!$I$37:$U$705,5,0),0)</f>
        <v>#NAME?</v>
      </c>
      <c r="I6203" s="274"/>
      <c r="J6203" s="274" t="e">
        <f t="shared" ca="1" si="100"/>
        <v>#NAME?</v>
      </c>
      <c r="K6203" s="274">
        <f t="shared" si="101"/>
        <v>0</v>
      </c>
      <c r="N6203" s="274"/>
    </row>
    <row r="6204" spans="5:14" ht="13.5" customHeight="1">
      <c r="E6204" s="1" t="s">
        <v>1709</v>
      </c>
      <c r="F6204" s="1" t="s">
        <v>3082</v>
      </c>
      <c r="G6204" s="408" t="str">
        <f t="shared" si="102"/>
        <v>14-01</v>
      </c>
      <c r="H6204" s="273" t="e">
        <f ca="1">_xludf.IFNA(VLOOKUP(E6204,'Urban Plastix Holds'!$I$37:$U$705,6,0),0)</f>
        <v>#NAME?</v>
      </c>
      <c r="I6204" s="274"/>
      <c r="J6204" s="274" t="e">
        <f t="shared" ca="1" si="100"/>
        <v>#NAME?</v>
      </c>
      <c r="K6204" s="274">
        <f t="shared" si="101"/>
        <v>0</v>
      </c>
      <c r="N6204" s="274"/>
    </row>
    <row r="6205" spans="5:14" ht="13.5" customHeight="1">
      <c r="E6205" s="1" t="s">
        <v>1709</v>
      </c>
      <c r="F6205" s="1" t="s">
        <v>3082</v>
      </c>
      <c r="G6205" s="409" t="str">
        <f t="shared" si="102"/>
        <v>15-12</v>
      </c>
      <c r="H6205" s="273" t="e">
        <f ca="1">_xludf.IFNA(VLOOKUP(E6205,'Urban Plastix Holds'!$I$37:$U$705,7,0),0)</f>
        <v>#NAME?</v>
      </c>
      <c r="I6205" s="274"/>
      <c r="J6205" s="274" t="e">
        <f t="shared" ca="1" si="100"/>
        <v>#NAME?</v>
      </c>
      <c r="K6205" s="274">
        <f t="shared" si="101"/>
        <v>0</v>
      </c>
      <c r="N6205" s="274"/>
    </row>
    <row r="6206" spans="5:14" ht="13.5" customHeight="1">
      <c r="E6206" s="1" t="s">
        <v>1709</v>
      </c>
      <c r="F6206" s="1" t="s">
        <v>3082</v>
      </c>
      <c r="G6206" s="410" t="str">
        <f t="shared" si="102"/>
        <v>16-16</v>
      </c>
      <c r="H6206" s="273" t="e">
        <f ca="1">_xludf.IFNA(VLOOKUP(E6206,'Urban Plastix Holds'!$I$37:$U$705,8,0),0)</f>
        <v>#NAME?</v>
      </c>
      <c r="I6206" s="274"/>
      <c r="J6206" s="274" t="e">
        <f t="shared" ca="1" si="100"/>
        <v>#NAME?</v>
      </c>
      <c r="K6206" s="274">
        <f t="shared" si="101"/>
        <v>0</v>
      </c>
      <c r="N6206" s="274"/>
    </row>
    <row r="6207" spans="5:14" ht="13.5" customHeight="1">
      <c r="E6207" s="1" t="s">
        <v>1709</v>
      </c>
      <c r="F6207" s="1" t="s">
        <v>3082</v>
      </c>
      <c r="G6207" s="411" t="str">
        <f t="shared" si="102"/>
        <v>13-01</v>
      </c>
      <c r="H6207" s="273" t="e">
        <f ca="1">_xludf.IFNA(VLOOKUP(E6207,'Urban Plastix Holds'!$I$37:$U$705,9,0),0)</f>
        <v>#NAME?</v>
      </c>
      <c r="I6207" s="274"/>
      <c r="J6207" s="274" t="e">
        <f t="shared" ca="1" si="100"/>
        <v>#NAME?</v>
      </c>
      <c r="K6207" s="274">
        <f t="shared" si="101"/>
        <v>0</v>
      </c>
      <c r="N6207" s="274"/>
    </row>
    <row r="6208" spans="5:14" ht="13.5" customHeight="1">
      <c r="E6208" s="1" t="s">
        <v>1709</v>
      </c>
      <c r="F6208" s="1" t="s">
        <v>3082</v>
      </c>
      <c r="G6208" s="413" t="str">
        <f t="shared" si="102"/>
        <v>07-13</v>
      </c>
      <c r="H6208" s="273" t="e">
        <f ca="1">_xludf.IFNA(VLOOKUP(E6208,'Urban Plastix Holds'!$I$37:$U$705,10,0),0)</f>
        <v>#NAME?</v>
      </c>
      <c r="I6208" s="274"/>
      <c r="J6208" s="274" t="e">
        <f t="shared" ca="1" si="100"/>
        <v>#NAME?</v>
      </c>
      <c r="K6208" s="274">
        <f t="shared" si="101"/>
        <v>0</v>
      </c>
      <c r="N6208" s="274"/>
    </row>
    <row r="6209" spans="5:14" ht="13.5" customHeight="1">
      <c r="E6209" s="1" t="s">
        <v>1709</v>
      </c>
      <c r="F6209" s="1" t="s">
        <v>3082</v>
      </c>
      <c r="G6209" s="414" t="str">
        <f t="shared" si="102"/>
        <v>11-26</v>
      </c>
      <c r="H6209" s="273" t="e">
        <f ca="1">_xludf.IFNA(VLOOKUP(E6209,'Urban Plastix Holds'!$I$37:$U$705,11,0),0)</f>
        <v>#NAME?</v>
      </c>
      <c r="I6209" s="274"/>
      <c r="J6209" s="274" t="e">
        <f t="shared" ca="1" si="100"/>
        <v>#NAME?</v>
      </c>
      <c r="K6209" s="274">
        <f t="shared" si="101"/>
        <v>0</v>
      </c>
      <c r="N6209" s="274"/>
    </row>
    <row r="6210" spans="5:14" ht="13.5" customHeight="1">
      <c r="E6210" s="1" t="s">
        <v>1709</v>
      </c>
      <c r="F6210" s="1" t="s">
        <v>3082</v>
      </c>
      <c r="G6210" s="415" t="str">
        <f t="shared" si="102"/>
        <v>18-01</v>
      </c>
      <c r="H6210" s="273" t="e">
        <f ca="1">_xludf.IFNA(VLOOKUP(E6210,'Urban Plastix Holds'!$I$37:$U$705,12,0),0)</f>
        <v>#NAME?</v>
      </c>
      <c r="I6210" s="274"/>
      <c r="J6210" s="274" t="e">
        <f t="shared" ca="1" si="100"/>
        <v>#NAME?</v>
      </c>
      <c r="K6210" s="274">
        <f t="shared" si="101"/>
        <v>0</v>
      </c>
      <c r="N6210" s="274"/>
    </row>
    <row r="6211" spans="5:14" ht="13.5" customHeight="1">
      <c r="E6211" s="1" t="s">
        <v>1709</v>
      </c>
      <c r="F6211" s="1" t="s">
        <v>3082</v>
      </c>
      <c r="G6211" s="416" t="str">
        <f t="shared" si="102"/>
        <v>Color Code</v>
      </c>
      <c r="H6211" s="273" t="e">
        <f ca="1">_xludf.IFNA(VLOOKUP(E6211,'Urban Plastix Holds'!$I$37:$U$705,13,0),0)</f>
        <v>#NAME?</v>
      </c>
      <c r="I6211" s="274"/>
      <c r="J6211" s="274" t="e">
        <f t="shared" ca="1" si="100"/>
        <v>#NAME?</v>
      </c>
      <c r="K6211" s="274">
        <f t="shared" si="101"/>
        <v>0</v>
      </c>
      <c r="N6211" s="274"/>
    </row>
    <row r="6212" spans="5:14" ht="13.5" customHeight="1">
      <c r="E6212" s="1" t="s">
        <v>1740</v>
      </c>
      <c r="F6212" s="1" t="s">
        <v>3083</v>
      </c>
      <c r="G6212" s="406" t="str">
        <f t="shared" si="102"/>
        <v>11-12</v>
      </c>
      <c r="H6212" s="273" t="e">
        <f ca="1">_xludf.IFNA(VLOOKUP(E6212,'Urban Plastix Holds'!$I$37:$U$705,5,0),0)</f>
        <v>#NAME?</v>
      </c>
      <c r="I6212" s="274"/>
      <c r="J6212" s="274" t="e">
        <f t="shared" ca="1" si="100"/>
        <v>#NAME?</v>
      </c>
      <c r="K6212" s="274">
        <f t="shared" si="101"/>
        <v>0</v>
      </c>
      <c r="N6212" s="274"/>
    </row>
    <row r="6213" spans="5:14" ht="13.5" customHeight="1">
      <c r="E6213" s="1" t="s">
        <v>1740</v>
      </c>
      <c r="F6213" s="1" t="s">
        <v>3083</v>
      </c>
      <c r="G6213" s="408" t="str">
        <f t="shared" si="102"/>
        <v>14-01</v>
      </c>
      <c r="H6213" s="273" t="e">
        <f ca="1">_xludf.IFNA(VLOOKUP(E6213,'Urban Plastix Holds'!$I$37:$U$705,6,0),0)</f>
        <v>#NAME?</v>
      </c>
      <c r="I6213" s="274"/>
      <c r="J6213" s="274" t="e">
        <f t="shared" ca="1" si="100"/>
        <v>#NAME?</v>
      </c>
      <c r="K6213" s="274">
        <f t="shared" si="101"/>
        <v>0</v>
      </c>
      <c r="N6213" s="274"/>
    </row>
    <row r="6214" spans="5:14" ht="13.5" customHeight="1">
      <c r="E6214" s="1" t="s">
        <v>1740</v>
      </c>
      <c r="F6214" s="1" t="s">
        <v>3083</v>
      </c>
      <c r="G6214" s="409" t="str">
        <f t="shared" si="102"/>
        <v>15-12</v>
      </c>
      <c r="H6214" s="273" t="e">
        <f ca="1">_xludf.IFNA(VLOOKUP(E6214,'Urban Plastix Holds'!$I$37:$U$705,7,0),0)</f>
        <v>#NAME?</v>
      </c>
      <c r="I6214" s="274"/>
      <c r="J6214" s="274" t="e">
        <f t="shared" ca="1" si="100"/>
        <v>#NAME?</v>
      </c>
      <c r="K6214" s="274">
        <f t="shared" si="101"/>
        <v>0</v>
      </c>
      <c r="N6214" s="274"/>
    </row>
    <row r="6215" spans="5:14" ht="13.5" customHeight="1">
      <c r="E6215" s="1" t="s">
        <v>1740</v>
      </c>
      <c r="F6215" s="1" t="s">
        <v>3083</v>
      </c>
      <c r="G6215" s="410" t="str">
        <f t="shared" si="102"/>
        <v>16-16</v>
      </c>
      <c r="H6215" s="273" t="e">
        <f ca="1">_xludf.IFNA(VLOOKUP(E6215,'Urban Plastix Holds'!$I$37:$U$705,8,0),0)</f>
        <v>#NAME?</v>
      </c>
      <c r="I6215" s="274"/>
      <c r="J6215" s="274" t="e">
        <f t="shared" ca="1" si="100"/>
        <v>#NAME?</v>
      </c>
      <c r="K6215" s="274">
        <f t="shared" si="101"/>
        <v>0</v>
      </c>
      <c r="N6215" s="274"/>
    </row>
    <row r="6216" spans="5:14" ht="13.5" customHeight="1">
      <c r="E6216" s="1" t="s">
        <v>1740</v>
      </c>
      <c r="F6216" s="1" t="s">
        <v>3083</v>
      </c>
      <c r="G6216" s="411" t="str">
        <f t="shared" si="102"/>
        <v>13-01</v>
      </c>
      <c r="H6216" s="273" t="e">
        <f ca="1">_xludf.IFNA(VLOOKUP(E6216,'Urban Plastix Holds'!$I$37:$U$705,9,0),0)</f>
        <v>#NAME?</v>
      </c>
      <c r="I6216" s="274"/>
      <c r="J6216" s="274" t="e">
        <f t="shared" ca="1" si="100"/>
        <v>#NAME?</v>
      </c>
      <c r="K6216" s="274">
        <f t="shared" si="101"/>
        <v>0</v>
      </c>
      <c r="N6216" s="274"/>
    </row>
    <row r="6217" spans="5:14" ht="13.5" customHeight="1">
      <c r="E6217" s="1" t="s">
        <v>1740</v>
      </c>
      <c r="F6217" s="1" t="s">
        <v>3083</v>
      </c>
      <c r="G6217" s="413" t="str">
        <f t="shared" si="102"/>
        <v>07-13</v>
      </c>
      <c r="H6217" s="273" t="e">
        <f ca="1">_xludf.IFNA(VLOOKUP(E6217,'Urban Plastix Holds'!$I$37:$U$705,10,0),0)</f>
        <v>#NAME?</v>
      </c>
      <c r="I6217" s="274"/>
      <c r="J6217" s="274" t="e">
        <f t="shared" ca="1" si="100"/>
        <v>#NAME?</v>
      </c>
      <c r="K6217" s="274">
        <f t="shared" si="101"/>
        <v>0</v>
      </c>
      <c r="N6217" s="274"/>
    </row>
    <row r="6218" spans="5:14" ht="13.5" customHeight="1">
      <c r="E6218" s="1" t="s">
        <v>1740</v>
      </c>
      <c r="F6218" s="1" t="s">
        <v>3083</v>
      </c>
      <c r="G6218" s="414" t="str">
        <f t="shared" si="102"/>
        <v>11-26</v>
      </c>
      <c r="H6218" s="273" t="e">
        <f ca="1">_xludf.IFNA(VLOOKUP(E6218,'Urban Plastix Holds'!$I$37:$U$705,11,0),0)</f>
        <v>#NAME?</v>
      </c>
      <c r="I6218" s="274"/>
      <c r="J6218" s="274" t="e">
        <f t="shared" ca="1" si="100"/>
        <v>#NAME?</v>
      </c>
      <c r="K6218" s="274">
        <f t="shared" si="101"/>
        <v>0</v>
      </c>
      <c r="N6218" s="274"/>
    </row>
    <row r="6219" spans="5:14" ht="13.5" customHeight="1">
      <c r="E6219" s="1" t="s">
        <v>1740</v>
      </c>
      <c r="F6219" s="1" t="s">
        <v>3083</v>
      </c>
      <c r="G6219" s="415" t="str">
        <f t="shared" si="102"/>
        <v>18-01</v>
      </c>
      <c r="H6219" s="273" t="e">
        <f ca="1">_xludf.IFNA(VLOOKUP(E6219,'Urban Plastix Holds'!$I$37:$U$705,12,0),0)</f>
        <v>#NAME?</v>
      </c>
      <c r="I6219" s="274"/>
      <c r="J6219" s="274" t="e">
        <f t="shared" ca="1" si="100"/>
        <v>#NAME?</v>
      </c>
      <c r="K6219" s="274">
        <f t="shared" si="101"/>
        <v>0</v>
      </c>
      <c r="N6219" s="274"/>
    </row>
    <row r="6220" spans="5:14" ht="13.5" customHeight="1">
      <c r="E6220" s="1" t="s">
        <v>1740</v>
      </c>
      <c r="F6220" s="1" t="s">
        <v>3083</v>
      </c>
      <c r="G6220" s="416" t="str">
        <f t="shared" si="102"/>
        <v>Color Code</v>
      </c>
      <c r="H6220" s="273" t="e">
        <f ca="1">_xludf.IFNA(VLOOKUP(E6220,'Urban Plastix Holds'!$I$37:$U$705,13,0),0)</f>
        <v>#NAME?</v>
      </c>
      <c r="I6220" s="274"/>
      <c r="J6220" s="274" t="e">
        <f t="shared" ca="1" si="100"/>
        <v>#NAME?</v>
      </c>
      <c r="K6220" s="274">
        <f t="shared" si="101"/>
        <v>0</v>
      </c>
      <c r="N6220" s="274"/>
    </row>
    <row r="6221" spans="5:14" ht="13.5" customHeight="1">
      <c r="E6221" s="1" t="s">
        <v>1731</v>
      </c>
      <c r="F6221" s="1" t="s">
        <v>3084</v>
      </c>
      <c r="G6221" s="406" t="str">
        <f t="shared" ref="G6221:G6475" si="103">G6158</f>
        <v>11-12</v>
      </c>
      <c r="H6221" s="273" t="e">
        <f ca="1">_xludf.IFNA(VLOOKUP(E6221,'Urban Plastix Holds'!$I$37:$U$705,5,0),0)</f>
        <v>#NAME?</v>
      </c>
      <c r="I6221" s="274"/>
      <c r="J6221" s="274" t="e">
        <f t="shared" ca="1" si="100"/>
        <v>#NAME?</v>
      </c>
      <c r="K6221" s="274">
        <f t="shared" si="101"/>
        <v>0</v>
      </c>
      <c r="N6221" s="274"/>
    </row>
    <row r="6222" spans="5:14" ht="13.5" customHeight="1">
      <c r="E6222" s="1" t="s">
        <v>1731</v>
      </c>
      <c r="F6222" s="1" t="s">
        <v>3084</v>
      </c>
      <c r="G6222" s="408" t="str">
        <f t="shared" si="103"/>
        <v>14-01</v>
      </c>
      <c r="H6222" s="273" t="e">
        <f ca="1">_xludf.IFNA(VLOOKUP(E6222,'Urban Plastix Holds'!$I$37:$U$705,6,0),0)</f>
        <v>#NAME?</v>
      </c>
      <c r="I6222" s="274"/>
      <c r="J6222" s="274" t="e">
        <f t="shared" ca="1" si="100"/>
        <v>#NAME?</v>
      </c>
      <c r="K6222" s="274">
        <f t="shared" si="101"/>
        <v>0</v>
      </c>
      <c r="N6222" s="274"/>
    </row>
    <row r="6223" spans="5:14" ht="13.5" customHeight="1">
      <c r="E6223" s="1" t="s">
        <v>1731</v>
      </c>
      <c r="F6223" s="1" t="s">
        <v>3084</v>
      </c>
      <c r="G6223" s="409" t="str">
        <f t="shared" si="103"/>
        <v>15-12</v>
      </c>
      <c r="H6223" s="273" t="e">
        <f ca="1">_xludf.IFNA(VLOOKUP(E6223,'Urban Plastix Holds'!$I$37:$U$705,7,0),0)</f>
        <v>#NAME?</v>
      </c>
      <c r="I6223" s="274"/>
      <c r="J6223" s="274" t="e">
        <f t="shared" ca="1" si="100"/>
        <v>#NAME?</v>
      </c>
      <c r="K6223" s="274">
        <f t="shared" si="101"/>
        <v>0</v>
      </c>
      <c r="N6223" s="274"/>
    </row>
    <row r="6224" spans="5:14" ht="13.5" customHeight="1">
      <c r="E6224" s="1" t="s">
        <v>1731</v>
      </c>
      <c r="F6224" s="1" t="s">
        <v>3084</v>
      </c>
      <c r="G6224" s="410" t="str">
        <f t="shared" si="103"/>
        <v>16-16</v>
      </c>
      <c r="H6224" s="273" t="e">
        <f ca="1">_xludf.IFNA(VLOOKUP(E6224,'Urban Plastix Holds'!$I$37:$U$705,8,0),0)</f>
        <v>#NAME?</v>
      </c>
      <c r="I6224" s="274"/>
      <c r="J6224" s="274" t="e">
        <f t="shared" ca="1" si="100"/>
        <v>#NAME?</v>
      </c>
      <c r="K6224" s="274">
        <f t="shared" si="101"/>
        <v>0</v>
      </c>
      <c r="N6224" s="274"/>
    </row>
    <row r="6225" spans="5:14" ht="13.5" customHeight="1">
      <c r="E6225" s="1" t="s">
        <v>1731</v>
      </c>
      <c r="F6225" s="1" t="s">
        <v>3084</v>
      </c>
      <c r="G6225" s="411" t="str">
        <f t="shared" si="103"/>
        <v>13-01</v>
      </c>
      <c r="H6225" s="273" t="e">
        <f ca="1">_xludf.IFNA(VLOOKUP(E6225,'Urban Plastix Holds'!$I$37:$U$705,9,0),0)</f>
        <v>#NAME?</v>
      </c>
      <c r="I6225" s="274"/>
      <c r="J6225" s="274" t="e">
        <f t="shared" ca="1" si="100"/>
        <v>#NAME?</v>
      </c>
      <c r="K6225" s="274">
        <f t="shared" si="101"/>
        <v>0</v>
      </c>
      <c r="N6225" s="274"/>
    </row>
    <row r="6226" spans="5:14" ht="13.5" customHeight="1">
      <c r="E6226" s="1" t="s">
        <v>1731</v>
      </c>
      <c r="F6226" s="1" t="s">
        <v>3084</v>
      </c>
      <c r="G6226" s="413" t="str">
        <f t="shared" si="103"/>
        <v>07-13</v>
      </c>
      <c r="H6226" s="273" t="e">
        <f ca="1">_xludf.IFNA(VLOOKUP(E6226,'Urban Plastix Holds'!$I$37:$U$705,10,0),0)</f>
        <v>#NAME?</v>
      </c>
      <c r="I6226" s="274"/>
      <c r="J6226" s="274" t="e">
        <f t="shared" ca="1" si="100"/>
        <v>#NAME?</v>
      </c>
      <c r="K6226" s="274">
        <f t="shared" si="101"/>
        <v>0</v>
      </c>
      <c r="N6226" s="274"/>
    </row>
    <row r="6227" spans="5:14" ht="13.5" customHeight="1">
      <c r="E6227" s="1" t="s">
        <v>1731</v>
      </c>
      <c r="F6227" s="1" t="s">
        <v>3084</v>
      </c>
      <c r="G6227" s="414" t="str">
        <f t="shared" si="103"/>
        <v>11-26</v>
      </c>
      <c r="H6227" s="273" t="e">
        <f ca="1">_xludf.IFNA(VLOOKUP(E6227,'Urban Plastix Holds'!$I$37:$U$705,11,0),0)</f>
        <v>#NAME?</v>
      </c>
      <c r="I6227" s="274"/>
      <c r="J6227" s="274" t="e">
        <f t="shared" ca="1" si="100"/>
        <v>#NAME?</v>
      </c>
      <c r="K6227" s="274">
        <f t="shared" si="101"/>
        <v>0</v>
      </c>
      <c r="N6227" s="274"/>
    </row>
    <row r="6228" spans="5:14" ht="13.5" customHeight="1">
      <c r="E6228" s="1" t="s">
        <v>1731</v>
      </c>
      <c r="F6228" s="1" t="s">
        <v>3084</v>
      </c>
      <c r="G6228" s="415" t="str">
        <f t="shared" si="103"/>
        <v>18-01</v>
      </c>
      <c r="H6228" s="273" t="e">
        <f ca="1">_xludf.IFNA(VLOOKUP(E6228,'Urban Plastix Holds'!$I$37:$U$705,12,0),0)</f>
        <v>#NAME?</v>
      </c>
      <c r="I6228" s="274"/>
      <c r="J6228" s="274" t="e">
        <f t="shared" ca="1" si="100"/>
        <v>#NAME?</v>
      </c>
      <c r="K6228" s="274">
        <f t="shared" si="101"/>
        <v>0</v>
      </c>
      <c r="N6228" s="274"/>
    </row>
    <row r="6229" spans="5:14" ht="13.5" customHeight="1">
      <c r="E6229" s="1" t="s">
        <v>1731</v>
      </c>
      <c r="F6229" s="1" t="s">
        <v>3084</v>
      </c>
      <c r="G6229" s="416" t="str">
        <f t="shared" si="103"/>
        <v>Color Code</v>
      </c>
      <c r="H6229" s="273" t="e">
        <f ca="1">_xludf.IFNA(VLOOKUP(E6229,'Urban Plastix Holds'!$I$37:$U$705,13,0),0)</f>
        <v>#NAME?</v>
      </c>
      <c r="I6229" s="274"/>
      <c r="J6229" s="274" t="e">
        <f t="shared" ca="1" si="100"/>
        <v>#NAME?</v>
      </c>
      <c r="K6229" s="274">
        <f t="shared" si="101"/>
        <v>0</v>
      </c>
      <c r="N6229" s="274"/>
    </row>
    <row r="6230" spans="5:14" ht="13.5" customHeight="1">
      <c r="E6230" s="1" t="s">
        <v>1437</v>
      </c>
      <c r="F6230" s="1" t="s">
        <v>3085</v>
      </c>
      <c r="G6230" s="406" t="str">
        <f t="shared" si="103"/>
        <v>11-12</v>
      </c>
      <c r="H6230" s="273" t="e">
        <f ca="1">_xludf.IFNA(VLOOKUP(E6230,'Urban Plastix Holds'!$I$37:$U$705,5,0),0)</f>
        <v>#NAME?</v>
      </c>
      <c r="I6230" s="274"/>
      <c r="J6230" s="274" t="e">
        <f t="shared" ca="1" si="100"/>
        <v>#NAME?</v>
      </c>
      <c r="K6230" s="274">
        <f t="shared" si="101"/>
        <v>0</v>
      </c>
      <c r="N6230" s="274"/>
    </row>
    <row r="6231" spans="5:14" ht="13.5" customHeight="1">
      <c r="E6231" s="1" t="s">
        <v>1437</v>
      </c>
      <c r="F6231" s="1" t="s">
        <v>3085</v>
      </c>
      <c r="G6231" s="408" t="str">
        <f t="shared" si="103"/>
        <v>14-01</v>
      </c>
      <c r="H6231" s="273" t="e">
        <f ca="1">_xludf.IFNA(VLOOKUP(E6231,'Urban Plastix Holds'!$I$37:$U$705,6,0),0)</f>
        <v>#NAME?</v>
      </c>
      <c r="I6231" s="274"/>
      <c r="J6231" s="274" t="e">
        <f t="shared" ca="1" si="100"/>
        <v>#NAME?</v>
      </c>
      <c r="K6231" s="274">
        <f t="shared" si="101"/>
        <v>0</v>
      </c>
      <c r="N6231" s="274"/>
    </row>
    <row r="6232" spans="5:14" ht="13.5" customHeight="1">
      <c r="E6232" s="1" t="s">
        <v>1437</v>
      </c>
      <c r="F6232" s="1" t="s">
        <v>3085</v>
      </c>
      <c r="G6232" s="409" t="str">
        <f t="shared" si="103"/>
        <v>15-12</v>
      </c>
      <c r="H6232" s="273" t="e">
        <f ca="1">_xludf.IFNA(VLOOKUP(E6232,'Urban Plastix Holds'!$I$37:$U$705,7,0),0)</f>
        <v>#NAME?</v>
      </c>
      <c r="I6232" s="274"/>
      <c r="J6232" s="274" t="e">
        <f t="shared" ca="1" si="100"/>
        <v>#NAME?</v>
      </c>
      <c r="K6232" s="274">
        <f t="shared" si="101"/>
        <v>0</v>
      </c>
      <c r="N6232" s="274"/>
    </row>
    <row r="6233" spans="5:14" ht="13.5" customHeight="1">
      <c r="E6233" s="1" t="s">
        <v>1437</v>
      </c>
      <c r="F6233" s="1" t="s">
        <v>3085</v>
      </c>
      <c r="G6233" s="410" t="str">
        <f t="shared" si="103"/>
        <v>16-16</v>
      </c>
      <c r="H6233" s="273" t="e">
        <f ca="1">_xludf.IFNA(VLOOKUP(E6233,'Urban Plastix Holds'!$I$37:$U$705,8,0),0)</f>
        <v>#NAME?</v>
      </c>
      <c r="I6233" s="274"/>
      <c r="J6233" s="274" t="e">
        <f t="shared" ca="1" si="100"/>
        <v>#NAME?</v>
      </c>
      <c r="K6233" s="274">
        <f t="shared" si="101"/>
        <v>0</v>
      </c>
      <c r="N6233" s="274"/>
    </row>
    <row r="6234" spans="5:14" ht="13.5" customHeight="1">
      <c r="E6234" s="1" t="s">
        <v>1437</v>
      </c>
      <c r="F6234" s="1" t="s">
        <v>3085</v>
      </c>
      <c r="G6234" s="411" t="str">
        <f t="shared" si="103"/>
        <v>13-01</v>
      </c>
      <c r="H6234" s="273" t="e">
        <f ca="1">_xludf.IFNA(VLOOKUP(E6234,'Urban Plastix Holds'!$I$37:$U$705,9,0),0)</f>
        <v>#NAME?</v>
      </c>
      <c r="I6234" s="274"/>
      <c r="J6234" s="274" t="e">
        <f t="shared" ca="1" si="100"/>
        <v>#NAME?</v>
      </c>
      <c r="K6234" s="274">
        <f t="shared" si="101"/>
        <v>0</v>
      </c>
      <c r="N6234" s="274"/>
    </row>
    <row r="6235" spans="5:14" ht="13.5" customHeight="1">
      <c r="E6235" s="1" t="s">
        <v>1437</v>
      </c>
      <c r="F6235" s="1" t="s">
        <v>3085</v>
      </c>
      <c r="G6235" s="413" t="str">
        <f t="shared" si="103"/>
        <v>07-13</v>
      </c>
      <c r="H6235" s="273" t="e">
        <f ca="1">_xludf.IFNA(VLOOKUP(E6235,'Urban Plastix Holds'!$I$37:$U$705,10,0),0)</f>
        <v>#NAME?</v>
      </c>
      <c r="I6235" s="274"/>
      <c r="J6235" s="274" t="e">
        <f t="shared" ca="1" si="100"/>
        <v>#NAME?</v>
      </c>
      <c r="K6235" s="274">
        <f t="shared" si="101"/>
        <v>0</v>
      </c>
      <c r="N6235" s="274"/>
    </row>
    <row r="6236" spans="5:14" ht="13.5" customHeight="1">
      <c r="E6236" s="1" t="s">
        <v>1437</v>
      </c>
      <c r="F6236" s="1" t="s">
        <v>3085</v>
      </c>
      <c r="G6236" s="414" t="str">
        <f t="shared" si="103"/>
        <v>11-26</v>
      </c>
      <c r="H6236" s="273" t="e">
        <f ca="1">_xludf.IFNA(VLOOKUP(E6236,'Urban Plastix Holds'!$I$37:$U$705,11,0),0)</f>
        <v>#NAME?</v>
      </c>
      <c r="I6236" s="274"/>
      <c r="J6236" s="274" t="e">
        <f t="shared" ca="1" si="100"/>
        <v>#NAME?</v>
      </c>
      <c r="K6236" s="274">
        <f t="shared" si="101"/>
        <v>0</v>
      </c>
      <c r="N6236" s="274"/>
    </row>
    <row r="6237" spans="5:14" ht="13.5" customHeight="1">
      <c r="E6237" s="1" t="s">
        <v>1437</v>
      </c>
      <c r="F6237" s="1" t="s">
        <v>3085</v>
      </c>
      <c r="G6237" s="415" t="str">
        <f t="shared" si="103"/>
        <v>18-01</v>
      </c>
      <c r="H6237" s="273" t="e">
        <f ca="1">_xludf.IFNA(VLOOKUP(E6237,'Urban Plastix Holds'!$I$37:$U$705,12,0),0)</f>
        <v>#NAME?</v>
      </c>
      <c r="I6237" s="274"/>
      <c r="J6237" s="274" t="e">
        <f t="shared" ca="1" si="100"/>
        <v>#NAME?</v>
      </c>
      <c r="K6237" s="274">
        <f t="shared" si="101"/>
        <v>0</v>
      </c>
      <c r="N6237" s="274"/>
    </row>
    <row r="6238" spans="5:14" ht="13.5" customHeight="1">
      <c r="E6238" s="1" t="s">
        <v>1437</v>
      </c>
      <c r="F6238" s="1" t="s">
        <v>3085</v>
      </c>
      <c r="G6238" s="416" t="str">
        <f t="shared" si="103"/>
        <v>Color Code</v>
      </c>
      <c r="H6238" s="273" t="e">
        <f ca="1">_xludf.IFNA(VLOOKUP(E6238,'Urban Plastix Holds'!$I$37:$U$705,13,0),0)</f>
        <v>#NAME?</v>
      </c>
      <c r="I6238" s="274"/>
      <c r="J6238" s="274" t="e">
        <f t="shared" ca="1" si="100"/>
        <v>#NAME?</v>
      </c>
      <c r="K6238" s="274">
        <f t="shared" si="101"/>
        <v>0</v>
      </c>
      <c r="N6238" s="274"/>
    </row>
    <row r="6239" spans="5:14" ht="13.5" customHeight="1">
      <c r="E6239" s="1" t="s">
        <v>1373</v>
      </c>
      <c r="F6239" s="1" t="s">
        <v>3086</v>
      </c>
      <c r="G6239" s="406" t="str">
        <f t="shared" si="103"/>
        <v>11-12</v>
      </c>
      <c r="H6239" s="273" t="e">
        <f ca="1">_xludf.IFNA(VLOOKUP(E6239,'Urban Plastix Holds'!$I$37:$U$705,5,0),0)</f>
        <v>#NAME?</v>
      </c>
      <c r="I6239" s="274"/>
      <c r="J6239" s="274" t="e">
        <f t="shared" ca="1" si="100"/>
        <v>#NAME?</v>
      </c>
      <c r="K6239" s="274">
        <f t="shared" si="101"/>
        <v>0</v>
      </c>
      <c r="N6239" s="274"/>
    </row>
    <row r="6240" spans="5:14" ht="13.5" customHeight="1">
      <c r="E6240" s="1" t="s">
        <v>1373</v>
      </c>
      <c r="F6240" s="1" t="s">
        <v>3086</v>
      </c>
      <c r="G6240" s="408" t="str">
        <f t="shared" si="103"/>
        <v>14-01</v>
      </c>
      <c r="H6240" s="273" t="e">
        <f ca="1">_xludf.IFNA(VLOOKUP(E6240,'Urban Plastix Holds'!$I$37:$U$705,6,0),0)</f>
        <v>#NAME?</v>
      </c>
      <c r="I6240" s="274"/>
      <c r="J6240" s="274" t="e">
        <f t="shared" ca="1" si="100"/>
        <v>#NAME?</v>
      </c>
      <c r="K6240" s="274">
        <f t="shared" si="101"/>
        <v>0</v>
      </c>
      <c r="N6240" s="274"/>
    </row>
    <row r="6241" spans="5:14" ht="13.5" customHeight="1">
      <c r="E6241" s="1" t="s">
        <v>1373</v>
      </c>
      <c r="F6241" s="1" t="s">
        <v>3086</v>
      </c>
      <c r="G6241" s="409" t="str">
        <f t="shared" si="103"/>
        <v>15-12</v>
      </c>
      <c r="H6241" s="273" t="e">
        <f ca="1">_xludf.IFNA(VLOOKUP(E6241,'Urban Plastix Holds'!$I$37:$U$705,7,0),0)</f>
        <v>#NAME?</v>
      </c>
      <c r="I6241" s="274"/>
      <c r="J6241" s="274" t="e">
        <f t="shared" ca="1" si="100"/>
        <v>#NAME?</v>
      </c>
      <c r="K6241" s="274">
        <f t="shared" si="101"/>
        <v>0</v>
      </c>
      <c r="N6241" s="274"/>
    </row>
    <row r="6242" spans="5:14" ht="13.5" customHeight="1">
      <c r="E6242" s="1" t="s">
        <v>1373</v>
      </c>
      <c r="F6242" s="1" t="s">
        <v>3086</v>
      </c>
      <c r="G6242" s="410" t="str">
        <f t="shared" si="103"/>
        <v>16-16</v>
      </c>
      <c r="H6242" s="273" t="e">
        <f ca="1">_xludf.IFNA(VLOOKUP(E6242,'Urban Plastix Holds'!$I$37:$U$705,8,0),0)</f>
        <v>#NAME?</v>
      </c>
      <c r="I6242" s="274"/>
      <c r="J6242" s="274" t="e">
        <f t="shared" ca="1" si="100"/>
        <v>#NAME?</v>
      </c>
      <c r="K6242" s="274">
        <f t="shared" si="101"/>
        <v>0</v>
      </c>
      <c r="N6242" s="274"/>
    </row>
    <row r="6243" spans="5:14" ht="13.5" customHeight="1">
      <c r="E6243" s="1" t="s">
        <v>1373</v>
      </c>
      <c r="F6243" s="1" t="s">
        <v>3086</v>
      </c>
      <c r="G6243" s="411" t="str">
        <f t="shared" si="103"/>
        <v>13-01</v>
      </c>
      <c r="H6243" s="273" t="e">
        <f ca="1">_xludf.IFNA(VLOOKUP(E6243,'Urban Plastix Holds'!$I$37:$U$705,9,0),0)</f>
        <v>#NAME?</v>
      </c>
      <c r="I6243" s="274"/>
      <c r="J6243" s="274" t="e">
        <f t="shared" ca="1" si="100"/>
        <v>#NAME?</v>
      </c>
      <c r="K6243" s="274">
        <f t="shared" si="101"/>
        <v>0</v>
      </c>
      <c r="N6243" s="274"/>
    </row>
    <row r="6244" spans="5:14" ht="13.5" customHeight="1">
      <c r="E6244" s="1" t="s">
        <v>1373</v>
      </c>
      <c r="F6244" s="1" t="s">
        <v>3086</v>
      </c>
      <c r="G6244" s="413" t="str">
        <f t="shared" si="103"/>
        <v>07-13</v>
      </c>
      <c r="H6244" s="273" t="e">
        <f ca="1">_xludf.IFNA(VLOOKUP(E6244,'Urban Plastix Holds'!$I$37:$U$705,10,0),0)</f>
        <v>#NAME?</v>
      </c>
      <c r="I6244" s="274"/>
      <c r="J6244" s="274" t="e">
        <f t="shared" ca="1" si="100"/>
        <v>#NAME?</v>
      </c>
      <c r="K6244" s="274">
        <f t="shared" si="101"/>
        <v>0</v>
      </c>
      <c r="N6244" s="274"/>
    </row>
    <row r="6245" spans="5:14" ht="13.5" customHeight="1">
      <c r="E6245" s="1" t="s">
        <v>1373</v>
      </c>
      <c r="F6245" s="1" t="s">
        <v>3086</v>
      </c>
      <c r="G6245" s="414" t="str">
        <f t="shared" si="103"/>
        <v>11-26</v>
      </c>
      <c r="H6245" s="273" t="e">
        <f ca="1">_xludf.IFNA(VLOOKUP(E6245,'Urban Plastix Holds'!$I$37:$U$705,11,0),0)</f>
        <v>#NAME?</v>
      </c>
      <c r="I6245" s="274"/>
      <c r="J6245" s="274" t="e">
        <f t="shared" ca="1" si="100"/>
        <v>#NAME?</v>
      </c>
      <c r="K6245" s="274">
        <f t="shared" si="101"/>
        <v>0</v>
      </c>
      <c r="N6245" s="274"/>
    </row>
    <row r="6246" spans="5:14" ht="13.5" customHeight="1">
      <c r="E6246" s="1" t="s">
        <v>1373</v>
      </c>
      <c r="F6246" s="1" t="s">
        <v>3086</v>
      </c>
      <c r="G6246" s="415" t="str">
        <f t="shared" si="103"/>
        <v>18-01</v>
      </c>
      <c r="H6246" s="273" t="e">
        <f ca="1">_xludf.IFNA(VLOOKUP(E6246,'Urban Plastix Holds'!$I$37:$U$705,12,0),0)</f>
        <v>#NAME?</v>
      </c>
      <c r="I6246" s="274"/>
      <c r="J6246" s="274" t="e">
        <f t="shared" ca="1" si="100"/>
        <v>#NAME?</v>
      </c>
      <c r="K6246" s="274">
        <f t="shared" si="101"/>
        <v>0</v>
      </c>
      <c r="N6246" s="274"/>
    </row>
    <row r="6247" spans="5:14" ht="13.5" customHeight="1">
      <c r="E6247" s="1" t="s">
        <v>1373</v>
      </c>
      <c r="F6247" s="1" t="s">
        <v>3086</v>
      </c>
      <c r="G6247" s="416" t="str">
        <f t="shared" si="103"/>
        <v>Color Code</v>
      </c>
      <c r="H6247" s="273" t="e">
        <f ca="1">_xludf.IFNA(VLOOKUP(E6247,'Urban Plastix Holds'!$I$37:$U$705,13,0),0)</f>
        <v>#NAME?</v>
      </c>
      <c r="I6247" s="274"/>
      <c r="J6247" s="274" t="e">
        <f t="shared" ca="1" si="100"/>
        <v>#NAME?</v>
      </c>
      <c r="K6247" s="274">
        <f t="shared" si="101"/>
        <v>0</v>
      </c>
      <c r="N6247" s="274"/>
    </row>
    <row r="6248" spans="5:14" ht="13.5" customHeight="1">
      <c r="E6248" s="1" t="s">
        <v>1719</v>
      </c>
      <c r="F6248" s="1" t="s">
        <v>3087</v>
      </c>
      <c r="G6248" s="406" t="str">
        <f t="shared" si="103"/>
        <v>11-12</v>
      </c>
      <c r="H6248" s="273" t="e">
        <f ca="1">_xludf.IFNA(VLOOKUP(E6248,'Urban Plastix Holds'!$I$37:$U$705,5,0),0)</f>
        <v>#NAME?</v>
      </c>
      <c r="I6248" s="274"/>
      <c r="J6248" s="274" t="e">
        <f t="shared" ca="1" si="100"/>
        <v>#NAME?</v>
      </c>
      <c r="K6248" s="274">
        <f t="shared" si="101"/>
        <v>0</v>
      </c>
      <c r="N6248" s="274"/>
    </row>
    <row r="6249" spans="5:14" ht="13.5" customHeight="1">
      <c r="E6249" s="1" t="s">
        <v>1719</v>
      </c>
      <c r="F6249" s="1" t="s">
        <v>3087</v>
      </c>
      <c r="G6249" s="408" t="str">
        <f t="shared" si="103"/>
        <v>14-01</v>
      </c>
      <c r="H6249" s="273" t="e">
        <f ca="1">_xludf.IFNA(VLOOKUP(E6249,'Urban Plastix Holds'!$I$37:$U$705,6,0),0)</f>
        <v>#NAME?</v>
      </c>
      <c r="I6249" s="274"/>
      <c r="J6249" s="274" t="e">
        <f t="shared" ca="1" si="100"/>
        <v>#NAME?</v>
      </c>
      <c r="K6249" s="274">
        <f t="shared" si="101"/>
        <v>0</v>
      </c>
      <c r="N6249" s="274"/>
    </row>
    <row r="6250" spans="5:14" ht="13.5" customHeight="1">
      <c r="E6250" s="1" t="s">
        <v>1719</v>
      </c>
      <c r="F6250" s="1" t="s">
        <v>3087</v>
      </c>
      <c r="G6250" s="409" t="str">
        <f t="shared" si="103"/>
        <v>15-12</v>
      </c>
      <c r="H6250" s="273" t="e">
        <f ca="1">_xludf.IFNA(VLOOKUP(E6250,'Urban Plastix Holds'!$I$37:$U$705,7,0),0)</f>
        <v>#NAME?</v>
      </c>
      <c r="I6250" s="274"/>
      <c r="J6250" s="274" t="e">
        <f t="shared" ca="1" si="100"/>
        <v>#NAME?</v>
      </c>
      <c r="K6250" s="274">
        <f t="shared" si="101"/>
        <v>0</v>
      </c>
      <c r="N6250" s="274"/>
    </row>
    <row r="6251" spans="5:14" ht="13.5" customHeight="1">
      <c r="E6251" s="1" t="s">
        <v>1719</v>
      </c>
      <c r="F6251" s="1" t="s">
        <v>3087</v>
      </c>
      <c r="G6251" s="410" t="str">
        <f t="shared" si="103"/>
        <v>16-16</v>
      </c>
      <c r="H6251" s="273" t="e">
        <f ca="1">_xludf.IFNA(VLOOKUP(E6251,'Urban Plastix Holds'!$I$37:$U$705,8,0),0)</f>
        <v>#NAME?</v>
      </c>
      <c r="I6251" s="274"/>
      <c r="J6251" s="274" t="e">
        <f t="shared" ca="1" si="100"/>
        <v>#NAME?</v>
      </c>
      <c r="K6251" s="274">
        <f t="shared" si="101"/>
        <v>0</v>
      </c>
      <c r="N6251" s="274"/>
    </row>
    <row r="6252" spans="5:14" ht="13.5" customHeight="1">
      <c r="E6252" s="1" t="s">
        <v>1719</v>
      </c>
      <c r="F6252" s="1" t="s">
        <v>3087</v>
      </c>
      <c r="G6252" s="411" t="str">
        <f t="shared" si="103"/>
        <v>13-01</v>
      </c>
      <c r="H6252" s="273" t="e">
        <f ca="1">_xludf.IFNA(VLOOKUP(E6252,'Urban Plastix Holds'!$I$37:$U$705,9,0),0)</f>
        <v>#NAME?</v>
      </c>
      <c r="I6252" s="274"/>
      <c r="J6252" s="274" t="e">
        <f t="shared" ca="1" si="100"/>
        <v>#NAME?</v>
      </c>
      <c r="K6252" s="274">
        <f t="shared" si="101"/>
        <v>0</v>
      </c>
      <c r="N6252" s="274"/>
    </row>
    <row r="6253" spans="5:14" ht="13.5" customHeight="1">
      <c r="E6253" s="1" t="s">
        <v>1719</v>
      </c>
      <c r="F6253" s="1" t="s">
        <v>3087</v>
      </c>
      <c r="G6253" s="413" t="str">
        <f t="shared" si="103"/>
        <v>07-13</v>
      </c>
      <c r="H6253" s="273" t="e">
        <f ca="1">_xludf.IFNA(VLOOKUP(E6253,'Urban Plastix Holds'!$I$37:$U$705,10,0),0)</f>
        <v>#NAME?</v>
      </c>
      <c r="I6253" s="274"/>
      <c r="J6253" s="274" t="e">
        <f t="shared" ca="1" si="100"/>
        <v>#NAME?</v>
      </c>
      <c r="K6253" s="274">
        <f t="shared" si="101"/>
        <v>0</v>
      </c>
      <c r="N6253" s="274"/>
    </row>
    <row r="6254" spans="5:14" ht="13.5" customHeight="1">
      <c r="E6254" s="1" t="s">
        <v>1719</v>
      </c>
      <c r="F6254" s="1" t="s">
        <v>3087</v>
      </c>
      <c r="G6254" s="414" t="str">
        <f t="shared" si="103"/>
        <v>11-26</v>
      </c>
      <c r="H6254" s="273" t="e">
        <f ca="1">_xludf.IFNA(VLOOKUP(E6254,'Urban Plastix Holds'!$I$37:$U$705,11,0),0)</f>
        <v>#NAME?</v>
      </c>
      <c r="I6254" s="274"/>
      <c r="J6254" s="274" t="e">
        <f t="shared" ca="1" si="100"/>
        <v>#NAME?</v>
      </c>
      <c r="K6254" s="274">
        <f t="shared" si="101"/>
        <v>0</v>
      </c>
      <c r="N6254" s="274"/>
    </row>
    <row r="6255" spans="5:14" ht="13.5" customHeight="1">
      <c r="E6255" s="1" t="s">
        <v>1719</v>
      </c>
      <c r="F6255" s="1" t="s">
        <v>3087</v>
      </c>
      <c r="G6255" s="415" t="str">
        <f t="shared" si="103"/>
        <v>18-01</v>
      </c>
      <c r="H6255" s="273" t="e">
        <f ca="1">_xludf.IFNA(VLOOKUP(E6255,'Urban Plastix Holds'!$I$37:$U$705,12,0),0)</f>
        <v>#NAME?</v>
      </c>
      <c r="I6255" s="274"/>
      <c r="J6255" s="274" t="e">
        <f t="shared" ca="1" si="100"/>
        <v>#NAME?</v>
      </c>
      <c r="K6255" s="274">
        <f t="shared" si="101"/>
        <v>0</v>
      </c>
      <c r="N6255" s="274"/>
    </row>
    <row r="6256" spans="5:14" ht="13.5" customHeight="1">
      <c r="E6256" s="1" t="s">
        <v>1719</v>
      </c>
      <c r="F6256" s="1" t="s">
        <v>3087</v>
      </c>
      <c r="G6256" s="416" t="str">
        <f t="shared" si="103"/>
        <v>Color Code</v>
      </c>
      <c r="H6256" s="273" t="e">
        <f ca="1">_xludf.IFNA(VLOOKUP(E6256,'Urban Plastix Holds'!$I$37:$U$705,13,0),0)</f>
        <v>#NAME?</v>
      </c>
      <c r="I6256" s="274"/>
      <c r="J6256" s="274" t="e">
        <f t="shared" ca="1" si="100"/>
        <v>#NAME?</v>
      </c>
      <c r="K6256" s="274">
        <f t="shared" si="101"/>
        <v>0</v>
      </c>
      <c r="N6256" s="274"/>
    </row>
    <row r="6257" spans="5:14" ht="13.5" customHeight="1">
      <c r="E6257" s="1" t="s">
        <v>1439</v>
      </c>
      <c r="F6257" s="1" t="s">
        <v>3088</v>
      </c>
      <c r="G6257" s="406" t="str">
        <f t="shared" si="103"/>
        <v>11-12</v>
      </c>
      <c r="H6257" s="273" t="e">
        <f ca="1">_xludf.IFNA(VLOOKUP(E6257,'Urban Plastix Holds'!$I$37:$U$705,5,0),0)</f>
        <v>#NAME?</v>
      </c>
      <c r="I6257" s="274"/>
      <c r="J6257" s="274" t="e">
        <f t="shared" ca="1" si="100"/>
        <v>#NAME?</v>
      </c>
      <c r="K6257" s="274">
        <f t="shared" si="101"/>
        <v>0</v>
      </c>
      <c r="N6257" s="274"/>
    </row>
    <row r="6258" spans="5:14" ht="13.5" customHeight="1">
      <c r="E6258" s="1" t="s">
        <v>1439</v>
      </c>
      <c r="F6258" s="1" t="s">
        <v>3088</v>
      </c>
      <c r="G6258" s="408" t="str">
        <f t="shared" si="103"/>
        <v>14-01</v>
      </c>
      <c r="H6258" s="273" t="e">
        <f ca="1">_xludf.IFNA(VLOOKUP(E6258,'Urban Plastix Holds'!$I$37:$U$705,6,0),0)</f>
        <v>#NAME?</v>
      </c>
      <c r="I6258" s="274"/>
      <c r="J6258" s="274" t="e">
        <f t="shared" ca="1" si="100"/>
        <v>#NAME?</v>
      </c>
      <c r="K6258" s="274">
        <f t="shared" si="101"/>
        <v>0</v>
      </c>
      <c r="N6258" s="274"/>
    </row>
    <row r="6259" spans="5:14" ht="13.5" customHeight="1">
      <c r="E6259" s="1" t="s">
        <v>1439</v>
      </c>
      <c r="F6259" s="1" t="s">
        <v>3088</v>
      </c>
      <c r="G6259" s="409" t="str">
        <f t="shared" si="103"/>
        <v>15-12</v>
      </c>
      <c r="H6259" s="273" t="e">
        <f ca="1">_xludf.IFNA(VLOOKUP(E6259,'Urban Plastix Holds'!$I$37:$U$705,7,0),0)</f>
        <v>#NAME?</v>
      </c>
      <c r="I6259" s="274"/>
      <c r="J6259" s="274" t="e">
        <f t="shared" ca="1" si="100"/>
        <v>#NAME?</v>
      </c>
      <c r="K6259" s="274">
        <f t="shared" si="101"/>
        <v>0</v>
      </c>
      <c r="N6259" s="274"/>
    </row>
    <row r="6260" spans="5:14" ht="13.5" customHeight="1">
      <c r="E6260" s="1" t="s">
        <v>1439</v>
      </c>
      <c r="F6260" s="1" t="s">
        <v>3088</v>
      </c>
      <c r="G6260" s="410" t="str">
        <f t="shared" si="103"/>
        <v>16-16</v>
      </c>
      <c r="H6260" s="273" t="e">
        <f ca="1">_xludf.IFNA(VLOOKUP(E6260,'Urban Plastix Holds'!$I$37:$U$705,8,0),0)</f>
        <v>#NAME?</v>
      </c>
      <c r="I6260" s="274"/>
      <c r="J6260" s="274" t="e">
        <f t="shared" ca="1" si="100"/>
        <v>#NAME?</v>
      </c>
      <c r="K6260" s="274">
        <f t="shared" si="101"/>
        <v>0</v>
      </c>
      <c r="N6260" s="274"/>
    </row>
    <row r="6261" spans="5:14" ht="13.5" customHeight="1">
      <c r="E6261" s="1" t="s">
        <v>1439</v>
      </c>
      <c r="F6261" s="1" t="s">
        <v>3088</v>
      </c>
      <c r="G6261" s="411" t="str">
        <f t="shared" si="103"/>
        <v>13-01</v>
      </c>
      <c r="H6261" s="273" t="e">
        <f ca="1">_xludf.IFNA(VLOOKUP(E6261,'Urban Plastix Holds'!$I$37:$U$705,9,0),0)</f>
        <v>#NAME?</v>
      </c>
      <c r="I6261" s="274"/>
      <c r="J6261" s="274" t="e">
        <f t="shared" ca="1" si="100"/>
        <v>#NAME?</v>
      </c>
      <c r="K6261" s="274">
        <f t="shared" si="101"/>
        <v>0</v>
      </c>
      <c r="N6261" s="274"/>
    </row>
    <row r="6262" spans="5:14" ht="13.5" customHeight="1">
      <c r="E6262" s="1" t="s">
        <v>1439</v>
      </c>
      <c r="F6262" s="1" t="s">
        <v>3088</v>
      </c>
      <c r="G6262" s="413" t="str">
        <f t="shared" si="103"/>
        <v>07-13</v>
      </c>
      <c r="H6262" s="273" t="e">
        <f ca="1">_xludf.IFNA(VLOOKUP(E6262,'Urban Plastix Holds'!$I$37:$U$705,10,0),0)</f>
        <v>#NAME?</v>
      </c>
      <c r="I6262" s="274"/>
      <c r="J6262" s="274" t="e">
        <f t="shared" ca="1" si="100"/>
        <v>#NAME?</v>
      </c>
      <c r="K6262" s="274">
        <f t="shared" si="101"/>
        <v>0</v>
      </c>
      <c r="N6262" s="274"/>
    </row>
    <row r="6263" spans="5:14" ht="13.5" customHeight="1">
      <c r="E6263" s="1" t="s">
        <v>1439</v>
      </c>
      <c r="F6263" s="1" t="s">
        <v>3088</v>
      </c>
      <c r="G6263" s="414" t="str">
        <f t="shared" si="103"/>
        <v>11-26</v>
      </c>
      <c r="H6263" s="273" t="e">
        <f ca="1">_xludf.IFNA(VLOOKUP(E6263,'Urban Plastix Holds'!$I$37:$U$705,11,0),0)</f>
        <v>#NAME?</v>
      </c>
      <c r="I6263" s="274"/>
      <c r="J6263" s="274" t="e">
        <f t="shared" ca="1" si="100"/>
        <v>#NAME?</v>
      </c>
      <c r="K6263" s="274">
        <f t="shared" si="101"/>
        <v>0</v>
      </c>
      <c r="N6263" s="274"/>
    </row>
    <row r="6264" spans="5:14" ht="13.5" customHeight="1">
      <c r="E6264" s="1" t="s">
        <v>1439</v>
      </c>
      <c r="F6264" s="1" t="s">
        <v>3088</v>
      </c>
      <c r="G6264" s="415" t="str">
        <f t="shared" si="103"/>
        <v>18-01</v>
      </c>
      <c r="H6264" s="273" t="e">
        <f ca="1">_xludf.IFNA(VLOOKUP(E6264,'Urban Plastix Holds'!$I$37:$U$705,12,0),0)</f>
        <v>#NAME?</v>
      </c>
      <c r="I6264" s="274"/>
      <c r="J6264" s="274" t="e">
        <f t="shared" ca="1" si="100"/>
        <v>#NAME?</v>
      </c>
      <c r="K6264" s="274">
        <f t="shared" si="101"/>
        <v>0</v>
      </c>
      <c r="N6264" s="274"/>
    </row>
    <row r="6265" spans="5:14" ht="13.5" customHeight="1">
      <c r="E6265" s="1" t="s">
        <v>1439</v>
      </c>
      <c r="F6265" s="1" t="s">
        <v>3088</v>
      </c>
      <c r="G6265" s="416" t="str">
        <f t="shared" si="103"/>
        <v>Color Code</v>
      </c>
      <c r="H6265" s="273" t="e">
        <f ca="1">_xludf.IFNA(VLOOKUP(E6265,'Urban Plastix Holds'!$I$37:$U$705,13,0),0)</f>
        <v>#NAME?</v>
      </c>
      <c r="I6265" s="274"/>
      <c r="J6265" s="274" t="e">
        <f t="shared" ca="1" si="100"/>
        <v>#NAME?</v>
      </c>
      <c r="K6265" s="274">
        <f t="shared" si="101"/>
        <v>0</v>
      </c>
      <c r="N6265" s="274"/>
    </row>
    <row r="6266" spans="5:14" ht="13.5" customHeight="1">
      <c r="E6266" s="1" t="s">
        <v>1721</v>
      </c>
      <c r="F6266" s="1" t="s">
        <v>3089</v>
      </c>
      <c r="G6266" s="406" t="str">
        <f t="shared" si="103"/>
        <v>11-12</v>
      </c>
      <c r="H6266" s="273" t="e">
        <f ca="1">_xludf.IFNA(VLOOKUP(E6266,'Urban Plastix Holds'!$I$37:$U$705,5,0),0)</f>
        <v>#NAME?</v>
      </c>
      <c r="I6266" s="274"/>
      <c r="J6266" s="274" t="e">
        <f t="shared" ca="1" si="100"/>
        <v>#NAME?</v>
      </c>
      <c r="K6266" s="274">
        <f t="shared" si="101"/>
        <v>0</v>
      </c>
      <c r="N6266" s="274"/>
    </row>
    <row r="6267" spans="5:14" ht="13.5" customHeight="1">
      <c r="E6267" s="1" t="s">
        <v>1721</v>
      </c>
      <c r="F6267" s="1" t="s">
        <v>3089</v>
      </c>
      <c r="G6267" s="408" t="str">
        <f t="shared" si="103"/>
        <v>14-01</v>
      </c>
      <c r="H6267" s="273" t="e">
        <f ca="1">_xludf.IFNA(VLOOKUP(E6267,'Urban Plastix Holds'!$I$37:$U$705,6,0),0)</f>
        <v>#NAME?</v>
      </c>
      <c r="I6267" s="274"/>
      <c r="J6267" s="274" t="e">
        <f t="shared" ca="1" si="100"/>
        <v>#NAME?</v>
      </c>
      <c r="K6267" s="274">
        <f t="shared" si="101"/>
        <v>0</v>
      </c>
      <c r="N6267" s="274"/>
    </row>
    <row r="6268" spans="5:14" ht="13.5" customHeight="1">
      <c r="E6268" s="1" t="s">
        <v>1721</v>
      </c>
      <c r="F6268" s="1" t="s">
        <v>3089</v>
      </c>
      <c r="G6268" s="409" t="str">
        <f t="shared" si="103"/>
        <v>15-12</v>
      </c>
      <c r="H6268" s="273" t="e">
        <f ca="1">_xludf.IFNA(VLOOKUP(E6268,'Urban Plastix Holds'!$I$37:$U$705,7,0),0)</f>
        <v>#NAME?</v>
      </c>
      <c r="I6268" s="274"/>
      <c r="J6268" s="274" t="e">
        <f t="shared" ca="1" si="100"/>
        <v>#NAME?</v>
      </c>
      <c r="K6268" s="274">
        <f t="shared" si="101"/>
        <v>0</v>
      </c>
      <c r="N6268" s="274"/>
    </row>
    <row r="6269" spans="5:14" ht="13.5" customHeight="1">
      <c r="E6269" s="1" t="s">
        <v>1721</v>
      </c>
      <c r="F6269" s="1" t="s">
        <v>3089</v>
      </c>
      <c r="G6269" s="410" t="str">
        <f t="shared" si="103"/>
        <v>16-16</v>
      </c>
      <c r="H6269" s="273" t="e">
        <f ca="1">_xludf.IFNA(VLOOKUP(E6269,'Urban Plastix Holds'!$I$37:$U$705,8,0),0)</f>
        <v>#NAME?</v>
      </c>
      <c r="I6269" s="274"/>
      <c r="J6269" s="274" t="e">
        <f t="shared" ca="1" si="100"/>
        <v>#NAME?</v>
      </c>
      <c r="K6269" s="274">
        <f t="shared" si="101"/>
        <v>0</v>
      </c>
      <c r="N6269" s="274"/>
    </row>
    <row r="6270" spans="5:14" ht="13.5" customHeight="1">
      <c r="E6270" s="1" t="s">
        <v>1721</v>
      </c>
      <c r="F6270" s="1" t="s">
        <v>3089</v>
      </c>
      <c r="G6270" s="411" t="str">
        <f t="shared" si="103"/>
        <v>13-01</v>
      </c>
      <c r="H6270" s="273" t="e">
        <f ca="1">_xludf.IFNA(VLOOKUP(E6270,'Urban Plastix Holds'!$I$37:$U$705,9,0),0)</f>
        <v>#NAME?</v>
      </c>
      <c r="I6270" s="274"/>
      <c r="J6270" s="274" t="e">
        <f t="shared" ca="1" si="100"/>
        <v>#NAME?</v>
      </c>
      <c r="K6270" s="274">
        <f t="shared" si="101"/>
        <v>0</v>
      </c>
      <c r="N6270" s="274"/>
    </row>
    <row r="6271" spans="5:14" ht="13.5" customHeight="1">
      <c r="E6271" s="1" t="s">
        <v>1721</v>
      </c>
      <c r="F6271" s="1" t="s">
        <v>3089</v>
      </c>
      <c r="G6271" s="413" t="str">
        <f t="shared" si="103"/>
        <v>07-13</v>
      </c>
      <c r="H6271" s="273" t="e">
        <f ca="1">_xludf.IFNA(VLOOKUP(E6271,'Urban Plastix Holds'!$I$37:$U$705,10,0),0)</f>
        <v>#NAME?</v>
      </c>
      <c r="I6271" s="274"/>
      <c r="J6271" s="274" t="e">
        <f t="shared" ca="1" si="100"/>
        <v>#NAME?</v>
      </c>
      <c r="K6271" s="274">
        <f t="shared" si="101"/>
        <v>0</v>
      </c>
      <c r="N6271" s="274"/>
    </row>
    <row r="6272" spans="5:14" ht="13.5" customHeight="1">
      <c r="E6272" s="1" t="s">
        <v>1721</v>
      </c>
      <c r="F6272" s="1" t="s">
        <v>3089</v>
      </c>
      <c r="G6272" s="414" t="str">
        <f t="shared" si="103"/>
        <v>11-26</v>
      </c>
      <c r="H6272" s="273" t="e">
        <f ca="1">_xludf.IFNA(VLOOKUP(E6272,'Urban Plastix Holds'!$I$37:$U$705,11,0),0)</f>
        <v>#NAME?</v>
      </c>
      <c r="I6272" s="274"/>
      <c r="J6272" s="274" t="e">
        <f t="shared" ca="1" si="100"/>
        <v>#NAME?</v>
      </c>
      <c r="K6272" s="274">
        <f t="shared" si="101"/>
        <v>0</v>
      </c>
      <c r="N6272" s="274"/>
    </row>
    <row r="6273" spans="5:14" ht="13.5" customHeight="1">
      <c r="E6273" s="1" t="s">
        <v>1721</v>
      </c>
      <c r="F6273" s="1" t="s">
        <v>3089</v>
      </c>
      <c r="G6273" s="415" t="str">
        <f t="shared" si="103"/>
        <v>18-01</v>
      </c>
      <c r="H6273" s="273" t="e">
        <f ca="1">_xludf.IFNA(VLOOKUP(E6273,'Urban Plastix Holds'!$I$37:$U$705,12,0),0)</f>
        <v>#NAME?</v>
      </c>
      <c r="I6273" s="274"/>
      <c r="J6273" s="274" t="e">
        <f t="shared" ca="1" si="100"/>
        <v>#NAME?</v>
      </c>
      <c r="K6273" s="274">
        <f t="shared" si="101"/>
        <v>0</v>
      </c>
      <c r="N6273" s="274"/>
    </row>
    <row r="6274" spans="5:14" ht="13.5" customHeight="1">
      <c r="E6274" s="1" t="s">
        <v>1721</v>
      </c>
      <c r="F6274" s="1" t="s">
        <v>3089</v>
      </c>
      <c r="G6274" s="416" t="str">
        <f t="shared" si="103"/>
        <v>Color Code</v>
      </c>
      <c r="H6274" s="273" t="e">
        <f ca="1">_xludf.IFNA(VLOOKUP(E6274,'Urban Plastix Holds'!$I$37:$U$705,13,0),0)</f>
        <v>#NAME?</v>
      </c>
      <c r="I6274" s="274"/>
      <c r="J6274" s="274" t="e">
        <f t="shared" ca="1" si="100"/>
        <v>#NAME?</v>
      </c>
      <c r="K6274" s="274">
        <f t="shared" si="101"/>
        <v>0</v>
      </c>
      <c r="N6274" s="274"/>
    </row>
    <row r="6275" spans="5:14" ht="13.5" customHeight="1">
      <c r="E6275" s="1" t="s">
        <v>1406</v>
      </c>
      <c r="F6275" s="1" t="s">
        <v>3090</v>
      </c>
      <c r="G6275" s="406" t="str">
        <f t="shared" si="103"/>
        <v>11-12</v>
      </c>
      <c r="H6275" s="273" t="e">
        <f ca="1">_xludf.IFNA(VLOOKUP(E6275,'Urban Plastix Holds'!$I$37:$U$705,5,0),0)</f>
        <v>#NAME?</v>
      </c>
      <c r="I6275" s="274"/>
      <c r="J6275" s="274" t="e">
        <f t="shared" ca="1" si="100"/>
        <v>#NAME?</v>
      </c>
      <c r="K6275" s="274">
        <f t="shared" si="101"/>
        <v>0</v>
      </c>
      <c r="N6275" s="274"/>
    </row>
    <row r="6276" spans="5:14" ht="13.5" customHeight="1">
      <c r="E6276" s="1" t="s">
        <v>1406</v>
      </c>
      <c r="F6276" s="1" t="s">
        <v>3090</v>
      </c>
      <c r="G6276" s="408" t="str">
        <f t="shared" si="103"/>
        <v>14-01</v>
      </c>
      <c r="H6276" s="273" t="e">
        <f ca="1">_xludf.IFNA(VLOOKUP(E6276,'Urban Plastix Holds'!$I$37:$U$705,6,0),0)</f>
        <v>#NAME?</v>
      </c>
      <c r="I6276" s="274"/>
      <c r="J6276" s="274" t="e">
        <f t="shared" ca="1" si="100"/>
        <v>#NAME?</v>
      </c>
      <c r="K6276" s="274">
        <f t="shared" si="101"/>
        <v>0</v>
      </c>
      <c r="N6276" s="274"/>
    </row>
    <row r="6277" spans="5:14" ht="13.5" customHeight="1">
      <c r="E6277" s="1" t="s">
        <v>1406</v>
      </c>
      <c r="F6277" s="1" t="s">
        <v>3090</v>
      </c>
      <c r="G6277" s="409" t="str">
        <f t="shared" si="103"/>
        <v>15-12</v>
      </c>
      <c r="H6277" s="273" t="e">
        <f ca="1">_xludf.IFNA(VLOOKUP(E6277,'Urban Plastix Holds'!$I$37:$U$705,7,0),0)</f>
        <v>#NAME?</v>
      </c>
      <c r="I6277" s="274"/>
      <c r="J6277" s="274" t="e">
        <f t="shared" ca="1" si="100"/>
        <v>#NAME?</v>
      </c>
      <c r="K6277" s="274">
        <f t="shared" si="101"/>
        <v>0</v>
      </c>
      <c r="N6277" s="274"/>
    </row>
    <row r="6278" spans="5:14" ht="13.5" customHeight="1">
      <c r="E6278" s="1" t="s">
        <v>1406</v>
      </c>
      <c r="F6278" s="1" t="s">
        <v>3090</v>
      </c>
      <c r="G6278" s="410" t="str">
        <f t="shared" si="103"/>
        <v>16-16</v>
      </c>
      <c r="H6278" s="273" t="e">
        <f ca="1">_xludf.IFNA(VLOOKUP(E6278,'Urban Plastix Holds'!$I$37:$U$705,8,0),0)</f>
        <v>#NAME?</v>
      </c>
      <c r="I6278" s="274"/>
      <c r="J6278" s="274" t="e">
        <f t="shared" ca="1" si="100"/>
        <v>#NAME?</v>
      </c>
      <c r="K6278" s="274">
        <f t="shared" si="101"/>
        <v>0</v>
      </c>
      <c r="N6278" s="274"/>
    </row>
    <row r="6279" spans="5:14" ht="13.5" customHeight="1">
      <c r="E6279" s="1" t="s">
        <v>1406</v>
      </c>
      <c r="F6279" s="1" t="s">
        <v>3090</v>
      </c>
      <c r="G6279" s="411" t="str">
        <f t="shared" si="103"/>
        <v>13-01</v>
      </c>
      <c r="H6279" s="273" t="e">
        <f ca="1">_xludf.IFNA(VLOOKUP(E6279,'Urban Plastix Holds'!$I$37:$U$705,9,0),0)</f>
        <v>#NAME?</v>
      </c>
      <c r="I6279" s="274"/>
      <c r="J6279" s="274" t="e">
        <f t="shared" ca="1" si="100"/>
        <v>#NAME?</v>
      </c>
      <c r="K6279" s="274">
        <f t="shared" si="101"/>
        <v>0</v>
      </c>
      <c r="N6279" s="274"/>
    </row>
    <row r="6280" spans="5:14" ht="13.5" customHeight="1">
      <c r="E6280" s="1" t="s">
        <v>1406</v>
      </c>
      <c r="F6280" s="1" t="s">
        <v>3090</v>
      </c>
      <c r="G6280" s="413" t="str">
        <f t="shared" si="103"/>
        <v>07-13</v>
      </c>
      <c r="H6280" s="273" t="e">
        <f ca="1">_xludf.IFNA(VLOOKUP(E6280,'Urban Plastix Holds'!$I$37:$U$705,10,0),0)</f>
        <v>#NAME?</v>
      </c>
      <c r="I6280" s="274"/>
      <c r="J6280" s="274" t="e">
        <f t="shared" ca="1" si="100"/>
        <v>#NAME?</v>
      </c>
      <c r="K6280" s="274">
        <f t="shared" si="101"/>
        <v>0</v>
      </c>
      <c r="N6280" s="274"/>
    </row>
    <row r="6281" spans="5:14" ht="13.5" customHeight="1">
      <c r="E6281" s="1" t="s">
        <v>1406</v>
      </c>
      <c r="F6281" s="1" t="s">
        <v>3090</v>
      </c>
      <c r="G6281" s="414" t="str">
        <f t="shared" si="103"/>
        <v>11-26</v>
      </c>
      <c r="H6281" s="273" t="e">
        <f ca="1">_xludf.IFNA(VLOOKUP(E6281,'Urban Plastix Holds'!$I$37:$U$705,11,0),0)</f>
        <v>#NAME?</v>
      </c>
      <c r="I6281" s="274"/>
      <c r="J6281" s="274" t="e">
        <f t="shared" ca="1" si="100"/>
        <v>#NAME?</v>
      </c>
      <c r="K6281" s="274">
        <f t="shared" si="101"/>
        <v>0</v>
      </c>
      <c r="N6281" s="274"/>
    </row>
    <row r="6282" spans="5:14" ht="13.5" customHeight="1">
      <c r="E6282" s="1" t="s">
        <v>1406</v>
      </c>
      <c r="F6282" s="1" t="s">
        <v>3090</v>
      </c>
      <c r="G6282" s="415" t="str">
        <f t="shared" si="103"/>
        <v>18-01</v>
      </c>
      <c r="H6282" s="273" t="e">
        <f ca="1">_xludf.IFNA(VLOOKUP(E6282,'Urban Plastix Holds'!$I$37:$U$705,12,0),0)</f>
        <v>#NAME?</v>
      </c>
      <c r="I6282" s="274"/>
      <c r="J6282" s="274" t="e">
        <f t="shared" ca="1" si="100"/>
        <v>#NAME?</v>
      </c>
      <c r="K6282" s="274">
        <f t="shared" si="101"/>
        <v>0</v>
      </c>
      <c r="N6282" s="274"/>
    </row>
    <row r="6283" spans="5:14" ht="13.5" customHeight="1">
      <c r="E6283" s="1" t="s">
        <v>1406</v>
      </c>
      <c r="F6283" s="1" t="s">
        <v>3090</v>
      </c>
      <c r="G6283" s="416" t="str">
        <f t="shared" si="103"/>
        <v>Color Code</v>
      </c>
      <c r="H6283" s="273" t="e">
        <f ca="1">_xludf.IFNA(VLOOKUP(E6283,'Urban Plastix Holds'!$I$37:$U$705,13,0),0)</f>
        <v>#NAME?</v>
      </c>
      <c r="I6283" s="274"/>
      <c r="J6283" s="274" t="e">
        <f t="shared" ca="1" si="100"/>
        <v>#NAME?</v>
      </c>
      <c r="K6283" s="274">
        <f t="shared" si="101"/>
        <v>0</v>
      </c>
      <c r="N6283" s="274"/>
    </row>
    <row r="6284" spans="5:14" ht="13.5" customHeight="1">
      <c r="E6284" s="1" t="s">
        <v>1408</v>
      </c>
      <c r="F6284" s="1" t="s">
        <v>3091</v>
      </c>
      <c r="G6284" s="406" t="str">
        <f t="shared" si="103"/>
        <v>11-12</v>
      </c>
      <c r="H6284" s="273" t="e">
        <f ca="1">_xludf.IFNA(VLOOKUP(E6284,'Urban Plastix Holds'!$I$37:$U$705,5,0),0)</f>
        <v>#NAME?</v>
      </c>
      <c r="I6284" s="274"/>
      <c r="J6284" s="274" t="e">
        <f t="shared" ca="1" si="100"/>
        <v>#NAME?</v>
      </c>
      <c r="K6284" s="274">
        <f t="shared" si="101"/>
        <v>0</v>
      </c>
      <c r="N6284" s="274"/>
    </row>
    <row r="6285" spans="5:14" ht="13.5" customHeight="1">
      <c r="E6285" s="1" t="s">
        <v>1408</v>
      </c>
      <c r="F6285" s="1" t="s">
        <v>3091</v>
      </c>
      <c r="G6285" s="408" t="str">
        <f t="shared" si="103"/>
        <v>14-01</v>
      </c>
      <c r="H6285" s="273" t="e">
        <f ca="1">_xludf.IFNA(VLOOKUP(E6285,'Urban Plastix Holds'!$I$37:$U$705,6,0),0)</f>
        <v>#NAME?</v>
      </c>
      <c r="I6285" s="274"/>
      <c r="J6285" s="274" t="e">
        <f t="shared" ca="1" si="100"/>
        <v>#NAME?</v>
      </c>
      <c r="K6285" s="274">
        <f t="shared" si="101"/>
        <v>0</v>
      </c>
      <c r="N6285" s="274"/>
    </row>
    <row r="6286" spans="5:14" ht="13.5" customHeight="1">
      <c r="E6286" s="1" t="s">
        <v>1408</v>
      </c>
      <c r="F6286" s="1" t="s">
        <v>3091</v>
      </c>
      <c r="G6286" s="409" t="str">
        <f t="shared" si="103"/>
        <v>15-12</v>
      </c>
      <c r="H6286" s="273" t="e">
        <f ca="1">_xludf.IFNA(VLOOKUP(E6286,'Urban Plastix Holds'!$I$37:$U$705,7,0),0)</f>
        <v>#NAME?</v>
      </c>
      <c r="I6286" s="274"/>
      <c r="J6286" s="274" t="e">
        <f t="shared" ca="1" si="100"/>
        <v>#NAME?</v>
      </c>
      <c r="K6286" s="274">
        <f t="shared" si="101"/>
        <v>0</v>
      </c>
      <c r="N6286" s="274"/>
    </row>
    <row r="6287" spans="5:14" ht="13.5" customHeight="1">
      <c r="E6287" s="1" t="s">
        <v>1408</v>
      </c>
      <c r="F6287" s="1" t="s">
        <v>3091</v>
      </c>
      <c r="G6287" s="410" t="str">
        <f t="shared" si="103"/>
        <v>16-16</v>
      </c>
      <c r="H6287" s="273" t="e">
        <f ca="1">_xludf.IFNA(VLOOKUP(E6287,'Urban Plastix Holds'!$I$37:$U$705,8,0),0)</f>
        <v>#NAME?</v>
      </c>
      <c r="I6287" s="274"/>
      <c r="J6287" s="274" t="e">
        <f t="shared" ca="1" si="100"/>
        <v>#NAME?</v>
      </c>
      <c r="K6287" s="274">
        <f t="shared" si="101"/>
        <v>0</v>
      </c>
      <c r="N6287" s="274"/>
    </row>
    <row r="6288" spans="5:14" ht="13.5" customHeight="1">
      <c r="E6288" s="1" t="s">
        <v>1408</v>
      </c>
      <c r="F6288" s="1" t="s">
        <v>3091</v>
      </c>
      <c r="G6288" s="411" t="str">
        <f t="shared" si="103"/>
        <v>13-01</v>
      </c>
      <c r="H6288" s="273" t="e">
        <f ca="1">_xludf.IFNA(VLOOKUP(E6288,'Urban Plastix Holds'!$I$37:$U$705,9,0),0)</f>
        <v>#NAME?</v>
      </c>
      <c r="I6288" s="274"/>
      <c r="J6288" s="274" t="e">
        <f t="shared" ca="1" si="100"/>
        <v>#NAME?</v>
      </c>
      <c r="K6288" s="274">
        <f t="shared" si="101"/>
        <v>0</v>
      </c>
      <c r="N6288" s="274"/>
    </row>
    <row r="6289" spans="5:14" ht="13.5" customHeight="1">
      <c r="E6289" s="1" t="s">
        <v>1408</v>
      </c>
      <c r="F6289" s="1" t="s">
        <v>3091</v>
      </c>
      <c r="G6289" s="413" t="str">
        <f t="shared" si="103"/>
        <v>07-13</v>
      </c>
      <c r="H6289" s="273" t="e">
        <f ca="1">_xludf.IFNA(VLOOKUP(E6289,'Urban Plastix Holds'!$I$37:$U$705,10,0),0)</f>
        <v>#NAME?</v>
      </c>
      <c r="I6289" s="274"/>
      <c r="J6289" s="274" t="e">
        <f t="shared" ca="1" si="100"/>
        <v>#NAME?</v>
      </c>
      <c r="K6289" s="274">
        <f t="shared" si="101"/>
        <v>0</v>
      </c>
      <c r="N6289" s="274"/>
    </row>
    <row r="6290" spans="5:14" ht="13.5" customHeight="1">
      <c r="E6290" s="1" t="s">
        <v>1408</v>
      </c>
      <c r="F6290" s="1" t="s">
        <v>3091</v>
      </c>
      <c r="G6290" s="414" t="str">
        <f t="shared" si="103"/>
        <v>11-26</v>
      </c>
      <c r="H6290" s="273" t="e">
        <f ca="1">_xludf.IFNA(VLOOKUP(E6290,'Urban Plastix Holds'!$I$37:$U$705,11,0),0)</f>
        <v>#NAME?</v>
      </c>
      <c r="I6290" s="274"/>
      <c r="J6290" s="274" t="e">
        <f t="shared" ca="1" si="100"/>
        <v>#NAME?</v>
      </c>
      <c r="K6290" s="274">
        <f t="shared" si="101"/>
        <v>0</v>
      </c>
      <c r="N6290" s="274"/>
    </row>
    <row r="6291" spans="5:14" ht="13.5" customHeight="1">
      <c r="E6291" s="1" t="s">
        <v>1408</v>
      </c>
      <c r="F6291" s="1" t="s">
        <v>3091</v>
      </c>
      <c r="G6291" s="415" t="str">
        <f t="shared" si="103"/>
        <v>18-01</v>
      </c>
      <c r="H6291" s="273" t="e">
        <f ca="1">_xludf.IFNA(VLOOKUP(E6291,'Urban Plastix Holds'!$I$37:$U$705,12,0),0)</f>
        <v>#NAME?</v>
      </c>
      <c r="I6291" s="274"/>
      <c r="J6291" s="274" t="e">
        <f t="shared" ca="1" si="100"/>
        <v>#NAME?</v>
      </c>
      <c r="K6291" s="274">
        <f t="shared" si="101"/>
        <v>0</v>
      </c>
      <c r="N6291" s="274"/>
    </row>
    <row r="6292" spans="5:14" ht="13.5" customHeight="1">
      <c r="E6292" s="1" t="s">
        <v>1408</v>
      </c>
      <c r="F6292" s="1" t="s">
        <v>3091</v>
      </c>
      <c r="G6292" s="416" t="str">
        <f t="shared" si="103"/>
        <v>Color Code</v>
      </c>
      <c r="H6292" s="273" t="e">
        <f ca="1">_xludf.IFNA(VLOOKUP(E6292,'Urban Plastix Holds'!$I$37:$U$705,13,0),0)</f>
        <v>#NAME?</v>
      </c>
      <c r="I6292" s="274"/>
      <c r="J6292" s="274" t="e">
        <f t="shared" ca="1" si="100"/>
        <v>#NAME?</v>
      </c>
      <c r="K6292" s="274">
        <f t="shared" si="101"/>
        <v>0</v>
      </c>
      <c r="N6292" s="274"/>
    </row>
    <row r="6293" spans="5:14" ht="13.5" customHeight="1">
      <c r="E6293" s="1" t="s">
        <v>1387</v>
      </c>
      <c r="F6293" s="1" t="s">
        <v>3092</v>
      </c>
      <c r="G6293" s="406" t="str">
        <f t="shared" si="103"/>
        <v>11-12</v>
      </c>
      <c r="H6293" s="273" t="e">
        <f ca="1">_xludf.IFNA(VLOOKUP(E6293,'Urban Plastix Holds'!$I$37:$U$705,5,0),0)</f>
        <v>#NAME?</v>
      </c>
      <c r="I6293" s="274"/>
      <c r="J6293" s="274" t="e">
        <f t="shared" ca="1" si="100"/>
        <v>#NAME?</v>
      </c>
      <c r="K6293" s="274">
        <f t="shared" si="101"/>
        <v>0</v>
      </c>
      <c r="N6293" s="274"/>
    </row>
    <row r="6294" spans="5:14" ht="13.5" customHeight="1">
      <c r="E6294" s="1" t="s">
        <v>1387</v>
      </c>
      <c r="F6294" s="1" t="s">
        <v>3092</v>
      </c>
      <c r="G6294" s="408" t="str">
        <f t="shared" si="103"/>
        <v>14-01</v>
      </c>
      <c r="H6294" s="273" t="e">
        <f ca="1">_xludf.IFNA(VLOOKUP(E6294,'Urban Plastix Holds'!$I$37:$U$705,6,0),0)</f>
        <v>#NAME?</v>
      </c>
      <c r="I6294" s="274"/>
      <c r="J6294" s="274" t="e">
        <f t="shared" ca="1" si="100"/>
        <v>#NAME?</v>
      </c>
      <c r="K6294" s="274">
        <f t="shared" si="101"/>
        <v>0</v>
      </c>
      <c r="N6294" s="274"/>
    </row>
    <row r="6295" spans="5:14" ht="13.5" customHeight="1">
      <c r="E6295" s="1" t="s">
        <v>1387</v>
      </c>
      <c r="F6295" s="1" t="s">
        <v>3092</v>
      </c>
      <c r="G6295" s="409" t="str">
        <f t="shared" si="103"/>
        <v>15-12</v>
      </c>
      <c r="H6295" s="273" t="e">
        <f ca="1">_xludf.IFNA(VLOOKUP(E6295,'Urban Plastix Holds'!$I$37:$U$705,7,0),0)</f>
        <v>#NAME?</v>
      </c>
      <c r="I6295" s="274"/>
      <c r="J6295" s="274" t="e">
        <f t="shared" ca="1" si="100"/>
        <v>#NAME?</v>
      </c>
      <c r="K6295" s="274">
        <f t="shared" si="101"/>
        <v>0</v>
      </c>
      <c r="N6295" s="274"/>
    </row>
    <row r="6296" spans="5:14" ht="13.5" customHeight="1">
      <c r="E6296" s="1" t="s">
        <v>1387</v>
      </c>
      <c r="F6296" s="1" t="s">
        <v>3092</v>
      </c>
      <c r="G6296" s="410" t="str">
        <f t="shared" si="103"/>
        <v>16-16</v>
      </c>
      <c r="H6296" s="273" t="e">
        <f ca="1">_xludf.IFNA(VLOOKUP(E6296,'Urban Plastix Holds'!$I$37:$U$705,8,0),0)</f>
        <v>#NAME?</v>
      </c>
      <c r="I6296" s="274"/>
      <c r="J6296" s="274" t="e">
        <f t="shared" ca="1" si="100"/>
        <v>#NAME?</v>
      </c>
      <c r="K6296" s="274">
        <f t="shared" si="101"/>
        <v>0</v>
      </c>
      <c r="N6296" s="274"/>
    </row>
    <row r="6297" spans="5:14" ht="13.5" customHeight="1">
      <c r="E6297" s="1" t="s">
        <v>1387</v>
      </c>
      <c r="F6297" s="1" t="s">
        <v>3092</v>
      </c>
      <c r="G6297" s="411" t="str">
        <f t="shared" si="103"/>
        <v>13-01</v>
      </c>
      <c r="H6297" s="273" t="e">
        <f ca="1">_xludf.IFNA(VLOOKUP(E6297,'Urban Plastix Holds'!$I$37:$U$705,9,0),0)</f>
        <v>#NAME?</v>
      </c>
      <c r="I6297" s="274"/>
      <c r="J6297" s="274" t="e">
        <f t="shared" ca="1" si="100"/>
        <v>#NAME?</v>
      </c>
      <c r="K6297" s="274">
        <f t="shared" si="101"/>
        <v>0</v>
      </c>
      <c r="N6297" s="274"/>
    </row>
    <row r="6298" spans="5:14" ht="13.5" customHeight="1">
      <c r="E6298" s="1" t="s">
        <v>1387</v>
      </c>
      <c r="F6298" s="1" t="s">
        <v>3092</v>
      </c>
      <c r="G6298" s="413" t="str">
        <f t="shared" si="103"/>
        <v>07-13</v>
      </c>
      <c r="H6298" s="273" t="e">
        <f ca="1">_xludf.IFNA(VLOOKUP(E6298,'Urban Plastix Holds'!$I$37:$U$705,10,0),0)</f>
        <v>#NAME?</v>
      </c>
      <c r="I6298" s="274"/>
      <c r="J6298" s="274" t="e">
        <f t="shared" ca="1" si="100"/>
        <v>#NAME?</v>
      </c>
      <c r="K6298" s="274">
        <f t="shared" si="101"/>
        <v>0</v>
      </c>
      <c r="N6298" s="274"/>
    </row>
    <row r="6299" spans="5:14" ht="13.5" customHeight="1">
      <c r="E6299" s="1" t="s">
        <v>1387</v>
      </c>
      <c r="F6299" s="1" t="s">
        <v>3092</v>
      </c>
      <c r="G6299" s="414" t="str">
        <f t="shared" si="103"/>
        <v>11-26</v>
      </c>
      <c r="H6299" s="273" t="e">
        <f ca="1">_xludf.IFNA(VLOOKUP(E6299,'Urban Plastix Holds'!$I$37:$U$705,11,0),0)</f>
        <v>#NAME?</v>
      </c>
      <c r="I6299" s="274"/>
      <c r="J6299" s="274" t="e">
        <f t="shared" ca="1" si="100"/>
        <v>#NAME?</v>
      </c>
      <c r="K6299" s="274">
        <f t="shared" si="101"/>
        <v>0</v>
      </c>
      <c r="N6299" s="274"/>
    </row>
    <row r="6300" spans="5:14" ht="13.5" customHeight="1">
      <c r="E6300" s="1" t="s">
        <v>1387</v>
      </c>
      <c r="F6300" s="1" t="s">
        <v>3092</v>
      </c>
      <c r="G6300" s="415" t="str">
        <f t="shared" si="103"/>
        <v>18-01</v>
      </c>
      <c r="H6300" s="273" t="e">
        <f ca="1">_xludf.IFNA(VLOOKUP(E6300,'Urban Plastix Holds'!$I$37:$U$705,12,0),0)</f>
        <v>#NAME?</v>
      </c>
      <c r="I6300" s="274"/>
      <c r="J6300" s="274" t="e">
        <f t="shared" ca="1" si="100"/>
        <v>#NAME?</v>
      </c>
      <c r="K6300" s="274">
        <f t="shared" si="101"/>
        <v>0</v>
      </c>
      <c r="N6300" s="274"/>
    </row>
    <row r="6301" spans="5:14" ht="13.5" customHeight="1">
      <c r="E6301" s="1" t="s">
        <v>1387</v>
      </c>
      <c r="F6301" s="1" t="s">
        <v>3092</v>
      </c>
      <c r="G6301" s="416" t="str">
        <f t="shared" si="103"/>
        <v>Color Code</v>
      </c>
      <c r="H6301" s="273" t="e">
        <f ca="1">_xludf.IFNA(VLOOKUP(E6301,'Urban Plastix Holds'!$I$37:$U$705,13,0),0)</f>
        <v>#NAME?</v>
      </c>
      <c r="I6301" s="274"/>
      <c r="J6301" s="274" t="e">
        <f t="shared" ca="1" si="100"/>
        <v>#NAME?</v>
      </c>
      <c r="K6301" s="274">
        <f t="shared" si="101"/>
        <v>0</v>
      </c>
      <c r="N6301" s="274"/>
    </row>
    <row r="6302" spans="5:14" ht="13.5" customHeight="1">
      <c r="E6302" s="1" t="s">
        <v>1375</v>
      </c>
      <c r="F6302" s="1" t="s">
        <v>3093</v>
      </c>
      <c r="G6302" s="406" t="str">
        <f t="shared" si="103"/>
        <v>11-12</v>
      </c>
      <c r="H6302" s="273" t="e">
        <f ca="1">_xludf.IFNA(VLOOKUP(E6302,'Urban Plastix Holds'!$I$37:$U$705,5,0),0)</f>
        <v>#NAME?</v>
      </c>
      <c r="I6302" s="274"/>
      <c r="J6302" s="274" t="e">
        <f t="shared" ca="1" si="100"/>
        <v>#NAME?</v>
      </c>
      <c r="K6302" s="274">
        <f t="shared" si="101"/>
        <v>0</v>
      </c>
      <c r="N6302" s="274"/>
    </row>
    <row r="6303" spans="5:14" ht="13.5" customHeight="1">
      <c r="E6303" s="1" t="s">
        <v>1375</v>
      </c>
      <c r="F6303" s="1" t="s">
        <v>3093</v>
      </c>
      <c r="G6303" s="408" t="str">
        <f t="shared" si="103"/>
        <v>14-01</v>
      </c>
      <c r="H6303" s="273" t="e">
        <f ca="1">_xludf.IFNA(VLOOKUP(E6303,'Urban Plastix Holds'!$I$37:$U$705,6,0),0)</f>
        <v>#NAME?</v>
      </c>
      <c r="I6303" s="274"/>
      <c r="J6303" s="274" t="e">
        <f t="shared" ca="1" si="100"/>
        <v>#NAME?</v>
      </c>
      <c r="K6303" s="274">
        <f t="shared" si="101"/>
        <v>0</v>
      </c>
      <c r="N6303" s="274"/>
    </row>
    <row r="6304" spans="5:14" ht="13.5" customHeight="1">
      <c r="E6304" s="1" t="s">
        <v>1375</v>
      </c>
      <c r="F6304" s="1" t="s">
        <v>3093</v>
      </c>
      <c r="G6304" s="409" t="str">
        <f t="shared" si="103"/>
        <v>15-12</v>
      </c>
      <c r="H6304" s="273" t="e">
        <f ca="1">_xludf.IFNA(VLOOKUP(E6304,'Urban Plastix Holds'!$I$37:$U$705,7,0),0)</f>
        <v>#NAME?</v>
      </c>
      <c r="I6304" s="274"/>
      <c r="J6304" s="274" t="e">
        <f t="shared" ca="1" si="100"/>
        <v>#NAME?</v>
      </c>
      <c r="K6304" s="274">
        <f t="shared" si="101"/>
        <v>0</v>
      </c>
      <c r="N6304" s="274"/>
    </row>
    <row r="6305" spans="5:14" ht="13.5" customHeight="1">
      <c r="E6305" s="1" t="s">
        <v>1375</v>
      </c>
      <c r="F6305" s="1" t="s">
        <v>3093</v>
      </c>
      <c r="G6305" s="410" t="str">
        <f t="shared" si="103"/>
        <v>16-16</v>
      </c>
      <c r="H6305" s="273" t="e">
        <f ca="1">_xludf.IFNA(VLOOKUP(E6305,'Urban Plastix Holds'!$I$37:$U$705,8,0),0)</f>
        <v>#NAME?</v>
      </c>
      <c r="I6305" s="274"/>
      <c r="J6305" s="274" t="e">
        <f t="shared" ca="1" si="100"/>
        <v>#NAME?</v>
      </c>
      <c r="K6305" s="274">
        <f t="shared" si="101"/>
        <v>0</v>
      </c>
      <c r="N6305" s="274"/>
    </row>
    <row r="6306" spans="5:14" ht="13.5" customHeight="1">
      <c r="E6306" s="1" t="s">
        <v>1375</v>
      </c>
      <c r="F6306" s="1" t="s">
        <v>3093</v>
      </c>
      <c r="G6306" s="411" t="str">
        <f t="shared" si="103"/>
        <v>13-01</v>
      </c>
      <c r="H6306" s="273" t="e">
        <f ca="1">_xludf.IFNA(VLOOKUP(E6306,'Urban Plastix Holds'!$I$37:$U$705,9,0),0)</f>
        <v>#NAME?</v>
      </c>
      <c r="I6306" s="274"/>
      <c r="J6306" s="274" t="e">
        <f t="shared" ca="1" si="100"/>
        <v>#NAME?</v>
      </c>
      <c r="K6306" s="274">
        <f t="shared" si="101"/>
        <v>0</v>
      </c>
      <c r="N6306" s="274"/>
    </row>
    <row r="6307" spans="5:14" ht="13.5" customHeight="1">
      <c r="E6307" s="1" t="s">
        <v>1375</v>
      </c>
      <c r="F6307" s="1" t="s">
        <v>3093</v>
      </c>
      <c r="G6307" s="413" t="str">
        <f t="shared" si="103"/>
        <v>07-13</v>
      </c>
      <c r="H6307" s="273" t="e">
        <f ca="1">_xludf.IFNA(VLOOKUP(E6307,'Urban Plastix Holds'!$I$37:$U$705,10,0),0)</f>
        <v>#NAME?</v>
      </c>
      <c r="I6307" s="274"/>
      <c r="J6307" s="274" t="e">
        <f t="shared" ca="1" si="100"/>
        <v>#NAME?</v>
      </c>
      <c r="K6307" s="274">
        <f t="shared" si="101"/>
        <v>0</v>
      </c>
      <c r="N6307" s="274"/>
    </row>
    <row r="6308" spans="5:14" ht="13.5" customHeight="1">
      <c r="E6308" s="1" t="s">
        <v>1375</v>
      </c>
      <c r="F6308" s="1" t="s">
        <v>3093</v>
      </c>
      <c r="G6308" s="414" t="str">
        <f t="shared" si="103"/>
        <v>11-26</v>
      </c>
      <c r="H6308" s="273" t="e">
        <f ca="1">_xludf.IFNA(VLOOKUP(E6308,'Urban Plastix Holds'!$I$37:$U$705,11,0),0)</f>
        <v>#NAME?</v>
      </c>
      <c r="I6308" s="274"/>
      <c r="J6308" s="274" t="e">
        <f t="shared" ca="1" si="100"/>
        <v>#NAME?</v>
      </c>
      <c r="K6308" s="274">
        <f t="shared" si="101"/>
        <v>0</v>
      </c>
      <c r="N6308" s="274"/>
    </row>
    <row r="6309" spans="5:14" ht="13.5" customHeight="1">
      <c r="E6309" s="1" t="s">
        <v>1375</v>
      </c>
      <c r="F6309" s="1" t="s">
        <v>3093</v>
      </c>
      <c r="G6309" s="415" t="str">
        <f t="shared" si="103"/>
        <v>18-01</v>
      </c>
      <c r="H6309" s="273" t="e">
        <f ca="1">_xludf.IFNA(VLOOKUP(E6309,'Urban Plastix Holds'!$I$37:$U$705,12,0),0)</f>
        <v>#NAME?</v>
      </c>
      <c r="I6309" s="274"/>
      <c r="J6309" s="274" t="e">
        <f t="shared" ca="1" si="100"/>
        <v>#NAME?</v>
      </c>
      <c r="K6309" s="274">
        <f t="shared" si="101"/>
        <v>0</v>
      </c>
      <c r="N6309" s="274"/>
    </row>
    <row r="6310" spans="5:14" ht="13.5" customHeight="1">
      <c r="E6310" s="1" t="s">
        <v>1375</v>
      </c>
      <c r="F6310" s="1" t="s">
        <v>3093</v>
      </c>
      <c r="G6310" s="416" t="str">
        <f t="shared" si="103"/>
        <v>Color Code</v>
      </c>
      <c r="H6310" s="273" t="e">
        <f ca="1">_xludf.IFNA(VLOOKUP(E6310,'Urban Plastix Holds'!$I$37:$U$705,13,0),0)</f>
        <v>#NAME?</v>
      </c>
      <c r="I6310" s="274"/>
      <c r="J6310" s="274" t="e">
        <f t="shared" ca="1" si="100"/>
        <v>#NAME?</v>
      </c>
      <c r="K6310" s="274">
        <f t="shared" si="101"/>
        <v>0</v>
      </c>
      <c r="N6310" s="274"/>
    </row>
    <row r="6311" spans="5:14" ht="13.5" customHeight="1">
      <c r="E6311" s="1" t="s">
        <v>1508</v>
      </c>
      <c r="F6311" s="1" t="s">
        <v>3094</v>
      </c>
      <c r="G6311" s="406" t="str">
        <f t="shared" si="103"/>
        <v>11-12</v>
      </c>
      <c r="H6311" s="273" t="e">
        <f ca="1">_xludf.IFNA(VLOOKUP(E6311,'Urban Plastix Holds'!$I$37:$U$705,5,0),0)</f>
        <v>#NAME?</v>
      </c>
      <c r="I6311" s="274"/>
      <c r="J6311" s="274" t="e">
        <f t="shared" ca="1" si="100"/>
        <v>#NAME?</v>
      </c>
      <c r="K6311" s="274">
        <f t="shared" si="101"/>
        <v>0</v>
      </c>
      <c r="N6311" s="274"/>
    </row>
    <row r="6312" spans="5:14" ht="13.5" customHeight="1">
      <c r="E6312" s="1" t="s">
        <v>1508</v>
      </c>
      <c r="F6312" s="1" t="s">
        <v>3094</v>
      </c>
      <c r="G6312" s="408" t="str">
        <f t="shared" si="103"/>
        <v>14-01</v>
      </c>
      <c r="H6312" s="273" t="e">
        <f ca="1">_xludf.IFNA(VLOOKUP(E6312,'Urban Plastix Holds'!$I$37:$U$705,6,0),0)</f>
        <v>#NAME?</v>
      </c>
      <c r="I6312" s="274"/>
      <c r="J6312" s="274" t="e">
        <f t="shared" ca="1" si="100"/>
        <v>#NAME?</v>
      </c>
      <c r="K6312" s="274">
        <f t="shared" si="101"/>
        <v>0</v>
      </c>
      <c r="N6312" s="274"/>
    </row>
    <row r="6313" spans="5:14" ht="13.5" customHeight="1">
      <c r="E6313" s="1" t="s">
        <v>1508</v>
      </c>
      <c r="F6313" s="1" t="s">
        <v>3094</v>
      </c>
      <c r="G6313" s="409" t="str">
        <f t="shared" si="103"/>
        <v>15-12</v>
      </c>
      <c r="H6313" s="273" t="e">
        <f ca="1">_xludf.IFNA(VLOOKUP(E6313,'Urban Plastix Holds'!$I$37:$U$705,7,0),0)</f>
        <v>#NAME?</v>
      </c>
      <c r="I6313" s="274"/>
      <c r="J6313" s="274" t="e">
        <f t="shared" ca="1" si="100"/>
        <v>#NAME?</v>
      </c>
      <c r="K6313" s="274">
        <f t="shared" si="101"/>
        <v>0</v>
      </c>
      <c r="N6313" s="274"/>
    </row>
    <row r="6314" spans="5:14" ht="13.5" customHeight="1">
      <c r="E6314" s="1" t="s">
        <v>1508</v>
      </c>
      <c r="F6314" s="1" t="s">
        <v>3094</v>
      </c>
      <c r="G6314" s="410" t="str">
        <f t="shared" si="103"/>
        <v>16-16</v>
      </c>
      <c r="H6314" s="273" t="e">
        <f ca="1">_xludf.IFNA(VLOOKUP(E6314,'Urban Plastix Holds'!$I$37:$U$705,8,0),0)</f>
        <v>#NAME?</v>
      </c>
      <c r="I6314" s="274"/>
      <c r="J6314" s="274" t="e">
        <f t="shared" ca="1" si="100"/>
        <v>#NAME?</v>
      </c>
      <c r="K6314" s="274">
        <f t="shared" si="101"/>
        <v>0</v>
      </c>
      <c r="N6314" s="274"/>
    </row>
    <row r="6315" spans="5:14" ht="13.5" customHeight="1">
      <c r="E6315" s="1" t="s">
        <v>1508</v>
      </c>
      <c r="F6315" s="1" t="s">
        <v>3094</v>
      </c>
      <c r="G6315" s="411" t="str">
        <f t="shared" si="103"/>
        <v>13-01</v>
      </c>
      <c r="H6315" s="273" t="e">
        <f ca="1">_xludf.IFNA(VLOOKUP(E6315,'Urban Plastix Holds'!$I$37:$U$705,9,0),0)</f>
        <v>#NAME?</v>
      </c>
      <c r="I6315" s="274"/>
      <c r="J6315" s="274" t="e">
        <f t="shared" ca="1" si="100"/>
        <v>#NAME?</v>
      </c>
      <c r="K6315" s="274">
        <f t="shared" si="101"/>
        <v>0</v>
      </c>
      <c r="N6315" s="274"/>
    </row>
    <row r="6316" spans="5:14" ht="13.5" customHeight="1">
      <c r="E6316" s="1" t="s">
        <v>1508</v>
      </c>
      <c r="F6316" s="1" t="s">
        <v>3094</v>
      </c>
      <c r="G6316" s="413" t="str">
        <f t="shared" si="103"/>
        <v>07-13</v>
      </c>
      <c r="H6316" s="273" t="e">
        <f ca="1">_xludf.IFNA(VLOOKUP(E6316,'Urban Plastix Holds'!$I$37:$U$705,10,0),0)</f>
        <v>#NAME?</v>
      </c>
      <c r="I6316" s="274"/>
      <c r="J6316" s="274" t="e">
        <f t="shared" ca="1" si="100"/>
        <v>#NAME?</v>
      </c>
      <c r="K6316" s="274">
        <f t="shared" si="101"/>
        <v>0</v>
      </c>
      <c r="N6316" s="274"/>
    </row>
    <row r="6317" spans="5:14" ht="13.5" customHeight="1">
      <c r="E6317" s="1" t="s">
        <v>1508</v>
      </c>
      <c r="F6317" s="1" t="s">
        <v>3094</v>
      </c>
      <c r="G6317" s="414" t="str">
        <f t="shared" si="103"/>
        <v>11-26</v>
      </c>
      <c r="H6317" s="273" t="e">
        <f ca="1">_xludf.IFNA(VLOOKUP(E6317,'Urban Plastix Holds'!$I$37:$U$705,11,0),0)</f>
        <v>#NAME?</v>
      </c>
      <c r="I6317" s="274"/>
      <c r="J6317" s="274" t="e">
        <f t="shared" ca="1" si="100"/>
        <v>#NAME?</v>
      </c>
      <c r="K6317" s="274">
        <f t="shared" si="101"/>
        <v>0</v>
      </c>
      <c r="N6317" s="274"/>
    </row>
    <row r="6318" spans="5:14" ht="13.5" customHeight="1">
      <c r="E6318" s="1" t="s">
        <v>1508</v>
      </c>
      <c r="F6318" s="1" t="s">
        <v>3094</v>
      </c>
      <c r="G6318" s="415" t="str">
        <f t="shared" si="103"/>
        <v>18-01</v>
      </c>
      <c r="H6318" s="273" t="e">
        <f ca="1">_xludf.IFNA(VLOOKUP(E6318,'Urban Plastix Holds'!$I$37:$U$705,12,0),0)</f>
        <v>#NAME?</v>
      </c>
      <c r="I6318" s="274"/>
      <c r="J6318" s="274" t="e">
        <f t="shared" ca="1" si="100"/>
        <v>#NAME?</v>
      </c>
      <c r="K6318" s="274">
        <f t="shared" si="101"/>
        <v>0</v>
      </c>
      <c r="N6318" s="274"/>
    </row>
    <row r="6319" spans="5:14" ht="13.5" customHeight="1">
      <c r="E6319" s="1" t="s">
        <v>1508</v>
      </c>
      <c r="F6319" s="1" t="s">
        <v>3094</v>
      </c>
      <c r="G6319" s="416" t="str">
        <f t="shared" si="103"/>
        <v>Color Code</v>
      </c>
      <c r="H6319" s="273" t="e">
        <f ca="1">_xludf.IFNA(VLOOKUP(E6319,'Urban Plastix Holds'!$I$37:$U$705,13,0),0)</f>
        <v>#NAME?</v>
      </c>
      <c r="I6319" s="274"/>
      <c r="J6319" s="274" t="e">
        <f t="shared" ca="1" si="100"/>
        <v>#NAME?</v>
      </c>
      <c r="K6319" s="274">
        <f t="shared" si="101"/>
        <v>0</v>
      </c>
      <c r="N6319" s="274"/>
    </row>
    <row r="6320" spans="5:14" ht="13.5" customHeight="1">
      <c r="E6320" s="1" t="s">
        <v>1492</v>
      </c>
      <c r="F6320" s="1" t="s">
        <v>3095</v>
      </c>
      <c r="G6320" s="406" t="str">
        <f t="shared" si="103"/>
        <v>11-12</v>
      </c>
      <c r="H6320" s="273" t="e">
        <f ca="1">_xludf.IFNA(VLOOKUP(E6320,'Urban Plastix Holds'!$I$37:$U$705,5,0),0)</f>
        <v>#NAME?</v>
      </c>
      <c r="I6320" s="274"/>
      <c r="J6320" s="274" t="e">
        <f t="shared" ca="1" si="100"/>
        <v>#NAME?</v>
      </c>
      <c r="K6320" s="274">
        <f t="shared" si="101"/>
        <v>0</v>
      </c>
      <c r="N6320" s="274"/>
    </row>
    <row r="6321" spans="5:14" ht="13.5" customHeight="1">
      <c r="E6321" s="1" t="s">
        <v>1492</v>
      </c>
      <c r="F6321" s="1" t="s">
        <v>3095</v>
      </c>
      <c r="G6321" s="408" t="str">
        <f t="shared" si="103"/>
        <v>14-01</v>
      </c>
      <c r="H6321" s="273" t="e">
        <f ca="1">_xludf.IFNA(VLOOKUP(E6321,'Urban Plastix Holds'!$I$37:$U$705,6,0),0)</f>
        <v>#NAME?</v>
      </c>
      <c r="I6321" s="274"/>
      <c r="J6321" s="274" t="e">
        <f t="shared" ca="1" si="100"/>
        <v>#NAME?</v>
      </c>
      <c r="K6321" s="274">
        <f t="shared" si="101"/>
        <v>0</v>
      </c>
      <c r="N6321" s="274"/>
    </row>
    <row r="6322" spans="5:14" ht="13.5" customHeight="1">
      <c r="E6322" s="1" t="s">
        <v>1492</v>
      </c>
      <c r="F6322" s="1" t="s">
        <v>3095</v>
      </c>
      <c r="G6322" s="409" t="str">
        <f t="shared" si="103"/>
        <v>15-12</v>
      </c>
      <c r="H6322" s="273" t="e">
        <f ca="1">_xludf.IFNA(VLOOKUP(E6322,'Urban Plastix Holds'!$I$37:$U$705,7,0),0)</f>
        <v>#NAME?</v>
      </c>
      <c r="I6322" s="274"/>
      <c r="J6322" s="274" t="e">
        <f t="shared" ca="1" si="100"/>
        <v>#NAME?</v>
      </c>
      <c r="K6322" s="274">
        <f t="shared" si="101"/>
        <v>0</v>
      </c>
      <c r="N6322" s="274"/>
    </row>
    <row r="6323" spans="5:14" ht="13.5" customHeight="1">
      <c r="E6323" s="1" t="s">
        <v>1492</v>
      </c>
      <c r="F6323" s="1" t="s">
        <v>3095</v>
      </c>
      <c r="G6323" s="410" t="str">
        <f t="shared" si="103"/>
        <v>16-16</v>
      </c>
      <c r="H6323" s="273" t="e">
        <f ca="1">_xludf.IFNA(VLOOKUP(E6323,'Urban Plastix Holds'!$I$37:$U$705,8,0),0)</f>
        <v>#NAME?</v>
      </c>
      <c r="I6323" s="274"/>
      <c r="J6323" s="274" t="e">
        <f t="shared" ca="1" si="100"/>
        <v>#NAME?</v>
      </c>
      <c r="K6323" s="274">
        <f t="shared" si="101"/>
        <v>0</v>
      </c>
      <c r="N6323" s="274"/>
    </row>
    <row r="6324" spans="5:14" ht="13.5" customHeight="1">
      <c r="E6324" s="1" t="s">
        <v>1492</v>
      </c>
      <c r="F6324" s="1" t="s">
        <v>3095</v>
      </c>
      <c r="G6324" s="411" t="str">
        <f t="shared" si="103"/>
        <v>13-01</v>
      </c>
      <c r="H6324" s="273" t="e">
        <f ca="1">_xludf.IFNA(VLOOKUP(E6324,'Urban Plastix Holds'!$I$37:$U$705,9,0),0)</f>
        <v>#NAME?</v>
      </c>
      <c r="I6324" s="274"/>
      <c r="J6324" s="274" t="e">
        <f t="shared" ca="1" si="100"/>
        <v>#NAME?</v>
      </c>
      <c r="K6324" s="274">
        <f t="shared" si="101"/>
        <v>0</v>
      </c>
      <c r="N6324" s="274"/>
    </row>
    <row r="6325" spans="5:14" ht="13.5" customHeight="1">
      <c r="E6325" s="1" t="s">
        <v>1492</v>
      </c>
      <c r="F6325" s="1" t="s">
        <v>3095</v>
      </c>
      <c r="G6325" s="413" t="str">
        <f t="shared" si="103"/>
        <v>07-13</v>
      </c>
      <c r="H6325" s="273" t="e">
        <f ca="1">_xludf.IFNA(VLOOKUP(E6325,'Urban Plastix Holds'!$I$37:$U$705,10,0),0)</f>
        <v>#NAME?</v>
      </c>
      <c r="I6325" s="274"/>
      <c r="J6325" s="274" t="e">
        <f t="shared" ca="1" si="100"/>
        <v>#NAME?</v>
      </c>
      <c r="K6325" s="274">
        <f t="shared" si="101"/>
        <v>0</v>
      </c>
      <c r="N6325" s="274"/>
    </row>
    <row r="6326" spans="5:14" ht="13.5" customHeight="1">
      <c r="E6326" s="1" t="s">
        <v>1492</v>
      </c>
      <c r="F6326" s="1" t="s">
        <v>3095</v>
      </c>
      <c r="G6326" s="414" t="str">
        <f t="shared" si="103"/>
        <v>11-26</v>
      </c>
      <c r="H6326" s="273" t="e">
        <f ca="1">_xludf.IFNA(VLOOKUP(E6326,'Urban Plastix Holds'!$I$37:$U$705,11,0),0)</f>
        <v>#NAME?</v>
      </c>
      <c r="I6326" s="274"/>
      <c r="J6326" s="274" t="e">
        <f t="shared" ca="1" si="100"/>
        <v>#NAME?</v>
      </c>
      <c r="K6326" s="274">
        <f t="shared" si="101"/>
        <v>0</v>
      </c>
      <c r="N6326" s="274"/>
    </row>
    <row r="6327" spans="5:14" ht="13.5" customHeight="1">
      <c r="E6327" s="1" t="s">
        <v>1492</v>
      </c>
      <c r="F6327" s="1" t="s">
        <v>3095</v>
      </c>
      <c r="G6327" s="415" t="str">
        <f t="shared" si="103"/>
        <v>18-01</v>
      </c>
      <c r="H6327" s="273" t="e">
        <f ca="1">_xludf.IFNA(VLOOKUP(E6327,'Urban Plastix Holds'!$I$37:$U$705,12,0),0)</f>
        <v>#NAME?</v>
      </c>
      <c r="I6327" s="274"/>
      <c r="J6327" s="274" t="e">
        <f t="shared" ca="1" si="100"/>
        <v>#NAME?</v>
      </c>
      <c r="K6327" s="274">
        <f t="shared" si="101"/>
        <v>0</v>
      </c>
      <c r="N6327" s="274"/>
    </row>
    <row r="6328" spans="5:14" ht="13.5" customHeight="1">
      <c r="E6328" s="1" t="s">
        <v>1492</v>
      </c>
      <c r="F6328" s="1" t="s">
        <v>3095</v>
      </c>
      <c r="G6328" s="416" t="str">
        <f t="shared" si="103"/>
        <v>Color Code</v>
      </c>
      <c r="H6328" s="273" t="e">
        <f ca="1">_xludf.IFNA(VLOOKUP(E6328,'Urban Plastix Holds'!$I$37:$U$705,13,0),0)</f>
        <v>#NAME?</v>
      </c>
      <c r="I6328" s="274"/>
      <c r="J6328" s="274" t="e">
        <f t="shared" ca="1" si="100"/>
        <v>#NAME?</v>
      </c>
      <c r="K6328" s="274">
        <f t="shared" si="101"/>
        <v>0</v>
      </c>
      <c r="N6328" s="274"/>
    </row>
    <row r="6329" spans="5:14" ht="13.5" customHeight="1">
      <c r="E6329" s="1" t="s">
        <v>1441</v>
      </c>
      <c r="F6329" s="1" t="s">
        <v>3096</v>
      </c>
      <c r="G6329" s="406" t="str">
        <f t="shared" si="103"/>
        <v>11-12</v>
      </c>
      <c r="H6329" s="273" t="e">
        <f ca="1">_xludf.IFNA(VLOOKUP(E6329,'Urban Plastix Holds'!$I$37:$U$705,5,0),0)</f>
        <v>#NAME?</v>
      </c>
      <c r="I6329" s="274"/>
      <c r="J6329" s="274" t="e">
        <f t="shared" ca="1" si="100"/>
        <v>#NAME?</v>
      </c>
      <c r="K6329" s="274">
        <f t="shared" si="101"/>
        <v>0</v>
      </c>
      <c r="N6329" s="274"/>
    </row>
    <row r="6330" spans="5:14" ht="13.5" customHeight="1">
      <c r="E6330" s="1" t="s">
        <v>1441</v>
      </c>
      <c r="F6330" s="1" t="s">
        <v>3096</v>
      </c>
      <c r="G6330" s="408" t="str">
        <f t="shared" si="103"/>
        <v>14-01</v>
      </c>
      <c r="H6330" s="273" t="e">
        <f ca="1">_xludf.IFNA(VLOOKUP(E6330,'Urban Plastix Holds'!$I$37:$U$705,6,0),0)</f>
        <v>#NAME?</v>
      </c>
      <c r="I6330" s="274"/>
      <c r="J6330" s="274" t="e">
        <f t="shared" ca="1" si="100"/>
        <v>#NAME?</v>
      </c>
      <c r="K6330" s="274">
        <f t="shared" si="101"/>
        <v>0</v>
      </c>
      <c r="N6330" s="274"/>
    </row>
    <row r="6331" spans="5:14" ht="13.5" customHeight="1">
      <c r="E6331" s="1" t="s">
        <v>1441</v>
      </c>
      <c r="F6331" s="1" t="s">
        <v>3096</v>
      </c>
      <c r="G6331" s="409" t="str">
        <f t="shared" si="103"/>
        <v>15-12</v>
      </c>
      <c r="H6331" s="273" t="e">
        <f ca="1">_xludf.IFNA(VLOOKUP(E6331,'Urban Plastix Holds'!$I$37:$U$705,7,0),0)</f>
        <v>#NAME?</v>
      </c>
      <c r="I6331" s="274"/>
      <c r="J6331" s="274" t="e">
        <f t="shared" ca="1" si="100"/>
        <v>#NAME?</v>
      </c>
      <c r="K6331" s="274">
        <f t="shared" si="101"/>
        <v>0</v>
      </c>
      <c r="N6331" s="274"/>
    </row>
    <row r="6332" spans="5:14" ht="13.5" customHeight="1">
      <c r="E6332" s="1" t="s">
        <v>1441</v>
      </c>
      <c r="F6332" s="1" t="s">
        <v>3096</v>
      </c>
      <c r="G6332" s="410" t="str">
        <f t="shared" si="103"/>
        <v>16-16</v>
      </c>
      <c r="H6332" s="273" t="e">
        <f ca="1">_xludf.IFNA(VLOOKUP(E6332,'Urban Plastix Holds'!$I$37:$U$705,8,0),0)</f>
        <v>#NAME?</v>
      </c>
      <c r="I6332" s="274"/>
      <c r="J6332" s="274" t="e">
        <f t="shared" ca="1" si="100"/>
        <v>#NAME?</v>
      </c>
      <c r="K6332" s="274">
        <f t="shared" si="101"/>
        <v>0</v>
      </c>
      <c r="N6332" s="274"/>
    </row>
    <row r="6333" spans="5:14" ht="13.5" customHeight="1">
      <c r="E6333" s="1" t="s">
        <v>1441</v>
      </c>
      <c r="F6333" s="1" t="s">
        <v>3096</v>
      </c>
      <c r="G6333" s="411" t="str">
        <f t="shared" si="103"/>
        <v>13-01</v>
      </c>
      <c r="H6333" s="273" t="e">
        <f ca="1">_xludf.IFNA(VLOOKUP(E6333,'Urban Plastix Holds'!$I$37:$U$705,9,0),0)</f>
        <v>#NAME?</v>
      </c>
      <c r="I6333" s="274"/>
      <c r="J6333" s="274" t="e">
        <f t="shared" ca="1" si="100"/>
        <v>#NAME?</v>
      </c>
      <c r="K6333" s="274">
        <f t="shared" si="101"/>
        <v>0</v>
      </c>
      <c r="N6333" s="274"/>
    </row>
    <row r="6334" spans="5:14" ht="13.5" customHeight="1">
      <c r="E6334" s="1" t="s">
        <v>1441</v>
      </c>
      <c r="F6334" s="1" t="s">
        <v>3096</v>
      </c>
      <c r="G6334" s="413" t="str">
        <f t="shared" si="103"/>
        <v>07-13</v>
      </c>
      <c r="H6334" s="273" t="e">
        <f ca="1">_xludf.IFNA(VLOOKUP(E6334,'Urban Plastix Holds'!$I$37:$U$705,10,0),0)</f>
        <v>#NAME?</v>
      </c>
      <c r="I6334" s="274"/>
      <c r="J6334" s="274" t="e">
        <f t="shared" ca="1" si="100"/>
        <v>#NAME?</v>
      </c>
      <c r="K6334" s="274">
        <f t="shared" si="101"/>
        <v>0</v>
      </c>
      <c r="N6334" s="274"/>
    </row>
    <row r="6335" spans="5:14" ht="13.5" customHeight="1">
      <c r="E6335" s="1" t="s">
        <v>1441</v>
      </c>
      <c r="F6335" s="1" t="s">
        <v>3096</v>
      </c>
      <c r="G6335" s="414" t="str">
        <f t="shared" si="103"/>
        <v>11-26</v>
      </c>
      <c r="H6335" s="273" t="e">
        <f ca="1">_xludf.IFNA(VLOOKUP(E6335,'Urban Plastix Holds'!$I$37:$U$705,11,0),0)</f>
        <v>#NAME?</v>
      </c>
      <c r="I6335" s="274"/>
      <c r="J6335" s="274" t="e">
        <f t="shared" ca="1" si="100"/>
        <v>#NAME?</v>
      </c>
      <c r="K6335" s="274">
        <f t="shared" si="101"/>
        <v>0</v>
      </c>
      <c r="N6335" s="274"/>
    </row>
    <row r="6336" spans="5:14" ht="13.5" customHeight="1">
      <c r="E6336" s="1" t="s">
        <v>1441</v>
      </c>
      <c r="F6336" s="1" t="s">
        <v>3096</v>
      </c>
      <c r="G6336" s="415" t="str">
        <f t="shared" si="103"/>
        <v>18-01</v>
      </c>
      <c r="H6336" s="273" t="e">
        <f ca="1">_xludf.IFNA(VLOOKUP(E6336,'Urban Plastix Holds'!$I$37:$U$705,12,0),0)</f>
        <v>#NAME?</v>
      </c>
      <c r="I6336" s="274"/>
      <c r="J6336" s="274" t="e">
        <f t="shared" ca="1" si="100"/>
        <v>#NAME?</v>
      </c>
      <c r="K6336" s="274">
        <f t="shared" si="101"/>
        <v>0</v>
      </c>
      <c r="N6336" s="274"/>
    </row>
    <row r="6337" spans="5:14" ht="13.5" customHeight="1">
      <c r="E6337" s="1" t="s">
        <v>1441</v>
      </c>
      <c r="F6337" s="1" t="s">
        <v>3096</v>
      </c>
      <c r="G6337" s="416" t="str">
        <f t="shared" si="103"/>
        <v>Color Code</v>
      </c>
      <c r="H6337" s="273" t="e">
        <f ca="1">_xludf.IFNA(VLOOKUP(E6337,'Urban Plastix Holds'!$I$37:$U$705,13,0),0)</f>
        <v>#NAME?</v>
      </c>
      <c r="I6337" s="274"/>
      <c r="J6337" s="274" t="e">
        <f t="shared" ca="1" si="100"/>
        <v>#NAME?</v>
      </c>
      <c r="K6337" s="274">
        <f t="shared" si="101"/>
        <v>0</v>
      </c>
      <c r="N6337" s="274"/>
    </row>
    <row r="6338" spans="5:14" ht="13.5" customHeight="1">
      <c r="E6338" s="1" t="s">
        <v>1494</v>
      </c>
      <c r="F6338" s="1" t="s">
        <v>3097</v>
      </c>
      <c r="G6338" s="406" t="str">
        <f t="shared" si="103"/>
        <v>11-12</v>
      </c>
      <c r="H6338" s="273" t="e">
        <f ca="1">_xludf.IFNA(VLOOKUP(E6338,'Urban Plastix Holds'!$I$37:$U$705,5,0),0)</f>
        <v>#NAME?</v>
      </c>
      <c r="I6338" s="274"/>
      <c r="J6338" s="274" t="e">
        <f t="shared" ca="1" si="100"/>
        <v>#NAME?</v>
      </c>
      <c r="K6338" s="274">
        <f t="shared" si="101"/>
        <v>0</v>
      </c>
      <c r="N6338" s="274"/>
    </row>
    <row r="6339" spans="5:14" ht="13.5" customHeight="1">
      <c r="E6339" s="1" t="s">
        <v>1494</v>
      </c>
      <c r="F6339" s="1" t="s">
        <v>3097</v>
      </c>
      <c r="G6339" s="408" t="str">
        <f t="shared" si="103"/>
        <v>14-01</v>
      </c>
      <c r="H6339" s="273" t="e">
        <f ca="1">_xludf.IFNA(VLOOKUP(E6339,'Urban Plastix Holds'!$I$37:$U$705,6,0),0)</f>
        <v>#NAME?</v>
      </c>
      <c r="I6339" s="274"/>
      <c r="J6339" s="274" t="e">
        <f t="shared" ca="1" si="100"/>
        <v>#NAME?</v>
      </c>
      <c r="K6339" s="274">
        <f t="shared" si="101"/>
        <v>0</v>
      </c>
      <c r="N6339" s="274"/>
    </row>
    <row r="6340" spans="5:14" ht="13.5" customHeight="1">
      <c r="E6340" s="1" t="s">
        <v>1494</v>
      </c>
      <c r="F6340" s="1" t="s">
        <v>3097</v>
      </c>
      <c r="G6340" s="409" t="str">
        <f t="shared" si="103"/>
        <v>15-12</v>
      </c>
      <c r="H6340" s="273" t="e">
        <f ca="1">_xludf.IFNA(VLOOKUP(E6340,'Urban Plastix Holds'!$I$37:$U$705,7,0),0)</f>
        <v>#NAME?</v>
      </c>
      <c r="I6340" s="274"/>
      <c r="J6340" s="274" t="e">
        <f t="shared" ca="1" si="100"/>
        <v>#NAME?</v>
      </c>
      <c r="K6340" s="274">
        <f t="shared" si="101"/>
        <v>0</v>
      </c>
      <c r="N6340" s="274"/>
    </row>
    <row r="6341" spans="5:14" ht="13.5" customHeight="1">
      <c r="E6341" s="1" t="s">
        <v>1494</v>
      </c>
      <c r="F6341" s="1" t="s">
        <v>3097</v>
      </c>
      <c r="G6341" s="410" t="str">
        <f t="shared" si="103"/>
        <v>16-16</v>
      </c>
      <c r="H6341" s="273" t="e">
        <f ca="1">_xludf.IFNA(VLOOKUP(E6341,'Urban Plastix Holds'!$I$37:$U$705,8,0),0)</f>
        <v>#NAME?</v>
      </c>
      <c r="I6341" s="274"/>
      <c r="J6341" s="274" t="e">
        <f t="shared" ca="1" si="100"/>
        <v>#NAME?</v>
      </c>
      <c r="K6341" s="274">
        <f t="shared" si="101"/>
        <v>0</v>
      </c>
      <c r="N6341" s="274"/>
    </row>
    <row r="6342" spans="5:14" ht="13.5" customHeight="1">
      <c r="E6342" s="1" t="s">
        <v>1494</v>
      </c>
      <c r="F6342" s="1" t="s">
        <v>3097</v>
      </c>
      <c r="G6342" s="411" t="str">
        <f t="shared" si="103"/>
        <v>13-01</v>
      </c>
      <c r="H6342" s="273" t="e">
        <f ca="1">_xludf.IFNA(VLOOKUP(E6342,'Urban Plastix Holds'!$I$37:$U$705,9,0),0)</f>
        <v>#NAME?</v>
      </c>
      <c r="I6342" s="274"/>
      <c r="J6342" s="274" t="e">
        <f t="shared" ca="1" si="100"/>
        <v>#NAME?</v>
      </c>
      <c r="K6342" s="274">
        <f t="shared" si="101"/>
        <v>0</v>
      </c>
      <c r="N6342" s="274"/>
    </row>
    <row r="6343" spans="5:14" ht="13.5" customHeight="1">
      <c r="E6343" s="1" t="s">
        <v>1494</v>
      </c>
      <c r="F6343" s="1" t="s">
        <v>3097</v>
      </c>
      <c r="G6343" s="413" t="str">
        <f t="shared" si="103"/>
        <v>07-13</v>
      </c>
      <c r="H6343" s="273" t="e">
        <f ca="1">_xludf.IFNA(VLOOKUP(E6343,'Urban Plastix Holds'!$I$37:$U$705,10,0),0)</f>
        <v>#NAME?</v>
      </c>
      <c r="I6343" s="274"/>
      <c r="J6343" s="274" t="e">
        <f t="shared" ca="1" si="100"/>
        <v>#NAME?</v>
      </c>
      <c r="K6343" s="274">
        <f t="shared" si="101"/>
        <v>0</v>
      </c>
      <c r="N6343" s="274"/>
    </row>
    <row r="6344" spans="5:14" ht="13.5" customHeight="1">
      <c r="E6344" s="1" t="s">
        <v>1494</v>
      </c>
      <c r="F6344" s="1" t="s">
        <v>3097</v>
      </c>
      <c r="G6344" s="414" t="str">
        <f t="shared" si="103"/>
        <v>11-26</v>
      </c>
      <c r="H6344" s="273" t="e">
        <f ca="1">_xludf.IFNA(VLOOKUP(E6344,'Urban Plastix Holds'!$I$37:$U$705,11,0),0)</f>
        <v>#NAME?</v>
      </c>
      <c r="I6344" s="274"/>
      <c r="J6344" s="274" t="e">
        <f t="shared" ca="1" si="100"/>
        <v>#NAME?</v>
      </c>
      <c r="K6344" s="274">
        <f t="shared" si="101"/>
        <v>0</v>
      </c>
      <c r="N6344" s="274"/>
    </row>
    <row r="6345" spans="5:14" ht="13.5" customHeight="1">
      <c r="E6345" s="1" t="s">
        <v>1494</v>
      </c>
      <c r="F6345" s="1" t="s">
        <v>3097</v>
      </c>
      <c r="G6345" s="415" t="str">
        <f t="shared" si="103"/>
        <v>18-01</v>
      </c>
      <c r="H6345" s="273" t="e">
        <f ca="1">_xludf.IFNA(VLOOKUP(E6345,'Urban Plastix Holds'!$I$37:$U$705,12,0),0)</f>
        <v>#NAME?</v>
      </c>
      <c r="I6345" s="274"/>
      <c r="J6345" s="274" t="e">
        <f t="shared" ca="1" si="100"/>
        <v>#NAME?</v>
      </c>
      <c r="K6345" s="274">
        <f t="shared" si="101"/>
        <v>0</v>
      </c>
      <c r="N6345" s="274"/>
    </row>
    <row r="6346" spans="5:14" ht="13.5" customHeight="1">
      <c r="E6346" s="1" t="s">
        <v>1494</v>
      </c>
      <c r="F6346" s="1" t="s">
        <v>3097</v>
      </c>
      <c r="G6346" s="416" t="str">
        <f t="shared" si="103"/>
        <v>Color Code</v>
      </c>
      <c r="H6346" s="273" t="e">
        <f ca="1">_xludf.IFNA(VLOOKUP(E6346,'Urban Plastix Holds'!$I$37:$U$705,13,0),0)</f>
        <v>#NAME?</v>
      </c>
      <c r="I6346" s="274"/>
      <c r="J6346" s="274" t="e">
        <f t="shared" ca="1" si="100"/>
        <v>#NAME?</v>
      </c>
      <c r="K6346" s="274">
        <f t="shared" si="101"/>
        <v>0</v>
      </c>
      <c r="N6346" s="274"/>
    </row>
    <row r="6347" spans="5:14" ht="13.5" customHeight="1">
      <c r="E6347" s="1" t="s">
        <v>1523</v>
      </c>
      <c r="F6347" s="1" t="s">
        <v>3098</v>
      </c>
      <c r="G6347" s="406" t="str">
        <f t="shared" si="103"/>
        <v>11-12</v>
      </c>
      <c r="H6347" s="273" t="e">
        <f ca="1">_xludf.IFNA(VLOOKUP(E6347,'Urban Plastix Holds'!$I$37:$U$705,5,0),0)</f>
        <v>#NAME?</v>
      </c>
      <c r="I6347" s="274"/>
      <c r="J6347" s="274" t="e">
        <f t="shared" ca="1" si="100"/>
        <v>#NAME?</v>
      </c>
      <c r="K6347" s="274">
        <f t="shared" si="101"/>
        <v>0</v>
      </c>
      <c r="N6347" s="274"/>
    </row>
    <row r="6348" spans="5:14" ht="13.5" customHeight="1">
      <c r="E6348" s="1" t="s">
        <v>1523</v>
      </c>
      <c r="F6348" s="1" t="s">
        <v>3098</v>
      </c>
      <c r="G6348" s="408" t="str">
        <f t="shared" si="103"/>
        <v>14-01</v>
      </c>
      <c r="H6348" s="273" t="e">
        <f ca="1">_xludf.IFNA(VLOOKUP(E6348,'Urban Plastix Holds'!$I$37:$U$705,6,0),0)</f>
        <v>#NAME?</v>
      </c>
      <c r="I6348" s="274"/>
      <c r="J6348" s="274" t="e">
        <f t="shared" ca="1" si="100"/>
        <v>#NAME?</v>
      </c>
      <c r="K6348" s="274">
        <f t="shared" si="101"/>
        <v>0</v>
      </c>
      <c r="N6348" s="274"/>
    </row>
    <row r="6349" spans="5:14" ht="13.5" customHeight="1">
      <c r="E6349" s="1" t="s">
        <v>1523</v>
      </c>
      <c r="F6349" s="1" t="s">
        <v>3098</v>
      </c>
      <c r="G6349" s="409" t="str">
        <f t="shared" si="103"/>
        <v>15-12</v>
      </c>
      <c r="H6349" s="273" t="e">
        <f ca="1">_xludf.IFNA(VLOOKUP(E6349,'Urban Plastix Holds'!$I$37:$U$705,7,0),0)</f>
        <v>#NAME?</v>
      </c>
      <c r="I6349" s="274"/>
      <c r="J6349" s="274" t="e">
        <f t="shared" ca="1" si="100"/>
        <v>#NAME?</v>
      </c>
      <c r="K6349" s="274">
        <f t="shared" si="101"/>
        <v>0</v>
      </c>
      <c r="N6349" s="274"/>
    </row>
    <row r="6350" spans="5:14" ht="13.5" customHeight="1">
      <c r="E6350" s="1" t="s">
        <v>1523</v>
      </c>
      <c r="F6350" s="1" t="s">
        <v>3098</v>
      </c>
      <c r="G6350" s="410" t="str">
        <f t="shared" si="103"/>
        <v>16-16</v>
      </c>
      <c r="H6350" s="273" t="e">
        <f ca="1">_xludf.IFNA(VLOOKUP(E6350,'Urban Plastix Holds'!$I$37:$U$705,8,0),0)</f>
        <v>#NAME?</v>
      </c>
      <c r="I6350" s="274"/>
      <c r="J6350" s="274" t="e">
        <f t="shared" ca="1" si="100"/>
        <v>#NAME?</v>
      </c>
      <c r="K6350" s="274">
        <f t="shared" si="101"/>
        <v>0</v>
      </c>
      <c r="N6350" s="274"/>
    </row>
    <row r="6351" spans="5:14" ht="13.5" customHeight="1">
      <c r="E6351" s="1" t="s">
        <v>1523</v>
      </c>
      <c r="F6351" s="1" t="s">
        <v>3098</v>
      </c>
      <c r="G6351" s="411" t="str">
        <f t="shared" si="103"/>
        <v>13-01</v>
      </c>
      <c r="H6351" s="273" t="e">
        <f ca="1">_xludf.IFNA(VLOOKUP(E6351,'Urban Plastix Holds'!$I$37:$U$705,9,0),0)</f>
        <v>#NAME?</v>
      </c>
      <c r="I6351" s="274"/>
      <c r="J6351" s="274" t="e">
        <f t="shared" ca="1" si="100"/>
        <v>#NAME?</v>
      </c>
      <c r="K6351" s="274">
        <f t="shared" si="101"/>
        <v>0</v>
      </c>
      <c r="N6351" s="274"/>
    </row>
    <row r="6352" spans="5:14" ht="13.5" customHeight="1">
      <c r="E6352" s="1" t="s">
        <v>1523</v>
      </c>
      <c r="F6352" s="1" t="s">
        <v>3098</v>
      </c>
      <c r="G6352" s="413" t="str">
        <f t="shared" si="103"/>
        <v>07-13</v>
      </c>
      <c r="H6352" s="273" t="e">
        <f ca="1">_xludf.IFNA(VLOOKUP(E6352,'Urban Plastix Holds'!$I$37:$U$705,10,0),0)</f>
        <v>#NAME?</v>
      </c>
      <c r="I6352" s="274"/>
      <c r="J6352" s="274" t="e">
        <f t="shared" ca="1" si="100"/>
        <v>#NAME?</v>
      </c>
      <c r="K6352" s="274">
        <f t="shared" si="101"/>
        <v>0</v>
      </c>
      <c r="N6352" s="274"/>
    </row>
    <row r="6353" spans="5:14" ht="13.5" customHeight="1">
      <c r="E6353" s="1" t="s">
        <v>1523</v>
      </c>
      <c r="F6353" s="1" t="s">
        <v>3098</v>
      </c>
      <c r="G6353" s="414" t="str">
        <f t="shared" si="103"/>
        <v>11-26</v>
      </c>
      <c r="H6353" s="273" t="e">
        <f ca="1">_xludf.IFNA(VLOOKUP(E6353,'Urban Plastix Holds'!$I$37:$U$705,11,0),0)</f>
        <v>#NAME?</v>
      </c>
      <c r="I6353" s="274"/>
      <c r="J6353" s="274" t="e">
        <f t="shared" ca="1" si="100"/>
        <v>#NAME?</v>
      </c>
      <c r="K6353" s="274">
        <f t="shared" si="101"/>
        <v>0</v>
      </c>
      <c r="N6353" s="274"/>
    </row>
    <row r="6354" spans="5:14" ht="13.5" customHeight="1">
      <c r="E6354" s="1" t="s">
        <v>1523</v>
      </c>
      <c r="F6354" s="1" t="s">
        <v>3098</v>
      </c>
      <c r="G6354" s="415" t="str">
        <f t="shared" si="103"/>
        <v>18-01</v>
      </c>
      <c r="H6354" s="273" t="e">
        <f ca="1">_xludf.IFNA(VLOOKUP(E6354,'Urban Plastix Holds'!$I$37:$U$705,12,0),0)</f>
        <v>#NAME?</v>
      </c>
      <c r="I6354" s="274"/>
      <c r="J6354" s="274" t="e">
        <f t="shared" ca="1" si="100"/>
        <v>#NAME?</v>
      </c>
      <c r="K6354" s="274">
        <f t="shared" si="101"/>
        <v>0</v>
      </c>
      <c r="N6354" s="274"/>
    </row>
    <row r="6355" spans="5:14" ht="13.5" customHeight="1">
      <c r="E6355" s="1" t="s">
        <v>1523</v>
      </c>
      <c r="F6355" s="1" t="s">
        <v>3098</v>
      </c>
      <c r="G6355" s="416" t="str">
        <f t="shared" si="103"/>
        <v>Color Code</v>
      </c>
      <c r="H6355" s="273" t="e">
        <f ca="1">_xludf.IFNA(VLOOKUP(E6355,'Urban Plastix Holds'!$I$37:$U$705,13,0),0)</f>
        <v>#NAME?</v>
      </c>
      <c r="I6355" s="274"/>
      <c r="J6355" s="274" t="e">
        <f t="shared" ca="1" si="100"/>
        <v>#NAME?</v>
      </c>
      <c r="K6355" s="274">
        <f t="shared" si="101"/>
        <v>0</v>
      </c>
      <c r="N6355" s="274"/>
    </row>
    <row r="6356" spans="5:14" ht="13.5" customHeight="1">
      <c r="E6356" s="1" t="s">
        <v>1510</v>
      </c>
      <c r="F6356" s="1" t="s">
        <v>3099</v>
      </c>
      <c r="G6356" s="406" t="str">
        <f t="shared" si="103"/>
        <v>11-12</v>
      </c>
      <c r="H6356" s="273" t="e">
        <f ca="1">_xludf.IFNA(VLOOKUP(E6356,'Urban Plastix Holds'!$I$37:$U$705,5,0),0)</f>
        <v>#NAME?</v>
      </c>
      <c r="I6356" s="274"/>
      <c r="J6356" s="274" t="e">
        <f t="shared" ca="1" si="100"/>
        <v>#NAME?</v>
      </c>
      <c r="K6356" s="274">
        <f t="shared" si="101"/>
        <v>0</v>
      </c>
      <c r="N6356" s="274"/>
    </row>
    <row r="6357" spans="5:14" ht="13.5" customHeight="1">
      <c r="E6357" s="1" t="s">
        <v>1510</v>
      </c>
      <c r="F6357" s="1" t="s">
        <v>3099</v>
      </c>
      <c r="G6357" s="408" t="str">
        <f t="shared" si="103"/>
        <v>14-01</v>
      </c>
      <c r="H6357" s="273" t="e">
        <f ca="1">_xludf.IFNA(VLOOKUP(E6357,'Urban Plastix Holds'!$I$37:$U$705,6,0),0)</f>
        <v>#NAME?</v>
      </c>
      <c r="I6357" s="274"/>
      <c r="J6357" s="274" t="e">
        <f t="shared" ca="1" si="100"/>
        <v>#NAME?</v>
      </c>
      <c r="K6357" s="274">
        <f t="shared" si="101"/>
        <v>0</v>
      </c>
      <c r="N6357" s="274"/>
    </row>
    <row r="6358" spans="5:14" ht="13.5" customHeight="1">
      <c r="E6358" s="1" t="s">
        <v>1510</v>
      </c>
      <c r="F6358" s="1" t="s">
        <v>3099</v>
      </c>
      <c r="G6358" s="409" t="str">
        <f t="shared" si="103"/>
        <v>15-12</v>
      </c>
      <c r="H6358" s="273" t="e">
        <f ca="1">_xludf.IFNA(VLOOKUP(E6358,'Urban Plastix Holds'!$I$37:$U$705,7,0),0)</f>
        <v>#NAME?</v>
      </c>
      <c r="I6358" s="274"/>
      <c r="J6358" s="274" t="e">
        <f t="shared" ca="1" si="100"/>
        <v>#NAME?</v>
      </c>
      <c r="K6358" s="274">
        <f t="shared" si="101"/>
        <v>0</v>
      </c>
      <c r="N6358" s="274"/>
    </row>
    <row r="6359" spans="5:14" ht="13.5" customHeight="1">
      <c r="E6359" s="1" t="s">
        <v>1510</v>
      </c>
      <c r="F6359" s="1" t="s">
        <v>3099</v>
      </c>
      <c r="G6359" s="410" t="str">
        <f t="shared" si="103"/>
        <v>16-16</v>
      </c>
      <c r="H6359" s="273" t="e">
        <f ca="1">_xludf.IFNA(VLOOKUP(E6359,'Urban Plastix Holds'!$I$37:$U$705,8,0),0)</f>
        <v>#NAME?</v>
      </c>
      <c r="I6359" s="274"/>
      <c r="J6359" s="274" t="e">
        <f t="shared" ca="1" si="100"/>
        <v>#NAME?</v>
      </c>
      <c r="K6359" s="274">
        <f t="shared" si="101"/>
        <v>0</v>
      </c>
      <c r="N6359" s="274"/>
    </row>
    <row r="6360" spans="5:14" ht="13.5" customHeight="1">
      <c r="E6360" s="1" t="s">
        <v>1510</v>
      </c>
      <c r="F6360" s="1" t="s">
        <v>3099</v>
      </c>
      <c r="G6360" s="411" t="str">
        <f t="shared" si="103"/>
        <v>13-01</v>
      </c>
      <c r="H6360" s="273" t="e">
        <f ca="1">_xludf.IFNA(VLOOKUP(E6360,'Urban Plastix Holds'!$I$37:$U$705,9,0),0)</f>
        <v>#NAME?</v>
      </c>
      <c r="I6360" s="274"/>
      <c r="J6360" s="274" t="e">
        <f t="shared" ca="1" si="100"/>
        <v>#NAME?</v>
      </c>
      <c r="K6360" s="274">
        <f t="shared" si="101"/>
        <v>0</v>
      </c>
      <c r="N6360" s="274"/>
    </row>
    <row r="6361" spans="5:14" ht="13.5" customHeight="1">
      <c r="E6361" s="1" t="s">
        <v>1510</v>
      </c>
      <c r="F6361" s="1" t="s">
        <v>3099</v>
      </c>
      <c r="G6361" s="413" t="str">
        <f t="shared" si="103"/>
        <v>07-13</v>
      </c>
      <c r="H6361" s="273" t="e">
        <f ca="1">_xludf.IFNA(VLOOKUP(E6361,'Urban Plastix Holds'!$I$37:$U$705,10,0),0)</f>
        <v>#NAME?</v>
      </c>
      <c r="I6361" s="274"/>
      <c r="J6361" s="274" t="e">
        <f t="shared" ca="1" si="100"/>
        <v>#NAME?</v>
      </c>
      <c r="K6361" s="274">
        <f t="shared" si="101"/>
        <v>0</v>
      </c>
      <c r="N6361" s="274"/>
    </row>
    <row r="6362" spans="5:14" ht="13.5" customHeight="1">
      <c r="E6362" s="1" t="s">
        <v>1510</v>
      </c>
      <c r="F6362" s="1" t="s">
        <v>3099</v>
      </c>
      <c r="G6362" s="414" t="str">
        <f t="shared" si="103"/>
        <v>11-26</v>
      </c>
      <c r="H6362" s="273" t="e">
        <f ca="1">_xludf.IFNA(VLOOKUP(E6362,'Urban Plastix Holds'!$I$37:$U$705,11,0),0)</f>
        <v>#NAME?</v>
      </c>
      <c r="I6362" s="274"/>
      <c r="J6362" s="274" t="e">
        <f t="shared" ca="1" si="100"/>
        <v>#NAME?</v>
      </c>
      <c r="K6362" s="274">
        <f t="shared" si="101"/>
        <v>0</v>
      </c>
      <c r="N6362" s="274"/>
    </row>
    <row r="6363" spans="5:14" ht="13.5" customHeight="1">
      <c r="E6363" s="1" t="s">
        <v>1510</v>
      </c>
      <c r="F6363" s="1" t="s">
        <v>3099</v>
      </c>
      <c r="G6363" s="415" t="str">
        <f t="shared" si="103"/>
        <v>18-01</v>
      </c>
      <c r="H6363" s="273" t="e">
        <f ca="1">_xludf.IFNA(VLOOKUP(E6363,'Urban Plastix Holds'!$I$37:$U$705,12,0),0)</f>
        <v>#NAME?</v>
      </c>
      <c r="I6363" s="274"/>
      <c r="J6363" s="274" t="e">
        <f t="shared" ca="1" si="100"/>
        <v>#NAME?</v>
      </c>
      <c r="K6363" s="274">
        <f t="shared" si="101"/>
        <v>0</v>
      </c>
      <c r="N6363" s="274"/>
    </row>
    <row r="6364" spans="5:14" ht="13.5" customHeight="1">
      <c r="E6364" s="1" t="s">
        <v>1510</v>
      </c>
      <c r="F6364" s="1" t="s">
        <v>3099</v>
      </c>
      <c r="G6364" s="416" t="str">
        <f t="shared" si="103"/>
        <v>Color Code</v>
      </c>
      <c r="H6364" s="273" t="e">
        <f ca="1">_xludf.IFNA(VLOOKUP(E6364,'Urban Plastix Holds'!$I$37:$U$705,13,0),0)</f>
        <v>#NAME?</v>
      </c>
      <c r="I6364" s="274"/>
      <c r="J6364" s="274" t="e">
        <f t="shared" ca="1" si="100"/>
        <v>#NAME?</v>
      </c>
      <c r="K6364" s="274">
        <f t="shared" si="101"/>
        <v>0</v>
      </c>
      <c r="N6364" s="274"/>
    </row>
    <row r="6365" spans="5:14" ht="13.5" customHeight="1">
      <c r="E6365" s="1" t="s">
        <v>1488</v>
      </c>
      <c r="F6365" s="1" t="s">
        <v>3100</v>
      </c>
      <c r="G6365" s="406" t="str">
        <f t="shared" si="103"/>
        <v>11-12</v>
      </c>
      <c r="H6365" s="273" t="e">
        <f ca="1">_xludf.IFNA(VLOOKUP(E6365,'Urban Plastix Holds'!$I$37:$U$705,5,0),0)</f>
        <v>#NAME?</v>
      </c>
      <c r="I6365" s="274"/>
      <c r="J6365" s="274" t="e">
        <f t="shared" ca="1" si="100"/>
        <v>#NAME?</v>
      </c>
      <c r="K6365" s="274">
        <f t="shared" si="101"/>
        <v>0</v>
      </c>
      <c r="N6365" s="274"/>
    </row>
    <row r="6366" spans="5:14" ht="13.5" customHeight="1">
      <c r="E6366" s="1" t="s">
        <v>1488</v>
      </c>
      <c r="F6366" s="1" t="s">
        <v>3100</v>
      </c>
      <c r="G6366" s="408" t="str">
        <f t="shared" si="103"/>
        <v>14-01</v>
      </c>
      <c r="H6366" s="273" t="e">
        <f ca="1">_xludf.IFNA(VLOOKUP(E6366,'Urban Plastix Holds'!$I$37:$U$705,6,0),0)</f>
        <v>#NAME?</v>
      </c>
      <c r="I6366" s="274"/>
      <c r="J6366" s="274" t="e">
        <f t="shared" ca="1" si="100"/>
        <v>#NAME?</v>
      </c>
      <c r="K6366" s="274">
        <f t="shared" si="101"/>
        <v>0</v>
      </c>
      <c r="N6366" s="274"/>
    </row>
    <row r="6367" spans="5:14" ht="13.5" customHeight="1">
      <c r="E6367" s="1" t="s">
        <v>1488</v>
      </c>
      <c r="F6367" s="1" t="s">
        <v>3100</v>
      </c>
      <c r="G6367" s="409" t="str">
        <f t="shared" si="103"/>
        <v>15-12</v>
      </c>
      <c r="H6367" s="273" t="e">
        <f ca="1">_xludf.IFNA(VLOOKUP(E6367,'Urban Plastix Holds'!$I$37:$U$705,7,0),0)</f>
        <v>#NAME?</v>
      </c>
      <c r="I6367" s="274"/>
      <c r="J6367" s="274" t="e">
        <f t="shared" ca="1" si="100"/>
        <v>#NAME?</v>
      </c>
      <c r="K6367" s="274">
        <f t="shared" si="101"/>
        <v>0</v>
      </c>
      <c r="N6367" s="274"/>
    </row>
    <row r="6368" spans="5:14" ht="13.5" customHeight="1">
      <c r="E6368" s="1" t="s">
        <v>1488</v>
      </c>
      <c r="F6368" s="1" t="s">
        <v>3100</v>
      </c>
      <c r="G6368" s="410" t="str">
        <f t="shared" si="103"/>
        <v>16-16</v>
      </c>
      <c r="H6368" s="273" t="e">
        <f ca="1">_xludf.IFNA(VLOOKUP(E6368,'Urban Plastix Holds'!$I$37:$U$705,8,0),0)</f>
        <v>#NAME?</v>
      </c>
      <c r="I6368" s="274"/>
      <c r="J6368" s="274" t="e">
        <f t="shared" ca="1" si="100"/>
        <v>#NAME?</v>
      </c>
      <c r="K6368" s="274">
        <f t="shared" si="101"/>
        <v>0</v>
      </c>
      <c r="N6368" s="274"/>
    </row>
    <row r="6369" spans="5:14" ht="13.5" customHeight="1">
      <c r="E6369" s="1" t="s">
        <v>1488</v>
      </c>
      <c r="F6369" s="1" t="s">
        <v>3100</v>
      </c>
      <c r="G6369" s="411" t="str">
        <f t="shared" si="103"/>
        <v>13-01</v>
      </c>
      <c r="H6369" s="273" t="e">
        <f ca="1">_xludf.IFNA(VLOOKUP(E6369,'Urban Plastix Holds'!$I$37:$U$705,9,0),0)</f>
        <v>#NAME?</v>
      </c>
      <c r="I6369" s="274"/>
      <c r="J6369" s="274" t="e">
        <f t="shared" ca="1" si="100"/>
        <v>#NAME?</v>
      </c>
      <c r="K6369" s="274">
        <f t="shared" si="101"/>
        <v>0</v>
      </c>
      <c r="N6369" s="274"/>
    </row>
    <row r="6370" spans="5:14" ht="13.5" customHeight="1">
      <c r="E6370" s="1" t="s">
        <v>1488</v>
      </c>
      <c r="F6370" s="1" t="s">
        <v>3100</v>
      </c>
      <c r="G6370" s="413" t="str">
        <f t="shared" si="103"/>
        <v>07-13</v>
      </c>
      <c r="H6370" s="273" t="e">
        <f ca="1">_xludf.IFNA(VLOOKUP(E6370,'Urban Plastix Holds'!$I$37:$U$705,10,0),0)</f>
        <v>#NAME?</v>
      </c>
      <c r="I6370" s="274"/>
      <c r="J6370" s="274" t="e">
        <f t="shared" ca="1" si="100"/>
        <v>#NAME?</v>
      </c>
      <c r="K6370" s="274">
        <f t="shared" si="101"/>
        <v>0</v>
      </c>
      <c r="N6370" s="274"/>
    </row>
    <row r="6371" spans="5:14" ht="13.5" customHeight="1">
      <c r="E6371" s="1" t="s">
        <v>1488</v>
      </c>
      <c r="F6371" s="1" t="s">
        <v>3100</v>
      </c>
      <c r="G6371" s="414" t="str">
        <f t="shared" si="103"/>
        <v>11-26</v>
      </c>
      <c r="H6371" s="273" t="e">
        <f ca="1">_xludf.IFNA(VLOOKUP(E6371,'Urban Plastix Holds'!$I$37:$U$705,11,0),0)</f>
        <v>#NAME?</v>
      </c>
      <c r="I6371" s="274"/>
      <c r="J6371" s="274" t="e">
        <f t="shared" ca="1" si="100"/>
        <v>#NAME?</v>
      </c>
      <c r="K6371" s="274">
        <f t="shared" si="101"/>
        <v>0</v>
      </c>
      <c r="N6371" s="274"/>
    </row>
    <row r="6372" spans="5:14" ht="13.5" customHeight="1">
      <c r="E6372" s="1" t="s">
        <v>1488</v>
      </c>
      <c r="F6372" s="1" t="s">
        <v>3100</v>
      </c>
      <c r="G6372" s="415" t="str">
        <f t="shared" si="103"/>
        <v>18-01</v>
      </c>
      <c r="H6372" s="273" t="e">
        <f ca="1">_xludf.IFNA(VLOOKUP(E6372,'Urban Plastix Holds'!$I$37:$U$705,12,0),0)</f>
        <v>#NAME?</v>
      </c>
      <c r="I6372" s="274"/>
      <c r="J6372" s="274" t="e">
        <f t="shared" ca="1" si="100"/>
        <v>#NAME?</v>
      </c>
      <c r="K6372" s="274">
        <f t="shared" si="101"/>
        <v>0</v>
      </c>
      <c r="N6372" s="274"/>
    </row>
    <row r="6373" spans="5:14" ht="13.5" customHeight="1">
      <c r="E6373" s="1" t="s">
        <v>1488</v>
      </c>
      <c r="F6373" s="1" t="s">
        <v>3100</v>
      </c>
      <c r="G6373" s="416" t="str">
        <f t="shared" si="103"/>
        <v>Color Code</v>
      </c>
      <c r="H6373" s="273" t="e">
        <f ca="1">_xludf.IFNA(VLOOKUP(E6373,'Urban Plastix Holds'!$I$37:$U$705,13,0),0)</f>
        <v>#NAME?</v>
      </c>
      <c r="I6373" s="274"/>
      <c r="J6373" s="274" t="e">
        <f t="shared" ca="1" si="100"/>
        <v>#NAME?</v>
      </c>
      <c r="K6373" s="274">
        <f t="shared" si="101"/>
        <v>0</v>
      </c>
      <c r="N6373" s="274"/>
    </row>
    <row r="6374" spans="5:14" ht="13.5" customHeight="1">
      <c r="E6374" s="1" t="s">
        <v>1496</v>
      </c>
      <c r="F6374" s="1" t="s">
        <v>3101</v>
      </c>
      <c r="G6374" s="406" t="str">
        <f t="shared" si="103"/>
        <v>11-12</v>
      </c>
      <c r="H6374" s="273" t="e">
        <f ca="1">_xludf.IFNA(VLOOKUP(E6374,'Urban Plastix Holds'!$I$37:$U$705,5,0),0)</f>
        <v>#NAME?</v>
      </c>
      <c r="I6374" s="274"/>
      <c r="J6374" s="274" t="e">
        <f t="shared" ca="1" si="100"/>
        <v>#NAME?</v>
      </c>
      <c r="K6374" s="274">
        <f t="shared" si="101"/>
        <v>0</v>
      </c>
      <c r="N6374" s="274"/>
    </row>
    <row r="6375" spans="5:14" ht="13.5" customHeight="1">
      <c r="E6375" s="1" t="s">
        <v>1496</v>
      </c>
      <c r="F6375" s="1" t="s">
        <v>3101</v>
      </c>
      <c r="G6375" s="408" t="str">
        <f t="shared" si="103"/>
        <v>14-01</v>
      </c>
      <c r="H6375" s="273" t="e">
        <f ca="1">_xludf.IFNA(VLOOKUP(E6375,'Urban Plastix Holds'!$I$37:$U$705,6,0),0)</f>
        <v>#NAME?</v>
      </c>
      <c r="I6375" s="274"/>
      <c r="J6375" s="274" t="e">
        <f t="shared" ca="1" si="100"/>
        <v>#NAME?</v>
      </c>
      <c r="K6375" s="274">
        <f t="shared" si="101"/>
        <v>0</v>
      </c>
      <c r="N6375" s="274"/>
    </row>
    <row r="6376" spans="5:14" ht="13.5" customHeight="1">
      <c r="E6376" s="1" t="s">
        <v>1496</v>
      </c>
      <c r="F6376" s="1" t="s">
        <v>3101</v>
      </c>
      <c r="G6376" s="409" t="str">
        <f t="shared" si="103"/>
        <v>15-12</v>
      </c>
      <c r="H6376" s="273" t="e">
        <f ca="1">_xludf.IFNA(VLOOKUP(E6376,'Urban Plastix Holds'!$I$37:$U$705,7,0),0)</f>
        <v>#NAME?</v>
      </c>
      <c r="I6376" s="274"/>
      <c r="J6376" s="274" t="e">
        <f t="shared" ca="1" si="100"/>
        <v>#NAME?</v>
      </c>
      <c r="K6376" s="274">
        <f t="shared" si="101"/>
        <v>0</v>
      </c>
      <c r="N6376" s="274"/>
    </row>
    <row r="6377" spans="5:14" ht="13.5" customHeight="1">
      <c r="E6377" s="1" t="s">
        <v>1496</v>
      </c>
      <c r="F6377" s="1" t="s">
        <v>3101</v>
      </c>
      <c r="G6377" s="410" t="str">
        <f t="shared" si="103"/>
        <v>16-16</v>
      </c>
      <c r="H6377" s="273" t="e">
        <f ca="1">_xludf.IFNA(VLOOKUP(E6377,'Urban Plastix Holds'!$I$37:$U$705,8,0),0)</f>
        <v>#NAME?</v>
      </c>
      <c r="I6377" s="274"/>
      <c r="J6377" s="274" t="e">
        <f t="shared" ref="J6377:J6631" ca="1" si="104">H6377*I6377</f>
        <v>#NAME?</v>
      </c>
      <c r="K6377" s="274">
        <f t="shared" ref="K6377:K6631" si="105">IF($V$11="Y",J6377*0.05,0)</f>
        <v>0</v>
      </c>
      <c r="N6377" s="274"/>
    </row>
    <row r="6378" spans="5:14" ht="13.5" customHeight="1">
      <c r="E6378" s="1" t="s">
        <v>1496</v>
      </c>
      <c r="F6378" s="1" t="s">
        <v>3101</v>
      </c>
      <c r="G6378" s="411" t="str">
        <f t="shared" si="103"/>
        <v>13-01</v>
      </c>
      <c r="H6378" s="273" t="e">
        <f ca="1">_xludf.IFNA(VLOOKUP(E6378,'Urban Plastix Holds'!$I$37:$U$705,9,0),0)</f>
        <v>#NAME?</v>
      </c>
      <c r="I6378" s="274"/>
      <c r="J6378" s="274" t="e">
        <f t="shared" ca="1" si="104"/>
        <v>#NAME?</v>
      </c>
      <c r="K6378" s="274">
        <f t="shared" si="105"/>
        <v>0</v>
      </c>
      <c r="N6378" s="274"/>
    </row>
    <row r="6379" spans="5:14" ht="13.5" customHeight="1">
      <c r="E6379" s="1" t="s">
        <v>1496</v>
      </c>
      <c r="F6379" s="1" t="s">
        <v>3101</v>
      </c>
      <c r="G6379" s="413" t="str">
        <f t="shared" si="103"/>
        <v>07-13</v>
      </c>
      <c r="H6379" s="273" t="e">
        <f ca="1">_xludf.IFNA(VLOOKUP(E6379,'Urban Plastix Holds'!$I$37:$U$705,10,0),0)</f>
        <v>#NAME?</v>
      </c>
      <c r="I6379" s="274"/>
      <c r="J6379" s="274" t="e">
        <f t="shared" ca="1" si="104"/>
        <v>#NAME?</v>
      </c>
      <c r="K6379" s="274">
        <f t="shared" si="105"/>
        <v>0</v>
      </c>
      <c r="N6379" s="274"/>
    </row>
    <row r="6380" spans="5:14" ht="13.5" customHeight="1">
      <c r="E6380" s="1" t="s">
        <v>1496</v>
      </c>
      <c r="F6380" s="1" t="s">
        <v>3101</v>
      </c>
      <c r="G6380" s="414" t="str">
        <f t="shared" si="103"/>
        <v>11-26</v>
      </c>
      <c r="H6380" s="273" t="e">
        <f ca="1">_xludf.IFNA(VLOOKUP(E6380,'Urban Plastix Holds'!$I$37:$U$705,11,0),0)</f>
        <v>#NAME?</v>
      </c>
      <c r="I6380" s="274"/>
      <c r="J6380" s="274" t="e">
        <f t="shared" ca="1" si="104"/>
        <v>#NAME?</v>
      </c>
      <c r="K6380" s="274">
        <f t="shared" si="105"/>
        <v>0</v>
      </c>
      <c r="N6380" s="274"/>
    </row>
    <row r="6381" spans="5:14" ht="13.5" customHeight="1">
      <c r="E6381" s="1" t="s">
        <v>1496</v>
      </c>
      <c r="F6381" s="1" t="s">
        <v>3101</v>
      </c>
      <c r="G6381" s="415" t="str">
        <f t="shared" si="103"/>
        <v>18-01</v>
      </c>
      <c r="H6381" s="273" t="e">
        <f ca="1">_xludf.IFNA(VLOOKUP(E6381,'Urban Plastix Holds'!$I$37:$U$705,12,0),0)</f>
        <v>#NAME?</v>
      </c>
      <c r="I6381" s="274"/>
      <c r="J6381" s="274" t="e">
        <f t="shared" ca="1" si="104"/>
        <v>#NAME?</v>
      </c>
      <c r="K6381" s="274">
        <f t="shared" si="105"/>
        <v>0</v>
      </c>
      <c r="N6381" s="274"/>
    </row>
    <row r="6382" spans="5:14" ht="13.5" customHeight="1">
      <c r="E6382" s="1" t="s">
        <v>1496</v>
      </c>
      <c r="F6382" s="1" t="s">
        <v>3101</v>
      </c>
      <c r="G6382" s="416" t="str">
        <f t="shared" si="103"/>
        <v>Color Code</v>
      </c>
      <c r="H6382" s="273" t="e">
        <f ca="1">_xludf.IFNA(VLOOKUP(E6382,'Urban Plastix Holds'!$I$37:$U$705,13,0),0)</f>
        <v>#NAME?</v>
      </c>
      <c r="I6382" s="274"/>
      <c r="J6382" s="274" t="e">
        <f t="shared" ca="1" si="104"/>
        <v>#NAME?</v>
      </c>
      <c r="K6382" s="274">
        <f t="shared" si="105"/>
        <v>0</v>
      </c>
      <c r="N6382" s="274"/>
    </row>
    <row r="6383" spans="5:14" ht="13.5" customHeight="1">
      <c r="E6383" s="1" t="s">
        <v>1512</v>
      </c>
      <c r="F6383" s="1" t="s">
        <v>3102</v>
      </c>
      <c r="G6383" s="406" t="str">
        <f t="shared" si="103"/>
        <v>11-12</v>
      </c>
      <c r="H6383" s="273" t="e">
        <f ca="1">_xludf.IFNA(VLOOKUP(E6383,'Urban Plastix Holds'!$I$37:$U$705,5,0),0)</f>
        <v>#NAME?</v>
      </c>
      <c r="I6383" s="274"/>
      <c r="J6383" s="274" t="e">
        <f t="shared" ca="1" si="104"/>
        <v>#NAME?</v>
      </c>
      <c r="K6383" s="274">
        <f t="shared" si="105"/>
        <v>0</v>
      </c>
      <c r="N6383" s="274"/>
    </row>
    <row r="6384" spans="5:14" ht="13.5" customHeight="1">
      <c r="E6384" s="1" t="s">
        <v>1512</v>
      </c>
      <c r="F6384" s="1" t="s">
        <v>3102</v>
      </c>
      <c r="G6384" s="408" t="str">
        <f t="shared" si="103"/>
        <v>14-01</v>
      </c>
      <c r="H6384" s="273" t="e">
        <f ca="1">_xludf.IFNA(VLOOKUP(E6384,'Urban Plastix Holds'!$I$37:$U$705,6,0),0)</f>
        <v>#NAME?</v>
      </c>
      <c r="I6384" s="274"/>
      <c r="J6384" s="274" t="e">
        <f t="shared" ca="1" si="104"/>
        <v>#NAME?</v>
      </c>
      <c r="K6384" s="274">
        <f t="shared" si="105"/>
        <v>0</v>
      </c>
      <c r="N6384" s="274"/>
    </row>
    <row r="6385" spans="5:14" ht="13.5" customHeight="1">
      <c r="E6385" s="1" t="s">
        <v>1512</v>
      </c>
      <c r="F6385" s="1" t="s">
        <v>3102</v>
      </c>
      <c r="G6385" s="409" t="str">
        <f t="shared" si="103"/>
        <v>15-12</v>
      </c>
      <c r="H6385" s="273" t="e">
        <f ca="1">_xludf.IFNA(VLOOKUP(E6385,'Urban Plastix Holds'!$I$37:$U$705,7,0),0)</f>
        <v>#NAME?</v>
      </c>
      <c r="I6385" s="274"/>
      <c r="J6385" s="274" t="e">
        <f t="shared" ca="1" si="104"/>
        <v>#NAME?</v>
      </c>
      <c r="K6385" s="274">
        <f t="shared" si="105"/>
        <v>0</v>
      </c>
      <c r="N6385" s="274"/>
    </row>
    <row r="6386" spans="5:14" ht="13.5" customHeight="1">
      <c r="E6386" s="1" t="s">
        <v>1512</v>
      </c>
      <c r="F6386" s="1" t="s">
        <v>3102</v>
      </c>
      <c r="G6386" s="410" t="str">
        <f t="shared" si="103"/>
        <v>16-16</v>
      </c>
      <c r="H6386" s="273" t="e">
        <f ca="1">_xludf.IFNA(VLOOKUP(E6386,'Urban Plastix Holds'!$I$37:$U$705,8,0),0)</f>
        <v>#NAME?</v>
      </c>
      <c r="I6386" s="274"/>
      <c r="J6386" s="274" t="e">
        <f t="shared" ca="1" si="104"/>
        <v>#NAME?</v>
      </c>
      <c r="K6386" s="274">
        <f t="shared" si="105"/>
        <v>0</v>
      </c>
      <c r="N6386" s="274"/>
    </row>
    <row r="6387" spans="5:14" ht="13.5" customHeight="1">
      <c r="E6387" s="1" t="s">
        <v>1512</v>
      </c>
      <c r="F6387" s="1" t="s">
        <v>3102</v>
      </c>
      <c r="G6387" s="411" t="str">
        <f t="shared" si="103"/>
        <v>13-01</v>
      </c>
      <c r="H6387" s="273" t="e">
        <f ca="1">_xludf.IFNA(VLOOKUP(E6387,'Urban Plastix Holds'!$I$37:$U$705,9,0),0)</f>
        <v>#NAME?</v>
      </c>
      <c r="I6387" s="274"/>
      <c r="J6387" s="274" t="e">
        <f t="shared" ca="1" si="104"/>
        <v>#NAME?</v>
      </c>
      <c r="K6387" s="274">
        <f t="shared" si="105"/>
        <v>0</v>
      </c>
      <c r="N6387" s="274"/>
    </row>
    <row r="6388" spans="5:14" ht="13.5" customHeight="1">
      <c r="E6388" s="1" t="s">
        <v>1512</v>
      </c>
      <c r="F6388" s="1" t="s">
        <v>3102</v>
      </c>
      <c r="G6388" s="413" t="str">
        <f t="shared" si="103"/>
        <v>07-13</v>
      </c>
      <c r="H6388" s="273" t="e">
        <f ca="1">_xludf.IFNA(VLOOKUP(E6388,'Urban Plastix Holds'!$I$37:$U$705,10,0),0)</f>
        <v>#NAME?</v>
      </c>
      <c r="I6388" s="274"/>
      <c r="J6388" s="274" t="e">
        <f t="shared" ca="1" si="104"/>
        <v>#NAME?</v>
      </c>
      <c r="K6388" s="274">
        <f t="shared" si="105"/>
        <v>0</v>
      </c>
      <c r="N6388" s="274"/>
    </row>
    <row r="6389" spans="5:14" ht="13.5" customHeight="1">
      <c r="E6389" s="1" t="s">
        <v>1512</v>
      </c>
      <c r="F6389" s="1" t="s">
        <v>3102</v>
      </c>
      <c r="G6389" s="414" t="str">
        <f t="shared" si="103"/>
        <v>11-26</v>
      </c>
      <c r="H6389" s="273" t="e">
        <f ca="1">_xludf.IFNA(VLOOKUP(E6389,'Urban Plastix Holds'!$I$37:$U$705,11,0),0)</f>
        <v>#NAME?</v>
      </c>
      <c r="I6389" s="274"/>
      <c r="J6389" s="274" t="e">
        <f t="shared" ca="1" si="104"/>
        <v>#NAME?</v>
      </c>
      <c r="K6389" s="274">
        <f t="shared" si="105"/>
        <v>0</v>
      </c>
      <c r="N6389" s="274"/>
    </row>
    <row r="6390" spans="5:14" ht="13.5" customHeight="1">
      <c r="E6390" s="1" t="s">
        <v>1512</v>
      </c>
      <c r="F6390" s="1" t="s">
        <v>3102</v>
      </c>
      <c r="G6390" s="415" t="str">
        <f t="shared" si="103"/>
        <v>18-01</v>
      </c>
      <c r="H6390" s="273" t="e">
        <f ca="1">_xludf.IFNA(VLOOKUP(E6390,'Urban Plastix Holds'!$I$37:$U$705,12,0),0)</f>
        <v>#NAME?</v>
      </c>
      <c r="I6390" s="274"/>
      <c r="J6390" s="274" t="e">
        <f t="shared" ca="1" si="104"/>
        <v>#NAME?</v>
      </c>
      <c r="K6390" s="274">
        <f t="shared" si="105"/>
        <v>0</v>
      </c>
      <c r="N6390" s="274"/>
    </row>
    <row r="6391" spans="5:14" ht="13.5" customHeight="1">
      <c r="E6391" s="1" t="s">
        <v>1512</v>
      </c>
      <c r="F6391" s="1" t="s">
        <v>3102</v>
      </c>
      <c r="G6391" s="416" t="str">
        <f t="shared" si="103"/>
        <v>Color Code</v>
      </c>
      <c r="H6391" s="273" t="e">
        <f ca="1">_xludf.IFNA(VLOOKUP(E6391,'Urban Plastix Holds'!$I$37:$U$705,13,0),0)</f>
        <v>#NAME?</v>
      </c>
      <c r="I6391" s="274"/>
      <c r="J6391" s="274" t="e">
        <f t="shared" ca="1" si="104"/>
        <v>#NAME?</v>
      </c>
      <c r="K6391" s="274">
        <f t="shared" si="105"/>
        <v>0</v>
      </c>
      <c r="N6391" s="274"/>
    </row>
    <row r="6392" spans="5:14" ht="13.5" customHeight="1">
      <c r="E6392" s="1" t="s">
        <v>1517</v>
      </c>
      <c r="F6392" s="1" t="s">
        <v>3103</v>
      </c>
      <c r="G6392" s="406" t="str">
        <f t="shared" si="103"/>
        <v>11-12</v>
      </c>
      <c r="H6392" s="273" t="e">
        <f ca="1">_xludf.IFNA(VLOOKUP(E6392,'Urban Plastix Holds'!$I$37:$U$705,5,0),0)</f>
        <v>#NAME?</v>
      </c>
      <c r="I6392" s="274"/>
      <c r="J6392" s="274" t="e">
        <f t="shared" ca="1" si="104"/>
        <v>#NAME?</v>
      </c>
      <c r="K6392" s="274">
        <f t="shared" si="105"/>
        <v>0</v>
      </c>
      <c r="N6392" s="274"/>
    </row>
    <row r="6393" spans="5:14" ht="13.5" customHeight="1">
      <c r="E6393" s="1" t="s">
        <v>1517</v>
      </c>
      <c r="F6393" s="1" t="s">
        <v>3103</v>
      </c>
      <c r="G6393" s="408" t="str">
        <f t="shared" si="103"/>
        <v>14-01</v>
      </c>
      <c r="H6393" s="273" t="e">
        <f ca="1">_xludf.IFNA(VLOOKUP(E6393,'Urban Plastix Holds'!$I$37:$U$705,6,0),0)</f>
        <v>#NAME?</v>
      </c>
      <c r="I6393" s="274"/>
      <c r="J6393" s="274" t="e">
        <f t="shared" ca="1" si="104"/>
        <v>#NAME?</v>
      </c>
      <c r="K6393" s="274">
        <f t="shared" si="105"/>
        <v>0</v>
      </c>
      <c r="N6393" s="274"/>
    </row>
    <row r="6394" spans="5:14" ht="13.5" customHeight="1">
      <c r="E6394" s="1" t="s">
        <v>1517</v>
      </c>
      <c r="F6394" s="1" t="s">
        <v>3103</v>
      </c>
      <c r="G6394" s="409" t="str">
        <f t="shared" si="103"/>
        <v>15-12</v>
      </c>
      <c r="H6394" s="273" t="e">
        <f ca="1">_xludf.IFNA(VLOOKUP(E6394,'Urban Plastix Holds'!$I$37:$U$705,7,0),0)</f>
        <v>#NAME?</v>
      </c>
      <c r="I6394" s="274"/>
      <c r="J6394" s="274" t="e">
        <f t="shared" ca="1" si="104"/>
        <v>#NAME?</v>
      </c>
      <c r="K6394" s="274">
        <f t="shared" si="105"/>
        <v>0</v>
      </c>
      <c r="N6394" s="274"/>
    </row>
    <row r="6395" spans="5:14" ht="13.5" customHeight="1">
      <c r="E6395" s="1" t="s">
        <v>1517</v>
      </c>
      <c r="F6395" s="1" t="s">
        <v>3103</v>
      </c>
      <c r="G6395" s="410" t="str">
        <f t="shared" si="103"/>
        <v>16-16</v>
      </c>
      <c r="H6395" s="273" t="e">
        <f ca="1">_xludf.IFNA(VLOOKUP(E6395,'Urban Plastix Holds'!$I$37:$U$705,8,0),0)</f>
        <v>#NAME?</v>
      </c>
      <c r="I6395" s="274"/>
      <c r="J6395" s="274" t="e">
        <f t="shared" ca="1" si="104"/>
        <v>#NAME?</v>
      </c>
      <c r="K6395" s="274">
        <f t="shared" si="105"/>
        <v>0</v>
      </c>
      <c r="N6395" s="274"/>
    </row>
    <row r="6396" spans="5:14" ht="13.5" customHeight="1">
      <c r="E6396" s="1" t="s">
        <v>1517</v>
      </c>
      <c r="F6396" s="1" t="s">
        <v>3103</v>
      </c>
      <c r="G6396" s="411" t="str">
        <f t="shared" si="103"/>
        <v>13-01</v>
      </c>
      <c r="H6396" s="273" t="e">
        <f ca="1">_xludf.IFNA(VLOOKUP(E6396,'Urban Plastix Holds'!$I$37:$U$705,9,0),0)</f>
        <v>#NAME?</v>
      </c>
      <c r="I6396" s="274"/>
      <c r="J6396" s="274" t="e">
        <f t="shared" ca="1" si="104"/>
        <v>#NAME?</v>
      </c>
      <c r="K6396" s="274">
        <f t="shared" si="105"/>
        <v>0</v>
      </c>
      <c r="N6396" s="274"/>
    </row>
    <row r="6397" spans="5:14" ht="13.5" customHeight="1">
      <c r="E6397" s="1" t="s">
        <v>1517</v>
      </c>
      <c r="F6397" s="1" t="s">
        <v>3103</v>
      </c>
      <c r="G6397" s="413" t="str">
        <f t="shared" si="103"/>
        <v>07-13</v>
      </c>
      <c r="H6397" s="273" t="e">
        <f ca="1">_xludf.IFNA(VLOOKUP(E6397,'Urban Plastix Holds'!$I$37:$U$705,10,0),0)</f>
        <v>#NAME?</v>
      </c>
      <c r="I6397" s="274"/>
      <c r="J6397" s="274" t="e">
        <f t="shared" ca="1" si="104"/>
        <v>#NAME?</v>
      </c>
      <c r="K6397" s="274">
        <f t="shared" si="105"/>
        <v>0</v>
      </c>
      <c r="N6397" s="274"/>
    </row>
    <row r="6398" spans="5:14" ht="13.5" customHeight="1">
      <c r="E6398" s="1" t="s">
        <v>1517</v>
      </c>
      <c r="F6398" s="1" t="s">
        <v>3103</v>
      </c>
      <c r="G6398" s="414" t="str">
        <f t="shared" si="103"/>
        <v>11-26</v>
      </c>
      <c r="H6398" s="273" t="e">
        <f ca="1">_xludf.IFNA(VLOOKUP(E6398,'Urban Plastix Holds'!$I$37:$U$705,11,0),0)</f>
        <v>#NAME?</v>
      </c>
      <c r="I6398" s="274"/>
      <c r="J6398" s="274" t="e">
        <f t="shared" ca="1" si="104"/>
        <v>#NAME?</v>
      </c>
      <c r="K6398" s="274">
        <f t="shared" si="105"/>
        <v>0</v>
      </c>
      <c r="N6398" s="274"/>
    </row>
    <row r="6399" spans="5:14" ht="13.5" customHeight="1">
      <c r="E6399" s="1" t="s">
        <v>1517</v>
      </c>
      <c r="F6399" s="1" t="s">
        <v>3103</v>
      </c>
      <c r="G6399" s="415" t="str">
        <f t="shared" si="103"/>
        <v>18-01</v>
      </c>
      <c r="H6399" s="273" t="e">
        <f ca="1">_xludf.IFNA(VLOOKUP(E6399,'Urban Plastix Holds'!$I$37:$U$705,12,0),0)</f>
        <v>#NAME?</v>
      </c>
      <c r="I6399" s="274"/>
      <c r="J6399" s="274" t="e">
        <f t="shared" ca="1" si="104"/>
        <v>#NAME?</v>
      </c>
      <c r="K6399" s="274">
        <f t="shared" si="105"/>
        <v>0</v>
      </c>
      <c r="N6399" s="274"/>
    </row>
    <row r="6400" spans="5:14" ht="13.5" customHeight="1">
      <c r="E6400" s="1" t="s">
        <v>1517</v>
      </c>
      <c r="F6400" s="1" t="s">
        <v>3103</v>
      </c>
      <c r="G6400" s="416" t="str">
        <f t="shared" si="103"/>
        <v>Color Code</v>
      </c>
      <c r="H6400" s="273" t="e">
        <f ca="1">_xludf.IFNA(VLOOKUP(E6400,'Urban Plastix Holds'!$I$37:$U$705,13,0),0)</f>
        <v>#NAME?</v>
      </c>
      <c r="I6400" s="274"/>
      <c r="J6400" s="274" t="e">
        <f t="shared" ca="1" si="104"/>
        <v>#NAME?</v>
      </c>
      <c r="K6400" s="274">
        <f t="shared" si="105"/>
        <v>0</v>
      </c>
      <c r="N6400" s="274"/>
    </row>
    <row r="6401" spans="5:14" ht="13.5" customHeight="1">
      <c r="E6401" s="1" t="s">
        <v>1490</v>
      </c>
      <c r="F6401" s="1" t="s">
        <v>3104</v>
      </c>
      <c r="G6401" s="406" t="str">
        <f t="shared" si="103"/>
        <v>11-12</v>
      </c>
      <c r="H6401" s="273" t="e">
        <f ca="1">_xludf.IFNA(VLOOKUP(E6401,'Urban Plastix Holds'!$I$37:$U$705,5,0),0)</f>
        <v>#NAME?</v>
      </c>
      <c r="I6401" s="274"/>
      <c r="J6401" s="274" t="e">
        <f t="shared" ca="1" si="104"/>
        <v>#NAME?</v>
      </c>
      <c r="K6401" s="274">
        <f t="shared" si="105"/>
        <v>0</v>
      </c>
      <c r="N6401" s="274"/>
    </row>
    <row r="6402" spans="5:14" ht="13.5" customHeight="1">
      <c r="E6402" s="1" t="s">
        <v>1490</v>
      </c>
      <c r="F6402" s="1" t="s">
        <v>3104</v>
      </c>
      <c r="G6402" s="408" t="str">
        <f t="shared" si="103"/>
        <v>14-01</v>
      </c>
      <c r="H6402" s="273" t="e">
        <f ca="1">_xludf.IFNA(VLOOKUP(E6402,'Urban Plastix Holds'!$I$37:$U$705,6,0),0)</f>
        <v>#NAME?</v>
      </c>
      <c r="I6402" s="274"/>
      <c r="J6402" s="274" t="e">
        <f t="shared" ca="1" si="104"/>
        <v>#NAME?</v>
      </c>
      <c r="K6402" s="274">
        <f t="shared" si="105"/>
        <v>0</v>
      </c>
      <c r="N6402" s="274"/>
    </row>
    <row r="6403" spans="5:14" ht="13.5" customHeight="1">
      <c r="E6403" s="1" t="s">
        <v>1490</v>
      </c>
      <c r="F6403" s="1" t="s">
        <v>3104</v>
      </c>
      <c r="G6403" s="409" t="str">
        <f t="shared" si="103"/>
        <v>15-12</v>
      </c>
      <c r="H6403" s="273" t="e">
        <f ca="1">_xludf.IFNA(VLOOKUP(E6403,'Urban Plastix Holds'!$I$37:$U$705,7,0),0)</f>
        <v>#NAME?</v>
      </c>
      <c r="I6403" s="274"/>
      <c r="J6403" s="274" t="e">
        <f t="shared" ca="1" si="104"/>
        <v>#NAME?</v>
      </c>
      <c r="K6403" s="274">
        <f t="shared" si="105"/>
        <v>0</v>
      </c>
      <c r="N6403" s="274"/>
    </row>
    <row r="6404" spans="5:14" ht="13.5" customHeight="1">
      <c r="E6404" s="1" t="s">
        <v>1490</v>
      </c>
      <c r="F6404" s="1" t="s">
        <v>3104</v>
      </c>
      <c r="G6404" s="410" t="str">
        <f t="shared" si="103"/>
        <v>16-16</v>
      </c>
      <c r="H6404" s="273" t="e">
        <f ca="1">_xludf.IFNA(VLOOKUP(E6404,'Urban Plastix Holds'!$I$37:$U$705,8,0),0)</f>
        <v>#NAME?</v>
      </c>
      <c r="I6404" s="274"/>
      <c r="J6404" s="274" t="e">
        <f t="shared" ca="1" si="104"/>
        <v>#NAME?</v>
      </c>
      <c r="K6404" s="274">
        <f t="shared" si="105"/>
        <v>0</v>
      </c>
      <c r="N6404" s="274"/>
    </row>
    <row r="6405" spans="5:14" ht="13.5" customHeight="1">
      <c r="E6405" s="1" t="s">
        <v>1490</v>
      </c>
      <c r="F6405" s="1" t="s">
        <v>3104</v>
      </c>
      <c r="G6405" s="411" t="str">
        <f t="shared" si="103"/>
        <v>13-01</v>
      </c>
      <c r="H6405" s="273" t="e">
        <f ca="1">_xludf.IFNA(VLOOKUP(E6405,'Urban Plastix Holds'!$I$37:$U$705,9,0),0)</f>
        <v>#NAME?</v>
      </c>
      <c r="I6405" s="274"/>
      <c r="J6405" s="274" t="e">
        <f t="shared" ca="1" si="104"/>
        <v>#NAME?</v>
      </c>
      <c r="K6405" s="274">
        <f t="shared" si="105"/>
        <v>0</v>
      </c>
      <c r="N6405" s="274"/>
    </row>
    <row r="6406" spans="5:14" ht="13.5" customHeight="1">
      <c r="E6406" s="1" t="s">
        <v>1490</v>
      </c>
      <c r="F6406" s="1" t="s">
        <v>3104</v>
      </c>
      <c r="G6406" s="413" t="str">
        <f t="shared" si="103"/>
        <v>07-13</v>
      </c>
      <c r="H6406" s="273" t="e">
        <f ca="1">_xludf.IFNA(VLOOKUP(E6406,'Urban Plastix Holds'!$I$37:$U$705,10,0),0)</f>
        <v>#NAME?</v>
      </c>
      <c r="I6406" s="274"/>
      <c r="J6406" s="274" t="e">
        <f t="shared" ca="1" si="104"/>
        <v>#NAME?</v>
      </c>
      <c r="K6406" s="274">
        <f t="shared" si="105"/>
        <v>0</v>
      </c>
      <c r="N6406" s="274"/>
    </row>
    <row r="6407" spans="5:14" ht="13.5" customHeight="1">
      <c r="E6407" s="1" t="s">
        <v>1490</v>
      </c>
      <c r="F6407" s="1" t="s">
        <v>3104</v>
      </c>
      <c r="G6407" s="414" t="str">
        <f t="shared" si="103"/>
        <v>11-26</v>
      </c>
      <c r="H6407" s="273" t="e">
        <f ca="1">_xludf.IFNA(VLOOKUP(E6407,'Urban Plastix Holds'!$I$37:$U$705,11,0),0)</f>
        <v>#NAME?</v>
      </c>
      <c r="I6407" s="274"/>
      <c r="J6407" s="274" t="e">
        <f t="shared" ca="1" si="104"/>
        <v>#NAME?</v>
      </c>
      <c r="K6407" s="274">
        <f t="shared" si="105"/>
        <v>0</v>
      </c>
      <c r="N6407" s="274"/>
    </row>
    <row r="6408" spans="5:14" ht="13.5" customHeight="1">
      <c r="E6408" s="1" t="s">
        <v>1490</v>
      </c>
      <c r="F6408" s="1" t="s">
        <v>3104</v>
      </c>
      <c r="G6408" s="415" t="str">
        <f t="shared" si="103"/>
        <v>18-01</v>
      </c>
      <c r="H6408" s="273" t="e">
        <f ca="1">_xludf.IFNA(VLOOKUP(E6408,'Urban Plastix Holds'!$I$37:$U$705,12,0),0)</f>
        <v>#NAME?</v>
      </c>
      <c r="I6408" s="274"/>
      <c r="J6408" s="274" t="e">
        <f t="shared" ca="1" si="104"/>
        <v>#NAME?</v>
      </c>
      <c r="K6408" s="274">
        <f t="shared" si="105"/>
        <v>0</v>
      </c>
      <c r="N6408" s="274"/>
    </row>
    <row r="6409" spans="5:14" ht="13.5" customHeight="1">
      <c r="E6409" s="1" t="s">
        <v>1490</v>
      </c>
      <c r="F6409" s="1" t="s">
        <v>3104</v>
      </c>
      <c r="G6409" s="416" t="str">
        <f t="shared" si="103"/>
        <v>Color Code</v>
      </c>
      <c r="H6409" s="273" t="e">
        <f ca="1">_xludf.IFNA(VLOOKUP(E6409,'Urban Plastix Holds'!$I$37:$U$705,13,0),0)</f>
        <v>#NAME?</v>
      </c>
      <c r="I6409" s="274"/>
      <c r="J6409" s="274" t="e">
        <f t="shared" ca="1" si="104"/>
        <v>#NAME?</v>
      </c>
      <c r="K6409" s="274">
        <f t="shared" si="105"/>
        <v>0</v>
      </c>
      <c r="N6409" s="274"/>
    </row>
    <row r="6410" spans="5:14" ht="13.5" customHeight="1">
      <c r="E6410" s="1" t="s">
        <v>1498</v>
      </c>
      <c r="F6410" s="1" t="s">
        <v>3105</v>
      </c>
      <c r="G6410" s="406" t="str">
        <f t="shared" si="103"/>
        <v>11-12</v>
      </c>
      <c r="H6410" s="273" t="e">
        <f ca="1">_xludf.IFNA(VLOOKUP(E6410,'Urban Plastix Holds'!$I$37:$U$705,5,0),0)</f>
        <v>#NAME?</v>
      </c>
      <c r="I6410" s="274"/>
      <c r="J6410" s="274" t="e">
        <f t="shared" ca="1" si="104"/>
        <v>#NAME?</v>
      </c>
      <c r="K6410" s="274">
        <f t="shared" si="105"/>
        <v>0</v>
      </c>
      <c r="N6410" s="274"/>
    </row>
    <row r="6411" spans="5:14" ht="13.5" customHeight="1">
      <c r="E6411" s="1" t="s">
        <v>1498</v>
      </c>
      <c r="F6411" s="1" t="s">
        <v>3105</v>
      </c>
      <c r="G6411" s="408" t="str">
        <f t="shared" si="103"/>
        <v>14-01</v>
      </c>
      <c r="H6411" s="273" t="e">
        <f ca="1">_xludf.IFNA(VLOOKUP(E6411,'Urban Plastix Holds'!$I$37:$U$705,6,0),0)</f>
        <v>#NAME?</v>
      </c>
      <c r="I6411" s="274"/>
      <c r="J6411" s="274" t="e">
        <f t="shared" ca="1" si="104"/>
        <v>#NAME?</v>
      </c>
      <c r="K6411" s="274">
        <f t="shared" si="105"/>
        <v>0</v>
      </c>
      <c r="N6411" s="274"/>
    </row>
    <row r="6412" spans="5:14" ht="13.5" customHeight="1">
      <c r="E6412" s="1" t="s">
        <v>1498</v>
      </c>
      <c r="F6412" s="1" t="s">
        <v>3105</v>
      </c>
      <c r="G6412" s="409" t="str">
        <f t="shared" si="103"/>
        <v>15-12</v>
      </c>
      <c r="H6412" s="273" t="e">
        <f ca="1">_xludf.IFNA(VLOOKUP(E6412,'Urban Plastix Holds'!$I$37:$U$705,7,0),0)</f>
        <v>#NAME?</v>
      </c>
      <c r="I6412" s="274"/>
      <c r="J6412" s="274" t="e">
        <f t="shared" ca="1" si="104"/>
        <v>#NAME?</v>
      </c>
      <c r="K6412" s="274">
        <f t="shared" si="105"/>
        <v>0</v>
      </c>
      <c r="N6412" s="274"/>
    </row>
    <row r="6413" spans="5:14" ht="13.5" customHeight="1">
      <c r="E6413" s="1" t="s">
        <v>1498</v>
      </c>
      <c r="F6413" s="1" t="s">
        <v>3105</v>
      </c>
      <c r="G6413" s="410" t="str">
        <f t="shared" si="103"/>
        <v>16-16</v>
      </c>
      <c r="H6413" s="273" t="e">
        <f ca="1">_xludf.IFNA(VLOOKUP(E6413,'Urban Plastix Holds'!$I$37:$U$705,8,0),0)</f>
        <v>#NAME?</v>
      </c>
      <c r="I6413" s="274"/>
      <c r="J6413" s="274" t="e">
        <f t="shared" ca="1" si="104"/>
        <v>#NAME?</v>
      </c>
      <c r="K6413" s="274">
        <f t="shared" si="105"/>
        <v>0</v>
      </c>
      <c r="N6413" s="274"/>
    </row>
    <row r="6414" spans="5:14" ht="13.5" customHeight="1">
      <c r="E6414" s="1" t="s">
        <v>1498</v>
      </c>
      <c r="F6414" s="1" t="s">
        <v>3105</v>
      </c>
      <c r="G6414" s="411" t="str">
        <f t="shared" si="103"/>
        <v>13-01</v>
      </c>
      <c r="H6414" s="273" t="e">
        <f ca="1">_xludf.IFNA(VLOOKUP(E6414,'Urban Plastix Holds'!$I$37:$U$705,9,0),0)</f>
        <v>#NAME?</v>
      </c>
      <c r="I6414" s="274"/>
      <c r="J6414" s="274" t="e">
        <f t="shared" ca="1" si="104"/>
        <v>#NAME?</v>
      </c>
      <c r="K6414" s="274">
        <f t="shared" si="105"/>
        <v>0</v>
      </c>
      <c r="N6414" s="274"/>
    </row>
    <row r="6415" spans="5:14" ht="13.5" customHeight="1">
      <c r="E6415" s="1" t="s">
        <v>1498</v>
      </c>
      <c r="F6415" s="1" t="s">
        <v>3105</v>
      </c>
      <c r="G6415" s="413" t="str">
        <f t="shared" si="103"/>
        <v>07-13</v>
      </c>
      <c r="H6415" s="273" t="e">
        <f ca="1">_xludf.IFNA(VLOOKUP(E6415,'Urban Plastix Holds'!$I$37:$U$705,10,0),0)</f>
        <v>#NAME?</v>
      </c>
      <c r="I6415" s="274"/>
      <c r="J6415" s="274" t="e">
        <f t="shared" ca="1" si="104"/>
        <v>#NAME?</v>
      </c>
      <c r="K6415" s="274">
        <f t="shared" si="105"/>
        <v>0</v>
      </c>
      <c r="N6415" s="274"/>
    </row>
    <row r="6416" spans="5:14" ht="13.5" customHeight="1">
      <c r="E6416" s="1" t="s">
        <v>1498</v>
      </c>
      <c r="F6416" s="1" t="s">
        <v>3105</v>
      </c>
      <c r="G6416" s="414" t="str">
        <f t="shared" si="103"/>
        <v>11-26</v>
      </c>
      <c r="H6416" s="273" t="e">
        <f ca="1">_xludf.IFNA(VLOOKUP(E6416,'Urban Plastix Holds'!$I$37:$U$705,11,0),0)</f>
        <v>#NAME?</v>
      </c>
      <c r="I6416" s="274"/>
      <c r="J6416" s="274" t="e">
        <f t="shared" ca="1" si="104"/>
        <v>#NAME?</v>
      </c>
      <c r="K6416" s="274">
        <f t="shared" si="105"/>
        <v>0</v>
      </c>
      <c r="N6416" s="274"/>
    </row>
    <row r="6417" spans="5:14" ht="13.5" customHeight="1">
      <c r="E6417" s="1" t="s">
        <v>1498</v>
      </c>
      <c r="F6417" s="1" t="s">
        <v>3105</v>
      </c>
      <c r="G6417" s="415" t="str">
        <f t="shared" si="103"/>
        <v>18-01</v>
      </c>
      <c r="H6417" s="273" t="e">
        <f ca="1">_xludf.IFNA(VLOOKUP(E6417,'Urban Plastix Holds'!$I$37:$U$705,12,0),0)</f>
        <v>#NAME?</v>
      </c>
      <c r="I6417" s="274"/>
      <c r="J6417" s="274" t="e">
        <f t="shared" ca="1" si="104"/>
        <v>#NAME?</v>
      </c>
      <c r="K6417" s="274">
        <f t="shared" si="105"/>
        <v>0</v>
      </c>
      <c r="N6417" s="274"/>
    </row>
    <row r="6418" spans="5:14" ht="13.5" customHeight="1">
      <c r="E6418" s="1" t="s">
        <v>1498</v>
      </c>
      <c r="F6418" s="1" t="s">
        <v>3105</v>
      </c>
      <c r="G6418" s="416" t="str">
        <f t="shared" si="103"/>
        <v>Color Code</v>
      </c>
      <c r="H6418" s="273" t="e">
        <f ca="1">_xludf.IFNA(VLOOKUP(E6418,'Urban Plastix Holds'!$I$37:$U$705,13,0),0)</f>
        <v>#NAME?</v>
      </c>
      <c r="I6418" s="274"/>
      <c r="J6418" s="274" t="e">
        <f t="shared" ca="1" si="104"/>
        <v>#NAME?</v>
      </c>
      <c r="K6418" s="274">
        <f t="shared" si="105"/>
        <v>0</v>
      </c>
      <c r="N6418" s="274"/>
    </row>
    <row r="6419" spans="5:14" ht="13.5" customHeight="1">
      <c r="E6419" s="1" t="s">
        <v>1486</v>
      </c>
      <c r="F6419" s="1" t="s">
        <v>3106</v>
      </c>
      <c r="G6419" s="406" t="str">
        <f t="shared" si="103"/>
        <v>11-12</v>
      </c>
      <c r="H6419" s="273" t="e">
        <f ca="1">_xludf.IFNA(VLOOKUP(E6419,'Urban Plastix Holds'!$I$37:$U$705,5,0),0)</f>
        <v>#NAME?</v>
      </c>
      <c r="I6419" s="274"/>
      <c r="J6419" s="274" t="e">
        <f t="shared" ca="1" si="104"/>
        <v>#NAME?</v>
      </c>
      <c r="K6419" s="274">
        <f t="shared" si="105"/>
        <v>0</v>
      </c>
      <c r="N6419" s="274"/>
    </row>
    <row r="6420" spans="5:14" ht="13.5" customHeight="1">
      <c r="E6420" s="1" t="s">
        <v>1486</v>
      </c>
      <c r="F6420" s="1" t="s">
        <v>3106</v>
      </c>
      <c r="G6420" s="408" t="str">
        <f t="shared" si="103"/>
        <v>14-01</v>
      </c>
      <c r="H6420" s="273" t="e">
        <f ca="1">_xludf.IFNA(VLOOKUP(E6420,'Urban Plastix Holds'!$I$37:$U$705,6,0),0)</f>
        <v>#NAME?</v>
      </c>
      <c r="I6420" s="274"/>
      <c r="J6420" s="274" t="e">
        <f t="shared" ca="1" si="104"/>
        <v>#NAME?</v>
      </c>
      <c r="K6420" s="274">
        <f t="shared" si="105"/>
        <v>0</v>
      </c>
      <c r="N6420" s="274"/>
    </row>
    <row r="6421" spans="5:14" ht="13.5" customHeight="1">
      <c r="E6421" s="1" t="s">
        <v>1486</v>
      </c>
      <c r="F6421" s="1" t="s">
        <v>3106</v>
      </c>
      <c r="G6421" s="409" t="str">
        <f t="shared" si="103"/>
        <v>15-12</v>
      </c>
      <c r="H6421" s="273" t="e">
        <f ca="1">_xludf.IFNA(VLOOKUP(E6421,'Urban Plastix Holds'!$I$37:$U$705,7,0),0)</f>
        <v>#NAME?</v>
      </c>
      <c r="I6421" s="274"/>
      <c r="J6421" s="274" t="e">
        <f t="shared" ca="1" si="104"/>
        <v>#NAME?</v>
      </c>
      <c r="K6421" s="274">
        <f t="shared" si="105"/>
        <v>0</v>
      </c>
      <c r="N6421" s="274"/>
    </row>
    <row r="6422" spans="5:14" ht="13.5" customHeight="1">
      <c r="E6422" s="1" t="s">
        <v>1486</v>
      </c>
      <c r="F6422" s="1" t="s">
        <v>3106</v>
      </c>
      <c r="G6422" s="410" t="str">
        <f t="shared" si="103"/>
        <v>16-16</v>
      </c>
      <c r="H6422" s="273" t="e">
        <f ca="1">_xludf.IFNA(VLOOKUP(E6422,'Urban Plastix Holds'!$I$37:$U$705,8,0),0)</f>
        <v>#NAME?</v>
      </c>
      <c r="I6422" s="274"/>
      <c r="J6422" s="274" t="e">
        <f t="shared" ca="1" si="104"/>
        <v>#NAME?</v>
      </c>
      <c r="K6422" s="274">
        <f t="shared" si="105"/>
        <v>0</v>
      </c>
      <c r="N6422" s="274"/>
    </row>
    <row r="6423" spans="5:14" ht="13.5" customHeight="1">
      <c r="E6423" s="1" t="s">
        <v>1486</v>
      </c>
      <c r="F6423" s="1" t="s">
        <v>3106</v>
      </c>
      <c r="G6423" s="411" t="str">
        <f t="shared" si="103"/>
        <v>13-01</v>
      </c>
      <c r="H6423" s="273" t="e">
        <f ca="1">_xludf.IFNA(VLOOKUP(E6423,'Urban Plastix Holds'!$I$37:$U$705,9,0),0)</f>
        <v>#NAME?</v>
      </c>
      <c r="I6423" s="274"/>
      <c r="J6423" s="274" t="e">
        <f t="shared" ca="1" si="104"/>
        <v>#NAME?</v>
      </c>
      <c r="K6423" s="274">
        <f t="shared" si="105"/>
        <v>0</v>
      </c>
      <c r="N6423" s="274"/>
    </row>
    <row r="6424" spans="5:14" ht="13.5" customHeight="1">
      <c r="E6424" s="1" t="s">
        <v>1486</v>
      </c>
      <c r="F6424" s="1" t="s">
        <v>3106</v>
      </c>
      <c r="G6424" s="413" t="str">
        <f t="shared" si="103"/>
        <v>07-13</v>
      </c>
      <c r="H6424" s="273" t="e">
        <f ca="1">_xludf.IFNA(VLOOKUP(E6424,'Urban Plastix Holds'!$I$37:$U$705,10,0),0)</f>
        <v>#NAME?</v>
      </c>
      <c r="I6424" s="274"/>
      <c r="J6424" s="274" t="e">
        <f t="shared" ca="1" si="104"/>
        <v>#NAME?</v>
      </c>
      <c r="K6424" s="274">
        <f t="shared" si="105"/>
        <v>0</v>
      </c>
      <c r="N6424" s="274"/>
    </row>
    <row r="6425" spans="5:14" ht="13.5" customHeight="1">
      <c r="E6425" s="1" t="s">
        <v>1486</v>
      </c>
      <c r="F6425" s="1" t="s">
        <v>3106</v>
      </c>
      <c r="G6425" s="414" t="str">
        <f t="shared" si="103"/>
        <v>11-26</v>
      </c>
      <c r="H6425" s="273" t="e">
        <f ca="1">_xludf.IFNA(VLOOKUP(E6425,'Urban Plastix Holds'!$I$37:$U$705,11,0),0)</f>
        <v>#NAME?</v>
      </c>
      <c r="I6425" s="274"/>
      <c r="J6425" s="274" t="e">
        <f t="shared" ca="1" si="104"/>
        <v>#NAME?</v>
      </c>
      <c r="K6425" s="274">
        <f t="shared" si="105"/>
        <v>0</v>
      </c>
      <c r="N6425" s="274"/>
    </row>
    <row r="6426" spans="5:14" ht="13.5" customHeight="1">
      <c r="E6426" s="1" t="s">
        <v>1486</v>
      </c>
      <c r="F6426" s="1" t="s">
        <v>3106</v>
      </c>
      <c r="G6426" s="415" t="str">
        <f t="shared" si="103"/>
        <v>18-01</v>
      </c>
      <c r="H6426" s="273" t="e">
        <f ca="1">_xludf.IFNA(VLOOKUP(E6426,'Urban Plastix Holds'!$I$37:$U$705,12,0),0)</f>
        <v>#NAME?</v>
      </c>
      <c r="I6426" s="274"/>
      <c r="J6426" s="274" t="e">
        <f t="shared" ca="1" si="104"/>
        <v>#NAME?</v>
      </c>
      <c r="K6426" s="274">
        <f t="shared" si="105"/>
        <v>0</v>
      </c>
      <c r="N6426" s="274"/>
    </row>
    <row r="6427" spans="5:14" ht="13.5" customHeight="1">
      <c r="E6427" s="1" t="s">
        <v>1486</v>
      </c>
      <c r="F6427" s="1" t="s">
        <v>3106</v>
      </c>
      <c r="G6427" s="416" t="str">
        <f t="shared" si="103"/>
        <v>Color Code</v>
      </c>
      <c r="H6427" s="273" t="e">
        <f ca="1">_xludf.IFNA(VLOOKUP(E6427,'Urban Plastix Holds'!$I$37:$U$705,13,0),0)</f>
        <v>#NAME?</v>
      </c>
      <c r="I6427" s="274"/>
      <c r="J6427" s="274" t="e">
        <f t="shared" ca="1" si="104"/>
        <v>#NAME?</v>
      </c>
      <c r="K6427" s="274">
        <f t="shared" si="105"/>
        <v>0</v>
      </c>
      <c r="N6427" s="274"/>
    </row>
    <row r="6428" spans="5:14" ht="13.5" customHeight="1">
      <c r="E6428" s="1" t="s">
        <v>1711</v>
      </c>
      <c r="F6428" s="1" t="s">
        <v>3107</v>
      </c>
      <c r="G6428" s="406" t="str">
        <f t="shared" si="103"/>
        <v>11-12</v>
      </c>
      <c r="H6428" s="273" t="e">
        <f ca="1">_xludf.IFNA(VLOOKUP(E6428,'Urban Plastix Holds'!$I$37:$U$705,5,0),0)</f>
        <v>#NAME?</v>
      </c>
      <c r="I6428" s="274"/>
      <c r="J6428" s="274" t="e">
        <f t="shared" ca="1" si="104"/>
        <v>#NAME?</v>
      </c>
      <c r="K6428" s="274">
        <f t="shared" si="105"/>
        <v>0</v>
      </c>
      <c r="N6428" s="274"/>
    </row>
    <row r="6429" spans="5:14" ht="13.5" customHeight="1">
      <c r="E6429" s="1" t="s">
        <v>1711</v>
      </c>
      <c r="F6429" s="1" t="s">
        <v>3107</v>
      </c>
      <c r="G6429" s="408" t="str">
        <f t="shared" si="103"/>
        <v>14-01</v>
      </c>
      <c r="H6429" s="273" t="e">
        <f ca="1">_xludf.IFNA(VLOOKUP(E6429,'Urban Plastix Holds'!$I$37:$U$705,6,0),0)</f>
        <v>#NAME?</v>
      </c>
      <c r="I6429" s="274"/>
      <c r="J6429" s="274" t="e">
        <f t="shared" ca="1" si="104"/>
        <v>#NAME?</v>
      </c>
      <c r="K6429" s="274">
        <f t="shared" si="105"/>
        <v>0</v>
      </c>
      <c r="N6429" s="274"/>
    </row>
    <row r="6430" spans="5:14" ht="13.5" customHeight="1">
      <c r="E6430" s="1" t="s">
        <v>1711</v>
      </c>
      <c r="F6430" s="1" t="s">
        <v>3107</v>
      </c>
      <c r="G6430" s="409" t="str">
        <f t="shared" si="103"/>
        <v>15-12</v>
      </c>
      <c r="H6430" s="273" t="e">
        <f ca="1">_xludf.IFNA(VLOOKUP(E6430,'Urban Plastix Holds'!$I$37:$U$705,7,0),0)</f>
        <v>#NAME?</v>
      </c>
      <c r="I6430" s="274"/>
      <c r="J6430" s="274" t="e">
        <f t="shared" ca="1" si="104"/>
        <v>#NAME?</v>
      </c>
      <c r="K6430" s="274">
        <f t="shared" si="105"/>
        <v>0</v>
      </c>
      <c r="N6430" s="274"/>
    </row>
    <row r="6431" spans="5:14" ht="13.5" customHeight="1">
      <c r="E6431" s="1" t="s">
        <v>1711</v>
      </c>
      <c r="F6431" s="1" t="s">
        <v>3107</v>
      </c>
      <c r="G6431" s="410" t="str">
        <f t="shared" si="103"/>
        <v>16-16</v>
      </c>
      <c r="H6431" s="273" t="e">
        <f ca="1">_xludf.IFNA(VLOOKUP(E6431,'Urban Plastix Holds'!$I$37:$U$705,8,0),0)</f>
        <v>#NAME?</v>
      </c>
      <c r="I6431" s="274"/>
      <c r="J6431" s="274" t="e">
        <f t="shared" ca="1" si="104"/>
        <v>#NAME?</v>
      </c>
      <c r="K6431" s="274">
        <f t="shared" si="105"/>
        <v>0</v>
      </c>
      <c r="N6431" s="274"/>
    </row>
    <row r="6432" spans="5:14" ht="13.5" customHeight="1">
      <c r="E6432" s="1" t="s">
        <v>1711</v>
      </c>
      <c r="F6432" s="1" t="s">
        <v>3107</v>
      </c>
      <c r="G6432" s="411" t="str">
        <f t="shared" si="103"/>
        <v>13-01</v>
      </c>
      <c r="H6432" s="273" t="e">
        <f ca="1">_xludf.IFNA(VLOOKUP(E6432,'Urban Plastix Holds'!$I$37:$U$705,9,0),0)</f>
        <v>#NAME?</v>
      </c>
      <c r="I6432" s="274"/>
      <c r="J6432" s="274" t="e">
        <f t="shared" ca="1" si="104"/>
        <v>#NAME?</v>
      </c>
      <c r="K6432" s="274">
        <f t="shared" si="105"/>
        <v>0</v>
      </c>
      <c r="N6432" s="274"/>
    </row>
    <row r="6433" spans="5:14" ht="13.5" customHeight="1">
      <c r="E6433" s="1" t="s">
        <v>1711</v>
      </c>
      <c r="F6433" s="1" t="s">
        <v>3107</v>
      </c>
      <c r="G6433" s="413" t="str">
        <f t="shared" si="103"/>
        <v>07-13</v>
      </c>
      <c r="H6433" s="273" t="e">
        <f ca="1">_xludf.IFNA(VLOOKUP(E6433,'Urban Plastix Holds'!$I$37:$U$705,10,0),0)</f>
        <v>#NAME?</v>
      </c>
      <c r="I6433" s="274"/>
      <c r="J6433" s="274" t="e">
        <f t="shared" ca="1" si="104"/>
        <v>#NAME?</v>
      </c>
      <c r="K6433" s="274">
        <f t="shared" si="105"/>
        <v>0</v>
      </c>
      <c r="N6433" s="274"/>
    </row>
    <row r="6434" spans="5:14" ht="13.5" customHeight="1">
      <c r="E6434" s="1" t="s">
        <v>1711</v>
      </c>
      <c r="F6434" s="1" t="s">
        <v>3107</v>
      </c>
      <c r="G6434" s="414" t="str">
        <f t="shared" si="103"/>
        <v>11-26</v>
      </c>
      <c r="H6434" s="273" t="e">
        <f ca="1">_xludf.IFNA(VLOOKUP(E6434,'Urban Plastix Holds'!$I$37:$U$705,11,0),0)</f>
        <v>#NAME?</v>
      </c>
      <c r="I6434" s="274"/>
      <c r="J6434" s="274" t="e">
        <f t="shared" ca="1" si="104"/>
        <v>#NAME?</v>
      </c>
      <c r="K6434" s="274">
        <f t="shared" si="105"/>
        <v>0</v>
      </c>
      <c r="N6434" s="274"/>
    </row>
    <row r="6435" spans="5:14" ht="13.5" customHeight="1">
      <c r="E6435" s="1" t="s">
        <v>1711</v>
      </c>
      <c r="F6435" s="1" t="s">
        <v>3107</v>
      </c>
      <c r="G6435" s="415" t="str">
        <f t="shared" si="103"/>
        <v>18-01</v>
      </c>
      <c r="H6435" s="273" t="e">
        <f ca="1">_xludf.IFNA(VLOOKUP(E6435,'Urban Plastix Holds'!$I$37:$U$705,12,0),0)</f>
        <v>#NAME?</v>
      </c>
      <c r="I6435" s="274"/>
      <c r="J6435" s="274" t="e">
        <f t="shared" ca="1" si="104"/>
        <v>#NAME?</v>
      </c>
      <c r="K6435" s="274">
        <f t="shared" si="105"/>
        <v>0</v>
      </c>
      <c r="N6435" s="274"/>
    </row>
    <row r="6436" spans="5:14" ht="13.5" customHeight="1">
      <c r="E6436" s="1" t="s">
        <v>1711</v>
      </c>
      <c r="F6436" s="1" t="s">
        <v>3107</v>
      </c>
      <c r="G6436" s="416" t="str">
        <f t="shared" si="103"/>
        <v>Color Code</v>
      </c>
      <c r="H6436" s="273" t="e">
        <f ca="1">_xludf.IFNA(VLOOKUP(E6436,'Urban Plastix Holds'!$I$37:$U$705,13,0),0)</f>
        <v>#NAME?</v>
      </c>
      <c r="I6436" s="274"/>
      <c r="J6436" s="274" t="e">
        <f t="shared" ca="1" si="104"/>
        <v>#NAME?</v>
      </c>
      <c r="K6436" s="274">
        <f t="shared" si="105"/>
        <v>0</v>
      </c>
      <c r="N6436" s="274"/>
    </row>
    <row r="6437" spans="5:14" ht="13.5" customHeight="1">
      <c r="E6437" s="1" t="s">
        <v>1558</v>
      </c>
      <c r="F6437" s="1" t="s">
        <v>3108</v>
      </c>
      <c r="G6437" s="406" t="str">
        <f t="shared" si="103"/>
        <v>11-12</v>
      </c>
      <c r="H6437" s="273" t="e">
        <f ca="1">_xludf.IFNA(VLOOKUP(E6437,'Urban Plastix Holds'!$I$37:$U$705,5,0),0)</f>
        <v>#NAME?</v>
      </c>
      <c r="I6437" s="274"/>
      <c r="J6437" s="274" t="e">
        <f t="shared" ca="1" si="104"/>
        <v>#NAME?</v>
      </c>
      <c r="K6437" s="274">
        <f t="shared" si="105"/>
        <v>0</v>
      </c>
      <c r="N6437" s="274"/>
    </row>
    <row r="6438" spans="5:14" ht="13.5" customHeight="1">
      <c r="E6438" s="1" t="s">
        <v>1558</v>
      </c>
      <c r="F6438" s="1" t="s">
        <v>3108</v>
      </c>
      <c r="G6438" s="408" t="str">
        <f t="shared" si="103"/>
        <v>14-01</v>
      </c>
      <c r="H6438" s="273" t="e">
        <f ca="1">_xludf.IFNA(VLOOKUP(E6438,'Urban Plastix Holds'!$I$37:$U$705,6,0),0)</f>
        <v>#NAME?</v>
      </c>
      <c r="I6438" s="274"/>
      <c r="J6438" s="274" t="e">
        <f t="shared" ca="1" si="104"/>
        <v>#NAME?</v>
      </c>
      <c r="K6438" s="274">
        <f t="shared" si="105"/>
        <v>0</v>
      </c>
      <c r="N6438" s="274"/>
    </row>
    <row r="6439" spans="5:14" ht="13.5" customHeight="1">
      <c r="E6439" s="1" t="s">
        <v>1558</v>
      </c>
      <c r="F6439" s="1" t="s">
        <v>3108</v>
      </c>
      <c r="G6439" s="409" t="str">
        <f t="shared" si="103"/>
        <v>15-12</v>
      </c>
      <c r="H6439" s="273" t="e">
        <f ca="1">_xludf.IFNA(VLOOKUP(E6439,'Urban Plastix Holds'!$I$37:$U$705,7,0),0)</f>
        <v>#NAME?</v>
      </c>
      <c r="I6439" s="274"/>
      <c r="J6439" s="274" t="e">
        <f t="shared" ca="1" si="104"/>
        <v>#NAME?</v>
      </c>
      <c r="K6439" s="274">
        <f t="shared" si="105"/>
        <v>0</v>
      </c>
      <c r="N6439" s="274"/>
    </row>
    <row r="6440" spans="5:14" ht="13.5" customHeight="1">
      <c r="E6440" s="1" t="s">
        <v>1558</v>
      </c>
      <c r="F6440" s="1" t="s">
        <v>3108</v>
      </c>
      <c r="G6440" s="410" t="str">
        <f t="shared" si="103"/>
        <v>16-16</v>
      </c>
      <c r="H6440" s="273" t="e">
        <f ca="1">_xludf.IFNA(VLOOKUP(E6440,'Urban Plastix Holds'!$I$37:$U$705,8,0),0)</f>
        <v>#NAME?</v>
      </c>
      <c r="I6440" s="274"/>
      <c r="J6440" s="274" t="e">
        <f t="shared" ca="1" si="104"/>
        <v>#NAME?</v>
      </c>
      <c r="K6440" s="274">
        <f t="shared" si="105"/>
        <v>0</v>
      </c>
      <c r="N6440" s="274"/>
    </row>
    <row r="6441" spans="5:14" ht="13.5" customHeight="1">
      <c r="E6441" s="1" t="s">
        <v>1558</v>
      </c>
      <c r="F6441" s="1" t="s">
        <v>3108</v>
      </c>
      <c r="G6441" s="411" t="str">
        <f t="shared" si="103"/>
        <v>13-01</v>
      </c>
      <c r="H6441" s="273" t="e">
        <f ca="1">_xludf.IFNA(VLOOKUP(E6441,'Urban Plastix Holds'!$I$37:$U$705,9,0),0)</f>
        <v>#NAME?</v>
      </c>
      <c r="I6441" s="274"/>
      <c r="J6441" s="274" t="e">
        <f t="shared" ca="1" si="104"/>
        <v>#NAME?</v>
      </c>
      <c r="K6441" s="274">
        <f t="shared" si="105"/>
        <v>0</v>
      </c>
      <c r="N6441" s="274"/>
    </row>
    <row r="6442" spans="5:14" ht="13.5" customHeight="1">
      <c r="E6442" s="1" t="s">
        <v>1558</v>
      </c>
      <c r="F6442" s="1" t="s">
        <v>3108</v>
      </c>
      <c r="G6442" s="413" t="str">
        <f t="shared" si="103"/>
        <v>07-13</v>
      </c>
      <c r="H6442" s="273" t="e">
        <f ca="1">_xludf.IFNA(VLOOKUP(E6442,'Urban Plastix Holds'!$I$37:$U$705,10,0),0)</f>
        <v>#NAME?</v>
      </c>
      <c r="I6442" s="274"/>
      <c r="J6442" s="274" t="e">
        <f t="shared" ca="1" si="104"/>
        <v>#NAME?</v>
      </c>
      <c r="K6442" s="274">
        <f t="shared" si="105"/>
        <v>0</v>
      </c>
      <c r="N6442" s="274"/>
    </row>
    <row r="6443" spans="5:14" ht="13.5" customHeight="1">
      <c r="E6443" s="1" t="s">
        <v>1558</v>
      </c>
      <c r="F6443" s="1" t="s">
        <v>3108</v>
      </c>
      <c r="G6443" s="414" t="str">
        <f t="shared" si="103"/>
        <v>11-26</v>
      </c>
      <c r="H6443" s="273" t="e">
        <f ca="1">_xludf.IFNA(VLOOKUP(E6443,'Urban Plastix Holds'!$I$37:$U$705,11,0),0)</f>
        <v>#NAME?</v>
      </c>
      <c r="I6443" s="274"/>
      <c r="J6443" s="274" t="e">
        <f t="shared" ca="1" si="104"/>
        <v>#NAME?</v>
      </c>
      <c r="K6443" s="274">
        <f t="shared" si="105"/>
        <v>0</v>
      </c>
      <c r="N6443" s="274"/>
    </row>
    <row r="6444" spans="5:14" ht="13.5" customHeight="1">
      <c r="E6444" s="1" t="s">
        <v>1558</v>
      </c>
      <c r="F6444" s="1" t="s">
        <v>3108</v>
      </c>
      <c r="G6444" s="415" t="str">
        <f t="shared" si="103"/>
        <v>18-01</v>
      </c>
      <c r="H6444" s="273" t="e">
        <f ca="1">_xludf.IFNA(VLOOKUP(E6444,'Urban Plastix Holds'!$I$37:$U$705,12,0),0)</f>
        <v>#NAME?</v>
      </c>
      <c r="I6444" s="274"/>
      <c r="J6444" s="274" t="e">
        <f t="shared" ca="1" si="104"/>
        <v>#NAME?</v>
      </c>
      <c r="K6444" s="274">
        <f t="shared" si="105"/>
        <v>0</v>
      </c>
      <c r="N6444" s="274"/>
    </row>
    <row r="6445" spans="5:14" ht="13.5" customHeight="1">
      <c r="E6445" s="1" t="s">
        <v>1558</v>
      </c>
      <c r="F6445" s="1" t="s">
        <v>3108</v>
      </c>
      <c r="G6445" s="416" t="str">
        <f t="shared" si="103"/>
        <v>Color Code</v>
      </c>
      <c r="H6445" s="273" t="e">
        <f ca="1">_xludf.IFNA(VLOOKUP(E6445,'Urban Plastix Holds'!$I$37:$U$705,13,0),0)</f>
        <v>#NAME?</v>
      </c>
      <c r="I6445" s="274"/>
      <c r="J6445" s="274" t="e">
        <f t="shared" ca="1" si="104"/>
        <v>#NAME?</v>
      </c>
      <c r="K6445" s="274">
        <f t="shared" si="105"/>
        <v>0</v>
      </c>
      <c r="N6445" s="274"/>
    </row>
    <row r="6446" spans="5:14" ht="13.5" customHeight="1">
      <c r="E6446" s="1" t="s">
        <v>1519</v>
      </c>
      <c r="F6446" s="1" t="s">
        <v>3109</v>
      </c>
      <c r="G6446" s="406" t="str">
        <f t="shared" si="103"/>
        <v>11-12</v>
      </c>
      <c r="H6446" s="273" t="e">
        <f ca="1">_xludf.IFNA(VLOOKUP(E6446,'Urban Plastix Holds'!$I$37:$U$705,5,0),0)</f>
        <v>#NAME?</v>
      </c>
      <c r="I6446" s="274"/>
      <c r="J6446" s="274" t="e">
        <f t="shared" ca="1" si="104"/>
        <v>#NAME?</v>
      </c>
      <c r="K6446" s="274">
        <f t="shared" si="105"/>
        <v>0</v>
      </c>
      <c r="N6446" s="274"/>
    </row>
    <row r="6447" spans="5:14" ht="13.5" customHeight="1">
      <c r="E6447" s="1" t="s">
        <v>1519</v>
      </c>
      <c r="F6447" s="1" t="s">
        <v>3109</v>
      </c>
      <c r="G6447" s="408" t="str">
        <f t="shared" si="103"/>
        <v>14-01</v>
      </c>
      <c r="H6447" s="273" t="e">
        <f ca="1">_xludf.IFNA(VLOOKUP(E6447,'Urban Plastix Holds'!$I$37:$U$705,6,0),0)</f>
        <v>#NAME?</v>
      </c>
      <c r="I6447" s="274"/>
      <c r="J6447" s="274" t="e">
        <f t="shared" ca="1" si="104"/>
        <v>#NAME?</v>
      </c>
      <c r="K6447" s="274">
        <f t="shared" si="105"/>
        <v>0</v>
      </c>
      <c r="N6447" s="274"/>
    </row>
    <row r="6448" spans="5:14" ht="13.5" customHeight="1">
      <c r="E6448" s="1" t="s">
        <v>1519</v>
      </c>
      <c r="F6448" s="1" t="s">
        <v>3109</v>
      </c>
      <c r="G6448" s="409" t="str">
        <f t="shared" si="103"/>
        <v>15-12</v>
      </c>
      <c r="H6448" s="273" t="e">
        <f ca="1">_xludf.IFNA(VLOOKUP(E6448,'Urban Plastix Holds'!$I$37:$U$705,7,0),0)</f>
        <v>#NAME?</v>
      </c>
      <c r="I6448" s="274"/>
      <c r="J6448" s="274" t="e">
        <f t="shared" ca="1" si="104"/>
        <v>#NAME?</v>
      </c>
      <c r="K6448" s="274">
        <f t="shared" si="105"/>
        <v>0</v>
      </c>
      <c r="N6448" s="274"/>
    </row>
    <row r="6449" spans="5:14" ht="13.5" customHeight="1">
      <c r="E6449" s="1" t="s">
        <v>1519</v>
      </c>
      <c r="F6449" s="1" t="s">
        <v>3109</v>
      </c>
      <c r="G6449" s="410" t="str">
        <f t="shared" si="103"/>
        <v>16-16</v>
      </c>
      <c r="H6449" s="273" t="e">
        <f ca="1">_xludf.IFNA(VLOOKUP(E6449,'Urban Plastix Holds'!$I$37:$U$705,8,0),0)</f>
        <v>#NAME?</v>
      </c>
      <c r="I6449" s="274"/>
      <c r="J6449" s="274" t="e">
        <f t="shared" ca="1" si="104"/>
        <v>#NAME?</v>
      </c>
      <c r="K6449" s="274">
        <f t="shared" si="105"/>
        <v>0</v>
      </c>
      <c r="N6449" s="274"/>
    </row>
    <row r="6450" spans="5:14" ht="13.5" customHeight="1">
      <c r="E6450" s="1" t="s">
        <v>1519</v>
      </c>
      <c r="F6450" s="1" t="s">
        <v>3109</v>
      </c>
      <c r="G6450" s="411" t="str">
        <f t="shared" si="103"/>
        <v>13-01</v>
      </c>
      <c r="H6450" s="273" t="e">
        <f ca="1">_xludf.IFNA(VLOOKUP(E6450,'Urban Plastix Holds'!$I$37:$U$705,9,0),0)</f>
        <v>#NAME?</v>
      </c>
      <c r="I6450" s="274"/>
      <c r="J6450" s="274" t="e">
        <f t="shared" ca="1" si="104"/>
        <v>#NAME?</v>
      </c>
      <c r="K6450" s="274">
        <f t="shared" si="105"/>
        <v>0</v>
      </c>
      <c r="N6450" s="274"/>
    </row>
    <row r="6451" spans="5:14" ht="13.5" customHeight="1">
      <c r="E6451" s="1" t="s">
        <v>1519</v>
      </c>
      <c r="F6451" s="1" t="s">
        <v>3109</v>
      </c>
      <c r="G6451" s="413" t="str">
        <f t="shared" si="103"/>
        <v>07-13</v>
      </c>
      <c r="H6451" s="273" t="e">
        <f ca="1">_xludf.IFNA(VLOOKUP(E6451,'Urban Plastix Holds'!$I$37:$U$705,10,0),0)</f>
        <v>#NAME?</v>
      </c>
      <c r="I6451" s="274"/>
      <c r="J6451" s="274" t="e">
        <f t="shared" ca="1" si="104"/>
        <v>#NAME?</v>
      </c>
      <c r="K6451" s="274">
        <f t="shared" si="105"/>
        <v>0</v>
      </c>
      <c r="N6451" s="274"/>
    </row>
    <row r="6452" spans="5:14" ht="13.5" customHeight="1">
      <c r="E6452" s="1" t="s">
        <v>1519</v>
      </c>
      <c r="F6452" s="1" t="s">
        <v>3109</v>
      </c>
      <c r="G6452" s="414" t="str">
        <f t="shared" si="103"/>
        <v>11-26</v>
      </c>
      <c r="H6452" s="273" t="e">
        <f ca="1">_xludf.IFNA(VLOOKUP(E6452,'Urban Plastix Holds'!$I$37:$U$705,11,0),0)</f>
        <v>#NAME?</v>
      </c>
      <c r="I6452" s="274"/>
      <c r="J6452" s="274" t="e">
        <f t="shared" ca="1" si="104"/>
        <v>#NAME?</v>
      </c>
      <c r="K6452" s="274">
        <f t="shared" si="105"/>
        <v>0</v>
      </c>
      <c r="N6452" s="274"/>
    </row>
    <row r="6453" spans="5:14" ht="13.5" customHeight="1">
      <c r="E6453" s="1" t="s">
        <v>1519</v>
      </c>
      <c r="F6453" s="1" t="s">
        <v>3109</v>
      </c>
      <c r="G6453" s="415" t="str">
        <f t="shared" si="103"/>
        <v>18-01</v>
      </c>
      <c r="H6453" s="273" t="e">
        <f ca="1">_xludf.IFNA(VLOOKUP(E6453,'Urban Plastix Holds'!$I$37:$U$705,12,0),0)</f>
        <v>#NAME?</v>
      </c>
      <c r="I6453" s="274"/>
      <c r="J6453" s="274" t="e">
        <f t="shared" ca="1" si="104"/>
        <v>#NAME?</v>
      </c>
      <c r="K6453" s="274">
        <f t="shared" si="105"/>
        <v>0</v>
      </c>
      <c r="N6453" s="274"/>
    </row>
    <row r="6454" spans="5:14" ht="13.5" customHeight="1">
      <c r="E6454" s="1" t="s">
        <v>1519</v>
      </c>
      <c r="F6454" s="1" t="s">
        <v>3109</v>
      </c>
      <c r="G6454" s="416" t="str">
        <f t="shared" si="103"/>
        <v>Color Code</v>
      </c>
      <c r="H6454" s="273" t="e">
        <f ca="1">_xludf.IFNA(VLOOKUP(E6454,'Urban Plastix Holds'!$I$37:$U$705,13,0),0)</f>
        <v>#NAME?</v>
      </c>
      <c r="I6454" s="274"/>
      <c r="J6454" s="274" t="e">
        <f t="shared" ca="1" si="104"/>
        <v>#NAME?</v>
      </c>
      <c r="K6454" s="274">
        <f t="shared" si="105"/>
        <v>0</v>
      </c>
      <c r="N6454" s="274"/>
    </row>
    <row r="6455" spans="5:14" ht="13.5" customHeight="1">
      <c r="E6455" s="1" t="s">
        <v>1659</v>
      </c>
      <c r="F6455" s="1" t="s">
        <v>3110</v>
      </c>
      <c r="G6455" s="406" t="str">
        <f t="shared" si="103"/>
        <v>11-12</v>
      </c>
      <c r="H6455" s="273" t="e">
        <f ca="1">_xludf.IFNA(VLOOKUP(E6455,'Urban Plastix Holds'!$I$37:$U$705,5,0),0)</f>
        <v>#NAME?</v>
      </c>
      <c r="I6455" s="274"/>
      <c r="J6455" s="274" t="e">
        <f t="shared" ca="1" si="104"/>
        <v>#NAME?</v>
      </c>
      <c r="K6455" s="274">
        <f t="shared" si="105"/>
        <v>0</v>
      </c>
      <c r="N6455" s="274"/>
    </row>
    <row r="6456" spans="5:14" ht="13.5" customHeight="1">
      <c r="E6456" s="1" t="s">
        <v>1659</v>
      </c>
      <c r="F6456" s="1" t="s">
        <v>3110</v>
      </c>
      <c r="G6456" s="408" t="str">
        <f t="shared" si="103"/>
        <v>14-01</v>
      </c>
      <c r="H6456" s="273" t="e">
        <f ca="1">_xludf.IFNA(VLOOKUP(E6456,'Urban Plastix Holds'!$I$37:$U$705,6,0),0)</f>
        <v>#NAME?</v>
      </c>
      <c r="I6456" s="274"/>
      <c r="J6456" s="274" t="e">
        <f t="shared" ca="1" si="104"/>
        <v>#NAME?</v>
      </c>
      <c r="K6456" s="274">
        <f t="shared" si="105"/>
        <v>0</v>
      </c>
      <c r="N6456" s="274"/>
    </row>
    <row r="6457" spans="5:14" ht="13.5" customHeight="1">
      <c r="E6457" s="1" t="s">
        <v>1659</v>
      </c>
      <c r="F6457" s="1" t="s">
        <v>3110</v>
      </c>
      <c r="G6457" s="409" t="str">
        <f t="shared" si="103"/>
        <v>15-12</v>
      </c>
      <c r="H6457" s="273" t="e">
        <f ca="1">_xludf.IFNA(VLOOKUP(E6457,'Urban Plastix Holds'!$I$37:$U$705,7,0),0)</f>
        <v>#NAME?</v>
      </c>
      <c r="I6457" s="274"/>
      <c r="J6457" s="274" t="e">
        <f t="shared" ca="1" si="104"/>
        <v>#NAME?</v>
      </c>
      <c r="K6457" s="274">
        <f t="shared" si="105"/>
        <v>0</v>
      </c>
      <c r="N6457" s="274"/>
    </row>
    <row r="6458" spans="5:14" ht="13.5" customHeight="1">
      <c r="E6458" s="1" t="s">
        <v>1659</v>
      </c>
      <c r="F6458" s="1" t="s">
        <v>3110</v>
      </c>
      <c r="G6458" s="410" t="str">
        <f t="shared" si="103"/>
        <v>16-16</v>
      </c>
      <c r="H6458" s="273" t="e">
        <f ca="1">_xludf.IFNA(VLOOKUP(E6458,'Urban Plastix Holds'!$I$37:$U$705,8,0),0)</f>
        <v>#NAME?</v>
      </c>
      <c r="I6458" s="274"/>
      <c r="J6458" s="274" t="e">
        <f t="shared" ca="1" si="104"/>
        <v>#NAME?</v>
      </c>
      <c r="K6458" s="274">
        <f t="shared" si="105"/>
        <v>0</v>
      </c>
      <c r="N6458" s="274"/>
    </row>
    <row r="6459" spans="5:14" ht="13.5" customHeight="1">
      <c r="E6459" s="1" t="s">
        <v>1659</v>
      </c>
      <c r="F6459" s="1" t="s">
        <v>3110</v>
      </c>
      <c r="G6459" s="411" t="str">
        <f t="shared" si="103"/>
        <v>13-01</v>
      </c>
      <c r="H6459" s="273" t="e">
        <f ca="1">_xludf.IFNA(VLOOKUP(E6459,'Urban Plastix Holds'!$I$37:$U$705,9,0),0)</f>
        <v>#NAME?</v>
      </c>
      <c r="I6459" s="274"/>
      <c r="J6459" s="274" t="e">
        <f t="shared" ca="1" si="104"/>
        <v>#NAME?</v>
      </c>
      <c r="K6459" s="274">
        <f t="shared" si="105"/>
        <v>0</v>
      </c>
      <c r="N6459" s="274"/>
    </row>
    <row r="6460" spans="5:14" ht="13.5" customHeight="1">
      <c r="E6460" s="1" t="s">
        <v>1659</v>
      </c>
      <c r="F6460" s="1" t="s">
        <v>3110</v>
      </c>
      <c r="G6460" s="413" t="str">
        <f t="shared" si="103"/>
        <v>07-13</v>
      </c>
      <c r="H6460" s="273" t="e">
        <f ca="1">_xludf.IFNA(VLOOKUP(E6460,'Urban Plastix Holds'!$I$37:$U$705,10,0),0)</f>
        <v>#NAME?</v>
      </c>
      <c r="I6460" s="274"/>
      <c r="J6460" s="274" t="e">
        <f t="shared" ca="1" si="104"/>
        <v>#NAME?</v>
      </c>
      <c r="K6460" s="274">
        <f t="shared" si="105"/>
        <v>0</v>
      </c>
      <c r="N6460" s="274"/>
    </row>
    <row r="6461" spans="5:14" ht="13.5" customHeight="1">
      <c r="E6461" s="1" t="s">
        <v>1659</v>
      </c>
      <c r="F6461" s="1" t="s">
        <v>3110</v>
      </c>
      <c r="G6461" s="414" t="str">
        <f t="shared" si="103"/>
        <v>11-26</v>
      </c>
      <c r="H6461" s="273" t="e">
        <f ca="1">_xludf.IFNA(VLOOKUP(E6461,'Urban Plastix Holds'!$I$37:$U$705,11,0),0)</f>
        <v>#NAME?</v>
      </c>
      <c r="I6461" s="274"/>
      <c r="J6461" s="274" t="e">
        <f t="shared" ca="1" si="104"/>
        <v>#NAME?</v>
      </c>
      <c r="K6461" s="274">
        <f t="shared" si="105"/>
        <v>0</v>
      </c>
      <c r="N6461" s="274"/>
    </row>
    <row r="6462" spans="5:14" ht="13.5" customHeight="1">
      <c r="E6462" s="1" t="s">
        <v>1659</v>
      </c>
      <c r="F6462" s="1" t="s">
        <v>3110</v>
      </c>
      <c r="G6462" s="415" t="str">
        <f t="shared" si="103"/>
        <v>18-01</v>
      </c>
      <c r="H6462" s="273" t="e">
        <f ca="1">_xludf.IFNA(VLOOKUP(E6462,'Urban Plastix Holds'!$I$37:$U$705,12,0),0)</f>
        <v>#NAME?</v>
      </c>
      <c r="I6462" s="274"/>
      <c r="J6462" s="274" t="e">
        <f t="shared" ca="1" si="104"/>
        <v>#NAME?</v>
      </c>
      <c r="K6462" s="274">
        <f t="shared" si="105"/>
        <v>0</v>
      </c>
      <c r="N6462" s="274"/>
    </row>
    <row r="6463" spans="5:14" ht="13.5" customHeight="1">
      <c r="E6463" s="1" t="s">
        <v>1659</v>
      </c>
      <c r="F6463" s="1" t="s">
        <v>3110</v>
      </c>
      <c r="G6463" s="416" t="str">
        <f t="shared" si="103"/>
        <v>Color Code</v>
      </c>
      <c r="H6463" s="273" t="e">
        <f ca="1">_xludf.IFNA(VLOOKUP(E6463,'Urban Plastix Holds'!$I$37:$U$705,13,0),0)</f>
        <v>#NAME?</v>
      </c>
      <c r="I6463" s="274"/>
      <c r="J6463" s="274" t="e">
        <f t="shared" ca="1" si="104"/>
        <v>#NAME?</v>
      </c>
      <c r="K6463" s="274">
        <f t="shared" si="105"/>
        <v>0</v>
      </c>
      <c r="N6463" s="274"/>
    </row>
    <row r="6464" spans="5:14" ht="13.5" customHeight="1">
      <c r="E6464" s="1" t="s">
        <v>1661</v>
      </c>
      <c r="F6464" s="1" t="s">
        <v>3111</v>
      </c>
      <c r="G6464" s="406" t="str">
        <f t="shared" si="103"/>
        <v>11-12</v>
      </c>
      <c r="H6464" s="273" t="e">
        <f ca="1">_xludf.IFNA(VLOOKUP(E6464,'Urban Plastix Holds'!$I$37:$U$705,5,0),0)</f>
        <v>#NAME?</v>
      </c>
      <c r="I6464" s="274"/>
      <c r="J6464" s="274" t="e">
        <f t="shared" ca="1" si="104"/>
        <v>#NAME?</v>
      </c>
      <c r="K6464" s="274">
        <f t="shared" si="105"/>
        <v>0</v>
      </c>
      <c r="N6464" s="274"/>
    </row>
    <row r="6465" spans="5:14" ht="13.5" customHeight="1">
      <c r="E6465" s="1" t="s">
        <v>1661</v>
      </c>
      <c r="F6465" s="1" t="s">
        <v>3111</v>
      </c>
      <c r="G6465" s="408" t="str">
        <f t="shared" si="103"/>
        <v>14-01</v>
      </c>
      <c r="H6465" s="273" t="e">
        <f ca="1">_xludf.IFNA(VLOOKUP(E6465,'Urban Plastix Holds'!$I$37:$U$705,6,0),0)</f>
        <v>#NAME?</v>
      </c>
      <c r="I6465" s="274"/>
      <c r="J6465" s="274" t="e">
        <f t="shared" ca="1" si="104"/>
        <v>#NAME?</v>
      </c>
      <c r="K6465" s="274">
        <f t="shared" si="105"/>
        <v>0</v>
      </c>
      <c r="N6465" s="274"/>
    </row>
    <row r="6466" spans="5:14" ht="13.5" customHeight="1">
      <c r="E6466" s="1" t="s">
        <v>1661</v>
      </c>
      <c r="F6466" s="1" t="s">
        <v>3111</v>
      </c>
      <c r="G6466" s="409" t="str">
        <f t="shared" si="103"/>
        <v>15-12</v>
      </c>
      <c r="H6466" s="273" t="e">
        <f ca="1">_xludf.IFNA(VLOOKUP(E6466,'Urban Plastix Holds'!$I$37:$U$705,7,0),0)</f>
        <v>#NAME?</v>
      </c>
      <c r="I6466" s="274"/>
      <c r="J6466" s="274" t="e">
        <f t="shared" ca="1" si="104"/>
        <v>#NAME?</v>
      </c>
      <c r="K6466" s="274">
        <f t="shared" si="105"/>
        <v>0</v>
      </c>
      <c r="N6466" s="274"/>
    </row>
    <row r="6467" spans="5:14" ht="13.5" customHeight="1">
      <c r="E6467" s="1" t="s">
        <v>1661</v>
      </c>
      <c r="F6467" s="1" t="s">
        <v>3111</v>
      </c>
      <c r="G6467" s="410" t="str">
        <f t="shared" si="103"/>
        <v>16-16</v>
      </c>
      <c r="H6467" s="273" t="e">
        <f ca="1">_xludf.IFNA(VLOOKUP(E6467,'Urban Plastix Holds'!$I$37:$U$705,8,0),0)</f>
        <v>#NAME?</v>
      </c>
      <c r="I6467" s="274"/>
      <c r="J6467" s="274" t="e">
        <f t="shared" ca="1" si="104"/>
        <v>#NAME?</v>
      </c>
      <c r="K6467" s="274">
        <f t="shared" si="105"/>
        <v>0</v>
      </c>
      <c r="N6467" s="274"/>
    </row>
    <row r="6468" spans="5:14" ht="13.5" customHeight="1">
      <c r="E6468" s="1" t="s">
        <v>1661</v>
      </c>
      <c r="F6468" s="1" t="s">
        <v>3111</v>
      </c>
      <c r="G6468" s="411" t="str">
        <f t="shared" si="103"/>
        <v>13-01</v>
      </c>
      <c r="H6468" s="273" t="e">
        <f ca="1">_xludf.IFNA(VLOOKUP(E6468,'Urban Plastix Holds'!$I$37:$U$705,9,0),0)</f>
        <v>#NAME?</v>
      </c>
      <c r="I6468" s="274"/>
      <c r="J6468" s="274" t="e">
        <f t="shared" ca="1" si="104"/>
        <v>#NAME?</v>
      </c>
      <c r="K6468" s="274">
        <f t="shared" si="105"/>
        <v>0</v>
      </c>
      <c r="N6468" s="274"/>
    </row>
    <row r="6469" spans="5:14" ht="13.5" customHeight="1">
      <c r="E6469" s="1" t="s">
        <v>1661</v>
      </c>
      <c r="F6469" s="1" t="s">
        <v>3111</v>
      </c>
      <c r="G6469" s="413" t="str">
        <f t="shared" si="103"/>
        <v>07-13</v>
      </c>
      <c r="H6469" s="273" t="e">
        <f ca="1">_xludf.IFNA(VLOOKUP(E6469,'Urban Plastix Holds'!$I$37:$U$705,10,0),0)</f>
        <v>#NAME?</v>
      </c>
      <c r="I6469" s="274"/>
      <c r="J6469" s="274" t="e">
        <f t="shared" ca="1" si="104"/>
        <v>#NAME?</v>
      </c>
      <c r="K6469" s="274">
        <f t="shared" si="105"/>
        <v>0</v>
      </c>
      <c r="N6469" s="274"/>
    </row>
    <row r="6470" spans="5:14" ht="13.5" customHeight="1">
      <c r="E6470" s="1" t="s">
        <v>1661</v>
      </c>
      <c r="F6470" s="1" t="s">
        <v>3111</v>
      </c>
      <c r="G6470" s="414" t="str">
        <f t="shared" si="103"/>
        <v>11-26</v>
      </c>
      <c r="H6470" s="273" t="e">
        <f ca="1">_xludf.IFNA(VLOOKUP(E6470,'Urban Plastix Holds'!$I$37:$U$705,11,0),0)</f>
        <v>#NAME?</v>
      </c>
      <c r="I6470" s="274"/>
      <c r="J6470" s="274" t="e">
        <f t="shared" ca="1" si="104"/>
        <v>#NAME?</v>
      </c>
      <c r="K6470" s="274">
        <f t="shared" si="105"/>
        <v>0</v>
      </c>
      <c r="N6470" s="274"/>
    </row>
    <row r="6471" spans="5:14" ht="13.5" customHeight="1">
      <c r="E6471" s="1" t="s">
        <v>1661</v>
      </c>
      <c r="F6471" s="1" t="s">
        <v>3111</v>
      </c>
      <c r="G6471" s="415" t="str">
        <f t="shared" si="103"/>
        <v>18-01</v>
      </c>
      <c r="H6471" s="273" t="e">
        <f ca="1">_xludf.IFNA(VLOOKUP(E6471,'Urban Plastix Holds'!$I$37:$U$705,12,0),0)</f>
        <v>#NAME?</v>
      </c>
      <c r="I6471" s="274"/>
      <c r="J6471" s="274" t="e">
        <f t="shared" ca="1" si="104"/>
        <v>#NAME?</v>
      </c>
      <c r="K6471" s="274">
        <f t="shared" si="105"/>
        <v>0</v>
      </c>
      <c r="N6471" s="274"/>
    </row>
    <row r="6472" spans="5:14" ht="13.5" customHeight="1">
      <c r="E6472" s="1" t="s">
        <v>1661</v>
      </c>
      <c r="F6472" s="1" t="s">
        <v>3111</v>
      </c>
      <c r="G6472" s="416" t="str">
        <f t="shared" si="103"/>
        <v>Color Code</v>
      </c>
      <c r="H6472" s="273" t="e">
        <f ca="1">_xludf.IFNA(VLOOKUP(E6472,'Urban Plastix Holds'!$I$37:$U$705,13,0),0)</f>
        <v>#NAME?</v>
      </c>
      <c r="I6472" s="274"/>
      <c r="J6472" s="274" t="e">
        <f t="shared" ca="1" si="104"/>
        <v>#NAME?</v>
      </c>
      <c r="K6472" s="274">
        <f t="shared" si="105"/>
        <v>0</v>
      </c>
      <c r="N6472" s="274"/>
    </row>
    <row r="6473" spans="5:14" ht="13.5" customHeight="1">
      <c r="E6473" s="1" t="s">
        <v>1626</v>
      </c>
      <c r="F6473" s="1" t="s">
        <v>3112</v>
      </c>
      <c r="G6473" s="406" t="str">
        <f t="shared" si="103"/>
        <v>11-12</v>
      </c>
      <c r="H6473" s="273" t="e">
        <f ca="1">_xludf.IFNA(VLOOKUP(E6473,'Urban Plastix Holds'!$I$37:$U$705,5,0),0)</f>
        <v>#NAME?</v>
      </c>
      <c r="I6473" s="274"/>
      <c r="J6473" s="274" t="e">
        <f t="shared" ca="1" si="104"/>
        <v>#NAME?</v>
      </c>
      <c r="K6473" s="274">
        <f t="shared" si="105"/>
        <v>0</v>
      </c>
      <c r="N6473" s="274"/>
    </row>
    <row r="6474" spans="5:14" ht="13.5" customHeight="1">
      <c r="E6474" s="1" t="s">
        <v>1626</v>
      </c>
      <c r="F6474" s="1" t="s">
        <v>3112</v>
      </c>
      <c r="G6474" s="408" t="str">
        <f t="shared" si="103"/>
        <v>14-01</v>
      </c>
      <c r="H6474" s="273" t="e">
        <f ca="1">_xludf.IFNA(VLOOKUP(E6474,'Urban Plastix Holds'!$I$37:$U$705,6,0),0)</f>
        <v>#NAME?</v>
      </c>
      <c r="I6474" s="274"/>
      <c r="J6474" s="274" t="e">
        <f t="shared" ca="1" si="104"/>
        <v>#NAME?</v>
      </c>
      <c r="K6474" s="274">
        <f t="shared" si="105"/>
        <v>0</v>
      </c>
      <c r="N6474" s="274"/>
    </row>
    <row r="6475" spans="5:14" ht="13.5" customHeight="1">
      <c r="E6475" s="1" t="s">
        <v>1626</v>
      </c>
      <c r="F6475" s="1" t="s">
        <v>3112</v>
      </c>
      <c r="G6475" s="409" t="str">
        <f t="shared" si="103"/>
        <v>15-12</v>
      </c>
      <c r="H6475" s="273" t="e">
        <f ca="1">_xludf.IFNA(VLOOKUP(E6475,'Urban Plastix Holds'!$I$37:$U$705,7,0),0)</f>
        <v>#NAME?</v>
      </c>
      <c r="I6475" s="274"/>
      <c r="J6475" s="274" t="e">
        <f t="shared" ca="1" si="104"/>
        <v>#NAME?</v>
      </c>
      <c r="K6475" s="274">
        <f t="shared" si="105"/>
        <v>0</v>
      </c>
      <c r="N6475" s="274"/>
    </row>
    <row r="6476" spans="5:14" ht="13.5" customHeight="1">
      <c r="E6476" s="1" t="s">
        <v>1626</v>
      </c>
      <c r="F6476" s="1" t="s">
        <v>3112</v>
      </c>
      <c r="G6476" s="410" t="str">
        <f t="shared" ref="G6476:G6730" si="106">G6413</f>
        <v>16-16</v>
      </c>
      <c r="H6476" s="273" t="e">
        <f ca="1">_xludf.IFNA(VLOOKUP(E6476,'Urban Plastix Holds'!$I$37:$U$705,8,0),0)</f>
        <v>#NAME?</v>
      </c>
      <c r="I6476" s="274"/>
      <c r="J6476" s="274" t="e">
        <f t="shared" ca="1" si="104"/>
        <v>#NAME?</v>
      </c>
      <c r="K6476" s="274">
        <f t="shared" si="105"/>
        <v>0</v>
      </c>
      <c r="N6476" s="274"/>
    </row>
    <row r="6477" spans="5:14" ht="13.5" customHeight="1">
      <c r="E6477" s="1" t="s">
        <v>1626</v>
      </c>
      <c r="F6477" s="1" t="s">
        <v>3112</v>
      </c>
      <c r="G6477" s="411" t="str">
        <f t="shared" si="106"/>
        <v>13-01</v>
      </c>
      <c r="H6477" s="273" t="e">
        <f ca="1">_xludf.IFNA(VLOOKUP(E6477,'Urban Plastix Holds'!$I$37:$U$705,9,0),0)</f>
        <v>#NAME?</v>
      </c>
      <c r="I6477" s="274"/>
      <c r="J6477" s="274" t="e">
        <f t="shared" ca="1" si="104"/>
        <v>#NAME?</v>
      </c>
      <c r="K6477" s="274">
        <f t="shared" si="105"/>
        <v>0</v>
      </c>
      <c r="N6477" s="274"/>
    </row>
    <row r="6478" spans="5:14" ht="13.5" customHeight="1">
      <c r="E6478" s="1" t="s">
        <v>1626</v>
      </c>
      <c r="F6478" s="1" t="s">
        <v>3112</v>
      </c>
      <c r="G6478" s="413" t="str">
        <f t="shared" si="106"/>
        <v>07-13</v>
      </c>
      <c r="H6478" s="273" t="e">
        <f ca="1">_xludf.IFNA(VLOOKUP(E6478,'Urban Plastix Holds'!$I$37:$U$705,10,0),0)</f>
        <v>#NAME?</v>
      </c>
      <c r="I6478" s="274"/>
      <c r="J6478" s="274" t="e">
        <f t="shared" ca="1" si="104"/>
        <v>#NAME?</v>
      </c>
      <c r="K6478" s="274">
        <f t="shared" si="105"/>
        <v>0</v>
      </c>
      <c r="N6478" s="274"/>
    </row>
    <row r="6479" spans="5:14" ht="13.5" customHeight="1">
      <c r="E6479" s="1" t="s">
        <v>1626</v>
      </c>
      <c r="F6479" s="1" t="s">
        <v>3112</v>
      </c>
      <c r="G6479" s="414" t="str">
        <f t="shared" si="106"/>
        <v>11-26</v>
      </c>
      <c r="H6479" s="273" t="e">
        <f ca="1">_xludf.IFNA(VLOOKUP(E6479,'Urban Plastix Holds'!$I$37:$U$705,11,0),0)</f>
        <v>#NAME?</v>
      </c>
      <c r="I6479" s="274"/>
      <c r="J6479" s="274" t="e">
        <f t="shared" ca="1" si="104"/>
        <v>#NAME?</v>
      </c>
      <c r="K6479" s="274">
        <f t="shared" si="105"/>
        <v>0</v>
      </c>
      <c r="N6479" s="274"/>
    </row>
    <row r="6480" spans="5:14" ht="13.5" customHeight="1">
      <c r="E6480" s="1" t="s">
        <v>1626</v>
      </c>
      <c r="F6480" s="1" t="s">
        <v>3112</v>
      </c>
      <c r="G6480" s="415" t="str">
        <f t="shared" si="106"/>
        <v>18-01</v>
      </c>
      <c r="H6480" s="273" t="e">
        <f ca="1">_xludf.IFNA(VLOOKUP(E6480,'Urban Plastix Holds'!$I$37:$U$705,12,0),0)</f>
        <v>#NAME?</v>
      </c>
      <c r="I6480" s="274"/>
      <c r="J6480" s="274" t="e">
        <f t="shared" ca="1" si="104"/>
        <v>#NAME?</v>
      </c>
      <c r="K6480" s="274">
        <f t="shared" si="105"/>
        <v>0</v>
      </c>
      <c r="N6480" s="274"/>
    </row>
    <row r="6481" spans="5:14" ht="13.5" customHeight="1">
      <c r="E6481" s="1" t="s">
        <v>1626</v>
      </c>
      <c r="F6481" s="1" t="s">
        <v>3112</v>
      </c>
      <c r="G6481" s="416" t="str">
        <f t="shared" si="106"/>
        <v>Color Code</v>
      </c>
      <c r="H6481" s="273" t="e">
        <f ca="1">_xludf.IFNA(VLOOKUP(E6481,'Urban Plastix Holds'!$I$37:$U$705,13,0),0)</f>
        <v>#NAME?</v>
      </c>
      <c r="I6481" s="274"/>
      <c r="J6481" s="274" t="e">
        <f t="shared" ca="1" si="104"/>
        <v>#NAME?</v>
      </c>
      <c r="K6481" s="274">
        <f t="shared" si="105"/>
        <v>0</v>
      </c>
      <c r="N6481" s="274"/>
    </row>
    <row r="6482" spans="5:14" ht="13.5" customHeight="1">
      <c r="E6482" s="1" t="s">
        <v>1663</v>
      </c>
      <c r="F6482" s="1" t="s">
        <v>3113</v>
      </c>
      <c r="G6482" s="406" t="str">
        <f t="shared" si="106"/>
        <v>11-12</v>
      </c>
      <c r="H6482" s="273" t="e">
        <f ca="1">_xludf.IFNA(VLOOKUP(E6482,'Urban Plastix Holds'!$I$37:$U$705,5,0),0)</f>
        <v>#NAME?</v>
      </c>
      <c r="I6482" s="274"/>
      <c r="J6482" s="274" t="e">
        <f t="shared" ca="1" si="104"/>
        <v>#NAME?</v>
      </c>
      <c r="K6482" s="274">
        <f t="shared" si="105"/>
        <v>0</v>
      </c>
      <c r="N6482" s="274"/>
    </row>
    <row r="6483" spans="5:14" ht="13.5" customHeight="1">
      <c r="E6483" s="1" t="s">
        <v>1663</v>
      </c>
      <c r="F6483" s="1" t="s">
        <v>3113</v>
      </c>
      <c r="G6483" s="408" t="str">
        <f t="shared" si="106"/>
        <v>14-01</v>
      </c>
      <c r="H6483" s="273" t="e">
        <f ca="1">_xludf.IFNA(VLOOKUP(E6483,'Urban Plastix Holds'!$I$37:$U$705,6,0),0)</f>
        <v>#NAME?</v>
      </c>
      <c r="I6483" s="274"/>
      <c r="J6483" s="274" t="e">
        <f t="shared" ca="1" si="104"/>
        <v>#NAME?</v>
      </c>
      <c r="K6483" s="274">
        <f t="shared" si="105"/>
        <v>0</v>
      </c>
      <c r="N6483" s="274"/>
    </row>
    <row r="6484" spans="5:14" ht="13.5" customHeight="1">
      <c r="E6484" s="1" t="s">
        <v>1663</v>
      </c>
      <c r="F6484" s="1" t="s">
        <v>3113</v>
      </c>
      <c r="G6484" s="409" t="str">
        <f t="shared" si="106"/>
        <v>15-12</v>
      </c>
      <c r="H6484" s="273" t="e">
        <f ca="1">_xludf.IFNA(VLOOKUP(E6484,'Urban Plastix Holds'!$I$37:$U$705,7,0),0)</f>
        <v>#NAME?</v>
      </c>
      <c r="I6484" s="274"/>
      <c r="J6484" s="274" t="e">
        <f t="shared" ca="1" si="104"/>
        <v>#NAME?</v>
      </c>
      <c r="K6484" s="274">
        <f t="shared" si="105"/>
        <v>0</v>
      </c>
      <c r="N6484" s="274"/>
    </row>
    <row r="6485" spans="5:14" ht="13.5" customHeight="1">
      <c r="E6485" s="1" t="s">
        <v>1663</v>
      </c>
      <c r="F6485" s="1" t="s">
        <v>3113</v>
      </c>
      <c r="G6485" s="410" t="str">
        <f t="shared" si="106"/>
        <v>16-16</v>
      </c>
      <c r="H6485" s="273" t="e">
        <f ca="1">_xludf.IFNA(VLOOKUP(E6485,'Urban Plastix Holds'!$I$37:$U$705,8,0),0)</f>
        <v>#NAME?</v>
      </c>
      <c r="I6485" s="274"/>
      <c r="J6485" s="274" t="e">
        <f t="shared" ca="1" si="104"/>
        <v>#NAME?</v>
      </c>
      <c r="K6485" s="274">
        <f t="shared" si="105"/>
        <v>0</v>
      </c>
      <c r="N6485" s="274"/>
    </row>
    <row r="6486" spans="5:14" ht="13.5" customHeight="1">
      <c r="E6486" s="1" t="s">
        <v>1663</v>
      </c>
      <c r="F6486" s="1" t="s">
        <v>3113</v>
      </c>
      <c r="G6486" s="411" t="str">
        <f t="shared" si="106"/>
        <v>13-01</v>
      </c>
      <c r="H6486" s="273" t="e">
        <f ca="1">_xludf.IFNA(VLOOKUP(E6486,'Urban Plastix Holds'!$I$37:$U$705,9,0),0)</f>
        <v>#NAME?</v>
      </c>
      <c r="I6486" s="274"/>
      <c r="J6486" s="274" t="e">
        <f t="shared" ca="1" si="104"/>
        <v>#NAME?</v>
      </c>
      <c r="K6486" s="274">
        <f t="shared" si="105"/>
        <v>0</v>
      </c>
      <c r="N6486" s="274"/>
    </row>
    <row r="6487" spans="5:14" ht="13.5" customHeight="1">
      <c r="E6487" s="1" t="s">
        <v>1663</v>
      </c>
      <c r="F6487" s="1" t="s">
        <v>3113</v>
      </c>
      <c r="G6487" s="413" t="str">
        <f t="shared" si="106"/>
        <v>07-13</v>
      </c>
      <c r="H6487" s="273" t="e">
        <f ca="1">_xludf.IFNA(VLOOKUP(E6487,'Urban Plastix Holds'!$I$37:$U$705,10,0),0)</f>
        <v>#NAME?</v>
      </c>
      <c r="I6487" s="274"/>
      <c r="J6487" s="274" t="e">
        <f t="shared" ca="1" si="104"/>
        <v>#NAME?</v>
      </c>
      <c r="K6487" s="274">
        <f t="shared" si="105"/>
        <v>0</v>
      </c>
      <c r="N6487" s="274"/>
    </row>
    <row r="6488" spans="5:14" ht="13.5" customHeight="1">
      <c r="E6488" s="1" t="s">
        <v>1663</v>
      </c>
      <c r="F6488" s="1" t="s">
        <v>3113</v>
      </c>
      <c r="G6488" s="414" t="str">
        <f t="shared" si="106"/>
        <v>11-26</v>
      </c>
      <c r="H6488" s="273" t="e">
        <f ca="1">_xludf.IFNA(VLOOKUP(E6488,'Urban Plastix Holds'!$I$37:$U$705,11,0),0)</f>
        <v>#NAME?</v>
      </c>
      <c r="I6488" s="274"/>
      <c r="J6488" s="274" t="e">
        <f t="shared" ca="1" si="104"/>
        <v>#NAME?</v>
      </c>
      <c r="K6488" s="274">
        <f t="shared" si="105"/>
        <v>0</v>
      </c>
      <c r="N6488" s="274"/>
    </row>
    <row r="6489" spans="5:14" ht="13.5" customHeight="1">
      <c r="E6489" s="1" t="s">
        <v>1663</v>
      </c>
      <c r="F6489" s="1" t="s">
        <v>3113</v>
      </c>
      <c r="G6489" s="415" t="str">
        <f t="shared" si="106"/>
        <v>18-01</v>
      </c>
      <c r="H6489" s="273" t="e">
        <f ca="1">_xludf.IFNA(VLOOKUP(E6489,'Urban Plastix Holds'!$I$37:$U$705,12,0),0)</f>
        <v>#NAME?</v>
      </c>
      <c r="I6489" s="274"/>
      <c r="J6489" s="274" t="e">
        <f t="shared" ca="1" si="104"/>
        <v>#NAME?</v>
      </c>
      <c r="K6489" s="274">
        <f t="shared" si="105"/>
        <v>0</v>
      </c>
      <c r="N6489" s="274"/>
    </row>
    <row r="6490" spans="5:14" ht="13.5" customHeight="1">
      <c r="E6490" s="1" t="s">
        <v>1663</v>
      </c>
      <c r="F6490" s="1" t="s">
        <v>3113</v>
      </c>
      <c r="G6490" s="416" t="str">
        <f t="shared" si="106"/>
        <v>Color Code</v>
      </c>
      <c r="H6490" s="273" t="e">
        <f ca="1">_xludf.IFNA(VLOOKUP(E6490,'Urban Plastix Holds'!$I$37:$U$705,13,0),0)</f>
        <v>#NAME?</v>
      </c>
      <c r="I6490" s="274"/>
      <c r="J6490" s="274" t="e">
        <f t="shared" ca="1" si="104"/>
        <v>#NAME?</v>
      </c>
      <c r="K6490" s="274">
        <f t="shared" si="105"/>
        <v>0</v>
      </c>
      <c r="N6490" s="274"/>
    </row>
    <row r="6491" spans="5:14" ht="13.5" customHeight="1">
      <c r="E6491" s="1" t="s">
        <v>1628</v>
      </c>
      <c r="F6491" s="1" t="s">
        <v>3114</v>
      </c>
      <c r="G6491" s="406" t="str">
        <f t="shared" si="106"/>
        <v>11-12</v>
      </c>
      <c r="H6491" s="273" t="e">
        <f ca="1">_xludf.IFNA(VLOOKUP(E6491,'Urban Plastix Holds'!$I$37:$U$705,5,0),0)</f>
        <v>#NAME?</v>
      </c>
      <c r="I6491" s="274"/>
      <c r="J6491" s="274" t="e">
        <f t="shared" ca="1" si="104"/>
        <v>#NAME?</v>
      </c>
      <c r="K6491" s="274">
        <f t="shared" si="105"/>
        <v>0</v>
      </c>
      <c r="N6491" s="274"/>
    </row>
    <row r="6492" spans="5:14" ht="13.5" customHeight="1">
      <c r="E6492" s="1" t="s">
        <v>1628</v>
      </c>
      <c r="F6492" s="1" t="s">
        <v>3114</v>
      </c>
      <c r="G6492" s="408" t="str">
        <f t="shared" si="106"/>
        <v>14-01</v>
      </c>
      <c r="H6492" s="273" t="e">
        <f ca="1">_xludf.IFNA(VLOOKUP(E6492,'Urban Plastix Holds'!$I$37:$U$705,6,0),0)</f>
        <v>#NAME?</v>
      </c>
      <c r="I6492" s="274"/>
      <c r="J6492" s="274" t="e">
        <f t="shared" ca="1" si="104"/>
        <v>#NAME?</v>
      </c>
      <c r="K6492" s="274">
        <f t="shared" si="105"/>
        <v>0</v>
      </c>
      <c r="N6492" s="274"/>
    </row>
    <row r="6493" spans="5:14" ht="13.5" customHeight="1">
      <c r="E6493" s="1" t="s">
        <v>1628</v>
      </c>
      <c r="F6493" s="1" t="s">
        <v>3114</v>
      </c>
      <c r="G6493" s="409" t="str">
        <f t="shared" si="106"/>
        <v>15-12</v>
      </c>
      <c r="H6493" s="273" t="e">
        <f ca="1">_xludf.IFNA(VLOOKUP(E6493,'Urban Plastix Holds'!$I$37:$U$705,7,0),0)</f>
        <v>#NAME?</v>
      </c>
      <c r="I6493" s="274"/>
      <c r="J6493" s="274" t="e">
        <f t="shared" ca="1" si="104"/>
        <v>#NAME?</v>
      </c>
      <c r="K6493" s="274">
        <f t="shared" si="105"/>
        <v>0</v>
      </c>
      <c r="N6493" s="274"/>
    </row>
    <row r="6494" spans="5:14" ht="13.5" customHeight="1">
      <c r="E6494" s="1" t="s">
        <v>1628</v>
      </c>
      <c r="F6494" s="1" t="s">
        <v>3114</v>
      </c>
      <c r="G6494" s="410" t="str">
        <f t="shared" si="106"/>
        <v>16-16</v>
      </c>
      <c r="H6494" s="273" t="e">
        <f ca="1">_xludf.IFNA(VLOOKUP(E6494,'Urban Plastix Holds'!$I$37:$U$705,8,0),0)</f>
        <v>#NAME?</v>
      </c>
      <c r="I6494" s="274"/>
      <c r="J6494" s="274" t="e">
        <f t="shared" ca="1" si="104"/>
        <v>#NAME?</v>
      </c>
      <c r="K6494" s="274">
        <f t="shared" si="105"/>
        <v>0</v>
      </c>
      <c r="N6494" s="274"/>
    </row>
    <row r="6495" spans="5:14" ht="13.5" customHeight="1">
      <c r="E6495" s="1" t="s">
        <v>1628</v>
      </c>
      <c r="F6495" s="1" t="s">
        <v>3114</v>
      </c>
      <c r="G6495" s="411" t="str">
        <f t="shared" si="106"/>
        <v>13-01</v>
      </c>
      <c r="H6495" s="273" t="e">
        <f ca="1">_xludf.IFNA(VLOOKUP(E6495,'Urban Plastix Holds'!$I$37:$U$705,9,0),0)</f>
        <v>#NAME?</v>
      </c>
      <c r="I6495" s="274"/>
      <c r="J6495" s="274" t="e">
        <f t="shared" ca="1" si="104"/>
        <v>#NAME?</v>
      </c>
      <c r="K6495" s="274">
        <f t="shared" si="105"/>
        <v>0</v>
      </c>
      <c r="N6495" s="274"/>
    </row>
    <row r="6496" spans="5:14" ht="13.5" customHeight="1">
      <c r="E6496" s="1" t="s">
        <v>1628</v>
      </c>
      <c r="F6496" s="1" t="s">
        <v>3114</v>
      </c>
      <c r="G6496" s="413" t="str">
        <f t="shared" si="106"/>
        <v>07-13</v>
      </c>
      <c r="H6496" s="273" t="e">
        <f ca="1">_xludf.IFNA(VLOOKUP(E6496,'Urban Plastix Holds'!$I$37:$U$705,10,0),0)</f>
        <v>#NAME?</v>
      </c>
      <c r="I6496" s="274"/>
      <c r="J6496" s="274" t="e">
        <f t="shared" ca="1" si="104"/>
        <v>#NAME?</v>
      </c>
      <c r="K6496" s="274">
        <f t="shared" si="105"/>
        <v>0</v>
      </c>
      <c r="N6496" s="274"/>
    </row>
    <row r="6497" spans="5:14" ht="13.5" customHeight="1">
      <c r="E6497" s="1" t="s">
        <v>1628</v>
      </c>
      <c r="F6497" s="1" t="s">
        <v>3114</v>
      </c>
      <c r="G6497" s="414" t="str">
        <f t="shared" si="106"/>
        <v>11-26</v>
      </c>
      <c r="H6497" s="273" t="e">
        <f ca="1">_xludf.IFNA(VLOOKUP(E6497,'Urban Plastix Holds'!$I$37:$U$705,11,0),0)</f>
        <v>#NAME?</v>
      </c>
      <c r="I6497" s="274"/>
      <c r="J6497" s="274" t="e">
        <f t="shared" ca="1" si="104"/>
        <v>#NAME?</v>
      </c>
      <c r="K6497" s="274">
        <f t="shared" si="105"/>
        <v>0</v>
      </c>
      <c r="N6497" s="274"/>
    </row>
    <row r="6498" spans="5:14" ht="13.5" customHeight="1">
      <c r="E6498" s="1" t="s">
        <v>1628</v>
      </c>
      <c r="F6498" s="1" t="s">
        <v>3114</v>
      </c>
      <c r="G6498" s="415" t="str">
        <f t="shared" si="106"/>
        <v>18-01</v>
      </c>
      <c r="H6498" s="273" t="e">
        <f ca="1">_xludf.IFNA(VLOOKUP(E6498,'Urban Plastix Holds'!$I$37:$U$705,12,0),0)</f>
        <v>#NAME?</v>
      </c>
      <c r="I6498" s="274"/>
      <c r="J6498" s="274" t="e">
        <f t="shared" ca="1" si="104"/>
        <v>#NAME?</v>
      </c>
      <c r="K6498" s="274">
        <f t="shared" si="105"/>
        <v>0</v>
      </c>
      <c r="N6498" s="274"/>
    </row>
    <row r="6499" spans="5:14" ht="13.5" customHeight="1">
      <c r="E6499" s="1" t="s">
        <v>1628</v>
      </c>
      <c r="F6499" s="1" t="s">
        <v>3114</v>
      </c>
      <c r="G6499" s="416" t="str">
        <f t="shared" si="106"/>
        <v>Color Code</v>
      </c>
      <c r="H6499" s="273" t="e">
        <f ca="1">_xludf.IFNA(VLOOKUP(E6499,'Urban Plastix Holds'!$I$37:$U$705,13,0),0)</f>
        <v>#NAME?</v>
      </c>
      <c r="I6499" s="274"/>
      <c r="J6499" s="274" t="e">
        <f t="shared" ca="1" si="104"/>
        <v>#NAME?</v>
      </c>
      <c r="K6499" s="274">
        <f t="shared" si="105"/>
        <v>0</v>
      </c>
      <c r="N6499" s="274"/>
    </row>
    <row r="6500" spans="5:14" ht="13.5" customHeight="1">
      <c r="E6500" s="1" t="s">
        <v>1581</v>
      </c>
      <c r="F6500" s="1" t="s">
        <v>3115</v>
      </c>
      <c r="G6500" s="406" t="str">
        <f t="shared" si="106"/>
        <v>11-12</v>
      </c>
      <c r="H6500" s="273" t="e">
        <f ca="1">_xludf.IFNA(VLOOKUP(E6500,'Urban Plastix Holds'!$I$37:$U$705,5,0),0)</f>
        <v>#NAME?</v>
      </c>
      <c r="I6500" s="274"/>
      <c r="J6500" s="274" t="e">
        <f t="shared" ca="1" si="104"/>
        <v>#NAME?</v>
      </c>
      <c r="K6500" s="274">
        <f t="shared" si="105"/>
        <v>0</v>
      </c>
      <c r="N6500" s="274"/>
    </row>
    <row r="6501" spans="5:14" ht="13.5" customHeight="1">
      <c r="E6501" s="1" t="s">
        <v>1581</v>
      </c>
      <c r="F6501" s="1" t="s">
        <v>3115</v>
      </c>
      <c r="G6501" s="408" t="str">
        <f t="shared" si="106"/>
        <v>14-01</v>
      </c>
      <c r="H6501" s="273" t="e">
        <f ca="1">_xludf.IFNA(VLOOKUP(E6501,'Urban Plastix Holds'!$I$37:$U$705,6,0),0)</f>
        <v>#NAME?</v>
      </c>
      <c r="I6501" s="274"/>
      <c r="J6501" s="274" t="e">
        <f t="shared" ca="1" si="104"/>
        <v>#NAME?</v>
      </c>
      <c r="K6501" s="274">
        <f t="shared" si="105"/>
        <v>0</v>
      </c>
      <c r="N6501" s="274"/>
    </row>
    <row r="6502" spans="5:14" ht="13.5" customHeight="1">
      <c r="E6502" s="1" t="s">
        <v>1581</v>
      </c>
      <c r="F6502" s="1" t="s">
        <v>3115</v>
      </c>
      <c r="G6502" s="409" t="str">
        <f t="shared" si="106"/>
        <v>15-12</v>
      </c>
      <c r="H6502" s="273" t="e">
        <f ca="1">_xludf.IFNA(VLOOKUP(E6502,'Urban Plastix Holds'!$I$37:$U$705,7,0),0)</f>
        <v>#NAME?</v>
      </c>
      <c r="I6502" s="274"/>
      <c r="J6502" s="274" t="e">
        <f t="shared" ca="1" si="104"/>
        <v>#NAME?</v>
      </c>
      <c r="K6502" s="274">
        <f t="shared" si="105"/>
        <v>0</v>
      </c>
      <c r="N6502" s="274"/>
    </row>
    <row r="6503" spans="5:14" ht="13.5" customHeight="1">
      <c r="E6503" s="1" t="s">
        <v>1581</v>
      </c>
      <c r="F6503" s="1" t="s">
        <v>3115</v>
      </c>
      <c r="G6503" s="410" t="str">
        <f t="shared" si="106"/>
        <v>16-16</v>
      </c>
      <c r="H6503" s="273" t="e">
        <f ca="1">_xludf.IFNA(VLOOKUP(E6503,'Urban Plastix Holds'!$I$37:$U$705,8,0),0)</f>
        <v>#NAME?</v>
      </c>
      <c r="I6503" s="274"/>
      <c r="J6503" s="274" t="e">
        <f t="shared" ca="1" si="104"/>
        <v>#NAME?</v>
      </c>
      <c r="K6503" s="274">
        <f t="shared" si="105"/>
        <v>0</v>
      </c>
      <c r="N6503" s="274"/>
    </row>
    <row r="6504" spans="5:14" ht="13.5" customHeight="1">
      <c r="E6504" s="1" t="s">
        <v>1581</v>
      </c>
      <c r="F6504" s="1" t="s">
        <v>3115</v>
      </c>
      <c r="G6504" s="411" t="str">
        <f t="shared" si="106"/>
        <v>13-01</v>
      </c>
      <c r="H6504" s="273" t="e">
        <f ca="1">_xludf.IFNA(VLOOKUP(E6504,'Urban Plastix Holds'!$I$37:$U$705,9,0),0)</f>
        <v>#NAME?</v>
      </c>
      <c r="I6504" s="274"/>
      <c r="J6504" s="274" t="e">
        <f t="shared" ca="1" si="104"/>
        <v>#NAME?</v>
      </c>
      <c r="K6504" s="274">
        <f t="shared" si="105"/>
        <v>0</v>
      </c>
      <c r="N6504" s="274"/>
    </row>
    <row r="6505" spans="5:14" ht="13.5" customHeight="1">
      <c r="E6505" s="1" t="s">
        <v>1581</v>
      </c>
      <c r="F6505" s="1" t="s">
        <v>3115</v>
      </c>
      <c r="G6505" s="413" t="str">
        <f t="shared" si="106"/>
        <v>07-13</v>
      </c>
      <c r="H6505" s="273" t="e">
        <f ca="1">_xludf.IFNA(VLOOKUP(E6505,'Urban Plastix Holds'!$I$37:$U$705,10,0),0)</f>
        <v>#NAME?</v>
      </c>
      <c r="I6505" s="274"/>
      <c r="J6505" s="274" t="e">
        <f t="shared" ca="1" si="104"/>
        <v>#NAME?</v>
      </c>
      <c r="K6505" s="274">
        <f t="shared" si="105"/>
        <v>0</v>
      </c>
      <c r="N6505" s="274"/>
    </row>
    <row r="6506" spans="5:14" ht="13.5" customHeight="1">
      <c r="E6506" s="1" t="s">
        <v>1581</v>
      </c>
      <c r="F6506" s="1" t="s">
        <v>3115</v>
      </c>
      <c r="G6506" s="414" t="str">
        <f t="shared" si="106"/>
        <v>11-26</v>
      </c>
      <c r="H6506" s="273" t="e">
        <f ca="1">_xludf.IFNA(VLOOKUP(E6506,'Urban Plastix Holds'!$I$37:$U$705,11,0),0)</f>
        <v>#NAME?</v>
      </c>
      <c r="I6506" s="274"/>
      <c r="J6506" s="274" t="e">
        <f t="shared" ca="1" si="104"/>
        <v>#NAME?</v>
      </c>
      <c r="K6506" s="274">
        <f t="shared" si="105"/>
        <v>0</v>
      </c>
      <c r="N6506" s="274"/>
    </row>
    <row r="6507" spans="5:14" ht="13.5" customHeight="1">
      <c r="E6507" s="1" t="s">
        <v>1581</v>
      </c>
      <c r="F6507" s="1" t="s">
        <v>3115</v>
      </c>
      <c r="G6507" s="415" t="str">
        <f t="shared" si="106"/>
        <v>18-01</v>
      </c>
      <c r="H6507" s="273" t="e">
        <f ca="1">_xludf.IFNA(VLOOKUP(E6507,'Urban Plastix Holds'!$I$37:$U$705,12,0),0)</f>
        <v>#NAME?</v>
      </c>
      <c r="I6507" s="274"/>
      <c r="J6507" s="274" t="e">
        <f t="shared" ca="1" si="104"/>
        <v>#NAME?</v>
      </c>
      <c r="K6507" s="274">
        <f t="shared" si="105"/>
        <v>0</v>
      </c>
      <c r="N6507" s="274"/>
    </row>
    <row r="6508" spans="5:14" ht="13.5" customHeight="1">
      <c r="E6508" s="1" t="s">
        <v>1581</v>
      </c>
      <c r="F6508" s="1" t="s">
        <v>3115</v>
      </c>
      <c r="G6508" s="416" t="str">
        <f t="shared" si="106"/>
        <v>Color Code</v>
      </c>
      <c r="H6508" s="273" t="e">
        <f ca="1">_xludf.IFNA(VLOOKUP(E6508,'Urban Plastix Holds'!$I$37:$U$705,13,0),0)</f>
        <v>#NAME?</v>
      </c>
      <c r="I6508" s="274"/>
      <c r="J6508" s="274" t="e">
        <f t="shared" ca="1" si="104"/>
        <v>#NAME?</v>
      </c>
      <c r="K6508" s="274">
        <f t="shared" si="105"/>
        <v>0</v>
      </c>
      <c r="N6508" s="274"/>
    </row>
    <row r="6509" spans="5:14" ht="13.5" customHeight="1">
      <c r="E6509" s="1" t="s">
        <v>1688</v>
      </c>
      <c r="F6509" s="1" t="s">
        <v>3116</v>
      </c>
      <c r="G6509" s="406" t="str">
        <f t="shared" si="106"/>
        <v>11-12</v>
      </c>
      <c r="H6509" s="273" t="e">
        <f ca="1">_xludf.IFNA(VLOOKUP(E6509,'Urban Plastix Holds'!$I$37:$U$705,5,0),0)</f>
        <v>#NAME?</v>
      </c>
      <c r="I6509" s="274"/>
      <c r="J6509" s="274" t="e">
        <f t="shared" ca="1" si="104"/>
        <v>#NAME?</v>
      </c>
      <c r="K6509" s="274">
        <f t="shared" si="105"/>
        <v>0</v>
      </c>
      <c r="N6509" s="274"/>
    </row>
    <row r="6510" spans="5:14" ht="13.5" customHeight="1">
      <c r="E6510" s="1" t="s">
        <v>1688</v>
      </c>
      <c r="F6510" s="1" t="s">
        <v>3116</v>
      </c>
      <c r="G6510" s="408" t="str">
        <f t="shared" si="106"/>
        <v>14-01</v>
      </c>
      <c r="H6510" s="273" t="e">
        <f ca="1">_xludf.IFNA(VLOOKUP(E6510,'Urban Plastix Holds'!$I$37:$U$705,6,0),0)</f>
        <v>#NAME?</v>
      </c>
      <c r="I6510" s="274"/>
      <c r="J6510" s="274" t="e">
        <f t="shared" ca="1" si="104"/>
        <v>#NAME?</v>
      </c>
      <c r="K6510" s="274">
        <f t="shared" si="105"/>
        <v>0</v>
      </c>
      <c r="N6510" s="274"/>
    </row>
    <row r="6511" spans="5:14" ht="13.5" customHeight="1">
      <c r="E6511" s="1" t="s">
        <v>1688</v>
      </c>
      <c r="F6511" s="1" t="s">
        <v>3116</v>
      </c>
      <c r="G6511" s="409" t="str">
        <f t="shared" si="106"/>
        <v>15-12</v>
      </c>
      <c r="H6511" s="273" t="e">
        <f ca="1">_xludf.IFNA(VLOOKUP(E6511,'Urban Plastix Holds'!$I$37:$U$705,7,0),0)</f>
        <v>#NAME?</v>
      </c>
      <c r="I6511" s="274"/>
      <c r="J6511" s="274" t="e">
        <f t="shared" ca="1" si="104"/>
        <v>#NAME?</v>
      </c>
      <c r="K6511" s="274">
        <f t="shared" si="105"/>
        <v>0</v>
      </c>
      <c r="N6511" s="274"/>
    </row>
    <row r="6512" spans="5:14" ht="13.5" customHeight="1">
      <c r="E6512" s="1" t="s">
        <v>1688</v>
      </c>
      <c r="F6512" s="1" t="s">
        <v>3116</v>
      </c>
      <c r="G6512" s="410" t="str">
        <f t="shared" si="106"/>
        <v>16-16</v>
      </c>
      <c r="H6512" s="273" t="e">
        <f ca="1">_xludf.IFNA(VLOOKUP(E6512,'Urban Plastix Holds'!$I$37:$U$705,8,0),0)</f>
        <v>#NAME?</v>
      </c>
      <c r="I6512" s="274"/>
      <c r="J6512" s="274" t="e">
        <f t="shared" ca="1" si="104"/>
        <v>#NAME?</v>
      </c>
      <c r="K6512" s="274">
        <f t="shared" si="105"/>
        <v>0</v>
      </c>
      <c r="N6512" s="274"/>
    </row>
    <row r="6513" spans="5:14" ht="13.5" customHeight="1">
      <c r="E6513" s="1" t="s">
        <v>1688</v>
      </c>
      <c r="F6513" s="1" t="s">
        <v>3116</v>
      </c>
      <c r="G6513" s="411" t="str">
        <f t="shared" si="106"/>
        <v>13-01</v>
      </c>
      <c r="H6513" s="273" t="e">
        <f ca="1">_xludf.IFNA(VLOOKUP(E6513,'Urban Plastix Holds'!$I$37:$U$705,9,0),0)</f>
        <v>#NAME?</v>
      </c>
      <c r="I6513" s="274"/>
      <c r="J6513" s="274" t="e">
        <f t="shared" ca="1" si="104"/>
        <v>#NAME?</v>
      </c>
      <c r="K6513" s="274">
        <f t="shared" si="105"/>
        <v>0</v>
      </c>
      <c r="N6513" s="274"/>
    </row>
    <row r="6514" spans="5:14" ht="13.5" customHeight="1">
      <c r="E6514" s="1" t="s">
        <v>1688</v>
      </c>
      <c r="F6514" s="1" t="s">
        <v>3116</v>
      </c>
      <c r="G6514" s="413" t="str">
        <f t="shared" si="106"/>
        <v>07-13</v>
      </c>
      <c r="H6514" s="273" t="e">
        <f ca="1">_xludf.IFNA(VLOOKUP(E6514,'Urban Plastix Holds'!$I$37:$U$705,10,0),0)</f>
        <v>#NAME?</v>
      </c>
      <c r="I6514" s="274"/>
      <c r="J6514" s="274" t="e">
        <f t="shared" ca="1" si="104"/>
        <v>#NAME?</v>
      </c>
      <c r="K6514" s="274">
        <f t="shared" si="105"/>
        <v>0</v>
      </c>
      <c r="N6514" s="274"/>
    </row>
    <row r="6515" spans="5:14" ht="13.5" customHeight="1">
      <c r="E6515" s="1" t="s">
        <v>1688</v>
      </c>
      <c r="F6515" s="1" t="s">
        <v>3116</v>
      </c>
      <c r="G6515" s="414" t="str">
        <f t="shared" si="106"/>
        <v>11-26</v>
      </c>
      <c r="H6515" s="273" t="e">
        <f ca="1">_xludf.IFNA(VLOOKUP(E6515,'Urban Plastix Holds'!$I$37:$U$705,11,0),0)</f>
        <v>#NAME?</v>
      </c>
      <c r="I6515" s="274"/>
      <c r="J6515" s="274" t="e">
        <f t="shared" ca="1" si="104"/>
        <v>#NAME?</v>
      </c>
      <c r="K6515" s="274">
        <f t="shared" si="105"/>
        <v>0</v>
      </c>
      <c r="N6515" s="274"/>
    </row>
    <row r="6516" spans="5:14" ht="13.5" customHeight="1">
      <c r="E6516" s="1" t="s">
        <v>1688</v>
      </c>
      <c r="F6516" s="1" t="s">
        <v>3116</v>
      </c>
      <c r="G6516" s="415" t="str">
        <f t="shared" si="106"/>
        <v>18-01</v>
      </c>
      <c r="H6516" s="273" t="e">
        <f ca="1">_xludf.IFNA(VLOOKUP(E6516,'Urban Plastix Holds'!$I$37:$U$705,12,0),0)</f>
        <v>#NAME?</v>
      </c>
      <c r="I6516" s="274"/>
      <c r="J6516" s="274" t="e">
        <f t="shared" ca="1" si="104"/>
        <v>#NAME?</v>
      </c>
      <c r="K6516" s="274">
        <f t="shared" si="105"/>
        <v>0</v>
      </c>
      <c r="N6516" s="274"/>
    </row>
    <row r="6517" spans="5:14" ht="13.5" customHeight="1">
      <c r="E6517" s="1" t="s">
        <v>1688</v>
      </c>
      <c r="F6517" s="1" t="s">
        <v>3116</v>
      </c>
      <c r="G6517" s="416" t="str">
        <f t="shared" si="106"/>
        <v>Color Code</v>
      </c>
      <c r="H6517" s="273" t="e">
        <f ca="1">_xludf.IFNA(VLOOKUP(E6517,'Urban Plastix Holds'!$I$37:$U$705,13,0),0)</f>
        <v>#NAME?</v>
      </c>
      <c r="I6517" s="274"/>
      <c r="J6517" s="274" t="e">
        <f t="shared" ca="1" si="104"/>
        <v>#NAME?</v>
      </c>
      <c r="K6517" s="274">
        <f t="shared" si="105"/>
        <v>0</v>
      </c>
      <c r="N6517" s="274"/>
    </row>
    <row r="6518" spans="5:14" ht="13.5" customHeight="1">
      <c r="E6518" s="1" t="s">
        <v>1665</v>
      </c>
      <c r="F6518" s="1" t="s">
        <v>3117</v>
      </c>
      <c r="G6518" s="406" t="str">
        <f t="shared" si="106"/>
        <v>11-12</v>
      </c>
      <c r="H6518" s="273" t="e">
        <f ca="1">_xludf.IFNA(VLOOKUP(E6518,'Urban Plastix Holds'!$I$37:$U$705,5,0),0)</f>
        <v>#NAME?</v>
      </c>
      <c r="I6518" s="274"/>
      <c r="J6518" s="274" t="e">
        <f t="shared" ca="1" si="104"/>
        <v>#NAME?</v>
      </c>
      <c r="K6518" s="274">
        <f t="shared" si="105"/>
        <v>0</v>
      </c>
      <c r="N6518" s="274"/>
    </row>
    <row r="6519" spans="5:14" ht="13.5" customHeight="1">
      <c r="E6519" s="1" t="s">
        <v>1665</v>
      </c>
      <c r="F6519" s="1" t="s">
        <v>3117</v>
      </c>
      <c r="G6519" s="408" t="str">
        <f t="shared" si="106"/>
        <v>14-01</v>
      </c>
      <c r="H6519" s="273" t="e">
        <f ca="1">_xludf.IFNA(VLOOKUP(E6519,'Urban Plastix Holds'!$I$37:$U$705,6,0),0)</f>
        <v>#NAME?</v>
      </c>
      <c r="I6519" s="274"/>
      <c r="J6519" s="274" t="e">
        <f t="shared" ca="1" si="104"/>
        <v>#NAME?</v>
      </c>
      <c r="K6519" s="274">
        <f t="shared" si="105"/>
        <v>0</v>
      </c>
      <c r="N6519" s="274"/>
    </row>
    <row r="6520" spans="5:14" ht="13.5" customHeight="1">
      <c r="E6520" s="1" t="s">
        <v>1665</v>
      </c>
      <c r="F6520" s="1" t="s">
        <v>3117</v>
      </c>
      <c r="G6520" s="409" t="str">
        <f t="shared" si="106"/>
        <v>15-12</v>
      </c>
      <c r="H6520" s="273" t="e">
        <f ca="1">_xludf.IFNA(VLOOKUP(E6520,'Urban Plastix Holds'!$I$37:$U$705,7,0),0)</f>
        <v>#NAME?</v>
      </c>
      <c r="I6520" s="274"/>
      <c r="J6520" s="274" t="e">
        <f t="shared" ca="1" si="104"/>
        <v>#NAME?</v>
      </c>
      <c r="K6520" s="274">
        <f t="shared" si="105"/>
        <v>0</v>
      </c>
      <c r="N6520" s="274"/>
    </row>
    <row r="6521" spans="5:14" ht="13.5" customHeight="1">
      <c r="E6521" s="1" t="s">
        <v>1665</v>
      </c>
      <c r="F6521" s="1" t="s">
        <v>3117</v>
      </c>
      <c r="G6521" s="410" t="str">
        <f t="shared" si="106"/>
        <v>16-16</v>
      </c>
      <c r="H6521" s="273" t="e">
        <f ca="1">_xludf.IFNA(VLOOKUP(E6521,'Urban Plastix Holds'!$I$37:$U$705,8,0),0)</f>
        <v>#NAME?</v>
      </c>
      <c r="I6521" s="274"/>
      <c r="J6521" s="274" t="e">
        <f t="shared" ca="1" si="104"/>
        <v>#NAME?</v>
      </c>
      <c r="K6521" s="274">
        <f t="shared" si="105"/>
        <v>0</v>
      </c>
      <c r="N6521" s="274"/>
    </row>
    <row r="6522" spans="5:14" ht="13.5" customHeight="1">
      <c r="E6522" s="1" t="s">
        <v>1665</v>
      </c>
      <c r="F6522" s="1" t="s">
        <v>3117</v>
      </c>
      <c r="G6522" s="411" t="str">
        <f t="shared" si="106"/>
        <v>13-01</v>
      </c>
      <c r="H6522" s="273" t="e">
        <f ca="1">_xludf.IFNA(VLOOKUP(E6522,'Urban Plastix Holds'!$I$37:$U$705,9,0),0)</f>
        <v>#NAME?</v>
      </c>
      <c r="I6522" s="274"/>
      <c r="J6522" s="274" t="e">
        <f t="shared" ca="1" si="104"/>
        <v>#NAME?</v>
      </c>
      <c r="K6522" s="274">
        <f t="shared" si="105"/>
        <v>0</v>
      </c>
      <c r="N6522" s="274"/>
    </row>
    <row r="6523" spans="5:14" ht="13.5" customHeight="1">
      <c r="E6523" s="1" t="s">
        <v>1665</v>
      </c>
      <c r="F6523" s="1" t="s">
        <v>3117</v>
      </c>
      <c r="G6523" s="413" t="str">
        <f t="shared" si="106"/>
        <v>07-13</v>
      </c>
      <c r="H6523" s="273" t="e">
        <f ca="1">_xludf.IFNA(VLOOKUP(E6523,'Urban Plastix Holds'!$I$37:$U$705,10,0),0)</f>
        <v>#NAME?</v>
      </c>
      <c r="I6523" s="274"/>
      <c r="J6523" s="274" t="e">
        <f t="shared" ca="1" si="104"/>
        <v>#NAME?</v>
      </c>
      <c r="K6523" s="274">
        <f t="shared" si="105"/>
        <v>0</v>
      </c>
      <c r="N6523" s="274"/>
    </row>
    <row r="6524" spans="5:14" ht="13.5" customHeight="1">
      <c r="E6524" s="1" t="s">
        <v>1665</v>
      </c>
      <c r="F6524" s="1" t="s">
        <v>3117</v>
      </c>
      <c r="G6524" s="414" t="str">
        <f t="shared" si="106"/>
        <v>11-26</v>
      </c>
      <c r="H6524" s="273" t="e">
        <f ca="1">_xludf.IFNA(VLOOKUP(E6524,'Urban Plastix Holds'!$I$37:$U$705,11,0),0)</f>
        <v>#NAME?</v>
      </c>
      <c r="I6524" s="274"/>
      <c r="J6524" s="274" t="e">
        <f t="shared" ca="1" si="104"/>
        <v>#NAME?</v>
      </c>
      <c r="K6524" s="274">
        <f t="shared" si="105"/>
        <v>0</v>
      </c>
      <c r="N6524" s="274"/>
    </row>
    <row r="6525" spans="5:14" ht="13.5" customHeight="1">
      <c r="E6525" s="1" t="s">
        <v>1665</v>
      </c>
      <c r="F6525" s="1" t="s">
        <v>3117</v>
      </c>
      <c r="G6525" s="415" t="str">
        <f t="shared" si="106"/>
        <v>18-01</v>
      </c>
      <c r="H6525" s="273" t="e">
        <f ca="1">_xludf.IFNA(VLOOKUP(E6525,'Urban Plastix Holds'!$I$37:$U$705,12,0),0)</f>
        <v>#NAME?</v>
      </c>
      <c r="I6525" s="274"/>
      <c r="J6525" s="274" t="e">
        <f t="shared" ca="1" si="104"/>
        <v>#NAME?</v>
      </c>
      <c r="K6525" s="274">
        <f t="shared" si="105"/>
        <v>0</v>
      </c>
      <c r="N6525" s="274"/>
    </row>
    <row r="6526" spans="5:14" ht="13.5" customHeight="1">
      <c r="E6526" s="1" t="s">
        <v>1665</v>
      </c>
      <c r="F6526" s="1" t="s">
        <v>3117</v>
      </c>
      <c r="G6526" s="416" t="str">
        <f t="shared" si="106"/>
        <v>Color Code</v>
      </c>
      <c r="H6526" s="273" t="e">
        <f ca="1">_xludf.IFNA(VLOOKUP(E6526,'Urban Plastix Holds'!$I$37:$U$705,13,0),0)</f>
        <v>#NAME?</v>
      </c>
      <c r="I6526" s="274"/>
      <c r="J6526" s="274" t="e">
        <f t="shared" ca="1" si="104"/>
        <v>#NAME?</v>
      </c>
      <c r="K6526" s="274">
        <f t="shared" si="105"/>
        <v>0</v>
      </c>
      <c r="N6526" s="274"/>
    </row>
    <row r="6527" spans="5:14" ht="13.5" customHeight="1">
      <c r="E6527" s="1" t="s">
        <v>1583</v>
      </c>
      <c r="F6527" s="1" t="s">
        <v>3118</v>
      </c>
      <c r="G6527" s="406" t="str">
        <f t="shared" si="106"/>
        <v>11-12</v>
      </c>
      <c r="H6527" s="273" t="e">
        <f ca="1">_xludf.IFNA(VLOOKUP(E6527,'Urban Plastix Holds'!$I$37:$U$705,5,0),0)</f>
        <v>#NAME?</v>
      </c>
      <c r="I6527" s="274"/>
      <c r="J6527" s="274" t="e">
        <f t="shared" ca="1" si="104"/>
        <v>#NAME?</v>
      </c>
      <c r="K6527" s="274">
        <f t="shared" si="105"/>
        <v>0</v>
      </c>
      <c r="N6527" s="274"/>
    </row>
    <row r="6528" spans="5:14" ht="13.5" customHeight="1">
      <c r="E6528" s="1" t="s">
        <v>1583</v>
      </c>
      <c r="F6528" s="1" t="s">
        <v>3118</v>
      </c>
      <c r="G6528" s="408" t="str">
        <f t="shared" si="106"/>
        <v>14-01</v>
      </c>
      <c r="H6528" s="273" t="e">
        <f ca="1">_xludf.IFNA(VLOOKUP(E6528,'Urban Plastix Holds'!$I$37:$U$705,6,0),0)</f>
        <v>#NAME?</v>
      </c>
      <c r="I6528" s="274"/>
      <c r="J6528" s="274" t="e">
        <f t="shared" ca="1" si="104"/>
        <v>#NAME?</v>
      </c>
      <c r="K6528" s="274">
        <f t="shared" si="105"/>
        <v>0</v>
      </c>
      <c r="N6528" s="274"/>
    </row>
    <row r="6529" spans="5:14" ht="13.5" customHeight="1">
      <c r="E6529" s="1" t="s">
        <v>1583</v>
      </c>
      <c r="F6529" s="1" t="s">
        <v>3118</v>
      </c>
      <c r="G6529" s="409" t="str">
        <f t="shared" si="106"/>
        <v>15-12</v>
      </c>
      <c r="H6529" s="273" t="e">
        <f ca="1">_xludf.IFNA(VLOOKUP(E6529,'Urban Plastix Holds'!$I$37:$U$705,7,0),0)</f>
        <v>#NAME?</v>
      </c>
      <c r="I6529" s="274"/>
      <c r="J6529" s="274" t="e">
        <f t="shared" ca="1" si="104"/>
        <v>#NAME?</v>
      </c>
      <c r="K6529" s="274">
        <f t="shared" si="105"/>
        <v>0</v>
      </c>
      <c r="N6529" s="274"/>
    </row>
    <row r="6530" spans="5:14" ht="13.5" customHeight="1">
      <c r="E6530" s="1" t="s">
        <v>1583</v>
      </c>
      <c r="F6530" s="1" t="s">
        <v>3118</v>
      </c>
      <c r="G6530" s="410" t="str">
        <f t="shared" si="106"/>
        <v>16-16</v>
      </c>
      <c r="H6530" s="273" t="e">
        <f ca="1">_xludf.IFNA(VLOOKUP(E6530,'Urban Plastix Holds'!$I$37:$U$705,8,0),0)</f>
        <v>#NAME?</v>
      </c>
      <c r="I6530" s="274"/>
      <c r="J6530" s="274" t="e">
        <f t="shared" ca="1" si="104"/>
        <v>#NAME?</v>
      </c>
      <c r="K6530" s="274">
        <f t="shared" si="105"/>
        <v>0</v>
      </c>
      <c r="N6530" s="274"/>
    </row>
    <row r="6531" spans="5:14" ht="13.5" customHeight="1">
      <c r="E6531" s="1" t="s">
        <v>1583</v>
      </c>
      <c r="F6531" s="1" t="s">
        <v>3118</v>
      </c>
      <c r="G6531" s="411" t="str">
        <f t="shared" si="106"/>
        <v>13-01</v>
      </c>
      <c r="H6531" s="273" t="e">
        <f ca="1">_xludf.IFNA(VLOOKUP(E6531,'Urban Plastix Holds'!$I$37:$U$705,9,0),0)</f>
        <v>#NAME?</v>
      </c>
      <c r="I6531" s="274"/>
      <c r="J6531" s="274" t="e">
        <f t="shared" ca="1" si="104"/>
        <v>#NAME?</v>
      </c>
      <c r="K6531" s="274">
        <f t="shared" si="105"/>
        <v>0</v>
      </c>
      <c r="N6531" s="274"/>
    </row>
    <row r="6532" spans="5:14" ht="13.5" customHeight="1">
      <c r="E6532" s="1" t="s">
        <v>1583</v>
      </c>
      <c r="F6532" s="1" t="s">
        <v>3118</v>
      </c>
      <c r="G6532" s="413" t="str">
        <f t="shared" si="106"/>
        <v>07-13</v>
      </c>
      <c r="H6532" s="273" t="e">
        <f ca="1">_xludf.IFNA(VLOOKUP(E6532,'Urban Plastix Holds'!$I$37:$U$705,10,0),0)</f>
        <v>#NAME?</v>
      </c>
      <c r="I6532" s="274"/>
      <c r="J6532" s="274" t="e">
        <f t="shared" ca="1" si="104"/>
        <v>#NAME?</v>
      </c>
      <c r="K6532" s="274">
        <f t="shared" si="105"/>
        <v>0</v>
      </c>
      <c r="N6532" s="274"/>
    </row>
    <row r="6533" spans="5:14" ht="13.5" customHeight="1">
      <c r="E6533" s="1" t="s">
        <v>1583</v>
      </c>
      <c r="F6533" s="1" t="s">
        <v>3118</v>
      </c>
      <c r="G6533" s="414" t="str">
        <f t="shared" si="106"/>
        <v>11-26</v>
      </c>
      <c r="H6533" s="273" t="e">
        <f ca="1">_xludf.IFNA(VLOOKUP(E6533,'Urban Plastix Holds'!$I$37:$U$705,11,0),0)</f>
        <v>#NAME?</v>
      </c>
      <c r="I6533" s="274"/>
      <c r="J6533" s="274" t="e">
        <f t="shared" ca="1" si="104"/>
        <v>#NAME?</v>
      </c>
      <c r="K6533" s="274">
        <f t="shared" si="105"/>
        <v>0</v>
      </c>
      <c r="N6533" s="274"/>
    </row>
    <row r="6534" spans="5:14" ht="13.5" customHeight="1">
      <c r="E6534" s="1" t="s">
        <v>1583</v>
      </c>
      <c r="F6534" s="1" t="s">
        <v>3118</v>
      </c>
      <c r="G6534" s="415" t="str">
        <f t="shared" si="106"/>
        <v>18-01</v>
      </c>
      <c r="H6534" s="273" t="e">
        <f ca="1">_xludf.IFNA(VLOOKUP(E6534,'Urban Plastix Holds'!$I$37:$U$705,12,0),0)</f>
        <v>#NAME?</v>
      </c>
      <c r="I6534" s="274"/>
      <c r="J6534" s="274" t="e">
        <f t="shared" ca="1" si="104"/>
        <v>#NAME?</v>
      </c>
      <c r="K6534" s="274">
        <f t="shared" si="105"/>
        <v>0</v>
      </c>
      <c r="N6534" s="274"/>
    </row>
    <row r="6535" spans="5:14" ht="13.5" customHeight="1">
      <c r="E6535" s="1" t="s">
        <v>1583</v>
      </c>
      <c r="F6535" s="1" t="s">
        <v>3118</v>
      </c>
      <c r="G6535" s="416" t="str">
        <f t="shared" si="106"/>
        <v>Color Code</v>
      </c>
      <c r="H6535" s="273" t="e">
        <f ca="1">_xludf.IFNA(VLOOKUP(E6535,'Urban Plastix Holds'!$I$37:$U$705,13,0),0)</f>
        <v>#NAME?</v>
      </c>
      <c r="I6535" s="274"/>
      <c r="J6535" s="274" t="e">
        <f t="shared" ca="1" si="104"/>
        <v>#NAME?</v>
      </c>
      <c r="K6535" s="274">
        <f t="shared" si="105"/>
        <v>0</v>
      </c>
      <c r="N6535" s="274"/>
    </row>
    <row r="6536" spans="5:14" ht="13.5" customHeight="1">
      <c r="E6536" s="1" t="s">
        <v>1694</v>
      </c>
      <c r="F6536" s="1" t="s">
        <v>3119</v>
      </c>
      <c r="G6536" s="406" t="str">
        <f t="shared" si="106"/>
        <v>11-12</v>
      </c>
      <c r="H6536" s="273" t="e">
        <f ca="1">_xludf.IFNA(VLOOKUP(E6536,'Urban Plastix Holds'!$I$37:$U$705,5,0),0)</f>
        <v>#NAME?</v>
      </c>
      <c r="I6536" s="274"/>
      <c r="J6536" s="274" t="e">
        <f t="shared" ca="1" si="104"/>
        <v>#NAME?</v>
      </c>
      <c r="K6536" s="274">
        <f t="shared" si="105"/>
        <v>0</v>
      </c>
      <c r="N6536" s="274"/>
    </row>
    <row r="6537" spans="5:14" ht="13.5" customHeight="1">
      <c r="E6537" s="1" t="s">
        <v>1694</v>
      </c>
      <c r="F6537" s="1" t="s">
        <v>3119</v>
      </c>
      <c r="G6537" s="408" t="str">
        <f t="shared" si="106"/>
        <v>14-01</v>
      </c>
      <c r="H6537" s="273" t="e">
        <f ca="1">_xludf.IFNA(VLOOKUP(E6537,'Urban Plastix Holds'!$I$37:$U$705,6,0),0)</f>
        <v>#NAME?</v>
      </c>
      <c r="I6537" s="274"/>
      <c r="J6537" s="274" t="e">
        <f t="shared" ca="1" si="104"/>
        <v>#NAME?</v>
      </c>
      <c r="K6537" s="274">
        <f t="shared" si="105"/>
        <v>0</v>
      </c>
      <c r="N6537" s="274"/>
    </row>
    <row r="6538" spans="5:14" ht="13.5" customHeight="1">
      <c r="E6538" s="1" t="s">
        <v>1694</v>
      </c>
      <c r="F6538" s="1" t="s">
        <v>3119</v>
      </c>
      <c r="G6538" s="409" t="str">
        <f t="shared" si="106"/>
        <v>15-12</v>
      </c>
      <c r="H6538" s="273" t="e">
        <f ca="1">_xludf.IFNA(VLOOKUP(E6538,'Urban Plastix Holds'!$I$37:$U$705,7,0),0)</f>
        <v>#NAME?</v>
      </c>
      <c r="I6538" s="274"/>
      <c r="J6538" s="274" t="e">
        <f t="shared" ca="1" si="104"/>
        <v>#NAME?</v>
      </c>
      <c r="K6538" s="274">
        <f t="shared" si="105"/>
        <v>0</v>
      </c>
      <c r="N6538" s="274"/>
    </row>
    <row r="6539" spans="5:14" ht="13.5" customHeight="1">
      <c r="E6539" s="1" t="s">
        <v>1694</v>
      </c>
      <c r="F6539" s="1" t="s">
        <v>3119</v>
      </c>
      <c r="G6539" s="410" t="str">
        <f t="shared" si="106"/>
        <v>16-16</v>
      </c>
      <c r="H6539" s="273" t="e">
        <f ca="1">_xludf.IFNA(VLOOKUP(E6539,'Urban Plastix Holds'!$I$37:$U$705,8,0),0)</f>
        <v>#NAME?</v>
      </c>
      <c r="I6539" s="274"/>
      <c r="J6539" s="274" t="e">
        <f t="shared" ca="1" si="104"/>
        <v>#NAME?</v>
      </c>
      <c r="K6539" s="274">
        <f t="shared" si="105"/>
        <v>0</v>
      </c>
      <c r="N6539" s="274"/>
    </row>
    <row r="6540" spans="5:14" ht="13.5" customHeight="1">
      <c r="E6540" s="1" t="s">
        <v>1694</v>
      </c>
      <c r="F6540" s="1" t="s">
        <v>3119</v>
      </c>
      <c r="G6540" s="411" t="str">
        <f t="shared" si="106"/>
        <v>13-01</v>
      </c>
      <c r="H6540" s="273" t="e">
        <f ca="1">_xludf.IFNA(VLOOKUP(E6540,'Urban Plastix Holds'!$I$37:$U$705,9,0),0)</f>
        <v>#NAME?</v>
      </c>
      <c r="I6540" s="274"/>
      <c r="J6540" s="274" t="e">
        <f t="shared" ca="1" si="104"/>
        <v>#NAME?</v>
      </c>
      <c r="K6540" s="274">
        <f t="shared" si="105"/>
        <v>0</v>
      </c>
      <c r="N6540" s="274"/>
    </row>
    <row r="6541" spans="5:14" ht="13.5" customHeight="1">
      <c r="E6541" s="1" t="s">
        <v>1694</v>
      </c>
      <c r="F6541" s="1" t="s">
        <v>3119</v>
      </c>
      <c r="G6541" s="413" t="str">
        <f t="shared" si="106"/>
        <v>07-13</v>
      </c>
      <c r="H6541" s="273" t="e">
        <f ca="1">_xludf.IFNA(VLOOKUP(E6541,'Urban Plastix Holds'!$I$37:$U$705,10,0),0)</f>
        <v>#NAME?</v>
      </c>
      <c r="I6541" s="274"/>
      <c r="J6541" s="274" t="e">
        <f t="shared" ca="1" si="104"/>
        <v>#NAME?</v>
      </c>
      <c r="K6541" s="274">
        <f t="shared" si="105"/>
        <v>0</v>
      </c>
      <c r="N6541" s="274"/>
    </row>
    <row r="6542" spans="5:14" ht="13.5" customHeight="1">
      <c r="E6542" s="1" t="s">
        <v>1694</v>
      </c>
      <c r="F6542" s="1" t="s">
        <v>3119</v>
      </c>
      <c r="G6542" s="414" t="str">
        <f t="shared" si="106"/>
        <v>11-26</v>
      </c>
      <c r="H6542" s="273" t="e">
        <f ca="1">_xludf.IFNA(VLOOKUP(E6542,'Urban Plastix Holds'!$I$37:$U$705,11,0),0)</f>
        <v>#NAME?</v>
      </c>
      <c r="I6542" s="274"/>
      <c r="J6542" s="274" t="e">
        <f t="shared" ca="1" si="104"/>
        <v>#NAME?</v>
      </c>
      <c r="K6542" s="274">
        <f t="shared" si="105"/>
        <v>0</v>
      </c>
      <c r="N6542" s="274"/>
    </row>
    <row r="6543" spans="5:14" ht="13.5" customHeight="1">
      <c r="E6543" s="1" t="s">
        <v>1694</v>
      </c>
      <c r="F6543" s="1" t="s">
        <v>3119</v>
      </c>
      <c r="G6543" s="415" t="str">
        <f t="shared" si="106"/>
        <v>18-01</v>
      </c>
      <c r="H6543" s="273" t="e">
        <f ca="1">_xludf.IFNA(VLOOKUP(E6543,'Urban Plastix Holds'!$I$37:$U$705,12,0),0)</f>
        <v>#NAME?</v>
      </c>
      <c r="I6543" s="274"/>
      <c r="J6543" s="274" t="e">
        <f t="shared" ca="1" si="104"/>
        <v>#NAME?</v>
      </c>
      <c r="K6543" s="274">
        <f t="shared" si="105"/>
        <v>0</v>
      </c>
      <c r="N6543" s="274"/>
    </row>
    <row r="6544" spans="5:14" ht="13.5" customHeight="1">
      <c r="E6544" s="1" t="s">
        <v>1694</v>
      </c>
      <c r="F6544" s="1" t="s">
        <v>3119</v>
      </c>
      <c r="G6544" s="416" t="str">
        <f t="shared" si="106"/>
        <v>Color Code</v>
      </c>
      <c r="H6544" s="273" t="e">
        <f ca="1">_xludf.IFNA(VLOOKUP(E6544,'Urban Plastix Holds'!$I$37:$U$705,13,0),0)</f>
        <v>#NAME?</v>
      </c>
      <c r="I6544" s="274"/>
      <c r="J6544" s="274" t="e">
        <f t="shared" ca="1" si="104"/>
        <v>#NAME?</v>
      </c>
      <c r="K6544" s="274">
        <f t="shared" si="105"/>
        <v>0</v>
      </c>
      <c r="N6544" s="274"/>
    </row>
    <row r="6545" spans="5:14" ht="13.5" customHeight="1">
      <c r="E6545" s="1" t="s">
        <v>1585</v>
      </c>
      <c r="F6545" s="1" t="s">
        <v>3120</v>
      </c>
      <c r="G6545" s="406" t="str">
        <f t="shared" si="106"/>
        <v>11-12</v>
      </c>
      <c r="H6545" s="273" t="e">
        <f ca="1">_xludf.IFNA(VLOOKUP(E6545,'Urban Plastix Holds'!$I$37:$U$705,5,0),0)</f>
        <v>#NAME?</v>
      </c>
      <c r="I6545" s="274"/>
      <c r="J6545" s="274" t="e">
        <f t="shared" ca="1" si="104"/>
        <v>#NAME?</v>
      </c>
      <c r="K6545" s="274">
        <f t="shared" si="105"/>
        <v>0</v>
      </c>
      <c r="N6545" s="274"/>
    </row>
    <row r="6546" spans="5:14" ht="13.5" customHeight="1">
      <c r="E6546" s="1" t="s">
        <v>1585</v>
      </c>
      <c r="F6546" s="1" t="s">
        <v>3120</v>
      </c>
      <c r="G6546" s="408" t="str">
        <f t="shared" si="106"/>
        <v>14-01</v>
      </c>
      <c r="H6546" s="273" t="e">
        <f ca="1">_xludf.IFNA(VLOOKUP(E6546,'Urban Plastix Holds'!$I$37:$U$705,6,0),0)</f>
        <v>#NAME?</v>
      </c>
      <c r="I6546" s="274"/>
      <c r="J6546" s="274" t="e">
        <f t="shared" ca="1" si="104"/>
        <v>#NAME?</v>
      </c>
      <c r="K6546" s="274">
        <f t="shared" si="105"/>
        <v>0</v>
      </c>
      <c r="N6546" s="274"/>
    </row>
    <row r="6547" spans="5:14" ht="13.5" customHeight="1">
      <c r="E6547" s="1" t="s">
        <v>1585</v>
      </c>
      <c r="F6547" s="1" t="s">
        <v>3120</v>
      </c>
      <c r="G6547" s="409" t="str">
        <f t="shared" si="106"/>
        <v>15-12</v>
      </c>
      <c r="H6547" s="273" t="e">
        <f ca="1">_xludf.IFNA(VLOOKUP(E6547,'Urban Plastix Holds'!$I$37:$U$705,7,0),0)</f>
        <v>#NAME?</v>
      </c>
      <c r="I6547" s="274"/>
      <c r="J6547" s="274" t="e">
        <f t="shared" ca="1" si="104"/>
        <v>#NAME?</v>
      </c>
      <c r="K6547" s="274">
        <f t="shared" si="105"/>
        <v>0</v>
      </c>
      <c r="N6547" s="274"/>
    </row>
    <row r="6548" spans="5:14" ht="13.5" customHeight="1">
      <c r="E6548" s="1" t="s">
        <v>1585</v>
      </c>
      <c r="F6548" s="1" t="s">
        <v>3120</v>
      </c>
      <c r="G6548" s="410" t="str">
        <f t="shared" si="106"/>
        <v>16-16</v>
      </c>
      <c r="H6548" s="273" t="e">
        <f ca="1">_xludf.IFNA(VLOOKUP(E6548,'Urban Plastix Holds'!$I$37:$U$705,8,0),0)</f>
        <v>#NAME?</v>
      </c>
      <c r="I6548" s="274"/>
      <c r="J6548" s="274" t="e">
        <f t="shared" ca="1" si="104"/>
        <v>#NAME?</v>
      </c>
      <c r="K6548" s="274">
        <f t="shared" si="105"/>
        <v>0</v>
      </c>
      <c r="N6548" s="274"/>
    </row>
    <row r="6549" spans="5:14" ht="13.5" customHeight="1">
      <c r="E6549" s="1" t="s">
        <v>1585</v>
      </c>
      <c r="F6549" s="1" t="s">
        <v>3120</v>
      </c>
      <c r="G6549" s="411" t="str">
        <f t="shared" si="106"/>
        <v>13-01</v>
      </c>
      <c r="H6549" s="273" t="e">
        <f ca="1">_xludf.IFNA(VLOOKUP(E6549,'Urban Plastix Holds'!$I$37:$U$705,9,0),0)</f>
        <v>#NAME?</v>
      </c>
      <c r="I6549" s="274"/>
      <c r="J6549" s="274" t="e">
        <f t="shared" ca="1" si="104"/>
        <v>#NAME?</v>
      </c>
      <c r="K6549" s="274">
        <f t="shared" si="105"/>
        <v>0</v>
      </c>
      <c r="N6549" s="274"/>
    </row>
    <row r="6550" spans="5:14" ht="13.5" customHeight="1">
      <c r="E6550" s="1" t="s">
        <v>1585</v>
      </c>
      <c r="F6550" s="1" t="s">
        <v>3120</v>
      </c>
      <c r="G6550" s="413" t="str">
        <f t="shared" si="106"/>
        <v>07-13</v>
      </c>
      <c r="H6550" s="273" t="e">
        <f ca="1">_xludf.IFNA(VLOOKUP(E6550,'Urban Plastix Holds'!$I$37:$U$705,10,0),0)</f>
        <v>#NAME?</v>
      </c>
      <c r="I6550" s="274"/>
      <c r="J6550" s="274" t="e">
        <f t="shared" ca="1" si="104"/>
        <v>#NAME?</v>
      </c>
      <c r="K6550" s="274">
        <f t="shared" si="105"/>
        <v>0</v>
      </c>
      <c r="N6550" s="274"/>
    </row>
    <row r="6551" spans="5:14" ht="13.5" customHeight="1">
      <c r="E6551" s="1" t="s">
        <v>1585</v>
      </c>
      <c r="F6551" s="1" t="s">
        <v>3120</v>
      </c>
      <c r="G6551" s="414" t="str">
        <f t="shared" si="106"/>
        <v>11-26</v>
      </c>
      <c r="H6551" s="273" t="e">
        <f ca="1">_xludf.IFNA(VLOOKUP(E6551,'Urban Plastix Holds'!$I$37:$U$705,11,0),0)</f>
        <v>#NAME?</v>
      </c>
      <c r="I6551" s="274"/>
      <c r="J6551" s="274" t="e">
        <f t="shared" ca="1" si="104"/>
        <v>#NAME?</v>
      </c>
      <c r="K6551" s="274">
        <f t="shared" si="105"/>
        <v>0</v>
      </c>
      <c r="N6551" s="274"/>
    </row>
    <row r="6552" spans="5:14" ht="13.5" customHeight="1">
      <c r="E6552" s="1" t="s">
        <v>1585</v>
      </c>
      <c r="F6552" s="1" t="s">
        <v>3120</v>
      </c>
      <c r="G6552" s="415" t="str">
        <f t="shared" si="106"/>
        <v>18-01</v>
      </c>
      <c r="H6552" s="273" t="e">
        <f ca="1">_xludf.IFNA(VLOOKUP(E6552,'Urban Plastix Holds'!$I$37:$U$705,12,0),0)</f>
        <v>#NAME?</v>
      </c>
      <c r="I6552" s="274"/>
      <c r="J6552" s="274" t="e">
        <f t="shared" ca="1" si="104"/>
        <v>#NAME?</v>
      </c>
      <c r="K6552" s="274">
        <f t="shared" si="105"/>
        <v>0</v>
      </c>
      <c r="N6552" s="274"/>
    </row>
    <row r="6553" spans="5:14" ht="13.5" customHeight="1">
      <c r="E6553" s="1" t="s">
        <v>1585</v>
      </c>
      <c r="F6553" s="1" t="s">
        <v>3120</v>
      </c>
      <c r="G6553" s="416" t="str">
        <f t="shared" si="106"/>
        <v>Color Code</v>
      </c>
      <c r="H6553" s="273" t="e">
        <f ca="1">_xludf.IFNA(VLOOKUP(E6553,'Urban Plastix Holds'!$I$37:$U$705,13,0),0)</f>
        <v>#NAME?</v>
      </c>
      <c r="I6553" s="274"/>
      <c r="J6553" s="274" t="e">
        <f t="shared" ca="1" si="104"/>
        <v>#NAME?</v>
      </c>
      <c r="K6553" s="274">
        <f t="shared" si="105"/>
        <v>0</v>
      </c>
      <c r="N6553" s="274"/>
    </row>
    <row r="6554" spans="5:14" ht="13.5" customHeight="1">
      <c r="E6554" s="1" t="s">
        <v>1630</v>
      </c>
      <c r="F6554" s="1" t="s">
        <v>3121</v>
      </c>
      <c r="G6554" s="406" t="str">
        <f t="shared" si="106"/>
        <v>11-12</v>
      </c>
      <c r="H6554" s="273" t="e">
        <f ca="1">_xludf.IFNA(VLOOKUP(E6554,'Urban Plastix Holds'!$I$37:$U$705,5,0),0)</f>
        <v>#NAME?</v>
      </c>
      <c r="I6554" s="274"/>
      <c r="J6554" s="274" t="e">
        <f t="shared" ca="1" si="104"/>
        <v>#NAME?</v>
      </c>
      <c r="K6554" s="274">
        <f t="shared" si="105"/>
        <v>0</v>
      </c>
      <c r="N6554" s="274"/>
    </row>
    <row r="6555" spans="5:14" ht="13.5" customHeight="1">
      <c r="E6555" s="1" t="s">
        <v>1630</v>
      </c>
      <c r="F6555" s="1" t="s">
        <v>3121</v>
      </c>
      <c r="G6555" s="408" t="str">
        <f t="shared" si="106"/>
        <v>14-01</v>
      </c>
      <c r="H6555" s="273" t="e">
        <f ca="1">_xludf.IFNA(VLOOKUP(E6555,'Urban Plastix Holds'!$I$37:$U$705,6,0),0)</f>
        <v>#NAME?</v>
      </c>
      <c r="I6555" s="274"/>
      <c r="J6555" s="274" t="e">
        <f t="shared" ca="1" si="104"/>
        <v>#NAME?</v>
      </c>
      <c r="K6555" s="274">
        <f t="shared" si="105"/>
        <v>0</v>
      </c>
      <c r="N6555" s="274"/>
    </row>
    <row r="6556" spans="5:14" ht="13.5" customHeight="1">
      <c r="E6556" s="1" t="s">
        <v>1630</v>
      </c>
      <c r="F6556" s="1" t="s">
        <v>3121</v>
      </c>
      <c r="G6556" s="409" t="str">
        <f t="shared" si="106"/>
        <v>15-12</v>
      </c>
      <c r="H6556" s="273" t="e">
        <f ca="1">_xludf.IFNA(VLOOKUP(E6556,'Urban Plastix Holds'!$I$37:$U$705,7,0),0)</f>
        <v>#NAME?</v>
      </c>
      <c r="I6556" s="274"/>
      <c r="J6556" s="274" t="e">
        <f t="shared" ca="1" si="104"/>
        <v>#NAME?</v>
      </c>
      <c r="K6556" s="274">
        <f t="shared" si="105"/>
        <v>0</v>
      </c>
      <c r="N6556" s="274"/>
    </row>
    <row r="6557" spans="5:14" ht="13.5" customHeight="1">
      <c r="E6557" s="1" t="s">
        <v>1630</v>
      </c>
      <c r="F6557" s="1" t="s">
        <v>3121</v>
      </c>
      <c r="G6557" s="410" t="str">
        <f t="shared" si="106"/>
        <v>16-16</v>
      </c>
      <c r="H6557" s="273" t="e">
        <f ca="1">_xludf.IFNA(VLOOKUP(E6557,'Urban Plastix Holds'!$I$37:$U$705,8,0),0)</f>
        <v>#NAME?</v>
      </c>
      <c r="I6557" s="274"/>
      <c r="J6557" s="274" t="e">
        <f t="shared" ca="1" si="104"/>
        <v>#NAME?</v>
      </c>
      <c r="K6557" s="274">
        <f t="shared" si="105"/>
        <v>0</v>
      </c>
      <c r="N6557" s="274"/>
    </row>
    <row r="6558" spans="5:14" ht="13.5" customHeight="1">
      <c r="E6558" s="1" t="s">
        <v>1630</v>
      </c>
      <c r="F6558" s="1" t="s">
        <v>3121</v>
      </c>
      <c r="G6558" s="411" t="str">
        <f t="shared" si="106"/>
        <v>13-01</v>
      </c>
      <c r="H6558" s="273" t="e">
        <f ca="1">_xludf.IFNA(VLOOKUP(E6558,'Urban Plastix Holds'!$I$37:$U$705,9,0),0)</f>
        <v>#NAME?</v>
      </c>
      <c r="I6558" s="274"/>
      <c r="J6558" s="274" t="e">
        <f t="shared" ca="1" si="104"/>
        <v>#NAME?</v>
      </c>
      <c r="K6558" s="274">
        <f t="shared" si="105"/>
        <v>0</v>
      </c>
      <c r="N6558" s="274"/>
    </row>
    <row r="6559" spans="5:14" ht="13.5" customHeight="1">
      <c r="E6559" s="1" t="s">
        <v>1630</v>
      </c>
      <c r="F6559" s="1" t="s">
        <v>3121</v>
      </c>
      <c r="G6559" s="413" t="str">
        <f t="shared" si="106"/>
        <v>07-13</v>
      </c>
      <c r="H6559" s="273" t="e">
        <f ca="1">_xludf.IFNA(VLOOKUP(E6559,'Urban Plastix Holds'!$I$37:$U$705,10,0),0)</f>
        <v>#NAME?</v>
      </c>
      <c r="I6559" s="274"/>
      <c r="J6559" s="274" t="e">
        <f t="shared" ca="1" si="104"/>
        <v>#NAME?</v>
      </c>
      <c r="K6559" s="274">
        <f t="shared" si="105"/>
        <v>0</v>
      </c>
      <c r="N6559" s="274"/>
    </row>
    <row r="6560" spans="5:14" ht="13.5" customHeight="1">
      <c r="E6560" s="1" t="s">
        <v>1630</v>
      </c>
      <c r="F6560" s="1" t="s">
        <v>3121</v>
      </c>
      <c r="G6560" s="414" t="str">
        <f t="shared" si="106"/>
        <v>11-26</v>
      </c>
      <c r="H6560" s="273" t="e">
        <f ca="1">_xludf.IFNA(VLOOKUP(E6560,'Urban Plastix Holds'!$I$37:$U$705,11,0),0)</f>
        <v>#NAME?</v>
      </c>
      <c r="I6560" s="274"/>
      <c r="J6560" s="274" t="e">
        <f t="shared" ca="1" si="104"/>
        <v>#NAME?</v>
      </c>
      <c r="K6560" s="274">
        <f t="shared" si="105"/>
        <v>0</v>
      </c>
      <c r="N6560" s="274"/>
    </row>
    <row r="6561" spans="5:14" ht="13.5" customHeight="1">
      <c r="E6561" s="1" t="s">
        <v>1630</v>
      </c>
      <c r="F6561" s="1" t="s">
        <v>3121</v>
      </c>
      <c r="G6561" s="415" t="str">
        <f t="shared" si="106"/>
        <v>18-01</v>
      </c>
      <c r="H6561" s="273" t="e">
        <f ca="1">_xludf.IFNA(VLOOKUP(E6561,'Urban Plastix Holds'!$I$37:$U$705,12,0),0)</f>
        <v>#NAME?</v>
      </c>
      <c r="I6561" s="274"/>
      <c r="J6561" s="274" t="e">
        <f t="shared" ca="1" si="104"/>
        <v>#NAME?</v>
      </c>
      <c r="K6561" s="274">
        <f t="shared" si="105"/>
        <v>0</v>
      </c>
      <c r="N6561" s="274"/>
    </row>
    <row r="6562" spans="5:14" ht="13.5" customHeight="1">
      <c r="E6562" s="1" t="s">
        <v>1630</v>
      </c>
      <c r="F6562" s="1" t="s">
        <v>3121</v>
      </c>
      <c r="G6562" s="416" t="str">
        <f t="shared" si="106"/>
        <v>Color Code</v>
      </c>
      <c r="H6562" s="273" t="e">
        <f ca="1">_xludf.IFNA(VLOOKUP(E6562,'Urban Plastix Holds'!$I$37:$U$705,13,0),0)</f>
        <v>#NAME?</v>
      </c>
      <c r="I6562" s="274"/>
      <c r="J6562" s="274" t="e">
        <f t="shared" ca="1" si="104"/>
        <v>#NAME?</v>
      </c>
      <c r="K6562" s="274">
        <f t="shared" si="105"/>
        <v>0</v>
      </c>
      <c r="N6562" s="274"/>
    </row>
    <row r="6563" spans="5:14" ht="13.5" customHeight="1">
      <c r="E6563" s="1" t="s">
        <v>1632</v>
      </c>
      <c r="F6563" s="1" t="s">
        <v>3122</v>
      </c>
      <c r="G6563" s="406" t="str">
        <f t="shared" si="106"/>
        <v>11-12</v>
      </c>
      <c r="H6563" s="273" t="e">
        <f ca="1">_xludf.IFNA(VLOOKUP(E6563,'Urban Plastix Holds'!$I$37:$U$705,5,0),0)</f>
        <v>#NAME?</v>
      </c>
      <c r="I6563" s="274"/>
      <c r="J6563" s="274" t="e">
        <f t="shared" ca="1" si="104"/>
        <v>#NAME?</v>
      </c>
      <c r="K6563" s="274">
        <f t="shared" si="105"/>
        <v>0</v>
      </c>
      <c r="N6563" s="274"/>
    </row>
    <row r="6564" spans="5:14" ht="13.5" customHeight="1">
      <c r="E6564" s="1" t="s">
        <v>1632</v>
      </c>
      <c r="F6564" s="1" t="s">
        <v>3122</v>
      </c>
      <c r="G6564" s="408" t="str">
        <f t="shared" si="106"/>
        <v>14-01</v>
      </c>
      <c r="H6564" s="273" t="e">
        <f ca="1">_xludf.IFNA(VLOOKUP(E6564,'Urban Plastix Holds'!$I$37:$U$705,6,0),0)</f>
        <v>#NAME?</v>
      </c>
      <c r="I6564" s="274"/>
      <c r="J6564" s="274" t="e">
        <f t="shared" ca="1" si="104"/>
        <v>#NAME?</v>
      </c>
      <c r="K6564" s="274">
        <f t="shared" si="105"/>
        <v>0</v>
      </c>
      <c r="N6564" s="274"/>
    </row>
    <row r="6565" spans="5:14" ht="13.5" customHeight="1">
      <c r="E6565" s="1" t="s">
        <v>1632</v>
      </c>
      <c r="F6565" s="1" t="s">
        <v>3122</v>
      </c>
      <c r="G6565" s="409" t="str">
        <f t="shared" si="106"/>
        <v>15-12</v>
      </c>
      <c r="H6565" s="273" t="e">
        <f ca="1">_xludf.IFNA(VLOOKUP(E6565,'Urban Plastix Holds'!$I$37:$U$705,7,0),0)</f>
        <v>#NAME?</v>
      </c>
      <c r="I6565" s="274"/>
      <c r="J6565" s="274" t="e">
        <f t="shared" ca="1" si="104"/>
        <v>#NAME?</v>
      </c>
      <c r="K6565" s="274">
        <f t="shared" si="105"/>
        <v>0</v>
      </c>
      <c r="N6565" s="274"/>
    </row>
    <row r="6566" spans="5:14" ht="13.5" customHeight="1">
      <c r="E6566" s="1" t="s">
        <v>1632</v>
      </c>
      <c r="F6566" s="1" t="s">
        <v>3122</v>
      </c>
      <c r="G6566" s="410" t="str">
        <f t="shared" si="106"/>
        <v>16-16</v>
      </c>
      <c r="H6566" s="273" t="e">
        <f ca="1">_xludf.IFNA(VLOOKUP(E6566,'Urban Plastix Holds'!$I$37:$U$705,8,0),0)</f>
        <v>#NAME?</v>
      </c>
      <c r="I6566" s="274"/>
      <c r="J6566" s="274" t="e">
        <f t="shared" ca="1" si="104"/>
        <v>#NAME?</v>
      </c>
      <c r="K6566" s="274">
        <f t="shared" si="105"/>
        <v>0</v>
      </c>
      <c r="N6566" s="274"/>
    </row>
    <row r="6567" spans="5:14" ht="13.5" customHeight="1">
      <c r="E6567" s="1" t="s">
        <v>1632</v>
      </c>
      <c r="F6567" s="1" t="s">
        <v>3122</v>
      </c>
      <c r="G6567" s="411" t="str">
        <f t="shared" si="106"/>
        <v>13-01</v>
      </c>
      <c r="H6567" s="273" t="e">
        <f ca="1">_xludf.IFNA(VLOOKUP(E6567,'Urban Plastix Holds'!$I$37:$U$705,9,0),0)</f>
        <v>#NAME?</v>
      </c>
      <c r="I6567" s="274"/>
      <c r="J6567" s="274" t="e">
        <f t="shared" ca="1" si="104"/>
        <v>#NAME?</v>
      </c>
      <c r="K6567" s="274">
        <f t="shared" si="105"/>
        <v>0</v>
      </c>
      <c r="N6567" s="274"/>
    </row>
    <row r="6568" spans="5:14" ht="13.5" customHeight="1">
      <c r="E6568" s="1" t="s">
        <v>1632</v>
      </c>
      <c r="F6568" s="1" t="s">
        <v>3122</v>
      </c>
      <c r="G6568" s="413" t="str">
        <f t="shared" si="106"/>
        <v>07-13</v>
      </c>
      <c r="H6568" s="273" t="e">
        <f ca="1">_xludf.IFNA(VLOOKUP(E6568,'Urban Plastix Holds'!$I$37:$U$705,10,0),0)</f>
        <v>#NAME?</v>
      </c>
      <c r="I6568" s="274"/>
      <c r="J6568" s="274" t="e">
        <f t="shared" ca="1" si="104"/>
        <v>#NAME?</v>
      </c>
      <c r="K6568" s="274">
        <f t="shared" si="105"/>
        <v>0</v>
      </c>
      <c r="N6568" s="274"/>
    </row>
    <row r="6569" spans="5:14" ht="13.5" customHeight="1">
      <c r="E6569" s="1" t="s">
        <v>1632</v>
      </c>
      <c r="F6569" s="1" t="s">
        <v>3122</v>
      </c>
      <c r="G6569" s="414" t="str">
        <f t="shared" si="106"/>
        <v>11-26</v>
      </c>
      <c r="H6569" s="273" t="e">
        <f ca="1">_xludf.IFNA(VLOOKUP(E6569,'Urban Plastix Holds'!$I$37:$U$705,11,0),0)</f>
        <v>#NAME?</v>
      </c>
      <c r="I6569" s="274"/>
      <c r="J6569" s="274" t="e">
        <f t="shared" ca="1" si="104"/>
        <v>#NAME?</v>
      </c>
      <c r="K6569" s="274">
        <f t="shared" si="105"/>
        <v>0</v>
      </c>
      <c r="N6569" s="274"/>
    </row>
    <row r="6570" spans="5:14" ht="13.5" customHeight="1">
      <c r="E6570" s="1" t="s">
        <v>1632</v>
      </c>
      <c r="F6570" s="1" t="s">
        <v>3122</v>
      </c>
      <c r="G6570" s="415" t="str">
        <f t="shared" si="106"/>
        <v>18-01</v>
      </c>
      <c r="H6570" s="273" t="e">
        <f ca="1">_xludf.IFNA(VLOOKUP(E6570,'Urban Plastix Holds'!$I$37:$U$705,12,0),0)</f>
        <v>#NAME?</v>
      </c>
      <c r="I6570" s="274"/>
      <c r="J6570" s="274" t="e">
        <f t="shared" ca="1" si="104"/>
        <v>#NAME?</v>
      </c>
      <c r="K6570" s="274">
        <f t="shared" si="105"/>
        <v>0</v>
      </c>
      <c r="N6570" s="274"/>
    </row>
    <row r="6571" spans="5:14" ht="13.5" customHeight="1">
      <c r="E6571" s="1" t="s">
        <v>1632</v>
      </c>
      <c r="F6571" s="1" t="s">
        <v>3122</v>
      </c>
      <c r="G6571" s="416" t="str">
        <f t="shared" si="106"/>
        <v>Color Code</v>
      </c>
      <c r="H6571" s="273" t="e">
        <f ca="1">_xludf.IFNA(VLOOKUP(E6571,'Urban Plastix Holds'!$I$37:$U$705,13,0),0)</f>
        <v>#NAME?</v>
      </c>
      <c r="I6571" s="274"/>
      <c r="J6571" s="274" t="e">
        <f t="shared" ca="1" si="104"/>
        <v>#NAME?</v>
      </c>
      <c r="K6571" s="274">
        <f t="shared" si="105"/>
        <v>0</v>
      </c>
      <c r="N6571" s="274"/>
    </row>
    <row r="6572" spans="5:14" ht="13.5" customHeight="1">
      <c r="E6572" s="1" t="s">
        <v>1587</v>
      </c>
      <c r="F6572" s="1" t="s">
        <v>3123</v>
      </c>
      <c r="G6572" s="406" t="str">
        <f t="shared" si="106"/>
        <v>11-12</v>
      </c>
      <c r="H6572" s="273" t="e">
        <f ca="1">_xludf.IFNA(VLOOKUP(E6572,'Urban Plastix Holds'!$I$37:$U$705,5,0),0)</f>
        <v>#NAME?</v>
      </c>
      <c r="I6572" s="274"/>
      <c r="J6572" s="274" t="e">
        <f t="shared" ca="1" si="104"/>
        <v>#NAME?</v>
      </c>
      <c r="K6572" s="274">
        <f t="shared" si="105"/>
        <v>0</v>
      </c>
      <c r="N6572" s="274"/>
    </row>
    <row r="6573" spans="5:14" ht="13.5" customHeight="1">
      <c r="E6573" s="1" t="s">
        <v>1587</v>
      </c>
      <c r="F6573" s="1" t="s">
        <v>3123</v>
      </c>
      <c r="G6573" s="408" t="str">
        <f t="shared" si="106"/>
        <v>14-01</v>
      </c>
      <c r="H6573" s="273" t="e">
        <f ca="1">_xludf.IFNA(VLOOKUP(E6573,'Urban Plastix Holds'!$I$37:$U$705,6,0),0)</f>
        <v>#NAME?</v>
      </c>
      <c r="I6573" s="274"/>
      <c r="J6573" s="274" t="e">
        <f t="shared" ca="1" si="104"/>
        <v>#NAME?</v>
      </c>
      <c r="K6573" s="274">
        <f t="shared" si="105"/>
        <v>0</v>
      </c>
      <c r="N6573" s="274"/>
    </row>
    <row r="6574" spans="5:14" ht="13.5" customHeight="1">
      <c r="E6574" s="1" t="s">
        <v>1587</v>
      </c>
      <c r="F6574" s="1" t="s">
        <v>3123</v>
      </c>
      <c r="G6574" s="409" t="str">
        <f t="shared" si="106"/>
        <v>15-12</v>
      </c>
      <c r="H6574" s="273" t="e">
        <f ca="1">_xludf.IFNA(VLOOKUP(E6574,'Urban Plastix Holds'!$I$37:$U$705,7,0),0)</f>
        <v>#NAME?</v>
      </c>
      <c r="I6574" s="274"/>
      <c r="J6574" s="274" t="e">
        <f t="shared" ca="1" si="104"/>
        <v>#NAME?</v>
      </c>
      <c r="K6574" s="274">
        <f t="shared" si="105"/>
        <v>0</v>
      </c>
      <c r="N6574" s="274"/>
    </row>
    <row r="6575" spans="5:14" ht="13.5" customHeight="1">
      <c r="E6575" s="1" t="s">
        <v>1587</v>
      </c>
      <c r="F6575" s="1" t="s">
        <v>3123</v>
      </c>
      <c r="G6575" s="410" t="str">
        <f t="shared" si="106"/>
        <v>16-16</v>
      </c>
      <c r="H6575" s="273" t="e">
        <f ca="1">_xludf.IFNA(VLOOKUP(E6575,'Urban Plastix Holds'!$I$37:$U$705,8,0),0)</f>
        <v>#NAME?</v>
      </c>
      <c r="I6575" s="274"/>
      <c r="J6575" s="274" t="e">
        <f t="shared" ca="1" si="104"/>
        <v>#NAME?</v>
      </c>
      <c r="K6575" s="274">
        <f t="shared" si="105"/>
        <v>0</v>
      </c>
      <c r="N6575" s="274"/>
    </row>
    <row r="6576" spans="5:14" ht="13.5" customHeight="1">
      <c r="E6576" s="1" t="s">
        <v>1587</v>
      </c>
      <c r="F6576" s="1" t="s">
        <v>3123</v>
      </c>
      <c r="G6576" s="411" t="str">
        <f t="shared" si="106"/>
        <v>13-01</v>
      </c>
      <c r="H6576" s="273" t="e">
        <f ca="1">_xludf.IFNA(VLOOKUP(E6576,'Urban Plastix Holds'!$I$37:$U$705,9,0),0)</f>
        <v>#NAME?</v>
      </c>
      <c r="I6576" s="274"/>
      <c r="J6576" s="274" t="e">
        <f t="shared" ca="1" si="104"/>
        <v>#NAME?</v>
      </c>
      <c r="K6576" s="274">
        <f t="shared" si="105"/>
        <v>0</v>
      </c>
      <c r="N6576" s="274"/>
    </row>
    <row r="6577" spans="5:14" ht="13.5" customHeight="1">
      <c r="E6577" s="1" t="s">
        <v>1587</v>
      </c>
      <c r="F6577" s="1" t="s">
        <v>3123</v>
      </c>
      <c r="G6577" s="413" t="str">
        <f t="shared" si="106"/>
        <v>07-13</v>
      </c>
      <c r="H6577" s="273" t="e">
        <f ca="1">_xludf.IFNA(VLOOKUP(E6577,'Urban Plastix Holds'!$I$37:$U$705,10,0),0)</f>
        <v>#NAME?</v>
      </c>
      <c r="I6577" s="274"/>
      <c r="J6577" s="274" t="e">
        <f t="shared" ca="1" si="104"/>
        <v>#NAME?</v>
      </c>
      <c r="K6577" s="274">
        <f t="shared" si="105"/>
        <v>0</v>
      </c>
      <c r="N6577" s="274"/>
    </row>
    <row r="6578" spans="5:14" ht="13.5" customHeight="1">
      <c r="E6578" s="1" t="s">
        <v>1587</v>
      </c>
      <c r="F6578" s="1" t="s">
        <v>3123</v>
      </c>
      <c r="G6578" s="414" t="str">
        <f t="shared" si="106"/>
        <v>11-26</v>
      </c>
      <c r="H6578" s="273" t="e">
        <f ca="1">_xludf.IFNA(VLOOKUP(E6578,'Urban Plastix Holds'!$I$37:$U$705,11,0),0)</f>
        <v>#NAME?</v>
      </c>
      <c r="I6578" s="274"/>
      <c r="J6578" s="274" t="e">
        <f t="shared" ca="1" si="104"/>
        <v>#NAME?</v>
      </c>
      <c r="K6578" s="274">
        <f t="shared" si="105"/>
        <v>0</v>
      </c>
      <c r="N6578" s="274"/>
    </row>
    <row r="6579" spans="5:14" ht="13.5" customHeight="1">
      <c r="E6579" s="1" t="s">
        <v>1587</v>
      </c>
      <c r="F6579" s="1" t="s">
        <v>3123</v>
      </c>
      <c r="G6579" s="415" t="str">
        <f t="shared" si="106"/>
        <v>18-01</v>
      </c>
      <c r="H6579" s="273" t="e">
        <f ca="1">_xludf.IFNA(VLOOKUP(E6579,'Urban Plastix Holds'!$I$37:$U$705,12,0),0)</f>
        <v>#NAME?</v>
      </c>
      <c r="I6579" s="274"/>
      <c r="J6579" s="274" t="e">
        <f t="shared" ca="1" si="104"/>
        <v>#NAME?</v>
      </c>
      <c r="K6579" s="274">
        <f t="shared" si="105"/>
        <v>0</v>
      </c>
      <c r="N6579" s="274"/>
    </row>
    <row r="6580" spans="5:14" ht="13.5" customHeight="1">
      <c r="E6580" s="1" t="s">
        <v>1587</v>
      </c>
      <c r="F6580" s="1" t="s">
        <v>3123</v>
      </c>
      <c r="G6580" s="416" t="str">
        <f t="shared" si="106"/>
        <v>Color Code</v>
      </c>
      <c r="H6580" s="273" t="e">
        <f ca="1">_xludf.IFNA(VLOOKUP(E6580,'Urban Plastix Holds'!$I$37:$U$705,13,0),0)</f>
        <v>#NAME?</v>
      </c>
      <c r="I6580" s="274"/>
      <c r="J6580" s="274" t="e">
        <f t="shared" ca="1" si="104"/>
        <v>#NAME?</v>
      </c>
      <c r="K6580" s="274">
        <f t="shared" si="105"/>
        <v>0</v>
      </c>
      <c r="N6580" s="274"/>
    </row>
    <row r="6581" spans="5:14" ht="13.5" customHeight="1">
      <c r="E6581" s="1" t="s">
        <v>1589</v>
      </c>
      <c r="F6581" s="1" t="s">
        <v>3124</v>
      </c>
      <c r="G6581" s="406" t="str">
        <f t="shared" si="106"/>
        <v>11-12</v>
      </c>
      <c r="H6581" s="273" t="e">
        <f ca="1">_xludf.IFNA(VLOOKUP(E6581,'Urban Plastix Holds'!$I$37:$U$705,5,0),0)</f>
        <v>#NAME?</v>
      </c>
      <c r="I6581" s="274"/>
      <c r="J6581" s="274" t="e">
        <f t="shared" ca="1" si="104"/>
        <v>#NAME?</v>
      </c>
      <c r="K6581" s="274">
        <f t="shared" si="105"/>
        <v>0</v>
      </c>
      <c r="N6581" s="274"/>
    </row>
    <row r="6582" spans="5:14" ht="13.5" customHeight="1">
      <c r="E6582" s="1" t="s">
        <v>1589</v>
      </c>
      <c r="F6582" s="1" t="s">
        <v>3124</v>
      </c>
      <c r="G6582" s="408" t="str">
        <f t="shared" si="106"/>
        <v>14-01</v>
      </c>
      <c r="H6582" s="273" t="e">
        <f ca="1">_xludf.IFNA(VLOOKUP(E6582,'Urban Plastix Holds'!$I$37:$U$705,6,0),0)</f>
        <v>#NAME?</v>
      </c>
      <c r="I6582" s="274"/>
      <c r="J6582" s="274" t="e">
        <f t="shared" ca="1" si="104"/>
        <v>#NAME?</v>
      </c>
      <c r="K6582" s="274">
        <f t="shared" si="105"/>
        <v>0</v>
      </c>
      <c r="N6582" s="274"/>
    </row>
    <row r="6583" spans="5:14" ht="13.5" customHeight="1">
      <c r="E6583" s="1" t="s">
        <v>1589</v>
      </c>
      <c r="F6583" s="1" t="s">
        <v>3124</v>
      </c>
      <c r="G6583" s="409" t="str">
        <f t="shared" si="106"/>
        <v>15-12</v>
      </c>
      <c r="H6583" s="273" t="e">
        <f ca="1">_xludf.IFNA(VLOOKUP(E6583,'Urban Plastix Holds'!$I$37:$U$705,7,0),0)</f>
        <v>#NAME?</v>
      </c>
      <c r="I6583" s="274"/>
      <c r="J6583" s="274" t="e">
        <f t="shared" ca="1" si="104"/>
        <v>#NAME?</v>
      </c>
      <c r="K6583" s="274">
        <f t="shared" si="105"/>
        <v>0</v>
      </c>
      <c r="N6583" s="274"/>
    </row>
    <row r="6584" spans="5:14" ht="13.5" customHeight="1">
      <c r="E6584" s="1" t="s">
        <v>1589</v>
      </c>
      <c r="F6584" s="1" t="s">
        <v>3124</v>
      </c>
      <c r="G6584" s="410" t="str">
        <f t="shared" si="106"/>
        <v>16-16</v>
      </c>
      <c r="H6584" s="273" t="e">
        <f ca="1">_xludf.IFNA(VLOOKUP(E6584,'Urban Plastix Holds'!$I$37:$U$705,8,0),0)</f>
        <v>#NAME?</v>
      </c>
      <c r="I6584" s="274"/>
      <c r="J6584" s="274" t="e">
        <f t="shared" ca="1" si="104"/>
        <v>#NAME?</v>
      </c>
      <c r="K6584" s="274">
        <f t="shared" si="105"/>
        <v>0</v>
      </c>
      <c r="N6584" s="274"/>
    </row>
    <row r="6585" spans="5:14" ht="13.5" customHeight="1">
      <c r="E6585" s="1" t="s">
        <v>1589</v>
      </c>
      <c r="F6585" s="1" t="s">
        <v>3124</v>
      </c>
      <c r="G6585" s="411" t="str">
        <f t="shared" si="106"/>
        <v>13-01</v>
      </c>
      <c r="H6585" s="273" t="e">
        <f ca="1">_xludf.IFNA(VLOOKUP(E6585,'Urban Plastix Holds'!$I$37:$U$705,9,0),0)</f>
        <v>#NAME?</v>
      </c>
      <c r="I6585" s="274"/>
      <c r="J6585" s="274" t="e">
        <f t="shared" ca="1" si="104"/>
        <v>#NAME?</v>
      </c>
      <c r="K6585" s="274">
        <f t="shared" si="105"/>
        <v>0</v>
      </c>
      <c r="N6585" s="274"/>
    </row>
    <row r="6586" spans="5:14" ht="13.5" customHeight="1">
      <c r="E6586" s="1" t="s">
        <v>1589</v>
      </c>
      <c r="F6586" s="1" t="s">
        <v>3124</v>
      </c>
      <c r="G6586" s="413" t="str">
        <f t="shared" si="106"/>
        <v>07-13</v>
      </c>
      <c r="H6586" s="273" t="e">
        <f ca="1">_xludf.IFNA(VLOOKUP(E6586,'Urban Plastix Holds'!$I$37:$U$705,10,0),0)</f>
        <v>#NAME?</v>
      </c>
      <c r="I6586" s="274"/>
      <c r="J6586" s="274" t="e">
        <f t="shared" ca="1" si="104"/>
        <v>#NAME?</v>
      </c>
      <c r="K6586" s="274">
        <f t="shared" si="105"/>
        <v>0</v>
      </c>
      <c r="N6586" s="274"/>
    </row>
    <row r="6587" spans="5:14" ht="13.5" customHeight="1">
      <c r="E6587" s="1" t="s">
        <v>1589</v>
      </c>
      <c r="F6587" s="1" t="s">
        <v>3124</v>
      </c>
      <c r="G6587" s="414" t="str">
        <f t="shared" si="106"/>
        <v>11-26</v>
      </c>
      <c r="H6587" s="273" t="e">
        <f ca="1">_xludf.IFNA(VLOOKUP(E6587,'Urban Plastix Holds'!$I$37:$U$705,11,0),0)</f>
        <v>#NAME?</v>
      </c>
      <c r="I6587" s="274"/>
      <c r="J6587" s="274" t="e">
        <f t="shared" ca="1" si="104"/>
        <v>#NAME?</v>
      </c>
      <c r="K6587" s="274">
        <f t="shared" si="105"/>
        <v>0</v>
      </c>
      <c r="N6587" s="274"/>
    </row>
    <row r="6588" spans="5:14" ht="13.5" customHeight="1">
      <c r="E6588" s="1" t="s">
        <v>1589</v>
      </c>
      <c r="F6588" s="1" t="s">
        <v>3124</v>
      </c>
      <c r="G6588" s="415" t="str">
        <f t="shared" si="106"/>
        <v>18-01</v>
      </c>
      <c r="H6588" s="273" t="e">
        <f ca="1">_xludf.IFNA(VLOOKUP(E6588,'Urban Plastix Holds'!$I$37:$U$705,12,0),0)</f>
        <v>#NAME?</v>
      </c>
      <c r="I6588" s="274"/>
      <c r="J6588" s="274" t="e">
        <f t="shared" ca="1" si="104"/>
        <v>#NAME?</v>
      </c>
      <c r="K6588" s="274">
        <f t="shared" si="105"/>
        <v>0</v>
      </c>
      <c r="N6588" s="274"/>
    </row>
    <row r="6589" spans="5:14" ht="13.5" customHeight="1">
      <c r="E6589" s="1" t="s">
        <v>1589</v>
      </c>
      <c r="F6589" s="1" t="s">
        <v>3124</v>
      </c>
      <c r="G6589" s="416" t="str">
        <f t="shared" si="106"/>
        <v>Color Code</v>
      </c>
      <c r="H6589" s="273" t="e">
        <f ca="1">_xludf.IFNA(VLOOKUP(E6589,'Urban Plastix Holds'!$I$37:$U$705,13,0),0)</f>
        <v>#NAME?</v>
      </c>
      <c r="I6589" s="274"/>
      <c r="J6589" s="274" t="e">
        <f t="shared" ca="1" si="104"/>
        <v>#NAME?</v>
      </c>
      <c r="K6589" s="274">
        <f t="shared" si="105"/>
        <v>0</v>
      </c>
      <c r="N6589" s="274"/>
    </row>
    <row r="6590" spans="5:14" ht="13.5" customHeight="1">
      <c r="E6590" s="1" t="s">
        <v>1667</v>
      </c>
      <c r="F6590" s="1" t="s">
        <v>3125</v>
      </c>
      <c r="G6590" s="406" t="str">
        <f t="shared" si="106"/>
        <v>11-12</v>
      </c>
      <c r="H6590" s="273" t="e">
        <f ca="1">_xludf.IFNA(VLOOKUP(E6590,'Urban Plastix Holds'!$I$37:$U$705,5,0),0)</f>
        <v>#NAME?</v>
      </c>
      <c r="I6590" s="274"/>
      <c r="J6590" s="274" t="e">
        <f t="shared" ca="1" si="104"/>
        <v>#NAME?</v>
      </c>
      <c r="K6590" s="274">
        <f t="shared" si="105"/>
        <v>0</v>
      </c>
      <c r="N6590" s="274"/>
    </row>
    <row r="6591" spans="5:14" ht="13.5" customHeight="1">
      <c r="E6591" s="1" t="s">
        <v>1667</v>
      </c>
      <c r="F6591" s="1" t="s">
        <v>3125</v>
      </c>
      <c r="G6591" s="408" t="str">
        <f t="shared" si="106"/>
        <v>14-01</v>
      </c>
      <c r="H6591" s="273" t="e">
        <f ca="1">_xludf.IFNA(VLOOKUP(E6591,'Urban Plastix Holds'!$I$37:$U$705,6,0),0)</f>
        <v>#NAME?</v>
      </c>
      <c r="I6591" s="274"/>
      <c r="J6591" s="274" t="e">
        <f t="shared" ca="1" si="104"/>
        <v>#NAME?</v>
      </c>
      <c r="K6591" s="274">
        <f t="shared" si="105"/>
        <v>0</v>
      </c>
      <c r="N6591" s="274"/>
    </row>
    <row r="6592" spans="5:14" ht="13.5" customHeight="1">
      <c r="E6592" s="1" t="s">
        <v>1667</v>
      </c>
      <c r="F6592" s="1" t="s">
        <v>3125</v>
      </c>
      <c r="G6592" s="409" t="str">
        <f t="shared" si="106"/>
        <v>15-12</v>
      </c>
      <c r="H6592" s="273" t="e">
        <f ca="1">_xludf.IFNA(VLOOKUP(E6592,'Urban Plastix Holds'!$I$37:$U$705,7,0),0)</f>
        <v>#NAME?</v>
      </c>
      <c r="I6592" s="274"/>
      <c r="J6592" s="274" t="e">
        <f t="shared" ca="1" si="104"/>
        <v>#NAME?</v>
      </c>
      <c r="K6592" s="274">
        <f t="shared" si="105"/>
        <v>0</v>
      </c>
      <c r="N6592" s="274"/>
    </row>
    <row r="6593" spans="5:14" ht="13.5" customHeight="1">
      <c r="E6593" s="1" t="s">
        <v>1667</v>
      </c>
      <c r="F6593" s="1" t="s">
        <v>3125</v>
      </c>
      <c r="G6593" s="410" t="str">
        <f t="shared" si="106"/>
        <v>16-16</v>
      </c>
      <c r="H6593" s="273" t="e">
        <f ca="1">_xludf.IFNA(VLOOKUP(E6593,'Urban Plastix Holds'!$I$37:$U$705,8,0),0)</f>
        <v>#NAME?</v>
      </c>
      <c r="I6593" s="274"/>
      <c r="J6593" s="274" t="e">
        <f t="shared" ca="1" si="104"/>
        <v>#NAME?</v>
      </c>
      <c r="K6593" s="274">
        <f t="shared" si="105"/>
        <v>0</v>
      </c>
      <c r="N6593" s="274"/>
    </row>
    <row r="6594" spans="5:14" ht="13.5" customHeight="1">
      <c r="E6594" s="1" t="s">
        <v>1667</v>
      </c>
      <c r="F6594" s="1" t="s">
        <v>3125</v>
      </c>
      <c r="G6594" s="411" t="str">
        <f t="shared" si="106"/>
        <v>13-01</v>
      </c>
      <c r="H6594" s="273" t="e">
        <f ca="1">_xludf.IFNA(VLOOKUP(E6594,'Urban Plastix Holds'!$I$37:$U$705,9,0),0)</f>
        <v>#NAME?</v>
      </c>
      <c r="I6594" s="274"/>
      <c r="J6594" s="274" t="e">
        <f t="shared" ca="1" si="104"/>
        <v>#NAME?</v>
      </c>
      <c r="K6594" s="274">
        <f t="shared" si="105"/>
        <v>0</v>
      </c>
      <c r="N6594" s="274"/>
    </row>
    <row r="6595" spans="5:14" ht="13.5" customHeight="1">
      <c r="E6595" s="1" t="s">
        <v>1667</v>
      </c>
      <c r="F6595" s="1" t="s">
        <v>3125</v>
      </c>
      <c r="G6595" s="413" t="str">
        <f t="shared" si="106"/>
        <v>07-13</v>
      </c>
      <c r="H6595" s="273" t="e">
        <f ca="1">_xludf.IFNA(VLOOKUP(E6595,'Urban Plastix Holds'!$I$37:$U$705,10,0),0)</f>
        <v>#NAME?</v>
      </c>
      <c r="I6595" s="274"/>
      <c r="J6595" s="274" t="e">
        <f t="shared" ca="1" si="104"/>
        <v>#NAME?</v>
      </c>
      <c r="K6595" s="274">
        <f t="shared" si="105"/>
        <v>0</v>
      </c>
      <c r="N6595" s="274"/>
    </row>
    <row r="6596" spans="5:14" ht="13.5" customHeight="1">
      <c r="E6596" s="1" t="s">
        <v>1667</v>
      </c>
      <c r="F6596" s="1" t="s">
        <v>3125</v>
      </c>
      <c r="G6596" s="414" t="str">
        <f t="shared" si="106"/>
        <v>11-26</v>
      </c>
      <c r="H6596" s="273" t="e">
        <f ca="1">_xludf.IFNA(VLOOKUP(E6596,'Urban Plastix Holds'!$I$37:$U$705,11,0),0)</f>
        <v>#NAME?</v>
      </c>
      <c r="I6596" s="274"/>
      <c r="J6596" s="274" t="e">
        <f t="shared" ca="1" si="104"/>
        <v>#NAME?</v>
      </c>
      <c r="K6596" s="274">
        <f t="shared" si="105"/>
        <v>0</v>
      </c>
      <c r="N6596" s="274"/>
    </row>
    <row r="6597" spans="5:14" ht="13.5" customHeight="1">
      <c r="E6597" s="1" t="s">
        <v>1667</v>
      </c>
      <c r="F6597" s="1" t="s">
        <v>3125</v>
      </c>
      <c r="G6597" s="415" t="str">
        <f t="shared" si="106"/>
        <v>18-01</v>
      </c>
      <c r="H6597" s="273" t="e">
        <f ca="1">_xludf.IFNA(VLOOKUP(E6597,'Urban Plastix Holds'!$I$37:$U$705,12,0),0)</f>
        <v>#NAME?</v>
      </c>
      <c r="I6597" s="274"/>
      <c r="J6597" s="274" t="e">
        <f t="shared" ca="1" si="104"/>
        <v>#NAME?</v>
      </c>
      <c r="K6597" s="274">
        <f t="shared" si="105"/>
        <v>0</v>
      </c>
      <c r="N6597" s="274"/>
    </row>
    <row r="6598" spans="5:14" ht="13.5" customHeight="1">
      <c r="E6598" s="1" t="s">
        <v>1667</v>
      </c>
      <c r="F6598" s="1" t="s">
        <v>3125</v>
      </c>
      <c r="G6598" s="416" t="str">
        <f t="shared" si="106"/>
        <v>Color Code</v>
      </c>
      <c r="H6598" s="273" t="e">
        <f ca="1">_xludf.IFNA(VLOOKUP(E6598,'Urban Plastix Holds'!$I$37:$U$705,13,0),0)</f>
        <v>#NAME?</v>
      </c>
      <c r="I6598" s="274"/>
      <c r="J6598" s="274" t="e">
        <f t="shared" ca="1" si="104"/>
        <v>#NAME?</v>
      </c>
      <c r="K6598" s="274">
        <f t="shared" si="105"/>
        <v>0</v>
      </c>
      <c r="N6598" s="274"/>
    </row>
    <row r="6599" spans="5:14" ht="13.5" customHeight="1">
      <c r="E6599" s="1" t="s">
        <v>1696</v>
      </c>
      <c r="F6599" s="1" t="s">
        <v>3126</v>
      </c>
      <c r="G6599" s="406" t="str">
        <f t="shared" si="106"/>
        <v>11-12</v>
      </c>
      <c r="H6599" s="273" t="e">
        <f ca="1">_xludf.IFNA(VLOOKUP(E6599,'Urban Plastix Holds'!$I$37:$U$705,5,0),0)</f>
        <v>#NAME?</v>
      </c>
      <c r="I6599" s="274"/>
      <c r="J6599" s="274" t="e">
        <f t="shared" ca="1" si="104"/>
        <v>#NAME?</v>
      </c>
      <c r="K6599" s="274">
        <f t="shared" si="105"/>
        <v>0</v>
      </c>
      <c r="N6599" s="274"/>
    </row>
    <row r="6600" spans="5:14" ht="13.5" customHeight="1">
      <c r="E6600" s="1" t="s">
        <v>1696</v>
      </c>
      <c r="F6600" s="1" t="s">
        <v>3126</v>
      </c>
      <c r="G6600" s="408" t="str">
        <f t="shared" si="106"/>
        <v>14-01</v>
      </c>
      <c r="H6600" s="273" t="e">
        <f ca="1">_xludf.IFNA(VLOOKUP(E6600,'Urban Plastix Holds'!$I$37:$U$705,6,0),0)</f>
        <v>#NAME?</v>
      </c>
      <c r="I6600" s="274"/>
      <c r="J6600" s="274" t="e">
        <f t="shared" ca="1" si="104"/>
        <v>#NAME?</v>
      </c>
      <c r="K6600" s="274">
        <f t="shared" si="105"/>
        <v>0</v>
      </c>
      <c r="N6600" s="274"/>
    </row>
    <row r="6601" spans="5:14" ht="13.5" customHeight="1">
      <c r="E6601" s="1" t="s">
        <v>1696</v>
      </c>
      <c r="F6601" s="1" t="s">
        <v>3126</v>
      </c>
      <c r="G6601" s="409" t="str">
        <f t="shared" si="106"/>
        <v>15-12</v>
      </c>
      <c r="H6601" s="273" t="e">
        <f ca="1">_xludf.IFNA(VLOOKUP(E6601,'Urban Plastix Holds'!$I$37:$U$705,7,0),0)</f>
        <v>#NAME?</v>
      </c>
      <c r="I6601" s="274"/>
      <c r="J6601" s="274" t="e">
        <f t="shared" ca="1" si="104"/>
        <v>#NAME?</v>
      </c>
      <c r="K6601" s="274">
        <f t="shared" si="105"/>
        <v>0</v>
      </c>
      <c r="N6601" s="274"/>
    </row>
    <row r="6602" spans="5:14" ht="13.5" customHeight="1">
      <c r="E6602" s="1" t="s">
        <v>1696</v>
      </c>
      <c r="F6602" s="1" t="s">
        <v>3126</v>
      </c>
      <c r="G6602" s="410" t="str">
        <f t="shared" si="106"/>
        <v>16-16</v>
      </c>
      <c r="H6602" s="273" t="e">
        <f ca="1">_xludf.IFNA(VLOOKUP(E6602,'Urban Plastix Holds'!$I$37:$U$705,8,0),0)</f>
        <v>#NAME?</v>
      </c>
      <c r="I6602" s="274"/>
      <c r="J6602" s="274" t="e">
        <f t="shared" ca="1" si="104"/>
        <v>#NAME?</v>
      </c>
      <c r="K6602" s="274">
        <f t="shared" si="105"/>
        <v>0</v>
      </c>
      <c r="N6602" s="274"/>
    </row>
    <row r="6603" spans="5:14" ht="13.5" customHeight="1">
      <c r="E6603" s="1" t="s">
        <v>1696</v>
      </c>
      <c r="F6603" s="1" t="s">
        <v>3126</v>
      </c>
      <c r="G6603" s="411" t="str">
        <f t="shared" si="106"/>
        <v>13-01</v>
      </c>
      <c r="H6603" s="273" t="e">
        <f ca="1">_xludf.IFNA(VLOOKUP(E6603,'Urban Plastix Holds'!$I$37:$U$705,9,0),0)</f>
        <v>#NAME?</v>
      </c>
      <c r="I6603" s="274"/>
      <c r="J6603" s="274" t="e">
        <f t="shared" ca="1" si="104"/>
        <v>#NAME?</v>
      </c>
      <c r="K6603" s="274">
        <f t="shared" si="105"/>
        <v>0</v>
      </c>
      <c r="N6603" s="274"/>
    </row>
    <row r="6604" spans="5:14" ht="13.5" customHeight="1">
      <c r="E6604" s="1" t="s">
        <v>1696</v>
      </c>
      <c r="F6604" s="1" t="s">
        <v>3126</v>
      </c>
      <c r="G6604" s="413" t="str">
        <f t="shared" si="106"/>
        <v>07-13</v>
      </c>
      <c r="H6604" s="273" t="e">
        <f ca="1">_xludf.IFNA(VLOOKUP(E6604,'Urban Plastix Holds'!$I$37:$U$705,10,0),0)</f>
        <v>#NAME?</v>
      </c>
      <c r="I6604" s="274"/>
      <c r="J6604" s="274" t="e">
        <f t="shared" ca="1" si="104"/>
        <v>#NAME?</v>
      </c>
      <c r="K6604" s="274">
        <f t="shared" si="105"/>
        <v>0</v>
      </c>
      <c r="N6604" s="274"/>
    </row>
    <row r="6605" spans="5:14" ht="13.5" customHeight="1">
      <c r="E6605" s="1" t="s">
        <v>1696</v>
      </c>
      <c r="F6605" s="1" t="s">
        <v>3126</v>
      </c>
      <c r="G6605" s="414" t="str">
        <f t="shared" si="106"/>
        <v>11-26</v>
      </c>
      <c r="H6605" s="273" t="e">
        <f ca="1">_xludf.IFNA(VLOOKUP(E6605,'Urban Plastix Holds'!$I$37:$U$705,11,0),0)</f>
        <v>#NAME?</v>
      </c>
      <c r="I6605" s="274"/>
      <c r="J6605" s="274" t="e">
        <f t="shared" ca="1" si="104"/>
        <v>#NAME?</v>
      </c>
      <c r="K6605" s="274">
        <f t="shared" si="105"/>
        <v>0</v>
      </c>
      <c r="N6605" s="274"/>
    </row>
    <row r="6606" spans="5:14" ht="13.5" customHeight="1">
      <c r="E6606" s="1" t="s">
        <v>1696</v>
      </c>
      <c r="F6606" s="1" t="s">
        <v>3126</v>
      </c>
      <c r="G6606" s="415" t="str">
        <f t="shared" si="106"/>
        <v>18-01</v>
      </c>
      <c r="H6606" s="273" t="e">
        <f ca="1">_xludf.IFNA(VLOOKUP(E6606,'Urban Plastix Holds'!$I$37:$U$705,12,0),0)</f>
        <v>#NAME?</v>
      </c>
      <c r="I6606" s="274"/>
      <c r="J6606" s="274" t="e">
        <f t="shared" ca="1" si="104"/>
        <v>#NAME?</v>
      </c>
      <c r="K6606" s="274">
        <f t="shared" si="105"/>
        <v>0</v>
      </c>
      <c r="N6606" s="274"/>
    </row>
    <row r="6607" spans="5:14" ht="13.5" customHeight="1">
      <c r="E6607" s="1" t="s">
        <v>1696</v>
      </c>
      <c r="F6607" s="1" t="s">
        <v>3126</v>
      </c>
      <c r="G6607" s="416" t="str">
        <f t="shared" si="106"/>
        <v>Color Code</v>
      </c>
      <c r="H6607" s="273" t="e">
        <f ca="1">_xludf.IFNA(VLOOKUP(E6607,'Urban Plastix Holds'!$I$37:$U$705,13,0),0)</f>
        <v>#NAME?</v>
      </c>
      <c r="I6607" s="274"/>
      <c r="J6607" s="274" t="e">
        <f t="shared" ca="1" si="104"/>
        <v>#NAME?</v>
      </c>
      <c r="K6607" s="274">
        <f t="shared" si="105"/>
        <v>0</v>
      </c>
      <c r="N6607" s="274"/>
    </row>
    <row r="6608" spans="5:14" ht="13.5" customHeight="1">
      <c r="E6608" s="1" t="s">
        <v>1634</v>
      </c>
      <c r="F6608" s="1" t="s">
        <v>3127</v>
      </c>
      <c r="G6608" s="406" t="str">
        <f t="shared" si="106"/>
        <v>11-12</v>
      </c>
      <c r="H6608" s="273" t="e">
        <f ca="1">_xludf.IFNA(VLOOKUP(E6608,'Urban Plastix Holds'!$I$37:$U$705,5,0),0)</f>
        <v>#NAME?</v>
      </c>
      <c r="I6608" s="274"/>
      <c r="J6608" s="274" t="e">
        <f t="shared" ca="1" si="104"/>
        <v>#NAME?</v>
      </c>
      <c r="K6608" s="274">
        <f t="shared" si="105"/>
        <v>0</v>
      </c>
      <c r="N6608" s="274"/>
    </row>
    <row r="6609" spans="5:14" ht="13.5" customHeight="1">
      <c r="E6609" s="1" t="s">
        <v>1634</v>
      </c>
      <c r="F6609" s="1" t="s">
        <v>3127</v>
      </c>
      <c r="G6609" s="408" t="str">
        <f t="shared" si="106"/>
        <v>14-01</v>
      </c>
      <c r="H6609" s="273" t="e">
        <f ca="1">_xludf.IFNA(VLOOKUP(E6609,'Urban Plastix Holds'!$I$37:$U$705,6,0),0)</f>
        <v>#NAME?</v>
      </c>
      <c r="I6609" s="274"/>
      <c r="J6609" s="274" t="e">
        <f t="shared" ca="1" si="104"/>
        <v>#NAME?</v>
      </c>
      <c r="K6609" s="274">
        <f t="shared" si="105"/>
        <v>0</v>
      </c>
      <c r="N6609" s="274"/>
    </row>
    <row r="6610" spans="5:14" ht="13.5" customHeight="1">
      <c r="E6610" s="1" t="s">
        <v>1634</v>
      </c>
      <c r="F6610" s="1" t="s">
        <v>3127</v>
      </c>
      <c r="G6610" s="409" t="str">
        <f t="shared" si="106"/>
        <v>15-12</v>
      </c>
      <c r="H6610" s="273" t="e">
        <f ca="1">_xludf.IFNA(VLOOKUP(E6610,'Urban Plastix Holds'!$I$37:$U$705,7,0),0)</f>
        <v>#NAME?</v>
      </c>
      <c r="I6610" s="274"/>
      <c r="J6610" s="274" t="e">
        <f t="shared" ca="1" si="104"/>
        <v>#NAME?</v>
      </c>
      <c r="K6610" s="274">
        <f t="shared" si="105"/>
        <v>0</v>
      </c>
      <c r="N6610" s="274"/>
    </row>
    <row r="6611" spans="5:14" ht="13.5" customHeight="1">
      <c r="E6611" s="1" t="s">
        <v>1634</v>
      </c>
      <c r="F6611" s="1" t="s">
        <v>3127</v>
      </c>
      <c r="G6611" s="410" t="str">
        <f t="shared" si="106"/>
        <v>16-16</v>
      </c>
      <c r="H6611" s="273" t="e">
        <f ca="1">_xludf.IFNA(VLOOKUP(E6611,'Urban Plastix Holds'!$I$37:$U$705,8,0),0)</f>
        <v>#NAME?</v>
      </c>
      <c r="I6611" s="274"/>
      <c r="J6611" s="274" t="e">
        <f t="shared" ca="1" si="104"/>
        <v>#NAME?</v>
      </c>
      <c r="K6611" s="274">
        <f t="shared" si="105"/>
        <v>0</v>
      </c>
      <c r="N6611" s="274"/>
    </row>
    <row r="6612" spans="5:14" ht="13.5" customHeight="1">
      <c r="E6612" s="1" t="s">
        <v>1634</v>
      </c>
      <c r="F6612" s="1" t="s">
        <v>3127</v>
      </c>
      <c r="G6612" s="411" t="str">
        <f t="shared" si="106"/>
        <v>13-01</v>
      </c>
      <c r="H6612" s="273" t="e">
        <f ca="1">_xludf.IFNA(VLOOKUP(E6612,'Urban Plastix Holds'!$I$37:$U$705,9,0),0)</f>
        <v>#NAME?</v>
      </c>
      <c r="I6612" s="274"/>
      <c r="J6612" s="274" t="e">
        <f t="shared" ca="1" si="104"/>
        <v>#NAME?</v>
      </c>
      <c r="K6612" s="274">
        <f t="shared" si="105"/>
        <v>0</v>
      </c>
      <c r="N6612" s="274"/>
    </row>
    <row r="6613" spans="5:14" ht="13.5" customHeight="1">
      <c r="E6613" s="1" t="s">
        <v>1634</v>
      </c>
      <c r="F6613" s="1" t="s">
        <v>3127</v>
      </c>
      <c r="G6613" s="413" t="str">
        <f t="shared" si="106"/>
        <v>07-13</v>
      </c>
      <c r="H6613" s="273" t="e">
        <f ca="1">_xludf.IFNA(VLOOKUP(E6613,'Urban Plastix Holds'!$I$37:$U$705,10,0),0)</f>
        <v>#NAME?</v>
      </c>
      <c r="I6613" s="274"/>
      <c r="J6613" s="274" t="e">
        <f t="shared" ca="1" si="104"/>
        <v>#NAME?</v>
      </c>
      <c r="K6613" s="274">
        <f t="shared" si="105"/>
        <v>0</v>
      </c>
      <c r="N6613" s="274"/>
    </row>
    <row r="6614" spans="5:14" ht="13.5" customHeight="1">
      <c r="E6614" s="1" t="s">
        <v>1634</v>
      </c>
      <c r="F6614" s="1" t="s">
        <v>3127</v>
      </c>
      <c r="G6614" s="414" t="str">
        <f t="shared" si="106"/>
        <v>11-26</v>
      </c>
      <c r="H6614" s="273" t="e">
        <f ca="1">_xludf.IFNA(VLOOKUP(E6614,'Urban Plastix Holds'!$I$37:$U$705,11,0),0)</f>
        <v>#NAME?</v>
      </c>
      <c r="I6614" s="274"/>
      <c r="J6614" s="274" t="e">
        <f t="shared" ca="1" si="104"/>
        <v>#NAME?</v>
      </c>
      <c r="K6614" s="274">
        <f t="shared" si="105"/>
        <v>0</v>
      </c>
      <c r="N6614" s="274"/>
    </row>
    <row r="6615" spans="5:14" ht="13.5" customHeight="1">
      <c r="E6615" s="1" t="s">
        <v>1634</v>
      </c>
      <c r="F6615" s="1" t="s">
        <v>3127</v>
      </c>
      <c r="G6615" s="415" t="str">
        <f t="shared" si="106"/>
        <v>18-01</v>
      </c>
      <c r="H6615" s="273" t="e">
        <f ca="1">_xludf.IFNA(VLOOKUP(E6615,'Urban Plastix Holds'!$I$37:$U$705,12,0),0)</f>
        <v>#NAME?</v>
      </c>
      <c r="I6615" s="274"/>
      <c r="J6615" s="274" t="e">
        <f t="shared" ca="1" si="104"/>
        <v>#NAME?</v>
      </c>
      <c r="K6615" s="274">
        <f t="shared" si="105"/>
        <v>0</v>
      </c>
      <c r="N6615" s="274"/>
    </row>
    <row r="6616" spans="5:14" ht="13.5" customHeight="1">
      <c r="E6616" s="1" t="s">
        <v>1634</v>
      </c>
      <c r="F6616" s="1" t="s">
        <v>3127</v>
      </c>
      <c r="G6616" s="416" t="str">
        <f t="shared" si="106"/>
        <v>Color Code</v>
      </c>
      <c r="H6616" s="273" t="e">
        <f ca="1">_xludf.IFNA(VLOOKUP(E6616,'Urban Plastix Holds'!$I$37:$U$705,13,0),0)</f>
        <v>#NAME?</v>
      </c>
      <c r="I6616" s="274"/>
      <c r="J6616" s="274" t="e">
        <f t="shared" ca="1" si="104"/>
        <v>#NAME?</v>
      </c>
      <c r="K6616" s="274">
        <f t="shared" si="105"/>
        <v>0</v>
      </c>
      <c r="N6616" s="274"/>
    </row>
    <row r="6617" spans="5:14" ht="13.5" customHeight="1">
      <c r="E6617" s="1" t="s">
        <v>1636</v>
      </c>
      <c r="F6617" s="1" t="s">
        <v>3128</v>
      </c>
      <c r="G6617" s="406" t="str">
        <f t="shared" si="106"/>
        <v>11-12</v>
      </c>
      <c r="H6617" s="273" t="e">
        <f ca="1">_xludf.IFNA(VLOOKUP(E6617,'Urban Plastix Holds'!$I$37:$U$705,5,0),0)</f>
        <v>#NAME?</v>
      </c>
      <c r="I6617" s="274"/>
      <c r="J6617" s="274" t="e">
        <f t="shared" ca="1" si="104"/>
        <v>#NAME?</v>
      </c>
      <c r="K6617" s="274">
        <f t="shared" si="105"/>
        <v>0</v>
      </c>
      <c r="N6617" s="274"/>
    </row>
    <row r="6618" spans="5:14" ht="13.5" customHeight="1">
      <c r="E6618" s="1" t="s">
        <v>1636</v>
      </c>
      <c r="F6618" s="1" t="s">
        <v>3128</v>
      </c>
      <c r="G6618" s="408" t="str">
        <f t="shared" si="106"/>
        <v>14-01</v>
      </c>
      <c r="H6618" s="273" t="e">
        <f ca="1">_xludf.IFNA(VLOOKUP(E6618,'Urban Plastix Holds'!$I$37:$U$705,6,0),0)</f>
        <v>#NAME?</v>
      </c>
      <c r="I6618" s="274"/>
      <c r="J6618" s="274" t="e">
        <f t="shared" ca="1" si="104"/>
        <v>#NAME?</v>
      </c>
      <c r="K6618" s="274">
        <f t="shared" si="105"/>
        <v>0</v>
      </c>
      <c r="N6618" s="274"/>
    </row>
    <row r="6619" spans="5:14" ht="13.5" customHeight="1">
      <c r="E6619" s="1" t="s">
        <v>1636</v>
      </c>
      <c r="F6619" s="1" t="s">
        <v>3128</v>
      </c>
      <c r="G6619" s="409" t="str">
        <f t="shared" si="106"/>
        <v>15-12</v>
      </c>
      <c r="H6619" s="273" t="e">
        <f ca="1">_xludf.IFNA(VLOOKUP(E6619,'Urban Plastix Holds'!$I$37:$U$705,7,0),0)</f>
        <v>#NAME?</v>
      </c>
      <c r="I6619" s="274"/>
      <c r="J6619" s="274" t="e">
        <f t="shared" ca="1" si="104"/>
        <v>#NAME?</v>
      </c>
      <c r="K6619" s="274">
        <f t="shared" si="105"/>
        <v>0</v>
      </c>
      <c r="N6619" s="274"/>
    </row>
    <row r="6620" spans="5:14" ht="13.5" customHeight="1">
      <c r="E6620" s="1" t="s">
        <v>1636</v>
      </c>
      <c r="F6620" s="1" t="s">
        <v>3128</v>
      </c>
      <c r="G6620" s="410" t="str">
        <f t="shared" si="106"/>
        <v>16-16</v>
      </c>
      <c r="H6620" s="273" t="e">
        <f ca="1">_xludf.IFNA(VLOOKUP(E6620,'Urban Plastix Holds'!$I$37:$U$705,8,0),0)</f>
        <v>#NAME?</v>
      </c>
      <c r="I6620" s="274"/>
      <c r="J6620" s="274" t="e">
        <f t="shared" ca="1" si="104"/>
        <v>#NAME?</v>
      </c>
      <c r="K6620" s="274">
        <f t="shared" si="105"/>
        <v>0</v>
      </c>
      <c r="N6620" s="274"/>
    </row>
    <row r="6621" spans="5:14" ht="13.5" customHeight="1">
      <c r="E6621" s="1" t="s">
        <v>1636</v>
      </c>
      <c r="F6621" s="1" t="s">
        <v>3128</v>
      </c>
      <c r="G6621" s="411" t="str">
        <f t="shared" si="106"/>
        <v>13-01</v>
      </c>
      <c r="H6621" s="273" t="e">
        <f ca="1">_xludf.IFNA(VLOOKUP(E6621,'Urban Plastix Holds'!$I$37:$U$705,9,0),0)</f>
        <v>#NAME?</v>
      </c>
      <c r="I6621" s="274"/>
      <c r="J6621" s="274" t="e">
        <f t="shared" ca="1" si="104"/>
        <v>#NAME?</v>
      </c>
      <c r="K6621" s="274">
        <f t="shared" si="105"/>
        <v>0</v>
      </c>
      <c r="N6621" s="274"/>
    </row>
    <row r="6622" spans="5:14" ht="13.5" customHeight="1">
      <c r="E6622" s="1" t="s">
        <v>1636</v>
      </c>
      <c r="F6622" s="1" t="s">
        <v>3128</v>
      </c>
      <c r="G6622" s="413" t="str">
        <f t="shared" si="106"/>
        <v>07-13</v>
      </c>
      <c r="H6622" s="273" t="e">
        <f ca="1">_xludf.IFNA(VLOOKUP(E6622,'Urban Plastix Holds'!$I$37:$U$705,10,0),0)</f>
        <v>#NAME?</v>
      </c>
      <c r="I6622" s="274"/>
      <c r="J6622" s="274" t="e">
        <f t="shared" ca="1" si="104"/>
        <v>#NAME?</v>
      </c>
      <c r="K6622" s="274">
        <f t="shared" si="105"/>
        <v>0</v>
      </c>
      <c r="N6622" s="274"/>
    </row>
    <row r="6623" spans="5:14" ht="13.5" customHeight="1">
      <c r="E6623" s="1" t="s">
        <v>1636</v>
      </c>
      <c r="F6623" s="1" t="s">
        <v>3128</v>
      </c>
      <c r="G6623" s="414" t="str">
        <f t="shared" si="106"/>
        <v>11-26</v>
      </c>
      <c r="H6623" s="273" t="e">
        <f ca="1">_xludf.IFNA(VLOOKUP(E6623,'Urban Plastix Holds'!$I$37:$U$705,11,0),0)</f>
        <v>#NAME?</v>
      </c>
      <c r="I6623" s="274"/>
      <c r="J6623" s="274" t="e">
        <f t="shared" ca="1" si="104"/>
        <v>#NAME?</v>
      </c>
      <c r="K6623" s="274">
        <f t="shared" si="105"/>
        <v>0</v>
      </c>
      <c r="N6623" s="274"/>
    </row>
    <row r="6624" spans="5:14" ht="13.5" customHeight="1">
      <c r="E6624" s="1" t="s">
        <v>1636</v>
      </c>
      <c r="F6624" s="1" t="s">
        <v>3128</v>
      </c>
      <c r="G6624" s="415" t="str">
        <f t="shared" si="106"/>
        <v>18-01</v>
      </c>
      <c r="H6624" s="273" t="e">
        <f ca="1">_xludf.IFNA(VLOOKUP(E6624,'Urban Plastix Holds'!$I$37:$U$705,12,0),0)</f>
        <v>#NAME?</v>
      </c>
      <c r="I6624" s="274"/>
      <c r="J6624" s="274" t="e">
        <f t="shared" ca="1" si="104"/>
        <v>#NAME?</v>
      </c>
      <c r="K6624" s="274">
        <f t="shared" si="105"/>
        <v>0</v>
      </c>
      <c r="N6624" s="274"/>
    </row>
    <row r="6625" spans="5:14" ht="13.5" customHeight="1">
      <c r="E6625" s="1" t="s">
        <v>1636</v>
      </c>
      <c r="F6625" s="1" t="s">
        <v>3128</v>
      </c>
      <c r="G6625" s="416" t="str">
        <f t="shared" si="106"/>
        <v>Color Code</v>
      </c>
      <c r="H6625" s="273" t="e">
        <f ca="1">_xludf.IFNA(VLOOKUP(E6625,'Urban Plastix Holds'!$I$37:$U$705,13,0),0)</f>
        <v>#NAME?</v>
      </c>
      <c r="I6625" s="274"/>
      <c r="J6625" s="274" t="e">
        <f t="shared" ca="1" si="104"/>
        <v>#NAME?</v>
      </c>
      <c r="K6625" s="274">
        <f t="shared" si="105"/>
        <v>0</v>
      </c>
      <c r="N6625" s="274"/>
    </row>
    <row r="6626" spans="5:14" ht="13.5" customHeight="1">
      <c r="E6626" s="1" t="s">
        <v>1638</v>
      </c>
      <c r="F6626" s="1" t="s">
        <v>3129</v>
      </c>
      <c r="G6626" s="406" t="str">
        <f t="shared" si="106"/>
        <v>11-12</v>
      </c>
      <c r="H6626" s="273" t="e">
        <f ca="1">_xludf.IFNA(VLOOKUP(E6626,'Urban Plastix Holds'!$I$37:$U$705,5,0),0)</f>
        <v>#NAME?</v>
      </c>
      <c r="I6626" s="274"/>
      <c r="J6626" s="274" t="e">
        <f t="shared" ca="1" si="104"/>
        <v>#NAME?</v>
      </c>
      <c r="K6626" s="274">
        <f t="shared" si="105"/>
        <v>0</v>
      </c>
      <c r="N6626" s="274"/>
    </row>
    <row r="6627" spans="5:14" ht="13.5" customHeight="1">
      <c r="E6627" s="1" t="s">
        <v>1638</v>
      </c>
      <c r="F6627" s="1" t="s">
        <v>3129</v>
      </c>
      <c r="G6627" s="408" t="str">
        <f t="shared" si="106"/>
        <v>14-01</v>
      </c>
      <c r="H6627" s="273" t="e">
        <f ca="1">_xludf.IFNA(VLOOKUP(E6627,'Urban Plastix Holds'!$I$37:$U$705,6,0),0)</f>
        <v>#NAME?</v>
      </c>
      <c r="I6627" s="274"/>
      <c r="J6627" s="274" t="e">
        <f t="shared" ca="1" si="104"/>
        <v>#NAME?</v>
      </c>
      <c r="K6627" s="274">
        <f t="shared" si="105"/>
        <v>0</v>
      </c>
      <c r="N6627" s="274"/>
    </row>
    <row r="6628" spans="5:14" ht="13.5" customHeight="1">
      <c r="E6628" s="1" t="s">
        <v>1638</v>
      </c>
      <c r="F6628" s="1" t="s">
        <v>3129</v>
      </c>
      <c r="G6628" s="409" t="str">
        <f t="shared" si="106"/>
        <v>15-12</v>
      </c>
      <c r="H6628" s="273" t="e">
        <f ca="1">_xludf.IFNA(VLOOKUP(E6628,'Urban Plastix Holds'!$I$37:$U$705,7,0),0)</f>
        <v>#NAME?</v>
      </c>
      <c r="I6628" s="274"/>
      <c r="J6628" s="274" t="e">
        <f t="shared" ca="1" si="104"/>
        <v>#NAME?</v>
      </c>
      <c r="K6628" s="274">
        <f t="shared" si="105"/>
        <v>0</v>
      </c>
      <c r="N6628" s="274"/>
    </row>
    <row r="6629" spans="5:14" ht="13.5" customHeight="1">
      <c r="E6629" s="1" t="s">
        <v>1638</v>
      </c>
      <c r="F6629" s="1" t="s">
        <v>3129</v>
      </c>
      <c r="G6629" s="410" t="str">
        <f t="shared" si="106"/>
        <v>16-16</v>
      </c>
      <c r="H6629" s="273" t="e">
        <f ca="1">_xludf.IFNA(VLOOKUP(E6629,'Urban Plastix Holds'!$I$37:$U$705,8,0),0)</f>
        <v>#NAME?</v>
      </c>
      <c r="I6629" s="274"/>
      <c r="J6629" s="274" t="e">
        <f t="shared" ca="1" si="104"/>
        <v>#NAME?</v>
      </c>
      <c r="K6629" s="274">
        <f t="shared" si="105"/>
        <v>0</v>
      </c>
      <c r="N6629" s="274"/>
    </row>
    <row r="6630" spans="5:14" ht="13.5" customHeight="1">
      <c r="E6630" s="1" t="s">
        <v>1638</v>
      </c>
      <c r="F6630" s="1" t="s">
        <v>3129</v>
      </c>
      <c r="G6630" s="411" t="str">
        <f t="shared" si="106"/>
        <v>13-01</v>
      </c>
      <c r="H6630" s="273" t="e">
        <f ca="1">_xludf.IFNA(VLOOKUP(E6630,'Urban Plastix Holds'!$I$37:$U$705,9,0),0)</f>
        <v>#NAME?</v>
      </c>
      <c r="I6630" s="274"/>
      <c r="J6630" s="274" t="e">
        <f t="shared" ca="1" si="104"/>
        <v>#NAME?</v>
      </c>
      <c r="K6630" s="274">
        <f t="shared" si="105"/>
        <v>0</v>
      </c>
      <c r="N6630" s="274"/>
    </row>
    <row r="6631" spans="5:14" ht="13.5" customHeight="1">
      <c r="E6631" s="1" t="s">
        <v>1638</v>
      </c>
      <c r="F6631" s="1" t="s">
        <v>3129</v>
      </c>
      <c r="G6631" s="413" t="str">
        <f t="shared" si="106"/>
        <v>07-13</v>
      </c>
      <c r="H6631" s="273" t="e">
        <f ca="1">_xludf.IFNA(VLOOKUP(E6631,'Urban Plastix Holds'!$I$37:$U$705,10,0),0)</f>
        <v>#NAME?</v>
      </c>
      <c r="I6631" s="274"/>
      <c r="J6631" s="274" t="e">
        <f t="shared" ca="1" si="104"/>
        <v>#NAME?</v>
      </c>
      <c r="K6631" s="274">
        <f t="shared" si="105"/>
        <v>0</v>
      </c>
      <c r="N6631" s="274"/>
    </row>
    <row r="6632" spans="5:14" ht="13.5" customHeight="1">
      <c r="E6632" s="1" t="s">
        <v>1638</v>
      </c>
      <c r="F6632" s="1" t="s">
        <v>3129</v>
      </c>
      <c r="G6632" s="414" t="str">
        <f t="shared" si="106"/>
        <v>11-26</v>
      </c>
      <c r="H6632" s="273" t="e">
        <f ca="1">_xludf.IFNA(VLOOKUP(E6632,'Urban Plastix Holds'!$I$37:$U$705,11,0),0)</f>
        <v>#NAME?</v>
      </c>
      <c r="I6632" s="274"/>
      <c r="J6632" s="274" t="e">
        <f t="shared" ref="J6632:J6886" ca="1" si="107">H6632*I6632</f>
        <v>#NAME?</v>
      </c>
      <c r="K6632" s="274">
        <f t="shared" ref="K6632:K6886" si="108">IF($V$11="Y",J6632*0.05,0)</f>
        <v>0</v>
      </c>
      <c r="N6632" s="274"/>
    </row>
    <row r="6633" spans="5:14" ht="13.5" customHeight="1">
      <c r="E6633" s="1" t="s">
        <v>1638</v>
      </c>
      <c r="F6633" s="1" t="s">
        <v>3129</v>
      </c>
      <c r="G6633" s="415" t="str">
        <f t="shared" si="106"/>
        <v>18-01</v>
      </c>
      <c r="H6633" s="273" t="e">
        <f ca="1">_xludf.IFNA(VLOOKUP(E6633,'Urban Plastix Holds'!$I$37:$U$705,12,0),0)</f>
        <v>#NAME?</v>
      </c>
      <c r="I6633" s="274"/>
      <c r="J6633" s="274" t="e">
        <f t="shared" ca="1" si="107"/>
        <v>#NAME?</v>
      </c>
      <c r="K6633" s="274">
        <f t="shared" si="108"/>
        <v>0</v>
      </c>
      <c r="N6633" s="274"/>
    </row>
    <row r="6634" spans="5:14" ht="13.5" customHeight="1">
      <c r="E6634" s="1" t="s">
        <v>1638</v>
      </c>
      <c r="F6634" s="1" t="s">
        <v>3129</v>
      </c>
      <c r="G6634" s="416" t="str">
        <f t="shared" si="106"/>
        <v>Color Code</v>
      </c>
      <c r="H6634" s="273" t="e">
        <f ca="1">_xludf.IFNA(VLOOKUP(E6634,'Urban Plastix Holds'!$I$37:$U$705,13,0),0)</f>
        <v>#NAME?</v>
      </c>
      <c r="I6634" s="274"/>
      <c r="J6634" s="274" t="e">
        <f t="shared" ca="1" si="107"/>
        <v>#NAME?</v>
      </c>
      <c r="K6634" s="274">
        <f t="shared" si="108"/>
        <v>0</v>
      </c>
      <c r="N6634" s="274"/>
    </row>
    <row r="6635" spans="5:14" ht="13.5" customHeight="1">
      <c r="E6635" s="1" t="s">
        <v>1669</v>
      </c>
      <c r="F6635" s="1" t="s">
        <v>3130</v>
      </c>
      <c r="G6635" s="406" t="str">
        <f t="shared" si="106"/>
        <v>11-12</v>
      </c>
      <c r="H6635" s="273" t="e">
        <f ca="1">_xludf.IFNA(VLOOKUP(E6635,'Urban Plastix Holds'!$I$37:$U$705,5,0),0)</f>
        <v>#NAME?</v>
      </c>
      <c r="I6635" s="274"/>
      <c r="J6635" s="274" t="e">
        <f t="shared" ca="1" si="107"/>
        <v>#NAME?</v>
      </c>
      <c r="K6635" s="274">
        <f t="shared" si="108"/>
        <v>0</v>
      </c>
      <c r="N6635" s="274"/>
    </row>
    <row r="6636" spans="5:14" ht="13.5" customHeight="1">
      <c r="E6636" s="1" t="s">
        <v>1669</v>
      </c>
      <c r="F6636" s="1" t="s">
        <v>3130</v>
      </c>
      <c r="G6636" s="408" t="str">
        <f t="shared" si="106"/>
        <v>14-01</v>
      </c>
      <c r="H6636" s="273" t="e">
        <f ca="1">_xludf.IFNA(VLOOKUP(E6636,'Urban Plastix Holds'!$I$37:$U$705,6,0),0)</f>
        <v>#NAME?</v>
      </c>
      <c r="I6636" s="274"/>
      <c r="J6636" s="274" t="e">
        <f t="shared" ca="1" si="107"/>
        <v>#NAME?</v>
      </c>
      <c r="K6636" s="274">
        <f t="shared" si="108"/>
        <v>0</v>
      </c>
      <c r="N6636" s="274"/>
    </row>
    <row r="6637" spans="5:14" ht="13.5" customHeight="1">
      <c r="E6637" s="1" t="s">
        <v>1669</v>
      </c>
      <c r="F6637" s="1" t="s">
        <v>3130</v>
      </c>
      <c r="G6637" s="409" t="str">
        <f t="shared" si="106"/>
        <v>15-12</v>
      </c>
      <c r="H6637" s="273" t="e">
        <f ca="1">_xludf.IFNA(VLOOKUP(E6637,'Urban Plastix Holds'!$I$37:$U$705,7,0),0)</f>
        <v>#NAME?</v>
      </c>
      <c r="I6637" s="274"/>
      <c r="J6637" s="274" t="e">
        <f t="shared" ca="1" si="107"/>
        <v>#NAME?</v>
      </c>
      <c r="K6637" s="274">
        <f t="shared" si="108"/>
        <v>0</v>
      </c>
      <c r="N6637" s="274"/>
    </row>
    <row r="6638" spans="5:14" ht="13.5" customHeight="1">
      <c r="E6638" s="1" t="s">
        <v>1669</v>
      </c>
      <c r="F6638" s="1" t="s">
        <v>3130</v>
      </c>
      <c r="G6638" s="410" t="str">
        <f t="shared" si="106"/>
        <v>16-16</v>
      </c>
      <c r="H6638" s="273" t="e">
        <f ca="1">_xludf.IFNA(VLOOKUP(E6638,'Urban Plastix Holds'!$I$37:$U$705,8,0),0)</f>
        <v>#NAME?</v>
      </c>
      <c r="I6638" s="274"/>
      <c r="J6638" s="274" t="e">
        <f t="shared" ca="1" si="107"/>
        <v>#NAME?</v>
      </c>
      <c r="K6638" s="274">
        <f t="shared" si="108"/>
        <v>0</v>
      </c>
      <c r="N6638" s="274"/>
    </row>
    <row r="6639" spans="5:14" ht="13.5" customHeight="1">
      <c r="E6639" s="1" t="s">
        <v>1669</v>
      </c>
      <c r="F6639" s="1" t="s">
        <v>3130</v>
      </c>
      <c r="G6639" s="411" t="str">
        <f t="shared" si="106"/>
        <v>13-01</v>
      </c>
      <c r="H6639" s="273" t="e">
        <f ca="1">_xludf.IFNA(VLOOKUP(E6639,'Urban Plastix Holds'!$I$37:$U$705,9,0),0)</f>
        <v>#NAME?</v>
      </c>
      <c r="I6639" s="274"/>
      <c r="J6639" s="274" t="e">
        <f t="shared" ca="1" si="107"/>
        <v>#NAME?</v>
      </c>
      <c r="K6639" s="274">
        <f t="shared" si="108"/>
        <v>0</v>
      </c>
      <c r="N6639" s="274"/>
    </row>
    <row r="6640" spans="5:14" ht="13.5" customHeight="1">
      <c r="E6640" s="1" t="s">
        <v>1669</v>
      </c>
      <c r="F6640" s="1" t="s">
        <v>3130</v>
      </c>
      <c r="G6640" s="413" t="str">
        <f t="shared" si="106"/>
        <v>07-13</v>
      </c>
      <c r="H6640" s="273" t="e">
        <f ca="1">_xludf.IFNA(VLOOKUP(E6640,'Urban Plastix Holds'!$I$37:$U$705,10,0),0)</f>
        <v>#NAME?</v>
      </c>
      <c r="I6640" s="274"/>
      <c r="J6640" s="274" t="e">
        <f t="shared" ca="1" si="107"/>
        <v>#NAME?</v>
      </c>
      <c r="K6640" s="274">
        <f t="shared" si="108"/>
        <v>0</v>
      </c>
      <c r="N6640" s="274"/>
    </row>
    <row r="6641" spans="5:14" ht="13.5" customHeight="1">
      <c r="E6641" s="1" t="s">
        <v>1669</v>
      </c>
      <c r="F6641" s="1" t="s">
        <v>3130</v>
      </c>
      <c r="G6641" s="414" t="str">
        <f t="shared" si="106"/>
        <v>11-26</v>
      </c>
      <c r="H6641" s="273" t="e">
        <f ca="1">_xludf.IFNA(VLOOKUP(E6641,'Urban Plastix Holds'!$I$37:$U$705,11,0),0)</f>
        <v>#NAME?</v>
      </c>
      <c r="I6641" s="274"/>
      <c r="J6641" s="274" t="e">
        <f t="shared" ca="1" si="107"/>
        <v>#NAME?</v>
      </c>
      <c r="K6641" s="274">
        <f t="shared" si="108"/>
        <v>0</v>
      </c>
      <c r="N6641" s="274"/>
    </row>
    <row r="6642" spans="5:14" ht="13.5" customHeight="1">
      <c r="E6642" s="1" t="s">
        <v>1669</v>
      </c>
      <c r="F6642" s="1" t="s">
        <v>3130</v>
      </c>
      <c r="G6642" s="415" t="str">
        <f t="shared" si="106"/>
        <v>18-01</v>
      </c>
      <c r="H6642" s="273" t="e">
        <f ca="1">_xludf.IFNA(VLOOKUP(E6642,'Urban Plastix Holds'!$I$37:$U$705,12,0),0)</f>
        <v>#NAME?</v>
      </c>
      <c r="I6642" s="274"/>
      <c r="J6642" s="274" t="e">
        <f t="shared" ca="1" si="107"/>
        <v>#NAME?</v>
      </c>
      <c r="K6642" s="274">
        <f t="shared" si="108"/>
        <v>0</v>
      </c>
      <c r="N6642" s="274"/>
    </row>
    <row r="6643" spans="5:14" ht="13.5" customHeight="1">
      <c r="E6643" s="1" t="s">
        <v>1669</v>
      </c>
      <c r="F6643" s="1" t="s">
        <v>3130</v>
      </c>
      <c r="G6643" s="416" t="str">
        <f t="shared" si="106"/>
        <v>Color Code</v>
      </c>
      <c r="H6643" s="273" t="e">
        <f ca="1">_xludf.IFNA(VLOOKUP(E6643,'Urban Plastix Holds'!$I$37:$U$705,13,0),0)</f>
        <v>#NAME?</v>
      </c>
      <c r="I6643" s="274"/>
      <c r="J6643" s="274" t="e">
        <f t="shared" ca="1" si="107"/>
        <v>#NAME?</v>
      </c>
      <c r="K6643" s="274">
        <f t="shared" si="108"/>
        <v>0</v>
      </c>
      <c r="N6643" s="274"/>
    </row>
    <row r="6644" spans="5:14" ht="13.5" customHeight="1">
      <c r="E6644" s="1" t="s">
        <v>1640</v>
      </c>
      <c r="F6644" s="1" t="s">
        <v>3131</v>
      </c>
      <c r="G6644" s="406" t="str">
        <f t="shared" si="106"/>
        <v>11-12</v>
      </c>
      <c r="H6644" s="273" t="e">
        <f ca="1">_xludf.IFNA(VLOOKUP(E6644,'Urban Plastix Holds'!$I$37:$U$705,5,0),0)</f>
        <v>#NAME?</v>
      </c>
      <c r="I6644" s="274"/>
      <c r="J6644" s="274" t="e">
        <f t="shared" ca="1" si="107"/>
        <v>#NAME?</v>
      </c>
      <c r="K6644" s="274">
        <f t="shared" si="108"/>
        <v>0</v>
      </c>
      <c r="N6644" s="274"/>
    </row>
    <row r="6645" spans="5:14" ht="13.5" customHeight="1">
      <c r="E6645" s="1" t="s">
        <v>1640</v>
      </c>
      <c r="F6645" s="1" t="s">
        <v>3131</v>
      </c>
      <c r="G6645" s="408" t="str">
        <f t="shared" si="106"/>
        <v>14-01</v>
      </c>
      <c r="H6645" s="273" t="e">
        <f ca="1">_xludf.IFNA(VLOOKUP(E6645,'Urban Plastix Holds'!$I$37:$U$705,6,0),0)</f>
        <v>#NAME?</v>
      </c>
      <c r="I6645" s="274"/>
      <c r="J6645" s="274" t="e">
        <f t="shared" ca="1" si="107"/>
        <v>#NAME?</v>
      </c>
      <c r="K6645" s="274">
        <f t="shared" si="108"/>
        <v>0</v>
      </c>
      <c r="N6645" s="274"/>
    </row>
    <row r="6646" spans="5:14" ht="13.5" customHeight="1">
      <c r="E6646" s="1" t="s">
        <v>1640</v>
      </c>
      <c r="F6646" s="1" t="s">
        <v>3131</v>
      </c>
      <c r="G6646" s="409" t="str">
        <f t="shared" si="106"/>
        <v>15-12</v>
      </c>
      <c r="H6646" s="273" t="e">
        <f ca="1">_xludf.IFNA(VLOOKUP(E6646,'Urban Plastix Holds'!$I$37:$U$705,7,0),0)</f>
        <v>#NAME?</v>
      </c>
      <c r="I6646" s="274"/>
      <c r="J6646" s="274" t="e">
        <f t="shared" ca="1" si="107"/>
        <v>#NAME?</v>
      </c>
      <c r="K6646" s="274">
        <f t="shared" si="108"/>
        <v>0</v>
      </c>
      <c r="N6646" s="274"/>
    </row>
    <row r="6647" spans="5:14" ht="13.5" customHeight="1">
      <c r="E6647" s="1" t="s">
        <v>1640</v>
      </c>
      <c r="F6647" s="1" t="s">
        <v>3131</v>
      </c>
      <c r="G6647" s="410" t="str">
        <f t="shared" si="106"/>
        <v>16-16</v>
      </c>
      <c r="H6647" s="273" t="e">
        <f ca="1">_xludf.IFNA(VLOOKUP(E6647,'Urban Plastix Holds'!$I$37:$U$705,8,0),0)</f>
        <v>#NAME?</v>
      </c>
      <c r="I6647" s="274"/>
      <c r="J6647" s="274" t="e">
        <f t="shared" ca="1" si="107"/>
        <v>#NAME?</v>
      </c>
      <c r="K6647" s="274">
        <f t="shared" si="108"/>
        <v>0</v>
      </c>
      <c r="N6647" s="274"/>
    </row>
    <row r="6648" spans="5:14" ht="13.5" customHeight="1">
      <c r="E6648" s="1" t="s">
        <v>1640</v>
      </c>
      <c r="F6648" s="1" t="s">
        <v>3131</v>
      </c>
      <c r="G6648" s="411" t="str">
        <f t="shared" si="106"/>
        <v>13-01</v>
      </c>
      <c r="H6648" s="273" t="e">
        <f ca="1">_xludf.IFNA(VLOOKUP(E6648,'Urban Plastix Holds'!$I$37:$U$705,9,0),0)</f>
        <v>#NAME?</v>
      </c>
      <c r="I6648" s="274"/>
      <c r="J6648" s="274" t="e">
        <f t="shared" ca="1" si="107"/>
        <v>#NAME?</v>
      </c>
      <c r="K6648" s="274">
        <f t="shared" si="108"/>
        <v>0</v>
      </c>
      <c r="N6648" s="274"/>
    </row>
    <row r="6649" spans="5:14" ht="13.5" customHeight="1">
      <c r="E6649" s="1" t="s">
        <v>1640</v>
      </c>
      <c r="F6649" s="1" t="s">
        <v>3131</v>
      </c>
      <c r="G6649" s="413" t="str">
        <f t="shared" si="106"/>
        <v>07-13</v>
      </c>
      <c r="H6649" s="273" t="e">
        <f ca="1">_xludf.IFNA(VLOOKUP(E6649,'Urban Plastix Holds'!$I$37:$U$705,10,0),0)</f>
        <v>#NAME?</v>
      </c>
      <c r="I6649" s="274"/>
      <c r="J6649" s="274" t="e">
        <f t="shared" ca="1" si="107"/>
        <v>#NAME?</v>
      </c>
      <c r="K6649" s="274">
        <f t="shared" si="108"/>
        <v>0</v>
      </c>
      <c r="N6649" s="274"/>
    </row>
    <row r="6650" spans="5:14" ht="13.5" customHeight="1">
      <c r="E6650" s="1" t="s">
        <v>1640</v>
      </c>
      <c r="F6650" s="1" t="s">
        <v>3131</v>
      </c>
      <c r="G6650" s="414" t="str">
        <f t="shared" si="106"/>
        <v>11-26</v>
      </c>
      <c r="H6650" s="273" t="e">
        <f ca="1">_xludf.IFNA(VLOOKUP(E6650,'Urban Plastix Holds'!$I$37:$U$705,11,0),0)</f>
        <v>#NAME?</v>
      </c>
      <c r="I6650" s="274"/>
      <c r="J6650" s="274" t="e">
        <f t="shared" ca="1" si="107"/>
        <v>#NAME?</v>
      </c>
      <c r="K6650" s="274">
        <f t="shared" si="108"/>
        <v>0</v>
      </c>
      <c r="N6650" s="274"/>
    </row>
    <row r="6651" spans="5:14" ht="13.5" customHeight="1">
      <c r="E6651" s="1" t="s">
        <v>1640</v>
      </c>
      <c r="F6651" s="1" t="s">
        <v>3131</v>
      </c>
      <c r="G6651" s="415" t="str">
        <f t="shared" si="106"/>
        <v>18-01</v>
      </c>
      <c r="H6651" s="273" t="e">
        <f ca="1">_xludf.IFNA(VLOOKUP(E6651,'Urban Plastix Holds'!$I$37:$U$705,12,0),0)</f>
        <v>#NAME?</v>
      </c>
      <c r="I6651" s="274"/>
      <c r="J6651" s="274" t="e">
        <f t="shared" ca="1" si="107"/>
        <v>#NAME?</v>
      </c>
      <c r="K6651" s="274">
        <f t="shared" si="108"/>
        <v>0</v>
      </c>
      <c r="N6651" s="274"/>
    </row>
    <row r="6652" spans="5:14" ht="13.5" customHeight="1">
      <c r="E6652" s="1" t="s">
        <v>1640</v>
      </c>
      <c r="F6652" s="1" t="s">
        <v>3131</v>
      </c>
      <c r="G6652" s="416" t="str">
        <f t="shared" si="106"/>
        <v>Color Code</v>
      </c>
      <c r="H6652" s="273" t="e">
        <f ca="1">_xludf.IFNA(VLOOKUP(E6652,'Urban Plastix Holds'!$I$37:$U$705,13,0),0)</f>
        <v>#NAME?</v>
      </c>
      <c r="I6652" s="274"/>
      <c r="J6652" s="274" t="e">
        <f t="shared" ca="1" si="107"/>
        <v>#NAME?</v>
      </c>
      <c r="K6652" s="274">
        <f t="shared" si="108"/>
        <v>0</v>
      </c>
      <c r="N6652" s="274"/>
    </row>
    <row r="6653" spans="5:14" ht="13.5" customHeight="1">
      <c r="E6653" s="1" t="s">
        <v>1591</v>
      </c>
      <c r="F6653" s="1" t="s">
        <v>3132</v>
      </c>
      <c r="G6653" s="406" t="str">
        <f t="shared" si="106"/>
        <v>11-12</v>
      </c>
      <c r="H6653" s="273" t="e">
        <f ca="1">_xludf.IFNA(VLOOKUP(E6653,'Urban Plastix Holds'!$I$37:$U$705,5,0),0)</f>
        <v>#NAME?</v>
      </c>
      <c r="I6653" s="274"/>
      <c r="J6653" s="274" t="e">
        <f t="shared" ca="1" si="107"/>
        <v>#NAME?</v>
      </c>
      <c r="K6653" s="274">
        <f t="shared" si="108"/>
        <v>0</v>
      </c>
      <c r="N6653" s="274"/>
    </row>
    <row r="6654" spans="5:14" ht="13.5" customHeight="1">
      <c r="E6654" s="1" t="s">
        <v>1591</v>
      </c>
      <c r="F6654" s="1" t="s">
        <v>3132</v>
      </c>
      <c r="G6654" s="408" t="str">
        <f t="shared" si="106"/>
        <v>14-01</v>
      </c>
      <c r="H6654" s="273" t="e">
        <f ca="1">_xludf.IFNA(VLOOKUP(E6654,'Urban Plastix Holds'!$I$37:$U$705,6,0),0)</f>
        <v>#NAME?</v>
      </c>
      <c r="I6654" s="274"/>
      <c r="J6654" s="274" t="e">
        <f t="shared" ca="1" si="107"/>
        <v>#NAME?</v>
      </c>
      <c r="K6654" s="274">
        <f t="shared" si="108"/>
        <v>0</v>
      </c>
      <c r="N6654" s="274"/>
    </row>
    <row r="6655" spans="5:14" ht="13.5" customHeight="1">
      <c r="E6655" s="1" t="s">
        <v>1591</v>
      </c>
      <c r="F6655" s="1" t="s">
        <v>3132</v>
      </c>
      <c r="G6655" s="409" t="str">
        <f t="shared" si="106"/>
        <v>15-12</v>
      </c>
      <c r="H6655" s="273" t="e">
        <f ca="1">_xludf.IFNA(VLOOKUP(E6655,'Urban Plastix Holds'!$I$37:$U$705,7,0),0)</f>
        <v>#NAME?</v>
      </c>
      <c r="I6655" s="274"/>
      <c r="J6655" s="274" t="e">
        <f t="shared" ca="1" si="107"/>
        <v>#NAME?</v>
      </c>
      <c r="K6655" s="274">
        <f t="shared" si="108"/>
        <v>0</v>
      </c>
      <c r="N6655" s="274"/>
    </row>
    <row r="6656" spans="5:14" ht="13.5" customHeight="1">
      <c r="E6656" s="1" t="s">
        <v>1591</v>
      </c>
      <c r="F6656" s="1" t="s">
        <v>3132</v>
      </c>
      <c r="G6656" s="410" t="str">
        <f t="shared" si="106"/>
        <v>16-16</v>
      </c>
      <c r="H6656" s="273" t="e">
        <f ca="1">_xludf.IFNA(VLOOKUP(E6656,'Urban Plastix Holds'!$I$37:$U$705,8,0),0)</f>
        <v>#NAME?</v>
      </c>
      <c r="I6656" s="274"/>
      <c r="J6656" s="274" t="e">
        <f t="shared" ca="1" si="107"/>
        <v>#NAME?</v>
      </c>
      <c r="K6656" s="274">
        <f t="shared" si="108"/>
        <v>0</v>
      </c>
      <c r="N6656" s="274"/>
    </row>
    <row r="6657" spans="5:14" ht="13.5" customHeight="1">
      <c r="E6657" s="1" t="s">
        <v>1591</v>
      </c>
      <c r="F6657" s="1" t="s">
        <v>3132</v>
      </c>
      <c r="G6657" s="411" t="str">
        <f t="shared" si="106"/>
        <v>13-01</v>
      </c>
      <c r="H6657" s="273" t="e">
        <f ca="1">_xludf.IFNA(VLOOKUP(E6657,'Urban Plastix Holds'!$I$37:$U$705,9,0),0)</f>
        <v>#NAME?</v>
      </c>
      <c r="I6657" s="274"/>
      <c r="J6657" s="274" t="e">
        <f t="shared" ca="1" si="107"/>
        <v>#NAME?</v>
      </c>
      <c r="K6657" s="274">
        <f t="shared" si="108"/>
        <v>0</v>
      </c>
      <c r="N6657" s="274"/>
    </row>
    <row r="6658" spans="5:14" ht="13.5" customHeight="1">
      <c r="E6658" s="1" t="s">
        <v>1591</v>
      </c>
      <c r="F6658" s="1" t="s">
        <v>3132</v>
      </c>
      <c r="G6658" s="413" t="str">
        <f t="shared" si="106"/>
        <v>07-13</v>
      </c>
      <c r="H6658" s="273" t="e">
        <f ca="1">_xludf.IFNA(VLOOKUP(E6658,'Urban Plastix Holds'!$I$37:$U$705,10,0),0)</f>
        <v>#NAME?</v>
      </c>
      <c r="I6658" s="274"/>
      <c r="J6658" s="274" t="e">
        <f t="shared" ca="1" si="107"/>
        <v>#NAME?</v>
      </c>
      <c r="K6658" s="274">
        <f t="shared" si="108"/>
        <v>0</v>
      </c>
      <c r="N6658" s="274"/>
    </row>
    <row r="6659" spans="5:14" ht="13.5" customHeight="1">
      <c r="E6659" s="1" t="s">
        <v>1591</v>
      </c>
      <c r="F6659" s="1" t="s">
        <v>3132</v>
      </c>
      <c r="G6659" s="414" t="str">
        <f t="shared" si="106"/>
        <v>11-26</v>
      </c>
      <c r="H6659" s="273" t="e">
        <f ca="1">_xludf.IFNA(VLOOKUP(E6659,'Urban Plastix Holds'!$I$37:$U$705,11,0),0)</f>
        <v>#NAME?</v>
      </c>
      <c r="I6659" s="274"/>
      <c r="J6659" s="274" t="e">
        <f t="shared" ca="1" si="107"/>
        <v>#NAME?</v>
      </c>
      <c r="K6659" s="274">
        <f t="shared" si="108"/>
        <v>0</v>
      </c>
      <c r="N6659" s="274"/>
    </row>
    <row r="6660" spans="5:14" ht="13.5" customHeight="1">
      <c r="E6660" s="1" t="s">
        <v>1591</v>
      </c>
      <c r="F6660" s="1" t="s">
        <v>3132</v>
      </c>
      <c r="G6660" s="415" t="str">
        <f t="shared" si="106"/>
        <v>18-01</v>
      </c>
      <c r="H6660" s="273" t="e">
        <f ca="1">_xludf.IFNA(VLOOKUP(E6660,'Urban Plastix Holds'!$I$37:$U$705,12,0),0)</f>
        <v>#NAME?</v>
      </c>
      <c r="I6660" s="274"/>
      <c r="J6660" s="274" t="e">
        <f t="shared" ca="1" si="107"/>
        <v>#NAME?</v>
      </c>
      <c r="K6660" s="274">
        <f t="shared" si="108"/>
        <v>0</v>
      </c>
      <c r="N6660" s="274"/>
    </row>
    <row r="6661" spans="5:14" ht="13.5" customHeight="1">
      <c r="E6661" s="1" t="s">
        <v>1591</v>
      </c>
      <c r="F6661" s="1" t="s">
        <v>3132</v>
      </c>
      <c r="G6661" s="416" t="str">
        <f t="shared" si="106"/>
        <v>Color Code</v>
      </c>
      <c r="H6661" s="273" t="e">
        <f ca="1">_xludf.IFNA(VLOOKUP(E6661,'Urban Plastix Holds'!$I$37:$U$705,13,0),0)</f>
        <v>#NAME?</v>
      </c>
      <c r="I6661" s="274"/>
      <c r="J6661" s="274" t="e">
        <f t="shared" ca="1" si="107"/>
        <v>#NAME?</v>
      </c>
      <c r="K6661" s="274">
        <f t="shared" si="108"/>
        <v>0</v>
      </c>
      <c r="N6661" s="274"/>
    </row>
    <row r="6662" spans="5:14" ht="13.5" customHeight="1">
      <c r="E6662" s="1" t="s">
        <v>1357</v>
      </c>
      <c r="F6662" s="1" t="s">
        <v>3133</v>
      </c>
      <c r="G6662" s="406" t="str">
        <f t="shared" si="106"/>
        <v>11-12</v>
      </c>
      <c r="H6662" s="273" t="e">
        <f ca="1">_xludf.IFNA(VLOOKUP(E6662,'Urban Plastix Holds'!$I$37:$U$705,5,0),0)</f>
        <v>#NAME?</v>
      </c>
      <c r="I6662" s="274"/>
      <c r="J6662" s="274" t="e">
        <f t="shared" ca="1" si="107"/>
        <v>#NAME?</v>
      </c>
      <c r="K6662" s="274">
        <f t="shared" si="108"/>
        <v>0</v>
      </c>
      <c r="N6662" s="274"/>
    </row>
    <row r="6663" spans="5:14" ht="13.5" customHeight="1">
      <c r="E6663" s="1" t="s">
        <v>1357</v>
      </c>
      <c r="F6663" s="1" t="s">
        <v>3133</v>
      </c>
      <c r="G6663" s="408" t="str">
        <f t="shared" si="106"/>
        <v>14-01</v>
      </c>
      <c r="H6663" s="273" t="e">
        <f ca="1">_xludf.IFNA(VLOOKUP(E6663,'Urban Plastix Holds'!$I$37:$U$705,6,0),0)</f>
        <v>#NAME?</v>
      </c>
      <c r="I6663" s="274"/>
      <c r="J6663" s="274" t="e">
        <f t="shared" ca="1" si="107"/>
        <v>#NAME?</v>
      </c>
      <c r="K6663" s="274">
        <f t="shared" si="108"/>
        <v>0</v>
      </c>
      <c r="N6663" s="274"/>
    </row>
    <row r="6664" spans="5:14" ht="13.5" customHeight="1">
      <c r="E6664" s="1" t="s">
        <v>1357</v>
      </c>
      <c r="F6664" s="1" t="s">
        <v>3133</v>
      </c>
      <c r="G6664" s="409" t="str">
        <f t="shared" si="106"/>
        <v>15-12</v>
      </c>
      <c r="H6664" s="273" t="e">
        <f ca="1">_xludf.IFNA(VLOOKUP(E6664,'Urban Plastix Holds'!$I$37:$U$705,7,0),0)</f>
        <v>#NAME?</v>
      </c>
      <c r="I6664" s="274"/>
      <c r="J6664" s="274" t="e">
        <f t="shared" ca="1" si="107"/>
        <v>#NAME?</v>
      </c>
      <c r="K6664" s="274">
        <f t="shared" si="108"/>
        <v>0</v>
      </c>
      <c r="N6664" s="274"/>
    </row>
    <row r="6665" spans="5:14" ht="13.5" customHeight="1">
      <c r="E6665" s="1" t="s">
        <v>1357</v>
      </c>
      <c r="F6665" s="1" t="s">
        <v>3133</v>
      </c>
      <c r="G6665" s="410" t="str">
        <f t="shared" si="106"/>
        <v>16-16</v>
      </c>
      <c r="H6665" s="273" t="e">
        <f ca="1">_xludf.IFNA(VLOOKUP(E6665,'Urban Plastix Holds'!$I$37:$U$705,8,0),0)</f>
        <v>#NAME?</v>
      </c>
      <c r="I6665" s="274"/>
      <c r="J6665" s="274" t="e">
        <f t="shared" ca="1" si="107"/>
        <v>#NAME?</v>
      </c>
      <c r="K6665" s="274">
        <f t="shared" si="108"/>
        <v>0</v>
      </c>
      <c r="N6665" s="274"/>
    </row>
    <row r="6666" spans="5:14" ht="13.5" customHeight="1">
      <c r="E6666" s="1" t="s">
        <v>1357</v>
      </c>
      <c r="F6666" s="1" t="s">
        <v>3133</v>
      </c>
      <c r="G6666" s="411" t="str">
        <f t="shared" si="106"/>
        <v>13-01</v>
      </c>
      <c r="H6666" s="273" t="e">
        <f ca="1">_xludf.IFNA(VLOOKUP(E6666,'Urban Plastix Holds'!$I$37:$U$705,9,0),0)</f>
        <v>#NAME?</v>
      </c>
      <c r="I6666" s="274"/>
      <c r="J6666" s="274" t="e">
        <f t="shared" ca="1" si="107"/>
        <v>#NAME?</v>
      </c>
      <c r="K6666" s="274">
        <f t="shared" si="108"/>
        <v>0</v>
      </c>
      <c r="N6666" s="274"/>
    </row>
    <row r="6667" spans="5:14" ht="13.5" customHeight="1">
      <c r="E6667" s="1" t="s">
        <v>1357</v>
      </c>
      <c r="F6667" s="1" t="s">
        <v>3133</v>
      </c>
      <c r="G6667" s="413" t="str">
        <f t="shared" si="106"/>
        <v>07-13</v>
      </c>
      <c r="H6667" s="273" t="e">
        <f ca="1">_xludf.IFNA(VLOOKUP(E6667,'Urban Plastix Holds'!$I$37:$U$705,10,0),0)</f>
        <v>#NAME?</v>
      </c>
      <c r="I6667" s="274"/>
      <c r="J6667" s="274" t="e">
        <f t="shared" ca="1" si="107"/>
        <v>#NAME?</v>
      </c>
      <c r="K6667" s="274">
        <f t="shared" si="108"/>
        <v>0</v>
      </c>
      <c r="N6667" s="274"/>
    </row>
    <row r="6668" spans="5:14" ht="13.5" customHeight="1">
      <c r="E6668" s="1" t="s">
        <v>1357</v>
      </c>
      <c r="F6668" s="1" t="s">
        <v>3133</v>
      </c>
      <c r="G6668" s="414" t="str">
        <f t="shared" si="106"/>
        <v>11-26</v>
      </c>
      <c r="H6668" s="273" t="e">
        <f ca="1">_xludf.IFNA(VLOOKUP(E6668,'Urban Plastix Holds'!$I$37:$U$705,11,0),0)</f>
        <v>#NAME?</v>
      </c>
      <c r="I6668" s="274"/>
      <c r="J6668" s="274" t="e">
        <f t="shared" ca="1" si="107"/>
        <v>#NAME?</v>
      </c>
      <c r="K6668" s="274">
        <f t="shared" si="108"/>
        <v>0</v>
      </c>
      <c r="N6668" s="274"/>
    </row>
    <row r="6669" spans="5:14" ht="13.5" customHeight="1">
      <c r="E6669" s="1" t="s">
        <v>1357</v>
      </c>
      <c r="F6669" s="1" t="s">
        <v>3133</v>
      </c>
      <c r="G6669" s="415" t="str">
        <f t="shared" si="106"/>
        <v>18-01</v>
      </c>
      <c r="H6669" s="273" t="e">
        <f ca="1">_xludf.IFNA(VLOOKUP(E6669,'Urban Plastix Holds'!$I$37:$U$705,12,0),0)</f>
        <v>#NAME?</v>
      </c>
      <c r="I6669" s="274"/>
      <c r="J6669" s="274" t="e">
        <f t="shared" ca="1" si="107"/>
        <v>#NAME?</v>
      </c>
      <c r="K6669" s="274">
        <f t="shared" si="108"/>
        <v>0</v>
      </c>
      <c r="N6669" s="274"/>
    </row>
    <row r="6670" spans="5:14" ht="13.5" customHeight="1">
      <c r="E6670" s="1" t="s">
        <v>1357</v>
      </c>
      <c r="F6670" s="1" t="s">
        <v>3133</v>
      </c>
      <c r="G6670" s="416" t="str">
        <f t="shared" si="106"/>
        <v>Color Code</v>
      </c>
      <c r="H6670" s="273" t="e">
        <f ca="1">_xludf.IFNA(VLOOKUP(E6670,'Urban Plastix Holds'!$I$37:$U$705,13,0),0)</f>
        <v>#NAME?</v>
      </c>
      <c r="I6670" s="274"/>
      <c r="J6670" s="274" t="e">
        <f t="shared" ca="1" si="107"/>
        <v>#NAME?</v>
      </c>
      <c r="K6670" s="274">
        <f t="shared" si="108"/>
        <v>0</v>
      </c>
      <c r="N6670" s="274"/>
    </row>
    <row r="6671" spans="5:14" ht="13.5" customHeight="1">
      <c r="E6671" s="1" t="s">
        <v>1359</v>
      </c>
      <c r="F6671" s="1" t="s">
        <v>3134</v>
      </c>
      <c r="G6671" s="406" t="str">
        <f t="shared" si="106"/>
        <v>11-12</v>
      </c>
      <c r="H6671" s="273" t="e">
        <f ca="1">_xludf.IFNA(VLOOKUP(E6671,'Urban Plastix Holds'!$I$37:$U$705,5,0),0)</f>
        <v>#NAME?</v>
      </c>
      <c r="I6671" s="274"/>
      <c r="J6671" s="274" t="e">
        <f t="shared" ca="1" si="107"/>
        <v>#NAME?</v>
      </c>
      <c r="K6671" s="274">
        <f t="shared" si="108"/>
        <v>0</v>
      </c>
      <c r="N6671" s="274"/>
    </row>
    <row r="6672" spans="5:14" ht="13.5" customHeight="1">
      <c r="E6672" s="1" t="s">
        <v>1359</v>
      </c>
      <c r="F6672" s="1" t="s">
        <v>3134</v>
      </c>
      <c r="G6672" s="408" t="str">
        <f t="shared" si="106"/>
        <v>14-01</v>
      </c>
      <c r="H6672" s="273" t="e">
        <f ca="1">_xludf.IFNA(VLOOKUP(E6672,'Urban Plastix Holds'!$I$37:$U$705,6,0),0)</f>
        <v>#NAME?</v>
      </c>
      <c r="I6672" s="274"/>
      <c r="J6672" s="274" t="e">
        <f t="shared" ca="1" si="107"/>
        <v>#NAME?</v>
      </c>
      <c r="K6672" s="274">
        <f t="shared" si="108"/>
        <v>0</v>
      </c>
      <c r="N6672" s="274"/>
    </row>
    <row r="6673" spans="5:14" ht="13.5" customHeight="1">
      <c r="E6673" s="1" t="s">
        <v>1359</v>
      </c>
      <c r="F6673" s="1" t="s">
        <v>3134</v>
      </c>
      <c r="G6673" s="409" t="str">
        <f t="shared" si="106"/>
        <v>15-12</v>
      </c>
      <c r="H6673" s="273" t="e">
        <f ca="1">_xludf.IFNA(VLOOKUP(E6673,'Urban Plastix Holds'!$I$37:$U$705,7,0),0)</f>
        <v>#NAME?</v>
      </c>
      <c r="I6673" s="274"/>
      <c r="J6673" s="274" t="e">
        <f t="shared" ca="1" si="107"/>
        <v>#NAME?</v>
      </c>
      <c r="K6673" s="274">
        <f t="shared" si="108"/>
        <v>0</v>
      </c>
      <c r="N6673" s="274"/>
    </row>
    <row r="6674" spans="5:14" ht="13.5" customHeight="1">
      <c r="E6674" s="1" t="s">
        <v>1359</v>
      </c>
      <c r="F6674" s="1" t="s">
        <v>3134</v>
      </c>
      <c r="G6674" s="410" t="str">
        <f t="shared" si="106"/>
        <v>16-16</v>
      </c>
      <c r="H6674" s="273" t="e">
        <f ca="1">_xludf.IFNA(VLOOKUP(E6674,'Urban Plastix Holds'!$I$37:$U$705,8,0),0)</f>
        <v>#NAME?</v>
      </c>
      <c r="I6674" s="274"/>
      <c r="J6674" s="274" t="e">
        <f t="shared" ca="1" si="107"/>
        <v>#NAME?</v>
      </c>
      <c r="K6674" s="274">
        <f t="shared" si="108"/>
        <v>0</v>
      </c>
      <c r="N6674" s="274"/>
    </row>
    <row r="6675" spans="5:14" ht="13.5" customHeight="1">
      <c r="E6675" s="1" t="s">
        <v>1359</v>
      </c>
      <c r="F6675" s="1" t="s">
        <v>3134</v>
      </c>
      <c r="G6675" s="411" t="str">
        <f t="shared" si="106"/>
        <v>13-01</v>
      </c>
      <c r="H6675" s="273" t="e">
        <f ca="1">_xludf.IFNA(VLOOKUP(E6675,'Urban Plastix Holds'!$I$37:$U$705,9,0),0)</f>
        <v>#NAME?</v>
      </c>
      <c r="I6675" s="274"/>
      <c r="J6675" s="274" t="e">
        <f t="shared" ca="1" si="107"/>
        <v>#NAME?</v>
      </c>
      <c r="K6675" s="274">
        <f t="shared" si="108"/>
        <v>0</v>
      </c>
      <c r="N6675" s="274"/>
    </row>
    <row r="6676" spans="5:14" ht="13.5" customHeight="1">
      <c r="E6676" s="1" t="s">
        <v>1359</v>
      </c>
      <c r="F6676" s="1" t="s">
        <v>3134</v>
      </c>
      <c r="G6676" s="413" t="str">
        <f t="shared" si="106"/>
        <v>07-13</v>
      </c>
      <c r="H6676" s="273" t="e">
        <f ca="1">_xludf.IFNA(VLOOKUP(E6676,'Urban Plastix Holds'!$I$37:$U$705,10,0),0)</f>
        <v>#NAME?</v>
      </c>
      <c r="I6676" s="274"/>
      <c r="J6676" s="274" t="e">
        <f t="shared" ca="1" si="107"/>
        <v>#NAME?</v>
      </c>
      <c r="K6676" s="274">
        <f t="shared" si="108"/>
        <v>0</v>
      </c>
      <c r="N6676" s="274"/>
    </row>
    <row r="6677" spans="5:14" ht="13.5" customHeight="1">
      <c r="E6677" s="1" t="s">
        <v>1359</v>
      </c>
      <c r="F6677" s="1" t="s">
        <v>3134</v>
      </c>
      <c r="G6677" s="414" t="str">
        <f t="shared" si="106"/>
        <v>11-26</v>
      </c>
      <c r="H6677" s="273" t="e">
        <f ca="1">_xludf.IFNA(VLOOKUP(E6677,'Urban Plastix Holds'!$I$37:$U$705,11,0),0)</f>
        <v>#NAME?</v>
      </c>
      <c r="I6677" s="274"/>
      <c r="J6677" s="274" t="e">
        <f t="shared" ca="1" si="107"/>
        <v>#NAME?</v>
      </c>
      <c r="K6677" s="274">
        <f t="shared" si="108"/>
        <v>0</v>
      </c>
      <c r="N6677" s="274"/>
    </row>
    <row r="6678" spans="5:14" ht="13.5" customHeight="1">
      <c r="E6678" s="1" t="s">
        <v>1359</v>
      </c>
      <c r="F6678" s="1" t="s">
        <v>3134</v>
      </c>
      <c r="G6678" s="415" t="str">
        <f t="shared" si="106"/>
        <v>18-01</v>
      </c>
      <c r="H6678" s="273" t="e">
        <f ca="1">_xludf.IFNA(VLOOKUP(E6678,'Urban Plastix Holds'!$I$37:$U$705,12,0),0)</f>
        <v>#NAME?</v>
      </c>
      <c r="I6678" s="274"/>
      <c r="J6678" s="274" t="e">
        <f t="shared" ca="1" si="107"/>
        <v>#NAME?</v>
      </c>
      <c r="K6678" s="274">
        <f t="shared" si="108"/>
        <v>0</v>
      </c>
      <c r="N6678" s="274"/>
    </row>
    <row r="6679" spans="5:14" ht="13.5" customHeight="1">
      <c r="E6679" s="1" t="s">
        <v>1359</v>
      </c>
      <c r="F6679" s="1" t="s">
        <v>3134</v>
      </c>
      <c r="G6679" s="416" t="str">
        <f t="shared" si="106"/>
        <v>Color Code</v>
      </c>
      <c r="H6679" s="273" t="e">
        <f ca="1">_xludf.IFNA(VLOOKUP(E6679,'Urban Plastix Holds'!$I$37:$U$705,13,0),0)</f>
        <v>#NAME?</v>
      </c>
      <c r="I6679" s="274"/>
      <c r="J6679" s="274" t="e">
        <f t="shared" ca="1" si="107"/>
        <v>#NAME?</v>
      </c>
      <c r="K6679" s="274">
        <f t="shared" si="108"/>
        <v>0</v>
      </c>
      <c r="N6679" s="274"/>
    </row>
    <row r="6680" spans="5:14" ht="13.5" customHeight="1">
      <c r="E6680" s="1" t="s">
        <v>1593</v>
      </c>
      <c r="F6680" s="1" t="s">
        <v>3135</v>
      </c>
      <c r="G6680" s="406" t="str">
        <f t="shared" si="106"/>
        <v>11-12</v>
      </c>
      <c r="H6680" s="273" t="e">
        <f ca="1">_xludf.IFNA(VLOOKUP(E6680,'Urban Plastix Holds'!$I$37:$U$705,5,0),0)</f>
        <v>#NAME?</v>
      </c>
      <c r="I6680" s="274"/>
      <c r="J6680" s="274" t="e">
        <f t="shared" ca="1" si="107"/>
        <v>#NAME?</v>
      </c>
      <c r="K6680" s="274">
        <f t="shared" si="108"/>
        <v>0</v>
      </c>
      <c r="N6680" s="274"/>
    </row>
    <row r="6681" spans="5:14" ht="13.5" customHeight="1">
      <c r="E6681" s="1" t="s">
        <v>1593</v>
      </c>
      <c r="F6681" s="1" t="s">
        <v>3135</v>
      </c>
      <c r="G6681" s="408" t="str">
        <f t="shared" si="106"/>
        <v>14-01</v>
      </c>
      <c r="H6681" s="273" t="e">
        <f ca="1">_xludf.IFNA(VLOOKUP(E6681,'Urban Plastix Holds'!$I$37:$U$705,6,0),0)</f>
        <v>#NAME?</v>
      </c>
      <c r="I6681" s="274"/>
      <c r="J6681" s="274" t="e">
        <f t="shared" ca="1" si="107"/>
        <v>#NAME?</v>
      </c>
      <c r="K6681" s="274">
        <f t="shared" si="108"/>
        <v>0</v>
      </c>
      <c r="N6681" s="274"/>
    </row>
    <row r="6682" spans="5:14" ht="13.5" customHeight="1">
      <c r="E6682" s="1" t="s">
        <v>1593</v>
      </c>
      <c r="F6682" s="1" t="s">
        <v>3135</v>
      </c>
      <c r="G6682" s="409" t="str">
        <f t="shared" si="106"/>
        <v>15-12</v>
      </c>
      <c r="H6682" s="273" t="e">
        <f ca="1">_xludf.IFNA(VLOOKUP(E6682,'Urban Plastix Holds'!$I$37:$U$705,7,0),0)</f>
        <v>#NAME?</v>
      </c>
      <c r="I6682" s="274"/>
      <c r="J6682" s="274" t="e">
        <f t="shared" ca="1" si="107"/>
        <v>#NAME?</v>
      </c>
      <c r="K6682" s="274">
        <f t="shared" si="108"/>
        <v>0</v>
      </c>
      <c r="N6682" s="274"/>
    </row>
    <row r="6683" spans="5:14" ht="13.5" customHeight="1">
      <c r="E6683" s="1" t="s">
        <v>1593</v>
      </c>
      <c r="F6683" s="1" t="s">
        <v>3135</v>
      </c>
      <c r="G6683" s="410" t="str">
        <f t="shared" si="106"/>
        <v>16-16</v>
      </c>
      <c r="H6683" s="273" t="e">
        <f ca="1">_xludf.IFNA(VLOOKUP(E6683,'Urban Plastix Holds'!$I$37:$U$705,8,0),0)</f>
        <v>#NAME?</v>
      </c>
      <c r="I6683" s="274"/>
      <c r="J6683" s="274" t="e">
        <f t="shared" ca="1" si="107"/>
        <v>#NAME?</v>
      </c>
      <c r="K6683" s="274">
        <f t="shared" si="108"/>
        <v>0</v>
      </c>
      <c r="N6683" s="274"/>
    </row>
    <row r="6684" spans="5:14" ht="13.5" customHeight="1">
      <c r="E6684" s="1" t="s">
        <v>1593</v>
      </c>
      <c r="F6684" s="1" t="s">
        <v>3135</v>
      </c>
      <c r="G6684" s="411" t="str">
        <f t="shared" si="106"/>
        <v>13-01</v>
      </c>
      <c r="H6684" s="273" t="e">
        <f ca="1">_xludf.IFNA(VLOOKUP(E6684,'Urban Plastix Holds'!$I$37:$U$705,9,0),0)</f>
        <v>#NAME?</v>
      </c>
      <c r="I6684" s="274"/>
      <c r="J6684" s="274" t="e">
        <f t="shared" ca="1" si="107"/>
        <v>#NAME?</v>
      </c>
      <c r="K6684" s="274">
        <f t="shared" si="108"/>
        <v>0</v>
      </c>
      <c r="N6684" s="274"/>
    </row>
    <row r="6685" spans="5:14" ht="13.5" customHeight="1">
      <c r="E6685" s="1" t="s">
        <v>1593</v>
      </c>
      <c r="F6685" s="1" t="s">
        <v>3135</v>
      </c>
      <c r="G6685" s="413" t="str">
        <f t="shared" si="106"/>
        <v>07-13</v>
      </c>
      <c r="H6685" s="273" t="e">
        <f ca="1">_xludf.IFNA(VLOOKUP(E6685,'Urban Plastix Holds'!$I$37:$U$705,10,0),0)</f>
        <v>#NAME?</v>
      </c>
      <c r="I6685" s="274"/>
      <c r="J6685" s="274" t="e">
        <f t="shared" ca="1" si="107"/>
        <v>#NAME?</v>
      </c>
      <c r="K6685" s="274">
        <f t="shared" si="108"/>
        <v>0</v>
      </c>
      <c r="N6685" s="274"/>
    </row>
    <row r="6686" spans="5:14" ht="13.5" customHeight="1">
      <c r="E6686" s="1" t="s">
        <v>1593</v>
      </c>
      <c r="F6686" s="1" t="s">
        <v>3135</v>
      </c>
      <c r="G6686" s="414" t="str">
        <f t="shared" si="106"/>
        <v>11-26</v>
      </c>
      <c r="H6686" s="273" t="e">
        <f ca="1">_xludf.IFNA(VLOOKUP(E6686,'Urban Plastix Holds'!$I$37:$U$705,11,0),0)</f>
        <v>#NAME?</v>
      </c>
      <c r="I6686" s="274"/>
      <c r="J6686" s="274" t="e">
        <f t="shared" ca="1" si="107"/>
        <v>#NAME?</v>
      </c>
      <c r="K6686" s="274">
        <f t="shared" si="108"/>
        <v>0</v>
      </c>
      <c r="N6686" s="274"/>
    </row>
    <row r="6687" spans="5:14" ht="13.5" customHeight="1">
      <c r="E6687" s="1" t="s">
        <v>1593</v>
      </c>
      <c r="F6687" s="1" t="s">
        <v>3135</v>
      </c>
      <c r="G6687" s="415" t="str">
        <f t="shared" si="106"/>
        <v>18-01</v>
      </c>
      <c r="H6687" s="273" t="e">
        <f ca="1">_xludf.IFNA(VLOOKUP(E6687,'Urban Plastix Holds'!$I$37:$U$705,12,0),0)</f>
        <v>#NAME?</v>
      </c>
      <c r="I6687" s="274"/>
      <c r="J6687" s="274" t="e">
        <f t="shared" ca="1" si="107"/>
        <v>#NAME?</v>
      </c>
      <c r="K6687" s="274">
        <f t="shared" si="108"/>
        <v>0</v>
      </c>
      <c r="N6687" s="274"/>
    </row>
    <row r="6688" spans="5:14" ht="13.5" customHeight="1">
      <c r="E6688" s="1" t="s">
        <v>1593</v>
      </c>
      <c r="F6688" s="1" t="s">
        <v>3135</v>
      </c>
      <c r="G6688" s="416" t="str">
        <f t="shared" si="106"/>
        <v>Color Code</v>
      </c>
      <c r="H6688" s="273" t="e">
        <f ca="1">_xludf.IFNA(VLOOKUP(E6688,'Urban Plastix Holds'!$I$37:$U$705,13,0),0)</f>
        <v>#NAME?</v>
      </c>
      <c r="I6688" s="274"/>
      <c r="J6688" s="274" t="e">
        <f t="shared" ca="1" si="107"/>
        <v>#NAME?</v>
      </c>
      <c r="K6688" s="274">
        <f t="shared" si="108"/>
        <v>0</v>
      </c>
      <c r="N6688" s="274"/>
    </row>
    <row r="6689" spans="5:14" ht="13.5" customHeight="1">
      <c r="E6689" s="1" t="s">
        <v>1690</v>
      </c>
      <c r="F6689" s="1" t="s">
        <v>3136</v>
      </c>
      <c r="G6689" s="406" t="str">
        <f t="shared" si="106"/>
        <v>11-12</v>
      </c>
      <c r="H6689" s="273" t="e">
        <f ca="1">_xludf.IFNA(VLOOKUP(E6689,'Urban Plastix Holds'!$I$37:$U$705,5,0),0)</f>
        <v>#NAME?</v>
      </c>
      <c r="I6689" s="274"/>
      <c r="J6689" s="274" t="e">
        <f t="shared" ca="1" si="107"/>
        <v>#NAME?</v>
      </c>
      <c r="K6689" s="274">
        <f t="shared" si="108"/>
        <v>0</v>
      </c>
      <c r="N6689" s="274"/>
    </row>
    <row r="6690" spans="5:14" ht="13.5" customHeight="1">
      <c r="E6690" s="1" t="s">
        <v>1690</v>
      </c>
      <c r="F6690" s="1" t="s">
        <v>3136</v>
      </c>
      <c r="G6690" s="408" t="str">
        <f t="shared" si="106"/>
        <v>14-01</v>
      </c>
      <c r="H6690" s="273" t="e">
        <f ca="1">_xludf.IFNA(VLOOKUP(E6690,'Urban Plastix Holds'!$I$37:$U$705,6,0),0)</f>
        <v>#NAME?</v>
      </c>
      <c r="I6690" s="274"/>
      <c r="J6690" s="274" t="e">
        <f t="shared" ca="1" si="107"/>
        <v>#NAME?</v>
      </c>
      <c r="K6690" s="274">
        <f t="shared" si="108"/>
        <v>0</v>
      </c>
      <c r="N6690" s="274"/>
    </row>
    <row r="6691" spans="5:14" ht="13.5" customHeight="1">
      <c r="E6691" s="1" t="s">
        <v>1690</v>
      </c>
      <c r="F6691" s="1" t="s">
        <v>3136</v>
      </c>
      <c r="G6691" s="409" t="str">
        <f t="shared" si="106"/>
        <v>15-12</v>
      </c>
      <c r="H6691" s="273" t="e">
        <f ca="1">_xludf.IFNA(VLOOKUP(E6691,'Urban Plastix Holds'!$I$37:$U$705,7,0),0)</f>
        <v>#NAME?</v>
      </c>
      <c r="I6691" s="274"/>
      <c r="J6691" s="274" t="e">
        <f t="shared" ca="1" si="107"/>
        <v>#NAME?</v>
      </c>
      <c r="K6691" s="274">
        <f t="shared" si="108"/>
        <v>0</v>
      </c>
      <c r="N6691" s="274"/>
    </row>
    <row r="6692" spans="5:14" ht="13.5" customHeight="1">
      <c r="E6692" s="1" t="s">
        <v>1690</v>
      </c>
      <c r="F6692" s="1" t="s">
        <v>3136</v>
      </c>
      <c r="G6692" s="410" t="str">
        <f t="shared" si="106"/>
        <v>16-16</v>
      </c>
      <c r="H6692" s="273" t="e">
        <f ca="1">_xludf.IFNA(VLOOKUP(E6692,'Urban Plastix Holds'!$I$37:$U$705,8,0),0)</f>
        <v>#NAME?</v>
      </c>
      <c r="I6692" s="274"/>
      <c r="J6692" s="274" t="e">
        <f t="shared" ca="1" si="107"/>
        <v>#NAME?</v>
      </c>
      <c r="K6692" s="274">
        <f t="shared" si="108"/>
        <v>0</v>
      </c>
      <c r="N6692" s="274"/>
    </row>
    <row r="6693" spans="5:14" ht="13.5" customHeight="1">
      <c r="E6693" s="1" t="s">
        <v>1690</v>
      </c>
      <c r="F6693" s="1" t="s">
        <v>3136</v>
      </c>
      <c r="G6693" s="411" t="str">
        <f t="shared" si="106"/>
        <v>13-01</v>
      </c>
      <c r="H6693" s="273" t="e">
        <f ca="1">_xludf.IFNA(VLOOKUP(E6693,'Urban Plastix Holds'!$I$37:$U$705,9,0),0)</f>
        <v>#NAME?</v>
      </c>
      <c r="I6693" s="274"/>
      <c r="J6693" s="274" t="e">
        <f t="shared" ca="1" si="107"/>
        <v>#NAME?</v>
      </c>
      <c r="K6693" s="274">
        <f t="shared" si="108"/>
        <v>0</v>
      </c>
      <c r="N6693" s="274"/>
    </row>
    <row r="6694" spans="5:14" ht="13.5" customHeight="1">
      <c r="E6694" s="1" t="s">
        <v>1690</v>
      </c>
      <c r="F6694" s="1" t="s">
        <v>3136</v>
      </c>
      <c r="G6694" s="413" t="str">
        <f t="shared" si="106"/>
        <v>07-13</v>
      </c>
      <c r="H6694" s="273" t="e">
        <f ca="1">_xludf.IFNA(VLOOKUP(E6694,'Urban Plastix Holds'!$I$37:$U$705,10,0),0)</f>
        <v>#NAME?</v>
      </c>
      <c r="I6694" s="274"/>
      <c r="J6694" s="274" t="e">
        <f t="shared" ca="1" si="107"/>
        <v>#NAME?</v>
      </c>
      <c r="K6694" s="274">
        <f t="shared" si="108"/>
        <v>0</v>
      </c>
      <c r="N6694" s="274"/>
    </row>
    <row r="6695" spans="5:14" ht="13.5" customHeight="1">
      <c r="E6695" s="1" t="s">
        <v>1690</v>
      </c>
      <c r="F6695" s="1" t="s">
        <v>3136</v>
      </c>
      <c r="G6695" s="414" t="str">
        <f t="shared" si="106"/>
        <v>11-26</v>
      </c>
      <c r="H6695" s="273" t="e">
        <f ca="1">_xludf.IFNA(VLOOKUP(E6695,'Urban Plastix Holds'!$I$37:$U$705,11,0),0)</f>
        <v>#NAME?</v>
      </c>
      <c r="I6695" s="274"/>
      <c r="J6695" s="274" t="e">
        <f t="shared" ca="1" si="107"/>
        <v>#NAME?</v>
      </c>
      <c r="K6695" s="274">
        <f t="shared" si="108"/>
        <v>0</v>
      </c>
      <c r="N6695" s="274"/>
    </row>
    <row r="6696" spans="5:14" ht="13.5" customHeight="1">
      <c r="E6696" s="1" t="s">
        <v>1690</v>
      </c>
      <c r="F6696" s="1" t="s">
        <v>3136</v>
      </c>
      <c r="G6696" s="415" t="str">
        <f t="shared" si="106"/>
        <v>18-01</v>
      </c>
      <c r="H6696" s="273" t="e">
        <f ca="1">_xludf.IFNA(VLOOKUP(E6696,'Urban Plastix Holds'!$I$37:$U$705,12,0),0)</f>
        <v>#NAME?</v>
      </c>
      <c r="I6696" s="274"/>
      <c r="J6696" s="274" t="e">
        <f t="shared" ca="1" si="107"/>
        <v>#NAME?</v>
      </c>
      <c r="K6696" s="274">
        <f t="shared" si="108"/>
        <v>0</v>
      </c>
      <c r="N6696" s="274"/>
    </row>
    <row r="6697" spans="5:14" ht="13.5" customHeight="1">
      <c r="E6697" s="1" t="s">
        <v>1690</v>
      </c>
      <c r="F6697" s="1" t="s">
        <v>3136</v>
      </c>
      <c r="G6697" s="416" t="str">
        <f t="shared" si="106"/>
        <v>Color Code</v>
      </c>
      <c r="H6697" s="273" t="e">
        <f ca="1">_xludf.IFNA(VLOOKUP(E6697,'Urban Plastix Holds'!$I$37:$U$705,13,0),0)</f>
        <v>#NAME?</v>
      </c>
      <c r="I6697" s="274"/>
      <c r="J6697" s="274" t="e">
        <f t="shared" ca="1" si="107"/>
        <v>#NAME?</v>
      </c>
      <c r="K6697" s="274">
        <f t="shared" si="108"/>
        <v>0</v>
      </c>
      <c r="N6697" s="274"/>
    </row>
    <row r="6698" spans="5:14" ht="13.5" customHeight="1">
      <c r="E6698" s="1" t="s">
        <v>1671</v>
      </c>
      <c r="F6698" s="1" t="s">
        <v>3137</v>
      </c>
      <c r="G6698" s="406" t="str">
        <f t="shared" si="106"/>
        <v>11-12</v>
      </c>
      <c r="H6698" s="273" t="e">
        <f ca="1">_xludf.IFNA(VLOOKUP(E6698,'Urban Plastix Holds'!$I$37:$U$705,5,0),0)</f>
        <v>#NAME?</v>
      </c>
      <c r="I6698" s="274"/>
      <c r="J6698" s="274" t="e">
        <f t="shared" ca="1" si="107"/>
        <v>#NAME?</v>
      </c>
      <c r="K6698" s="274">
        <f t="shared" si="108"/>
        <v>0</v>
      </c>
      <c r="N6698" s="274"/>
    </row>
    <row r="6699" spans="5:14" ht="13.5" customHeight="1">
      <c r="E6699" s="1" t="s">
        <v>1671</v>
      </c>
      <c r="F6699" s="1" t="s">
        <v>3137</v>
      </c>
      <c r="G6699" s="408" t="str">
        <f t="shared" si="106"/>
        <v>14-01</v>
      </c>
      <c r="H6699" s="273" t="e">
        <f ca="1">_xludf.IFNA(VLOOKUP(E6699,'Urban Plastix Holds'!$I$37:$U$705,6,0),0)</f>
        <v>#NAME?</v>
      </c>
      <c r="I6699" s="274"/>
      <c r="J6699" s="274" t="e">
        <f t="shared" ca="1" si="107"/>
        <v>#NAME?</v>
      </c>
      <c r="K6699" s="274">
        <f t="shared" si="108"/>
        <v>0</v>
      </c>
      <c r="N6699" s="274"/>
    </row>
    <row r="6700" spans="5:14" ht="13.5" customHeight="1">
      <c r="E6700" s="1" t="s">
        <v>1671</v>
      </c>
      <c r="F6700" s="1" t="s">
        <v>3137</v>
      </c>
      <c r="G6700" s="409" t="str">
        <f t="shared" si="106"/>
        <v>15-12</v>
      </c>
      <c r="H6700" s="273" t="e">
        <f ca="1">_xludf.IFNA(VLOOKUP(E6700,'Urban Plastix Holds'!$I$37:$U$705,7,0),0)</f>
        <v>#NAME?</v>
      </c>
      <c r="I6700" s="274"/>
      <c r="J6700" s="274" t="e">
        <f t="shared" ca="1" si="107"/>
        <v>#NAME?</v>
      </c>
      <c r="K6700" s="274">
        <f t="shared" si="108"/>
        <v>0</v>
      </c>
      <c r="N6700" s="274"/>
    </row>
    <row r="6701" spans="5:14" ht="13.5" customHeight="1">
      <c r="E6701" s="1" t="s">
        <v>1671</v>
      </c>
      <c r="F6701" s="1" t="s">
        <v>3137</v>
      </c>
      <c r="G6701" s="410" t="str">
        <f t="shared" si="106"/>
        <v>16-16</v>
      </c>
      <c r="H6701" s="273" t="e">
        <f ca="1">_xludf.IFNA(VLOOKUP(E6701,'Urban Plastix Holds'!$I$37:$U$705,8,0),0)</f>
        <v>#NAME?</v>
      </c>
      <c r="I6701" s="274"/>
      <c r="J6701" s="274" t="e">
        <f t="shared" ca="1" si="107"/>
        <v>#NAME?</v>
      </c>
      <c r="K6701" s="274">
        <f t="shared" si="108"/>
        <v>0</v>
      </c>
      <c r="N6701" s="274"/>
    </row>
    <row r="6702" spans="5:14" ht="13.5" customHeight="1">
      <c r="E6702" s="1" t="s">
        <v>1671</v>
      </c>
      <c r="F6702" s="1" t="s">
        <v>3137</v>
      </c>
      <c r="G6702" s="411" t="str">
        <f t="shared" si="106"/>
        <v>13-01</v>
      </c>
      <c r="H6702" s="273" t="e">
        <f ca="1">_xludf.IFNA(VLOOKUP(E6702,'Urban Plastix Holds'!$I$37:$U$705,9,0),0)</f>
        <v>#NAME?</v>
      </c>
      <c r="I6702" s="274"/>
      <c r="J6702" s="274" t="e">
        <f t="shared" ca="1" si="107"/>
        <v>#NAME?</v>
      </c>
      <c r="K6702" s="274">
        <f t="shared" si="108"/>
        <v>0</v>
      </c>
      <c r="N6702" s="274"/>
    </row>
    <row r="6703" spans="5:14" ht="13.5" customHeight="1">
      <c r="E6703" s="1" t="s">
        <v>1671</v>
      </c>
      <c r="F6703" s="1" t="s">
        <v>3137</v>
      </c>
      <c r="G6703" s="413" t="str">
        <f t="shared" si="106"/>
        <v>07-13</v>
      </c>
      <c r="H6703" s="273" t="e">
        <f ca="1">_xludf.IFNA(VLOOKUP(E6703,'Urban Plastix Holds'!$I$37:$U$705,10,0),0)</f>
        <v>#NAME?</v>
      </c>
      <c r="I6703" s="274"/>
      <c r="J6703" s="274" t="e">
        <f t="shared" ca="1" si="107"/>
        <v>#NAME?</v>
      </c>
      <c r="K6703" s="274">
        <f t="shared" si="108"/>
        <v>0</v>
      </c>
      <c r="N6703" s="274"/>
    </row>
    <row r="6704" spans="5:14" ht="13.5" customHeight="1">
      <c r="E6704" s="1" t="s">
        <v>1671</v>
      </c>
      <c r="F6704" s="1" t="s">
        <v>3137</v>
      </c>
      <c r="G6704" s="414" t="str">
        <f t="shared" si="106"/>
        <v>11-26</v>
      </c>
      <c r="H6704" s="273" t="e">
        <f ca="1">_xludf.IFNA(VLOOKUP(E6704,'Urban Plastix Holds'!$I$37:$U$705,11,0),0)</f>
        <v>#NAME?</v>
      </c>
      <c r="I6704" s="274"/>
      <c r="J6704" s="274" t="e">
        <f t="shared" ca="1" si="107"/>
        <v>#NAME?</v>
      </c>
      <c r="K6704" s="274">
        <f t="shared" si="108"/>
        <v>0</v>
      </c>
      <c r="N6704" s="274"/>
    </row>
    <row r="6705" spans="5:14" ht="13.5" customHeight="1">
      <c r="E6705" s="1" t="s">
        <v>1671</v>
      </c>
      <c r="F6705" s="1" t="s">
        <v>3137</v>
      </c>
      <c r="G6705" s="415" t="str">
        <f t="shared" si="106"/>
        <v>18-01</v>
      </c>
      <c r="H6705" s="273" t="e">
        <f ca="1">_xludf.IFNA(VLOOKUP(E6705,'Urban Plastix Holds'!$I$37:$U$705,12,0),0)</f>
        <v>#NAME?</v>
      </c>
      <c r="I6705" s="274"/>
      <c r="J6705" s="274" t="e">
        <f t="shared" ca="1" si="107"/>
        <v>#NAME?</v>
      </c>
      <c r="K6705" s="274">
        <f t="shared" si="108"/>
        <v>0</v>
      </c>
      <c r="N6705" s="274"/>
    </row>
    <row r="6706" spans="5:14" ht="13.5" customHeight="1">
      <c r="E6706" s="1" t="s">
        <v>1671</v>
      </c>
      <c r="F6706" s="1" t="s">
        <v>3137</v>
      </c>
      <c r="G6706" s="416" t="str">
        <f t="shared" si="106"/>
        <v>Color Code</v>
      </c>
      <c r="H6706" s="273" t="e">
        <f ca="1">_xludf.IFNA(VLOOKUP(E6706,'Urban Plastix Holds'!$I$37:$U$705,13,0),0)</f>
        <v>#NAME?</v>
      </c>
      <c r="I6706" s="274"/>
      <c r="J6706" s="274" t="e">
        <f t="shared" ca="1" si="107"/>
        <v>#NAME?</v>
      </c>
      <c r="K6706" s="274">
        <f t="shared" si="108"/>
        <v>0</v>
      </c>
      <c r="N6706" s="274"/>
    </row>
    <row r="6707" spans="5:14" ht="13.5" customHeight="1">
      <c r="E6707" s="1" t="s">
        <v>1443</v>
      </c>
      <c r="F6707" s="1" t="s">
        <v>3138</v>
      </c>
      <c r="G6707" s="406" t="str">
        <f t="shared" si="106"/>
        <v>11-12</v>
      </c>
      <c r="H6707" s="273" t="e">
        <f ca="1">_xludf.IFNA(VLOOKUP(E6707,'Urban Plastix Holds'!$I$37:$U$705,5,0),0)</f>
        <v>#NAME?</v>
      </c>
      <c r="I6707" s="274"/>
      <c r="J6707" s="274" t="e">
        <f t="shared" ca="1" si="107"/>
        <v>#NAME?</v>
      </c>
      <c r="K6707" s="274">
        <f t="shared" si="108"/>
        <v>0</v>
      </c>
      <c r="N6707" s="274"/>
    </row>
    <row r="6708" spans="5:14" ht="13.5" customHeight="1">
      <c r="E6708" s="1" t="s">
        <v>1443</v>
      </c>
      <c r="F6708" s="1" t="s">
        <v>3138</v>
      </c>
      <c r="G6708" s="408" t="str">
        <f t="shared" si="106"/>
        <v>14-01</v>
      </c>
      <c r="H6708" s="273" t="e">
        <f ca="1">_xludf.IFNA(VLOOKUP(E6708,'Urban Plastix Holds'!$I$37:$U$705,6,0),0)</f>
        <v>#NAME?</v>
      </c>
      <c r="I6708" s="274"/>
      <c r="J6708" s="274" t="e">
        <f t="shared" ca="1" si="107"/>
        <v>#NAME?</v>
      </c>
      <c r="K6708" s="274">
        <f t="shared" si="108"/>
        <v>0</v>
      </c>
      <c r="N6708" s="274"/>
    </row>
    <row r="6709" spans="5:14" ht="13.5" customHeight="1">
      <c r="E6709" s="1" t="s">
        <v>1443</v>
      </c>
      <c r="F6709" s="1" t="s">
        <v>3138</v>
      </c>
      <c r="G6709" s="409" t="str">
        <f t="shared" si="106"/>
        <v>15-12</v>
      </c>
      <c r="H6709" s="273" t="e">
        <f ca="1">_xludf.IFNA(VLOOKUP(E6709,'Urban Plastix Holds'!$I$37:$U$705,7,0),0)</f>
        <v>#NAME?</v>
      </c>
      <c r="I6709" s="274"/>
      <c r="J6709" s="274" t="e">
        <f t="shared" ca="1" si="107"/>
        <v>#NAME?</v>
      </c>
      <c r="K6709" s="274">
        <f t="shared" si="108"/>
        <v>0</v>
      </c>
      <c r="N6709" s="274"/>
    </row>
    <row r="6710" spans="5:14" ht="13.5" customHeight="1">
      <c r="E6710" s="1" t="s">
        <v>1443</v>
      </c>
      <c r="F6710" s="1" t="s">
        <v>3138</v>
      </c>
      <c r="G6710" s="410" t="str">
        <f t="shared" si="106"/>
        <v>16-16</v>
      </c>
      <c r="H6710" s="273" t="e">
        <f ca="1">_xludf.IFNA(VLOOKUP(E6710,'Urban Plastix Holds'!$I$37:$U$705,8,0),0)</f>
        <v>#NAME?</v>
      </c>
      <c r="I6710" s="274"/>
      <c r="J6710" s="274" t="e">
        <f t="shared" ca="1" si="107"/>
        <v>#NAME?</v>
      </c>
      <c r="K6710" s="274">
        <f t="shared" si="108"/>
        <v>0</v>
      </c>
      <c r="N6710" s="274"/>
    </row>
    <row r="6711" spans="5:14" ht="13.5" customHeight="1">
      <c r="E6711" s="1" t="s">
        <v>1443</v>
      </c>
      <c r="F6711" s="1" t="s">
        <v>3138</v>
      </c>
      <c r="G6711" s="411" t="str">
        <f t="shared" si="106"/>
        <v>13-01</v>
      </c>
      <c r="H6711" s="273" t="e">
        <f ca="1">_xludf.IFNA(VLOOKUP(E6711,'Urban Plastix Holds'!$I$37:$U$705,9,0),0)</f>
        <v>#NAME?</v>
      </c>
      <c r="I6711" s="274"/>
      <c r="J6711" s="274" t="e">
        <f t="shared" ca="1" si="107"/>
        <v>#NAME?</v>
      </c>
      <c r="K6711" s="274">
        <f t="shared" si="108"/>
        <v>0</v>
      </c>
      <c r="N6711" s="274"/>
    </row>
    <row r="6712" spans="5:14" ht="13.5" customHeight="1">
      <c r="E6712" s="1" t="s">
        <v>1443</v>
      </c>
      <c r="F6712" s="1" t="s">
        <v>3138</v>
      </c>
      <c r="G6712" s="413" t="str">
        <f t="shared" si="106"/>
        <v>07-13</v>
      </c>
      <c r="H6712" s="273" t="e">
        <f ca="1">_xludf.IFNA(VLOOKUP(E6712,'Urban Plastix Holds'!$I$37:$U$705,10,0),0)</f>
        <v>#NAME?</v>
      </c>
      <c r="I6712" s="274"/>
      <c r="J6712" s="274" t="e">
        <f t="shared" ca="1" si="107"/>
        <v>#NAME?</v>
      </c>
      <c r="K6712" s="274">
        <f t="shared" si="108"/>
        <v>0</v>
      </c>
      <c r="N6712" s="274"/>
    </row>
    <row r="6713" spans="5:14" ht="13.5" customHeight="1">
      <c r="E6713" s="1" t="s">
        <v>1443</v>
      </c>
      <c r="F6713" s="1" t="s">
        <v>3138</v>
      </c>
      <c r="G6713" s="414" t="str">
        <f t="shared" si="106"/>
        <v>11-26</v>
      </c>
      <c r="H6713" s="273" t="e">
        <f ca="1">_xludf.IFNA(VLOOKUP(E6713,'Urban Plastix Holds'!$I$37:$U$705,11,0),0)</f>
        <v>#NAME?</v>
      </c>
      <c r="I6713" s="274"/>
      <c r="J6713" s="274" t="e">
        <f t="shared" ca="1" si="107"/>
        <v>#NAME?</v>
      </c>
      <c r="K6713" s="274">
        <f t="shared" si="108"/>
        <v>0</v>
      </c>
      <c r="N6713" s="274"/>
    </row>
    <row r="6714" spans="5:14" ht="13.5" customHeight="1">
      <c r="E6714" s="1" t="s">
        <v>1443</v>
      </c>
      <c r="F6714" s="1" t="s">
        <v>3138</v>
      </c>
      <c r="G6714" s="415" t="str">
        <f t="shared" si="106"/>
        <v>18-01</v>
      </c>
      <c r="H6714" s="273" t="e">
        <f ca="1">_xludf.IFNA(VLOOKUP(E6714,'Urban Plastix Holds'!$I$37:$U$705,12,0),0)</f>
        <v>#NAME?</v>
      </c>
      <c r="I6714" s="274"/>
      <c r="J6714" s="274" t="e">
        <f t="shared" ca="1" si="107"/>
        <v>#NAME?</v>
      </c>
      <c r="K6714" s="274">
        <f t="shared" si="108"/>
        <v>0</v>
      </c>
      <c r="N6714" s="274"/>
    </row>
    <row r="6715" spans="5:14" ht="13.5" customHeight="1">
      <c r="E6715" s="1" t="s">
        <v>1443</v>
      </c>
      <c r="F6715" s="1" t="s">
        <v>3138</v>
      </c>
      <c r="G6715" s="416" t="str">
        <f t="shared" si="106"/>
        <v>Color Code</v>
      </c>
      <c r="H6715" s="273" t="e">
        <f ca="1">_xludf.IFNA(VLOOKUP(E6715,'Urban Plastix Holds'!$I$37:$U$705,13,0),0)</f>
        <v>#NAME?</v>
      </c>
      <c r="I6715" s="274"/>
      <c r="J6715" s="274" t="e">
        <f t="shared" ca="1" si="107"/>
        <v>#NAME?</v>
      </c>
      <c r="K6715" s="274">
        <f t="shared" si="108"/>
        <v>0</v>
      </c>
      <c r="N6715" s="274"/>
    </row>
    <row r="6716" spans="5:14" ht="13.5" customHeight="1">
      <c r="E6716" s="1" t="s">
        <v>1389</v>
      </c>
      <c r="F6716" s="1" t="s">
        <v>3139</v>
      </c>
      <c r="G6716" s="406" t="str">
        <f t="shared" si="106"/>
        <v>11-12</v>
      </c>
      <c r="H6716" s="273" t="e">
        <f ca="1">_xludf.IFNA(VLOOKUP(E6716,'Urban Plastix Holds'!$I$37:$U$705,5,0),0)</f>
        <v>#NAME?</v>
      </c>
      <c r="I6716" s="274"/>
      <c r="J6716" s="274" t="e">
        <f t="shared" ca="1" si="107"/>
        <v>#NAME?</v>
      </c>
      <c r="K6716" s="274">
        <f t="shared" si="108"/>
        <v>0</v>
      </c>
      <c r="N6716" s="274"/>
    </row>
    <row r="6717" spans="5:14" ht="13.5" customHeight="1">
      <c r="E6717" s="1" t="s">
        <v>1389</v>
      </c>
      <c r="F6717" s="1" t="s">
        <v>3139</v>
      </c>
      <c r="G6717" s="408" t="str">
        <f t="shared" si="106"/>
        <v>14-01</v>
      </c>
      <c r="H6717" s="273" t="e">
        <f ca="1">_xludf.IFNA(VLOOKUP(E6717,'Urban Plastix Holds'!$I$37:$U$705,6,0),0)</f>
        <v>#NAME?</v>
      </c>
      <c r="I6717" s="274"/>
      <c r="J6717" s="274" t="e">
        <f t="shared" ca="1" si="107"/>
        <v>#NAME?</v>
      </c>
      <c r="K6717" s="274">
        <f t="shared" si="108"/>
        <v>0</v>
      </c>
      <c r="N6717" s="274"/>
    </row>
    <row r="6718" spans="5:14" ht="13.5" customHeight="1">
      <c r="E6718" s="1" t="s">
        <v>1389</v>
      </c>
      <c r="F6718" s="1" t="s">
        <v>3139</v>
      </c>
      <c r="G6718" s="409" t="str">
        <f t="shared" si="106"/>
        <v>15-12</v>
      </c>
      <c r="H6718" s="273" t="e">
        <f ca="1">_xludf.IFNA(VLOOKUP(E6718,'Urban Plastix Holds'!$I$37:$U$705,7,0),0)</f>
        <v>#NAME?</v>
      </c>
      <c r="I6718" s="274"/>
      <c r="J6718" s="274" t="e">
        <f t="shared" ca="1" si="107"/>
        <v>#NAME?</v>
      </c>
      <c r="K6718" s="274">
        <f t="shared" si="108"/>
        <v>0</v>
      </c>
      <c r="N6718" s="274"/>
    </row>
    <row r="6719" spans="5:14" ht="13.5" customHeight="1">
      <c r="E6719" s="1" t="s">
        <v>1389</v>
      </c>
      <c r="F6719" s="1" t="s">
        <v>3139</v>
      </c>
      <c r="G6719" s="410" t="str">
        <f t="shared" si="106"/>
        <v>16-16</v>
      </c>
      <c r="H6719" s="273" t="e">
        <f ca="1">_xludf.IFNA(VLOOKUP(E6719,'Urban Plastix Holds'!$I$37:$U$705,8,0),0)</f>
        <v>#NAME?</v>
      </c>
      <c r="I6719" s="274"/>
      <c r="J6719" s="274" t="e">
        <f t="shared" ca="1" si="107"/>
        <v>#NAME?</v>
      </c>
      <c r="K6719" s="274">
        <f t="shared" si="108"/>
        <v>0</v>
      </c>
      <c r="N6719" s="274"/>
    </row>
    <row r="6720" spans="5:14" ht="13.5" customHeight="1">
      <c r="E6720" s="1" t="s">
        <v>1389</v>
      </c>
      <c r="F6720" s="1" t="s">
        <v>3139</v>
      </c>
      <c r="G6720" s="411" t="str">
        <f t="shared" si="106"/>
        <v>13-01</v>
      </c>
      <c r="H6720" s="273" t="e">
        <f ca="1">_xludf.IFNA(VLOOKUP(E6720,'Urban Plastix Holds'!$I$37:$U$705,9,0),0)</f>
        <v>#NAME?</v>
      </c>
      <c r="I6720" s="274"/>
      <c r="J6720" s="274" t="e">
        <f t="shared" ca="1" si="107"/>
        <v>#NAME?</v>
      </c>
      <c r="K6720" s="274">
        <f t="shared" si="108"/>
        <v>0</v>
      </c>
      <c r="N6720" s="274"/>
    </row>
    <row r="6721" spans="5:14" ht="13.5" customHeight="1">
      <c r="E6721" s="1" t="s">
        <v>1389</v>
      </c>
      <c r="F6721" s="1" t="s">
        <v>3139</v>
      </c>
      <c r="G6721" s="413" t="str">
        <f t="shared" si="106"/>
        <v>07-13</v>
      </c>
      <c r="H6721" s="273" t="e">
        <f ca="1">_xludf.IFNA(VLOOKUP(E6721,'Urban Plastix Holds'!$I$37:$U$705,10,0),0)</f>
        <v>#NAME?</v>
      </c>
      <c r="I6721" s="274"/>
      <c r="J6721" s="274" t="e">
        <f t="shared" ca="1" si="107"/>
        <v>#NAME?</v>
      </c>
      <c r="K6721" s="274">
        <f t="shared" si="108"/>
        <v>0</v>
      </c>
      <c r="N6721" s="274"/>
    </row>
    <row r="6722" spans="5:14" ht="13.5" customHeight="1">
      <c r="E6722" s="1" t="s">
        <v>1389</v>
      </c>
      <c r="F6722" s="1" t="s">
        <v>3139</v>
      </c>
      <c r="G6722" s="414" t="str">
        <f t="shared" si="106"/>
        <v>11-26</v>
      </c>
      <c r="H6722" s="273" t="e">
        <f ca="1">_xludf.IFNA(VLOOKUP(E6722,'Urban Plastix Holds'!$I$37:$U$705,11,0),0)</f>
        <v>#NAME?</v>
      </c>
      <c r="I6722" s="274"/>
      <c r="J6722" s="274" t="e">
        <f t="shared" ca="1" si="107"/>
        <v>#NAME?</v>
      </c>
      <c r="K6722" s="274">
        <f t="shared" si="108"/>
        <v>0</v>
      </c>
      <c r="N6722" s="274"/>
    </row>
    <row r="6723" spans="5:14" ht="13.5" customHeight="1">
      <c r="E6723" s="1" t="s">
        <v>1389</v>
      </c>
      <c r="F6723" s="1" t="s">
        <v>3139</v>
      </c>
      <c r="G6723" s="415" t="str">
        <f t="shared" si="106"/>
        <v>18-01</v>
      </c>
      <c r="H6723" s="273" t="e">
        <f ca="1">_xludf.IFNA(VLOOKUP(E6723,'Urban Plastix Holds'!$I$37:$U$705,12,0),0)</f>
        <v>#NAME?</v>
      </c>
      <c r="I6723" s="274"/>
      <c r="J6723" s="274" t="e">
        <f t="shared" ca="1" si="107"/>
        <v>#NAME?</v>
      </c>
      <c r="K6723" s="274">
        <f t="shared" si="108"/>
        <v>0</v>
      </c>
      <c r="N6723" s="274"/>
    </row>
    <row r="6724" spans="5:14" ht="13.5" customHeight="1">
      <c r="E6724" s="1" t="s">
        <v>1389</v>
      </c>
      <c r="F6724" s="1" t="s">
        <v>3139</v>
      </c>
      <c r="G6724" s="416" t="str">
        <f t="shared" si="106"/>
        <v>Color Code</v>
      </c>
      <c r="H6724" s="273" t="e">
        <f ca="1">_xludf.IFNA(VLOOKUP(E6724,'Urban Plastix Holds'!$I$37:$U$705,13,0),0)</f>
        <v>#NAME?</v>
      </c>
      <c r="I6724" s="274"/>
      <c r="J6724" s="274" t="e">
        <f t="shared" ca="1" si="107"/>
        <v>#NAME?</v>
      </c>
      <c r="K6724" s="274">
        <f t="shared" si="108"/>
        <v>0</v>
      </c>
      <c r="N6724" s="274"/>
    </row>
    <row r="6725" spans="5:14" ht="13.5" customHeight="1">
      <c r="E6725" s="1" t="s">
        <v>1361</v>
      </c>
      <c r="F6725" s="1" t="s">
        <v>3140</v>
      </c>
      <c r="G6725" s="406" t="str">
        <f t="shared" si="106"/>
        <v>11-12</v>
      </c>
      <c r="H6725" s="273" t="e">
        <f ca="1">_xludf.IFNA(VLOOKUP(E6725,'Urban Plastix Holds'!$I$37:$U$705,5,0),0)</f>
        <v>#NAME?</v>
      </c>
      <c r="I6725" s="274"/>
      <c r="J6725" s="274" t="e">
        <f t="shared" ca="1" si="107"/>
        <v>#NAME?</v>
      </c>
      <c r="K6725" s="274">
        <f t="shared" si="108"/>
        <v>0</v>
      </c>
      <c r="N6725" s="274"/>
    </row>
    <row r="6726" spans="5:14" ht="13.5" customHeight="1">
      <c r="E6726" s="1" t="s">
        <v>1361</v>
      </c>
      <c r="F6726" s="1" t="s">
        <v>3140</v>
      </c>
      <c r="G6726" s="408" t="str">
        <f t="shared" si="106"/>
        <v>14-01</v>
      </c>
      <c r="H6726" s="273" t="e">
        <f ca="1">_xludf.IFNA(VLOOKUP(E6726,'Urban Plastix Holds'!$I$37:$U$705,6,0),0)</f>
        <v>#NAME?</v>
      </c>
      <c r="I6726" s="274"/>
      <c r="J6726" s="274" t="e">
        <f t="shared" ca="1" si="107"/>
        <v>#NAME?</v>
      </c>
      <c r="K6726" s="274">
        <f t="shared" si="108"/>
        <v>0</v>
      </c>
      <c r="N6726" s="274"/>
    </row>
    <row r="6727" spans="5:14" ht="13.5" customHeight="1">
      <c r="E6727" s="1" t="s">
        <v>1361</v>
      </c>
      <c r="F6727" s="1" t="s">
        <v>3140</v>
      </c>
      <c r="G6727" s="409" t="str">
        <f t="shared" si="106"/>
        <v>15-12</v>
      </c>
      <c r="H6727" s="273" t="e">
        <f ca="1">_xludf.IFNA(VLOOKUP(E6727,'Urban Plastix Holds'!$I$37:$U$705,7,0),0)</f>
        <v>#NAME?</v>
      </c>
      <c r="I6727" s="274"/>
      <c r="J6727" s="274" t="e">
        <f t="shared" ca="1" si="107"/>
        <v>#NAME?</v>
      </c>
      <c r="K6727" s="274">
        <f t="shared" si="108"/>
        <v>0</v>
      </c>
      <c r="N6727" s="274"/>
    </row>
    <row r="6728" spans="5:14" ht="13.5" customHeight="1">
      <c r="E6728" s="1" t="s">
        <v>1361</v>
      </c>
      <c r="F6728" s="1" t="s">
        <v>3140</v>
      </c>
      <c r="G6728" s="410" t="str">
        <f t="shared" si="106"/>
        <v>16-16</v>
      </c>
      <c r="H6728" s="273" t="e">
        <f ca="1">_xludf.IFNA(VLOOKUP(E6728,'Urban Plastix Holds'!$I$37:$U$705,8,0),0)</f>
        <v>#NAME?</v>
      </c>
      <c r="I6728" s="274"/>
      <c r="J6728" s="274" t="e">
        <f t="shared" ca="1" si="107"/>
        <v>#NAME?</v>
      </c>
      <c r="K6728" s="274">
        <f t="shared" si="108"/>
        <v>0</v>
      </c>
      <c r="N6728" s="274"/>
    </row>
    <row r="6729" spans="5:14" ht="13.5" customHeight="1">
      <c r="E6729" s="1" t="s">
        <v>1361</v>
      </c>
      <c r="F6729" s="1" t="s">
        <v>3140</v>
      </c>
      <c r="G6729" s="411" t="str">
        <f t="shared" si="106"/>
        <v>13-01</v>
      </c>
      <c r="H6729" s="273" t="e">
        <f ca="1">_xludf.IFNA(VLOOKUP(E6729,'Urban Plastix Holds'!$I$37:$U$705,9,0),0)</f>
        <v>#NAME?</v>
      </c>
      <c r="I6729" s="274"/>
      <c r="J6729" s="274" t="e">
        <f t="shared" ca="1" si="107"/>
        <v>#NAME?</v>
      </c>
      <c r="K6729" s="274">
        <f t="shared" si="108"/>
        <v>0</v>
      </c>
      <c r="N6729" s="274"/>
    </row>
    <row r="6730" spans="5:14" ht="13.5" customHeight="1">
      <c r="E6730" s="1" t="s">
        <v>1361</v>
      </c>
      <c r="F6730" s="1" t="s">
        <v>3140</v>
      </c>
      <c r="G6730" s="413" t="str">
        <f t="shared" si="106"/>
        <v>07-13</v>
      </c>
      <c r="H6730" s="273" t="e">
        <f ca="1">_xludf.IFNA(VLOOKUP(E6730,'Urban Plastix Holds'!$I$37:$U$705,10,0),0)</f>
        <v>#NAME?</v>
      </c>
      <c r="I6730" s="274"/>
      <c r="J6730" s="274" t="e">
        <f t="shared" ca="1" si="107"/>
        <v>#NAME?</v>
      </c>
      <c r="K6730" s="274">
        <f t="shared" si="108"/>
        <v>0</v>
      </c>
      <c r="N6730" s="274"/>
    </row>
    <row r="6731" spans="5:14" ht="13.5" customHeight="1">
      <c r="E6731" s="1" t="s">
        <v>1361</v>
      </c>
      <c r="F6731" s="1" t="s">
        <v>3140</v>
      </c>
      <c r="G6731" s="414" t="str">
        <f t="shared" ref="G6731:G6985" si="109">G6668</f>
        <v>11-26</v>
      </c>
      <c r="H6731" s="273" t="e">
        <f ca="1">_xludf.IFNA(VLOOKUP(E6731,'Urban Plastix Holds'!$I$37:$U$705,11,0),0)</f>
        <v>#NAME?</v>
      </c>
      <c r="I6731" s="274"/>
      <c r="J6731" s="274" t="e">
        <f t="shared" ca="1" si="107"/>
        <v>#NAME?</v>
      </c>
      <c r="K6731" s="274">
        <f t="shared" si="108"/>
        <v>0</v>
      </c>
      <c r="N6731" s="274"/>
    </row>
    <row r="6732" spans="5:14" ht="13.5" customHeight="1">
      <c r="E6732" s="1" t="s">
        <v>1361</v>
      </c>
      <c r="F6732" s="1" t="s">
        <v>3140</v>
      </c>
      <c r="G6732" s="415" t="str">
        <f t="shared" si="109"/>
        <v>18-01</v>
      </c>
      <c r="H6732" s="273" t="e">
        <f ca="1">_xludf.IFNA(VLOOKUP(E6732,'Urban Plastix Holds'!$I$37:$U$705,12,0),0)</f>
        <v>#NAME?</v>
      </c>
      <c r="I6732" s="274"/>
      <c r="J6732" s="274" t="e">
        <f t="shared" ca="1" si="107"/>
        <v>#NAME?</v>
      </c>
      <c r="K6732" s="274">
        <f t="shared" si="108"/>
        <v>0</v>
      </c>
      <c r="N6732" s="274"/>
    </row>
    <row r="6733" spans="5:14" ht="13.5" customHeight="1">
      <c r="E6733" s="1" t="s">
        <v>1361</v>
      </c>
      <c r="F6733" s="1" t="s">
        <v>3140</v>
      </c>
      <c r="G6733" s="416" t="str">
        <f t="shared" si="109"/>
        <v>Color Code</v>
      </c>
      <c r="H6733" s="273" t="e">
        <f ca="1">_xludf.IFNA(VLOOKUP(E6733,'Urban Plastix Holds'!$I$37:$U$705,13,0),0)</f>
        <v>#NAME?</v>
      </c>
      <c r="I6733" s="274"/>
      <c r="J6733" s="274" t="e">
        <f t="shared" ca="1" si="107"/>
        <v>#NAME?</v>
      </c>
      <c r="K6733" s="274">
        <f t="shared" si="108"/>
        <v>0</v>
      </c>
      <c r="N6733" s="274"/>
    </row>
    <row r="6734" spans="5:14" ht="13.5" customHeight="1">
      <c r="E6734" s="1" t="s">
        <v>1642</v>
      </c>
      <c r="F6734" s="1" t="s">
        <v>3141</v>
      </c>
      <c r="G6734" s="406" t="str">
        <f t="shared" si="109"/>
        <v>11-12</v>
      </c>
      <c r="H6734" s="273" t="e">
        <f ca="1">_xludf.IFNA(VLOOKUP(E6734,'Urban Plastix Holds'!$I$37:$U$705,5,0),0)</f>
        <v>#NAME?</v>
      </c>
      <c r="I6734" s="274"/>
      <c r="J6734" s="274" t="e">
        <f t="shared" ca="1" si="107"/>
        <v>#NAME?</v>
      </c>
      <c r="K6734" s="274">
        <f t="shared" si="108"/>
        <v>0</v>
      </c>
      <c r="N6734" s="274"/>
    </row>
    <row r="6735" spans="5:14" ht="13.5" customHeight="1">
      <c r="E6735" s="1" t="s">
        <v>1642</v>
      </c>
      <c r="F6735" s="1" t="s">
        <v>3141</v>
      </c>
      <c r="G6735" s="408" t="str">
        <f t="shared" si="109"/>
        <v>14-01</v>
      </c>
      <c r="H6735" s="273" t="e">
        <f ca="1">_xludf.IFNA(VLOOKUP(E6735,'Urban Plastix Holds'!$I$37:$U$705,6,0),0)</f>
        <v>#NAME?</v>
      </c>
      <c r="I6735" s="274"/>
      <c r="J6735" s="274" t="e">
        <f t="shared" ca="1" si="107"/>
        <v>#NAME?</v>
      </c>
      <c r="K6735" s="274">
        <f t="shared" si="108"/>
        <v>0</v>
      </c>
      <c r="N6735" s="274"/>
    </row>
    <row r="6736" spans="5:14" ht="13.5" customHeight="1">
      <c r="E6736" s="1" t="s">
        <v>1642</v>
      </c>
      <c r="F6736" s="1" t="s">
        <v>3141</v>
      </c>
      <c r="G6736" s="409" t="str">
        <f t="shared" si="109"/>
        <v>15-12</v>
      </c>
      <c r="H6736" s="273" t="e">
        <f ca="1">_xludf.IFNA(VLOOKUP(E6736,'Urban Plastix Holds'!$I$37:$U$705,7,0),0)</f>
        <v>#NAME?</v>
      </c>
      <c r="I6736" s="274"/>
      <c r="J6736" s="274" t="e">
        <f t="shared" ca="1" si="107"/>
        <v>#NAME?</v>
      </c>
      <c r="K6736" s="274">
        <f t="shared" si="108"/>
        <v>0</v>
      </c>
      <c r="N6736" s="274"/>
    </row>
    <row r="6737" spans="5:14" ht="13.5" customHeight="1">
      <c r="E6737" s="1" t="s">
        <v>1642</v>
      </c>
      <c r="F6737" s="1" t="s">
        <v>3141</v>
      </c>
      <c r="G6737" s="410" t="str">
        <f t="shared" si="109"/>
        <v>16-16</v>
      </c>
      <c r="H6737" s="273" t="e">
        <f ca="1">_xludf.IFNA(VLOOKUP(E6737,'Urban Plastix Holds'!$I$37:$U$705,8,0),0)</f>
        <v>#NAME?</v>
      </c>
      <c r="I6737" s="274"/>
      <c r="J6737" s="274" t="e">
        <f t="shared" ca="1" si="107"/>
        <v>#NAME?</v>
      </c>
      <c r="K6737" s="274">
        <f t="shared" si="108"/>
        <v>0</v>
      </c>
      <c r="N6737" s="274"/>
    </row>
    <row r="6738" spans="5:14" ht="13.5" customHeight="1">
      <c r="E6738" s="1" t="s">
        <v>1642</v>
      </c>
      <c r="F6738" s="1" t="s">
        <v>3141</v>
      </c>
      <c r="G6738" s="411" t="str">
        <f t="shared" si="109"/>
        <v>13-01</v>
      </c>
      <c r="H6738" s="273" t="e">
        <f ca="1">_xludf.IFNA(VLOOKUP(E6738,'Urban Plastix Holds'!$I$37:$U$705,9,0),0)</f>
        <v>#NAME?</v>
      </c>
      <c r="I6738" s="274"/>
      <c r="J6738" s="274" t="e">
        <f t="shared" ca="1" si="107"/>
        <v>#NAME?</v>
      </c>
      <c r="K6738" s="274">
        <f t="shared" si="108"/>
        <v>0</v>
      </c>
      <c r="N6738" s="274"/>
    </row>
    <row r="6739" spans="5:14" ht="13.5" customHeight="1">
      <c r="E6739" s="1" t="s">
        <v>1642</v>
      </c>
      <c r="F6739" s="1" t="s">
        <v>3141</v>
      </c>
      <c r="G6739" s="413" t="str">
        <f t="shared" si="109"/>
        <v>07-13</v>
      </c>
      <c r="H6739" s="273" t="e">
        <f ca="1">_xludf.IFNA(VLOOKUP(E6739,'Urban Plastix Holds'!$I$37:$U$705,10,0),0)</f>
        <v>#NAME?</v>
      </c>
      <c r="I6739" s="274"/>
      <c r="J6739" s="274" t="e">
        <f t="shared" ca="1" si="107"/>
        <v>#NAME?</v>
      </c>
      <c r="K6739" s="274">
        <f t="shared" si="108"/>
        <v>0</v>
      </c>
      <c r="N6739" s="274"/>
    </row>
    <row r="6740" spans="5:14" ht="13.5" customHeight="1">
      <c r="E6740" s="1" t="s">
        <v>1642</v>
      </c>
      <c r="F6740" s="1" t="s">
        <v>3141</v>
      </c>
      <c r="G6740" s="414" t="str">
        <f t="shared" si="109"/>
        <v>11-26</v>
      </c>
      <c r="H6740" s="273" t="e">
        <f ca="1">_xludf.IFNA(VLOOKUP(E6740,'Urban Plastix Holds'!$I$37:$U$705,11,0),0)</f>
        <v>#NAME?</v>
      </c>
      <c r="I6740" s="274"/>
      <c r="J6740" s="274" t="e">
        <f t="shared" ca="1" si="107"/>
        <v>#NAME?</v>
      </c>
      <c r="K6740" s="274">
        <f t="shared" si="108"/>
        <v>0</v>
      </c>
      <c r="N6740" s="274"/>
    </row>
    <row r="6741" spans="5:14" ht="13.5" customHeight="1">
      <c r="E6741" s="1" t="s">
        <v>1642</v>
      </c>
      <c r="F6741" s="1" t="s">
        <v>3141</v>
      </c>
      <c r="G6741" s="415" t="str">
        <f t="shared" si="109"/>
        <v>18-01</v>
      </c>
      <c r="H6741" s="273" t="e">
        <f ca="1">_xludf.IFNA(VLOOKUP(E6741,'Urban Plastix Holds'!$I$37:$U$705,12,0),0)</f>
        <v>#NAME?</v>
      </c>
      <c r="I6741" s="274"/>
      <c r="J6741" s="274" t="e">
        <f t="shared" ca="1" si="107"/>
        <v>#NAME?</v>
      </c>
      <c r="K6741" s="274">
        <f t="shared" si="108"/>
        <v>0</v>
      </c>
      <c r="N6741" s="274"/>
    </row>
    <row r="6742" spans="5:14" ht="13.5" customHeight="1">
      <c r="E6742" s="1" t="s">
        <v>1642</v>
      </c>
      <c r="F6742" s="1" t="s">
        <v>3141</v>
      </c>
      <c r="G6742" s="416" t="str">
        <f t="shared" si="109"/>
        <v>Color Code</v>
      </c>
      <c r="H6742" s="273" t="e">
        <f ca="1">_xludf.IFNA(VLOOKUP(E6742,'Urban Plastix Holds'!$I$37:$U$705,13,0),0)</f>
        <v>#NAME?</v>
      </c>
      <c r="I6742" s="274"/>
      <c r="J6742" s="274" t="e">
        <f t="shared" ca="1" si="107"/>
        <v>#NAME?</v>
      </c>
      <c r="K6742" s="274">
        <f t="shared" si="108"/>
        <v>0</v>
      </c>
      <c r="N6742" s="274"/>
    </row>
    <row r="6743" spans="5:14" ht="13.5" customHeight="1">
      <c r="E6743" s="1" t="s">
        <v>1673</v>
      </c>
      <c r="F6743" s="1" t="s">
        <v>3142</v>
      </c>
      <c r="G6743" s="406" t="str">
        <f t="shared" si="109"/>
        <v>11-12</v>
      </c>
      <c r="H6743" s="273" t="e">
        <f ca="1">_xludf.IFNA(VLOOKUP(E6743,'Urban Plastix Holds'!$I$37:$U$705,5,0),0)</f>
        <v>#NAME?</v>
      </c>
      <c r="I6743" s="274"/>
      <c r="J6743" s="274" t="e">
        <f t="shared" ca="1" si="107"/>
        <v>#NAME?</v>
      </c>
      <c r="K6743" s="274">
        <f t="shared" si="108"/>
        <v>0</v>
      </c>
      <c r="N6743" s="274"/>
    </row>
    <row r="6744" spans="5:14" ht="13.5" customHeight="1">
      <c r="E6744" s="1" t="s">
        <v>1673</v>
      </c>
      <c r="F6744" s="1" t="s">
        <v>3142</v>
      </c>
      <c r="G6744" s="408" t="str">
        <f t="shared" si="109"/>
        <v>14-01</v>
      </c>
      <c r="H6744" s="273" t="e">
        <f ca="1">_xludf.IFNA(VLOOKUP(E6744,'Urban Plastix Holds'!$I$37:$U$705,6,0),0)</f>
        <v>#NAME?</v>
      </c>
      <c r="I6744" s="274"/>
      <c r="J6744" s="274" t="e">
        <f t="shared" ca="1" si="107"/>
        <v>#NAME?</v>
      </c>
      <c r="K6744" s="274">
        <f t="shared" si="108"/>
        <v>0</v>
      </c>
      <c r="N6744" s="274"/>
    </row>
    <row r="6745" spans="5:14" ht="13.5" customHeight="1">
      <c r="E6745" s="1" t="s">
        <v>1673</v>
      </c>
      <c r="F6745" s="1" t="s">
        <v>3142</v>
      </c>
      <c r="G6745" s="409" t="str">
        <f t="shared" si="109"/>
        <v>15-12</v>
      </c>
      <c r="H6745" s="273" t="e">
        <f ca="1">_xludf.IFNA(VLOOKUP(E6745,'Urban Plastix Holds'!$I$37:$U$705,7,0),0)</f>
        <v>#NAME?</v>
      </c>
      <c r="I6745" s="274"/>
      <c r="J6745" s="274" t="e">
        <f t="shared" ca="1" si="107"/>
        <v>#NAME?</v>
      </c>
      <c r="K6745" s="274">
        <f t="shared" si="108"/>
        <v>0</v>
      </c>
      <c r="N6745" s="274"/>
    </row>
    <row r="6746" spans="5:14" ht="13.5" customHeight="1">
      <c r="E6746" s="1" t="s">
        <v>1673</v>
      </c>
      <c r="F6746" s="1" t="s">
        <v>3142</v>
      </c>
      <c r="G6746" s="410" t="str">
        <f t="shared" si="109"/>
        <v>16-16</v>
      </c>
      <c r="H6746" s="273" t="e">
        <f ca="1">_xludf.IFNA(VLOOKUP(E6746,'Urban Plastix Holds'!$I$37:$U$705,8,0),0)</f>
        <v>#NAME?</v>
      </c>
      <c r="I6746" s="274"/>
      <c r="J6746" s="274" t="e">
        <f t="shared" ca="1" si="107"/>
        <v>#NAME?</v>
      </c>
      <c r="K6746" s="274">
        <f t="shared" si="108"/>
        <v>0</v>
      </c>
      <c r="N6746" s="274"/>
    </row>
    <row r="6747" spans="5:14" ht="13.5" customHeight="1">
      <c r="E6747" s="1" t="s">
        <v>1673</v>
      </c>
      <c r="F6747" s="1" t="s">
        <v>3142</v>
      </c>
      <c r="G6747" s="411" t="str">
        <f t="shared" si="109"/>
        <v>13-01</v>
      </c>
      <c r="H6747" s="273" t="e">
        <f ca="1">_xludf.IFNA(VLOOKUP(E6747,'Urban Plastix Holds'!$I$37:$U$705,9,0),0)</f>
        <v>#NAME?</v>
      </c>
      <c r="I6747" s="274"/>
      <c r="J6747" s="274" t="e">
        <f t="shared" ca="1" si="107"/>
        <v>#NAME?</v>
      </c>
      <c r="K6747" s="274">
        <f t="shared" si="108"/>
        <v>0</v>
      </c>
      <c r="N6747" s="274"/>
    </row>
    <row r="6748" spans="5:14" ht="13.5" customHeight="1">
      <c r="E6748" s="1" t="s">
        <v>1673</v>
      </c>
      <c r="F6748" s="1" t="s">
        <v>3142</v>
      </c>
      <c r="G6748" s="413" t="str">
        <f t="shared" si="109"/>
        <v>07-13</v>
      </c>
      <c r="H6748" s="273" t="e">
        <f ca="1">_xludf.IFNA(VLOOKUP(E6748,'Urban Plastix Holds'!$I$37:$U$705,10,0),0)</f>
        <v>#NAME?</v>
      </c>
      <c r="I6748" s="274"/>
      <c r="J6748" s="274" t="e">
        <f t="shared" ca="1" si="107"/>
        <v>#NAME?</v>
      </c>
      <c r="K6748" s="274">
        <f t="shared" si="108"/>
        <v>0</v>
      </c>
      <c r="N6748" s="274"/>
    </row>
    <row r="6749" spans="5:14" ht="13.5" customHeight="1">
      <c r="E6749" s="1" t="s">
        <v>1673</v>
      </c>
      <c r="F6749" s="1" t="s">
        <v>3142</v>
      </c>
      <c r="G6749" s="414" t="str">
        <f t="shared" si="109"/>
        <v>11-26</v>
      </c>
      <c r="H6749" s="273" t="e">
        <f ca="1">_xludf.IFNA(VLOOKUP(E6749,'Urban Plastix Holds'!$I$37:$U$705,11,0),0)</f>
        <v>#NAME?</v>
      </c>
      <c r="I6749" s="274"/>
      <c r="J6749" s="274" t="e">
        <f t="shared" ca="1" si="107"/>
        <v>#NAME?</v>
      </c>
      <c r="K6749" s="274">
        <f t="shared" si="108"/>
        <v>0</v>
      </c>
      <c r="N6749" s="274"/>
    </row>
    <row r="6750" spans="5:14" ht="13.5" customHeight="1">
      <c r="E6750" s="1" t="s">
        <v>1673</v>
      </c>
      <c r="F6750" s="1" t="s">
        <v>3142</v>
      </c>
      <c r="G6750" s="415" t="str">
        <f t="shared" si="109"/>
        <v>18-01</v>
      </c>
      <c r="H6750" s="273" t="e">
        <f ca="1">_xludf.IFNA(VLOOKUP(E6750,'Urban Plastix Holds'!$I$37:$U$705,12,0),0)</f>
        <v>#NAME?</v>
      </c>
      <c r="I6750" s="274"/>
      <c r="J6750" s="274" t="e">
        <f t="shared" ca="1" si="107"/>
        <v>#NAME?</v>
      </c>
      <c r="K6750" s="274">
        <f t="shared" si="108"/>
        <v>0</v>
      </c>
      <c r="N6750" s="274"/>
    </row>
    <row r="6751" spans="5:14" ht="13.5" customHeight="1">
      <c r="E6751" s="1" t="s">
        <v>1673</v>
      </c>
      <c r="F6751" s="1" t="s">
        <v>3142</v>
      </c>
      <c r="G6751" s="416" t="str">
        <f t="shared" si="109"/>
        <v>Color Code</v>
      </c>
      <c r="H6751" s="273" t="e">
        <f ca="1">_xludf.IFNA(VLOOKUP(E6751,'Urban Plastix Holds'!$I$37:$U$705,13,0),0)</f>
        <v>#NAME?</v>
      </c>
      <c r="I6751" s="274"/>
      <c r="J6751" s="274" t="e">
        <f t="shared" ca="1" si="107"/>
        <v>#NAME?</v>
      </c>
      <c r="K6751" s="274">
        <f t="shared" si="108"/>
        <v>0</v>
      </c>
      <c r="N6751" s="274"/>
    </row>
    <row r="6752" spans="5:14" ht="13.5" customHeight="1">
      <c r="E6752" s="1" t="s">
        <v>1335</v>
      </c>
      <c r="F6752" s="1" t="s">
        <v>3143</v>
      </c>
      <c r="G6752" s="406" t="str">
        <f t="shared" si="109"/>
        <v>11-12</v>
      </c>
      <c r="H6752" s="273" t="e">
        <f ca="1">_xludf.IFNA(VLOOKUP(E6752,'Urban Plastix Holds'!$I$37:$U$705,5,0),0)</f>
        <v>#NAME?</v>
      </c>
      <c r="I6752" s="274"/>
      <c r="J6752" s="274" t="e">
        <f t="shared" ca="1" si="107"/>
        <v>#NAME?</v>
      </c>
      <c r="K6752" s="274">
        <f t="shared" si="108"/>
        <v>0</v>
      </c>
      <c r="N6752" s="274"/>
    </row>
    <row r="6753" spans="5:14" ht="13.5" customHeight="1">
      <c r="E6753" s="1" t="s">
        <v>1335</v>
      </c>
      <c r="F6753" s="1" t="s">
        <v>3143</v>
      </c>
      <c r="G6753" s="408" t="str">
        <f t="shared" si="109"/>
        <v>14-01</v>
      </c>
      <c r="H6753" s="273" t="e">
        <f ca="1">_xludf.IFNA(VLOOKUP(E6753,'Urban Plastix Holds'!$I$37:$U$705,6,0),0)</f>
        <v>#NAME?</v>
      </c>
      <c r="I6753" s="274"/>
      <c r="J6753" s="274" t="e">
        <f t="shared" ca="1" si="107"/>
        <v>#NAME?</v>
      </c>
      <c r="K6753" s="274">
        <f t="shared" si="108"/>
        <v>0</v>
      </c>
      <c r="N6753" s="274"/>
    </row>
    <row r="6754" spans="5:14" ht="13.5" customHeight="1">
      <c r="E6754" s="1" t="s">
        <v>1335</v>
      </c>
      <c r="F6754" s="1" t="s">
        <v>3143</v>
      </c>
      <c r="G6754" s="409" t="str">
        <f t="shared" si="109"/>
        <v>15-12</v>
      </c>
      <c r="H6754" s="273" t="e">
        <f ca="1">_xludf.IFNA(VLOOKUP(E6754,'Urban Plastix Holds'!$I$37:$U$705,7,0),0)</f>
        <v>#NAME?</v>
      </c>
      <c r="I6754" s="274"/>
      <c r="J6754" s="274" t="e">
        <f t="shared" ca="1" si="107"/>
        <v>#NAME?</v>
      </c>
      <c r="K6754" s="274">
        <f t="shared" si="108"/>
        <v>0</v>
      </c>
      <c r="N6754" s="274"/>
    </row>
    <row r="6755" spans="5:14" ht="13.5" customHeight="1">
      <c r="E6755" s="1" t="s">
        <v>1335</v>
      </c>
      <c r="F6755" s="1" t="s">
        <v>3143</v>
      </c>
      <c r="G6755" s="410" t="str">
        <f t="shared" si="109"/>
        <v>16-16</v>
      </c>
      <c r="H6755" s="273" t="e">
        <f ca="1">_xludf.IFNA(VLOOKUP(E6755,'Urban Plastix Holds'!$I$37:$U$705,8,0),0)</f>
        <v>#NAME?</v>
      </c>
      <c r="I6755" s="274"/>
      <c r="J6755" s="274" t="e">
        <f t="shared" ca="1" si="107"/>
        <v>#NAME?</v>
      </c>
      <c r="K6755" s="274">
        <f t="shared" si="108"/>
        <v>0</v>
      </c>
      <c r="N6755" s="274"/>
    </row>
    <row r="6756" spans="5:14" ht="13.5" customHeight="1">
      <c r="E6756" s="1" t="s">
        <v>1335</v>
      </c>
      <c r="F6756" s="1" t="s">
        <v>3143</v>
      </c>
      <c r="G6756" s="411" t="str">
        <f t="shared" si="109"/>
        <v>13-01</v>
      </c>
      <c r="H6756" s="273" t="e">
        <f ca="1">_xludf.IFNA(VLOOKUP(E6756,'Urban Plastix Holds'!$I$37:$U$705,9,0),0)</f>
        <v>#NAME?</v>
      </c>
      <c r="I6756" s="274"/>
      <c r="J6756" s="274" t="e">
        <f t="shared" ca="1" si="107"/>
        <v>#NAME?</v>
      </c>
      <c r="K6756" s="274">
        <f t="shared" si="108"/>
        <v>0</v>
      </c>
      <c r="N6756" s="274"/>
    </row>
    <row r="6757" spans="5:14" ht="13.5" customHeight="1">
      <c r="E6757" s="1" t="s">
        <v>1335</v>
      </c>
      <c r="F6757" s="1" t="s">
        <v>3143</v>
      </c>
      <c r="G6757" s="413" t="str">
        <f t="shared" si="109"/>
        <v>07-13</v>
      </c>
      <c r="H6757" s="273" t="e">
        <f ca="1">_xludf.IFNA(VLOOKUP(E6757,'Urban Plastix Holds'!$I$37:$U$705,10,0),0)</f>
        <v>#NAME?</v>
      </c>
      <c r="I6757" s="274"/>
      <c r="J6757" s="274" t="e">
        <f t="shared" ca="1" si="107"/>
        <v>#NAME?</v>
      </c>
      <c r="K6757" s="274">
        <f t="shared" si="108"/>
        <v>0</v>
      </c>
      <c r="N6757" s="274"/>
    </row>
    <row r="6758" spans="5:14" ht="13.5" customHeight="1">
      <c r="E6758" s="1" t="s">
        <v>1335</v>
      </c>
      <c r="F6758" s="1" t="s">
        <v>3143</v>
      </c>
      <c r="G6758" s="414" t="str">
        <f t="shared" si="109"/>
        <v>11-26</v>
      </c>
      <c r="H6758" s="273" t="e">
        <f ca="1">_xludf.IFNA(VLOOKUP(E6758,'Urban Plastix Holds'!$I$37:$U$705,11,0),0)</f>
        <v>#NAME?</v>
      </c>
      <c r="I6758" s="274"/>
      <c r="J6758" s="274" t="e">
        <f t="shared" ca="1" si="107"/>
        <v>#NAME?</v>
      </c>
      <c r="K6758" s="274">
        <f t="shared" si="108"/>
        <v>0</v>
      </c>
      <c r="N6758" s="274"/>
    </row>
    <row r="6759" spans="5:14" ht="13.5" customHeight="1">
      <c r="E6759" s="1" t="s">
        <v>1335</v>
      </c>
      <c r="F6759" s="1" t="s">
        <v>3143</v>
      </c>
      <c r="G6759" s="415" t="str">
        <f t="shared" si="109"/>
        <v>18-01</v>
      </c>
      <c r="H6759" s="273" t="e">
        <f ca="1">_xludf.IFNA(VLOOKUP(E6759,'Urban Plastix Holds'!$I$37:$U$705,12,0),0)</f>
        <v>#NAME?</v>
      </c>
      <c r="I6759" s="274"/>
      <c r="J6759" s="274" t="e">
        <f t="shared" ca="1" si="107"/>
        <v>#NAME?</v>
      </c>
      <c r="K6759" s="274">
        <f t="shared" si="108"/>
        <v>0</v>
      </c>
      <c r="N6759" s="274"/>
    </row>
    <row r="6760" spans="5:14" ht="13.5" customHeight="1">
      <c r="E6760" s="1" t="s">
        <v>1335</v>
      </c>
      <c r="F6760" s="1" t="s">
        <v>3143</v>
      </c>
      <c r="G6760" s="416" t="str">
        <f t="shared" si="109"/>
        <v>Color Code</v>
      </c>
      <c r="H6760" s="273" t="e">
        <f ca="1">_xludf.IFNA(VLOOKUP(E6760,'Urban Plastix Holds'!$I$37:$U$705,13,0),0)</f>
        <v>#NAME?</v>
      </c>
      <c r="I6760" s="274"/>
      <c r="J6760" s="274" t="e">
        <f t="shared" ca="1" si="107"/>
        <v>#NAME?</v>
      </c>
      <c r="K6760" s="274">
        <f t="shared" si="108"/>
        <v>0</v>
      </c>
      <c r="N6760" s="274"/>
    </row>
    <row r="6761" spans="5:14" ht="13.5" customHeight="1">
      <c r="E6761" s="1" t="s">
        <v>1343</v>
      </c>
      <c r="F6761" s="1" t="s">
        <v>3144</v>
      </c>
      <c r="G6761" s="406" t="str">
        <f t="shared" si="109"/>
        <v>11-12</v>
      </c>
      <c r="H6761" s="273" t="e">
        <f ca="1">_xludf.IFNA(VLOOKUP(E6761,'Urban Plastix Holds'!$I$37:$U$705,5,0),0)</f>
        <v>#NAME?</v>
      </c>
      <c r="I6761" s="274"/>
      <c r="J6761" s="274" t="e">
        <f t="shared" ca="1" si="107"/>
        <v>#NAME?</v>
      </c>
      <c r="K6761" s="274">
        <f t="shared" si="108"/>
        <v>0</v>
      </c>
      <c r="N6761" s="274"/>
    </row>
    <row r="6762" spans="5:14" ht="13.5" customHeight="1">
      <c r="E6762" s="1" t="s">
        <v>1343</v>
      </c>
      <c r="F6762" s="1" t="s">
        <v>3144</v>
      </c>
      <c r="G6762" s="408" t="str">
        <f t="shared" si="109"/>
        <v>14-01</v>
      </c>
      <c r="H6762" s="273" t="e">
        <f ca="1">_xludf.IFNA(VLOOKUP(E6762,'Urban Plastix Holds'!$I$37:$U$705,6,0),0)</f>
        <v>#NAME?</v>
      </c>
      <c r="I6762" s="274"/>
      <c r="J6762" s="274" t="e">
        <f t="shared" ca="1" si="107"/>
        <v>#NAME?</v>
      </c>
      <c r="K6762" s="274">
        <f t="shared" si="108"/>
        <v>0</v>
      </c>
      <c r="N6762" s="274"/>
    </row>
    <row r="6763" spans="5:14" ht="13.5" customHeight="1">
      <c r="E6763" s="1" t="s">
        <v>1343</v>
      </c>
      <c r="F6763" s="1" t="s">
        <v>3144</v>
      </c>
      <c r="G6763" s="409" t="str">
        <f t="shared" si="109"/>
        <v>15-12</v>
      </c>
      <c r="H6763" s="273" t="e">
        <f ca="1">_xludf.IFNA(VLOOKUP(E6763,'Urban Plastix Holds'!$I$37:$U$705,7,0),0)</f>
        <v>#NAME?</v>
      </c>
      <c r="I6763" s="274"/>
      <c r="J6763" s="274" t="e">
        <f t="shared" ca="1" si="107"/>
        <v>#NAME?</v>
      </c>
      <c r="K6763" s="274">
        <f t="shared" si="108"/>
        <v>0</v>
      </c>
      <c r="N6763" s="274"/>
    </row>
    <row r="6764" spans="5:14" ht="13.5" customHeight="1">
      <c r="E6764" s="1" t="s">
        <v>1343</v>
      </c>
      <c r="F6764" s="1" t="s">
        <v>3144</v>
      </c>
      <c r="G6764" s="410" t="str">
        <f t="shared" si="109"/>
        <v>16-16</v>
      </c>
      <c r="H6764" s="273" t="e">
        <f ca="1">_xludf.IFNA(VLOOKUP(E6764,'Urban Plastix Holds'!$I$37:$U$705,8,0),0)</f>
        <v>#NAME?</v>
      </c>
      <c r="I6764" s="274"/>
      <c r="J6764" s="274" t="e">
        <f t="shared" ca="1" si="107"/>
        <v>#NAME?</v>
      </c>
      <c r="K6764" s="274">
        <f t="shared" si="108"/>
        <v>0</v>
      </c>
      <c r="N6764" s="274"/>
    </row>
    <row r="6765" spans="5:14" ht="13.5" customHeight="1">
      <c r="E6765" s="1" t="s">
        <v>1343</v>
      </c>
      <c r="F6765" s="1" t="s">
        <v>3144</v>
      </c>
      <c r="G6765" s="411" t="str">
        <f t="shared" si="109"/>
        <v>13-01</v>
      </c>
      <c r="H6765" s="273" t="e">
        <f ca="1">_xludf.IFNA(VLOOKUP(E6765,'Urban Plastix Holds'!$I$37:$U$705,9,0),0)</f>
        <v>#NAME?</v>
      </c>
      <c r="I6765" s="274"/>
      <c r="J6765" s="274" t="e">
        <f t="shared" ca="1" si="107"/>
        <v>#NAME?</v>
      </c>
      <c r="K6765" s="274">
        <f t="shared" si="108"/>
        <v>0</v>
      </c>
      <c r="N6765" s="274"/>
    </row>
    <row r="6766" spans="5:14" ht="13.5" customHeight="1">
      <c r="E6766" s="1" t="s">
        <v>1343</v>
      </c>
      <c r="F6766" s="1" t="s">
        <v>3144</v>
      </c>
      <c r="G6766" s="413" t="str">
        <f t="shared" si="109"/>
        <v>07-13</v>
      </c>
      <c r="H6766" s="273" t="e">
        <f ca="1">_xludf.IFNA(VLOOKUP(E6766,'Urban Plastix Holds'!$I$37:$U$705,10,0),0)</f>
        <v>#NAME?</v>
      </c>
      <c r="I6766" s="274"/>
      <c r="J6766" s="274" t="e">
        <f t="shared" ca="1" si="107"/>
        <v>#NAME?</v>
      </c>
      <c r="K6766" s="274">
        <f t="shared" si="108"/>
        <v>0</v>
      </c>
      <c r="N6766" s="274"/>
    </row>
    <row r="6767" spans="5:14" ht="13.5" customHeight="1">
      <c r="E6767" s="1" t="s">
        <v>1343</v>
      </c>
      <c r="F6767" s="1" t="s">
        <v>3144</v>
      </c>
      <c r="G6767" s="414" t="str">
        <f t="shared" si="109"/>
        <v>11-26</v>
      </c>
      <c r="H6767" s="273" t="e">
        <f ca="1">_xludf.IFNA(VLOOKUP(E6767,'Urban Plastix Holds'!$I$37:$U$705,11,0),0)</f>
        <v>#NAME?</v>
      </c>
      <c r="I6767" s="274"/>
      <c r="J6767" s="274" t="e">
        <f t="shared" ca="1" si="107"/>
        <v>#NAME?</v>
      </c>
      <c r="K6767" s="274">
        <f t="shared" si="108"/>
        <v>0</v>
      </c>
      <c r="N6767" s="274"/>
    </row>
    <row r="6768" spans="5:14" ht="13.5" customHeight="1">
      <c r="E6768" s="1" t="s">
        <v>1343</v>
      </c>
      <c r="F6768" s="1" t="s">
        <v>3144</v>
      </c>
      <c r="G6768" s="415" t="str">
        <f t="shared" si="109"/>
        <v>18-01</v>
      </c>
      <c r="H6768" s="273" t="e">
        <f ca="1">_xludf.IFNA(VLOOKUP(E6768,'Urban Plastix Holds'!$I$37:$U$705,12,0),0)</f>
        <v>#NAME?</v>
      </c>
      <c r="I6768" s="274"/>
      <c r="J6768" s="274" t="e">
        <f t="shared" ca="1" si="107"/>
        <v>#NAME?</v>
      </c>
      <c r="K6768" s="274">
        <f t="shared" si="108"/>
        <v>0</v>
      </c>
      <c r="N6768" s="274"/>
    </row>
    <row r="6769" spans="5:14" ht="13.5" customHeight="1">
      <c r="E6769" s="1" t="s">
        <v>1343</v>
      </c>
      <c r="F6769" s="1" t="s">
        <v>3144</v>
      </c>
      <c r="G6769" s="416" t="str">
        <f t="shared" si="109"/>
        <v>Color Code</v>
      </c>
      <c r="H6769" s="273" t="e">
        <f ca="1">_xludf.IFNA(VLOOKUP(E6769,'Urban Plastix Holds'!$I$37:$U$705,13,0),0)</f>
        <v>#NAME?</v>
      </c>
      <c r="I6769" s="274"/>
      <c r="J6769" s="274" t="e">
        <f t="shared" ca="1" si="107"/>
        <v>#NAME?</v>
      </c>
      <c r="K6769" s="274">
        <f t="shared" si="108"/>
        <v>0</v>
      </c>
      <c r="N6769" s="274"/>
    </row>
    <row r="6770" spans="5:14" ht="13.5" customHeight="1">
      <c r="E6770" s="1" t="s">
        <v>1377</v>
      </c>
      <c r="F6770" s="1" t="s">
        <v>3145</v>
      </c>
      <c r="G6770" s="406" t="str">
        <f t="shared" si="109"/>
        <v>11-12</v>
      </c>
      <c r="H6770" s="273" t="e">
        <f ca="1">_xludf.IFNA(VLOOKUP(E6770,'Urban Plastix Holds'!$I$37:$U$705,5,0),0)</f>
        <v>#NAME?</v>
      </c>
      <c r="I6770" s="274"/>
      <c r="J6770" s="274" t="e">
        <f t="shared" ca="1" si="107"/>
        <v>#NAME?</v>
      </c>
      <c r="K6770" s="274">
        <f t="shared" si="108"/>
        <v>0</v>
      </c>
      <c r="N6770" s="274"/>
    </row>
    <row r="6771" spans="5:14" ht="13.5" customHeight="1">
      <c r="E6771" s="1" t="s">
        <v>1377</v>
      </c>
      <c r="F6771" s="1" t="s">
        <v>3145</v>
      </c>
      <c r="G6771" s="408" t="str">
        <f t="shared" si="109"/>
        <v>14-01</v>
      </c>
      <c r="H6771" s="273" t="e">
        <f ca="1">_xludf.IFNA(VLOOKUP(E6771,'Urban Plastix Holds'!$I$37:$U$705,6,0),0)</f>
        <v>#NAME?</v>
      </c>
      <c r="I6771" s="274"/>
      <c r="J6771" s="274" t="e">
        <f t="shared" ca="1" si="107"/>
        <v>#NAME?</v>
      </c>
      <c r="K6771" s="274">
        <f t="shared" si="108"/>
        <v>0</v>
      </c>
      <c r="N6771" s="274"/>
    </row>
    <row r="6772" spans="5:14" ht="13.5" customHeight="1">
      <c r="E6772" s="1" t="s">
        <v>1377</v>
      </c>
      <c r="F6772" s="1" t="s">
        <v>3145</v>
      </c>
      <c r="G6772" s="409" t="str">
        <f t="shared" si="109"/>
        <v>15-12</v>
      </c>
      <c r="H6772" s="273" t="e">
        <f ca="1">_xludf.IFNA(VLOOKUP(E6772,'Urban Plastix Holds'!$I$37:$U$705,7,0),0)</f>
        <v>#NAME?</v>
      </c>
      <c r="I6772" s="274"/>
      <c r="J6772" s="274" t="e">
        <f t="shared" ca="1" si="107"/>
        <v>#NAME?</v>
      </c>
      <c r="K6772" s="274">
        <f t="shared" si="108"/>
        <v>0</v>
      </c>
      <c r="N6772" s="274"/>
    </row>
    <row r="6773" spans="5:14" ht="13.5" customHeight="1">
      <c r="E6773" s="1" t="s">
        <v>1377</v>
      </c>
      <c r="F6773" s="1" t="s">
        <v>3145</v>
      </c>
      <c r="G6773" s="410" t="str">
        <f t="shared" si="109"/>
        <v>16-16</v>
      </c>
      <c r="H6773" s="273" t="e">
        <f ca="1">_xludf.IFNA(VLOOKUP(E6773,'Urban Plastix Holds'!$I$37:$U$705,8,0),0)</f>
        <v>#NAME?</v>
      </c>
      <c r="I6773" s="274"/>
      <c r="J6773" s="274" t="e">
        <f t="shared" ca="1" si="107"/>
        <v>#NAME?</v>
      </c>
      <c r="K6773" s="274">
        <f t="shared" si="108"/>
        <v>0</v>
      </c>
      <c r="N6773" s="274"/>
    </row>
    <row r="6774" spans="5:14" ht="13.5" customHeight="1">
      <c r="E6774" s="1" t="s">
        <v>1377</v>
      </c>
      <c r="F6774" s="1" t="s">
        <v>3145</v>
      </c>
      <c r="G6774" s="411" t="str">
        <f t="shared" si="109"/>
        <v>13-01</v>
      </c>
      <c r="H6774" s="273" t="e">
        <f ca="1">_xludf.IFNA(VLOOKUP(E6774,'Urban Plastix Holds'!$I$37:$U$705,9,0),0)</f>
        <v>#NAME?</v>
      </c>
      <c r="I6774" s="274"/>
      <c r="J6774" s="274" t="e">
        <f t="shared" ca="1" si="107"/>
        <v>#NAME?</v>
      </c>
      <c r="K6774" s="274">
        <f t="shared" si="108"/>
        <v>0</v>
      </c>
      <c r="N6774" s="274"/>
    </row>
    <row r="6775" spans="5:14" ht="13.5" customHeight="1">
      <c r="E6775" s="1" t="s">
        <v>1377</v>
      </c>
      <c r="F6775" s="1" t="s">
        <v>3145</v>
      </c>
      <c r="G6775" s="413" t="str">
        <f t="shared" si="109"/>
        <v>07-13</v>
      </c>
      <c r="H6775" s="273" t="e">
        <f ca="1">_xludf.IFNA(VLOOKUP(E6775,'Urban Plastix Holds'!$I$37:$U$705,10,0),0)</f>
        <v>#NAME?</v>
      </c>
      <c r="I6775" s="274"/>
      <c r="J6775" s="274" t="e">
        <f t="shared" ca="1" si="107"/>
        <v>#NAME?</v>
      </c>
      <c r="K6775" s="274">
        <f t="shared" si="108"/>
        <v>0</v>
      </c>
      <c r="N6775" s="274"/>
    </row>
    <row r="6776" spans="5:14" ht="13.5" customHeight="1">
      <c r="E6776" s="1" t="s">
        <v>1377</v>
      </c>
      <c r="F6776" s="1" t="s">
        <v>3145</v>
      </c>
      <c r="G6776" s="414" t="str">
        <f t="shared" si="109"/>
        <v>11-26</v>
      </c>
      <c r="H6776" s="273" t="e">
        <f ca="1">_xludf.IFNA(VLOOKUP(E6776,'Urban Plastix Holds'!$I$37:$U$705,11,0),0)</f>
        <v>#NAME?</v>
      </c>
      <c r="I6776" s="274"/>
      <c r="J6776" s="274" t="e">
        <f t="shared" ca="1" si="107"/>
        <v>#NAME?</v>
      </c>
      <c r="K6776" s="274">
        <f t="shared" si="108"/>
        <v>0</v>
      </c>
      <c r="N6776" s="274"/>
    </row>
    <row r="6777" spans="5:14" ht="13.5" customHeight="1">
      <c r="E6777" s="1" t="s">
        <v>1377</v>
      </c>
      <c r="F6777" s="1" t="s">
        <v>3145</v>
      </c>
      <c r="G6777" s="415" t="str">
        <f t="shared" si="109"/>
        <v>18-01</v>
      </c>
      <c r="H6777" s="273" t="e">
        <f ca="1">_xludf.IFNA(VLOOKUP(E6777,'Urban Plastix Holds'!$I$37:$U$705,12,0),0)</f>
        <v>#NAME?</v>
      </c>
      <c r="I6777" s="274"/>
      <c r="J6777" s="274" t="e">
        <f t="shared" ca="1" si="107"/>
        <v>#NAME?</v>
      </c>
      <c r="K6777" s="274">
        <f t="shared" si="108"/>
        <v>0</v>
      </c>
      <c r="N6777" s="274"/>
    </row>
    <row r="6778" spans="5:14" ht="13.5" customHeight="1">
      <c r="E6778" s="1" t="s">
        <v>1377</v>
      </c>
      <c r="F6778" s="1" t="s">
        <v>3145</v>
      </c>
      <c r="G6778" s="416" t="str">
        <f t="shared" si="109"/>
        <v>Color Code</v>
      </c>
      <c r="H6778" s="273" t="e">
        <f ca="1">_xludf.IFNA(VLOOKUP(E6778,'Urban Plastix Holds'!$I$37:$U$705,13,0),0)</f>
        <v>#NAME?</v>
      </c>
      <c r="I6778" s="274"/>
      <c r="J6778" s="274" t="e">
        <f t="shared" ca="1" si="107"/>
        <v>#NAME?</v>
      </c>
      <c r="K6778" s="274">
        <f t="shared" si="108"/>
        <v>0</v>
      </c>
      <c r="N6778" s="274"/>
    </row>
    <row r="6779" spans="5:14" ht="13.5" customHeight="1">
      <c r="E6779" s="1" t="s">
        <v>1345</v>
      </c>
      <c r="F6779" s="1" t="s">
        <v>3146</v>
      </c>
      <c r="G6779" s="406" t="str">
        <f t="shared" si="109"/>
        <v>11-12</v>
      </c>
      <c r="H6779" s="273" t="e">
        <f ca="1">_xludf.IFNA(VLOOKUP(E6779,'Urban Plastix Holds'!$I$37:$U$705,5,0),0)</f>
        <v>#NAME?</v>
      </c>
      <c r="I6779" s="274"/>
      <c r="J6779" s="274" t="e">
        <f t="shared" ca="1" si="107"/>
        <v>#NAME?</v>
      </c>
      <c r="K6779" s="274">
        <f t="shared" si="108"/>
        <v>0</v>
      </c>
      <c r="N6779" s="274"/>
    </row>
    <row r="6780" spans="5:14" ht="13.5" customHeight="1">
      <c r="E6780" s="1" t="s">
        <v>1345</v>
      </c>
      <c r="F6780" s="1" t="s">
        <v>3146</v>
      </c>
      <c r="G6780" s="408" t="str">
        <f t="shared" si="109"/>
        <v>14-01</v>
      </c>
      <c r="H6780" s="273" t="e">
        <f ca="1">_xludf.IFNA(VLOOKUP(E6780,'Urban Plastix Holds'!$I$37:$U$705,6,0),0)</f>
        <v>#NAME?</v>
      </c>
      <c r="I6780" s="274"/>
      <c r="J6780" s="274" t="e">
        <f t="shared" ca="1" si="107"/>
        <v>#NAME?</v>
      </c>
      <c r="K6780" s="274">
        <f t="shared" si="108"/>
        <v>0</v>
      </c>
      <c r="N6780" s="274"/>
    </row>
    <row r="6781" spans="5:14" ht="13.5" customHeight="1">
      <c r="E6781" s="1" t="s">
        <v>1345</v>
      </c>
      <c r="F6781" s="1" t="s">
        <v>3146</v>
      </c>
      <c r="G6781" s="409" t="str">
        <f t="shared" si="109"/>
        <v>15-12</v>
      </c>
      <c r="H6781" s="273" t="e">
        <f ca="1">_xludf.IFNA(VLOOKUP(E6781,'Urban Plastix Holds'!$I$37:$U$705,7,0),0)</f>
        <v>#NAME?</v>
      </c>
      <c r="I6781" s="274"/>
      <c r="J6781" s="274" t="e">
        <f t="shared" ca="1" si="107"/>
        <v>#NAME?</v>
      </c>
      <c r="K6781" s="274">
        <f t="shared" si="108"/>
        <v>0</v>
      </c>
      <c r="N6781" s="274"/>
    </row>
    <row r="6782" spans="5:14" ht="13.5" customHeight="1">
      <c r="E6782" s="1" t="s">
        <v>1345</v>
      </c>
      <c r="F6782" s="1" t="s">
        <v>3146</v>
      </c>
      <c r="G6782" s="410" t="str">
        <f t="shared" si="109"/>
        <v>16-16</v>
      </c>
      <c r="H6782" s="273" t="e">
        <f ca="1">_xludf.IFNA(VLOOKUP(E6782,'Urban Plastix Holds'!$I$37:$U$705,8,0),0)</f>
        <v>#NAME?</v>
      </c>
      <c r="I6782" s="274"/>
      <c r="J6782" s="274" t="e">
        <f t="shared" ca="1" si="107"/>
        <v>#NAME?</v>
      </c>
      <c r="K6782" s="274">
        <f t="shared" si="108"/>
        <v>0</v>
      </c>
      <c r="N6782" s="274"/>
    </row>
    <row r="6783" spans="5:14" ht="13.5" customHeight="1">
      <c r="E6783" s="1" t="s">
        <v>1345</v>
      </c>
      <c r="F6783" s="1" t="s">
        <v>3146</v>
      </c>
      <c r="G6783" s="411" t="str">
        <f t="shared" si="109"/>
        <v>13-01</v>
      </c>
      <c r="H6783" s="273" t="e">
        <f ca="1">_xludf.IFNA(VLOOKUP(E6783,'Urban Plastix Holds'!$I$37:$U$705,9,0),0)</f>
        <v>#NAME?</v>
      </c>
      <c r="I6783" s="274"/>
      <c r="J6783" s="274" t="e">
        <f t="shared" ca="1" si="107"/>
        <v>#NAME?</v>
      </c>
      <c r="K6783" s="274">
        <f t="shared" si="108"/>
        <v>0</v>
      </c>
      <c r="N6783" s="274"/>
    </row>
    <row r="6784" spans="5:14" ht="13.5" customHeight="1">
      <c r="E6784" s="1" t="s">
        <v>1345</v>
      </c>
      <c r="F6784" s="1" t="s">
        <v>3146</v>
      </c>
      <c r="G6784" s="413" t="str">
        <f t="shared" si="109"/>
        <v>07-13</v>
      </c>
      <c r="H6784" s="273" t="e">
        <f ca="1">_xludf.IFNA(VLOOKUP(E6784,'Urban Plastix Holds'!$I$37:$U$705,10,0),0)</f>
        <v>#NAME?</v>
      </c>
      <c r="I6784" s="274"/>
      <c r="J6784" s="274" t="e">
        <f t="shared" ca="1" si="107"/>
        <v>#NAME?</v>
      </c>
      <c r="K6784" s="274">
        <f t="shared" si="108"/>
        <v>0</v>
      </c>
      <c r="N6784" s="274"/>
    </row>
    <row r="6785" spans="5:14" ht="13.5" customHeight="1">
      <c r="E6785" s="1" t="s">
        <v>1345</v>
      </c>
      <c r="F6785" s="1" t="s">
        <v>3146</v>
      </c>
      <c r="G6785" s="414" t="str">
        <f t="shared" si="109"/>
        <v>11-26</v>
      </c>
      <c r="H6785" s="273" t="e">
        <f ca="1">_xludf.IFNA(VLOOKUP(E6785,'Urban Plastix Holds'!$I$37:$U$705,11,0),0)</f>
        <v>#NAME?</v>
      </c>
      <c r="I6785" s="274"/>
      <c r="J6785" s="274" t="e">
        <f t="shared" ca="1" si="107"/>
        <v>#NAME?</v>
      </c>
      <c r="K6785" s="274">
        <f t="shared" si="108"/>
        <v>0</v>
      </c>
      <c r="N6785" s="274"/>
    </row>
    <row r="6786" spans="5:14" ht="13.5" customHeight="1">
      <c r="E6786" s="1" t="s">
        <v>1345</v>
      </c>
      <c r="F6786" s="1" t="s">
        <v>3146</v>
      </c>
      <c r="G6786" s="415" t="str">
        <f t="shared" si="109"/>
        <v>18-01</v>
      </c>
      <c r="H6786" s="273" t="e">
        <f ca="1">_xludf.IFNA(VLOOKUP(E6786,'Urban Plastix Holds'!$I$37:$U$705,12,0),0)</f>
        <v>#NAME?</v>
      </c>
      <c r="I6786" s="274"/>
      <c r="J6786" s="274" t="e">
        <f t="shared" ca="1" si="107"/>
        <v>#NAME?</v>
      </c>
      <c r="K6786" s="274">
        <f t="shared" si="108"/>
        <v>0</v>
      </c>
      <c r="N6786" s="274"/>
    </row>
    <row r="6787" spans="5:14" ht="13.5" customHeight="1">
      <c r="E6787" s="1" t="s">
        <v>1345</v>
      </c>
      <c r="F6787" s="1" t="s">
        <v>3146</v>
      </c>
      <c r="G6787" s="416" t="str">
        <f t="shared" si="109"/>
        <v>Color Code</v>
      </c>
      <c r="H6787" s="273" t="e">
        <f ca="1">_xludf.IFNA(VLOOKUP(E6787,'Urban Plastix Holds'!$I$37:$U$705,13,0),0)</f>
        <v>#NAME?</v>
      </c>
      <c r="I6787" s="274"/>
      <c r="J6787" s="274" t="e">
        <f t="shared" ca="1" si="107"/>
        <v>#NAME?</v>
      </c>
      <c r="K6787" s="274">
        <f t="shared" si="108"/>
        <v>0</v>
      </c>
      <c r="N6787" s="274"/>
    </row>
    <row r="6788" spans="5:14" ht="13.5" customHeight="1">
      <c r="E6788" s="1" t="s">
        <v>1338</v>
      </c>
      <c r="F6788" s="1" t="s">
        <v>3147</v>
      </c>
      <c r="G6788" s="406" t="str">
        <f t="shared" si="109"/>
        <v>11-12</v>
      </c>
      <c r="H6788" s="273" t="e">
        <f ca="1">_xludf.IFNA(VLOOKUP(E6788,'Urban Plastix Holds'!$I$37:$U$705,5,0),0)</f>
        <v>#NAME?</v>
      </c>
      <c r="I6788" s="274"/>
      <c r="J6788" s="274" t="e">
        <f t="shared" ca="1" si="107"/>
        <v>#NAME?</v>
      </c>
      <c r="K6788" s="274">
        <f t="shared" si="108"/>
        <v>0</v>
      </c>
      <c r="N6788" s="274"/>
    </row>
    <row r="6789" spans="5:14" ht="13.5" customHeight="1">
      <c r="E6789" s="1" t="s">
        <v>1338</v>
      </c>
      <c r="F6789" s="1" t="s">
        <v>3147</v>
      </c>
      <c r="G6789" s="408" t="str">
        <f t="shared" si="109"/>
        <v>14-01</v>
      </c>
      <c r="H6789" s="273" t="e">
        <f ca="1">_xludf.IFNA(VLOOKUP(E6789,'Urban Plastix Holds'!$I$37:$U$705,6,0),0)</f>
        <v>#NAME?</v>
      </c>
      <c r="I6789" s="274"/>
      <c r="J6789" s="274" t="e">
        <f t="shared" ca="1" si="107"/>
        <v>#NAME?</v>
      </c>
      <c r="K6789" s="274">
        <f t="shared" si="108"/>
        <v>0</v>
      </c>
      <c r="N6789" s="274"/>
    </row>
    <row r="6790" spans="5:14" ht="13.5" customHeight="1">
      <c r="E6790" s="1" t="s">
        <v>1338</v>
      </c>
      <c r="F6790" s="1" t="s">
        <v>3147</v>
      </c>
      <c r="G6790" s="409" t="str">
        <f t="shared" si="109"/>
        <v>15-12</v>
      </c>
      <c r="H6790" s="273" t="e">
        <f ca="1">_xludf.IFNA(VLOOKUP(E6790,'Urban Plastix Holds'!$I$37:$U$705,7,0),0)</f>
        <v>#NAME?</v>
      </c>
      <c r="I6790" s="274"/>
      <c r="J6790" s="274" t="e">
        <f t="shared" ca="1" si="107"/>
        <v>#NAME?</v>
      </c>
      <c r="K6790" s="274">
        <f t="shared" si="108"/>
        <v>0</v>
      </c>
      <c r="N6790" s="274"/>
    </row>
    <row r="6791" spans="5:14" ht="13.5" customHeight="1">
      <c r="E6791" s="1" t="s">
        <v>1338</v>
      </c>
      <c r="F6791" s="1" t="s">
        <v>3147</v>
      </c>
      <c r="G6791" s="410" t="str">
        <f t="shared" si="109"/>
        <v>16-16</v>
      </c>
      <c r="H6791" s="273" t="e">
        <f ca="1">_xludf.IFNA(VLOOKUP(E6791,'Urban Plastix Holds'!$I$37:$U$705,8,0),0)</f>
        <v>#NAME?</v>
      </c>
      <c r="I6791" s="274"/>
      <c r="J6791" s="274" t="e">
        <f t="shared" ca="1" si="107"/>
        <v>#NAME?</v>
      </c>
      <c r="K6791" s="274">
        <f t="shared" si="108"/>
        <v>0</v>
      </c>
      <c r="N6791" s="274"/>
    </row>
    <row r="6792" spans="5:14" ht="13.5" customHeight="1">
      <c r="E6792" s="1" t="s">
        <v>1338</v>
      </c>
      <c r="F6792" s="1" t="s">
        <v>3147</v>
      </c>
      <c r="G6792" s="411" t="str">
        <f t="shared" si="109"/>
        <v>13-01</v>
      </c>
      <c r="H6792" s="273" t="e">
        <f ca="1">_xludf.IFNA(VLOOKUP(E6792,'Urban Plastix Holds'!$I$37:$U$705,9,0),0)</f>
        <v>#NAME?</v>
      </c>
      <c r="I6792" s="274"/>
      <c r="J6792" s="274" t="e">
        <f t="shared" ca="1" si="107"/>
        <v>#NAME?</v>
      </c>
      <c r="K6792" s="274">
        <f t="shared" si="108"/>
        <v>0</v>
      </c>
      <c r="N6792" s="274"/>
    </row>
    <row r="6793" spans="5:14" ht="13.5" customHeight="1">
      <c r="E6793" s="1" t="s">
        <v>1338</v>
      </c>
      <c r="F6793" s="1" t="s">
        <v>3147</v>
      </c>
      <c r="G6793" s="413" t="str">
        <f t="shared" si="109"/>
        <v>07-13</v>
      </c>
      <c r="H6793" s="273" t="e">
        <f ca="1">_xludf.IFNA(VLOOKUP(E6793,'Urban Plastix Holds'!$I$37:$U$705,10,0),0)</f>
        <v>#NAME?</v>
      </c>
      <c r="I6793" s="274"/>
      <c r="J6793" s="274" t="e">
        <f t="shared" ca="1" si="107"/>
        <v>#NAME?</v>
      </c>
      <c r="K6793" s="274">
        <f t="shared" si="108"/>
        <v>0</v>
      </c>
      <c r="N6793" s="274"/>
    </row>
    <row r="6794" spans="5:14" ht="13.5" customHeight="1">
      <c r="E6794" s="1" t="s">
        <v>1338</v>
      </c>
      <c r="F6794" s="1" t="s">
        <v>3147</v>
      </c>
      <c r="G6794" s="414" t="str">
        <f t="shared" si="109"/>
        <v>11-26</v>
      </c>
      <c r="H6794" s="273" t="e">
        <f ca="1">_xludf.IFNA(VLOOKUP(E6794,'Urban Plastix Holds'!$I$37:$U$705,11,0),0)</f>
        <v>#NAME?</v>
      </c>
      <c r="I6794" s="274"/>
      <c r="J6794" s="274" t="e">
        <f t="shared" ca="1" si="107"/>
        <v>#NAME?</v>
      </c>
      <c r="K6794" s="274">
        <f t="shared" si="108"/>
        <v>0</v>
      </c>
      <c r="N6794" s="274"/>
    </row>
    <row r="6795" spans="5:14" ht="13.5" customHeight="1">
      <c r="E6795" s="1" t="s">
        <v>1338</v>
      </c>
      <c r="F6795" s="1" t="s">
        <v>3147</v>
      </c>
      <c r="G6795" s="415" t="str">
        <f t="shared" si="109"/>
        <v>18-01</v>
      </c>
      <c r="H6795" s="273" t="e">
        <f ca="1">_xludf.IFNA(VLOOKUP(E6795,'Urban Plastix Holds'!$I$37:$U$705,12,0),0)</f>
        <v>#NAME?</v>
      </c>
      <c r="I6795" s="274"/>
      <c r="J6795" s="274" t="e">
        <f t="shared" ca="1" si="107"/>
        <v>#NAME?</v>
      </c>
      <c r="K6795" s="274">
        <f t="shared" si="108"/>
        <v>0</v>
      </c>
      <c r="N6795" s="274"/>
    </row>
    <row r="6796" spans="5:14" ht="13.5" customHeight="1">
      <c r="E6796" s="1" t="s">
        <v>1338</v>
      </c>
      <c r="F6796" s="1" t="s">
        <v>3147</v>
      </c>
      <c r="G6796" s="416" t="str">
        <f t="shared" si="109"/>
        <v>Color Code</v>
      </c>
      <c r="H6796" s="273" t="e">
        <f ca="1">_xludf.IFNA(VLOOKUP(E6796,'Urban Plastix Holds'!$I$37:$U$705,13,0),0)</f>
        <v>#NAME?</v>
      </c>
      <c r="I6796" s="274"/>
      <c r="J6796" s="274" t="e">
        <f t="shared" ca="1" si="107"/>
        <v>#NAME?</v>
      </c>
      <c r="K6796" s="274">
        <f t="shared" si="108"/>
        <v>0</v>
      </c>
      <c r="N6796" s="274"/>
    </row>
    <row r="6797" spans="5:14" ht="13.5" customHeight="1">
      <c r="E6797" s="1" t="s">
        <v>1347</v>
      </c>
      <c r="F6797" s="1" t="s">
        <v>3148</v>
      </c>
      <c r="G6797" s="406" t="str">
        <f t="shared" si="109"/>
        <v>11-12</v>
      </c>
      <c r="H6797" s="273" t="e">
        <f ca="1">_xludf.IFNA(VLOOKUP(E6797,'Urban Plastix Holds'!$I$37:$U$705,5,0),0)</f>
        <v>#NAME?</v>
      </c>
      <c r="I6797" s="274"/>
      <c r="J6797" s="274" t="e">
        <f t="shared" ca="1" si="107"/>
        <v>#NAME?</v>
      </c>
      <c r="K6797" s="274">
        <f t="shared" si="108"/>
        <v>0</v>
      </c>
      <c r="N6797" s="274"/>
    </row>
    <row r="6798" spans="5:14" ht="13.5" customHeight="1">
      <c r="E6798" s="1" t="s">
        <v>1347</v>
      </c>
      <c r="F6798" s="1" t="s">
        <v>3148</v>
      </c>
      <c r="G6798" s="408" t="str">
        <f t="shared" si="109"/>
        <v>14-01</v>
      </c>
      <c r="H6798" s="273" t="e">
        <f ca="1">_xludf.IFNA(VLOOKUP(E6798,'Urban Plastix Holds'!$I$37:$U$705,6,0),0)</f>
        <v>#NAME?</v>
      </c>
      <c r="I6798" s="274"/>
      <c r="J6798" s="274" t="e">
        <f t="shared" ca="1" si="107"/>
        <v>#NAME?</v>
      </c>
      <c r="K6798" s="274">
        <f t="shared" si="108"/>
        <v>0</v>
      </c>
      <c r="N6798" s="274"/>
    </row>
    <row r="6799" spans="5:14" ht="13.5" customHeight="1">
      <c r="E6799" s="1" t="s">
        <v>1347</v>
      </c>
      <c r="F6799" s="1" t="s">
        <v>3148</v>
      </c>
      <c r="G6799" s="409" t="str">
        <f t="shared" si="109"/>
        <v>15-12</v>
      </c>
      <c r="H6799" s="273" t="e">
        <f ca="1">_xludf.IFNA(VLOOKUP(E6799,'Urban Plastix Holds'!$I$37:$U$705,7,0),0)</f>
        <v>#NAME?</v>
      </c>
      <c r="I6799" s="274"/>
      <c r="J6799" s="274" t="e">
        <f t="shared" ca="1" si="107"/>
        <v>#NAME?</v>
      </c>
      <c r="K6799" s="274">
        <f t="shared" si="108"/>
        <v>0</v>
      </c>
      <c r="N6799" s="274"/>
    </row>
    <row r="6800" spans="5:14" ht="13.5" customHeight="1">
      <c r="E6800" s="1" t="s">
        <v>1347</v>
      </c>
      <c r="F6800" s="1" t="s">
        <v>3148</v>
      </c>
      <c r="G6800" s="410" t="str">
        <f t="shared" si="109"/>
        <v>16-16</v>
      </c>
      <c r="H6800" s="273" t="e">
        <f ca="1">_xludf.IFNA(VLOOKUP(E6800,'Urban Plastix Holds'!$I$37:$U$705,8,0),0)</f>
        <v>#NAME?</v>
      </c>
      <c r="I6800" s="274"/>
      <c r="J6800" s="274" t="e">
        <f t="shared" ca="1" si="107"/>
        <v>#NAME?</v>
      </c>
      <c r="K6800" s="274">
        <f t="shared" si="108"/>
        <v>0</v>
      </c>
      <c r="N6800" s="274"/>
    </row>
    <row r="6801" spans="5:14" ht="13.5" customHeight="1">
      <c r="E6801" s="1" t="s">
        <v>1347</v>
      </c>
      <c r="F6801" s="1" t="s">
        <v>3148</v>
      </c>
      <c r="G6801" s="411" t="str">
        <f t="shared" si="109"/>
        <v>13-01</v>
      </c>
      <c r="H6801" s="273" t="e">
        <f ca="1">_xludf.IFNA(VLOOKUP(E6801,'Urban Plastix Holds'!$I$37:$U$705,9,0),0)</f>
        <v>#NAME?</v>
      </c>
      <c r="I6801" s="274"/>
      <c r="J6801" s="274" t="e">
        <f t="shared" ca="1" si="107"/>
        <v>#NAME?</v>
      </c>
      <c r="K6801" s="274">
        <f t="shared" si="108"/>
        <v>0</v>
      </c>
      <c r="N6801" s="274"/>
    </row>
    <row r="6802" spans="5:14" ht="13.5" customHeight="1">
      <c r="E6802" s="1" t="s">
        <v>1347</v>
      </c>
      <c r="F6802" s="1" t="s">
        <v>3148</v>
      </c>
      <c r="G6802" s="413" t="str">
        <f t="shared" si="109"/>
        <v>07-13</v>
      </c>
      <c r="H6802" s="273" t="e">
        <f ca="1">_xludf.IFNA(VLOOKUP(E6802,'Urban Plastix Holds'!$I$37:$U$705,10,0),0)</f>
        <v>#NAME?</v>
      </c>
      <c r="I6802" s="274"/>
      <c r="J6802" s="274" t="e">
        <f t="shared" ca="1" si="107"/>
        <v>#NAME?</v>
      </c>
      <c r="K6802" s="274">
        <f t="shared" si="108"/>
        <v>0</v>
      </c>
      <c r="N6802" s="274"/>
    </row>
    <row r="6803" spans="5:14" ht="13.5" customHeight="1">
      <c r="E6803" s="1" t="s">
        <v>1347</v>
      </c>
      <c r="F6803" s="1" t="s">
        <v>3148</v>
      </c>
      <c r="G6803" s="414" t="str">
        <f t="shared" si="109"/>
        <v>11-26</v>
      </c>
      <c r="H6803" s="273" t="e">
        <f ca="1">_xludf.IFNA(VLOOKUP(E6803,'Urban Plastix Holds'!$I$37:$U$705,11,0),0)</f>
        <v>#NAME?</v>
      </c>
      <c r="I6803" s="274"/>
      <c r="J6803" s="274" t="e">
        <f t="shared" ca="1" si="107"/>
        <v>#NAME?</v>
      </c>
      <c r="K6803" s="274">
        <f t="shared" si="108"/>
        <v>0</v>
      </c>
      <c r="N6803" s="274"/>
    </row>
    <row r="6804" spans="5:14" ht="13.5" customHeight="1">
      <c r="E6804" s="1" t="s">
        <v>1347</v>
      </c>
      <c r="F6804" s="1" t="s">
        <v>3148</v>
      </c>
      <c r="G6804" s="415" t="str">
        <f t="shared" si="109"/>
        <v>18-01</v>
      </c>
      <c r="H6804" s="273" t="e">
        <f ca="1">_xludf.IFNA(VLOOKUP(E6804,'Urban Plastix Holds'!$I$37:$U$705,12,0),0)</f>
        <v>#NAME?</v>
      </c>
      <c r="I6804" s="274"/>
      <c r="J6804" s="274" t="e">
        <f t="shared" ca="1" si="107"/>
        <v>#NAME?</v>
      </c>
      <c r="K6804" s="274">
        <f t="shared" si="108"/>
        <v>0</v>
      </c>
      <c r="N6804" s="274"/>
    </row>
    <row r="6805" spans="5:14" ht="13.5" customHeight="1">
      <c r="E6805" s="1" t="s">
        <v>1347</v>
      </c>
      <c r="F6805" s="1" t="s">
        <v>3148</v>
      </c>
      <c r="G6805" s="416" t="str">
        <f t="shared" si="109"/>
        <v>Color Code</v>
      </c>
      <c r="H6805" s="273" t="e">
        <f ca="1">_xludf.IFNA(VLOOKUP(E6805,'Urban Plastix Holds'!$I$37:$U$705,13,0),0)</f>
        <v>#NAME?</v>
      </c>
      <c r="I6805" s="274"/>
      <c r="J6805" s="274" t="e">
        <f t="shared" ca="1" si="107"/>
        <v>#NAME?</v>
      </c>
      <c r="K6805" s="274">
        <f t="shared" si="108"/>
        <v>0</v>
      </c>
      <c r="N6805" s="274"/>
    </row>
    <row r="6806" spans="5:14" ht="13.5" customHeight="1">
      <c r="E6806" s="1" t="s">
        <v>1410</v>
      </c>
      <c r="F6806" s="1" t="s">
        <v>3149</v>
      </c>
      <c r="G6806" s="406" t="str">
        <f t="shared" si="109"/>
        <v>11-12</v>
      </c>
      <c r="H6806" s="273" t="e">
        <f ca="1">_xludf.IFNA(VLOOKUP(E6806,'Urban Plastix Holds'!$I$37:$U$705,5,0),0)</f>
        <v>#NAME?</v>
      </c>
      <c r="I6806" s="274"/>
      <c r="J6806" s="274" t="e">
        <f t="shared" ca="1" si="107"/>
        <v>#NAME?</v>
      </c>
      <c r="K6806" s="274">
        <f t="shared" si="108"/>
        <v>0</v>
      </c>
      <c r="N6806" s="274"/>
    </row>
    <row r="6807" spans="5:14" ht="13.5" customHeight="1">
      <c r="E6807" s="1" t="s">
        <v>1410</v>
      </c>
      <c r="F6807" s="1" t="s">
        <v>3149</v>
      </c>
      <c r="G6807" s="408" t="str">
        <f t="shared" si="109"/>
        <v>14-01</v>
      </c>
      <c r="H6807" s="273" t="e">
        <f ca="1">_xludf.IFNA(VLOOKUP(E6807,'Urban Plastix Holds'!$I$37:$U$705,6,0),0)</f>
        <v>#NAME?</v>
      </c>
      <c r="I6807" s="274"/>
      <c r="J6807" s="274" t="e">
        <f t="shared" ca="1" si="107"/>
        <v>#NAME?</v>
      </c>
      <c r="K6807" s="274">
        <f t="shared" si="108"/>
        <v>0</v>
      </c>
      <c r="N6807" s="274"/>
    </row>
    <row r="6808" spans="5:14" ht="13.5" customHeight="1">
      <c r="E6808" s="1" t="s">
        <v>1410</v>
      </c>
      <c r="F6808" s="1" t="s">
        <v>3149</v>
      </c>
      <c r="G6808" s="409" t="str">
        <f t="shared" si="109"/>
        <v>15-12</v>
      </c>
      <c r="H6808" s="273" t="e">
        <f ca="1">_xludf.IFNA(VLOOKUP(E6808,'Urban Plastix Holds'!$I$37:$U$705,7,0),0)</f>
        <v>#NAME?</v>
      </c>
      <c r="I6808" s="274"/>
      <c r="J6808" s="274" t="e">
        <f t="shared" ca="1" si="107"/>
        <v>#NAME?</v>
      </c>
      <c r="K6808" s="274">
        <f t="shared" si="108"/>
        <v>0</v>
      </c>
      <c r="N6808" s="274"/>
    </row>
    <row r="6809" spans="5:14" ht="13.5" customHeight="1">
      <c r="E6809" s="1" t="s">
        <v>1410</v>
      </c>
      <c r="F6809" s="1" t="s">
        <v>3149</v>
      </c>
      <c r="G6809" s="410" t="str">
        <f t="shared" si="109"/>
        <v>16-16</v>
      </c>
      <c r="H6809" s="273" t="e">
        <f ca="1">_xludf.IFNA(VLOOKUP(E6809,'Urban Plastix Holds'!$I$37:$U$705,8,0),0)</f>
        <v>#NAME?</v>
      </c>
      <c r="I6809" s="274"/>
      <c r="J6809" s="274" t="e">
        <f t="shared" ca="1" si="107"/>
        <v>#NAME?</v>
      </c>
      <c r="K6809" s="274">
        <f t="shared" si="108"/>
        <v>0</v>
      </c>
      <c r="N6809" s="274"/>
    </row>
    <row r="6810" spans="5:14" ht="13.5" customHeight="1">
      <c r="E6810" s="1" t="s">
        <v>1410</v>
      </c>
      <c r="F6810" s="1" t="s">
        <v>3149</v>
      </c>
      <c r="G6810" s="411" t="str">
        <f t="shared" si="109"/>
        <v>13-01</v>
      </c>
      <c r="H6810" s="273" t="e">
        <f ca="1">_xludf.IFNA(VLOOKUP(E6810,'Urban Plastix Holds'!$I$37:$U$705,9,0),0)</f>
        <v>#NAME?</v>
      </c>
      <c r="I6810" s="274"/>
      <c r="J6810" s="274" t="e">
        <f t="shared" ca="1" si="107"/>
        <v>#NAME?</v>
      </c>
      <c r="K6810" s="274">
        <f t="shared" si="108"/>
        <v>0</v>
      </c>
      <c r="N6810" s="274"/>
    </row>
    <row r="6811" spans="5:14" ht="13.5" customHeight="1">
      <c r="E6811" s="1" t="s">
        <v>1410</v>
      </c>
      <c r="F6811" s="1" t="s">
        <v>3149</v>
      </c>
      <c r="G6811" s="413" t="str">
        <f t="shared" si="109"/>
        <v>07-13</v>
      </c>
      <c r="H6811" s="273" t="e">
        <f ca="1">_xludf.IFNA(VLOOKUP(E6811,'Urban Plastix Holds'!$I$37:$U$705,10,0),0)</f>
        <v>#NAME?</v>
      </c>
      <c r="I6811" s="274"/>
      <c r="J6811" s="274" t="e">
        <f t="shared" ca="1" si="107"/>
        <v>#NAME?</v>
      </c>
      <c r="K6811" s="274">
        <f t="shared" si="108"/>
        <v>0</v>
      </c>
      <c r="N6811" s="274"/>
    </row>
    <row r="6812" spans="5:14" ht="13.5" customHeight="1">
      <c r="E6812" s="1" t="s">
        <v>1410</v>
      </c>
      <c r="F6812" s="1" t="s">
        <v>3149</v>
      </c>
      <c r="G6812" s="414" t="str">
        <f t="shared" si="109"/>
        <v>11-26</v>
      </c>
      <c r="H6812" s="273" t="e">
        <f ca="1">_xludf.IFNA(VLOOKUP(E6812,'Urban Plastix Holds'!$I$37:$U$705,11,0),0)</f>
        <v>#NAME?</v>
      </c>
      <c r="I6812" s="274"/>
      <c r="J6812" s="274" t="e">
        <f t="shared" ca="1" si="107"/>
        <v>#NAME?</v>
      </c>
      <c r="K6812" s="274">
        <f t="shared" si="108"/>
        <v>0</v>
      </c>
      <c r="N6812" s="274"/>
    </row>
    <row r="6813" spans="5:14" ht="13.5" customHeight="1">
      <c r="E6813" s="1" t="s">
        <v>1410</v>
      </c>
      <c r="F6813" s="1" t="s">
        <v>3149</v>
      </c>
      <c r="G6813" s="415" t="str">
        <f t="shared" si="109"/>
        <v>18-01</v>
      </c>
      <c r="H6813" s="273" t="e">
        <f ca="1">_xludf.IFNA(VLOOKUP(E6813,'Urban Plastix Holds'!$I$37:$U$705,12,0),0)</f>
        <v>#NAME?</v>
      </c>
      <c r="I6813" s="274"/>
      <c r="J6813" s="274" t="e">
        <f t="shared" ca="1" si="107"/>
        <v>#NAME?</v>
      </c>
      <c r="K6813" s="274">
        <f t="shared" si="108"/>
        <v>0</v>
      </c>
      <c r="N6813" s="274"/>
    </row>
    <row r="6814" spans="5:14" ht="13.5" customHeight="1">
      <c r="E6814" s="1" t="s">
        <v>1410</v>
      </c>
      <c r="F6814" s="1" t="s">
        <v>3149</v>
      </c>
      <c r="G6814" s="416" t="str">
        <f t="shared" si="109"/>
        <v>Color Code</v>
      </c>
      <c r="H6814" s="273" t="e">
        <f ca="1">_xludf.IFNA(VLOOKUP(E6814,'Urban Plastix Holds'!$I$37:$U$705,13,0),0)</f>
        <v>#NAME?</v>
      </c>
      <c r="I6814" s="274"/>
      <c r="J6814" s="274" t="e">
        <f t="shared" ca="1" si="107"/>
        <v>#NAME?</v>
      </c>
      <c r="K6814" s="274">
        <f t="shared" si="108"/>
        <v>0</v>
      </c>
      <c r="N6814" s="274"/>
    </row>
    <row r="6815" spans="5:14" ht="13.5" customHeight="1">
      <c r="E6815" s="1" t="s">
        <v>1379</v>
      </c>
      <c r="F6815" s="1" t="s">
        <v>3150</v>
      </c>
      <c r="G6815" s="406" t="str">
        <f t="shared" si="109"/>
        <v>11-12</v>
      </c>
      <c r="H6815" s="273" t="e">
        <f ca="1">_xludf.IFNA(VLOOKUP(E6815,'Urban Plastix Holds'!$I$37:$U$705,5,0),0)</f>
        <v>#NAME?</v>
      </c>
      <c r="I6815" s="274"/>
      <c r="J6815" s="274" t="e">
        <f t="shared" ca="1" si="107"/>
        <v>#NAME?</v>
      </c>
      <c r="K6815" s="274">
        <f t="shared" si="108"/>
        <v>0</v>
      </c>
      <c r="N6815" s="274"/>
    </row>
    <row r="6816" spans="5:14" ht="13.5" customHeight="1">
      <c r="E6816" s="1" t="s">
        <v>1379</v>
      </c>
      <c r="F6816" s="1" t="s">
        <v>3150</v>
      </c>
      <c r="G6816" s="408" t="str">
        <f t="shared" si="109"/>
        <v>14-01</v>
      </c>
      <c r="H6816" s="273" t="e">
        <f ca="1">_xludf.IFNA(VLOOKUP(E6816,'Urban Plastix Holds'!$I$37:$U$705,6,0),0)</f>
        <v>#NAME?</v>
      </c>
      <c r="I6816" s="274"/>
      <c r="J6816" s="274" t="e">
        <f t="shared" ca="1" si="107"/>
        <v>#NAME?</v>
      </c>
      <c r="K6816" s="274">
        <f t="shared" si="108"/>
        <v>0</v>
      </c>
      <c r="N6816" s="274"/>
    </row>
    <row r="6817" spans="5:14" ht="13.5" customHeight="1">
      <c r="E6817" s="1" t="s">
        <v>1379</v>
      </c>
      <c r="F6817" s="1" t="s">
        <v>3150</v>
      </c>
      <c r="G6817" s="409" t="str">
        <f t="shared" si="109"/>
        <v>15-12</v>
      </c>
      <c r="H6817" s="273" t="e">
        <f ca="1">_xludf.IFNA(VLOOKUP(E6817,'Urban Plastix Holds'!$I$37:$U$705,7,0),0)</f>
        <v>#NAME?</v>
      </c>
      <c r="I6817" s="274"/>
      <c r="J6817" s="274" t="e">
        <f t="shared" ca="1" si="107"/>
        <v>#NAME?</v>
      </c>
      <c r="K6817" s="274">
        <f t="shared" si="108"/>
        <v>0</v>
      </c>
      <c r="N6817" s="274"/>
    </row>
    <row r="6818" spans="5:14" ht="13.5" customHeight="1">
      <c r="E6818" s="1" t="s">
        <v>1379</v>
      </c>
      <c r="F6818" s="1" t="s">
        <v>3150</v>
      </c>
      <c r="G6818" s="410" t="str">
        <f t="shared" si="109"/>
        <v>16-16</v>
      </c>
      <c r="H6818" s="273" t="e">
        <f ca="1">_xludf.IFNA(VLOOKUP(E6818,'Urban Plastix Holds'!$I$37:$U$705,8,0),0)</f>
        <v>#NAME?</v>
      </c>
      <c r="I6818" s="274"/>
      <c r="J6818" s="274" t="e">
        <f t="shared" ca="1" si="107"/>
        <v>#NAME?</v>
      </c>
      <c r="K6818" s="274">
        <f t="shared" si="108"/>
        <v>0</v>
      </c>
      <c r="N6818" s="274"/>
    </row>
    <row r="6819" spans="5:14" ht="13.5" customHeight="1">
      <c r="E6819" s="1" t="s">
        <v>1379</v>
      </c>
      <c r="F6819" s="1" t="s">
        <v>3150</v>
      </c>
      <c r="G6819" s="411" t="str">
        <f t="shared" si="109"/>
        <v>13-01</v>
      </c>
      <c r="H6819" s="273" t="e">
        <f ca="1">_xludf.IFNA(VLOOKUP(E6819,'Urban Plastix Holds'!$I$37:$U$705,9,0),0)</f>
        <v>#NAME?</v>
      </c>
      <c r="I6819" s="274"/>
      <c r="J6819" s="274" t="e">
        <f t="shared" ca="1" si="107"/>
        <v>#NAME?</v>
      </c>
      <c r="K6819" s="274">
        <f t="shared" si="108"/>
        <v>0</v>
      </c>
      <c r="N6819" s="274"/>
    </row>
    <row r="6820" spans="5:14" ht="13.5" customHeight="1">
      <c r="E6820" s="1" t="s">
        <v>1379</v>
      </c>
      <c r="F6820" s="1" t="s">
        <v>3150</v>
      </c>
      <c r="G6820" s="413" t="str">
        <f t="shared" si="109"/>
        <v>07-13</v>
      </c>
      <c r="H6820" s="273" t="e">
        <f ca="1">_xludf.IFNA(VLOOKUP(E6820,'Urban Plastix Holds'!$I$37:$U$705,10,0),0)</f>
        <v>#NAME?</v>
      </c>
      <c r="I6820" s="274"/>
      <c r="J6820" s="274" t="e">
        <f t="shared" ca="1" si="107"/>
        <v>#NAME?</v>
      </c>
      <c r="K6820" s="274">
        <f t="shared" si="108"/>
        <v>0</v>
      </c>
      <c r="N6820" s="274"/>
    </row>
    <row r="6821" spans="5:14" ht="13.5" customHeight="1">
      <c r="E6821" s="1" t="s">
        <v>1379</v>
      </c>
      <c r="F6821" s="1" t="s">
        <v>3150</v>
      </c>
      <c r="G6821" s="414" t="str">
        <f t="shared" si="109"/>
        <v>11-26</v>
      </c>
      <c r="H6821" s="273" t="e">
        <f ca="1">_xludf.IFNA(VLOOKUP(E6821,'Urban Plastix Holds'!$I$37:$U$705,11,0),0)</f>
        <v>#NAME?</v>
      </c>
      <c r="I6821" s="274"/>
      <c r="J6821" s="274" t="e">
        <f t="shared" ca="1" si="107"/>
        <v>#NAME?</v>
      </c>
      <c r="K6821" s="274">
        <f t="shared" si="108"/>
        <v>0</v>
      </c>
      <c r="N6821" s="274"/>
    </row>
    <row r="6822" spans="5:14" ht="13.5" customHeight="1">
      <c r="E6822" s="1" t="s">
        <v>1379</v>
      </c>
      <c r="F6822" s="1" t="s">
        <v>3150</v>
      </c>
      <c r="G6822" s="415" t="str">
        <f t="shared" si="109"/>
        <v>18-01</v>
      </c>
      <c r="H6822" s="273" t="e">
        <f ca="1">_xludf.IFNA(VLOOKUP(E6822,'Urban Plastix Holds'!$I$37:$U$705,12,0),0)</f>
        <v>#NAME?</v>
      </c>
      <c r="I6822" s="274"/>
      <c r="J6822" s="274" t="e">
        <f t="shared" ca="1" si="107"/>
        <v>#NAME?</v>
      </c>
      <c r="K6822" s="274">
        <f t="shared" si="108"/>
        <v>0</v>
      </c>
      <c r="N6822" s="274"/>
    </row>
    <row r="6823" spans="5:14" ht="13.5" customHeight="1">
      <c r="E6823" s="1" t="s">
        <v>1379</v>
      </c>
      <c r="F6823" s="1" t="s">
        <v>3150</v>
      </c>
      <c r="G6823" s="416" t="str">
        <f t="shared" si="109"/>
        <v>Color Code</v>
      </c>
      <c r="H6823" s="273" t="e">
        <f ca="1">_xludf.IFNA(VLOOKUP(E6823,'Urban Plastix Holds'!$I$37:$U$705,13,0),0)</f>
        <v>#NAME?</v>
      </c>
      <c r="I6823" s="274"/>
      <c r="J6823" s="274" t="e">
        <f t="shared" ca="1" si="107"/>
        <v>#NAME?</v>
      </c>
      <c r="K6823" s="274">
        <f t="shared" si="108"/>
        <v>0</v>
      </c>
      <c r="N6823" s="274"/>
    </row>
    <row r="6824" spans="5:14" ht="13.5" customHeight="1">
      <c r="E6824" s="1" t="s">
        <v>1500</v>
      </c>
      <c r="F6824" s="1" t="s">
        <v>3151</v>
      </c>
      <c r="G6824" s="406" t="str">
        <f t="shared" si="109"/>
        <v>11-12</v>
      </c>
      <c r="H6824" s="273" t="e">
        <f ca="1">_xludf.IFNA(VLOOKUP(E6824,'Urban Plastix Holds'!$I$37:$U$705,5,0),0)</f>
        <v>#NAME?</v>
      </c>
      <c r="I6824" s="274"/>
      <c r="J6824" s="274" t="e">
        <f t="shared" ca="1" si="107"/>
        <v>#NAME?</v>
      </c>
      <c r="K6824" s="274">
        <f t="shared" si="108"/>
        <v>0</v>
      </c>
      <c r="N6824" s="274"/>
    </row>
    <row r="6825" spans="5:14" ht="13.5" customHeight="1">
      <c r="E6825" s="1" t="s">
        <v>1500</v>
      </c>
      <c r="F6825" s="1" t="s">
        <v>3151</v>
      </c>
      <c r="G6825" s="408" t="str">
        <f t="shared" si="109"/>
        <v>14-01</v>
      </c>
      <c r="H6825" s="273" t="e">
        <f ca="1">_xludf.IFNA(VLOOKUP(E6825,'Urban Plastix Holds'!$I$37:$U$705,6,0),0)</f>
        <v>#NAME?</v>
      </c>
      <c r="I6825" s="274"/>
      <c r="J6825" s="274" t="e">
        <f t="shared" ca="1" si="107"/>
        <v>#NAME?</v>
      </c>
      <c r="K6825" s="274">
        <f t="shared" si="108"/>
        <v>0</v>
      </c>
      <c r="N6825" s="274"/>
    </row>
    <row r="6826" spans="5:14" ht="13.5" customHeight="1">
      <c r="E6826" s="1" t="s">
        <v>1500</v>
      </c>
      <c r="F6826" s="1" t="s">
        <v>3151</v>
      </c>
      <c r="G6826" s="409" t="str">
        <f t="shared" si="109"/>
        <v>15-12</v>
      </c>
      <c r="H6826" s="273" t="e">
        <f ca="1">_xludf.IFNA(VLOOKUP(E6826,'Urban Plastix Holds'!$I$37:$U$705,7,0),0)</f>
        <v>#NAME?</v>
      </c>
      <c r="I6826" s="274"/>
      <c r="J6826" s="274" t="e">
        <f t="shared" ca="1" si="107"/>
        <v>#NAME?</v>
      </c>
      <c r="K6826" s="274">
        <f t="shared" si="108"/>
        <v>0</v>
      </c>
      <c r="N6826" s="274"/>
    </row>
    <row r="6827" spans="5:14" ht="13.5" customHeight="1">
      <c r="E6827" s="1" t="s">
        <v>1500</v>
      </c>
      <c r="F6827" s="1" t="s">
        <v>3151</v>
      </c>
      <c r="G6827" s="410" t="str">
        <f t="shared" si="109"/>
        <v>16-16</v>
      </c>
      <c r="H6827" s="273" t="e">
        <f ca="1">_xludf.IFNA(VLOOKUP(E6827,'Urban Plastix Holds'!$I$37:$U$705,8,0),0)</f>
        <v>#NAME?</v>
      </c>
      <c r="I6827" s="274"/>
      <c r="J6827" s="274" t="e">
        <f t="shared" ca="1" si="107"/>
        <v>#NAME?</v>
      </c>
      <c r="K6827" s="274">
        <f t="shared" si="108"/>
        <v>0</v>
      </c>
      <c r="N6827" s="274"/>
    </row>
    <row r="6828" spans="5:14" ht="13.5" customHeight="1">
      <c r="E6828" s="1" t="s">
        <v>1500</v>
      </c>
      <c r="F6828" s="1" t="s">
        <v>3151</v>
      </c>
      <c r="G6828" s="411" t="str">
        <f t="shared" si="109"/>
        <v>13-01</v>
      </c>
      <c r="H6828" s="273" t="e">
        <f ca="1">_xludf.IFNA(VLOOKUP(E6828,'Urban Plastix Holds'!$I$37:$U$705,9,0),0)</f>
        <v>#NAME?</v>
      </c>
      <c r="I6828" s="274"/>
      <c r="J6828" s="274" t="e">
        <f t="shared" ca="1" si="107"/>
        <v>#NAME?</v>
      </c>
      <c r="K6828" s="274">
        <f t="shared" si="108"/>
        <v>0</v>
      </c>
      <c r="N6828" s="274"/>
    </row>
    <row r="6829" spans="5:14" ht="13.5" customHeight="1">
      <c r="E6829" s="1" t="s">
        <v>1500</v>
      </c>
      <c r="F6829" s="1" t="s">
        <v>3151</v>
      </c>
      <c r="G6829" s="413" t="str">
        <f t="shared" si="109"/>
        <v>07-13</v>
      </c>
      <c r="H6829" s="273" t="e">
        <f ca="1">_xludf.IFNA(VLOOKUP(E6829,'Urban Plastix Holds'!$I$37:$U$705,10,0),0)</f>
        <v>#NAME?</v>
      </c>
      <c r="I6829" s="274"/>
      <c r="J6829" s="274" t="e">
        <f t="shared" ca="1" si="107"/>
        <v>#NAME?</v>
      </c>
      <c r="K6829" s="274">
        <f t="shared" si="108"/>
        <v>0</v>
      </c>
      <c r="N6829" s="274"/>
    </row>
    <row r="6830" spans="5:14" ht="13.5" customHeight="1">
      <c r="E6830" s="1" t="s">
        <v>1500</v>
      </c>
      <c r="F6830" s="1" t="s">
        <v>3151</v>
      </c>
      <c r="G6830" s="414" t="str">
        <f t="shared" si="109"/>
        <v>11-26</v>
      </c>
      <c r="H6830" s="273" t="e">
        <f ca="1">_xludf.IFNA(VLOOKUP(E6830,'Urban Plastix Holds'!$I$37:$U$705,11,0),0)</f>
        <v>#NAME?</v>
      </c>
      <c r="I6830" s="274"/>
      <c r="J6830" s="274" t="e">
        <f t="shared" ca="1" si="107"/>
        <v>#NAME?</v>
      </c>
      <c r="K6830" s="274">
        <f t="shared" si="108"/>
        <v>0</v>
      </c>
      <c r="N6830" s="274"/>
    </row>
    <row r="6831" spans="5:14" ht="13.5" customHeight="1">
      <c r="E6831" s="1" t="s">
        <v>1500</v>
      </c>
      <c r="F6831" s="1" t="s">
        <v>3151</v>
      </c>
      <c r="G6831" s="415" t="str">
        <f t="shared" si="109"/>
        <v>18-01</v>
      </c>
      <c r="H6831" s="273" t="e">
        <f ca="1">_xludf.IFNA(VLOOKUP(E6831,'Urban Plastix Holds'!$I$37:$U$705,12,0),0)</f>
        <v>#NAME?</v>
      </c>
      <c r="I6831" s="274"/>
      <c r="J6831" s="274" t="e">
        <f t="shared" ca="1" si="107"/>
        <v>#NAME?</v>
      </c>
      <c r="K6831" s="274">
        <f t="shared" si="108"/>
        <v>0</v>
      </c>
      <c r="N6831" s="274"/>
    </row>
    <row r="6832" spans="5:14" ht="13.5" customHeight="1">
      <c r="E6832" s="1" t="s">
        <v>1500</v>
      </c>
      <c r="F6832" s="1" t="s">
        <v>3151</v>
      </c>
      <c r="G6832" s="416" t="str">
        <f t="shared" si="109"/>
        <v>Color Code</v>
      </c>
      <c r="H6832" s="273" t="e">
        <f ca="1">_xludf.IFNA(VLOOKUP(E6832,'Urban Plastix Holds'!$I$37:$U$705,13,0),0)</f>
        <v>#NAME?</v>
      </c>
      <c r="I6832" s="274"/>
      <c r="J6832" s="274" t="e">
        <f t="shared" ca="1" si="107"/>
        <v>#NAME?</v>
      </c>
      <c r="K6832" s="274">
        <f t="shared" si="108"/>
        <v>0</v>
      </c>
      <c r="N6832" s="274"/>
    </row>
    <row r="6833" spans="5:14" ht="13.5" customHeight="1">
      <c r="E6833" s="1" t="s">
        <v>1391</v>
      </c>
      <c r="F6833" s="1" t="s">
        <v>3152</v>
      </c>
      <c r="G6833" s="406" t="str">
        <f t="shared" si="109"/>
        <v>11-12</v>
      </c>
      <c r="H6833" s="273" t="e">
        <f ca="1">_xludf.IFNA(VLOOKUP(E6833,'Urban Plastix Holds'!$I$37:$U$705,5,0),0)</f>
        <v>#NAME?</v>
      </c>
      <c r="I6833" s="274"/>
      <c r="J6833" s="274" t="e">
        <f t="shared" ca="1" si="107"/>
        <v>#NAME?</v>
      </c>
      <c r="K6833" s="274">
        <f t="shared" si="108"/>
        <v>0</v>
      </c>
      <c r="N6833" s="274"/>
    </row>
    <row r="6834" spans="5:14" ht="13.5" customHeight="1">
      <c r="E6834" s="1" t="s">
        <v>1391</v>
      </c>
      <c r="F6834" s="1" t="s">
        <v>3152</v>
      </c>
      <c r="G6834" s="408" t="str">
        <f t="shared" si="109"/>
        <v>14-01</v>
      </c>
      <c r="H6834" s="273" t="e">
        <f ca="1">_xludf.IFNA(VLOOKUP(E6834,'Urban Plastix Holds'!$I$37:$U$705,6,0),0)</f>
        <v>#NAME?</v>
      </c>
      <c r="I6834" s="274"/>
      <c r="J6834" s="274" t="e">
        <f t="shared" ca="1" si="107"/>
        <v>#NAME?</v>
      </c>
      <c r="K6834" s="274">
        <f t="shared" si="108"/>
        <v>0</v>
      </c>
      <c r="N6834" s="274"/>
    </row>
    <row r="6835" spans="5:14" ht="13.5" customHeight="1">
      <c r="E6835" s="1" t="s">
        <v>1391</v>
      </c>
      <c r="F6835" s="1" t="s">
        <v>3152</v>
      </c>
      <c r="G6835" s="409" t="str">
        <f t="shared" si="109"/>
        <v>15-12</v>
      </c>
      <c r="H6835" s="273" t="e">
        <f ca="1">_xludf.IFNA(VLOOKUP(E6835,'Urban Plastix Holds'!$I$37:$U$705,7,0),0)</f>
        <v>#NAME?</v>
      </c>
      <c r="I6835" s="274"/>
      <c r="J6835" s="274" t="e">
        <f t="shared" ca="1" si="107"/>
        <v>#NAME?</v>
      </c>
      <c r="K6835" s="274">
        <f t="shared" si="108"/>
        <v>0</v>
      </c>
      <c r="N6835" s="274"/>
    </row>
    <row r="6836" spans="5:14" ht="13.5" customHeight="1">
      <c r="E6836" s="1" t="s">
        <v>1391</v>
      </c>
      <c r="F6836" s="1" t="s">
        <v>3152</v>
      </c>
      <c r="G6836" s="410" t="str">
        <f t="shared" si="109"/>
        <v>16-16</v>
      </c>
      <c r="H6836" s="273" t="e">
        <f ca="1">_xludf.IFNA(VLOOKUP(E6836,'Urban Plastix Holds'!$I$37:$U$705,8,0),0)</f>
        <v>#NAME?</v>
      </c>
      <c r="I6836" s="274"/>
      <c r="J6836" s="274" t="e">
        <f t="shared" ca="1" si="107"/>
        <v>#NAME?</v>
      </c>
      <c r="K6836" s="274">
        <f t="shared" si="108"/>
        <v>0</v>
      </c>
      <c r="N6836" s="274"/>
    </row>
    <row r="6837" spans="5:14" ht="13.5" customHeight="1">
      <c r="E6837" s="1" t="s">
        <v>1391</v>
      </c>
      <c r="F6837" s="1" t="s">
        <v>3152</v>
      </c>
      <c r="G6837" s="411" t="str">
        <f t="shared" si="109"/>
        <v>13-01</v>
      </c>
      <c r="H6837" s="273" t="e">
        <f ca="1">_xludf.IFNA(VLOOKUP(E6837,'Urban Plastix Holds'!$I$37:$U$705,9,0),0)</f>
        <v>#NAME?</v>
      </c>
      <c r="I6837" s="274"/>
      <c r="J6837" s="274" t="e">
        <f t="shared" ca="1" si="107"/>
        <v>#NAME?</v>
      </c>
      <c r="K6837" s="274">
        <f t="shared" si="108"/>
        <v>0</v>
      </c>
      <c r="N6837" s="274"/>
    </row>
    <row r="6838" spans="5:14" ht="13.5" customHeight="1">
      <c r="E6838" s="1" t="s">
        <v>1391</v>
      </c>
      <c r="F6838" s="1" t="s">
        <v>3152</v>
      </c>
      <c r="G6838" s="413" t="str">
        <f t="shared" si="109"/>
        <v>07-13</v>
      </c>
      <c r="H6838" s="273" t="e">
        <f ca="1">_xludf.IFNA(VLOOKUP(E6838,'Urban Plastix Holds'!$I$37:$U$705,10,0),0)</f>
        <v>#NAME?</v>
      </c>
      <c r="I6838" s="274"/>
      <c r="J6838" s="274" t="e">
        <f t="shared" ca="1" si="107"/>
        <v>#NAME?</v>
      </c>
      <c r="K6838" s="274">
        <f t="shared" si="108"/>
        <v>0</v>
      </c>
      <c r="N6838" s="274"/>
    </row>
    <row r="6839" spans="5:14" ht="13.5" customHeight="1">
      <c r="E6839" s="1" t="s">
        <v>1391</v>
      </c>
      <c r="F6839" s="1" t="s">
        <v>3152</v>
      </c>
      <c r="G6839" s="414" t="str">
        <f t="shared" si="109"/>
        <v>11-26</v>
      </c>
      <c r="H6839" s="273" t="e">
        <f ca="1">_xludf.IFNA(VLOOKUP(E6839,'Urban Plastix Holds'!$I$37:$U$705,11,0),0)</f>
        <v>#NAME?</v>
      </c>
      <c r="I6839" s="274"/>
      <c r="J6839" s="274" t="e">
        <f t="shared" ca="1" si="107"/>
        <v>#NAME?</v>
      </c>
      <c r="K6839" s="274">
        <f t="shared" si="108"/>
        <v>0</v>
      </c>
      <c r="N6839" s="274"/>
    </row>
    <row r="6840" spans="5:14" ht="13.5" customHeight="1">
      <c r="E6840" s="1" t="s">
        <v>1391</v>
      </c>
      <c r="F6840" s="1" t="s">
        <v>3152</v>
      </c>
      <c r="G6840" s="415" t="str">
        <f t="shared" si="109"/>
        <v>18-01</v>
      </c>
      <c r="H6840" s="273" t="e">
        <f ca="1">_xludf.IFNA(VLOOKUP(E6840,'Urban Plastix Holds'!$I$37:$U$705,12,0),0)</f>
        <v>#NAME?</v>
      </c>
      <c r="I6840" s="274"/>
      <c r="J6840" s="274" t="e">
        <f t="shared" ca="1" si="107"/>
        <v>#NAME?</v>
      </c>
      <c r="K6840" s="274">
        <f t="shared" si="108"/>
        <v>0</v>
      </c>
      <c r="N6840" s="274"/>
    </row>
    <row r="6841" spans="5:14" ht="13.5" customHeight="1">
      <c r="E6841" s="1" t="s">
        <v>1391</v>
      </c>
      <c r="F6841" s="1" t="s">
        <v>3152</v>
      </c>
      <c r="G6841" s="416" t="str">
        <f t="shared" si="109"/>
        <v>Color Code</v>
      </c>
      <c r="H6841" s="273" t="e">
        <f ca="1">_xludf.IFNA(VLOOKUP(E6841,'Urban Plastix Holds'!$I$37:$U$705,13,0),0)</f>
        <v>#NAME?</v>
      </c>
      <c r="I6841" s="274"/>
      <c r="J6841" s="274" t="e">
        <f t="shared" ca="1" si="107"/>
        <v>#NAME?</v>
      </c>
      <c r="K6841" s="274">
        <f t="shared" si="108"/>
        <v>0</v>
      </c>
      <c r="N6841" s="274"/>
    </row>
    <row r="6842" spans="5:14" ht="13.5" customHeight="1">
      <c r="E6842" s="1" t="s">
        <v>1412</v>
      </c>
      <c r="F6842" s="1" t="s">
        <v>3153</v>
      </c>
      <c r="G6842" s="406" t="str">
        <f t="shared" si="109"/>
        <v>11-12</v>
      </c>
      <c r="H6842" s="273" t="e">
        <f ca="1">_xludf.IFNA(VLOOKUP(E6842,'Urban Plastix Holds'!$I$37:$U$705,5,0),0)</f>
        <v>#NAME?</v>
      </c>
      <c r="I6842" s="274"/>
      <c r="J6842" s="274" t="e">
        <f t="shared" ca="1" si="107"/>
        <v>#NAME?</v>
      </c>
      <c r="K6842" s="274">
        <f t="shared" si="108"/>
        <v>0</v>
      </c>
      <c r="N6842" s="274"/>
    </row>
    <row r="6843" spans="5:14" ht="13.5" customHeight="1">
      <c r="E6843" s="1" t="s">
        <v>1412</v>
      </c>
      <c r="F6843" s="1" t="s">
        <v>3153</v>
      </c>
      <c r="G6843" s="408" t="str">
        <f t="shared" si="109"/>
        <v>14-01</v>
      </c>
      <c r="H6843" s="273" t="e">
        <f ca="1">_xludf.IFNA(VLOOKUP(E6843,'Urban Plastix Holds'!$I$37:$U$705,6,0),0)</f>
        <v>#NAME?</v>
      </c>
      <c r="I6843" s="274"/>
      <c r="J6843" s="274" t="e">
        <f t="shared" ca="1" si="107"/>
        <v>#NAME?</v>
      </c>
      <c r="K6843" s="274">
        <f t="shared" si="108"/>
        <v>0</v>
      </c>
      <c r="N6843" s="274"/>
    </row>
    <row r="6844" spans="5:14" ht="13.5" customHeight="1">
      <c r="E6844" s="1" t="s">
        <v>1412</v>
      </c>
      <c r="F6844" s="1" t="s">
        <v>3153</v>
      </c>
      <c r="G6844" s="409" t="str">
        <f t="shared" si="109"/>
        <v>15-12</v>
      </c>
      <c r="H6844" s="273" t="e">
        <f ca="1">_xludf.IFNA(VLOOKUP(E6844,'Urban Plastix Holds'!$I$37:$U$705,7,0),0)</f>
        <v>#NAME?</v>
      </c>
      <c r="I6844" s="274"/>
      <c r="J6844" s="274" t="e">
        <f t="shared" ca="1" si="107"/>
        <v>#NAME?</v>
      </c>
      <c r="K6844" s="274">
        <f t="shared" si="108"/>
        <v>0</v>
      </c>
      <c r="N6844" s="274"/>
    </row>
    <row r="6845" spans="5:14" ht="13.5" customHeight="1">
      <c r="E6845" s="1" t="s">
        <v>1412</v>
      </c>
      <c r="F6845" s="1" t="s">
        <v>3153</v>
      </c>
      <c r="G6845" s="410" t="str">
        <f t="shared" si="109"/>
        <v>16-16</v>
      </c>
      <c r="H6845" s="273" t="e">
        <f ca="1">_xludf.IFNA(VLOOKUP(E6845,'Urban Plastix Holds'!$I$37:$U$705,8,0),0)</f>
        <v>#NAME?</v>
      </c>
      <c r="I6845" s="274"/>
      <c r="J6845" s="274" t="e">
        <f t="shared" ca="1" si="107"/>
        <v>#NAME?</v>
      </c>
      <c r="K6845" s="274">
        <f t="shared" si="108"/>
        <v>0</v>
      </c>
      <c r="N6845" s="274"/>
    </row>
    <row r="6846" spans="5:14" ht="13.5" customHeight="1">
      <c r="E6846" s="1" t="s">
        <v>1412</v>
      </c>
      <c r="F6846" s="1" t="s">
        <v>3153</v>
      </c>
      <c r="G6846" s="411" t="str">
        <f t="shared" si="109"/>
        <v>13-01</v>
      </c>
      <c r="H6846" s="273" t="e">
        <f ca="1">_xludf.IFNA(VLOOKUP(E6846,'Urban Plastix Holds'!$I$37:$U$705,9,0),0)</f>
        <v>#NAME?</v>
      </c>
      <c r="I6846" s="274"/>
      <c r="J6846" s="274" t="e">
        <f t="shared" ca="1" si="107"/>
        <v>#NAME?</v>
      </c>
      <c r="K6846" s="274">
        <f t="shared" si="108"/>
        <v>0</v>
      </c>
      <c r="N6846" s="274"/>
    </row>
    <row r="6847" spans="5:14" ht="13.5" customHeight="1">
      <c r="E6847" s="1" t="s">
        <v>1412</v>
      </c>
      <c r="F6847" s="1" t="s">
        <v>3153</v>
      </c>
      <c r="G6847" s="413" t="str">
        <f t="shared" si="109"/>
        <v>07-13</v>
      </c>
      <c r="H6847" s="273" t="e">
        <f ca="1">_xludf.IFNA(VLOOKUP(E6847,'Urban Plastix Holds'!$I$37:$U$705,10,0),0)</f>
        <v>#NAME?</v>
      </c>
      <c r="I6847" s="274"/>
      <c r="J6847" s="274" t="e">
        <f t="shared" ca="1" si="107"/>
        <v>#NAME?</v>
      </c>
      <c r="K6847" s="274">
        <f t="shared" si="108"/>
        <v>0</v>
      </c>
      <c r="N6847" s="274"/>
    </row>
    <row r="6848" spans="5:14" ht="13.5" customHeight="1">
      <c r="E6848" s="1" t="s">
        <v>1412</v>
      </c>
      <c r="F6848" s="1" t="s">
        <v>3153</v>
      </c>
      <c r="G6848" s="414" t="str">
        <f t="shared" si="109"/>
        <v>11-26</v>
      </c>
      <c r="H6848" s="273" t="e">
        <f ca="1">_xludf.IFNA(VLOOKUP(E6848,'Urban Plastix Holds'!$I$37:$U$705,11,0),0)</f>
        <v>#NAME?</v>
      </c>
      <c r="I6848" s="274"/>
      <c r="J6848" s="274" t="e">
        <f t="shared" ca="1" si="107"/>
        <v>#NAME?</v>
      </c>
      <c r="K6848" s="274">
        <f t="shared" si="108"/>
        <v>0</v>
      </c>
      <c r="N6848" s="274"/>
    </row>
    <row r="6849" spans="5:14" ht="13.5" customHeight="1">
      <c r="E6849" s="1" t="s">
        <v>1412</v>
      </c>
      <c r="F6849" s="1" t="s">
        <v>3153</v>
      </c>
      <c r="G6849" s="415" t="str">
        <f t="shared" si="109"/>
        <v>18-01</v>
      </c>
      <c r="H6849" s="273" t="e">
        <f ca="1">_xludf.IFNA(VLOOKUP(E6849,'Urban Plastix Holds'!$I$37:$U$705,12,0),0)</f>
        <v>#NAME?</v>
      </c>
      <c r="I6849" s="274"/>
      <c r="J6849" s="274" t="e">
        <f t="shared" ca="1" si="107"/>
        <v>#NAME?</v>
      </c>
      <c r="K6849" s="274">
        <f t="shared" si="108"/>
        <v>0</v>
      </c>
      <c r="N6849" s="274"/>
    </row>
    <row r="6850" spans="5:14" ht="13.5" customHeight="1">
      <c r="E6850" s="1" t="s">
        <v>1412</v>
      </c>
      <c r="F6850" s="1" t="s">
        <v>3153</v>
      </c>
      <c r="G6850" s="416" t="str">
        <f t="shared" si="109"/>
        <v>Color Code</v>
      </c>
      <c r="H6850" s="273" t="e">
        <f ca="1">_xludf.IFNA(VLOOKUP(E6850,'Urban Plastix Holds'!$I$37:$U$705,13,0),0)</f>
        <v>#NAME?</v>
      </c>
      <c r="I6850" s="274"/>
      <c r="J6850" s="274" t="e">
        <f t="shared" ca="1" si="107"/>
        <v>#NAME?</v>
      </c>
      <c r="K6850" s="274">
        <f t="shared" si="108"/>
        <v>0</v>
      </c>
      <c r="N6850" s="274"/>
    </row>
    <row r="6851" spans="5:14" ht="13.5" customHeight="1">
      <c r="E6851" s="1" t="s">
        <v>1414</v>
      </c>
      <c r="F6851" s="1" t="s">
        <v>3154</v>
      </c>
      <c r="G6851" s="406" t="str">
        <f t="shared" si="109"/>
        <v>11-12</v>
      </c>
      <c r="H6851" s="273" t="e">
        <f ca="1">_xludf.IFNA(VLOOKUP(E6851,'Urban Plastix Holds'!$I$37:$U$705,5,0),0)</f>
        <v>#NAME?</v>
      </c>
      <c r="I6851" s="274"/>
      <c r="J6851" s="274" t="e">
        <f t="shared" ca="1" si="107"/>
        <v>#NAME?</v>
      </c>
      <c r="K6851" s="274">
        <f t="shared" si="108"/>
        <v>0</v>
      </c>
      <c r="N6851" s="274"/>
    </row>
    <row r="6852" spans="5:14" ht="13.5" customHeight="1">
      <c r="E6852" s="1" t="s">
        <v>1414</v>
      </c>
      <c r="F6852" s="1" t="s">
        <v>3154</v>
      </c>
      <c r="G6852" s="408" t="str">
        <f t="shared" si="109"/>
        <v>14-01</v>
      </c>
      <c r="H6852" s="273" t="e">
        <f ca="1">_xludf.IFNA(VLOOKUP(E6852,'Urban Plastix Holds'!$I$37:$U$705,6,0),0)</f>
        <v>#NAME?</v>
      </c>
      <c r="I6852" s="274"/>
      <c r="J6852" s="274" t="e">
        <f t="shared" ca="1" si="107"/>
        <v>#NAME?</v>
      </c>
      <c r="K6852" s="274">
        <f t="shared" si="108"/>
        <v>0</v>
      </c>
      <c r="N6852" s="274"/>
    </row>
    <row r="6853" spans="5:14" ht="13.5" customHeight="1">
      <c r="E6853" s="1" t="s">
        <v>1414</v>
      </c>
      <c r="F6853" s="1" t="s">
        <v>3154</v>
      </c>
      <c r="G6853" s="409" t="str">
        <f t="shared" si="109"/>
        <v>15-12</v>
      </c>
      <c r="H6853" s="273" t="e">
        <f ca="1">_xludf.IFNA(VLOOKUP(E6853,'Urban Plastix Holds'!$I$37:$U$705,7,0),0)</f>
        <v>#NAME?</v>
      </c>
      <c r="I6853" s="274"/>
      <c r="J6853" s="274" t="e">
        <f t="shared" ca="1" si="107"/>
        <v>#NAME?</v>
      </c>
      <c r="K6853" s="274">
        <f t="shared" si="108"/>
        <v>0</v>
      </c>
      <c r="N6853" s="274"/>
    </row>
    <row r="6854" spans="5:14" ht="13.5" customHeight="1">
      <c r="E6854" s="1" t="s">
        <v>1414</v>
      </c>
      <c r="F6854" s="1" t="s">
        <v>3154</v>
      </c>
      <c r="G6854" s="410" t="str">
        <f t="shared" si="109"/>
        <v>16-16</v>
      </c>
      <c r="H6854" s="273" t="e">
        <f ca="1">_xludf.IFNA(VLOOKUP(E6854,'Urban Plastix Holds'!$I$37:$U$705,8,0),0)</f>
        <v>#NAME?</v>
      </c>
      <c r="I6854" s="274"/>
      <c r="J6854" s="274" t="e">
        <f t="shared" ca="1" si="107"/>
        <v>#NAME?</v>
      </c>
      <c r="K6854" s="274">
        <f t="shared" si="108"/>
        <v>0</v>
      </c>
      <c r="N6854" s="274"/>
    </row>
    <row r="6855" spans="5:14" ht="13.5" customHeight="1">
      <c r="E6855" s="1" t="s">
        <v>1414</v>
      </c>
      <c r="F6855" s="1" t="s">
        <v>3154</v>
      </c>
      <c r="G6855" s="411" t="str">
        <f t="shared" si="109"/>
        <v>13-01</v>
      </c>
      <c r="H6855" s="273" t="e">
        <f ca="1">_xludf.IFNA(VLOOKUP(E6855,'Urban Plastix Holds'!$I$37:$U$705,9,0),0)</f>
        <v>#NAME?</v>
      </c>
      <c r="I6855" s="274"/>
      <c r="J6855" s="274" t="e">
        <f t="shared" ca="1" si="107"/>
        <v>#NAME?</v>
      </c>
      <c r="K6855" s="274">
        <f t="shared" si="108"/>
        <v>0</v>
      </c>
      <c r="N6855" s="274"/>
    </row>
    <row r="6856" spans="5:14" ht="13.5" customHeight="1">
      <c r="E6856" s="1" t="s">
        <v>1414</v>
      </c>
      <c r="F6856" s="1" t="s">
        <v>3154</v>
      </c>
      <c r="G6856" s="413" t="str">
        <f t="shared" si="109"/>
        <v>07-13</v>
      </c>
      <c r="H6856" s="273" t="e">
        <f ca="1">_xludf.IFNA(VLOOKUP(E6856,'Urban Plastix Holds'!$I$37:$U$705,10,0),0)</f>
        <v>#NAME?</v>
      </c>
      <c r="I6856" s="274"/>
      <c r="J6856" s="274" t="e">
        <f t="shared" ca="1" si="107"/>
        <v>#NAME?</v>
      </c>
      <c r="K6856" s="274">
        <f t="shared" si="108"/>
        <v>0</v>
      </c>
      <c r="N6856" s="274"/>
    </row>
    <row r="6857" spans="5:14" ht="13.5" customHeight="1">
      <c r="E6857" s="1" t="s">
        <v>1414</v>
      </c>
      <c r="F6857" s="1" t="s">
        <v>3154</v>
      </c>
      <c r="G6857" s="414" t="str">
        <f t="shared" si="109"/>
        <v>11-26</v>
      </c>
      <c r="H6857" s="273" t="e">
        <f ca="1">_xludf.IFNA(VLOOKUP(E6857,'Urban Plastix Holds'!$I$37:$U$705,11,0),0)</f>
        <v>#NAME?</v>
      </c>
      <c r="I6857" s="274"/>
      <c r="J6857" s="274" t="e">
        <f t="shared" ca="1" si="107"/>
        <v>#NAME?</v>
      </c>
      <c r="K6857" s="274">
        <f t="shared" si="108"/>
        <v>0</v>
      </c>
      <c r="N6857" s="274"/>
    </row>
    <row r="6858" spans="5:14" ht="13.5" customHeight="1">
      <c r="E6858" s="1" t="s">
        <v>1414</v>
      </c>
      <c r="F6858" s="1" t="s">
        <v>3154</v>
      </c>
      <c r="G6858" s="415" t="str">
        <f t="shared" si="109"/>
        <v>18-01</v>
      </c>
      <c r="H6858" s="273" t="e">
        <f ca="1">_xludf.IFNA(VLOOKUP(E6858,'Urban Plastix Holds'!$I$37:$U$705,12,0),0)</f>
        <v>#NAME?</v>
      </c>
      <c r="I6858" s="274"/>
      <c r="J6858" s="274" t="e">
        <f t="shared" ca="1" si="107"/>
        <v>#NAME?</v>
      </c>
      <c r="K6858" s="274">
        <f t="shared" si="108"/>
        <v>0</v>
      </c>
      <c r="N6858" s="274"/>
    </row>
    <row r="6859" spans="5:14" ht="13.5" customHeight="1">
      <c r="E6859" s="1" t="s">
        <v>1414</v>
      </c>
      <c r="F6859" s="1" t="s">
        <v>3154</v>
      </c>
      <c r="G6859" s="416" t="str">
        <f t="shared" si="109"/>
        <v>Color Code</v>
      </c>
      <c r="H6859" s="273" t="e">
        <f ca="1">_xludf.IFNA(VLOOKUP(E6859,'Urban Plastix Holds'!$I$37:$U$705,13,0),0)</f>
        <v>#NAME?</v>
      </c>
      <c r="I6859" s="274"/>
      <c r="J6859" s="274" t="e">
        <f t="shared" ca="1" si="107"/>
        <v>#NAME?</v>
      </c>
      <c r="K6859" s="274">
        <f t="shared" si="108"/>
        <v>0</v>
      </c>
      <c r="N6859" s="274"/>
    </row>
    <row r="6860" spans="5:14" ht="13.5" customHeight="1">
      <c r="E6860" s="1" t="s">
        <v>1416</v>
      </c>
      <c r="F6860" s="1" t="s">
        <v>3155</v>
      </c>
      <c r="G6860" s="406" t="str">
        <f t="shared" si="109"/>
        <v>11-12</v>
      </c>
      <c r="H6860" s="273" t="e">
        <f ca="1">_xludf.IFNA(VLOOKUP(E6860,'Urban Plastix Holds'!$I$37:$U$705,5,0),0)</f>
        <v>#NAME?</v>
      </c>
      <c r="I6860" s="274"/>
      <c r="J6860" s="274" t="e">
        <f t="shared" ca="1" si="107"/>
        <v>#NAME?</v>
      </c>
      <c r="K6860" s="274">
        <f t="shared" si="108"/>
        <v>0</v>
      </c>
      <c r="N6860" s="274"/>
    </row>
    <row r="6861" spans="5:14" ht="13.5" customHeight="1">
      <c r="E6861" s="1" t="s">
        <v>1416</v>
      </c>
      <c r="F6861" s="1" t="s">
        <v>3155</v>
      </c>
      <c r="G6861" s="408" t="str">
        <f t="shared" si="109"/>
        <v>14-01</v>
      </c>
      <c r="H6861" s="273" t="e">
        <f ca="1">_xludf.IFNA(VLOOKUP(E6861,'Urban Plastix Holds'!$I$37:$U$705,6,0),0)</f>
        <v>#NAME?</v>
      </c>
      <c r="I6861" s="274"/>
      <c r="J6861" s="274" t="e">
        <f t="shared" ca="1" si="107"/>
        <v>#NAME?</v>
      </c>
      <c r="K6861" s="274">
        <f t="shared" si="108"/>
        <v>0</v>
      </c>
      <c r="N6861" s="274"/>
    </row>
    <row r="6862" spans="5:14" ht="13.5" customHeight="1">
      <c r="E6862" s="1" t="s">
        <v>1416</v>
      </c>
      <c r="F6862" s="1" t="s">
        <v>3155</v>
      </c>
      <c r="G6862" s="409" t="str">
        <f t="shared" si="109"/>
        <v>15-12</v>
      </c>
      <c r="H6862" s="273" t="e">
        <f ca="1">_xludf.IFNA(VLOOKUP(E6862,'Urban Plastix Holds'!$I$37:$U$705,7,0),0)</f>
        <v>#NAME?</v>
      </c>
      <c r="I6862" s="274"/>
      <c r="J6862" s="274" t="e">
        <f t="shared" ca="1" si="107"/>
        <v>#NAME?</v>
      </c>
      <c r="K6862" s="274">
        <f t="shared" si="108"/>
        <v>0</v>
      </c>
      <c r="N6862" s="274"/>
    </row>
    <row r="6863" spans="5:14" ht="13.5" customHeight="1">
      <c r="E6863" s="1" t="s">
        <v>1416</v>
      </c>
      <c r="F6863" s="1" t="s">
        <v>3155</v>
      </c>
      <c r="G6863" s="410" t="str">
        <f t="shared" si="109"/>
        <v>16-16</v>
      </c>
      <c r="H6863" s="273" t="e">
        <f ca="1">_xludf.IFNA(VLOOKUP(E6863,'Urban Plastix Holds'!$I$37:$U$705,8,0),0)</f>
        <v>#NAME?</v>
      </c>
      <c r="I6863" s="274"/>
      <c r="J6863" s="274" t="e">
        <f t="shared" ca="1" si="107"/>
        <v>#NAME?</v>
      </c>
      <c r="K6863" s="274">
        <f t="shared" si="108"/>
        <v>0</v>
      </c>
      <c r="N6863" s="274"/>
    </row>
    <row r="6864" spans="5:14" ht="13.5" customHeight="1">
      <c r="E6864" s="1" t="s">
        <v>1416</v>
      </c>
      <c r="F6864" s="1" t="s">
        <v>3155</v>
      </c>
      <c r="G6864" s="411" t="str">
        <f t="shared" si="109"/>
        <v>13-01</v>
      </c>
      <c r="H6864" s="273" t="e">
        <f ca="1">_xludf.IFNA(VLOOKUP(E6864,'Urban Plastix Holds'!$I$37:$U$705,9,0),0)</f>
        <v>#NAME?</v>
      </c>
      <c r="I6864" s="274"/>
      <c r="J6864" s="274" t="e">
        <f t="shared" ca="1" si="107"/>
        <v>#NAME?</v>
      </c>
      <c r="K6864" s="274">
        <f t="shared" si="108"/>
        <v>0</v>
      </c>
      <c r="N6864" s="274"/>
    </row>
    <row r="6865" spans="5:14" ht="13.5" customHeight="1">
      <c r="E6865" s="1" t="s">
        <v>1416</v>
      </c>
      <c r="F6865" s="1" t="s">
        <v>3155</v>
      </c>
      <c r="G6865" s="413" t="str">
        <f t="shared" si="109"/>
        <v>07-13</v>
      </c>
      <c r="H6865" s="273" t="e">
        <f ca="1">_xludf.IFNA(VLOOKUP(E6865,'Urban Plastix Holds'!$I$37:$U$705,10,0),0)</f>
        <v>#NAME?</v>
      </c>
      <c r="I6865" s="274"/>
      <c r="J6865" s="274" t="e">
        <f t="shared" ca="1" si="107"/>
        <v>#NAME?</v>
      </c>
      <c r="K6865" s="274">
        <f t="shared" si="108"/>
        <v>0</v>
      </c>
      <c r="N6865" s="274"/>
    </row>
    <row r="6866" spans="5:14" ht="13.5" customHeight="1">
      <c r="E6866" s="1" t="s">
        <v>1416</v>
      </c>
      <c r="F6866" s="1" t="s">
        <v>3155</v>
      </c>
      <c r="G6866" s="414" t="str">
        <f t="shared" si="109"/>
        <v>11-26</v>
      </c>
      <c r="H6866" s="273" t="e">
        <f ca="1">_xludf.IFNA(VLOOKUP(E6866,'Urban Plastix Holds'!$I$37:$U$705,11,0),0)</f>
        <v>#NAME?</v>
      </c>
      <c r="I6866" s="274"/>
      <c r="J6866" s="274" t="e">
        <f t="shared" ca="1" si="107"/>
        <v>#NAME?</v>
      </c>
      <c r="K6866" s="274">
        <f t="shared" si="108"/>
        <v>0</v>
      </c>
      <c r="N6866" s="274"/>
    </row>
    <row r="6867" spans="5:14" ht="13.5" customHeight="1">
      <c r="E6867" s="1" t="s">
        <v>1416</v>
      </c>
      <c r="F6867" s="1" t="s">
        <v>3155</v>
      </c>
      <c r="G6867" s="415" t="str">
        <f t="shared" si="109"/>
        <v>18-01</v>
      </c>
      <c r="H6867" s="273" t="e">
        <f ca="1">_xludf.IFNA(VLOOKUP(E6867,'Urban Plastix Holds'!$I$37:$U$705,12,0),0)</f>
        <v>#NAME?</v>
      </c>
      <c r="I6867" s="274"/>
      <c r="J6867" s="274" t="e">
        <f t="shared" ca="1" si="107"/>
        <v>#NAME?</v>
      </c>
      <c r="K6867" s="274">
        <f t="shared" si="108"/>
        <v>0</v>
      </c>
      <c r="N6867" s="274"/>
    </row>
    <row r="6868" spans="5:14" ht="13.5" customHeight="1">
      <c r="E6868" s="1" t="s">
        <v>1416</v>
      </c>
      <c r="F6868" s="1" t="s">
        <v>3155</v>
      </c>
      <c r="G6868" s="416" t="str">
        <f t="shared" si="109"/>
        <v>Color Code</v>
      </c>
      <c r="H6868" s="273" t="e">
        <f ca="1">_xludf.IFNA(VLOOKUP(E6868,'Urban Plastix Holds'!$I$37:$U$705,13,0),0)</f>
        <v>#NAME?</v>
      </c>
      <c r="I6868" s="274"/>
      <c r="J6868" s="274" t="e">
        <f t="shared" ca="1" si="107"/>
        <v>#NAME?</v>
      </c>
      <c r="K6868" s="274">
        <f t="shared" si="108"/>
        <v>0</v>
      </c>
      <c r="N6868" s="274"/>
    </row>
    <row r="6869" spans="5:14" ht="13.5" customHeight="1">
      <c r="E6869" s="1" t="s">
        <v>1418</v>
      </c>
      <c r="F6869" s="1" t="s">
        <v>3156</v>
      </c>
      <c r="G6869" s="406" t="str">
        <f t="shared" si="109"/>
        <v>11-12</v>
      </c>
      <c r="H6869" s="273" t="e">
        <f ca="1">_xludf.IFNA(VLOOKUP(E6869,'Urban Plastix Holds'!$I$37:$U$705,5,0),0)</f>
        <v>#NAME?</v>
      </c>
      <c r="I6869" s="274"/>
      <c r="J6869" s="274" t="e">
        <f t="shared" ca="1" si="107"/>
        <v>#NAME?</v>
      </c>
      <c r="K6869" s="274">
        <f t="shared" si="108"/>
        <v>0</v>
      </c>
      <c r="N6869" s="274"/>
    </row>
    <row r="6870" spans="5:14" ht="13.5" customHeight="1">
      <c r="E6870" s="1" t="s">
        <v>1418</v>
      </c>
      <c r="F6870" s="1" t="s">
        <v>3156</v>
      </c>
      <c r="G6870" s="408" t="str">
        <f t="shared" si="109"/>
        <v>14-01</v>
      </c>
      <c r="H6870" s="273" t="e">
        <f ca="1">_xludf.IFNA(VLOOKUP(E6870,'Urban Plastix Holds'!$I$37:$U$705,6,0),0)</f>
        <v>#NAME?</v>
      </c>
      <c r="I6870" s="274"/>
      <c r="J6870" s="274" t="e">
        <f t="shared" ca="1" si="107"/>
        <v>#NAME?</v>
      </c>
      <c r="K6870" s="274">
        <f t="shared" si="108"/>
        <v>0</v>
      </c>
      <c r="N6870" s="274"/>
    </row>
    <row r="6871" spans="5:14" ht="13.5" customHeight="1">
      <c r="E6871" s="1" t="s">
        <v>1418</v>
      </c>
      <c r="F6871" s="1" t="s">
        <v>3156</v>
      </c>
      <c r="G6871" s="409" t="str">
        <f t="shared" si="109"/>
        <v>15-12</v>
      </c>
      <c r="H6871" s="273" t="e">
        <f ca="1">_xludf.IFNA(VLOOKUP(E6871,'Urban Plastix Holds'!$I$37:$U$705,7,0),0)</f>
        <v>#NAME?</v>
      </c>
      <c r="I6871" s="274"/>
      <c r="J6871" s="274" t="e">
        <f t="shared" ca="1" si="107"/>
        <v>#NAME?</v>
      </c>
      <c r="K6871" s="274">
        <f t="shared" si="108"/>
        <v>0</v>
      </c>
      <c r="N6871" s="274"/>
    </row>
    <row r="6872" spans="5:14" ht="13.5" customHeight="1">
      <c r="E6872" s="1" t="s">
        <v>1418</v>
      </c>
      <c r="F6872" s="1" t="s">
        <v>3156</v>
      </c>
      <c r="G6872" s="410" t="str">
        <f t="shared" si="109"/>
        <v>16-16</v>
      </c>
      <c r="H6872" s="273" t="e">
        <f ca="1">_xludf.IFNA(VLOOKUP(E6872,'Urban Plastix Holds'!$I$37:$U$705,8,0),0)</f>
        <v>#NAME?</v>
      </c>
      <c r="I6872" s="274"/>
      <c r="J6872" s="274" t="e">
        <f t="shared" ca="1" si="107"/>
        <v>#NAME?</v>
      </c>
      <c r="K6872" s="274">
        <f t="shared" si="108"/>
        <v>0</v>
      </c>
      <c r="N6872" s="274"/>
    </row>
    <row r="6873" spans="5:14" ht="13.5" customHeight="1">
      <c r="E6873" s="1" t="s">
        <v>1418</v>
      </c>
      <c r="F6873" s="1" t="s">
        <v>3156</v>
      </c>
      <c r="G6873" s="411" t="str">
        <f t="shared" si="109"/>
        <v>13-01</v>
      </c>
      <c r="H6873" s="273" t="e">
        <f ca="1">_xludf.IFNA(VLOOKUP(E6873,'Urban Plastix Holds'!$I$37:$U$705,9,0),0)</f>
        <v>#NAME?</v>
      </c>
      <c r="I6873" s="274"/>
      <c r="J6873" s="274" t="e">
        <f t="shared" ca="1" si="107"/>
        <v>#NAME?</v>
      </c>
      <c r="K6873" s="274">
        <f t="shared" si="108"/>
        <v>0</v>
      </c>
      <c r="N6873" s="274"/>
    </row>
    <row r="6874" spans="5:14" ht="13.5" customHeight="1">
      <c r="E6874" s="1" t="s">
        <v>1418</v>
      </c>
      <c r="F6874" s="1" t="s">
        <v>3156</v>
      </c>
      <c r="G6874" s="413" t="str">
        <f t="shared" si="109"/>
        <v>07-13</v>
      </c>
      <c r="H6874" s="273" t="e">
        <f ca="1">_xludf.IFNA(VLOOKUP(E6874,'Urban Plastix Holds'!$I$37:$U$705,10,0),0)</f>
        <v>#NAME?</v>
      </c>
      <c r="I6874" s="274"/>
      <c r="J6874" s="274" t="e">
        <f t="shared" ca="1" si="107"/>
        <v>#NAME?</v>
      </c>
      <c r="K6874" s="274">
        <f t="shared" si="108"/>
        <v>0</v>
      </c>
      <c r="N6874" s="274"/>
    </row>
    <row r="6875" spans="5:14" ht="13.5" customHeight="1">
      <c r="E6875" s="1" t="s">
        <v>1418</v>
      </c>
      <c r="F6875" s="1" t="s">
        <v>3156</v>
      </c>
      <c r="G6875" s="414" t="str">
        <f t="shared" si="109"/>
        <v>11-26</v>
      </c>
      <c r="H6875" s="273" t="e">
        <f ca="1">_xludf.IFNA(VLOOKUP(E6875,'Urban Plastix Holds'!$I$37:$U$705,11,0),0)</f>
        <v>#NAME?</v>
      </c>
      <c r="I6875" s="274"/>
      <c r="J6875" s="274" t="e">
        <f t="shared" ca="1" si="107"/>
        <v>#NAME?</v>
      </c>
      <c r="K6875" s="274">
        <f t="shared" si="108"/>
        <v>0</v>
      </c>
      <c r="N6875" s="274"/>
    </row>
    <row r="6876" spans="5:14" ht="13.5" customHeight="1">
      <c r="E6876" s="1" t="s">
        <v>1418</v>
      </c>
      <c r="F6876" s="1" t="s">
        <v>3156</v>
      </c>
      <c r="G6876" s="415" t="str">
        <f t="shared" si="109"/>
        <v>18-01</v>
      </c>
      <c r="H6876" s="273" t="e">
        <f ca="1">_xludf.IFNA(VLOOKUP(E6876,'Urban Plastix Holds'!$I$37:$U$705,12,0),0)</f>
        <v>#NAME?</v>
      </c>
      <c r="I6876" s="274"/>
      <c r="J6876" s="274" t="e">
        <f t="shared" ca="1" si="107"/>
        <v>#NAME?</v>
      </c>
      <c r="K6876" s="274">
        <f t="shared" si="108"/>
        <v>0</v>
      </c>
      <c r="N6876" s="274"/>
    </row>
    <row r="6877" spans="5:14" ht="13.5" customHeight="1">
      <c r="E6877" s="1" t="s">
        <v>1418</v>
      </c>
      <c r="F6877" s="1" t="s">
        <v>3156</v>
      </c>
      <c r="G6877" s="416" t="str">
        <f t="shared" si="109"/>
        <v>Color Code</v>
      </c>
      <c r="H6877" s="273" t="e">
        <f ca="1">_xludf.IFNA(VLOOKUP(E6877,'Urban Plastix Holds'!$I$37:$U$705,13,0),0)</f>
        <v>#NAME?</v>
      </c>
      <c r="I6877" s="274"/>
      <c r="J6877" s="274" t="e">
        <f t="shared" ca="1" si="107"/>
        <v>#NAME?</v>
      </c>
      <c r="K6877" s="274">
        <f t="shared" si="108"/>
        <v>0</v>
      </c>
      <c r="N6877" s="274"/>
    </row>
    <row r="6878" spans="5:14" ht="13.5" customHeight="1">
      <c r="E6878" s="1" t="s">
        <v>1393</v>
      </c>
      <c r="F6878" s="1" t="s">
        <v>3157</v>
      </c>
      <c r="G6878" s="406" t="str">
        <f t="shared" si="109"/>
        <v>11-12</v>
      </c>
      <c r="H6878" s="273" t="e">
        <f ca="1">_xludf.IFNA(VLOOKUP(E6878,'Urban Plastix Holds'!$I$37:$U$705,5,0),0)</f>
        <v>#NAME?</v>
      </c>
      <c r="I6878" s="274"/>
      <c r="J6878" s="274" t="e">
        <f t="shared" ca="1" si="107"/>
        <v>#NAME?</v>
      </c>
      <c r="K6878" s="274">
        <f t="shared" si="108"/>
        <v>0</v>
      </c>
      <c r="N6878" s="274"/>
    </row>
    <row r="6879" spans="5:14" ht="13.5" customHeight="1">
      <c r="E6879" s="1" t="s">
        <v>1393</v>
      </c>
      <c r="F6879" s="1" t="s">
        <v>3157</v>
      </c>
      <c r="G6879" s="408" t="str">
        <f t="shared" si="109"/>
        <v>14-01</v>
      </c>
      <c r="H6879" s="273" t="e">
        <f ca="1">_xludf.IFNA(VLOOKUP(E6879,'Urban Plastix Holds'!$I$37:$U$705,6,0),0)</f>
        <v>#NAME?</v>
      </c>
      <c r="I6879" s="274"/>
      <c r="J6879" s="274" t="e">
        <f t="shared" ca="1" si="107"/>
        <v>#NAME?</v>
      </c>
      <c r="K6879" s="274">
        <f t="shared" si="108"/>
        <v>0</v>
      </c>
      <c r="N6879" s="274"/>
    </row>
    <row r="6880" spans="5:14" ht="13.5" customHeight="1">
      <c r="E6880" s="1" t="s">
        <v>1393</v>
      </c>
      <c r="F6880" s="1" t="s">
        <v>3157</v>
      </c>
      <c r="G6880" s="409" t="str">
        <f t="shared" si="109"/>
        <v>15-12</v>
      </c>
      <c r="H6880" s="273" t="e">
        <f ca="1">_xludf.IFNA(VLOOKUP(E6880,'Urban Plastix Holds'!$I$37:$U$705,7,0),0)</f>
        <v>#NAME?</v>
      </c>
      <c r="I6880" s="274"/>
      <c r="J6880" s="274" t="e">
        <f t="shared" ca="1" si="107"/>
        <v>#NAME?</v>
      </c>
      <c r="K6880" s="274">
        <f t="shared" si="108"/>
        <v>0</v>
      </c>
      <c r="N6880" s="274"/>
    </row>
    <row r="6881" spans="5:14" ht="13.5" customHeight="1">
      <c r="E6881" s="1" t="s">
        <v>1393</v>
      </c>
      <c r="F6881" s="1" t="s">
        <v>3157</v>
      </c>
      <c r="G6881" s="410" t="str">
        <f t="shared" si="109"/>
        <v>16-16</v>
      </c>
      <c r="H6881" s="273" t="e">
        <f ca="1">_xludf.IFNA(VLOOKUP(E6881,'Urban Plastix Holds'!$I$37:$U$705,8,0),0)</f>
        <v>#NAME?</v>
      </c>
      <c r="I6881" s="274"/>
      <c r="J6881" s="274" t="e">
        <f t="shared" ca="1" si="107"/>
        <v>#NAME?</v>
      </c>
      <c r="K6881" s="274">
        <f t="shared" si="108"/>
        <v>0</v>
      </c>
      <c r="N6881" s="274"/>
    </row>
    <row r="6882" spans="5:14" ht="13.5" customHeight="1">
      <c r="E6882" s="1" t="s">
        <v>1393</v>
      </c>
      <c r="F6882" s="1" t="s">
        <v>3157</v>
      </c>
      <c r="G6882" s="411" t="str">
        <f t="shared" si="109"/>
        <v>13-01</v>
      </c>
      <c r="H6882" s="273" t="e">
        <f ca="1">_xludf.IFNA(VLOOKUP(E6882,'Urban Plastix Holds'!$I$37:$U$705,9,0),0)</f>
        <v>#NAME?</v>
      </c>
      <c r="I6882" s="274"/>
      <c r="J6882" s="274" t="e">
        <f t="shared" ca="1" si="107"/>
        <v>#NAME?</v>
      </c>
      <c r="K6882" s="274">
        <f t="shared" si="108"/>
        <v>0</v>
      </c>
      <c r="N6882" s="274"/>
    </row>
    <row r="6883" spans="5:14" ht="13.5" customHeight="1">
      <c r="E6883" s="1" t="s">
        <v>1393</v>
      </c>
      <c r="F6883" s="1" t="s">
        <v>3157</v>
      </c>
      <c r="G6883" s="413" t="str">
        <f t="shared" si="109"/>
        <v>07-13</v>
      </c>
      <c r="H6883" s="273" t="e">
        <f ca="1">_xludf.IFNA(VLOOKUP(E6883,'Urban Plastix Holds'!$I$37:$U$705,10,0),0)</f>
        <v>#NAME?</v>
      </c>
      <c r="I6883" s="274"/>
      <c r="J6883" s="274" t="e">
        <f t="shared" ca="1" si="107"/>
        <v>#NAME?</v>
      </c>
      <c r="K6883" s="274">
        <f t="shared" si="108"/>
        <v>0</v>
      </c>
      <c r="N6883" s="274"/>
    </row>
    <row r="6884" spans="5:14" ht="13.5" customHeight="1">
      <c r="E6884" s="1" t="s">
        <v>1393</v>
      </c>
      <c r="F6884" s="1" t="s">
        <v>3157</v>
      </c>
      <c r="G6884" s="414" t="str">
        <f t="shared" si="109"/>
        <v>11-26</v>
      </c>
      <c r="H6884" s="273" t="e">
        <f ca="1">_xludf.IFNA(VLOOKUP(E6884,'Urban Plastix Holds'!$I$37:$U$705,11,0),0)</f>
        <v>#NAME?</v>
      </c>
      <c r="I6884" s="274"/>
      <c r="J6884" s="274" t="e">
        <f t="shared" ca="1" si="107"/>
        <v>#NAME?</v>
      </c>
      <c r="K6884" s="274">
        <f t="shared" si="108"/>
        <v>0</v>
      </c>
      <c r="N6884" s="274"/>
    </row>
    <row r="6885" spans="5:14" ht="13.5" customHeight="1">
      <c r="E6885" s="1" t="s">
        <v>1393</v>
      </c>
      <c r="F6885" s="1" t="s">
        <v>3157</v>
      </c>
      <c r="G6885" s="415" t="str">
        <f t="shared" si="109"/>
        <v>18-01</v>
      </c>
      <c r="H6885" s="273" t="e">
        <f ca="1">_xludf.IFNA(VLOOKUP(E6885,'Urban Plastix Holds'!$I$37:$U$705,12,0),0)</f>
        <v>#NAME?</v>
      </c>
      <c r="I6885" s="274"/>
      <c r="J6885" s="274" t="e">
        <f t="shared" ca="1" si="107"/>
        <v>#NAME?</v>
      </c>
      <c r="K6885" s="274">
        <f t="shared" si="108"/>
        <v>0</v>
      </c>
      <c r="N6885" s="274"/>
    </row>
    <row r="6886" spans="5:14" ht="13.5" customHeight="1">
      <c r="E6886" s="1" t="s">
        <v>1393</v>
      </c>
      <c r="F6886" s="1" t="s">
        <v>3157</v>
      </c>
      <c r="G6886" s="416" t="str">
        <f t="shared" si="109"/>
        <v>Color Code</v>
      </c>
      <c r="H6886" s="273" t="e">
        <f ca="1">_xludf.IFNA(VLOOKUP(E6886,'Urban Plastix Holds'!$I$37:$U$705,13,0),0)</f>
        <v>#NAME?</v>
      </c>
      <c r="I6886" s="274"/>
      <c r="J6886" s="274" t="e">
        <f t="shared" ca="1" si="107"/>
        <v>#NAME?</v>
      </c>
      <c r="K6886" s="274">
        <f t="shared" si="108"/>
        <v>0</v>
      </c>
      <c r="N6886" s="274"/>
    </row>
    <row r="6887" spans="5:14" ht="13.5" customHeight="1">
      <c r="E6887" s="1" t="s">
        <v>1395</v>
      </c>
      <c r="F6887" s="1" t="s">
        <v>3158</v>
      </c>
      <c r="G6887" s="406" t="str">
        <f t="shared" si="109"/>
        <v>11-12</v>
      </c>
      <c r="H6887" s="273" t="e">
        <f ca="1">_xludf.IFNA(VLOOKUP(E6887,'Urban Plastix Holds'!$I$37:$U$705,5,0),0)</f>
        <v>#NAME?</v>
      </c>
      <c r="I6887" s="274"/>
      <c r="J6887" s="274" t="e">
        <f t="shared" ref="J6887:J7141" ca="1" si="110">H6887*I6887</f>
        <v>#NAME?</v>
      </c>
      <c r="K6887" s="274">
        <f t="shared" ref="K6887:K7141" si="111">IF($V$11="Y",J6887*0.05,0)</f>
        <v>0</v>
      </c>
      <c r="N6887" s="274"/>
    </row>
    <row r="6888" spans="5:14" ht="13.5" customHeight="1">
      <c r="E6888" s="1" t="s">
        <v>1395</v>
      </c>
      <c r="F6888" s="1" t="s">
        <v>3158</v>
      </c>
      <c r="G6888" s="408" t="str">
        <f t="shared" si="109"/>
        <v>14-01</v>
      </c>
      <c r="H6888" s="273" t="e">
        <f ca="1">_xludf.IFNA(VLOOKUP(E6888,'Urban Plastix Holds'!$I$37:$U$705,6,0),0)</f>
        <v>#NAME?</v>
      </c>
      <c r="I6888" s="274"/>
      <c r="J6888" s="274" t="e">
        <f t="shared" ca="1" si="110"/>
        <v>#NAME?</v>
      </c>
      <c r="K6888" s="274">
        <f t="shared" si="111"/>
        <v>0</v>
      </c>
      <c r="N6888" s="274"/>
    </row>
    <row r="6889" spans="5:14" ht="13.5" customHeight="1">
      <c r="E6889" s="1" t="s">
        <v>1395</v>
      </c>
      <c r="F6889" s="1" t="s">
        <v>3158</v>
      </c>
      <c r="G6889" s="409" t="str">
        <f t="shared" si="109"/>
        <v>15-12</v>
      </c>
      <c r="H6889" s="273" t="e">
        <f ca="1">_xludf.IFNA(VLOOKUP(E6889,'Urban Plastix Holds'!$I$37:$U$705,7,0),0)</f>
        <v>#NAME?</v>
      </c>
      <c r="I6889" s="274"/>
      <c r="J6889" s="274" t="e">
        <f t="shared" ca="1" si="110"/>
        <v>#NAME?</v>
      </c>
      <c r="K6889" s="274">
        <f t="shared" si="111"/>
        <v>0</v>
      </c>
      <c r="N6889" s="274"/>
    </row>
    <row r="6890" spans="5:14" ht="13.5" customHeight="1">
      <c r="E6890" s="1" t="s">
        <v>1395</v>
      </c>
      <c r="F6890" s="1" t="s">
        <v>3158</v>
      </c>
      <c r="G6890" s="410" t="str">
        <f t="shared" si="109"/>
        <v>16-16</v>
      </c>
      <c r="H6890" s="273" t="e">
        <f ca="1">_xludf.IFNA(VLOOKUP(E6890,'Urban Plastix Holds'!$I$37:$U$705,8,0),0)</f>
        <v>#NAME?</v>
      </c>
      <c r="I6890" s="274"/>
      <c r="J6890" s="274" t="e">
        <f t="shared" ca="1" si="110"/>
        <v>#NAME?</v>
      </c>
      <c r="K6890" s="274">
        <f t="shared" si="111"/>
        <v>0</v>
      </c>
      <c r="N6890" s="274"/>
    </row>
    <row r="6891" spans="5:14" ht="13.5" customHeight="1">
      <c r="E6891" s="1" t="s">
        <v>1395</v>
      </c>
      <c r="F6891" s="1" t="s">
        <v>3158</v>
      </c>
      <c r="G6891" s="411" t="str">
        <f t="shared" si="109"/>
        <v>13-01</v>
      </c>
      <c r="H6891" s="273" t="e">
        <f ca="1">_xludf.IFNA(VLOOKUP(E6891,'Urban Plastix Holds'!$I$37:$U$705,9,0),0)</f>
        <v>#NAME?</v>
      </c>
      <c r="I6891" s="274"/>
      <c r="J6891" s="274" t="e">
        <f t="shared" ca="1" si="110"/>
        <v>#NAME?</v>
      </c>
      <c r="K6891" s="274">
        <f t="shared" si="111"/>
        <v>0</v>
      </c>
      <c r="N6891" s="274"/>
    </row>
    <row r="6892" spans="5:14" ht="13.5" customHeight="1">
      <c r="E6892" s="1" t="s">
        <v>1395</v>
      </c>
      <c r="F6892" s="1" t="s">
        <v>3158</v>
      </c>
      <c r="G6892" s="413" t="str">
        <f t="shared" si="109"/>
        <v>07-13</v>
      </c>
      <c r="H6892" s="273" t="e">
        <f ca="1">_xludf.IFNA(VLOOKUP(E6892,'Urban Plastix Holds'!$I$37:$U$705,10,0),0)</f>
        <v>#NAME?</v>
      </c>
      <c r="I6892" s="274"/>
      <c r="J6892" s="274" t="e">
        <f t="shared" ca="1" si="110"/>
        <v>#NAME?</v>
      </c>
      <c r="K6892" s="274">
        <f t="shared" si="111"/>
        <v>0</v>
      </c>
      <c r="N6892" s="274"/>
    </row>
    <row r="6893" spans="5:14" ht="13.5" customHeight="1">
      <c r="E6893" s="1" t="s">
        <v>1395</v>
      </c>
      <c r="F6893" s="1" t="s">
        <v>3158</v>
      </c>
      <c r="G6893" s="414" t="str">
        <f t="shared" si="109"/>
        <v>11-26</v>
      </c>
      <c r="H6893" s="273" t="e">
        <f ca="1">_xludf.IFNA(VLOOKUP(E6893,'Urban Plastix Holds'!$I$37:$U$705,11,0),0)</f>
        <v>#NAME?</v>
      </c>
      <c r="I6893" s="274"/>
      <c r="J6893" s="274" t="e">
        <f t="shared" ca="1" si="110"/>
        <v>#NAME?</v>
      </c>
      <c r="K6893" s="274">
        <f t="shared" si="111"/>
        <v>0</v>
      </c>
      <c r="N6893" s="274"/>
    </row>
    <row r="6894" spans="5:14" ht="13.5" customHeight="1">
      <c r="E6894" s="1" t="s">
        <v>1395</v>
      </c>
      <c r="F6894" s="1" t="s">
        <v>3158</v>
      </c>
      <c r="G6894" s="415" t="str">
        <f t="shared" si="109"/>
        <v>18-01</v>
      </c>
      <c r="H6894" s="273" t="e">
        <f ca="1">_xludf.IFNA(VLOOKUP(E6894,'Urban Plastix Holds'!$I$37:$U$705,12,0),0)</f>
        <v>#NAME?</v>
      </c>
      <c r="I6894" s="274"/>
      <c r="J6894" s="274" t="e">
        <f t="shared" ca="1" si="110"/>
        <v>#NAME?</v>
      </c>
      <c r="K6894" s="274">
        <f t="shared" si="111"/>
        <v>0</v>
      </c>
      <c r="N6894" s="274"/>
    </row>
    <row r="6895" spans="5:14" ht="13.5" customHeight="1">
      <c r="E6895" s="1" t="s">
        <v>1395</v>
      </c>
      <c r="F6895" s="1" t="s">
        <v>3158</v>
      </c>
      <c r="G6895" s="416" t="str">
        <f t="shared" si="109"/>
        <v>Color Code</v>
      </c>
      <c r="H6895" s="273" t="e">
        <f ca="1">_xludf.IFNA(VLOOKUP(E6895,'Urban Plastix Holds'!$I$37:$U$705,13,0),0)</f>
        <v>#NAME?</v>
      </c>
      <c r="I6895" s="274"/>
      <c r="J6895" s="274" t="e">
        <f t="shared" ca="1" si="110"/>
        <v>#NAME?</v>
      </c>
      <c r="K6895" s="274">
        <f t="shared" si="111"/>
        <v>0</v>
      </c>
      <c r="N6895" s="274"/>
    </row>
    <row r="6896" spans="5:14" ht="13.5" customHeight="1">
      <c r="E6896" s="1" t="s">
        <v>1363</v>
      </c>
      <c r="F6896" s="1" t="s">
        <v>3159</v>
      </c>
      <c r="G6896" s="406" t="str">
        <f t="shared" si="109"/>
        <v>11-12</v>
      </c>
      <c r="H6896" s="273" t="e">
        <f ca="1">_xludf.IFNA(VLOOKUP(E6896,'Urban Plastix Holds'!$I$37:$U$705,5,0),0)</f>
        <v>#NAME?</v>
      </c>
      <c r="I6896" s="274"/>
      <c r="J6896" s="274" t="e">
        <f t="shared" ca="1" si="110"/>
        <v>#NAME?</v>
      </c>
      <c r="K6896" s="274">
        <f t="shared" si="111"/>
        <v>0</v>
      </c>
      <c r="N6896" s="274"/>
    </row>
    <row r="6897" spans="5:14" ht="13.5" customHeight="1">
      <c r="E6897" s="1" t="s">
        <v>1363</v>
      </c>
      <c r="F6897" s="1" t="s">
        <v>3159</v>
      </c>
      <c r="G6897" s="408" t="str">
        <f t="shared" si="109"/>
        <v>14-01</v>
      </c>
      <c r="H6897" s="273" t="e">
        <f ca="1">_xludf.IFNA(VLOOKUP(E6897,'Urban Plastix Holds'!$I$37:$U$705,6,0),0)</f>
        <v>#NAME?</v>
      </c>
      <c r="I6897" s="274"/>
      <c r="J6897" s="274" t="e">
        <f t="shared" ca="1" si="110"/>
        <v>#NAME?</v>
      </c>
      <c r="K6897" s="274">
        <f t="shared" si="111"/>
        <v>0</v>
      </c>
      <c r="N6897" s="274"/>
    </row>
    <row r="6898" spans="5:14" ht="13.5" customHeight="1">
      <c r="E6898" s="1" t="s">
        <v>1363</v>
      </c>
      <c r="F6898" s="1" t="s">
        <v>3159</v>
      </c>
      <c r="G6898" s="409" t="str">
        <f t="shared" si="109"/>
        <v>15-12</v>
      </c>
      <c r="H6898" s="273" t="e">
        <f ca="1">_xludf.IFNA(VLOOKUP(E6898,'Urban Plastix Holds'!$I$37:$U$705,7,0),0)</f>
        <v>#NAME?</v>
      </c>
      <c r="I6898" s="274"/>
      <c r="J6898" s="274" t="e">
        <f t="shared" ca="1" si="110"/>
        <v>#NAME?</v>
      </c>
      <c r="K6898" s="274">
        <f t="shared" si="111"/>
        <v>0</v>
      </c>
      <c r="N6898" s="274"/>
    </row>
    <row r="6899" spans="5:14" ht="13.5" customHeight="1">
      <c r="E6899" s="1" t="s">
        <v>1363</v>
      </c>
      <c r="F6899" s="1" t="s">
        <v>3159</v>
      </c>
      <c r="G6899" s="410" t="str">
        <f t="shared" si="109"/>
        <v>16-16</v>
      </c>
      <c r="H6899" s="273" t="e">
        <f ca="1">_xludf.IFNA(VLOOKUP(E6899,'Urban Plastix Holds'!$I$37:$U$705,8,0),0)</f>
        <v>#NAME?</v>
      </c>
      <c r="I6899" s="274"/>
      <c r="J6899" s="274" t="e">
        <f t="shared" ca="1" si="110"/>
        <v>#NAME?</v>
      </c>
      <c r="K6899" s="274">
        <f t="shared" si="111"/>
        <v>0</v>
      </c>
      <c r="N6899" s="274"/>
    </row>
    <row r="6900" spans="5:14" ht="13.5" customHeight="1">
      <c r="E6900" s="1" t="s">
        <v>1363</v>
      </c>
      <c r="F6900" s="1" t="s">
        <v>3159</v>
      </c>
      <c r="G6900" s="411" t="str">
        <f t="shared" si="109"/>
        <v>13-01</v>
      </c>
      <c r="H6900" s="273" t="e">
        <f ca="1">_xludf.IFNA(VLOOKUP(E6900,'Urban Plastix Holds'!$I$37:$U$705,9,0),0)</f>
        <v>#NAME?</v>
      </c>
      <c r="I6900" s="274"/>
      <c r="J6900" s="274" t="e">
        <f t="shared" ca="1" si="110"/>
        <v>#NAME?</v>
      </c>
      <c r="K6900" s="274">
        <f t="shared" si="111"/>
        <v>0</v>
      </c>
      <c r="N6900" s="274"/>
    </row>
    <row r="6901" spans="5:14" ht="13.5" customHeight="1">
      <c r="E6901" s="1" t="s">
        <v>1363</v>
      </c>
      <c r="F6901" s="1" t="s">
        <v>3159</v>
      </c>
      <c r="G6901" s="413" t="str">
        <f t="shared" si="109"/>
        <v>07-13</v>
      </c>
      <c r="H6901" s="273" t="e">
        <f ca="1">_xludf.IFNA(VLOOKUP(E6901,'Urban Plastix Holds'!$I$37:$U$705,10,0),0)</f>
        <v>#NAME?</v>
      </c>
      <c r="I6901" s="274"/>
      <c r="J6901" s="274" t="e">
        <f t="shared" ca="1" si="110"/>
        <v>#NAME?</v>
      </c>
      <c r="K6901" s="274">
        <f t="shared" si="111"/>
        <v>0</v>
      </c>
      <c r="N6901" s="274"/>
    </row>
    <row r="6902" spans="5:14" ht="13.5" customHeight="1">
      <c r="E6902" s="1" t="s">
        <v>1363</v>
      </c>
      <c r="F6902" s="1" t="s">
        <v>3159</v>
      </c>
      <c r="G6902" s="414" t="str">
        <f t="shared" si="109"/>
        <v>11-26</v>
      </c>
      <c r="H6902" s="273" t="e">
        <f ca="1">_xludf.IFNA(VLOOKUP(E6902,'Urban Plastix Holds'!$I$37:$U$705,11,0),0)</f>
        <v>#NAME?</v>
      </c>
      <c r="I6902" s="274"/>
      <c r="J6902" s="274" t="e">
        <f t="shared" ca="1" si="110"/>
        <v>#NAME?</v>
      </c>
      <c r="K6902" s="274">
        <f t="shared" si="111"/>
        <v>0</v>
      </c>
      <c r="N6902" s="274"/>
    </row>
    <row r="6903" spans="5:14" ht="13.5" customHeight="1">
      <c r="E6903" s="1" t="s">
        <v>1363</v>
      </c>
      <c r="F6903" s="1" t="s">
        <v>3159</v>
      </c>
      <c r="G6903" s="415" t="str">
        <f t="shared" si="109"/>
        <v>18-01</v>
      </c>
      <c r="H6903" s="273" t="e">
        <f ca="1">_xludf.IFNA(VLOOKUP(E6903,'Urban Plastix Holds'!$I$37:$U$705,12,0),0)</f>
        <v>#NAME?</v>
      </c>
      <c r="I6903" s="274"/>
      <c r="J6903" s="274" t="e">
        <f t="shared" ca="1" si="110"/>
        <v>#NAME?</v>
      </c>
      <c r="K6903" s="274">
        <f t="shared" si="111"/>
        <v>0</v>
      </c>
      <c r="N6903" s="274"/>
    </row>
    <row r="6904" spans="5:14" ht="13.5" customHeight="1">
      <c r="E6904" s="1" t="s">
        <v>1363</v>
      </c>
      <c r="F6904" s="1" t="s">
        <v>3159</v>
      </c>
      <c r="G6904" s="416" t="str">
        <f t="shared" si="109"/>
        <v>Color Code</v>
      </c>
      <c r="H6904" s="273" t="e">
        <f ca="1">_xludf.IFNA(VLOOKUP(E6904,'Urban Plastix Holds'!$I$37:$U$705,13,0),0)</f>
        <v>#NAME?</v>
      </c>
      <c r="I6904" s="274"/>
      <c r="J6904" s="274" t="e">
        <f t="shared" ca="1" si="110"/>
        <v>#NAME?</v>
      </c>
      <c r="K6904" s="274">
        <f t="shared" si="111"/>
        <v>0</v>
      </c>
      <c r="N6904" s="274"/>
    </row>
    <row r="6905" spans="5:14" ht="13.5" customHeight="1">
      <c r="E6905" s="1" t="s">
        <v>1420</v>
      </c>
      <c r="F6905" s="1" t="s">
        <v>3160</v>
      </c>
      <c r="G6905" s="406" t="str">
        <f t="shared" si="109"/>
        <v>11-12</v>
      </c>
      <c r="H6905" s="273" t="e">
        <f ca="1">_xludf.IFNA(VLOOKUP(E6905,'Urban Plastix Holds'!$I$37:$U$705,5,0),0)</f>
        <v>#NAME?</v>
      </c>
      <c r="I6905" s="274"/>
      <c r="J6905" s="274" t="e">
        <f t="shared" ca="1" si="110"/>
        <v>#NAME?</v>
      </c>
      <c r="K6905" s="274">
        <f t="shared" si="111"/>
        <v>0</v>
      </c>
      <c r="N6905" s="274"/>
    </row>
    <row r="6906" spans="5:14" ht="13.5" customHeight="1">
      <c r="E6906" s="1" t="s">
        <v>1420</v>
      </c>
      <c r="F6906" s="1" t="s">
        <v>3160</v>
      </c>
      <c r="G6906" s="408" t="str">
        <f t="shared" si="109"/>
        <v>14-01</v>
      </c>
      <c r="H6906" s="273" t="e">
        <f ca="1">_xludf.IFNA(VLOOKUP(E6906,'Urban Plastix Holds'!$I$37:$U$705,6,0),0)</f>
        <v>#NAME?</v>
      </c>
      <c r="I6906" s="274"/>
      <c r="J6906" s="274" t="e">
        <f t="shared" ca="1" si="110"/>
        <v>#NAME?</v>
      </c>
      <c r="K6906" s="274">
        <f t="shared" si="111"/>
        <v>0</v>
      </c>
      <c r="N6906" s="274"/>
    </row>
    <row r="6907" spans="5:14" ht="13.5" customHeight="1">
      <c r="E6907" s="1" t="s">
        <v>1420</v>
      </c>
      <c r="F6907" s="1" t="s">
        <v>3160</v>
      </c>
      <c r="G6907" s="409" t="str">
        <f t="shared" si="109"/>
        <v>15-12</v>
      </c>
      <c r="H6907" s="273" t="e">
        <f ca="1">_xludf.IFNA(VLOOKUP(E6907,'Urban Plastix Holds'!$I$37:$U$705,7,0),0)</f>
        <v>#NAME?</v>
      </c>
      <c r="I6907" s="274"/>
      <c r="J6907" s="274" t="e">
        <f t="shared" ca="1" si="110"/>
        <v>#NAME?</v>
      </c>
      <c r="K6907" s="274">
        <f t="shared" si="111"/>
        <v>0</v>
      </c>
      <c r="N6907" s="274"/>
    </row>
    <row r="6908" spans="5:14" ht="13.5" customHeight="1">
      <c r="E6908" s="1" t="s">
        <v>1420</v>
      </c>
      <c r="F6908" s="1" t="s">
        <v>3160</v>
      </c>
      <c r="G6908" s="410" t="str">
        <f t="shared" si="109"/>
        <v>16-16</v>
      </c>
      <c r="H6908" s="273" t="e">
        <f ca="1">_xludf.IFNA(VLOOKUP(E6908,'Urban Plastix Holds'!$I$37:$U$705,8,0),0)</f>
        <v>#NAME?</v>
      </c>
      <c r="I6908" s="274"/>
      <c r="J6908" s="274" t="e">
        <f t="shared" ca="1" si="110"/>
        <v>#NAME?</v>
      </c>
      <c r="K6908" s="274">
        <f t="shared" si="111"/>
        <v>0</v>
      </c>
      <c r="N6908" s="274"/>
    </row>
    <row r="6909" spans="5:14" ht="13.5" customHeight="1">
      <c r="E6909" s="1" t="s">
        <v>1420</v>
      </c>
      <c r="F6909" s="1" t="s">
        <v>3160</v>
      </c>
      <c r="G6909" s="411" t="str">
        <f t="shared" si="109"/>
        <v>13-01</v>
      </c>
      <c r="H6909" s="273" t="e">
        <f ca="1">_xludf.IFNA(VLOOKUP(E6909,'Urban Plastix Holds'!$I$37:$U$705,9,0),0)</f>
        <v>#NAME?</v>
      </c>
      <c r="I6909" s="274"/>
      <c r="J6909" s="274" t="e">
        <f t="shared" ca="1" si="110"/>
        <v>#NAME?</v>
      </c>
      <c r="K6909" s="274">
        <f t="shared" si="111"/>
        <v>0</v>
      </c>
      <c r="N6909" s="274"/>
    </row>
    <row r="6910" spans="5:14" ht="13.5" customHeight="1">
      <c r="E6910" s="1" t="s">
        <v>1420</v>
      </c>
      <c r="F6910" s="1" t="s">
        <v>3160</v>
      </c>
      <c r="G6910" s="413" t="str">
        <f t="shared" si="109"/>
        <v>07-13</v>
      </c>
      <c r="H6910" s="273" t="e">
        <f ca="1">_xludf.IFNA(VLOOKUP(E6910,'Urban Plastix Holds'!$I$37:$U$705,10,0),0)</f>
        <v>#NAME?</v>
      </c>
      <c r="I6910" s="274"/>
      <c r="J6910" s="274" t="e">
        <f t="shared" ca="1" si="110"/>
        <v>#NAME?</v>
      </c>
      <c r="K6910" s="274">
        <f t="shared" si="111"/>
        <v>0</v>
      </c>
      <c r="N6910" s="274"/>
    </row>
    <row r="6911" spans="5:14" ht="13.5" customHeight="1">
      <c r="E6911" s="1" t="s">
        <v>1420</v>
      </c>
      <c r="F6911" s="1" t="s">
        <v>3160</v>
      </c>
      <c r="G6911" s="414" t="str">
        <f t="shared" si="109"/>
        <v>11-26</v>
      </c>
      <c r="H6911" s="273" t="e">
        <f ca="1">_xludf.IFNA(VLOOKUP(E6911,'Urban Plastix Holds'!$I$37:$U$705,11,0),0)</f>
        <v>#NAME?</v>
      </c>
      <c r="I6911" s="274"/>
      <c r="J6911" s="274" t="e">
        <f t="shared" ca="1" si="110"/>
        <v>#NAME?</v>
      </c>
      <c r="K6911" s="274">
        <f t="shared" si="111"/>
        <v>0</v>
      </c>
      <c r="N6911" s="274"/>
    </row>
    <row r="6912" spans="5:14" ht="13.5" customHeight="1">
      <c r="E6912" s="1" t="s">
        <v>1420</v>
      </c>
      <c r="F6912" s="1" t="s">
        <v>3160</v>
      </c>
      <c r="G6912" s="415" t="str">
        <f t="shared" si="109"/>
        <v>18-01</v>
      </c>
      <c r="H6912" s="273" t="e">
        <f ca="1">_xludf.IFNA(VLOOKUP(E6912,'Urban Plastix Holds'!$I$37:$U$705,12,0),0)</f>
        <v>#NAME?</v>
      </c>
      <c r="I6912" s="274"/>
      <c r="J6912" s="274" t="e">
        <f t="shared" ca="1" si="110"/>
        <v>#NAME?</v>
      </c>
      <c r="K6912" s="274">
        <f t="shared" si="111"/>
        <v>0</v>
      </c>
      <c r="N6912" s="274"/>
    </row>
    <row r="6913" spans="5:14" ht="13.5" customHeight="1">
      <c r="E6913" s="1" t="s">
        <v>1420</v>
      </c>
      <c r="F6913" s="1" t="s">
        <v>3160</v>
      </c>
      <c r="G6913" s="416" t="str">
        <f t="shared" si="109"/>
        <v>Color Code</v>
      </c>
      <c r="H6913" s="273" t="e">
        <f ca="1">_xludf.IFNA(VLOOKUP(E6913,'Urban Plastix Holds'!$I$37:$U$705,13,0),0)</f>
        <v>#NAME?</v>
      </c>
      <c r="I6913" s="274"/>
      <c r="J6913" s="274" t="e">
        <f t="shared" ca="1" si="110"/>
        <v>#NAME?</v>
      </c>
      <c r="K6913" s="274">
        <f t="shared" si="111"/>
        <v>0</v>
      </c>
      <c r="N6913" s="274"/>
    </row>
    <row r="6914" spans="5:14" ht="13.5" customHeight="1">
      <c r="E6914" s="1" t="s">
        <v>1422</v>
      </c>
      <c r="F6914" s="1" t="s">
        <v>3161</v>
      </c>
      <c r="G6914" s="406" t="str">
        <f t="shared" si="109"/>
        <v>11-12</v>
      </c>
      <c r="H6914" s="273" t="e">
        <f ca="1">_xludf.IFNA(VLOOKUP(E6914,'Urban Plastix Holds'!$I$37:$U$705,5,0),0)</f>
        <v>#NAME?</v>
      </c>
      <c r="I6914" s="274"/>
      <c r="J6914" s="274" t="e">
        <f t="shared" ca="1" si="110"/>
        <v>#NAME?</v>
      </c>
      <c r="K6914" s="274">
        <f t="shared" si="111"/>
        <v>0</v>
      </c>
      <c r="N6914" s="274"/>
    </row>
    <row r="6915" spans="5:14" ht="13.5" customHeight="1">
      <c r="E6915" s="1" t="s">
        <v>1422</v>
      </c>
      <c r="F6915" s="1" t="s">
        <v>3161</v>
      </c>
      <c r="G6915" s="408" t="str">
        <f t="shared" si="109"/>
        <v>14-01</v>
      </c>
      <c r="H6915" s="273" t="e">
        <f ca="1">_xludf.IFNA(VLOOKUP(E6915,'Urban Plastix Holds'!$I$37:$U$705,6,0),0)</f>
        <v>#NAME?</v>
      </c>
      <c r="I6915" s="274"/>
      <c r="J6915" s="274" t="e">
        <f t="shared" ca="1" si="110"/>
        <v>#NAME?</v>
      </c>
      <c r="K6915" s="274">
        <f t="shared" si="111"/>
        <v>0</v>
      </c>
      <c r="N6915" s="274"/>
    </row>
    <row r="6916" spans="5:14" ht="13.5" customHeight="1">
      <c r="E6916" s="1" t="s">
        <v>1422</v>
      </c>
      <c r="F6916" s="1" t="s">
        <v>3161</v>
      </c>
      <c r="G6916" s="409" t="str">
        <f t="shared" si="109"/>
        <v>15-12</v>
      </c>
      <c r="H6916" s="273" t="e">
        <f ca="1">_xludf.IFNA(VLOOKUP(E6916,'Urban Plastix Holds'!$I$37:$U$705,7,0),0)</f>
        <v>#NAME?</v>
      </c>
      <c r="I6916" s="274"/>
      <c r="J6916" s="274" t="e">
        <f t="shared" ca="1" si="110"/>
        <v>#NAME?</v>
      </c>
      <c r="K6916" s="274">
        <f t="shared" si="111"/>
        <v>0</v>
      </c>
      <c r="N6916" s="274"/>
    </row>
    <row r="6917" spans="5:14" ht="13.5" customHeight="1">
      <c r="E6917" s="1" t="s">
        <v>1422</v>
      </c>
      <c r="F6917" s="1" t="s">
        <v>3161</v>
      </c>
      <c r="G6917" s="410" t="str">
        <f t="shared" si="109"/>
        <v>16-16</v>
      </c>
      <c r="H6917" s="273" t="e">
        <f ca="1">_xludf.IFNA(VLOOKUP(E6917,'Urban Plastix Holds'!$I$37:$U$705,8,0),0)</f>
        <v>#NAME?</v>
      </c>
      <c r="I6917" s="274"/>
      <c r="J6917" s="274" t="e">
        <f t="shared" ca="1" si="110"/>
        <v>#NAME?</v>
      </c>
      <c r="K6917" s="274">
        <f t="shared" si="111"/>
        <v>0</v>
      </c>
      <c r="N6917" s="274"/>
    </row>
    <row r="6918" spans="5:14" ht="13.5" customHeight="1">
      <c r="E6918" s="1" t="s">
        <v>1422</v>
      </c>
      <c r="F6918" s="1" t="s">
        <v>3161</v>
      </c>
      <c r="G6918" s="411" t="str">
        <f t="shared" si="109"/>
        <v>13-01</v>
      </c>
      <c r="H6918" s="273" t="e">
        <f ca="1">_xludf.IFNA(VLOOKUP(E6918,'Urban Plastix Holds'!$I$37:$U$705,9,0),0)</f>
        <v>#NAME?</v>
      </c>
      <c r="I6918" s="274"/>
      <c r="J6918" s="274" t="e">
        <f t="shared" ca="1" si="110"/>
        <v>#NAME?</v>
      </c>
      <c r="K6918" s="274">
        <f t="shared" si="111"/>
        <v>0</v>
      </c>
      <c r="N6918" s="274"/>
    </row>
    <row r="6919" spans="5:14" ht="13.5" customHeight="1">
      <c r="E6919" s="1" t="s">
        <v>1422</v>
      </c>
      <c r="F6919" s="1" t="s">
        <v>3161</v>
      </c>
      <c r="G6919" s="413" t="str">
        <f t="shared" si="109"/>
        <v>07-13</v>
      </c>
      <c r="H6919" s="273" t="e">
        <f ca="1">_xludf.IFNA(VLOOKUP(E6919,'Urban Plastix Holds'!$I$37:$U$705,10,0),0)</f>
        <v>#NAME?</v>
      </c>
      <c r="I6919" s="274"/>
      <c r="J6919" s="274" t="e">
        <f t="shared" ca="1" si="110"/>
        <v>#NAME?</v>
      </c>
      <c r="K6919" s="274">
        <f t="shared" si="111"/>
        <v>0</v>
      </c>
      <c r="N6919" s="274"/>
    </row>
    <row r="6920" spans="5:14" ht="13.5" customHeight="1">
      <c r="E6920" s="1" t="s">
        <v>1422</v>
      </c>
      <c r="F6920" s="1" t="s">
        <v>3161</v>
      </c>
      <c r="G6920" s="414" t="str">
        <f t="shared" si="109"/>
        <v>11-26</v>
      </c>
      <c r="H6920" s="273" t="e">
        <f ca="1">_xludf.IFNA(VLOOKUP(E6920,'Urban Plastix Holds'!$I$37:$U$705,11,0),0)</f>
        <v>#NAME?</v>
      </c>
      <c r="I6920" s="274"/>
      <c r="J6920" s="274" t="e">
        <f t="shared" ca="1" si="110"/>
        <v>#NAME?</v>
      </c>
      <c r="K6920" s="274">
        <f t="shared" si="111"/>
        <v>0</v>
      </c>
      <c r="N6920" s="274"/>
    </row>
    <row r="6921" spans="5:14" ht="13.5" customHeight="1">
      <c r="E6921" s="1" t="s">
        <v>1422</v>
      </c>
      <c r="F6921" s="1" t="s">
        <v>3161</v>
      </c>
      <c r="G6921" s="415" t="str">
        <f t="shared" si="109"/>
        <v>18-01</v>
      </c>
      <c r="H6921" s="273" t="e">
        <f ca="1">_xludf.IFNA(VLOOKUP(E6921,'Urban Plastix Holds'!$I$37:$U$705,12,0),0)</f>
        <v>#NAME?</v>
      </c>
      <c r="I6921" s="274"/>
      <c r="J6921" s="274" t="e">
        <f t="shared" ca="1" si="110"/>
        <v>#NAME?</v>
      </c>
      <c r="K6921" s="274">
        <f t="shared" si="111"/>
        <v>0</v>
      </c>
      <c r="N6921" s="274"/>
    </row>
    <row r="6922" spans="5:14" ht="13.5" customHeight="1">
      <c r="E6922" s="1" t="s">
        <v>1422</v>
      </c>
      <c r="F6922" s="1" t="s">
        <v>3161</v>
      </c>
      <c r="G6922" s="416" t="str">
        <f t="shared" si="109"/>
        <v>Color Code</v>
      </c>
      <c r="H6922" s="273" t="e">
        <f ca="1">_xludf.IFNA(VLOOKUP(E6922,'Urban Plastix Holds'!$I$37:$U$705,13,0),0)</f>
        <v>#NAME?</v>
      </c>
      <c r="I6922" s="274"/>
      <c r="J6922" s="274" t="e">
        <f t="shared" ca="1" si="110"/>
        <v>#NAME?</v>
      </c>
      <c r="K6922" s="274">
        <f t="shared" si="111"/>
        <v>0</v>
      </c>
      <c r="N6922" s="274"/>
    </row>
    <row r="6923" spans="5:14" ht="13.5" customHeight="1">
      <c r="E6923" s="1" t="s">
        <v>1424</v>
      </c>
      <c r="F6923" s="1" t="s">
        <v>3162</v>
      </c>
      <c r="G6923" s="406" t="str">
        <f t="shared" si="109"/>
        <v>11-12</v>
      </c>
      <c r="H6923" s="273" t="e">
        <f ca="1">_xludf.IFNA(VLOOKUP(E6923,'Urban Plastix Holds'!$I$37:$U$705,5,0),0)</f>
        <v>#NAME?</v>
      </c>
      <c r="I6923" s="274"/>
      <c r="J6923" s="274" t="e">
        <f t="shared" ca="1" si="110"/>
        <v>#NAME?</v>
      </c>
      <c r="K6923" s="274">
        <f t="shared" si="111"/>
        <v>0</v>
      </c>
      <c r="N6923" s="274"/>
    </row>
    <row r="6924" spans="5:14" ht="13.5" customHeight="1">
      <c r="E6924" s="1" t="s">
        <v>1424</v>
      </c>
      <c r="F6924" s="1" t="s">
        <v>3162</v>
      </c>
      <c r="G6924" s="408" t="str">
        <f t="shared" si="109"/>
        <v>14-01</v>
      </c>
      <c r="H6924" s="273" t="e">
        <f ca="1">_xludf.IFNA(VLOOKUP(E6924,'Urban Plastix Holds'!$I$37:$U$705,6,0),0)</f>
        <v>#NAME?</v>
      </c>
      <c r="I6924" s="274"/>
      <c r="J6924" s="274" t="e">
        <f t="shared" ca="1" si="110"/>
        <v>#NAME?</v>
      </c>
      <c r="K6924" s="274">
        <f t="shared" si="111"/>
        <v>0</v>
      </c>
      <c r="N6924" s="274"/>
    </row>
    <row r="6925" spans="5:14" ht="13.5" customHeight="1">
      <c r="E6925" s="1" t="s">
        <v>1424</v>
      </c>
      <c r="F6925" s="1" t="s">
        <v>3162</v>
      </c>
      <c r="G6925" s="409" t="str">
        <f t="shared" si="109"/>
        <v>15-12</v>
      </c>
      <c r="H6925" s="273" t="e">
        <f ca="1">_xludf.IFNA(VLOOKUP(E6925,'Urban Plastix Holds'!$I$37:$U$705,7,0),0)</f>
        <v>#NAME?</v>
      </c>
      <c r="I6925" s="274"/>
      <c r="J6925" s="274" t="e">
        <f t="shared" ca="1" si="110"/>
        <v>#NAME?</v>
      </c>
      <c r="K6925" s="274">
        <f t="shared" si="111"/>
        <v>0</v>
      </c>
      <c r="N6925" s="274"/>
    </row>
    <row r="6926" spans="5:14" ht="13.5" customHeight="1">
      <c r="E6926" s="1" t="s">
        <v>1424</v>
      </c>
      <c r="F6926" s="1" t="s">
        <v>3162</v>
      </c>
      <c r="G6926" s="410" t="str">
        <f t="shared" si="109"/>
        <v>16-16</v>
      </c>
      <c r="H6926" s="273" t="e">
        <f ca="1">_xludf.IFNA(VLOOKUP(E6926,'Urban Plastix Holds'!$I$37:$U$705,8,0),0)</f>
        <v>#NAME?</v>
      </c>
      <c r="I6926" s="274"/>
      <c r="J6926" s="274" t="e">
        <f t="shared" ca="1" si="110"/>
        <v>#NAME?</v>
      </c>
      <c r="K6926" s="274">
        <f t="shared" si="111"/>
        <v>0</v>
      </c>
      <c r="N6926" s="274"/>
    </row>
    <row r="6927" spans="5:14" ht="13.5" customHeight="1">
      <c r="E6927" s="1" t="s">
        <v>1424</v>
      </c>
      <c r="F6927" s="1" t="s">
        <v>3162</v>
      </c>
      <c r="G6927" s="411" t="str">
        <f t="shared" si="109"/>
        <v>13-01</v>
      </c>
      <c r="H6927" s="273" t="e">
        <f ca="1">_xludf.IFNA(VLOOKUP(E6927,'Urban Plastix Holds'!$I$37:$U$705,9,0),0)</f>
        <v>#NAME?</v>
      </c>
      <c r="I6927" s="274"/>
      <c r="J6927" s="274" t="e">
        <f t="shared" ca="1" si="110"/>
        <v>#NAME?</v>
      </c>
      <c r="K6927" s="274">
        <f t="shared" si="111"/>
        <v>0</v>
      </c>
      <c r="N6927" s="274"/>
    </row>
    <row r="6928" spans="5:14" ht="13.5" customHeight="1">
      <c r="E6928" s="1" t="s">
        <v>1424</v>
      </c>
      <c r="F6928" s="1" t="s">
        <v>3162</v>
      </c>
      <c r="G6928" s="413" t="str">
        <f t="shared" si="109"/>
        <v>07-13</v>
      </c>
      <c r="H6928" s="273" t="e">
        <f ca="1">_xludf.IFNA(VLOOKUP(E6928,'Urban Plastix Holds'!$I$37:$U$705,10,0),0)</f>
        <v>#NAME?</v>
      </c>
      <c r="I6928" s="274"/>
      <c r="J6928" s="274" t="e">
        <f t="shared" ca="1" si="110"/>
        <v>#NAME?</v>
      </c>
      <c r="K6928" s="274">
        <f t="shared" si="111"/>
        <v>0</v>
      </c>
      <c r="N6928" s="274"/>
    </row>
    <row r="6929" spans="5:14" ht="13.5" customHeight="1">
      <c r="E6929" s="1" t="s">
        <v>1424</v>
      </c>
      <c r="F6929" s="1" t="s">
        <v>3162</v>
      </c>
      <c r="G6929" s="414" t="str">
        <f t="shared" si="109"/>
        <v>11-26</v>
      </c>
      <c r="H6929" s="273" t="e">
        <f ca="1">_xludf.IFNA(VLOOKUP(E6929,'Urban Plastix Holds'!$I$37:$U$705,11,0),0)</f>
        <v>#NAME?</v>
      </c>
      <c r="I6929" s="274"/>
      <c r="J6929" s="274" t="e">
        <f t="shared" ca="1" si="110"/>
        <v>#NAME?</v>
      </c>
      <c r="K6929" s="274">
        <f t="shared" si="111"/>
        <v>0</v>
      </c>
      <c r="N6929" s="274"/>
    </row>
    <row r="6930" spans="5:14" ht="13.5" customHeight="1">
      <c r="E6930" s="1" t="s">
        <v>1424</v>
      </c>
      <c r="F6930" s="1" t="s">
        <v>3162</v>
      </c>
      <c r="G6930" s="415" t="str">
        <f t="shared" si="109"/>
        <v>18-01</v>
      </c>
      <c r="H6930" s="273" t="e">
        <f ca="1">_xludf.IFNA(VLOOKUP(E6930,'Urban Plastix Holds'!$I$37:$U$705,12,0),0)</f>
        <v>#NAME?</v>
      </c>
      <c r="I6930" s="274"/>
      <c r="J6930" s="274" t="e">
        <f t="shared" ca="1" si="110"/>
        <v>#NAME?</v>
      </c>
      <c r="K6930" s="274">
        <f t="shared" si="111"/>
        <v>0</v>
      </c>
      <c r="N6930" s="274"/>
    </row>
    <row r="6931" spans="5:14" ht="13.5" customHeight="1">
      <c r="E6931" s="1" t="s">
        <v>1424</v>
      </c>
      <c r="F6931" s="1" t="s">
        <v>3162</v>
      </c>
      <c r="G6931" s="416" t="str">
        <f t="shared" si="109"/>
        <v>Color Code</v>
      </c>
      <c r="H6931" s="273" t="e">
        <f ca="1">_xludf.IFNA(VLOOKUP(E6931,'Urban Plastix Holds'!$I$37:$U$705,13,0),0)</f>
        <v>#NAME?</v>
      </c>
      <c r="I6931" s="274"/>
      <c r="J6931" s="274" t="e">
        <f t="shared" ca="1" si="110"/>
        <v>#NAME?</v>
      </c>
      <c r="K6931" s="274">
        <f t="shared" si="111"/>
        <v>0</v>
      </c>
      <c r="N6931" s="274"/>
    </row>
    <row r="6932" spans="5:14" ht="13.5" customHeight="1">
      <c r="E6932" s="1" t="s">
        <v>1426</v>
      </c>
      <c r="F6932" s="1" t="s">
        <v>3163</v>
      </c>
      <c r="G6932" s="406" t="str">
        <f t="shared" si="109"/>
        <v>11-12</v>
      </c>
      <c r="H6932" s="273" t="e">
        <f ca="1">_xludf.IFNA(VLOOKUP(E6932,'Urban Plastix Holds'!$I$37:$U$705,5,0),0)</f>
        <v>#NAME?</v>
      </c>
      <c r="I6932" s="274"/>
      <c r="J6932" s="274" t="e">
        <f t="shared" ca="1" si="110"/>
        <v>#NAME?</v>
      </c>
      <c r="K6932" s="274">
        <f t="shared" si="111"/>
        <v>0</v>
      </c>
      <c r="N6932" s="274"/>
    </row>
    <row r="6933" spans="5:14" ht="13.5" customHeight="1">
      <c r="E6933" s="1" t="s">
        <v>1426</v>
      </c>
      <c r="F6933" s="1" t="s">
        <v>3163</v>
      </c>
      <c r="G6933" s="408" t="str">
        <f t="shared" si="109"/>
        <v>14-01</v>
      </c>
      <c r="H6933" s="273" t="e">
        <f ca="1">_xludf.IFNA(VLOOKUP(E6933,'Urban Plastix Holds'!$I$37:$U$705,6,0),0)</f>
        <v>#NAME?</v>
      </c>
      <c r="I6933" s="274"/>
      <c r="J6933" s="274" t="e">
        <f t="shared" ca="1" si="110"/>
        <v>#NAME?</v>
      </c>
      <c r="K6933" s="274">
        <f t="shared" si="111"/>
        <v>0</v>
      </c>
      <c r="N6933" s="274"/>
    </row>
    <row r="6934" spans="5:14" ht="13.5" customHeight="1">
      <c r="E6934" s="1" t="s">
        <v>1426</v>
      </c>
      <c r="F6934" s="1" t="s">
        <v>3163</v>
      </c>
      <c r="G6934" s="409" t="str">
        <f t="shared" si="109"/>
        <v>15-12</v>
      </c>
      <c r="H6934" s="273" t="e">
        <f ca="1">_xludf.IFNA(VLOOKUP(E6934,'Urban Plastix Holds'!$I$37:$U$705,7,0),0)</f>
        <v>#NAME?</v>
      </c>
      <c r="I6934" s="274"/>
      <c r="J6934" s="274" t="e">
        <f t="shared" ca="1" si="110"/>
        <v>#NAME?</v>
      </c>
      <c r="K6934" s="274">
        <f t="shared" si="111"/>
        <v>0</v>
      </c>
      <c r="N6934" s="274"/>
    </row>
    <row r="6935" spans="5:14" ht="13.5" customHeight="1">
      <c r="E6935" s="1" t="s">
        <v>1426</v>
      </c>
      <c r="F6935" s="1" t="s">
        <v>3163</v>
      </c>
      <c r="G6935" s="410" t="str">
        <f t="shared" si="109"/>
        <v>16-16</v>
      </c>
      <c r="H6935" s="273" t="e">
        <f ca="1">_xludf.IFNA(VLOOKUP(E6935,'Urban Plastix Holds'!$I$37:$U$705,8,0),0)</f>
        <v>#NAME?</v>
      </c>
      <c r="I6935" s="274"/>
      <c r="J6935" s="274" t="e">
        <f t="shared" ca="1" si="110"/>
        <v>#NAME?</v>
      </c>
      <c r="K6935" s="274">
        <f t="shared" si="111"/>
        <v>0</v>
      </c>
      <c r="N6935" s="274"/>
    </row>
    <row r="6936" spans="5:14" ht="13.5" customHeight="1">
      <c r="E6936" s="1" t="s">
        <v>1426</v>
      </c>
      <c r="F6936" s="1" t="s">
        <v>3163</v>
      </c>
      <c r="G6936" s="411" t="str">
        <f t="shared" si="109"/>
        <v>13-01</v>
      </c>
      <c r="H6936" s="273" t="e">
        <f ca="1">_xludf.IFNA(VLOOKUP(E6936,'Urban Plastix Holds'!$I$37:$U$705,9,0),0)</f>
        <v>#NAME?</v>
      </c>
      <c r="I6936" s="274"/>
      <c r="J6936" s="274" t="e">
        <f t="shared" ca="1" si="110"/>
        <v>#NAME?</v>
      </c>
      <c r="K6936" s="274">
        <f t="shared" si="111"/>
        <v>0</v>
      </c>
      <c r="N6936" s="274"/>
    </row>
    <row r="6937" spans="5:14" ht="13.5" customHeight="1">
      <c r="E6937" s="1" t="s">
        <v>1426</v>
      </c>
      <c r="F6937" s="1" t="s">
        <v>3163</v>
      </c>
      <c r="G6937" s="413" t="str">
        <f t="shared" si="109"/>
        <v>07-13</v>
      </c>
      <c r="H6937" s="273" t="e">
        <f ca="1">_xludf.IFNA(VLOOKUP(E6937,'Urban Plastix Holds'!$I$37:$U$705,10,0),0)</f>
        <v>#NAME?</v>
      </c>
      <c r="I6937" s="274"/>
      <c r="J6937" s="274" t="e">
        <f t="shared" ca="1" si="110"/>
        <v>#NAME?</v>
      </c>
      <c r="K6937" s="274">
        <f t="shared" si="111"/>
        <v>0</v>
      </c>
      <c r="N6937" s="274"/>
    </row>
    <row r="6938" spans="5:14" ht="13.5" customHeight="1">
      <c r="E6938" s="1" t="s">
        <v>1426</v>
      </c>
      <c r="F6938" s="1" t="s">
        <v>3163</v>
      </c>
      <c r="G6938" s="414" t="str">
        <f t="shared" si="109"/>
        <v>11-26</v>
      </c>
      <c r="H6938" s="273" t="e">
        <f ca="1">_xludf.IFNA(VLOOKUP(E6938,'Urban Plastix Holds'!$I$37:$U$705,11,0),0)</f>
        <v>#NAME?</v>
      </c>
      <c r="I6938" s="274"/>
      <c r="J6938" s="274" t="e">
        <f t="shared" ca="1" si="110"/>
        <v>#NAME?</v>
      </c>
      <c r="K6938" s="274">
        <f t="shared" si="111"/>
        <v>0</v>
      </c>
      <c r="N6938" s="274"/>
    </row>
    <row r="6939" spans="5:14" ht="13.5" customHeight="1">
      <c r="E6939" s="1" t="s">
        <v>1426</v>
      </c>
      <c r="F6939" s="1" t="s">
        <v>3163</v>
      </c>
      <c r="G6939" s="415" t="str">
        <f t="shared" si="109"/>
        <v>18-01</v>
      </c>
      <c r="H6939" s="273" t="e">
        <f ca="1">_xludf.IFNA(VLOOKUP(E6939,'Urban Plastix Holds'!$I$37:$U$705,12,0),0)</f>
        <v>#NAME?</v>
      </c>
      <c r="I6939" s="274"/>
      <c r="J6939" s="274" t="e">
        <f t="shared" ca="1" si="110"/>
        <v>#NAME?</v>
      </c>
      <c r="K6939" s="274">
        <f t="shared" si="111"/>
        <v>0</v>
      </c>
      <c r="N6939" s="274"/>
    </row>
    <row r="6940" spans="5:14" ht="13.5" customHeight="1">
      <c r="E6940" s="1" t="s">
        <v>1426</v>
      </c>
      <c r="F6940" s="1" t="s">
        <v>3163</v>
      </c>
      <c r="G6940" s="416" t="str">
        <f t="shared" si="109"/>
        <v>Color Code</v>
      </c>
      <c r="H6940" s="273" t="e">
        <f ca="1">_xludf.IFNA(VLOOKUP(E6940,'Urban Plastix Holds'!$I$37:$U$705,13,0),0)</f>
        <v>#NAME?</v>
      </c>
      <c r="I6940" s="274"/>
      <c r="J6940" s="274" t="e">
        <f t="shared" ca="1" si="110"/>
        <v>#NAME?</v>
      </c>
      <c r="K6940" s="274">
        <f t="shared" si="111"/>
        <v>0</v>
      </c>
      <c r="N6940" s="274"/>
    </row>
    <row r="6941" spans="5:14" ht="13.5" customHeight="1">
      <c r="E6941" s="1" t="s">
        <v>1397</v>
      </c>
      <c r="F6941" s="1" t="s">
        <v>3164</v>
      </c>
      <c r="G6941" s="406" t="str">
        <f t="shared" si="109"/>
        <v>11-12</v>
      </c>
      <c r="H6941" s="273" t="e">
        <f ca="1">_xludf.IFNA(VLOOKUP(E6941,'Urban Plastix Holds'!$I$37:$U$705,5,0),0)</f>
        <v>#NAME?</v>
      </c>
      <c r="I6941" s="274"/>
      <c r="J6941" s="274" t="e">
        <f t="shared" ca="1" si="110"/>
        <v>#NAME?</v>
      </c>
      <c r="K6941" s="274">
        <f t="shared" si="111"/>
        <v>0</v>
      </c>
      <c r="N6941" s="274"/>
    </row>
    <row r="6942" spans="5:14" ht="13.5" customHeight="1">
      <c r="E6942" s="1" t="s">
        <v>1397</v>
      </c>
      <c r="F6942" s="1" t="s">
        <v>3164</v>
      </c>
      <c r="G6942" s="408" t="str">
        <f t="shared" si="109"/>
        <v>14-01</v>
      </c>
      <c r="H6942" s="273" t="e">
        <f ca="1">_xludf.IFNA(VLOOKUP(E6942,'Urban Plastix Holds'!$I$37:$U$705,6,0),0)</f>
        <v>#NAME?</v>
      </c>
      <c r="I6942" s="274"/>
      <c r="J6942" s="274" t="e">
        <f t="shared" ca="1" si="110"/>
        <v>#NAME?</v>
      </c>
      <c r="K6942" s="274">
        <f t="shared" si="111"/>
        <v>0</v>
      </c>
      <c r="N6942" s="274"/>
    </row>
    <row r="6943" spans="5:14" ht="13.5" customHeight="1">
      <c r="E6943" s="1" t="s">
        <v>1397</v>
      </c>
      <c r="F6943" s="1" t="s">
        <v>3164</v>
      </c>
      <c r="G6943" s="409" t="str">
        <f t="shared" si="109"/>
        <v>15-12</v>
      </c>
      <c r="H6943" s="273" t="e">
        <f ca="1">_xludf.IFNA(VLOOKUP(E6943,'Urban Plastix Holds'!$I$37:$U$705,7,0),0)</f>
        <v>#NAME?</v>
      </c>
      <c r="I6943" s="274"/>
      <c r="J6943" s="274" t="e">
        <f t="shared" ca="1" si="110"/>
        <v>#NAME?</v>
      </c>
      <c r="K6943" s="274">
        <f t="shared" si="111"/>
        <v>0</v>
      </c>
      <c r="N6943" s="274"/>
    </row>
    <row r="6944" spans="5:14" ht="13.5" customHeight="1">
      <c r="E6944" s="1" t="s">
        <v>1397</v>
      </c>
      <c r="F6944" s="1" t="s">
        <v>3164</v>
      </c>
      <c r="G6944" s="410" t="str">
        <f t="shared" si="109"/>
        <v>16-16</v>
      </c>
      <c r="H6944" s="273" t="e">
        <f ca="1">_xludf.IFNA(VLOOKUP(E6944,'Urban Plastix Holds'!$I$37:$U$705,8,0),0)</f>
        <v>#NAME?</v>
      </c>
      <c r="I6944" s="274"/>
      <c r="J6944" s="274" t="e">
        <f t="shared" ca="1" si="110"/>
        <v>#NAME?</v>
      </c>
      <c r="K6944" s="274">
        <f t="shared" si="111"/>
        <v>0</v>
      </c>
      <c r="N6944" s="274"/>
    </row>
    <row r="6945" spans="5:14" ht="13.5" customHeight="1">
      <c r="E6945" s="1" t="s">
        <v>1397</v>
      </c>
      <c r="F6945" s="1" t="s">
        <v>3164</v>
      </c>
      <c r="G6945" s="411" t="str">
        <f t="shared" si="109"/>
        <v>13-01</v>
      </c>
      <c r="H6945" s="273" t="e">
        <f ca="1">_xludf.IFNA(VLOOKUP(E6945,'Urban Plastix Holds'!$I$37:$U$705,9,0),0)</f>
        <v>#NAME?</v>
      </c>
      <c r="I6945" s="274"/>
      <c r="J6945" s="274" t="e">
        <f t="shared" ca="1" si="110"/>
        <v>#NAME?</v>
      </c>
      <c r="K6945" s="274">
        <f t="shared" si="111"/>
        <v>0</v>
      </c>
      <c r="N6945" s="274"/>
    </row>
    <row r="6946" spans="5:14" ht="13.5" customHeight="1">
      <c r="E6946" s="1" t="s">
        <v>1397</v>
      </c>
      <c r="F6946" s="1" t="s">
        <v>3164</v>
      </c>
      <c r="G6946" s="413" t="str">
        <f t="shared" si="109"/>
        <v>07-13</v>
      </c>
      <c r="H6946" s="273" t="e">
        <f ca="1">_xludf.IFNA(VLOOKUP(E6946,'Urban Plastix Holds'!$I$37:$U$705,10,0),0)</f>
        <v>#NAME?</v>
      </c>
      <c r="I6946" s="274"/>
      <c r="J6946" s="274" t="e">
        <f t="shared" ca="1" si="110"/>
        <v>#NAME?</v>
      </c>
      <c r="K6946" s="274">
        <f t="shared" si="111"/>
        <v>0</v>
      </c>
      <c r="N6946" s="274"/>
    </row>
    <row r="6947" spans="5:14" ht="13.5" customHeight="1">
      <c r="E6947" s="1" t="s">
        <v>1397</v>
      </c>
      <c r="F6947" s="1" t="s">
        <v>3164</v>
      </c>
      <c r="G6947" s="414" t="str">
        <f t="shared" si="109"/>
        <v>11-26</v>
      </c>
      <c r="H6947" s="273" t="e">
        <f ca="1">_xludf.IFNA(VLOOKUP(E6947,'Urban Plastix Holds'!$I$37:$U$705,11,0),0)</f>
        <v>#NAME?</v>
      </c>
      <c r="I6947" s="274"/>
      <c r="J6947" s="274" t="e">
        <f t="shared" ca="1" si="110"/>
        <v>#NAME?</v>
      </c>
      <c r="K6947" s="274">
        <f t="shared" si="111"/>
        <v>0</v>
      </c>
      <c r="N6947" s="274"/>
    </row>
    <row r="6948" spans="5:14" ht="13.5" customHeight="1">
      <c r="E6948" s="1" t="s">
        <v>1397</v>
      </c>
      <c r="F6948" s="1" t="s">
        <v>3164</v>
      </c>
      <c r="G6948" s="415" t="str">
        <f t="shared" si="109"/>
        <v>18-01</v>
      </c>
      <c r="H6948" s="273" t="e">
        <f ca="1">_xludf.IFNA(VLOOKUP(E6948,'Urban Plastix Holds'!$I$37:$U$705,12,0),0)</f>
        <v>#NAME?</v>
      </c>
      <c r="I6948" s="274"/>
      <c r="J6948" s="274" t="e">
        <f t="shared" ca="1" si="110"/>
        <v>#NAME?</v>
      </c>
      <c r="K6948" s="274">
        <f t="shared" si="111"/>
        <v>0</v>
      </c>
      <c r="N6948" s="274"/>
    </row>
    <row r="6949" spans="5:14" ht="13.5" customHeight="1">
      <c r="E6949" s="1" t="s">
        <v>1397</v>
      </c>
      <c r="F6949" s="1" t="s">
        <v>3164</v>
      </c>
      <c r="G6949" s="416" t="str">
        <f t="shared" si="109"/>
        <v>Color Code</v>
      </c>
      <c r="H6949" s="273" t="e">
        <f ca="1">_xludf.IFNA(VLOOKUP(E6949,'Urban Plastix Holds'!$I$37:$U$705,13,0),0)</f>
        <v>#NAME?</v>
      </c>
      <c r="I6949" s="274"/>
      <c r="J6949" s="274" t="e">
        <f t="shared" ca="1" si="110"/>
        <v>#NAME?</v>
      </c>
      <c r="K6949" s="274">
        <f t="shared" si="111"/>
        <v>0</v>
      </c>
      <c r="N6949" s="274"/>
    </row>
    <row r="6950" spans="5:14" ht="13.5" customHeight="1">
      <c r="E6950" s="1" t="s">
        <v>1365</v>
      </c>
      <c r="F6950" s="1" t="s">
        <v>3165</v>
      </c>
      <c r="G6950" s="406" t="str">
        <f t="shared" si="109"/>
        <v>11-12</v>
      </c>
      <c r="H6950" s="273" t="e">
        <f ca="1">_xludf.IFNA(VLOOKUP(E6950,'Urban Plastix Holds'!$I$37:$U$705,5,0),0)</f>
        <v>#NAME?</v>
      </c>
      <c r="I6950" s="274"/>
      <c r="J6950" s="274" t="e">
        <f t="shared" ca="1" si="110"/>
        <v>#NAME?</v>
      </c>
      <c r="K6950" s="274">
        <f t="shared" si="111"/>
        <v>0</v>
      </c>
      <c r="N6950" s="274"/>
    </row>
    <row r="6951" spans="5:14" ht="13.5" customHeight="1">
      <c r="E6951" s="1" t="s">
        <v>1365</v>
      </c>
      <c r="F6951" s="1" t="s">
        <v>3165</v>
      </c>
      <c r="G6951" s="408" t="str">
        <f t="shared" si="109"/>
        <v>14-01</v>
      </c>
      <c r="H6951" s="273" t="e">
        <f ca="1">_xludf.IFNA(VLOOKUP(E6951,'Urban Plastix Holds'!$I$37:$U$705,6,0),0)</f>
        <v>#NAME?</v>
      </c>
      <c r="I6951" s="274"/>
      <c r="J6951" s="274" t="e">
        <f t="shared" ca="1" si="110"/>
        <v>#NAME?</v>
      </c>
      <c r="K6951" s="274">
        <f t="shared" si="111"/>
        <v>0</v>
      </c>
      <c r="N6951" s="274"/>
    </row>
    <row r="6952" spans="5:14" ht="13.5" customHeight="1">
      <c r="E6952" s="1" t="s">
        <v>1365</v>
      </c>
      <c r="F6952" s="1" t="s">
        <v>3165</v>
      </c>
      <c r="G6952" s="409" t="str">
        <f t="shared" si="109"/>
        <v>15-12</v>
      </c>
      <c r="H6952" s="273" t="e">
        <f ca="1">_xludf.IFNA(VLOOKUP(E6952,'Urban Plastix Holds'!$I$37:$U$705,7,0),0)</f>
        <v>#NAME?</v>
      </c>
      <c r="I6952" s="274"/>
      <c r="J6952" s="274" t="e">
        <f t="shared" ca="1" si="110"/>
        <v>#NAME?</v>
      </c>
      <c r="K6952" s="274">
        <f t="shared" si="111"/>
        <v>0</v>
      </c>
      <c r="N6952" s="274"/>
    </row>
    <row r="6953" spans="5:14" ht="13.5" customHeight="1">
      <c r="E6953" s="1" t="s">
        <v>1365</v>
      </c>
      <c r="F6953" s="1" t="s">
        <v>3165</v>
      </c>
      <c r="G6953" s="410" t="str">
        <f t="shared" si="109"/>
        <v>16-16</v>
      </c>
      <c r="H6953" s="273" t="e">
        <f ca="1">_xludf.IFNA(VLOOKUP(E6953,'Urban Plastix Holds'!$I$37:$U$705,8,0),0)</f>
        <v>#NAME?</v>
      </c>
      <c r="I6953" s="274"/>
      <c r="J6953" s="274" t="e">
        <f t="shared" ca="1" si="110"/>
        <v>#NAME?</v>
      </c>
      <c r="K6953" s="274">
        <f t="shared" si="111"/>
        <v>0</v>
      </c>
      <c r="N6953" s="274"/>
    </row>
    <row r="6954" spans="5:14" ht="13.5" customHeight="1">
      <c r="E6954" s="1" t="s">
        <v>1365</v>
      </c>
      <c r="F6954" s="1" t="s">
        <v>3165</v>
      </c>
      <c r="G6954" s="411" t="str">
        <f t="shared" si="109"/>
        <v>13-01</v>
      </c>
      <c r="H6954" s="273" t="e">
        <f ca="1">_xludf.IFNA(VLOOKUP(E6954,'Urban Plastix Holds'!$I$37:$U$705,9,0),0)</f>
        <v>#NAME?</v>
      </c>
      <c r="I6954" s="274"/>
      <c r="J6954" s="274" t="e">
        <f t="shared" ca="1" si="110"/>
        <v>#NAME?</v>
      </c>
      <c r="K6954" s="274">
        <f t="shared" si="111"/>
        <v>0</v>
      </c>
      <c r="N6954" s="274"/>
    </row>
    <row r="6955" spans="5:14" ht="13.5" customHeight="1">
      <c r="E6955" s="1" t="s">
        <v>1365</v>
      </c>
      <c r="F6955" s="1" t="s">
        <v>3165</v>
      </c>
      <c r="G6955" s="413" t="str">
        <f t="shared" si="109"/>
        <v>07-13</v>
      </c>
      <c r="H6955" s="273" t="e">
        <f ca="1">_xludf.IFNA(VLOOKUP(E6955,'Urban Plastix Holds'!$I$37:$U$705,10,0),0)</f>
        <v>#NAME?</v>
      </c>
      <c r="I6955" s="274"/>
      <c r="J6955" s="274" t="e">
        <f t="shared" ca="1" si="110"/>
        <v>#NAME?</v>
      </c>
      <c r="K6955" s="274">
        <f t="shared" si="111"/>
        <v>0</v>
      </c>
      <c r="N6955" s="274"/>
    </row>
    <row r="6956" spans="5:14" ht="13.5" customHeight="1">
      <c r="E6956" s="1" t="s">
        <v>1365</v>
      </c>
      <c r="F6956" s="1" t="s">
        <v>3165</v>
      </c>
      <c r="G6956" s="414" t="str">
        <f t="shared" si="109"/>
        <v>11-26</v>
      </c>
      <c r="H6956" s="273" t="e">
        <f ca="1">_xludf.IFNA(VLOOKUP(E6956,'Urban Plastix Holds'!$I$37:$U$705,11,0),0)</f>
        <v>#NAME?</v>
      </c>
      <c r="I6956" s="274"/>
      <c r="J6956" s="274" t="e">
        <f t="shared" ca="1" si="110"/>
        <v>#NAME?</v>
      </c>
      <c r="K6956" s="274">
        <f t="shared" si="111"/>
        <v>0</v>
      </c>
      <c r="N6956" s="274"/>
    </row>
    <row r="6957" spans="5:14" ht="13.5" customHeight="1">
      <c r="E6957" s="1" t="s">
        <v>1365</v>
      </c>
      <c r="F6957" s="1" t="s">
        <v>3165</v>
      </c>
      <c r="G6957" s="415" t="str">
        <f t="shared" si="109"/>
        <v>18-01</v>
      </c>
      <c r="H6957" s="273" t="e">
        <f ca="1">_xludf.IFNA(VLOOKUP(E6957,'Urban Plastix Holds'!$I$37:$U$705,12,0),0)</f>
        <v>#NAME?</v>
      </c>
      <c r="I6957" s="274"/>
      <c r="J6957" s="274" t="e">
        <f t="shared" ca="1" si="110"/>
        <v>#NAME?</v>
      </c>
      <c r="K6957" s="274">
        <f t="shared" si="111"/>
        <v>0</v>
      </c>
      <c r="N6957" s="274"/>
    </row>
    <row r="6958" spans="5:14" ht="13.5" customHeight="1">
      <c r="E6958" s="1" t="s">
        <v>1365</v>
      </c>
      <c r="F6958" s="1" t="s">
        <v>3165</v>
      </c>
      <c r="G6958" s="416" t="str">
        <f t="shared" si="109"/>
        <v>Color Code</v>
      </c>
      <c r="H6958" s="273" t="e">
        <f ca="1">_xludf.IFNA(VLOOKUP(E6958,'Urban Plastix Holds'!$I$37:$U$705,13,0),0)</f>
        <v>#NAME?</v>
      </c>
      <c r="I6958" s="274"/>
      <c r="J6958" s="274" t="e">
        <f t="shared" ca="1" si="110"/>
        <v>#NAME?</v>
      </c>
      <c r="K6958" s="274">
        <f t="shared" si="111"/>
        <v>0</v>
      </c>
      <c r="N6958" s="274"/>
    </row>
    <row r="6959" spans="5:14" ht="13.5" customHeight="1">
      <c r="E6959" s="1" t="s">
        <v>1367</v>
      </c>
      <c r="F6959" s="1" t="s">
        <v>3166</v>
      </c>
      <c r="G6959" s="406" t="str">
        <f t="shared" si="109"/>
        <v>11-12</v>
      </c>
      <c r="H6959" s="273" t="e">
        <f ca="1">_xludf.IFNA(VLOOKUP(E6959,'Urban Plastix Holds'!$I$37:$U$705,5,0),0)</f>
        <v>#NAME?</v>
      </c>
      <c r="I6959" s="274"/>
      <c r="J6959" s="274" t="e">
        <f t="shared" ca="1" si="110"/>
        <v>#NAME?</v>
      </c>
      <c r="K6959" s="274">
        <f t="shared" si="111"/>
        <v>0</v>
      </c>
      <c r="N6959" s="274"/>
    </row>
    <row r="6960" spans="5:14" ht="13.5" customHeight="1">
      <c r="E6960" s="1" t="s">
        <v>1367</v>
      </c>
      <c r="F6960" s="1" t="s">
        <v>3166</v>
      </c>
      <c r="G6960" s="408" t="str">
        <f t="shared" si="109"/>
        <v>14-01</v>
      </c>
      <c r="H6960" s="273" t="e">
        <f ca="1">_xludf.IFNA(VLOOKUP(E6960,'Urban Plastix Holds'!$I$37:$U$705,6,0),0)</f>
        <v>#NAME?</v>
      </c>
      <c r="I6960" s="274"/>
      <c r="J6960" s="274" t="e">
        <f t="shared" ca="1" si="110"/>
        <v>#NAME?</v>
      </c>
      <c r="K6960" s="274">
        <f t="shared" si="111"/>
        <v>0</v>
      </c>
      <c r="N6960" s="274"/>
    </row>
    <row r="6961" spans="5:14" ht="13.5" customHeight="1">
      <c r="E6961" s="1" t="s">
        <v>1367</v>
      </c>
      <c r="F6961" s="1" t="s">
        <v>3166</v>
      </c>
      <c r="G6961" s="409" t="str">
        <f t="shared" si="109"/>
        <v>15-12</v>
      </c>
      <c r="H6961" s="273" t="e">
        <f ca="1">_xludf.IFNA(VLOOKUP(E6961,'Urban Plastix Holds'!$I$37:$U$705,7,0),0)</f>
        <v>#NAME?</v>
      </c>
      <c r="I6961" s="274"/>
      <c r="J6961" s="274" t="e">
        <f t="shared" ca="1" si="110"/>
        <v>#NAME?</v>
      </c>
      <c r="K6961" s="274">
        <f t="shared" si="111"/>
        <v>0</v>
      </c>
      <c r="N6961" s="274"/>
    </row>
    <row r="6962" spans="5:14" ht="13.5" customHeight="1">
      <c r="E6962" s="1" t="s">
        <v>1367</v>
      </c>
      <c r="F6962" s="1" t="s">
        <v>3166</v>
      </c>
      <c r="G6962" s="410" t="str">
        <f t="shared" si="109"/>
        <v>16-16</v>
      </c>
      <c r="H6962" s="273" t="e">
        <f ca="1">_xludf.IFNA(VLOOKUP(E6962,'Urban Plastix Holds'!$I$37:$U$705,8,0),0)</f>
        <v>#NAME?</v>
      </c>
      <c r="I6962" s="274"/>
      <c r="J6962" s="274" t="e">
        <f t="shared" ca="1" si="110"/>
        <v>#NAME?</v>
      </c>
      <c r="K6962" s="274">
        <f t="shared" si="111"/>
        <v>0</v>
      </c>
      <c r="N6962" s="274"/>
    </row>
    <row r="6963" spans="5:14" ht="13.5" customHeight="1">
      <c r="E6963" s="1" t="s">
        <v>1367</v>
      </c>
      <c r="F6963" s="1" t="s">
        <v>3166</v>
      </c>
      <c r="G6963" s="411" t="str">
        <f t="shared" si="109"/>
        <v>13-01</v>
      </c>
      <c r="H6963" s="273" t="e">
        <f ca="1">_xludf.IFNA(VLOOKUP(E6963,'Urban Plastix Holds'!$I$37:$U$705,9,0),0)</f>
        <v>#NAME?</v>
      </c>
      <c r="I6963" s="274"/>
      <c r="J6963" s="274" t="e">
        <f t="shared" ca="1" si="110"/>
        <v>#NAME?</v>
      </c>
      <c r="K6963" s="274">
        <f t="shared" si="111"/>
        <v>0</v>
      </c>
      <c r="N6963" s="274"/>
    </row>
    <row r="6964" spans="5:14" ht="13.5" customHeight="1">
      <c r="E6964" s="1" t="s">
        <v>1367</v>
      </c>
      <c r="F6964" s="1" t="s">
        <v>3166</v>
      </c>
      <c r="G6964" s="413" t="str">
        <f t="shared" si="109"/>
        <v>07-13</v>
      </c>
      <c r="H6964" s="273" t="e">
        <f ca="1">_xludf.IFNA(VLOOKUP(E6964,'Urban Plastix Holds'!$I$37:$U$705,10,0),0)</f>
        <v>#NAME?</v>
      </c>
      <c r="I6964" s="274"/>
      <c r="J6964" s="274" t="e">
        <f t="shared" ca="1" si="110"/>
        <v>#NAME?</v>
      </c>
      <c r="K6964" s="274">
        <f t="shared" si="111"/>
        <v>0</v>
      </c>
      <c r="N6964" s="274"/>
    </row>
    <row r="6965" spans="5:14" ht="13.5" customHeight="1">
      <c r="E6965" s="1" t="s">
        <v>1367</v>
      </c>
      <c r="F6965" s="1" t="s">
        <v>3166</v>
      </c>
      <c r="G6965" s="414" t="str">
        <f t="shared" si="109"/>
        <v>11-26</v>
      </c>
      <c r="H6965" s="273" t="e">
        <f ca="1">_xludf.IFNA(VLOOKUP(E6965,'Urban Plastix Holds'!$I$37:$U$705,11,0),0)</f>
        <v>#NAME?</v>
      </c>
      <c r="I6965" s="274"/>
      <c r="J6965" s="274" t="e">
        <f t="shared" ca="1" si="110"/>
        <v>#NAME?</v>
      </c>
      <c r="K6965" s="274">
        <f t="shared" si="111"/>
        <v>0</v>
      </c>
      <c r="N6965" s="274"/>
    </row>
    <row r="6966" spans="5:14" ht="13.5" customHeight="1">
      <c r="E6966" s="1" t="s">
        <v>1367</v>
      </c>
      <c r="F6966" s="1" t="s">
        <v>3166</v>
      </c>
      <c r="G6966" s="415" t="str">
        <f t="shared" si="109"/>
        <v>18-01</v>
      </c>
      <c r="H6966" s="273" t="e">
        <f ca="1">_xludf.IFNA(VLOOKUP(E6966,'Urban Plastix Holds'!$I$37:$U$705,12,0),0)</f>
        <v>#NAME?</v>
      </c>
      <c r="I6966" s="274"/>
      <c r="J6966" s="274" t="e">
        <f t="shared" ca="1" si="110"/>
        <v>#NAME?</v>
      </c>
      <c r="K6966" s="274">
        <f t="shared" si="111"/>
        <v>0</v>
      </c>
      <c r="N6966" s="274"/>
    </row>
    <row r="6967" spans="5:14" ht="13.5" customHeight="1">
      <c r="E6967" s="1" t="s">
        <v>1367</v>
      </c>
      <c r="F6967" s="1" t="s">
        <v>3166</v>
      </c>
      <c r="G6967" s="416" t="str">
        <f t="shared" si="109"/>
        <v>Color Code</v>
      </c>
      <c r="H6967" s="273" t="e">
        <f ca="1">_xludf.IFNA(VLOOKUP(E6967,'Urban Plastix Holds'!$I$37:$U$705,13,0),0)</f>
        <v>#NAME?</v>
      </c>
      <c r="I6967" s="274"/>
      <c r="J6967" s="274" t="e">
        <f t="shared" ca="1" si="110"/>
        <v>#NAME?</v>
      </c>
      <c r="K6967" s="274">
        <f t="shared" si="111"/>
        <v>0</v>
      </c>
      <c r="N6967" s="274"/>
    </row>
    <row r="6968" spans="5:14" ht="13.5" customHeight="1">
      <c r="E6968" s="1" t="s">
        <v>3167</v>
      </c>
      <c r="F6968" s="1" t="s">
        <v>3168</v>
      </c>
      <c r="G6968" s="406" t="str">
        <f t="shared" si="109"/>
        <v>11-12</v>
      </c>
      <c r="H6968" s="273" t="e">
        <f ca="1">_xludf.IFNA(VLOOKUP(E6968,'Urban Plastix Holds'!$I$37:$U$705,5,0),0)</f>
        <v>#NAME?</v>
      </c>
      <c r="I6968" s="274"/>
      <c r="J6968" s="274" t="e">
        <f t="shared" ca="1" si="110"/>
        <v>#NAME?</v>
      </c>
      <c r="K6968" s="274">
        <f t="shared" si="111"/>
        <v>0</v>
      </c>
      <c r="N6968" s="274"/>
    </row>
    <row r="6969" spans="5:14" ht="13.5" customHeight="1">
      <c r="E6969" s="1" t="s">
        <v>3167</v>
      </c>
      <c r="F6969" s="1" t="s">
        <v>3168</v>
      </c>
      <c r="G6969" s="408" t="str">
        <f t="shared" si="109"/>
        <v>14-01</v>
      </c>
      <c r="H6969" s="273" t="e">
        <f ca="1">_xludf.IFNA(VLOOKUP(E6969,'Urban Plastix Holds'!$I$37:$U$705,6,0),0)</f>
        <v>#NAME?</v>
      </c>
      <c r="I6969" s="274"/>
      <c r="J6969" s="274" t="e">
        <f t="shared" ca="1" si="110"/>
        <v>#NAME?</v>
      </c>
      <c r="K6969" s="274">
        <f t="shared" si="111"/>
        <v>0</v>
      </c>
      <c r="N6969" s="274"/>
    </row>
    <row r="6970" spans="5:14" ht="13.5" customHeight="1">
      <c r="E6970" s="1" t="s">
        <v>3167</v>
      </c>
      <c r="F6970" s="1" t="s">
        <v>3168</v>
      </c>
      <c r="G6970" s="409" t="str">
        <f t="shared" si="109"/>
        <v>15-12</v>
      </c>
      <c r="H6970" s="273" t="e">
        <f ca="1">_xludf.IFNA(VLOOKUP(E6970,'Urban Plastix Holds'!$I$37:$U$705,7,0),0)</f>
        <v>#NAME?</v>
      </c>
      <c r="I6970" s="274"/>
      <c r="J6970" s="274" t="e">
        <f t="shared" ca="1" si="110"/>
        <v>#NAME?</v>
      </c>
      <c r="K6970" s="274">
        <f t="shared" si="111"/>
        <v>0</v>
      </c>
      <c r="N6970" s="274"/>
    </row>
    <row r="6971" spans="5:14" ht="13.5" customHeight="1">
      <c r="E6971" s="1" t="s">
        <v>3167</v>
      </c>
      <c r="F6971" s="1" t="s">
        <v>3168</v>
      </c>
      <c r="G6971" s="410" t="str">
        <f t="shared" si="109"/>
        <v>16-16</v>
      </c>
      <c r="H6971" s="273" t="e">
        <f ca="1">_xludf.IFNA(VLOOKUP(E6971,'Urban Plastix Holds'!$I$37:$U$705,8,0),0)</f>
        <v>#NAME?</v>
      </c>
      <c r="I6971" s="274"/>
      <c r="J6971" s="274" t="e">
        <f t="shared" ca="1" si="110"/>
        <v>#NAME?</v>
      </c>
      <c r="K6971" s="274">
        <f t="shared" si="111"/>
        <v>0</v>
      </c>
      <c r="N6971" s="274"/>
    </row>
    <row r="6972" spans="5:14" ht="13.5" customHeight="1">
      <c r="E6972" s="1" t="s">
        <v>3167</v>
      </c>
      <c r="F6972" s="1" t="s">
        <v>3168</v>
      </c>
      <c r="G6972" s="411" t="str">
        <f t="shared" si="109"/>
        <v>13-01</v>
      </c>
      <c r="H6972" s="273" t="e">
        <f ca="1">_xludf.IFNA(VLOOKUP(E6972,'Urban Plastix Holds'!$I$37:$U$705,9,0),0)</f>
        <v>#NAME?</v>
      </c>
      <c r="I6972" s="274"/>
      <c r="J6972" s="274" t="e">
        <f t="shared" ca="1" si="110"/>
        <v>#NAME?</v>
      </c>
      <c r="K6972" s="274">
        <f t="shared" si="111"/>
        <v>0</v>
      </c>
      <c r="N6972" s="274"/>
    </row>
    <row r="6973" spans="5:14" ht="13.5" customHeight="1">
      <c r="E6973" s="1" t="s">
        <v>3167</v>
      </c>
      <c r="F6973" s="1" t="s">
        <v>3168</v>
      </c>
      <c r="G6973" s="413" t="str">
        <f t="shared" si="109"/>
        <v>07-13</v>
      </c>
      <c r="H6973" s="273" t="e">
        <f ca="1">_xludf.IFNA(VLOOKUP(E6973,'Urban Plastix Holds'!$I$37:$U$705,10,0),0)</f>
        <v>#NAME?</v>
      </c>
      <c r="I6973" s="274"/>
      <c r="J6973" s="274" t="e">
        <f t="shared" ca="1" si="110"/>
        <v>#NAME?</v>
      </c>
      <c r="K6973" s="274">
        <f t="shared" si="111"/>
        <v>0</v>
      </c>
      <c r="N6973" s="274"/>
    </row>
    <row r="6974" spans="5:14" ht="13.5" customHeight="1">
      <c r="E6974" s="1" t="s">
        <v>3167</v>
      </c>
      <c r="F6974" s="1" t="s">
        <v>3168</v>
      </c>
      <c r="G6974" s="414" t="str">
        <f t="shared" si="109"/>
        <v>11-26</v>
      </c>
      <c r="H6974" s="273" t="e">
        <f ca="1">_xludf.IFNA(VLOOKUP(E6974,'Urban Plastix Holds'!$I$37:$U$705,11,0),0)</f>
        <v>#NAME?</v>
      </c>
      <c r="I6974" s="274"/>
      <c r="J6974" s="274" t="e">
        <f t="shared" ca="1" si="110"/>
        <v>#NAME?</v>
      </c>
      <c r="K6974" s="274">
        <f t="shared" si="111"/>
        <v>0</v>
      </c>
      <c r="N6974" s="274"/>
    </row>
    <row r="6975" spans="5:14" ht="13.5" customHeight="1">
      <c r="E6975" s="1" t="s">
        <v>3167</v>
      </c>
      <c r="F6975" s="1" t="s">
        <v>3168</v>
      </c>
      <c r="G6975" s="415" t="str">
        <f t="shared" si="109"/>
        <v>18-01</v>
      </c>
      <c r="H6975" s="273" t="e">
        <f ca="1">_xludf.IFNA(VLOOKUP(E6975,'Urban Plastix Holds'!$I$37:$U$705,12,0),0)</f>
        <v>#NAME?</v>
      </c>
      <c r="I6975" s="274"/>
      <c r="J6975" s="274" t="e">
        <f t="shared" ca="1" si="110"/>
        <v>#NAME?</v>
      </c>
      <c r="K6975" s="274">
        <f t="shared" si="111"/>
        <v>0</v>
      </c>
      <c r="N6975" s="274"/>
    </row>
    <row r="6976" spans="5:14" ht="13.5" customHeight="1">
      <c r="E6976" s="1" t="s">
        <v>3167</v>
      </c>
      <c r="F6976" s="1" t="s">
        <v>3168</v>
      </c>
      <c r="G6976" s="416" t="str">
        <f t="shared" si="109"/>
        <v>Color Code</v>
      </c>
      <c r="H6976" s="273" t="e">
        <f ca="1">_xludf.IFNA(VLOOKUP(E6976,'Urban Plastix Holds'!$I$37:$U$705,13,0),0)</f>
        <v>#NAME?</v>
      </c>
      <c r="I6976" s="274"/>
      <c r="J6976" s="274" t="e">
        <f t="shared" ca="1" si="110"/>
        <v>#NAME?</v>
      </c>
      <c r="K6976" s="274">
        <f t="shared" si="111"/>
        <v>0</v>
      </c>
      <c r="N6976" s="274"/>
    </row>
    <row r="6977" spans="5:14" ht="13.5" customHeight="1">
      <c r="E6977" s="1" t="s">
        <v>1595</v>
      </c>
      <c r="F6977" s="1" t="s">
        <v>3169</v>
      </c>
      <c r="G6977" s="406" t="str">
        <f t="shared" si="109"/>
        <v>11-12</v>
      </c>
      <c r="H6977" s="273" t="e">
        <f ca="1">_xludf.IFNA(VLOOKUP(E6977,'Urban Plastix Holds'!$I$37:$U$705,5,0),0)</f>
        <v>#NAME?</v>
      </c>
      <c r="I6977" s="274"/>
      <c r="J6977" s="274" t="e">
        <f t="shared" ca="1" si="110"/>
        <v>#NAME?</v>
      </c>
      <c r="K6977" s="274">
        <f t="shared" si="111"/>
        <v>0</v>
      </c>
      <c r="N6977" s="274"/>
    </row>
    <row r="6978" spans="5:14" ht="13.5" customHeight="1">
      <c r="E6978" s="1" t="s">
        <v>1595</v>
      </c>
      <c r="F6978" s="1" t="s">
        <v>3169</v>
      </c>
      <c r="G6978" s="408" t="str">
        <f t="shared" si="109"/>
        <v>14-01</v>
      </c>
      <c r="H6978" s="273" t="e">
        <f ca="1">_xludf.IFNA(VLOOKUP(E6978,'Urban Plastix Holds'!$I$37:$U$705,6,0),0)</f>
        <v>#NAME?</v>
      </c>
      <c r="I6978" s="274"/>
      <c r="J6978" s="274" t="e">
        <f t="shared" ca="1" si="110"/>
        <v>#NAME?</v>
      </c>
      <c r="K6978" s="274">
        <f t="shared" si="111"/>
        <v>0</v>
      </c>
      <c r="N6978" s="274"/>
    </row>
    <row r="6979" spans="5:14" ht="13.5" customHeight="1">
      <c r="E6979" s="1" t="s">
        <v>1595</v>
      </c>
      <c r="F6979" s="1" t="s">
        <v>3169</v>
      </c>
      <c r="G6979" s="409" t="str">
        <f t="shared" si="109"/>
        <v>15-12</v>
      </c>
      <c r="H6979" s="273" t="e">
        <f ca="1">_xludf.IFNA(VLOOKUP(E6979,'Urban Plastix Holds'!$I$37:$U$705,7,0),0)</f>
        <v>#NAME?</v>
      </c>
      <c r="I6979" s="274"/>
      <c r="J6979" s="274" t="e">
        <f t="shared" ca="1" si="110"/>
        <v>#NAME?</v>
      </c>
      <c r="K6979" s="274">
        <f t="shared" si="111"/>
        <v>0</v>
      </c>
      <c r="N6979" s="274"/>
    </row>
    <row r="6980" spans="5:14" ht="13.5" customHeight="1">
      <c r="E6980" s="1" t="s">
        <v>1595</v>
      </c>
      <c r="F6980" s="1" t="s">
        <v>3169</v>
      </c>
      <c r="G6980" s="410" t="str">
        <f t="shared" si="109"/>
        <v>16-16</v>
      </c>
      <c r="H6980" s="273" t="e">
        <f ca="1">_xludf.IFNA(VLOOKUP(E6980,'Urban Plastix Holds'!$I$37:$U$705,8,0),0)</f>
        <v>#NAME?</v>
      </c>
      <c r="I6980" s="274"/>
      <c r="J6980" s="274" t="e">
        <f t="shared" ca="1" si="110"/>
        <v>#NAME?</v>
      </c>
      <c r="K6980" s="274">
        <f t="shared" si="111"/>
        <v>0</v>
      </c>
      <c r="N6980" s="274"/>
    </row>
    <row r="6981" spans="5:14" ht="13.5" customHeight="1">
      <c r="E6981" s="1" t="s">
        <v>1595</v>
      </c>
      <c r="F6981" s="1" t="s">
        <v>3169</v>
      </c>
      <c r="G6981" s="411" t="str">
        <f t="shared" si="109"/>
        <v>13-01</v>
      </c>
      <c r="H6981" s="273" t="e">
        <f ca="1">_xludf.IFNA(VLOOKUP(E6981,'Urban Plastix Holds'!$I$37:$U$705,9,0),0)</f>
        <v>#NAME?</v>
      </c>
      <c r="I6981" s="274"/>
      <c r="J6981" s="274" t="e">
        <f t="shared" ca="1" si="110"/>
        <v>#NAME?</v>
      </c>
      <c r="K6981" s="274">
        <f t="shared" si="111"/>
        <v>0</v>
      </c>
      <c r="N6981" s="274"/>
    </row>
    <row r="6982" spans="5:14" ht="13.5" customHeight="1">
      <c r="E6982" s="1" t="s">
        <v>1595</v>
      </c>
      <c r="F6982" s="1" t="s">
        <v>3169</v>
      </c>
      <c r="G6982" s="413" t="str">
        <f t="shared" si="109"/>
        <v>07-13</v>
      </c>
      <c r="H6982" s="273" t="e">
        <f ca="1">_xludf.IFNA(VLOOKUP(E6982,'Urban Plastix Holds'!$I$37:$U$705,10,0),0)</f>
        <v>#NAME?</v>
      </c>
      <c r="I6982" s="274"/>
      <c r="J6982" s="274" t="e">
        <f t="shared" ca="1" si="110"/>
        <v>#NAME?</v>
      </c>
      <c r="K6982" s="274">
        <f t="shared" si="111"/>
        <v>0</v>
      </c>
      <c r="N6982" s="274"/>
    </row>
    <row r="6983" spans="5:14" ht="13.5" customHeight="1">
      <c r="E6983" s="1" t="s">
        <v>1595</v>
      </c>
      <c r="F6983" s="1" t="s">
        <v>3169</v>
      </c>
      <c r="G6983" s="414" t="str">
        <f t="shared" si="109"/>
        <v>11-26</v>
      </c>
      <c r="H6983" s="273" t="e">
        <f ca="1">_xludf.IFNA(VLOOKUP(E6983,'Urban Plastix Holds'!$I$37:$U$705,11,0),0)</f>
        <v>#NAME?</v>
      </c>
      <c r="I6983" s="274"/>
      <c r="J6983" s="274" t="e">
        <f t="shared" ca="1" si="110"/>
        <v>#NAME?</v>
      </c>
      <c r="K6983" s="274">
        <f t="shared" si="111"/>
        <v>0</v>
      </c>
      <c r="N6983" s="274"/>
    </row>
    <row r="6984" spans="5:14" ht="13.5" customHeight="1">
      <c r="E6984" s="1" t="s">
        <v>1595</v>
      </c>
      <c r="F6984" s="1" t="s">
        <v>3169</v>
      </c>
      <c r="G6984" s="415" t="str">
        <f t="shared" si="109"/>
        <v>18-01</v>
      </c>
      <c r="H6984" s="273" t="e">
        <f ca="1">_xludf.IFNA(VLOOKUP(E6984,'Urban Plastix Holds'!$I$37:$U$705,12,0),0)</f>
        <v>#NAME?</v>
      </c>
      <c r="I6984" s="274"/>
      <c r="J6984" s="274" t="e">
        <f t="shared" ca="1" si="110"/>
        <v>#NAME?</v>
      </c>
      <c r="K6984" s="274">
        <f t="shared" si="111"/>
        <v>0</v>
      </c>
      <c r="N6984" s="274"/>
    </row>
    <row r="6985" spans="5:14" ht="13.5" customHeight="1">
      <c r="E6985" s="1" t="s">
        <v>1595</v>
      </c>
      <c r="F6985" s="1" t="s">
        <v>3169</v>
      </c>
      <c r="G6985" s="416" t="str">
        <f t="shared" si="109"/>
        <v>Color Code</v>
      </c>
      <c r="H6985" s="273" t="e">
        <f ca="1">_xludf.IFNA(VLOOKUP(E6985,'Urban Plastix Holds'!$I$37:$U$705,13,0),0)</f>
        <v>#NAME?</v>
      </c>
      <c r="I6985" s="274"/>
      <c r="J6985" s="274" t="e">
        <f t="shared" ca="1" si="110"/>
        <v>#NAME?</v>
      </c>
      <c r="K6985" s="274">
        <f t="shared" si="111"/>
        <v>0</v>
      </c>
      <c r="N6985" s="274"/>
    </row>
    <row r="6986" spans="5:14" ht="13.5" customHeight="1">
      <c r="E6986" s="1" t="s">
        <v>1597</v>
      </c>
      <c r="F6986" s="1" t="s">
        <v>3170</v>
      </c>
      <c r="G6986" s="406" t="str">
        <f t="shared" ref="G6986:G7192" si="112">G6923</f>
        <v>11-12</v>
      </c>
      <c r="H6986" s="273" t="e">
        <f ca="1">_xludf.IFNA(VLOOKUP(E6986,'Urban Plastix Holds'!$I$37:$U$705,5,0),0)</f>
        <v>#NAME?</v>
      </c>
      <c r="I6986" s="274"/>
      <c r="J6986" s="274" t="e">
        <f t="shared" ca="1" si="110"/>
        <v>#NAME?</v>
      </c>
      <c r="K6986" s="274">
        <f t="shared" si="111"/>
        <v>0</v>
      </c>
      <c r="N6986" s="274"/>
    </row>
    <row r="6987" spans="5:14" ht="13.5" customHeight="1">
      <c r="E6987" s="1" t="s">
        <v>1597</v>
      </c>
      <c r="F6987" s="1" t="s">
        <v>3170</v>
      </c>
      <c r="G6987" s="408" t="str">
        <f t="shared" si="112"/>
        <v>14-01</v>
      </c>
      <c r="H6987" s="273" t="e">
        <f ca="1">_xludf.IFNA(VLOOKUP(E6987,'Urban Plastix Holds'!$I$37:$U$705,6,0),0)</f>
        <v>#NAME?</v>
      </c>
      <c r="I6987" s="274"/>
      <c r="J6987" s="274" t="e">
        <f t="shared" ca="1" si="110"/>
        <v>#NAME?</v>
      </c>
      <c r="K6987" s="274">
        <f t="shared" si="111"/>
        <v>0</v>
      </c>
      <c r="N6987" s="274"/>
    </row>
    <row r="6988" spans="5:14" ht="13.5" customHeight="1">
      <c r="E6988" s="1" t="s">
        <v>1597</v>
      </c>
      <c r="F6988" s="1" t="s">
        <v>3170</v>
      </c>
      <c r="G6988" s="409" t="str">
        <f t="shared" si="112"/>
        <v>15-12</v>
      </c>
      <c r="H6988" s="273" t="e">
        <f ca="1">_xludf.IFNA(VLOOKUP(E6988,'Urban Plastix Holds'!$I$37:$U$705,7,0),0)</f>
        <v>#NAME?</v>
      </c>
      <c r="I6988" s="274"/>
      <c r="J6988" s="274" t="e">
        <f t="shared" ca="1" si="110"/>
        <v>#NAME?</v>
      </c>
      <c r="K6988" s="274">
        <f t="shared" si="111"/>
        <v>0</v>
      </c>
      <c r="N6988" s="274"/>
    </row>
    <row r="6989" spans="5:14" ht="13.5" customHeight="1">
      <c r="E6989" s="1" t="s">
        <v>1597</v>
      </c>
      <c r="F6989" s="1" t="s">
        <v>3170</v>
      </c>
      <c r="G6989" s="410" t="str">
        <f t="shared" si="112"/>
        <v>16-16</v>
      </c>
      <c r="H6989" s="273" t="e">
        <f ca="1">_xludf.IFNA(VLOOKUP(E6989,'Urban Plastix Holds'!$I$37:$U$705,8,0),0)</f>
        <v>#NAME?</v>
      </c>
      <c r="I6989" s="274"/>
      <c r="J6989" s="274" t="e">
        <f t="shared" ca="1" si="110"/>
        <v>#NAME?</v>
      </c>
      <c r="K6989" s="274">
        <f t="shared" si="111"/>
        <v>0</v>
      </c>
      <c r="N6989" s="274"/>
    </row>
    <row r="6990" spans="5:14" ht="13.5" customHeight="1">
      <c r="E6990" s="1" t="s">
        <v>1597</v>
      </c>
      <c r="F6990" s="1" t="s">
        <v>3170</v>
      </c>
      <c r="G6990" s="411" t="str">
        <f t="shared" si="112"/>
        <v>13-01</v>
      </c>
      <c r="H6990" s="273" t="e">
        <f ca="1">_xludf.IFNA(VLOOKUP(E6990,'Urban Plastix Holds'!$I$37:$U$705,9,0),0)</f>
        <v>#NAME?</v>
      </c>
      <c r="I6990" s="274"/>
      <c r="J6990" s="274" t="e">
        <f t="shared" ca="1" si="110"/>
        <v>#NAME?</v>
      </c>
      <c r="K6990" s="274">
        <f t="shared" si="111"/>
        <v>0</v>
      </c>
      <c r="N6990" s="274"/>
    </row>
    <row r="6991" spans="5:14" ht="13.5" customHeight="1">
      <c r="E6991" s="1" t="s">
        <v>1597</v>
      </c>
      <c r="F6991" s="1" t="s">
        <v>3170</v>
      </c>
      <c r="G6991" s="413" t="str">
        <f t="shared" si="112"/>
        <v>07-13</v>
      </c>
      <c r="H6991" s="273" t="e">
        <f ca="1">_xludf.IFNA(VLOOKUP(E6991,'Urban Plastix Holds'!$I$37:$U$705,10,0),0)</f>
        <v>#NAME?</v>
      </c>
      <c r="I6991" s="274"/>
      <c r="J6991" s="274" t="e">
        <f t="shared" ca="1" si="110"/>
        <v>#NAME?</v>
      </c>
      <c r="K6991" s="274">
        <f t="shared" si="111"/>
        <v>0</v>
      </c>
      <c r="N6991" s="274"/>
    </row>
    <row r="6992" spans="5:14" ht="13.5" customHeight="1">
      <c r="E6992" s="1" t="s">
        <v>1597</v>
      </c>
      <c r="F6992" s="1" t="s">
        <v>3170</v>
      </c>
      <c r="G6992" s="414" t="str">
        <f t="shared" si="112"/>
        <v>11-26</v>
      </c>
      <c r="H6992" s="273" t="e">
        <f ca="1">_xludf.IFNA(VLOOKUP(E6992,'Urban Plastix Holds'!$I$37:$U$705,11,0),0)</f>
        <v>#NAME?</v>
      </c>
      <c r="I6992" s="274"/>
      <c r="J6992" s="274" t="e">
        <f t="shared" ca="1" si="110"/>
        <v>#NAME?</v>
      </c>
      <c r="K6992" s="274">
        <f t="shared" si="111"/>
        <v>0</v>
      </c>
      <c r="N6992" s="274"/>
    </row>
    <row r="6993" spans="5:14" ht="13.5" customHeight="1">
      <c r="E6993" s="1" t="s">
        <v>1597</v>
      </c>
      <c r="F6993" s="1" t="s">
        <v>3170</v>
      </c>
      <c r="G6993" s="415" t="str">
        <f t="shared" si="112"/>
        <v>18-01</v>
      </c>
      <c r="H6993" s="273" t="e">
        <f ca="1">_xludf.IFNA(VLOOKUP(E6993,'Urban Plastix Holds'!$I$37:$U$705,12,0),0)</f>
        <v>#NAME?</v>
      </c>
      <c r="I6993" s="274"/>
      <c r="J6993" s="274" t="e">
        <f t="shared" ca="1" si="110"/>
        <v>#NAME?</v>
      </c>
      <c r="K6993" s="274">
        <f t="shared" si="111"/>
        <v>0</v>
      </c>
      <c r="N6993" s="274"/>
    </row>
    <row r="6994" spans="5:14" ht="13.5" customHeight="1">
      <c r="E6994" s="1" t="s">
        <v>1597</v>
      </c>
      <c r="F6994" s="1" t="s">
        <v>3170</v>
      </c>
      <c r="G6994" s="416" t="str">
        <f t="shared" si="112"/>
        <v>Color Code</v>
      </c>
      <c r="H6994" s="273" t="e">
        <f ca="1">_xludf.IFNA(VLOOKUP(E6994,'Urban Plastix Holds'!$I$37:$U$705,13,0),0)</f>
        <v>#NAME?</v>
      </c>
      <c r="I6994" s="274"/>
      <c r="J6994" s="274" t="e">
        <f t="shared" ca="1" si="110"/>
        <v>#NAME?</v>
      </c>
      <c r="K6994" s="274">
        <f t="shared" si="111"/>
        <v>0</v>
      </c>
      <c r="N6994" s="274"/>
    </row>
    <row r="6995" spans="5:14" ht="13.5" customHeight="1">
      <c r="E6995" s="1" t="s">
        <v>1275</v>
      </c>
      <c r="F6995" s="1" t="s">
        <v>3171</v>
      </c>
      <c r="G6995" s="406" t="str">
        <f t="shared" si="112"/>
        <v>11-12</v>
      </c>
      <c r="H6995" s="273" t="e">
        <f ca="1">_xludf.IFNA(VLOOKUP(E6995,'Urban Plastix Holds'!$I$37:$U$705,5,0),0)</f>
        <v>#NAME?</v>
      </c>
      <c r="I6995" s="274"/>
      <c r="J6995" s="274" t="e">
        <f t="shared" ca="1" si="110"/>
        <v>#NAME?</v>
      </c>
      <c r="K6995" s="274">
        <f t="shared" si="111"/>
        <v>0</v>
      </c>
      <c r="N6995" s="274"/>
    </row>
    <row r="6996" spans="5:14" ht="13.5" customHeight="1">
      <c r="E6996" s="1" t="s">
        <v>1275</v>
      </c>
      <c r="F6996" s="1" t="s">
        <v>3171</v>
      </c>
      <c r="G6996" s="408" t="str">
        <f t="shared" si="112"/>
        <v>14-01</v>
      </c>
      <c r="H6996" s="273" t="e">
        <f ca="1">_xludf.IFNA(VLOOKUP(E6996,'Urban Plastix Holds'!$I$37:$U$705,6,0),0)</f>
        <v>#NAME?</v>
      </c>
      <c r="I6996" s="274"/>
      <c r="J6996" s="274" t="e">
        <f t="shared" ca="1" si="110"/>
        <v>#NAME?</v>
      </c>
      <c r="K6996" s="274">
        <f t="shared" si="111"/>
        <v>0</v>
      </c>
      <c r="N6996" s="274"/>
    </row>
    <row r="6997" spans="5:14" ht="13.5" customHeight="1">
      <c r="E6997" s="1" t="s">
        <v>1275</v>
      </c>
      <c r="F6997" s="1" t="s">
        <v>3171</v>
      </c>
      <c r="G6997" s="409" t="str">
        <f t="shared" si="112"/>
        <v>15-12</v>
      </c>
      <c r="H6997" s="273" t="e">
        <f ca="1">_xludf.IFNA(VLOOKUP(E6997,'Urban Plastix Holds'!$I$37:$U$705,7,0),0)</f>
        <v>#NAME?</v>
      </c>
      <c r="I6997" s="274"/>
      <c r="J6997" s="274" t="e">
        <f t="shared" ca="1" si="110"/>
        <v>#NAME?</v>
      </c>
      <c r="K6997" s="274">
        <f t="shared" si="111"/>
        <v>0</v>
      </c>
      <c r="N6997" s="274"/>
    </row>
    <row r="6998" spans="5:14" ht="13.5" customHeight="1">
      <c r="E6998" s="1" t="s">
        <v>1275</v>
      </c>
      <c r="F6998" s="1" t="s">
        <v>3171</v>
      </c>
      <c r="G6998" s="410" t="str">
        <f t="shared" si="112"/>
        <v>16-16</v>
      </c>
      <c r="H6998" s="273" t="e">
        <f ca="1">_xludf.IFNA(VLOOKUP(E6998,'Urban Plastix Holds'!$I$37:$U$705,8,0),0)</f>
        <v>#NAME?</v>
      </c>
      <c r="I6998" s="274"/>
      <c r="J6998" s="274" t="e">
        <f t="shared" ca="1" si="110"/>
        <v>#NAME?</v>
      </c>
      <c r="K6998" s="274">
        <f t="shared" si="111"/>
        <v>0</v>
      </c>
      <c r="N6998" s="274"/>
    </row>
    <row r="6999" spans="5:14" ht="13.5" customHeight="1">
      <c r="E6999" s="1" t="s">
        <v>1275</v>
      </c>
      <c r="F6999" s="1" t="s">
        <v>3171</v>
      </c>
      <c r="G6999" s="411" t="str">
        <f t="shared" si="112"/>
        <v>13-01</v>
      </c>
      <c r="H6999" s="273" t="e">
        <f ca="1">_xludf.IFNA(VLOOKUP(E6999,'Urban Plastix Holds'!$I$37:$U$705,9,0),0)</f>
        <v>#NAME?</v>
      </c>
      <c r="I6999" s="274"/>
      <c r="J6999" s="274" t="e">
        <f t="shared" ca="1" si="110"/>
        <v>#NAME?</v>
      </c>
      <c r="K6999" s="274">
        <f t="shared" si="111"/>
        <v>0</v>
      </c>
      <c r="N6999" s="274"/>
    </row>
    <row r="7000" spans="5:14" ht="13.5" customHeight="1">
      <c r="E7000" s="1" t="s">
        <v>1275</v>
      </c>
      <c r="F7000" s="1" t="s">
        <v>3171</v>
      </c>
      <c r="G7000" s="413" t="str">
        <f t="shared" si="112"/>
        <v>07-13</v>
      </c>
      <c r="H7000" s="273" t="e">
        <f ca="1">_xludf.IFNA(VLOOKUP(E7000,'Urban Plastix Holds'!$I$37:$U$705,10,0),0)</f>
        <v>#NAME?</v>
      </c>
      <c r="I7000" s="274"/>
      <c r="J7000" s="274" t="e">
        <f t="shared" ca="1" si="110"/>
        <v>#NAME?</v>
      </c>
      <c r="K7000" s="274">
        <f t="shared" si="111"/>
        <v>0</v>
      </c>
      <c r="N7000" s="274"/>
    </row>
    <row r="7001" spans="5:14" ht="13.5" customHeight="1">
      <c r="E7001" s="1" t="s">
        <v>1275</v>
      </c>
      <c r="F7001" s="1" t="s">
        <v>3171</v>
      </c>
      <c r="G7001" s="414" t="str">
        <f t="shared" si="112"/>
        <v>11-26</v>
      </c>
      <c r="H7001" s="273" t="e">
        <f ca="1">_xludf.IFNA(VLOOKUP(E7001,'Urban Plastix Holds'!$I$37:$U$705,11,0),0)</f>
        <v>#NAME?</v>
      </c>
      <c r="I7001" s="274"/>
      <c r="J7001" s="274" t="e">
        <f t="shared" ca="1" si="110"/>
        <v>#NAME?</v>
      </c>
      <c r="K7001" s="274">
        <f t="shared" si="111"/>
        <v>0</v>
      </c>
      <c r="N7001" s="274"/>
    </row>
    <row r="7002" spans="5:14" ht="13.5" customHeight="1">
      <c r="E7002" s="1" t="s">
        <v>1275</v>
      </c>
      <c r="F7002" s="1" t="s">
        <v>3171</v>
      </c>
      <c r="G7002" s="415" t="str">
        <f t="shared" si="112"/>
        <v>18-01</v>
      </c>
      <c r="H7002" s="273" t="e">
        <f ca="1">_xludf.IFNA(VLOOKUP(E7002,'Urban Plastix Holds'!$I$37:$U$705,12,0),0)</f>
        <v>#NAME?</v>
      </c>
      <c r="I7002" s="274"/>
      <c r="J7002" s="274" t="e">
        <f t="shared" ca="1" si="110"/>
        <v>#NAME?</v>
      </c>
      <c r="K7002" s="274">
        <f t="shared" si="111"/>
        <v>0</v>
      </c>
      <c r="N7002" s="274"/>
    </row>
    <row r="7003" spans="5:14" ht="13.5" customHeight="1">
      <c r="E7003" s="1" t="s">
        <v>1275</v>
      </c>
      <c r="F7003" s="1" t="s">
        <v>3171</v>
      </c>
      <c r="G7003" s="416" t="str">
        <f t="shared" si="112"/>
        <v>Color Code</v>
      </c>
      <c r="H7003" s="273" t="e">
        <f ca="1">_xludf.IFNA(VLOOKUP(E7003,'Urban Plastix Holds'!$I$37:$U$705,13,0),0)</f>
        <v>#NAME?</v>
      </c>
      <c r="I7003" s="274"/>
      <c r="J7003" s="274" t="e">
        <f t="shared" ca="1" si="110"/>
        <v>#NAME?</v>
      </c>
      <c r="K7003" s="274">
        <f t="shared" si="111"/>
        <v>0</v>
      </c>
      <c r="N7003" s="274"/>
    </row>
    <row r="7004" spans="5:14" ht="13.5" customHeight="1">
      <c r="E7004" s="1" t="s">
        <v>1331</v>
      </c>
      <c r="F7004" s="1" t="s">
        <v>3172</v>
      </c>
      <c r="G7004" s="406" t="str">
        <f t="shared" si="112"/>
        <v>11-12</v>
      </c>
      <c r="H7004" s="273" t="e">
        <f ca="1">_xludf.IFNA(VLOOKUP(E7004,'Urban Plastix Holds'!$I$37:$U$705,5,0),0)</f>
        <v>#NAME?</v>
      </c>
      <c r="I7004" s="274"/>
      <c r="J7004" s="274" t="e">
        <f t="shared" ca="1" si="110"/>
        <v>#NAME?</v>
      </c>
      <c r="K7004" s="274">
        <f t="shared" si="111"/>
        <v>0</v>
      </c>
      <c r="N7004" s="274"/>
    </row>
    <row r="7005" spans="5:14" ht="13.5" customHeight="1">
      <c r="E7005" s="1" t="s">
        <v>1331</v>
      </c>
      <c r="F7005" s="1" t="s">
        <v>3172</v>
      </c>
      <c r="G7005" s="408" t="str">
        <f t="shared" si="112"/>
        <v>14-01</v>
      </c>
      <c r="H7005" s="273" t="e">
        <f ca="1">_xludf.IFNA(VLOOKUP(E7005,'Urban Plastix Holds'!$I$37:$U$705,6,0),0)</f>
        <v>#NAME?</v>
      </c>
      <c r="I7005" s="274"/>
      <c r="J7005" s="274" t="e">
        <f t="shared" ca="1" si="110"/>
        <v>#NAME?</v>
      </c>
      <c r="K7005" s="274">
        <f t="shared" si="111"/>
        <v>0</v>
      </c>
      <c r="N7005" s="274"/>
    </row>
    <row r="7006" spans="5:14" ht="13.5" customHeight="1">
      <c r="E7006" s="1" t="s">
        <v>1331</v>
      </c>
      <c r="F7006" s="1" t="s">
        <v>3172</v>
      </c>
      <c r="G7006" s="409" t="str">
        <f t="shared" si="112"/>
        <v>15-12</v>
      </c>
      <c r="H7006" s="273" t="e">
        <f ca="1">_xludf.IFNA(VLOOKUP(E7006,'Urban Plastix Holds'!$I$37:$U$705,7,0),0)</f>
        <v>#NAME?</v>
      </c>
      <c r="I7006" s="274"/>
      <c r="J7006" s="274" t="e">
        <f t="shared" ca="1" si="110"/>
        <v>#NAME?</v>
      </c>
      <c r="K7006" s="274">
        <f t="shared" si="111"/>
        <v>0</v>
      </c>
      <c r="N7006" s="274"/>
    </row>
    <row r="7007" spans="5:14" ht="13.5" customHeight="1">
      <c r="E7007" s="1" t="s">
        <v>1331</v>
      </c>
      <c r="F7007" s="1" t="s">
        <v>3172</v>
      </c>
      <c r="G7007" s="410" t="str">
        <f t="shared" si="112"/>
        <v>16-16</v>
      </c>
      <c r="H7007" s="273" t="e">
        <f ca="1">_xludf.IFNA(VLOOKUP(E7007,'Urban Plastix Holds'!$I$37:$U$705,8,0),0)</f>
        <v>#NAME?</v>
      </c>
      <c r="I7007" s="274"/>
      <c r="J7007" s="274" t="e">
        <f t="shared" ca="1" si="110"/>
        <v>#NAME?</v>
      </c>
      <c r="K7007" s="274">
        <f t="shared" si="111"/>
        <v>0</v>
      </c>
      <c r="N7007" s="274"/>
    </row>
    <row r="7008" spans="5:14" ht="13.5" customHeight="1">
      <c r="E7008" s="1" t="s">
        <v>1331</v>
      </c>
      <c r="F7008" s="1" t="s">
        <v>3172</v>
      </c>
      <c r="G7008" s="411" t="str">
        <f t="shared" si="112"/>
        <v>13-01</v>
      </c>
      <c r="H7008" s="273" t="e">
        <f ca="1">_xludf.IFNA(VLOOKUP(E7008,'Urban Plastix Holds'!$I$37:$U$705,9,0),0)</f>
        <v>#NAME?</v>
      </c>
      <c r="I7008" s="274"/>
      <c r="J7008" s="274" t="e">
        <f t="shared" ca="1" si="110"/>
        <v>#NAME?</v>
      </c>
      <c r="K7008" s="274">
        <f t="shared" si="111"/>
        <v>0</v>
      </c>
      <c r="N7008" s="274"/>
    </row>
    <row r="7009" spans="5:14" ht="13.5" customHeight="1">
      <c r="E7009" s="1" t="s">
        <v>1331</v>
      </c>
      <c r="F7009" s="1" t="s">
        <v>3172</v>
      </c>
      <c r="G7009" s="413" t="str">
        <f t="shared" si="112"/>
        <v>07-13</v>
      </c>
      <c r="H7009" s="273" t="e">
        <f ca="1">_xludf.IFNA(VLOOKUP(E7009,'Urban Plastix Holds'!$I$37:$U$705,10,0),0)</f>
        <v>#NAME?</v>
      </c>
      <c r="I7009" s="274"/>
      <c r="J7009" s="274" t="e">
        <f t="shared" ca="1" si="110"/>
        <v>#NAME?</v>
      </c>
      <c r="K7009" s="274">
        <f t="shared" si="111"/>
        <v>0</v>
      </c>
      <c r="N7009" s="274"/>
    </row>
    <row r="7010" spans="5:14" ht="13.5" customHeight="1">
      <c r="E7010" s="1" t="s">
        <v>1331</v>
      </c>
      <c r="F7010" s="1" t="s">
        <v>3172</v>
      </c>
      <c r="G7010" s="414" t="str">
        <f t="shared" si="112"/>
        <v>11-26</v>
      </c>
      <c r="H7010" s="273" t="e">
        <f ca="1">_xludf.IFNA(VLOOKUP(E7010,'Urban Plastix Holds'!$I$37:$U$705,11,0),0)</f>
        <v>#NAME?</v>
      </c>
      <c r="I7010" s="274"/>
      <c r="J7010" s="274" t="e">
        <f t="shared" ca="1" si="110"/>
        <v>#NAME?</v>
      </c>
      <c r="K7010" s="274">
        <f t="shared" si="111"/>
        <v>0</v>
      </c>
      <c r="N7010" s="274"/>
    </row>
    <row r="7011" spans="5:14" ht="13.5" customHeight="1">
      <c r="E7011" s="1" t="s">
        <v>1331</v>
      </c>
      <c r="F7011" s="1" t="s">
        <v>3172</v>
      </c>
      <c r="G7011" s="415" t="str">
        <f t="shared" si="112"/>
        <v>18-01</v>
      </c>
      <c r="H7011" s="273" t="e">
        <f ca="1">_xludf.IFNA(VLOOKUP(E7011,'Urban Plastix Holds'!$I$37:$U$705,12,0),0)</f>
        <v>#NAME?</v>
      </c>
      <c r="I7011" s="274"/>
      <c r="J7011" s="274" t="e">
        <f t="shared" ca="1" si="110"/>
        <v>#NAME?</v>
      </c>
      <c r="K7011" s="274">
        <f t="shared" si="111"/>
        <v>0</v>
      </c>
      <c r="N7011" s="274"/>
    </row>
    <row r="7012" spans="5:14" ht="13.5" customHeight="1">
      <c r="E7012" s="1" t="s">
        <v>1331</v>
      </c>
      <c r="F7012" s="1" t="s">
        <v>3172</v>
      </c>
      <c r="G7012" s="416" t="str">
        <f t="shared" si="112"/>
        <v>Color Code</v>
      </c>
      <c r="H7012" s="273" t="e">
        <f ca="1">_xludf.IFNA(VLOOKUP(E7012,'Urban Plastix Holds'!$I$37:$U$705,13,0),0)</f>
        <v>#NAME?</v>
      </c>
      <c r="I7012" s="274"/>
      <c r="J7012" s="274" t="e">
        <f t="shared" ca="1" si="110"/>
        <v>#NAME?</v>
      </c>
      <c r="K7012" s="274">
        <f t="shared" si="111"/>
        <v>0</v>
      </c>
      <c r="N7012" s="274"/>
    </row>
    <row r="7013" spans="5:14" ht="13.5" customHeight="1">
      <c r="E7013" s="1" t="s">
        <v>1313</v>
      </c>
      <c r="F7013" s="1" t="s">
        <v>3173</v>
      </c>
      <c r="G7013" s="406" t="str">
        <f t="shared" si="112"/>
        <v>11-12</v>
      </c>
      <c r="H7013" s="273" t="e">
        <f ca="1">_xludf.IFNA(VLOOKUP(E7013,'Urban Plastix Holds'!$I$37:$U$705,5,0),0)</f>
        <v>#NAME?</v>
      </c>
      <c r="I7013" s="274"/>
      <c r="J7013" s="274" t="e">
        <f t="shared" ca="1" si="110"/>
        <v>#NAME?</v>
      </c>
      <c r="K7013" s="274">
        <f t="shared" si="111"/>
        <v>0</v>
      </c>
      <c r="N7013" s="274"/>
    </row>
    <row r="7014" spans="5:14" ht="13.5" customHeight="1">
      <c r="E7014" s="1" t="s">
        <v>1313</v>
      </c>
      <c r="F7014" s="1" t="s">
        <v>3173</v>
      </c>
      <c r="G7014" s="408" t="str">
        <f t="shared" si="112"/>
        <v>14-01</v>
      </c>
      <c r="H7014" s="273" t="e">
        <f ca="1">_xludf.IFNA(VLOOKUP(E7014,'Urban Plastix Holds'!$I$37:$U$705,6,0),0)</f>
        <v>#NAME?</v>
      </c>
      <c r="I7014" s="274"/>
      <c r="J7014" s="274" t="e">
        <f t="shared" ca="1" si="110"/>
        <v>#NAME?</v>
      </c>
      <c r="K7014" s="274">
        <f t="shared" si="111"/>
        <v>0</v>
      </c>
      <c r="N7014" s="274"/>
    </row>
    <row r="7015" spans="5:14" ht="13.5" customHeight="1">
      <c r="E7015" s="1" t="s">
        <v>1313</v>
      </c>
      <c r="F7015" s="1" t="s">
        <v>3173</v>
      </c>
      <c r="G7015" s="409" t="str">
        <f t="shared" si="112"/>
        <v>15-12</v>
      </c>
      <c r="H7015" s="273" t="e">
        <f ca="1">_xludf.IFNA(VLOOKUP(E7015,'Urban Plastix Holds'!$I$37:$U$705,7,0),0)</f>
        <v>#NAME?</v>
      </c>
      <c r="I7015" s="274"/>
      <c r="J7015" s="274" t="e">
        <f t="shared" ca="1" si="110"/>
        <v>#NAME?</v>
      </c>
      <c r="K7015" s="274">
        <f t="shared" si="111"/>
        <v>0</v>
      </c>
      <c r="N7015" s="274"/>
    </row>
    <row r="7016" spans="5:14" ht="13.5" customHeight="1">
      <c r="E7016" s="1" t="s">
        <v>1313</v>
      </c>
      <c r="F7016" s="1" t="s">
        <v>3173</v>
      </c>
      <c r="G7016" s="410" t="str">
        <f t="shared" si="112"/>
        <v>16-16</v>
      </c>
      <c r="H7016" s="273" t="e">
        <f ca="1">_xludf.IFNA(VLOOKUP(E7016,'Urban Plastix Holds'!$I$37:$U$705,8,0),0)</f>
        <v>#NAME?</v>
      </c>
      <c r="I7016" s="274"/>
      <c r="J7016" s="274" t="e">
        <f t="shared" ca="1" si="110"/>
        <v>#NAME?</v>
      </c>
      <c r="K7016" s="274">
        <f t="shared" si="111"/>
        <v>0</v>
      </c>
      <c r="N7016" s="274"/>
    </row>
    <row r="7017" spans="5:14" ht="13.5" customHeight="1">
      <c r="E7017" s="1" t="s">
        <v>1313</v>
      </c>
      <c r="F7017" s="1" t="s">
        <v>3173</v>
      </c>
      <c r="G7017" s="411" t="str">
        <f t="shared" si="112"/>
        <v>13-01</v>
      </c>
      <c r="H7017" s="273" t="e">
        <f ca="1">_xludf.IFNA(VLOOKUP(E7017,'Urban Plastix Holds'!$I$37:$U$705,9,0),0)</f>
        <v>#NAME?</v>
      </c>
      <c r="I7017" s="274"/>
      <c r="J7017" s="274" t="e">
        <f t="shared" ca="1" si="110"/>
        <v>#NAME?</v>
      </c>
      <c r="K7017" s="274">
        <f t="shared" si="111"/>
        <v>0</v>
      </c>
      <c r="N7017" s="274"/>
    </row>
    <row r="7018" spans="5:14" ht="13.5" customHeight="1">
      <c r="E7018" s="1" t="s">
        <v>1313</v>
      </c>
      <c r="F7018" s="1" t="s">
        <v>3173</v>
      </c>
      <c r="G7018" s="413" t="str">
        <f t="shared" si="112"/>
        <v>07-13</v>
      </c>
      <c r="H7018" s="273" t="e">
        <f ca="1">_xludf.IFNA(VLOOKUP(E7018,'Urban Plastix Holds'!$I$37:$U$705,10,0),0)</f>
        <v>#NAME?</v>
      </c>
      <c r="I7018" s="274"/>
      <c r="J7018" s="274" t="e">
        <f t="shared" ca="1" si="110"/>
        <v>#NAME?</v>
      </c>
      <c r="K7018" s="274">
        <f t="shared" si="111"/>
        <v>0</v>
      </c>
      <c r="N7018" s="274"/>
    </row>
    <row r="7019" spans="5:14" ht="13.5" customHeight="1">
      <c r="E7019" s="1" t="s">
        <v>1313</v>
      </c>
      <c r="F7019" s="1" t="s">
        <v>3173</v>
      </c>
      <c r="G7019" s="414" t="str">
        <f t="shared" si="112"/>
        <v>11-26</v>
      </c>
      <c r="H7019" s="273" t="e">
        <f ca="1">_xludf.IFNA(VLOOKUP(E7019,'Urban Plastix Holds'!$I$37:$U$705,11,0),0)</f>
        <v>#NAME?</v>
      </c>
      <c r="I7019" s="274"/>
      <c r="J7019" s="274" t="e">
        <f t="shared" ca="1" si="110"/>
        <v>#NAME?</v>
      </c>
      <c r="K7019" s="274">
        <f t="shared" si="111"/>
        <v>0</v>
      </c>
      <c r="N7019" s="274"/>
    </row>
    <row r="7020" spans="5:14" ht="13.5" customHeight="1">
      <c r="E7020" s="1" t="s">
        <v>1313</v>
      </c>
      <c r="F7020" s="1" t="s">
        <v>3173</v>
      </c>
      <c r="G7020" s="415" t="str">
        <f t="shared" si="112"/>
        <v>18-01</v>
      </c>
      <c r="H7020" s="273" t="e">
        <f ca="1">_xludf.IFNA(VLOOKUP(E7020,'Urban Plastix Holds'!$I$37:$U$705,12,0),0)</f>
        <v>#NAME?</v>
      </c>
      <c r="I7020" s="274"/>
      <c r="J7020" s="274" t="e">
        <f t="shared" ca="1" si="110"/>
        <v>#NAME?</v>
      </c>
      <c r="K7020" s="274">
        <f t="shared" si="111"/>
        <v>0</v>
      </c>
      <c r="N7020" s="274"/>
    </row>
    <row r="7021" spans="5:14" ht="13.5" customHeight="1">
      <c r="E7021" s="1" t="s">
        <v>1313</v>
      </c>
      <c r="F7021" s="1" t="s">
        <v>3173</v>
      </c>
      <c r="G7021" s="416" t="str">
        <f t="shared" si="112"/>
        <v>Color Code</v>
      </c>
      <c r="H7021" s="273" t="e">
        <f ca="1">_xludf.IFNA(VLOOKUP(E7021,'Urban Plastix Holds'!$I$37:$U$705,13,0),0)</f>
        <v>#NAME?</v>
      </c>
      <c r="I7021" s="274"/>
      <c r="J7021" s="274" t="e">
        <f t="shared" ca="1" si="110"/>
        <v>#NAME?</v>
      </c>
      <c r="K7021" s="274">
        <f t="shared" si="111"/>
        <v>0</v>
      </c>
      <c r="N7021" s="274"/>
    </row>
    <row r="7022" spans="5:14" ht="13.5" customHeight="1">
      <c r="E7022" s="1" t="s">
        <v>1301</v>
      </c>
      <c r="F7022" s="1" t="s">
        <v>3174</v>
      </c>
      <c r="G7022" s="406" t="str">
        <f t="shared" si="112"/>
        <v>11-12</v>
      </c>
      <c r="H7022" s="273" t="e">
        <f ca="1">_xludf.IFNA(VLOOKUP(E7022,'Urban Plastix Holds'!$I$37:$U$705,5,0),0)</f>
        <v>#NAME?</v>
      </c>
      <c r="I7022" s="274"/>
      <c r="J7022" s="274" t="e">
        <f t="shared" ca="1" si="110"/>
        <v>#NAME?</v>
      </c>
      <c r="K7022" s="274">
        <f t="shared" si="111"/>
        <v>0</v>
      </c>
      <c r="N7022" s="274"/>
    </row>
    <row r="7023" spans="5:14" ht="13.5" customHeight="1">
      <c r="E7023" s="1" t="s">
        <v>1301</v>
      </c>
      <c r="F7023" s="1" t="s">
        <v>3174</v>
      </c>
      <c r="G7023" s="408" t="str">
        <f t="shared" si="112"/>
        <v>14-01</v>
      </c>
      <c r="H7023" s="273" t="e">
        <f ca="1">_xludf.IFNA(VLOOKUP(E7023,'Urban Plastix Holds'!$I$37:$U$705,6,0),0)</f>
        <v>#NAME?</v>
      </c>
      <c r="I7023" s="274"/>
      <c r="J7023" s="274" t="e">
        <f t="shared" ca="1" si="110"/>
        <v>#NAME?</v>
      </c>
      <c r="K7023" s="274">
        <f t="shared" si="111"/>
        <v>0</v>
      </c>
      <c r="N7023" s="274"/>
    </row>
    <row r="7024" spans="5:14" ht="13.5" customHeight="1">
      <c r="E7024" s="1" t="s">
        <v>1301</v>
      </c>
      <c r="F7024" s="1" t="s">
        <v>3174</v>
      </c>
      <c r="G7024" s="409" t="str">
        <f t="shared" si="112"/>
        <v>15-12</v>
      </c>
      <c r="H7024" s="273" t="e">
        <f ca="1">_xludf.IFNA(VLOOKUP(E7024,'Urban Plastix Holds'!$I$37:$U$705,7,0),0)</f>
        <v>#NAME?</v>
      </c>
      <c r="I7024" s="274"/>
      <c r="J7024" s="274" t="e">
        <f t="shared" ca="1" si="110"/>
        <v>#NAME?</v>
      </c>
      <c r="K7024" s="274">
        <f t="shared" si="111"/>
        <v>0</v>
      </c>
      <c r="N7024" s="274"/>
    </row>
    <row r="7025" spans="5:14" ht="13.5" customHeight="1">
      <c r="E7025" s="1" t="s">
        <v>1301</v>
      </c>
      <c r="F7025" s="1" t="s">
        <v>3174</v>
      </c>
      <c r="G7025" s="410" t="str">
        <f t="shared" si="112"/>
        <v>16-16</v>
      </c>
      <c r="H7025" s="273" t="e">
        <f ca="1">_xludf.IFNA(VLOOKUP(E7025,'Urban Plastix Holds'!$I$37:$U$705,8,0),0)</f>
        <v>#NAME?</v>
      </c>
      <c r="I7025" s="274"/>
      <c r="J7025" s="274" t="e">
        <f t="shared" ca="1" si="110"/>
        <v>#NAME?</v>
      </c>
      <c r="K7025" s="274">
        <f t="shared" si="111"/>
        <v>0</v>
      </c>
      <c r="N7025" s="274"/>
    </row>
    <row r="7026" spans="5:14" ht="13.5" customHeight="1">
      <c r="E7026" s="1" t="s">
        <v>1301</v>
      </c>
      <c r="F7026" s="1" t="s">
        <v>3174</v>
      </c>
      <c r="G7026" s="411" t="str">
        <f t="shared" si="112"/>
        <v>13-01</v>
      </c>
      <c r="H7026" s="273" t="e">
        <f ca="1">_xludf.IFNA(VLOOKUP(E7026,'Urban Plastix Holds'!$I$37:$U$705,9,0),0)</f>
        <v>#NAME?</v>
      </c>
      <c r="I7026" s="274"/>
      <c r="J7026" s="274" t="e">
        <f t="shared" ca="1" si="110"/>
        <v>#NAME?</v>
      </c>
      <c r="K7026" s="274">
        <f t="shared" si="111"/>
        <v>0</v>
      </c>
      <c r="N7026" s="274"/>
    </row>
    <row r="7027" spans="5:14" ht="13.5" customHeight="1">
      <c r="E7027" s="1" t="s">
        <v>1301</v>
      </c>
      <c r="F7027" s="1" t="s">
        <v>3174</v>
      </c>
      <c r="G7027" s="413" t="str">
        <f t="shared" si="112"/>
        <v>07-13</v>
      </c>
      <c r="H7027" s="273" t="e">
        <f ca="1">_xludf.IFNA(VLOOKUP(E7027,'Urban Plastix Holds'!$I$37:$U$705,10,0),0)</f>
        <v>#NAME?</v>
      </c>
      <c r="I7027" s="274"/>
      <c r="J7027" s="274" t="e">
        <f t="shared" ca="1" si="110"/>
        <v>#NAME?</v>
      </c>
      <c r="K7027" s="274">
        <f t="shared" si="111"/>
        <v>0</v>
      </c>
      <c r="N7027" s="274"/>
    </row>
    <row r="7028" spans="5:14" ht="13.5" customHeight="1">
      <c r="E7028" s="1" t="s">
        <v>1301</v>
      </c>
      <c r="F7028" s="1" t="s">
        <v>3174</v>
      </c>
      <c r="G7028" s="414" t="str">
        <f t="shared" si="112"/>
        <v>11-26</v>
      </c>
      <c r="H7028" s="273" t="e">
        <f ca="1">_xludf.IFNA(VLOOKUP(E7028,'Urban Plastix Holds'!$I$37:$U$705,11,0),0)</f>
        <v>#NAME?</v>
      </c>
      <c r="I7028" s="274"/>
      <c r="J7028" s="274" t="e">
        <f t="shared" ca="1" si="110"/>
        <v>#NAME?</v>
      </c>
      <c r="K7028" s="274">
        <f t="shared" si="111"/>
        <v>0</v>
      </c>
      <c r="N7028" s="274"/>
    </row>
    <row r="7029" spans="5:14" ht="13.5" customHeight="1">
      <c r="E7029" s="1" t="s">
        <v>1301</v>
      </c>
      <c r="F7029" s="1" t="s">
        <v>3174</v>
      </c>
      <c r="G7029" s="415" t="str">
        <f t="shared" si="112"/>
        <v>18-01</v>
      </c>
      <c r="H7029" s="273" t="e">
        <f ca="1">_xludf.IFNA(VLOOKUP(E7029,'Urban Plastix Holds'!$I$37:$U$705,12,0),0)</f>
        <v>#NAME?</v>
      </c>
      <c r="I7029" s="274"/>
      <c r="J7029" s="274" t="e">
        <f t="shared" ca="1" si="110"/>
        <v>#NAME?</v>
      </c>
      <c r="K7029" s="274">
        <f t="shared" si="111"/>
        <v>0</v>
      </c>
      <c r="N7029" s="274"/>
    </row>
    <row r="7030" spans="5:14" ht="13.5" customHeight="1">
      <c r="E7030" s="1" t="s">
        <v>1301</v>
      </c>
      <c r="F7030" s="1" t="s">
        <v>3174</v>
      </c>
      <c r="G7030" s="416" t="str">
        <f t="shared" si="112"/>
        <v>Color Code</v>
      </c>
      <c r="H7030" s="273" t="e">
        <f ca="1">_xludf.IFNA(VLOOKUP(E7030,'Urban Plastix Holds'!$I$37:$U$705,13,0),0)</f>
        <v>#NAME?</v>
      </c>
      <c r="I7030" s="274"/>
      <c r="J7030" s="274" t="e">
        <f t="shared" ca="1" si="110"/>
        <v>#NAME?</v>
      </c>
      <c r="K7030" s="274">
        <f t="shared" si="111"/>
        <v>0</v>
      </c>
      <c r="N7030" s="274"/>
    </row>
    <row r="7031" spans="5:14" ht="13.5" customHeight="1">
      <c r="E7031" s="1" t="s">
        <v>1303</v>
      </c>
      <c r="F7031" s="1" t="s">
        <v>3175</v>
      </c>
      <c r="G7031" s="406" t="str">
        <f t="shared" si="112"/>
        <v>11-12</v>
      </c>
      <c r="H7031" s="273" t="e">
        <f ca="1">_xludf.IFNA(VLOOKUP(E7031,'Urban Plastix Holds'!$I$37:$U$705,5,0),0)</f>
        <v>#NAME?</v>
      </c>
      <c r="I7031" s="274"/>
      <c r="J7031" s="274" t="e">
        <f t="shared" ca="1" si="110"/>
        <v>#NAME?</v>
      </c>
      <c r="K7031" s="274">
        <f t="shared" si="111"/>
        <v>0</v>
      </c>
      <c r="N7031" s="274"/>
    </row>
    <row r="7032" spans="5:14" ht="13.5" customHeight="1">
      <c r="E7032" s="1" t="s">
        <v>1303</v>
      </c>
      <c r="F7032" s="1" t="s">
        <v>3175</v>
      </c>
      <c r="G7032" s="408" t="str">
        <f t="shared" si="112"/>
        <v>14-01</v>
      </c>
      <c r="H7032" s="273" t="e">
        <f ca="1">_xludf.IFNA(VLOOKUP(E7032,'Urban Plastix Holds'!$I$37:$U$705,6,0),0)</f>
        <v>#NAME?</v>
      </c>
      <c r="I7032" s="274"/>
      <c r="J7032" s="274" t="e">
        <f t="shared" ca="1" si="110"/>
        <v>#NAME?</v>
      </c>
      <c r="K7032" s="274">
        <f t="shared" si="111"/>
        <v>0</v>
      </c>
      <c r="N7032" s="274"/>
    </row>
    <row r="7033" spans="5:14" ht="13.5" customHeight="1">
      <c r="E7033" s="1" t="s">
        <v>1303</v>
      </c>
      <c r="F7033" s="1" t="s">
        <v>3175</v>
      </c>
      <c r="G7033" s="409" t="str">
        <f t="shared" si="112"/>
        <v>15-12</v>
      </c>
      <c r="H7033" s="273" t="e">
        <f ca="1">_xludf.IFNA(VLOOKUP(E7033,'Urban Plastix Holds'!$I$37:$U$705,7,0),0)</f>
        <v>#NAME?</v>
      </c>
      <c r="I7033" s="274"/>
      <c r="J7033" s="274" t="e">
        <f t="shared" ca="1" si="110"/>
        <v>#NAME?</v>
      </c>
      <c r="K7033" s="274">
        <f t="shared" si="111"/>
        <v>0</v>
      </c>
      <c r="N7033" s="274"/>
    </row>
    <row r="7034" spans="5:14" ht="13.5" customHeight="1">
      <c r="E7034" s="1" t="s">
        <v>1303</v>
      </c>
      <c r="F7034" s="1" t="s">
        <v>3175</v>
      </c>
      <c r="G7034" s="410" t="str">
        <f t="shared" si="112"/>
        <v>16-16</v>
      </c>
      <c r="H7034" s="273" t="e">
        <f ca="1">_xludf.IFNA(VLOOKUP(E7034,'Urban Plastix Holds'!$I$37:$U$705,8,0),0)</f>
        <v>#NAME?</v>
      </c>
      <c r="I7034" s="274"/>
      <c r="J7034" s="274" t="e">
        <f t="shared" ca="1" si="110"/>
        <v>#NAME?</v>
      </c>
      <c r="K7034" s="274">
        <f t="shared" si="111"/>
        <v>0</v>
      </c>
      <c r="N7034" s="274"/>
    </row>
    <row r="7035" spans="5:14" ht="13.5" customHeight="1">
      <c r="E7035" s="1" t="s">
        <v>1303</v>
      </c>
      <c r="F7035" s="1" t="s">
        <v>3175</v>
      </c>
      <c r="G7035" s="411" t="str">
        <f t="shared" si="112"/>
        <v>13-01</v>
      </c>
      <c r="H7035" s="273" t="e">
        <f ca="1">_xludf.IFNA(VLOOKUP(E7035,'Urban Plastix Holds'!$I$37:$U$705,9,0),0)</f>
        <v>#NAME?</v>
      </c>
      <c r="I7035" s="274"/>
      <c r="J7035" s="274" t="e">
        <f t="shared" ca="1" si="110"/>
        <v>#NAME?</v>
      </c>
      <c r="K7035" s="274">
        <f t="shared" si="111"/>
        <v>0</v>
      </c>
      <c r="N7035" s="274"/>
    </row>
    <row r="7036" spans="5:14" ht="13.5" customHeight="1">
      <c r="E7036" s="1" t="s">
        <v>1303</v>
      </c>
      <c r="F7036" s="1" t="s">
        <v>3175</v>
      </c>
      <c r="G7036" s="413" t="str">
        <f t="shared" si="112"/>
        <v>07-13</v>
      </c>
      <c r="H7036" s="273" t="e">
        <f ca="1">_xludf.IFNA(VLOOKUP(E7036,'Urban Plastix Holds'!$I$37:$U$705,10,0),0)</f>
        <v>#NAME?</v>
      </c>
      <c r="I7036" s="274"/>
      <c r="J7036" s="274" t="e">
        <f t="shared" ca="1" si="110"/>
        <v>#NAME?</v>
      </c>
      <c r="K7036" s="274">
        <f t="shared" si="111"/>
        <v>0</v>
      </c>
      <c r="N7036" s="274"/>
    </row>
    <row r="7037" spans="5:14" ht="13.5" customHeight="1">
      <c r="E7037" s="1" t="s">
        <v>1303</v>
      </c>
      <c r="F7037" s="1" t="s">
        <v>3175</v>
      </c>
      <c r="G7037" s="414" t="str">
        <f t="shared" si="112"/>
        <v>11-26</v>
      </c>
      <c r="H7037" s="273" t="e">
        <f ca="1">_xludf.IFNA(VLOOKUP(E7037,'Urban Plastix Holds'!$I$37:$U$705,11,0),0)</f>
        <v>#NAME?</v>
      </c>
      <c r="I7037" s="274"/>
      <c r="J7037" s="274" t="e">
        <f t="shared" ca="1" si="110"/>
        <v>#NAME?</v>
      </c>
      <c r="K7037" s="274">
        <f t="shared" si="111"/>
        <v>0</v>
      </c>
      <c r="N7037" s="274"/>
    </row>
    <row r="7038" spans="5:14" ht="13.5" customHeight="1">
      <c r="E7038" s="1" t="s">
        <v>1303</v>
      </c>
      <c r="F7038" s="1" t="s">
        <v>3175</v>
      </c>
      <c r="G7038" s="415" t="str">
        <f t="shared" si="112"/>
        <v>18-01</v>
      </c>
      <c r="H7038" s="273" t="e">
        <f ca="1">_xludf.IFNA(VLOOKUP(E7038,'Urban Plastix Holds'!$I$37:$U$705,12,0),0)</f>
        <v>#NAME?</v>
      </c>
      <c r="I7038" s="274"/>
      <c r="J7038" s="274" t="e">
        <f t="shared" ca="1" si="110"/>
        <v>#NAME?</v>
      </c>
      <c r="K7038" s="274">
        <f t="shared" si="111"/>
        <v>0</v>
      </c>
      <c r="N7038" s="274"/>
    </row>
    <row r="7039" spans="5:14" ht="13.5" customHeight="1">
      <c r="E7039" s="1" t="s">
        <v>1303</v>
      </c>
      <c r="F7039" s="1" t="s">
        <v>3175</v>
      </c>
      <c r="G7039" s="416" t="str">
        <f t="shared" si="112"/>
        <v>Color Code</v>
      </c>
      <c r="H7039" s="273" t="e">
        <f ca="1">_xludf.IFNA(VLOOKUP(E7039,'Urban Plastix Holds'!$I$37:$U$705,13,0),0)</f>
        <v>#NAME?</v>
      </c>
      <c r="I7039" s="274"/>
      <c r="J7039" s="274" t="e">
        <f t="shared" ca="1" si="110"/>
        <v>#NAME?</v>
      </c>
      <c r="K7039" s="274">
        <f t="shared" si="111"/>
        <v>0</v>
      </c>
      <c r="N7039" s="274"/>
    </row>
    <row r="7040" spans="5:14" ht="13.5" customHeight="1">
      <c r="E7040" s="1" t="s">
        <v>1369</v>
      </c>
      <c r="F7040" s="1" t="s">
        <v>3176</v>
      </c>
      <c r="G7040" s="406" t="str">
        <f t="shared" si="112"/>
        <v>11-12</v>
      </c>
      <c r="H7040" s="273" t="e">
        <f ca="1">_xludf.IFNA(VLOOKUP(E7040,'Urban Plastix Holds'!$I$37:$U$705,5,0),0)</f>
        <v>#NAME?</v>
      </c>
      <c r="I7040" s="274"/>
      <c r="J7040" s="274" t="e">
        <f t="shared" ca="1" si="110"/>
        <v>#NAME?</v>
      </c>
      <c r="K7040" s="274">
        <f t="shared" si="111"/>
        <v>0</v>
      </c>
      <c r="N7040" s="274"/>
    </row>
    <row r="7041" spans="5:14" ht="13.5" customHeight="1">
      <c r="E7041" s="1" t="s">
        <v>1369</v>
      </c>
      <c r="F7041" s="1" t="s">
        <v>3176</v>
      </c>
      <c r="G7041" s="408" t="str">
        <f t="shared" si="112"/>
        <v>14-01</v>
      </c>
      <c r="H7041" s="273" t="e">
        <f ca="1">_xludf.IFNA(VLOOKUP(E7041,'Urban Plastix Holds'!$I$37:$U$705,6,0),0)</f>
        <v>#NAME?</v>
      </c>
      <c r="I7041" s="274"/>
      <c r="J7041" s="274" t="e">
        <f t="shared" ca="1" si="110"/>
        <v>#NAME?</v>
      </c>
      <c r="K7041" s="274">
        <f t="shared" si="111"/>
        <v>0</v>
      </c>
      <c r="N7041" s="274"/>
    </row>
    <row r="7042" spans="5:14" ht="13.5" customHeight="1">
      <c r="E7042" s="1" t="s">
        <v>1369</v>
      </c>
      <c r="F7042" s="1" t="s">
        <v>3176</v>
      </c>
      <c r="G7042" s="409" t="str">
        <f t="shared" si="112"/>
        <v>15-12</v>
      </c>
      <c r="H7042" s="273" t="e">
        <f ca="1">_xludf.IFNA(VLOOKUP(E7042,'Urban Plastix Holds'!$I$37:$U$705,7,0),0)</f>
        <v>#NAME?</v>
      </c>
      <c r="I7042" s="274"/>
      <c r="J7042" s="274" t="e">
        <f t="shared" ca="1" si="110"/>
        <v>#NAME?</v>
      </c>
      <c r="K7042" s="274">
        <f t="shared" si="111"/>
        <v>0</v>
      </c>
      <c r="N7042" s="274"/>
    </row>
    <row r="7043" spans="5:14" ht="13.5" customHeight="1">
      <c r="E7043" s="1" t="s">
        <v>1369</v>
      </c>
      <c r="F7043" s="1" t="s">
        <v>3176</v>
      </c>
      <c r="G7043" s="410" t="str">
        <f t="shared" si="112"/>
        <v>16-16</v>
      </c>
      <c r="H7043" s="273" t="e">
        <f ca="1">_xludf.IFNA(VLOOKUP(E7043,'Urban Plastix Holds'!$I$37:$U$705,8,0),0)</f>
        <v>#NAME?</v>
      </c>
      <c r="I7043" s="274"/>
      <c r="J7043" s="274" t="e">
        <f t="shared" ca="1" si="110"/>
        <v>#NAME?</v>
      </c>
      <c r="K7043" s="274">
        <f t="shared" si="111"/>
        <v>0</v>
      </c>
      <c r="N7043" s="274"/>
    </row>
    <row r="7044" spans="5:14" ht="13.5" customHeight="1">
      <c r="E7044" s="1" t="s">
        <v>1369</v>
      </c>
      <c r="F7044" s="1" t="s">
        <v>3176</v>
      </c>
      <c r="G7044" s="411" t="str">
        <f t="shared" si="112"/>
        <v>13-01</v>
      </c>
      <c r="H7044" s="273" t="e">
        <f ca="1">_xludf.IFNA(VLOOKUP(E7044,'Urban Plastix Holds'!$I$37:$U$705,9,0),0)</f>
        <v>#NAME?</v>
      </c>
      <c r="I7044" s="274"/>
      <c r="J7044" s="274" t="e">
        <f t="shared" ca="1" si="110"/>
        <v>#NAME?</v>
      </c>
      <c r="K7044" s="274">
        <f t="shared" si="111"/>
        <v>0</v>
      </c>
      <c r="N7044" s="274"/>
    </row>
    <row r="7045" spans="5:14" ht="13.5" customHeight="1">
      <c r="E7045" s="1" t="s">
        <v>1369</v>
      </c>
      <c r="F7045" s="1" t="s">
        <v>3176</v>
      </c>
      <c r="G7045" s="413" t="str">
        <f t="shared" si="112"/>
        <v>07-13</v>
      </c>
      <c r="H7045" s="273" t="e">
        <f ca="1">_xludf.IFNA(VLOOKUP(E7045,'Urban Plastix Holds'!$I$37:$U$705,10,0),0)</f>
        <v>#NAME?</v>
      </c>
      <c r="I7045" s="274"/>
      <c r="J7045" s="274" t="e">
        <f t="shared" ca="1" si="110"/>
        <v>#NAME?</v>
      </c>
      <c r="K7045" s="274">
        <f t="shared" si="111"/>
        <v>0</v>
      </c>
      <c r="N7045" s="274"/>
    </row>
    <row r="7046" spans="5:14" ht="13.5" customHeight="1">
      <c r="E7046" s="1" t="s">
        <v>1369</v>
      </c>
      <c r="F7046" s="1" t="s">
        <v>3176</v>
      </c>
      <c r="G7046" s="414" t="str">
        <f t="shared" si="112"/>
        <v>11-26</v>
      </c>
      <c r="H7046" s="273" t="e">
        <f ca="1">_xludf.IFNA(VLOOKUP(E7046,'Urban Plastix Holds'!$I$37:$U$705,11,0),0)</f>
        <v>#NAME?</v>
      </c>
      <c r="I7046" s="274"/>
      <c r="J7046" s="274" t="e">
        <f t="shared" ca="1" si="110"/>
        <v>#NAME?</v>
      </c>
      <c r="K7046" s="274">
        <f t="shared" si="111"/>
        <v>0</v>
      </c>
      <c r="N7046" s="274"/>
    </row>
    <row r="7047" spans="5:14" ht="13.5" customHeight="1">
      <c r="E7047" s="1" t="s">
        <v>1369</v>
      </c>
      <c r="F7047" s="1" t="s">
        <v>3176</v>
      </c>
      <c r="G7047" s="415" t="str">
        <f t="shared" si="112"/>
        <v>18-01</v>
      </c>
      <c r="H7047" s="273" t="e">
        <f ca="1">_xludf.IFNA(VLOOKUP(E7047,'Urban Plastix Holds'!$I$37:$U$705,12,0),0)</f>
        <v>#NAME?</v>
      </c>
      <c r="I7047" s="274"/>
      <c r="J7047" s="274" t="e">
        <f t="shared" ca="1" si="110"/>
        <v>#NAME?</v>
      </c>
      <c r="K7047" s="274">
        <f t="shared" si="111"/>
        <v>0</v>
      </c>
      <c r="N7047" s="274"/>
    </row>
    <row r="7048" spans="5:14" ht="13.5" customHeight="1">
      <c r="E7048" s="1" t="s">
        <v>1369</v>
      </c>
      <c r="F7048" s="1" t="s">
        <v>3176</v>
      </c>
      <c r="G7048" s="416" t="str">
        <f t="shared" si="112"/>
        <v>Color Code</v>
      </c>
      <c r="H7048" s="273" t="e">
        <f ca="1">_xludf.IFNA(VLOOKUP(E7048,'Urban Plastix Holds'!$I$37:$U$705,13,0),0)</f>
        <v>#NAME?</v>
      </c>
      <c r="I7048" s="274"/>
      <c r="J7048" s="274" t="e">
        <f t="shared" ca="1" si="110"/>
        <v>#NAME?</v>
      </c>
      <c r="K7048" s="274">
        <f t="shared" si="111"/>
        <v>0</v>
      </c>
      <c r="N7048" s="274"/>
    </row>
    <row r="7049" spans="5:14" ht="13.5" customHeight="1">
      <c r="E7049" s="1" t="s">
        <v>3177</v>
      </c>
      <c r="F7049" s="1" t="s">
        <v>3178</v>
      </c>
      <c r="G7049" s="406" t="str">
        <f t="shared" si="112"/>
        <v>11-12</v>
      </c>
      <c r="H7049" s="273" t="e">
        <f ca="1">_xludf.IFNA(VLOOKUP(E7049,'Urban Plastix Holds'!$I$37:$U$705,5,0),0)</f>
        <v>#NAME?</v>
      </c>
      <c r="I7049" s="274"/>
      <c r="J7049" s="274" t="e">
        <f t="shared" ca="1" si="110"/>
        <v>#NAME?</v>
      </c>
      <c r="K7049" s="274">
        <f t="shared" si="111"/>
        <v>0</v>
      </c>
      <c r="N7049" s="274"/>
    </row>
    <row r="7050" spans="5:14" ht="13.5" customHeight="1">
      <c r="E7050" s="1" t="s">
        <v>3177</v>
      </c>
      <c r="F7050" s="1" t="s">
        <v>3178</v>
      </c>
      <c r="G7050" s="408" t="str">
        <f t="shared" si="112"/>
        <v>14-01</v>
      </c>
      <c r="H7050" s="273" t="e">
        <f ca="1">_xludf.IFNA(VLOOKUP(E7050,'Urban Plastix Holds'!$I$37:$U$705,6,0),0)</f>
        <v>#NAME?</v>
      </c>
      <c r="I7050" s="274"/>
      <c r="J7050" s="274" t="e">
        <f t="shared" ca="1" si="110"/>
        <v>#NAME?</v>
      </c>
      <c r="K7050" s="274">
        <f t="shared" si="111"/>
        <v>0</v>
      </c>
      <c r="N7050" s="274"/>
    </row>
    <row r="7051" spans="5:14" ht="13.5" customHeight="1">
      <c r="E7051" s="1" t="s">
        <v>3177</v>
      </c>
      <c r="F7051" s="1" t="s">
        <v>3178</v>
      </c>
      <c r="G7051" s="409" t="str">
        <f t="shared" si="112"/>
        <v>15-12</v>
      </c>
      <c r="H7051" s="273" t="e">
        <f ca="1">_xludf.IFNA(VLOOKUP(E7051,'Urban Plastix Holds'!$I$37:$U$705,7,0),0)</f>
        <v>#NAME?</v>
      </c>
      <c r="I7051" s="274"/>
      <c r="J7051" s="274" t="e">
        <f t="shared" ca="1" si="110"/>
        <v>#NAME?</v>
      </c>
      <c r="K7051" s="274">
        <f t="shared" si="111"/>
        <v>0</v>
      </c>
      <c r="N7051" s="274"/>
    </row>
    <row r="7052" spans="5:14" ht="13.5" customHeight="1">
      <c r="E7052" s="1" t="s">
        <v>3177</v>
      </c>
      <c r="F7052" s="1" t="s">
        <v>3178</v>
      </c>
      <c r="G7052" s="410" t="str">
        <f t="shared" si="112"/>
        <v>16-16</v>
      </c>
      <c r="H7052" s="273" t="e">
        <f ca="1">_xludf.IFNA(VLOOKUP(E7052,'Urban Plastix Holds'!$I$37:$U$705,8,0),0)</f>
        <v>#NAME?</v>
      </c>
      <c r="I7052" s="274"/>
      <c r="J7052" s="274" t="e">
        <f t="shared" ca="1" si="110"/>
        <v>#NAME?</v>
      </c>
      <c r="K7052" s="274">
        <f t="shared" si="111"/>
        <v>0</v>
      </c>
      <c r="N7052" s="274"/>
    </row>
    <row r="7053" spans="5:14" ht="13.5" customHeight="1">
      <c r="E7053" s="1" t="s">
        <v>3177</v>
      </c>
      <c r="F7053" s="1" t="s">
        <v>3178</v>
      </c>
      <c r="G7053" s="411" t="str">
        <f t="shared" si="112"/>
        <v>13-01</v>
      </c>
      <c r="H7053" s="273" t="e">
        <f ca="1">_xludf.IFNA(VLOOKUP(E7053,'Urban Plastix Holds'!$I$37:$U$705,9,0),0)</f>
        <v>#NAME?</v>
      </c>
      <c r="I7053" s="274"/>
      <c r="J7053" s="274" t="e">
        <f t="shared" ca="1" si="110"/>
        <v>#NAME?</v>
      </c>
      <c r="K7053" s="274">
        <f t="shared" si="111"/>
        <v>0</v>
      </c>
      <c r="N7053" s="274"/>
    </row>
    <row r="7054" spans="5:14" ht="13.5" customHeight="1">
      <c r="E7054" s="1" t="s">
        <v>3177</v>
      </c>
      <c r="F7054" s="1" t="s">
        <v>3178</v>
      </c>
      <c r="G7054" s="413" t="str">
        <f t="shared" si="112"/>
        <v>07-13</v>
      </c>
      <c r="H7054" s="273" t="e">
        <f ca="1">_xludf.IFNA(VLOOKUP(E7054,'Urban Plastix Holds'!$I$37:$U$705,10,0),0)</f>
        <v>#NAME?</v>
      </c>
      <c r="I7054" s="274"/>
      <c r="J7054" s="274" t="e">
        <f t="shared" ca="1" si="110"/>
        <v>#NAME?</v>
      </c>
      <c r="K7054" s="274">
        <f t="shared" si="111"/>
        <v>0</v>
      </c>
      <c r="N7054" s="274"/>
    </row>
    <row r="7055" spans="5:14" ht="13.5" customHeight="1">
      <c r="E7055" s="1" t="s">
        <v>3177</v>
      </c>
      <c r="F7055" s="1" t="s">
        <v>3178</v>
      </c>
      <c r="G7055" s="414" t="str">
        <f t="shared" si="112"/>
        <v>11-26</v>
      </c>
      <c r="H7055" s="273" t="e">
        <f ca="1">_xludf.IFNA(VLOOKUP(E7055,'Urban Plastix Holds'!$I$37:$U$705,11,0),0)</f>
        <v>#NAME?</v>
      </c>
      <c r="I7055" s="274"/>
      <c r="J7055" s="274" t="e">
        <f t="shared" ca="1" si="110"/>
        <v>#NAME?</v>
      </c>
      <c r="K7055" s="274">
        <f t="shared" si="111"/>
        <v>0</v>
      </c>
      <c r="N7055" s="274"/>
    </row>
    <row r="7056" spans="5:14" ht="13.5" customHeight="1">
      <c r="E7056" s="1" t="s">
        <v>3177</v>
      </c>
      <c r="F7056" s="1" t="s">
        <v>3178</v>
      </c>
      <c r="G7056" s="415" t="str">
        <f t="shared" si="112"/>
        <v>18-01</v>
      </c>
      <c r="H7056" s="273" t="e">
        <f ca="1">_xludf.IFNA(VLOOKUP(E7056,'Urban Plastix Holds'!$I$37:$U$705,12,0),0)</f>
        <v>#NAME?</v>
      </c>
      <c r="I7056" s="274"/>
      <c r="J7056" s="274" t="e">
        <f t="shared" ca="1" si="110"/>
        <v>#NAME?</v>
      </c>
      <c r="K7056" s="274">
        <f t="shared" si="111"/>
        <v>0</v>
      </c>
      <c r="N7056" s="274"/>
    </row>
    <row r="7057" spans="5:14" ht="13.5" customHeight="1">
      <c r="E7057" s="1" t="s">
        <v>3177</v>
      </c>
      <c r="F7057" s="1" t="s">
        <v>3178</v>
      </c>
      <c r="G7057" s="416" t="str">
        <f t="shared" si="112"/>
        <v>Color Code</v>
      </c>
      <c r="H7057" s="273" t="e">
        <f ca="1">_xludf.IFNA(VLOOKUP(E7057,'Urban Plastix Holds'!$I$37:$U$705,13,0),0)</f>
        <v>#NAME?</v>
      </c>
      <c r="I7057" s="274"/>
      <c r="J7057" s="274" t="e">
        <f t="shared" ca="1" si="110"/>
        <v>#NAME?</v>
      </c>
      <c r="K7057" s="274">
        <f t="shared" si="111"/>
        <v>0</v>
      </c>
      <c r="N7057" s="274"/>
    </row>
    <row r="7058" spans="5:14" ht="13.5" customHeight="1">
      <c r="E7058" s="1" t="s">
        <v>3179</v>
      </c>
      <c r="F7058" s="1" t="s">
        <v>3180</v>
      </c>
      <c r="G7058" s="406" t="str">
        <f t="shared" si="112"/>
        <v>11-12</v>
      </c>
      <c r="H7058" s="273" t="e">
        <f ca="1">_xludf.IFNA(VLOOKUP(E7058,'Urban Plastix Holds'!$I$37:$U$705,5,0),0)</f>
        <v>#NAME?</v>
      </c>
      <c r="I7058" s="274"/>
      <c r="J7058" s="274" t="e">
        <f t="shared" ca="1" si="110"/>
        <v>#NAME?</v>
      </c>
      <c r="K7058" s="274">
        <f t="shared" si="111"/>
        <v>0</v>
      </c>
      <c r="N7058" s="274"/>
    </row>
    <row r="7059" spans="5:14" ht="13.5" customHeight="1">
      <c r="E7059" s="1" t="s">
        <v>3179</v>
      </c>
      <c r="F7059" s="1" t="s">
        <v>3180</v>
      </c>
      <c r="G7059" s="408" t="str">
        <f t="shared" si="112"/>
        <v>14-01</v>
      </c>
      <c r="H7059" s="273" t="e">
        <f ca="1">_xludf.IFNA(VLOOKUP(E7059,'Urban Plastix Holds'!$I$37:$U$705,6,0),0)</f>
        <v>#NAME?</v>
      </c>
      <c r="I7059" s="274"/>
      <c r="J7059" s="274" t="e">
        <f t="shared" ca="1" si="110"/>
        <v>#NAME?</v>
      </c>
      <c r="K7059" s="274">
        <f t="shared" si="111"/>
        <v>0</v>
      </c>
      <c r="N7059" s="274"/>
    </row>
    <row r="7060" spans="5:14" ht="13.5" customHeight="1">
      <c r="E7060" s="1" t="s">
        <v>3179</v>
      </c>
      <c r="F7060" s="1" t="s">
        <v>3180</v>
      </c>
      <c r="G7060" s="409" t="str">
        <f t="shared" si="112"/>
        <v>15-12</v>
      </c>
      <c r="H7060" s="273" t="e">
        <f ca="1">_xludf.IFNA(VLOOKUP(E7060,'Urban Plastix Holds'!$I$37:$U$705,7,0),0)</f>
        <v>#NAME?</v>
      </c>
      <c r="I7060" s="274"/>
      <c r="J7060" s="274" t="e">
        <f t="shared" ca="1" si="110"/>
        <v>#NAME?</v>
      </c>
      <c r="K7060" s="274">
        <f t="shared" si="111"/>
        <v>0</v>
      </c>
      <c r="N7060" s="274"/>
    </row>
    <row r="7061" spans="5:14" ht="13.5" customHeight="1">
      <c r="E7061" s="1" t="s">
        <v>3179</v>
      </c>
      <c r="F7061" s="1" t="s">
        <v>3180</v>
      </c>
      <c r="G7061" s="410" t="str">
        <f t="shared" si="112"/>
        <v>16-16</v>
      </c>
      <c r="H7061" s="273" t="e">
        <f ca="1">_xludf.IFNA(VLOOKUP(E7061,'Urban Plastix Holds'!$I$37:$U$705,8,0),0)</f>
        <v>#NAME?</v>
      </c>
      <c r="I7061" s="274"/>
      <c r="J7061" s="274" t="e">
        <f t="shared" ca="1" si="110"/>
        <v>#NAME?</v>
      </c>
      <c r="K7061" s="274">
        <f t="shared" si="111"/>
        <v>0</v>
      </c>
      <c r="N7061" s="274"/>
    </row>
    <row r="7062" spans="5:14" ht="13.5" customHeight="1">
      <c r="E7062" s="1" t="s">
        <v>3179</v>
      </c>
      <c r="F7062" s="1" t="s">
        <v>3180</v>
      </c>
      <c r="G7062" s="411" t="str">
        <f t="shared" si="112"/>
        <v>13-01</v>
      </c>
      <c r="H7062" s="273" t="e">
        <f ca="1">_xludf.IFNA(VLOOKUP(E7062,'Urban Plastix Holds'!$I$37:$U$705,9,0),0)</f>
        <v>#NAME?</v>
      </c>
      <c r="I7062" s="274"/>
      <c r="J7062" s="274" t="e">
        <f t="shared" ca="1" si="110"/>
        <v>#NAME?</v>
      </c>
      <c r="K7062" s="274">
        <f t="shared" si="111"/>
        <v>0</v>
      </c>
      <c r="N7062" s="274"/>
    </row>
    <row r="7063" spans="5:14" ht="13.5" customHeight="1">
      <c r="E7063" s="1" t="s">
        <v>3179</v>
      </c>
      <c r="F7063" s="1" t="s">
        <v>3180</v>
      </c>
      <c r="G7063" s="413" t="str">
        <f t="shared" si="112"/>
        <v>07-13</v>
      </c>
      <c r="H7063" s="273" t="e">
        <f ca="1">_xludf.IFNA(VLOOKUP(E7063,'Urban Plastix Holds'!$I$37:$U$705,10,0),0)</f>
        <v>#NAME?</v>
      </c>
      <c r="I7063" s="274"/>
      <c r="J7063" s="274" t="e">
        <f t="shared" ca="1" si="110"/>
        <v>#NAME?</v>
      </c>
      <c r="K7063" s="274">
        <f t="shared" si="111"/>
        <v>0</v>
      </c>
      <c r="N7063" s="274"/>
    </row>
    <row r="7064" spans="5:14" ht="13.5" customHeight="1">
      <c r="E7064" s="1" t="s">
        <v>3179</v>
      </c>
      <c r="F7064" s="1" t="s">
        <v>3180</v>
      </c>
      <c r="G7064" s="414" t="str">
        <f t="shared" si="112"/>
        <v>11-26</v>
      </c>
      <c r="H7064" s="273" t="e">
        <f ca="1">_xludf.IFNA(VLOOKUP(E7064,'Urban Plastix Holds'!$I$37:$U$705,11,0),0)</f>
        <v>#NAME?</v>
      </c>
      <c r="I7064" s="274"/>
      <c r="J7064" s="274" t="e">
        <f t="shared" ca="1" si="110"/>
        <v>#NAME?</v>
      </c>
      <c r="K7064" s="274">
        <f t="shared" si="111"/>
        <v>0</v>
      </c>
      <c r="N7064" s="274"/>
    </row>
    <row r="7065" spans="5:14" ht="13.5" customHeight="1">
      <c r="E7065" s="1" t="s">
        <v>3179</v>
      </c>
      <c r="F7065" s="1" t="s">
        <v>3180</v>
      </c>
      <c r="G7065" s="415" t="str">
        <f t="shared" si="112"/>
        <v>18-01</v>
      </c>
      <c r="H7065" s="273" t="e">
        <f ca="1">_xludf.IFNA(VLOOKUP(E7065,'Urban Plastix Holds'!$I$37:$U$705,12,0),0)</f>
        <v>#NAME?</v>
      </c>
      <c r="I7065" s="274"/>
      <c r="J7065" s="274" t="e">
        <f t="shared" ca="1" si="110"/>
        <v>#NAME?</v>
      </c>
      <c r="K7065" s="274">
        <f t="shared" si="111"/>
        <v>0</v>
      </c>
      <c r="N7065" s="274"/>
    </row>
    <row r="7066" spans="5:14" ht="13.5" customHeight="1">
      <c r="E7066" s="1" t="s">
        <v>3179</v>
      </c>
      <c r="F7066" s="1" t="s">
        <v>3180</v>
      </c>
      <c r="G7066" s="416" t="str">
        <f t="shared" si="112"/>
        <v>Color Code</v>
      </c>
      <c r="H7066" s="273" t="e">
        <f ca="1">_xludf.IFNA(VLOOKUP(E7066,'Urban Plastix Holds'!$I$37:$U$705,13,0),0)</f>
        <v>#NAME?</v>
      </c>
      <c r="I7066" s="274"/>
      <c r="J7066" s="274" t="e">
        <f t="shared" ca="1" si="110"/>
        <v>#NAME?</v>
      </c>
      <c r="K7066" s="274">
        <f t="shared" si="111"/>
        <v>0</v>
      </c>
      <c r="N7066" s="274"/>
    </row>
    <row r="7067" spans="5:14" ht="13.5" customHeight="1">
      <c r="E7067" s="1" t="s">
        <v>3181</v>
      </c>
      <c r="F7067" s="1" t="s">
        <v>3182</v>
      </c>
      <c r="G7067" s="406" t="str">
        <f t="shared" si="112"/>
        <v>11-12</v>
      </c>
      <c r="H7067" s="273" t="e">
        <f ca="1">_xludf.IFNA(VLOOKUP(E7067,'Urban Plastix Holds'!$I$37:$U$705,5,0),0)</f>
        <v>#NAME?</v>
      </c>
      <c r="I7067" s="274"/>
      <c r="J7067" s="274" t="e">
        <f t="shared" ca="1" si="110"/>
        <v>#NAME?</v>
      </c>
      <c r="K7067" s="274">
        <f t="shared" si="111"/>
        <v>0</v>
      </c>
      <c r="N7067" s="274"/>
    </row>
    <row r="7068" spans="5:14" ht="13.5" customHeight="1">
      <c r="E7068" s="1" t="s">
        <v>3181</v>
      </c>
      <c r="F7068" s="1" t="s">
        <v>3182</v>
      </c>
      <c r="G7068" s="408" t="str">
        <f t="shared" si="112"/>
        <v>14-01</v>
      </c>
      <c r="H7068" s="273" t="e">
        <f ca="1">_xludf.IFNA(VLOOKUP(E7068,'Urban Plastix Holds'!$I$37:$U$705,6,0),0)</f>
        <v>#NAME?</v>
      </c>
      <c r="I7068" s="274"/>
      <c r="J7068" s="274" t="e">
        <f t="shared" ca="1" si="110"/>
        <v>#NAME?</v>
      </c>
      <c r="K7068" s="274">
        <f t="shared" si="111"/>
        <v>0</v>
      </c>
      <c r="N7068" s="274"/>
    </row>
    <row r="7069" spans="5:14" ht="13.5" customHeight="1">
      <c r="E7069" s="1" t="s">
        <v>3181</v>
      </c>
      <c r="F7069" s="1" t="s">
        <v>3182</v>
      </c>
      <c r="G7069" s="409" t="str">
        <f t="shared" si="112"/>
        <v>15-12</v>
      </c>
      <c r="H7069" s="273" t="e">
        <f ca="1">_xludf.IFNA(VLOOKUP(E7069,'Urban Plastix Holds'!$I$37:$U$705,7,0),0)</f>
        <v>#NAME?</v>
      </c>
      <c r="I7069" s="274"/>
      <c r="J7069" s="274" t="e">
        <f t="shared" ca="1" si="110"/>
        <v>#NAME?</v>
      </c>
      <c r="K7069" s="274">
        <f t="shared" si="111"/>
        <v>0</v>
      </c>
      <c r="N7069" s="274"/>
    </row>
    <row r="7070" spans="5:14" ht="13.5" customHeight="1">
      <c r="E7070" s="1" t="s">
        <v>3181</v>
      </c>
      <c r="F7070" s="1" t="s">
        <v>3182</v>
      </c>
      <c r="G7070" s="410" t="str">
        <f t="shared" si="112"/>
        <v>16-16</v>
      </c>
      <c r="H7070" s="273" t="e">
        <f ca="1">_xludf.IFNA(VLOOKUP(E7070,'Urban Plastix Holds'!$I$37:$U$705,8,0),0)</f>
        <v>#NAME?</v>
      </c>
      <c r="I7070" s="274"/>
      <c r="J7070" s="274" t="e">
        <f t="shared" ca="1" si="110"/>
        <v>#NAME?</v>
      </c>
      <c r="K7070" s="274">
        <f t="shared" si="111"/>
        <v>0</v>
      </c>
      <c r="N7070" s="274"/>
    </row>
    <row r="7071" spans="5:14" ht="13.5" customHeight="1">
      <c r="E7071" s="1" t="s">
        <v>3181</v>
      </c>
      <c r="F7071" s="1" t="s">
        <v>3182</v>
      </c>
      <c r="G7071" s="411" t="str">
        <f t="shared" si="112"/>
        <v>13-01</v>
      </c>
      <c r="H7071" s="273" t="e">
        <f ca="1">_xludf.IFNA(VLOOKUP(E7071,'Urban Plastix Holds'!$I$37:$U$705,9,0),0)</f>
        <v>#NAME?</v>
      </c>
      <c r="I7071" s="274"/>
      <c r="J7071" s="274" t="e">
        <f t="shared" ca="1" si="110"/>
        <v>#NAME?</v>
      </c>
      <c r="K7071" s="274">
        <f t="shared" si="111"/>
        <v>0</v>
      </c>
      <c r="N7071" s="274"/>
    </row>
    <row r="7072" spans="5:14" ht="13.5" customHeight="1">
      <c r="E7072" s="1" t="s">
        <v>3181</v>
      </c>
      <c r="F7072" s="1" t="s">
        <v>3182</v>
      </c>
      <c r="G7072" s="413" t="str">
        <f t="shared" si="112"/>
        <v>07-13</v>
      </c>
      <c r="H7072" s="273" t="e">
        <f ca="1">_xludf.IFNA(VLOOKUP(E7072,'Urban Plastix Holds'!$I$37:$U$705,10,0),0)</f>
        <v>#NAME?</v>
      </c>
      <c r="I7072" s="274"/>
      <c r="J7072" s="274" t="e">
        <f t="shared" ca="1" si="110"/>
        <v>#NAME?</v>
      </c>
      <c r="K7072" s="274">
        <f t="shared" si="111"/>
        <v>0</v>
      </c>
      <c r="N7072" s="274"/>
    </row>
    <row r="7073" spans="5:14" ht="13.5" customHeight="1">
      <c r="E7073" s="1" t="s">
        <v>3181</v>
      </c>
      <c r="F7073" s="1" t="s">
        <v>3182</v>
      </c>
      <c r="G7073" s="414" t="str">
        <f t="shared" si="112"/>
        <v>11-26</v>
      </c>
      <c r="H7073" s="273" t="e">
        <f ca="1">_xludf.IFNA(VLOOKUP(E7073,'Urban Plastix Holds'!$I$37:$U$705,11,0),0)</f>
        <v>#NAME?</v>
      </c>
      <c r="I7073" s="274"/>
      <c r="J7073" s="274" t="e">
        <f t="shared" ca="1" si="110"/>
        <v>#NAME?</v>
      </c>
      <c r="K7073" s="274">
        <f t="shared" si="111"/>
        <v>0</v>
      </c>
      <c r="N7073" s="274"/>
    </row>
    <row r="7074" spans="5:14" ht="13.5" customHeight="1">
      <c r="E7074" s="1" t="s">
        <v>3181</v>
      </c>
      <c r="F7074" s="1" t="s">
        <v>3182</v>
      </c>
      <c r="G7074" s="415" t="str">
        <f t="shared" si="112"/>
        <v>18-01</v>
      </c>
      <c r="H7074" s="273" t="e">
        <f ca="1">_xludf.IFNA(VLOOKUP(E7074,'Urban Plastix Holds'!$I$37:$U$705,12,0),0)</f>
        <v>#NAME?</v>
      </c>
      <c r="I7074" s="274"/>
      <c r="J7074" s="274" t="e">
        <f t="shared" ca="1" si="110"/>
        <v>#NAME?</v>
      </c>
      <c r="K7074" s="274">
        <f t="shared" si="111"/>
        <v>0</v>
      </c>
      <c r="N7074" s="274"/>
    </row>
    <row r="7075" spans="5:14" ht="13.5" customHeight="1">
      <c r="E7075" s="1" t="s">
        <v>3181</v>
      </c>
      <c r="F7075" s="1" t="s">
        <v>3182</v>
      </c>
      <c r="G7075" s="416" t="str">
        <f t="shared" si="112"/>
        <v>Color Code</v>
      </c>
      <c r="H7075" s="273" t="e">
        <f ca="1">_xludf.IFNA(VLOOKUP(E7075,'Urban Plastix Holds'!$I$37:$U$705,13,0),0)</f>
        <v>#NAME?</v>
      </c>
      <c r="I7075" s="274"/>
      <c r="J7075" s="274" t="e">
        <f t="shared" ca="1" si="110"/>
        <v>#NAME?</v>
      </c>
      <c r="K7075" s="274">
        <f t="shared" si="111"/>
        <v>0</v>
      </c>
      <c r="N7075" s="274"/>
    </row>
    <row r="7076" spans="5:14" ht="13.5" customHeight="1">
      <c r="E7076" s="1" t="s">
        <v>3183</v>
      </c>
      <c r="F7076" s="1" t="s">
        <v>3184</v>
      </c>
      <c r="G7076" s="406" t="str">
        <f t="shared" si="112"/>
        <v>11-12</v>
      </c>
      <c r="H7076" s="273" t="e">
        <f ca="1">_xludf.IFNA(VLOOKUP(E7076,'Urban Plastix Holds'!$I$37:$U$705,5,0),0)</f>
        <v>#NAME?</v>
      </c>
      <c r="I7076" s="274"/>
      <c r="J7076" s="274" t="e">
        <f t="shared" ca="1" si="110"/>
        <v>#NAME?</v>
      </c>
      <c r="K7076" s="274">
        <f t="shared" si="111"/>
        <v>0</v>
      </c>
      <c r="N7076" s="274"/>
    </row>
    <row r="7077" spans="5:14" ht="13.5" customHeight="1">
      <c r="E7077" s="1" t="s">
        <v>3183</v>
      </c>
      <c r="F7077" s="1" t="s">
        <v>3184</v>
      </c>
      <c r="G7077" s="408" t="str">
        <f t="shared" si="112"/>
        <v>14-01</v>
      </c>
      <c r="H7077" s="273" t="e">
        <f ca="1">_xludf.IFNA(VLOOKUP(E7077,'Urban Plastix Holds'!$I$37:$U$705,6,0),0)</f>
        <v>#NAME?</v>
      </c>
      <c r="I7077" s="274"/>
      <c r="J7077" s="274" t="e">
        <f t="shared" ca="1" si="110"/>
        <v>#NAME?</v>
      </c>
      <c r="K7077" s="274">
        <f t="shared" si="111"/>
        <v>0</v>
      </c>
      <c r="N7077" s="274"/>
    </row>
    <row r="7078" spans="5:14" ht="13.5" customHeight="1">
      <c r="E7078" s="1" t="s">
        <v>3183</v>
      </c>
      <c r="F7078" s="1" t="s">
        <v>3184</v>
      </c>
      <c r="G7078" s="409" t="str">
        <f t="shared" si="112"/>
        <v>15-12</v>
      </c>
      <c r="H7078" s="273" t="e">
        <f ca="1">_xludf.IFNA(VLOOKUP(E7078,'Urban Plastix Holds'!$I$37:$U$705,7,0),0)</f>
        <v>#NAME?</v>
      </c>
      <c r="I7078" s="274"/>
      <c r="J7078" s="274" t="e">
        <f t="shared" ca="1" si="110"/>
        <v>#NAME?</v>
      </c>
      <c r="K7078" s="274">
        <f t="shared" si="111"/>
        <v>0</v>
      </c>
      <c r="N7078" s="274"/>
    </row>
    <row r="7079" spans="5:14" ht="13.5" customHeight="1">
      <c r="E7079" s="1" t="s">
        <v>3183</v>
      </c>
      <c r="F7079" s="1" t="s">
        <v>3184</v>
      </c>
      <c r="G7079" s="410" t="str">
        <f t="shared" si="112"/>
        <v>16-16</v>
      </c>
      <c r="H7079" s="273" t="e">
        <f ca="1">_xludf.IFNA(VLOOKUP(E7079,'Urban Plastix Holds'!$I$37:$U$705,8,0),0)</f>
        <v>#NAME?</v>
      </c>
      <c r="I7079" s="274"/>
      <c r="J7079" s="274" t="e">
        <f t="shared" ca="1" si="110"/>
        <v>#NAME?</v>
      </c>
      <c r="K7079" s="274">
        <f t="shared" si="111"/>
        <v>0</v>
      </c>
      <c r="N7079" s="274"/>
    </row>
    <row r="7080" spans="5:14" ht="13.5" customHeight="1">
      <c r="E7080" s="1" t="s">
        <v>3183</v>
      </c>
      <c r="F7080" s="1" t="s">
        <v>3184</v>
      </c>
      <c r="G7080" s="411" t="str">
        <f t="shared" si="112"/>
        <v>13-01</v>
      </c>
      <c r="H7080" s="273" t="e">
        <f ca="1">_xludf.IFNA(VLOOKUP(E7080,'Urban Plastix Holds'!$I$37:$U$705,9,0),0)</f>
        <v>#NAME?</v>
      </c>
      <c r="I7080" s="274"/>
      <c r="J7080" s="274" t="e">
        <f t="shared" ca="1" si="110"/>
        <v>#NAME?</v>
      </c>
      <c r="K7080" s="274">
        <f t="shared" si="111"/>
        <v>0</v>
      </c>
      <c r="N7080" s="274"/>
    </row>
    <row r="7081" spans="5:14" ht="13.5" customHeight="1">
      <c r="E7081" s="1" t="s">
        <v>3183</v>
      </c>
      <c r="F7081" s="1" t="s">
        <v>3184</v>
      </c>
      <c r="G7081" s="413" t="str">
        <f t="shared" si="112"/>
        <v>07-13</v>
      </c>
      <c r="H7081" s="273" t="e">
        <f ca="1">_xludf.IFNA(VLOOKUP(E7081,'Urban Plastix Holds'!$I$37:$U$705,10,0),0)</f>
        <v>#NAME?</v>
      </c>
      <c r="I7081" s="274"/>
      <c r="J7081" s="274" t="e">
        <f t="shared" ca="1" si="110"/>
        <v>#NAME?</v>
      </c>
      <c r="K7081" s="274">
        <f t="shared" si="111"/>
        <v>0</v>
      </c>
      <c r="N7081" s="274"/>
    </row>
    <row r="7082" spans="5:14" ht="13.5" customHeight="1">
      <c r="E7082" s="1" t="s">
        <v>3183</v>
      </c>
      <c r="F7082" s="1" t="s">
        <v>3184</v>
      </c>
      <c r="G7082" s="414" t="str">
        <f t="shared" si="112"/>
        <v>11-26</v>
      </c>
      <c r="H7082" s="273" t="e">
        <f ca="1">_xludf.IFNA(VLOOKUP(E7082,'Urban Plastix Holds'!$I$37:$U$705,11,0),0)</f>
        <v>#NAME?</v>
      </c>
      <c r="I7082" s="274"/>
      <c r="J7082" s="274" t="e">
        <f t="shared" ca="1" si="110"/>
        <v>#NAME?</v>
      </c>
      <c r="K7082" s="274">
        <f t="shared" si="111"/>
        <v>0</v>
      </c>
      <c r="N7082" s="274"/>
    </row>
    <row r="7083" spans="5:14" ht="13.5" customHeight="1">
      <c r="E7083" s="1" t="s">
        <v>3183</v>
      </c>
      <c r="F7083" s="1" t="s">
        <v>3184</v>
      </c>
      <c r="G7083" s="415" t="str">
        <f t="shared" si="112"/>
        <v>18-01</v>
      </c>
      <c r="H7083" s="273" t="e">
        <f ca="1">_xludf.IFNA(VLOOKUP(E7083,'Urban Plastix Holds'!$I$37:$U$705,12,0),0)</f>
        <v>#NAME?</v>
      </c>
      <c r="I7083" s="274"/>
      <c r="J7083" s="274" t="e">
        <f t="shared" ca="1" si="110"/>
        <v>#NAME?</v>
      </c>
      <c r="K7083" s="274">
        <f t="shared" si="111"/>
        <v>0</v>
      </c>
      <c r="N7083" s="274"/>
    </row>
    <row r="7084" spans="5:14" ht="13.5" customHeight="1">
      <c r="E7084" s="1" t="s">
        <v>3183</v>
      </c>
      <c r="F7084" s="1" t="s">
        <v>3184</v>
      </c>
      <c r="G7084" s="416" t="str">
        <f t="shared" si="112"/>
        <v>Color Code</v>
      </c>
      <c r="H7084" s="273" t="e">
        <f ca="1">_xludf.IFNA(VLOOKUP(E7084,'Urban Plastix Holds'!$I$37:$U$705,13,0),0)</f>
        <v>#NAME?</v>
      </c>
      <c r="I7084" s="274"/>
      <c r="J7084" s="274" t="e">
        <f t="shared" ca="1" si="110"/>
        <v>#NAME?</v>
      </c>
      <c r="K7084" s="274">
        <f t="shared" si="111"/>
        <v>0</v>
      </c>
      <c r="N7084" s="274"/>
    </row>
    <row r="7085" spans="5:14" ht="13.5" customHeight="1">
      <c r="E7085" s="1" t="s">
        <v>1723</v>
      </c>
      <c r="F7085" s="1" t="s">
        <v>3185</v>
      </c>
      <c r="G7085" s="406" t="str">
        <f t="shared" si="112"/>
        <v>11-12</v>
      </c>
      <c r="H7085" s="273" t="e">
        <f ca="1">_xludf.IFNA(VLOOKUP(E7085,'Urban Plastix Holds'!$I$37:$U$705,5,0),0)</f>
        <v>#NAME?</v>
      </c>
      <c r="I7085" s="274"/>
      <c r="J7085" s="274" t="e">
        <f t="shared" ca="1" si="110"/>
        <v>#NAME?</v>
      </c>
      <c r="K7085" s="274">
        <f t="shared" si="111"/>
        <v>0</v>
      </c>
      <c r="N7085" s="274"/>
    </row>
    <row r="7086" spans="5:14" ht="13.5" customHeight="1">
      <c r="E7086" s="1" t="s">
        <v>1723</v>
      </c>
      <c r="F7086" s="1" t="s">
        <v>3185</v>
      </c>
      <c r="G7086" s="408" t="str">
        <f t="shared" si="112"/>
        <v>14-01</v>
      </c>
      <c r="H7086" s="273" t="e">
        <f ca="1">_xludf.IFNA(VLOOKUP(E7086,'Urban Plastix Holds'!$I$37:$U$705,6,0),0)</f>
        <v>#NAME?</v>
      </c>
      <c r="I7086" s="274"/>
      <c r="J7086" s="274" t="e">
        <f t="shared" ca="1" si="110"/>
        <v>#NAME?</v>
      </c>
      <c r="K7086" s="274">
        <f t="shared" si="111"/>
        <v>0</v>
      </c>
      <c r="N7086" s="274"/>
    </row>
    <row r="7087" spans="5:14" ht="13.5" customHeight="1">
      <c r="E7087" s="1" t="s">
        <v>1723</v>
      </c>
      <c r="F7087" s="1" t="s">
        <v>3185</v>
      </c>
      <c r="G7087" s="409" t="str">
        <f t="shared" si="112"/>
        <v>15-12</v>
      </c>
      <c r="H7087" s="273" t="e">
        <f ca="1">_xludf.IFNA(VLOOKUP(E7087,'Urban Plastix Holds'!$I$37:$U$705,7,0),0)</f>
        <v>#NAME?</v>
      </c>
      <c r="I7087" s="274"/>
      <c r="J7087" s="274" t="e">
        <f t="shared" ca="1" si="110"/>
        <v>#NAME?</v>
      </c>
      <c r="K7087" s="274">
        <f t="shared" si="111"/>
        <v>0</v>
      </c>
      <c r="N7087" s="274"/>
    </row>
    <row r="7088" spans="5:14" ht="13.5" customHeight="1">
      <c r="E7088" s="1" t="s">
        <v>1723</v>
      </c>
      <c r="F7088" s="1" t="s">
        <v>3185</v>
      </c>
      <c r="G7088" s="410" t="str">
        <f t="shared" si="112"/>
        <v>16-16</v>
      </c>
      <c r="H7088" s="273" t="e">
        <f ca="1">_xludf.IFNA(VLOOKUP(E7088,'Urban Plastix Holds'!$I$37:$U$705,8,0),0)</f>
        <v>#NAME?</v>
      </c>
      <c r="I7088" s="274"/>
      <c r="J7088" s="274" t="e">
        <f t="shared" ca="1" si="110"/>
        <v>#NAME?</v>
      </c>
      <c r="K7088" s="274">
        <f t="shared" si="111"/>
        <v>0</v>
      </c>
      <c r="N7088" s="274"/>
    </row>
    <row r="7089" spans="5:14" ht="13.5" customHeight="1">
      <c r="E7089" s="1" t="s">
        <v>1723</v>
      </c>
      <c r="F7089" s="1" t="s">
        <v>3185</v>
      </c>
      <c r="G7089" s="411" t="str">
        <f t="shared" si="112"/>
        <v>13-01</v>
      </c>
      <c r="H7089" s="273" t="e">
        <f ca="1">_xludf.IFNA(VLOOKUP(E7089,'Urban Plastix Holds'!$I$37:$U$705,9,0),0)</f>
        <v>#NAME?</v>
      </c>
      <c r="I7089" s="274"/>
      <c r="J7089" s="274" t="e">
        <f t="shared" ca="1" si="110"/>
        <v>#NAME?</v>
      </c>
      <c r="K7089" s="274">
        <f t="shared" si="111"/>
        <v>0</v>
      </c>
      <c r="N7089" s="274"/>
    </row>
    <row r="7090" spans="5:14" ht="13.5" customHeight="1">
      <c r="E7090" s="1" t="s">
        <v>1723</v>
      </c>
      <c r="F7090" s="1" t="s">
        <v>3185</v>
      </c>
      <c r="G7090" s="413" t="str">
        <f t="shared" si="112"/>
        <v>07-13</v>
      </c>
      <c r="H7090" s="273" t="e">
        <f ca="1">_xludf.IFNA(VLOOKUP(E7090,'Urban Plastix Holds'!$I$37:$U$705,10,0),0)</f>
        <v>#NAME?</v>
      </c>
      <c r="I7090" s="274"/>
      <c r="J7090" s="274" t="e">
        <f t="shared" ca="1" si="110"/>
        <v>#NAME?</v>
      </c>
      <c r="K7090" s="274">
        <f t="shared" si="111"/>
        <v>0</v>
      </c>
      <c r="N7090" s="274"/>
    </row>
    <row r="7091" spans="5:14" ht="13.5" customHeight="1">
      <c r="E7091" s="1" t="s">
        <v>1723</v>
      </c>
      <c r="F7091" s="1" t="s">
        <v>3185</v>
      </c>
      <c r="G7091" s="414" t="str">
        <f t="shared" si="112"/>
        <v>11-26</v>
      </c>
      <c r="H7091" s="273" t="e">
        <f ca="1">_xludf.IFNA(VLOOKUP(E7091,'Urban Plastix Holds'!$I$37:$U$705,11,0),0)</f>
        <v>#NAME?</v>
      </c>
      <c r="I7091" s="274"/>
      <c r="J7091" s="274" t="e">
        <f t="shared" ca="1" si="110"/>
        <v>#NAME?</v>
      </c>
      <c r="K7091" s="274">
        <f t="shared" si="111"/>
        <v>0</v>
      </c>
      <c r="N7091" s="274"/>
    </row>
    <row r="7092" spans="5:14" ht="13.5" customHeight="1">
      <c r="E7092" s="1" t="s">
        <v>1723</v>
      </c>
      <c r="F7092" s="1" t="s">
        <v>3185</v>
      </c>
      <c r="G7092" s="415" t="str">
        <f t="shared" si="112"/>
        <v>18-01</v>
      </c>
      <c r="H7092" s="273" t="e">
        <f ca="1">_xludf.IFNA(VLOOKUP(E7092,'Urban Plastix Holds'!$I$37:$U$705,12,0),0)</f>
        <v>#NAME?</v>
      </c>
      <c r="I7092" s="274"/>
      <c r="J7092" s="274" t="e">
        <f t="shared" ca="1" si="110"/>
        <v>#NAME?</v>
      </c>
      <c r="K7092" s="274">
        <f t="shared" si="111"/>
        <v>0</v>
      </c>
      <c r="N7092" s="274"/>
    </row>
    <row r="7093" spans="5:14" ht="13.5" customHeight="1">
      <c r="E7093" s="1" t="s">
        <v>1723</v>
      </c>
      <c r="F7093" s="1" t="s">
        <v>3185</v>
      </c>
      <c r="G7093" s="416" t="str">
        <f t="shared" si="112"/>
        <v>Color Code</v>
      </c>
      <c r="H7093" s="273" t="e">
        <f ca="1">_xludf.IFNA(VLOOKUP(E7093,'Urban Plastix Holds'!$I$37:$U$705,13,0),0)</f>
        <v>#NAME?</v>
      </c>
      <c r="I7093" s="274"/>
      <c r="J7093" s="274" t="e">
        <f t="shared" ca="1" si="110"/>
        <v>#NAME?</v>
      </c>
      <c r="K7093" s="274">
        <f t="shared" si="111"/>
        <v>0</v>
      </c>
      <c r="N7093" s="274"/>
    </row>
    <row r="7094" spans="5:14" ht="13.5" customHeight="1">
      <c r="E7094" s="1" t="s">
        <v>3186</v>
      </c>
      <c r="F7094" s="1" t="s">
        <v>3187</v>
      </c>
      <c r="G7094" s="406" t="str">
        <f t="shared" si="112"/>
        <v>11-12</v>
      </c>
      <c r="H7094" s="273" t="e">
        <f ca="1">_xludf.IFNA(VLOOKUP(E7094,'Urban Plastix Holds'!$I$37:$U$705,5,0),0)</f>
        <v>#NAME?</v>
      </c>
      <c r="I7094" s="274"/>
      <c r="J7094" s="274" t="e">
        <f t="shared" ca="1" si="110"/>
        <v>#NAME?</v>
      </c>
      <c r="K7094" s="274">
        <f t="shared" si="111"/>
        <v>0</v>
      </c>
      <c r="N7094" s="274"/>
    </row>
    <row r="7095" spans="5:14" ht="13.5" customHeight="1">
      <c r="E7095" s="1" t="s">
        <v>3186</v>
      </c>
      <c r="F7095" s="1" t="s">
        <v>3187</v>
      </c>
      <c r="G7095" s="408" t="str">
        <f t="shared" si="112"/>
        <v>14-01</v>
      </c>
      <c r="H7095" s="273" t="e">
        <f ca="1">_xludf.IFNA(VLOOKUP(E7095,'Urban Plastix Holds'!$I$37:$U$705,6,0),0)</f>
        <v>#NAME?</v>
      </c>
      <c r="I7095" s="274"/>
      <c r="J7095" s="274" t="e">
        <f t="shared" ca="1" si="110"/>
        <v>#NAME?</v>
      </c>
      <c r="K7095" s="274">
        <f t="shared" si="111"/>
        <v>0</v>
      </c>
      <c r="N7095" s="274"/>
    </row>
    <row r="7096" spans="5:14" ht="13.5" customHeight="1">
      <c r="E7096" s="1" t="s">
        <v>3186</v>
      </c>
      <c r="F7096" s="1" t="s">
        <v>3187</v>
      </c>
      <c r="G7096" s="409" t="str">
        <f t="shared" si="112"/>
        <v>15-12</v>
      </c>
      <c r="H7096" s="273" t="e">
        <f ca="1">_xludf.IFNA(VLOOKUP(E7096,'Urban Plastix Holds'!$I$37:$U$705,7,0),0)</f>
        <v>#NAME?</v>
      </c>
      <c r="I7096" s="274"/>
      <c r="J7096" s="274" t="e">
        <f t="shared" ca="1" si="110"/>
        <v>#NAME?</v>
      </c>
      <c r="K7096" s="274">
        <f t="shared" si="111"/>
        <v>0</v>
      </c>
      <c r="N7096" s="274"/>
    </row>
    <row r="7097" spans="5:14" ht="13.5" customHeight="1">
      <c r="E7097" s="1" t="s">
        <v>3186</v>
      </c>
      <c r="F7097" s="1" t="s">
        <v>3187</v>
      </c>
      <c r="G7097" s="410" t="str">
        <f t="shared" si="112"/>
        <v>16-16</v>
      </c>
      <c r="H7097" s="273" t="e">
        <f ca="1">_xludf.IFNA(VLOOKUP(E7097,'Urban Plastix Holds'!$I$37:$U$705,8,0),0)</f>
        <v>#NAME?</v>
      </c>
      <c r="I7097" s="274"/>
      <c r="J7097" s="274" t="e">
        <f t="shared" ca="1" si="110"/>
        <v>#NAME?</v>
      </c>
      <c r="K7097" s="274">
        <f t="shared" si="111"/>
        <v>0</v>
      </c>
      <c r="N7097" s="274"/>
    </row>
    <row r="7098" spans="5:14" ht="13.5" customHeight="1">
      <c r="E7098" s="1" t="s">
        <v>3186</v>
      </c>
      <c r="F7098" s="1" t="s">
        <v>3187</v>
      </c>
      <c r="G7098" s="411" t="str">
        <f t="shared" si="112"/>
        <v>13-01</v>
      </c>
      <c r="H7098" s="273" t="e">
        <f ca="1">_xludf.IFNA(VLOOKUP(E7098,'Urban Plastix Holds'!$I$37:$U$705,9,0),0)</f>
        <v>#NAME?</v>
      </c>
      <c r="I7098" s="274"/>
      <c r="J7098" s="274" t="e">
        <f t="shared" ca="1" si="110"/>
        <v>#NAME?</v>
      </c>
      <c r="K7098" s="274">
        <f t="shared" si="111"/>
        <v>0</v>
      </c>
      <c r="N7098" s="274"/>
    </row>
    <row r="7099" spans="5:14" ht="13.5" customHeight="1">
      <c r="E7099" s="1" t="s">
        <v>3186</v>
      </c>
      <c r="F7099" s="1" t="s">
        <v>3187</v>
      </c>
      <c r="G7099" s="413" t="str">
        <f t="shared" si="112"/>
        <v>07-13</v>
      </c>
      <c r="H7099" s="273" t="e">
        <f ca="1">_xludf.IFNA(VLOOKUP(E7099,'Urban Plastix Holds'!$I$37:$U$705,10,0),0)</f>
        <v>#NAME?</v>
      </c>
      <c r="I7099" s="274"/>
      <c r="J7099" s="274" t="e">
        <f t="shared" ca="1" si="110"/>
        <v>#NAME?</v>
      </c>
      <c r="K7099" s="274">
        <f t="shared" si="111"/>
        <v>0</v>
      </c>
      <c r="N7099" s="274"/>
    </row>
    <row r="7100" spans="5:14" ht="13.5" customHeight="1">
      <c r="E7100" s="1" t="s">
        <v>3186</v>
      </c>
      <c r="F7100" s="1" t="s">
        <v>3187</v>
      </c>
      <c r="G7100" s="414" t="str">
        <f t="shared" si="112"/>
        <v>11-26</v>
      </c>
      <c r="H7100" s="273" t="e">
        <f ca="1">_xludf.IFNA(VLOOKUP(E7100,'Urban Plastix Holds'!$I$37:$U$705,11,0),0)</f>
        <v>#NAME?</v>
      </c>
      <c r="I7100" s="274"/>
      <c r="J7100" s="274" t="e">
        <f t="shared" ca="1" si="110"/>
        <v>#NAME?</v>
      </c>
      <c r="K7100" s="274">
        <f t="shared" si="111"/>
        <v>0</v>
      </c>
      <c r="N7100" s="274"/>
    </row>
    <row r="7101" spans="5:14" ht="13.5" customHeight="1">
      <c r="E7101" s="1" t="s">
        <v>3186</v>
      </c>
      <c r="F7101" s="1" t="s">
        <v>3187</v>
      </c>
      <c r="G7101" s="415" t="str">
        <f t="shared" si="112"/>
        <v>18-01</v>
      </c>
      <c r="H7101" s="273" t="e">
        <f ca="1">_xludf.IFNA(VLOOKUP(E7101,'Urban Plastix Holds'!$I$37:$U$705,12,0),0)</f>
        <v>#NAME?</v>
      </c>
      <c r="I7101" s="274"/>
      <c r="J7101" s="274" t="e">
        <f t="shared" ca="1" si="110"/>
        <v>#NAME?</v>
      </c>
      <c r="K7101" s="274">
        <f t="shared" si="111"/>
        <v>0</v>
      </c>
      <c r="N7101" s="274"/>
    </row>
    <row r="7102" spans="5:14" ht="13.5" customHeight="1">
      <c r="E7102" s="1" t="s">
        <v>3186</v>
      </c>
      <c r="F7102" s="1" t="s">
        <v>3187</v>
      </c>
      <c r="G7102" s="416" t="str">
        <f t="shared" si="112"/>
        <v>Color Code</v>
      </c>
      <c r="H7102" s="273" t="e">
        <f ca="1">_xludf.IFNA(VLOOKUP(E7102,'Urban Plastix Holds'!$I$37:$U$705,13,0),0)</f>
        <v>#NAME?</v>
      </c>
      <c r="I7102" s="274"/>
      <c r="J7102" s="274" t="e">
        <f t="shared" ca="1" si="110"/>
        <v>#NAME?</v>
      </c>
      <c r="K7102" s="274">
        <f t="shared" si="111"/>
        <v>0</v>
      </c>
      <c r="N7102" s="274"/>
    </row>
    <row r="7103" spans="5:14" ht="13.5" customHeight="1">
      <c r="E7103" s="1" t="s">
        <v>1565</v>
      </c>
      <c r="F7103" s="1" t="s">
        <v>3188</v>
      </c>
      <c r="G7103" s="406" t="str">
        <f t="shared" si="112"/>
        <v>11-12</v>
      </c>
      <c r="H7103" s="273" t="e">
        <f ca="1">_xludf.IFNA(VLOOKUP(E7103,'Urban Plastix Holds'!$I$37:$U$705,5,0),0)</f>
        <v>#NAME?</v>
      </c>
      <c r="I7103" s="274"/>
      <c r="J7103" s="274" t="e">
        <f t="shared" ca="1" si="110"/>
        <v>#NAME?</v>
      </c>
      <c r="K7103" s="274">
        <f t="shared" si="111"/>
        <v>0</v>
      </c>
      <c r="N7103" s="274"/>
    </row>
    <row r="7104" spans="5:14" ht="13.5" customHeight="1">
      <c r="E7104" s="1" t="s">
        <v>1565</v>
      </c>
      <c r="F7104" s="1" t="s">
        <v>3188</v>
      </c>
      <c r="G7104" s="408" t="str">
        <f t="shared" si="112"/>
        <v>14-01</v>
      </c>
      <c r="H7104" s="273" t="e">
        <f ca="1">_xludf.IFNA(VLOOKUP(E7104,'Urban Plastix Holds'!$I$37:$U$705,6,0),0)</f>
        <v>#NAME?</v>
      </c>
      <c r="I7104" s="274"/>
      <c r="J7104" s="274" t="e">
        <f t="shared" ca="1" si="110"/>
        <v>#NAME?</v>
      </c>
      <c r="K7104" s="274">
        <f t="shared" si="111"/>
        <v>0</v>
      </c>
      <c r="N7104" s="274"/>
    </row>
    <row r="7105" spans="5:14" ht="13.5" customHeight="1">
      <c r="E7105" s="1" t="s">
        <v>1565</v>
      </c>
      <c r="F7105" s="1" t="s">
        <v>3188</v>
      </c>
      <c r="G7105" s="409" t="str">
        <f t="shared" si="112"/>
        <v>15-12</v>
      </c>
      <c r="H7105" s="273" t="e">
        <f ca="1">_xludf.IFNA(VLOOKUP(E7105,'Urban Plastix Holds'!$I$37:$U$705,7,0),0)</f>
        <v>#NAME?</v>
      </c>
      <c r="I7105" s="274"/>
      <c r="J7105" s="274" t="e">
        <f t="shared" ca="1" si="110"/>
        <v>#NAME?</v>
      </c>
      <c r="K7105" s="274">
        <f t="shared" si="111"/>
        <v>0</v>
      </c>
      <c r="N7105" s="274"/>
    </row>
    <row r="7106" spans="5:14" ht="13.5" customHeight="1">
      <c r="E7106" s="1" t="s">
        <v>1565</v>
      </c>
      <c r="F7106" s="1" t="s">
        <v>3188</v>
      </c>
      <c r="G7106" s="410" t="str">
        <f t="shared" si="112"/>
        <v>16-16</v>
      </c>
      <c r="H7106" s="273" t="e">
        <f ca="1">_xludf.IFNA(VLOOKUP(E7106,'Urban Plastix Holds'!$I$37:$U$705,8,0),0)</f>
        <v>#NAME?</v>
      </c>
      <c r="I7106" s="274"/>
      <c r="J7106" s="274" t="e">
        <f t="shared" ca="1" si="110"/>
        <v>#NAME?</v>
      </c>
      <c r="K7106" s="274">
        <f t="shared" si="111"/>
        <v>0</v>
      </c>
      <c r="N7106" s="274"/>
    </row>
    <row r="7107" spans="5:14" ht="13.5" customHeight="1">
      <c r="E7107" s="1" t="s">
        <v>1565</v>
      </c>
      <c r="F7107" s="1" t="s">
        <v>3188</v>
      </c>
      <c r="G7107" s="411" t="str">
        <f t="shared" si="112"/>
        <v>13-01</v>
      </c>
      <c r="H7107" s="273" t="e">
        <f ca="1">_xludf.IFNA(VLOOKUP(E7107,'Urban Plastix Holds'!$I$37:$U$705,9,0),0)</f>
        <v>#NAME?</v>
      </c>
      <c r="I7107" s="274"/>
      <c r="J7107" s="274" t="e">
        <f t="shared" ca="1" si="110"/>
        <v>#NAME?</v>
      </c>
      <c r="K7107" s="274">
        <f t="shared" si="111"/>
        <v>0</v>
      </c>
      <c r="N7107" s="274"/>
    </row>
    <row r="7108" spans="5:14" ht="13.5" customHeight="1">
      <c r="E7108" s="1" t="s">
        <v>1565</v>
      </c>
      <c r="F7108" s="1" t="s">
        <v>3188</v>
      </c>
      <c r="G7108" s="413" t="str">
        <f t="shared" si="112"/>
        <v>07-13</v>
      </c>
      <c r="H7108" s="273" t="e">
        <f ca="1">_xludf.IFNA(VLOOKUP(E7108,'Urban Plastix Holds'!$I$37:$U$705,10,0),0)</f>
        <v>#NAME?</v>
      </c>
      <c r="I7108" s="274"/>
      <c r="J7108" s="274" t="e">
        <f t="shared" ca="1" si="110"/>
        <v>#NAME?</v>
      </c>
      <c r="K7108" s="274">
        <f t="shared" si="111"/>
        <v>0</v>
      </c>
      <c r="N7108" s="274"/>
    </row>
    <row r="7109" spans="5:14" ht="13.5" customHeight="1">
      <c r="E7109" s="1" t="s">
        <v>1565</v>
      </c>
      <c r="F7109" s="1" t="s">
        <v>3188</v>
      </c>
      <c r="G7109" s="414" t="str">
        <f t="shared" si="112"/>
        <v>11-26</v>
      </c>
      <c r="H7109" s="273" t="e">
        <f ca="1">_xludf.IFNA(VLOOKUP(E7109,'Urban Plastix Holds'!$I$37:$U$705,11,0),0)</f>
        <v>#NAME?</v>
      </c>
      <c r="I7109" s="274"/>
      <c r="J7109" s="274" t="e">
        <f t="shared" ca="1" si="110"/>
        <v>#NAME?</v>
      </c>
      <c r="K7109" s="274">
        <f t="shared" si="111"/>
        <v>0</v>
      </c>
      <c r="N7109" s="274"/>
    </row>
    <row r="7110" spans="5:14" ht="13.5" customHeight="1">
      <c r="E7110" s="1" t="s">
        <v>1565</v>
      </c>
      <c r="F7110" s="1" t="s">
        <v>3188</v>
      </c>
      <c r="G7110" s="415" t="str">
        <f t="shared" si="112"/>
        <v>18-01</v>
      </c>
      <c r="H7110" s="273" t="e">
        <f ca="1">_xludf.IFNA(VLOOKUP(E7110,'Urban Plastix Holds'!$I$37:$U$705,12,0),0)</f>
        <v>#NAME?</v>
      </c>
      <c r="I7110" s="274"/>
      <c r="J7110" s="274" t="e">
        <f t="shared" ca="1" si="110"/>
        <v>#NAME?</v>
      </c>
      <c r="K7110" s="274">
        <f t="shared" si="111"/>
        <v>0</v>
      </c>
      <c r="N7110" s="274"/>
    </row>
    <row r="7111" spans="5:14" ht="13.5" customHeight="1">
      <c r="E7111" s="1" t="s">
        <v>1565</v>
      </c>
      <c r="F7111" s="1" t="s">
        <v>3188</v>
      </c>
      <c r="G7111" s="416" t="str">
        <f t="shared" si="112"/>
        <v>Color Code</v>
      </c>
      <c r="H7111" s="273" t="e">
        <f ca="1">_xludf.IFNA(VLOOKUP(E7111,'Urban Plastix Holds'!$I$37:$U$705,13,0),0)</f>
        <v>#NAME?</v>
      </c>
      <c r="I7111" s="274"/>
      <c r="J7111" s="274" t="e">
        <f t="shared" ca="1" si="110"/>
        <v>#NAME?</v>
      </c>
      <c r="K7111" s="274">
        <f t="shared" si="111"/>
        <v>0</v>
      </c>
      <c r="N7111" s="274"/>
    </row>
    <row r="7112" spans="5:14" ht="13.5" customHeight="1">
      <c r="E7112" s="1" t="s">
        <v>1692</v>
      </c>
      <c r="F7112" s="1" t="s">
        <v>3189</v>
      </c>
      <c r="G7112" s="406" t="str">
        <f t="shared" si="112"/>
        <v>11-12</v>
      </c>
      <c r="H7112" s="273" t="e">
        <f ca="1">_xludf.IFNA(VLOOKUP(E7112,'Urban Plastix Holds'!$I$37:$U$705,5,0),0)</f>
        <v>#NAME?</v>
      </c>
      <c r="I7112" s="274"/>
      <c r="J7112" s="274" t="e">
        <f t="shared" ca="1" si="110"/>
        <v>#NAME?</v>
      </c>
      <c r="K7112" s="274">
        <f t="shared" si="111"/>
        <v>0</v>
      </c>
      <c r="N7112" s="274"/>
    </row>
    <row r="7113" spans="5:14" ht="13.5" customHeight="1">
      <c r="E7113" s="1" t="s">
        <v>1692</v>
      </c>
      <c r="F7113" s="1" t="s">
        <v>3189</v>
      </c>
      <c r="G7113" s="408" t="str">
        <f t="shared" si="112"/>
        <v>14-01</v>
      </c>
      <c r="H7113" s="273" t="e">
        <f ca="1">_xludf.IFNA(VLOOKUP(E7113,'Urban Plastix Holds'!$I$37:$U$705,6,0),0)</f>
        <v>#NAME?</v>
      </c>
      <c r="I7113" s="274"/>
      <c r="J7113" s="274" t="e">
        <f t="shared" ca="1" si="110"/>
        <v>#NAME?</v>
      </c>
      <c r="K7113" s="274">
        <f t="shared" si="111"/>
        <v>0</v>
      </c>
      <c r="N7113" s="274"/>
    </row>
    <row r="7114" spans="5:14" ht="13.5" customHeight="1">
      <c r="E7114" s="1" t="s">
        <v>1692</v>
      </c>
      <c r="F7114" s="1" t="s">
        <v>3189</v>
      </c>
      <c r="G7114" s="409" t="str">
        <f t="shared" si="112"/>
        <v>15-12</v>
      </c>
      <c r="H7114" s="273" t="e">
        <f ca="1">_xludf.IFNA(VLOOKUP(E7114,'Urban Plastix Holds'!$I$37:$U$705,7,0),0)</f>
        <v>#NAME?</v>
      </c>
      <c r="I7114" s="274"/>
      <c r="J7114" s="274" t="e">
        <f t="shared" ca="1" si="110"/>
        <v>#NAME?</v>
      </c>
      <c r="K7114" s="274">
        <f t="shared" si="111"/>
        <v>0</v>
      </c>
      <c r="N7114" s="274"/>
    </row>
    <row r="7115" spans="5:14" ht="13.5" customHeight="1">
      <c r="E7115" s="1" t="s">
        <v>1692</v>
      </c>
      <c r="F7115" s="1" t="s">
        <v>3189</v>
      </c>
      <c r="G7115" s="410" t="str">
        <f t="shared" si="112"/>
        <v>16-16</v>
      </c>
      <c r="H7115" s="273" t="e">
        <f ca="1">_xludf.IFNA(VLOOKUP(E7115,'Urban Plastix Holds'!$I$37:$U$705,8,0),0)</f>
        <v>#NAME?</v>
      </c>
      <c r="I7115" s="274"/>
      <c r="J7115" s="274" t="e">
        <f t="shared" ca="1" si="110"/>
        <v>#NAME?</v>
      </c>
      <c r="K7115" s="274">
        <f t="shared" si="111"/>
        <v>0</v>
      </c>
      <c r="N7115" s="274"/>
    </row>
    <row r="7116" spans="5:14" ht="13.5" customHeight="1">
      <c r="E7116" s="1" t="s">
        <v>1692</v>
      </c>
      <c r="F7116" s="1" t="s">
        <v>3189</v>
      </c>
      <c r="G7116" s="411" t="str">
        <f t="shared" si="112"/>
        <v>13-01</v>
      </c>
      <c r="H7116" s="273" t="e">
        <f ca="1">_xludf.IFNA(VLOOKUP(E7116,'Urban Plastix Holds'!$I$37:$U$705,9,0),0)</f>
        <v>#NAME?</v>
      </c>
      <c r="I7116" s="274"/>
      <c r="J7116" s="274" t="e">
        <f t="shared" ca="1" si="110"/>
        <v>#NAME?</v>
      </c>
      <c r="K7116" s="274">
        <f t="shared" si="111"/>
        <v>0</v>
      </c>
      <c r="N7116" s="274"/>
    </row>
    <row r="7117" spans="5:14" ht="13.5" customHeight="1">
      <c r="E7117" s="1" t="s">
        <v>1692</v>
      </c>
      <c r="F7117" s="1" t="s">
        <v>3189</v>
      </c>
      <c r="G7117" s="413" t="str">
        <f t="shared" si="112"/>
        <v>07-13</v>
      </c>
      <c r="H7117" s="273" t="e">
        <f ca="1">_xludf.IFNA(VLOOKUP(E7117,'Urban Plastix Holds'!$I$37:$U$705,10,0),0)</f>
        <v>#NAME?</v>
      </c>
      <c r="I7117" s="274"/>
      <c r="J7117" s="274" t="e">
        <f t="shared" ca="1" si="110"/>
        <v>#NAME?</v>
      </c>
      <c r="K7117" s="274">
        <f t="shared" si="111"/>
        <v>0</v>
      </c>
      <c r="N7117" s="274"/>
    </row>
    <row r="7118" spans="5:14" ht="13.5" customHeight="1">
      <c r="E7118" s="1" t="s">
        <v>1692</v>
      </c>
      <c r="F7118" s="1" t="s">
        <v>3189</v>
      </c>
      <c r="G7118" s="414" t="str">
        <f t="shared" si="112"/>
        <v>11-26</v>
      </c>
      <c r="H7118" s="273" t="e">
        <f ca="1">_xludf.IFNA(VLOOKUP(E7118,'Urban Plastix Holds'!$I$37:$U$705,11,0),0)</f>
        <v>#NAME?</v>
      </c>
      <c r="I7118" s="274"/>
      <c r="J7118" s="274" t="e">
        <f t="shared" ca="1" si="110"/>
        <v>#NAME?</v>
      </c>
      <c r="K7118" s="274">
        <f t="shared" si="111"/>
        <v>0</v>
      </c>
      <c r="N7118" s="274"/>
    </row>
    <row r="7119" spans="5:14" ht="13.5" customHeight="1">
      <c r="E7119" s="1" t="s">
        <v>1692</v>
      </c>
      <c r="F7119" s="1" t="s">
        <v>3189</v>
      </c>
      <c r="G7119" s="415" t="str">
        <f t="shared" si="112"/>
        <v>18-01</v>
      </c>
      <c r="H7119" s="273" t="e">
        <f ca="1">_xludf.IFNA(VLOOKUP(E7119,'Urban Plastix Holds'!$I$37:$U$705,12,0),0)</f>
        <v>#NAME?</v>
      </c>
      <c r="I7119" s="274"/>
      <c r="J7119" s="274" t="e">
        <f t="shared" ca="1" si="110"/>
        <v>#NAME?</v>
      </c>
      <c r="K7119" s="274">
        <f t="shared" si="111"/>
        <v>0</v>
      </c>
      <c r="N7119" s="274"/>
    </row>
    <row r="7120" spans="5:14" ht="13.5" customHeight="1">
      <c r="E7120" s="1" t="s">
        <v>1692</v>
      </c>
      <c r="F7120" s="1" t="s">
        <v>3189</v>
      </c>
      <c r="G7120" s="416" t="str">
        <f t="shared" si="112"/>
        <v>Color Code</v>
      </c>
      <c r="H7120" s="273" t="e">
        <f ca="1">_xludf.IFNA(VLOOKUP(E7120,'Urban Plastix Holds'!$I$37:$U$705,13,0),0)</f>
        <v>#NAME?</v>
      </c>
      <c r="I7120" s="274"/>
      <c r="J7120" s="274" t="e">
        <f t="shared" ca="1" si="110"/>
        <v>#NAME?</v>
      </c>
      <c r="K7120" s="274">
        <f t="shared" si="111"/>
        <v>0</v>
      </c>
      <c r="N7120" s="274"/>
    </row>
    <row r="7121" spans="5:14" ht="13.5" customHeight="1">
      <c r="E7121" s="1" t="s">
        <v>1675</v>
      </c>
      <c r="F7121" s="1" t="s">
        <v>3190</v>
      </c>
      <c r="G7121" s="406" t="str">
        <f t="shared" si="112"/>
        <v>11-12</v>
      </c>
      <c r="H7121" s="273" t="e">
        <f ca="1">_xludf.IFNA(VLOOKUP(E7121,'Urban Plastix Holds'!$I$37:$U$705,5,0),0)</f>
        <v>#NAME?</v>
      </c>
      <c r="I7121" s="274"/>
      <c r="J7121" s="274" t="e">
        <f t="shared" ca="1" si="110"/>
        <v>#NAME?</v>
      </c>
      <c r="K7121" s="274">
        <f t="shared" si="111"/>
        <v>0</v>
      </c>
      <c r="N7121" s="274"/>
    </row>
    <row r="7122" spans="5:14" ht="13.5" customHeight="1">
      <c r="E7122" s="1" t="s">
        <v>1675</v>
      </c>
      <c r="F7122" s="1" t="s">
        <v>3190</v>
      </c>
      <c r="G7122" s="408" t="str">
        <f t="shared" si="112"/>
        <v>14-01</v>
      </c>
      <c r="H7122" s="273" t="e">
        <f ca="1">_xludf.IFNA(VLOOKUP(E7122,'Urban Plastix Holds'!$I$37:$U$705,6,0),0)</f>
        <v>#NAME?</v>
      </c>
      <c r="I7122" s="274"/>
      <c r="J7122" s="274" t="e">
        <f t="shared" ca="1" si="110"/>
        <v>#NAME?</v>
      </c>
      <c r="K7122" s="274">
        <f t="shared" si="111"/>
        <v>0</v>
      </c>
      <c r="N7122" s="274"/>
    </row>
    <row r="7123" spans="5:14" ht="13.5" customHeight="1">
      <c r="E7123" s="1" t="s">
        <v>1675</v>
      </c>
      <c r="F7123" s="1" t="s">
        <v>3190</v>
      </c>
      <c r="G7123" s="409" t="str">
        <f t="shared" si="112"/>
        <v>15-12</v>
      </c>
      <c r="H7123" s="273" t="e">
        <f ca="1">_xludf.IFNA(VLOOKUP(E7123,'Urban Plastix Holds'!$I$37:$U$705,7,0),0)</f>
        <v>#NAME?</v>
      </c>
      <c r="I7123" s="274"/>
      <c r="J7123" s="274" t="e">
        <f t="shared" ca="1" si="110"/>
        <v>#NAME?</v>
      </c>
      <c r="K7123" s="274">
        <f t="shared" si="111"/>
        <v>0</v>
      </c>
      <c r="N7123" s="274"/>
    </row>
    <row r="7124" spans="5:14" ht="13.5" customHeight="1">
      <c r="E7124" s="1" t="s">
        <v>1675</v>
      </c>
      <c r="F7124" s="1" t="s">
        <v>3190</v>
      </c>
      <c r="G7124" s="410" t="str">
        <f t="shared" si="112"/>
        <v>16-16</v>
      </c>
      <c r="H7124" s="273" t="e">
        <f ca="1">_xludf.IFNA(VLOOKUP(E7124,'Urban Plastix Holds'!$I$37:$U$705,8,0),0)</f>
        <v>#NAME?</v>
      </c>
      <c r="I7124" s="274"/>
      <c r="J7124" s="274" t="e">
        <f t="shared" ca="1" si="110"/>
        <v>#NAME?</v>
      </c>
      <c r="K7124" s="274">
        <f t="shared" si="111"/>
        <v>0</v>
      </c>
      <c r="N7124" s="274"/>
    </row>
    <row r="7125" spans="5:14" ht="13.5" customHeight="1">
      <c r="E7125" s="1" t="s">
        <v>1675</v>
      </c>
      <c r="F7125" s="1" t="s">
        <v>3190</v>
      </c>
      <c r="G7125" s="411" t="str">
        <f t="shared" si="112"/>
        <v>13-01</v>
      </c>
      <c r="H7125" s="273" t="e">
        <f ca="1">_xludf.IFNA(VLOOKUP(E7125,'Urban Plastix Holds'!$I$37:$U$705,9,0),0)</f>
        <v>#NAME?</v>
      </c>
      <c r="I7125" s="274"/>
      <c r="J7125" s="274" t="e">
        <f t="shared" ca="1" si="110"/>
        <v>#NAME?</v>
      </c>
      <c r="K7125" s="274">
        <f t="shared" si="111"/>
        <v>0</v>
      </c>
      <c r="N7125" s="274"/>
    </row>
    <row r="7126" spans="5:14" ht="13.5" customHeight="1">
      <c r="E7126" s="1" t="s">
        <v>1675</v>
      </c>
      <c r="F7126" s="1" t="s">
        <v>3190</v>
      </c>
      <c r="G7126" s="413" t="str">
        <f t="shared" si="112"/>
        <v>07-13</v>
      </c>
      <c r="H7126" s="273" t="e">
        <f ca="1">_xludf.IFNA(VLOOKUP(E7126,'Urban Plastix Holds'!$I$37:$U$705,10,0),0)</f>
        <v>#NAME?</v>
      </c>
      <c r="I7126" s="274"/>
      <c r="J7126" s="274" t="e">
        <f t="shared" ca="1" si="110"/>
        <v>#NAME?</v>
      </c>
      <c r="K7126" s="274">
        <f t="shared" si="111"/>
        <v>0</v>
      </c>
      <c r="N7126" s="274"/>
    </row>
    <row r="7127" spans="5:14" ht="13.5" customHeight="1">
      <c r="E7127" s="1" t="s">
        <v>1675</v>
      </c>
      <c r="F7127" s="1" t="s">
        <v>3190</v>
      </c>
      <c r="G7127" s="414" t="str">
        <f t="shared" si="112"/>
        <v>11-26</v>
      </c>
      <c r="H7127" s="273" t="e">
        <f ca="1">_xludf.IFNA(VLOOKUP(E7127,'Urban Plastix Holds'!$I$37:$U$705,11,0),0)</f>
        <v>#NAME?</v>
      </c>
      <c r="I7127" s="274"/>
      <c r="J7127" s="274" t="e">
        <f t="shared" ca="1" si="110"/>
        <v>#NAME?</v>
      </c>
      <c r="K7127" s="274">
        <f t="shared" si="111"/>
        <v>0</v>
      </c>
      <c r="N7127" s="274"/>
    </row>
    <row r="7128" spans="5:14" ht="13.5" customHeight="1">
      <c r="E7128" s="1" t="s">
        <v>1675</v>
      </c>
      <c r="F7128" s="1" t="s">
        <v>3190</v>
      </c>
      <c r="G7128" s="415" t="str">
        <f t="shared" si="112"/>
        <v>18-01</v>
      </c>
      <c r="H7128" s="273" t="e">
        <f ca="1">_xludf.IFNA(VLOOKUP(E7128,'Urban Plastix Holds'!$I$37:$U$705,12,0),0)</f>
        <v>#NAME?</v>
      </c>
      <c r="I7128" s="274"/>
      <c r="J7128" s="274" t="e">
        <f t="shared" ca="1" si="110"/>
        <v>#NAME?</v>
      </c>
      <c r="K7128" s="274">
        <f t="shared" si="111"/>
        <v>0</v>
      </c>
      <c r="N7128" s="274"/>
    </row>
    <row r="7129" spans="5:14" ht="13.5" customHeight="1">
      <c r="E7129" s="1" t="s">
        <v>1675</v>
      </c>
      <c r="F7129" s="1" t="s">
        <v>3190</v>
      </c>
      <c r="G7129" s="416" t="str">
        <f t="shared" si="112"/>
        <v>Color Code</v>
      </c>
      <c r="H7129" s="273" t="e">
        <f ca="1">_xludf.IFNA(VLOOKUP(E7129,'Urban Plastix Holds'!$I$37:$U$705,13,0),0)</f>
        <v>#NAME?</v>
      </c>
      <c r="I7129" s="274"/>
      <c r="J7129" s="274" t="e">
        <f t="shared" ca="1" si="110"/>
        <v>#NAME?</v>
      </c>
      <c r="K7129" s="274">
        <f t="shared" si="111"/>
        <v>0</v>
      </c>
      <c r="N7129" s="274"/>
    </row>
    <row r="7130" spans="5:14" ht="13.5" customHeight="1">
      <c r="E7130" s="1" t="s">
        <v>1698</v>
      </c>
      <c r="F7130" s="1" t="s">
        <v>3191</v>
      </c>
      <c r="G7130" s="406" t="str">
        <f t="shared" si="112"/>
        <v>11-12</v>
      </c>
      <c r="H7130" s="273" t="e">
        <f ca="1">_xludf.IFNA(VLOOKUP(E7130,'Urban Plastix Holds'!$I$37:$U$705,5,0),0)</f>
        <v>#NAME?</v>
      </c>
      <c r="I7130" s="274"/>
      <c r="J7130" s="274" t="e">
        <f t="shared" ca="1" si="110"/>
        <v>#NAME?</v>
      </c>
      <c r="K7130" s="274">
        <f t="shared" si="111"/>
        <v>0</v>
      </c>
      <c r="N7130" s="274"/>
    </row>
    <row r="7131" spans="5:14" ht="13.5" customHeight="1">
      <c r="E7131" s="1" t="s">
        <v>1698</v>
      </c>
      <c r="F7131" s="1" t="s">
        <v>3191</v>
      </c>
      <c r="G7131" s="408" t="str">
        <f t="shared" si="112"/>
        <v>14-01</v>
      </c>
      <c r="H7131" s="273" t="e">
        <f ca="1">_xludf.IFNA(VLOOKUP(E7131,'Urban Plastix Holds'!$I$37:$U$705,6,0),0)</f>
        <v>#NAME?</v>
      </c>
      <c r="I7131" s="274"/>
      <c r="J7131" s="274" t="e">
        <f t="shared" ca="1" si="110"/>
        <v>#NAME?</v>
      </c>
      <c r="K7131" s="274">
        <f t="shared" si="111"/>
        <v>0</v>
      </c>
      <c r="N7131" s="274"/>
    </row>
    <row r="7132" spans="5:14" ht="13.5" customHeight="1">
      <c r="E7132" s="1" t="s">
        <v>1698</v>
      </c>
      <c r="F7132" s="1" t="s">
        <v>3191</v>
      </c>
      <c r="G7132" s="409" t="str">
        <f t="shared" si="112"/>
        <v>15-12</v>
      </c>
      <c r="H7132" s="273" t="e">
        <f ca="1">_xludf.IFNA(VLOOKUP(E7132,'Urban Plastix Holds'!$I$37:$U$705,7,0),0)</f>
        <v>#NAME?</v>
      </c>
      <c r="I7132" s="274"/>
      <c r="J7132" s="274" t="e">
        <f t="shared" ca="1" si="110"/>
        <v>#NAME?</v>
      </c>
      <c r="K7132" s="274">
        <f t="shared" si="111"/>
        <v>0</v>
      </c>
      <c r="N7132" s="274"/>
    </row>
    <row r="7133" spans="5:14" ht="13.5" customHeight="1">
      <c r="E7133" s="1" t="s">
        <v>1698</v>
      </c>
      <c r="F7133" s="1" t="s">
        <v>3191</v>
      </c>
      <c r="G7133" s="410" t="str">
        <f t="shared" si="112"/>
        <v>16-16</v>
      </c>
      <c r="H7133" s="273" t="e">
        <f ca="1">_xludf.IFNA(VLOOKUP(E7133,'Urban Plastix Holds'!$I$37:$U$705,8,0),0)</f>
        <v>#NAME?</v>
      </c>
      <c r="I7133" s="274"/>
      <c r="J7133" s="274" t="e">
        <f t="shared" ca="1" si="110"/>
        <v>#NAME?</v>
      </c>
      <c r="K7133" s="274">
        <f t="shared" si="111"/>
        <v>0</v>
      </c>
      <c r="N7133" s="274"/>
    </row>
    <row r="7134" spans="5:14" ht="13.5" customHeight="1">
      <c r="E7134" s="1" t="s">
        <v>1698</v>
      </c>
      <c r="F7134" s="1" t="s">
        <v>3191</v>
      </c>
      <c r="G7134" s="411" t="str">
        <f t="shared" si="112"/>
        <v>13-01</v>
      </c>
      <c r="H7134" s="273" t="e">
        <f ca="1">_xludf.IFNA(VLOOKUP(E7134,'Urban Plastix Holds'!$I$37:$U$705,9,0),0)</f>
        <v>#NAME?</v>
      </c>
      <c r="I7134" s="274"/>
      <c r="J7134" s="274" t="e">
        <f t="shared" ca="1" si="110"/>
        <v>#NAME?</v>
      </c>
      <c r="K7134" s="274">
        <f t="shared" si="111"/>
        <v>0</v>
      </c>
      <c r="N7134" s="274"/>
    </row>
    <row r="7135" spans="5:14" ht="13.5" customHeight="1">
      <c r="E7135" s="1" t="s">
        <v>1698</v>
      </c>
      <c r="F7135" s="1" t="s">
        <v>3191</v>
      </c>
      <c r="G7135" s="413" t="str">
        <f t="shared" si="112"/>
        <v>07-13</v>
      </c>
      <c r="H7135" s="273" t="e">
        <f ca="1">_xludf.IFNA(VLOOKUP(E7135,'Urban Plastix Holds'!$I$37:$U$705,10,0),0)</f>
        <v>#NAME?</v>
      </c>
      <c r="I7135" s="274"/>
      <c r="J7135" s="274" t="e">
        <f t="shared" ca="1" si="110"/>
        <v>#NAME?</v>
      </c>
      <c r="K7135" s="274">
        <f t="shared" si="111"/>
        <v>0</v>
      </c>
      <c r="N7135" s="274"/>
    </row>
    <row r="7136" spans="5:14" ht="13.5" customHeight="1">
      <c r="E7136" s="1" t="s">
        <v>1698</v>
      </c>
      <c r="F7136" s="1" t="s">
        <v>3191</v>
      </c>
      <c r="G7136" s="414" t="str">
        <f t="shared" si="112"/>
        <v>11-26</v>
      </c>
      <c r="H7136" s="273" t="e">
        <f ca="1">_xludf.IFNA(VLOOKUP(E7136,'Urban Plastix Holds'!$I$37:$U$705,11,0),0)</f>
        <v>#NAME?</v>
      </c>
      <c r="I7136" s="274"/>
      <c r="J7136" s="274" t="e">
        <f t="shared" ca="1" si="110"/>
        <v>#NAME?</v>
      </c>
      <c r="K7136" s="274">
        <f t="shared" si="111"/>
        <v>0</v>
      </c>
      <c r="N7136" s="274"/>
    </row>
    <row r="7137" spans="5:14" ht="13.5" customHeight="1">
      <c r="E7137" s="1" t="s">
        <v>1698</v>
      </c>
      <c r="F7137" s="1" t="s">
        <v>3191</v>
      </c>
      <c r="G7137" s="415" t="str">
        <f t="shared" si="112"/>
        <v>18-01</v>
      </c>
      <c r="H7137" s="273" t="e">
        <f ca="1">_xludf.IFNA(VLOOKUP(E7137,'Urban Plastix Holds'!$I$37:$U$705,12,0),0)</f>
        <v>#NAME?</v>
      </c>
      <c r="I7137" s="274"/>
      <c r="J7137" s="274" t="e">
        <f t="shared" ca="1" si="110"/>
        <v>#NAME?</v>
      </c>
      <c r="K7137" s="274">
        <f t="shared" si="111"/>
        <v>0</v>
      </c>
      <c r="N7137" s="274"/>
    </row>
    <row r="7138" spans="5:14" ht="13.5" customHeight="1">
      <c r="E7138" s="1" t="s">
        <v>1698</v>
      </c>
      <c r="F7138" s="1" t="s">
        <v>3191</v>
      </c>
      <c r="G7138" s="416" t="str">
        <f t="shared" si="112"/>
        <v>Color Code</v>
      </c>
      <c r="H7138" s="273" t="e">
        <f ca="1">_xludf.IFNA(VLOOKUP(E7138,'Urban Plastix Holds'!$I$37:$U$705,13,0),0)</f>
        <v>#NAME?</v>
      </c>
      <c r="I7138" s="274"/>
      <c r="J7138" s="274" t="e">
        <f t="shared" ca="1" si="110"/>
        <v>#NAME?</v>
      </c>
      <c r="K7138" s="274">
        <f t="shared" si="111"/>
        <v>0</v>
      </c>
      <c r="N7138" s="274"/>
    </row>
    <row r="7139" spans="5:14" ht="13.5" customHeight="1">
      <c r="E7139" s="1" t="s">
        <v>1561</v>
      </c>
      <c r="F7139" s="1" t="s">
        <v>3192</v>
      </c>
      <c r="G7139" s="406" t="str">
        <f t="shared" si="112"/>
        <v>11-12</v>
      </c>
      <c r="H7139" s="273" t="e">
        <f ca="1">_xludf.IFNA(VLOOKUP(E7139,'Urban Plastix Holds'!$I$37:$U$705,5,0),0)</f>
        <v>#NAME?</v>
      </c>
      <c r="I7139" s="274"/>
      <c r="J7139" s="274" t="e">
        <f t="shared" ca="1" si="110"/>
        <v>#NAME?</v>
      </c>
      <c r="K7139" s="274">
        <f t="shared" si="111"/>
        <v>0</v>
      </c>
      <c r="N7139" s="274"/>
    </row>
    <row r="7140" spans="5:14" ht="13.5" customHeight="1">
      <c r="E7140" s="1" t="s">
        <v>1561</v>
      </c>
      <c r="F7140" s="1" t="s">
        <v>3192</v>
      </c>
      <c r="G7140" s="408" t="str">
        <f t="shared" si="112"/>
        <v>14-01</v>
      </c>
      <c r="H7140" s="273" t="e">
        <f ca="1">_xludf.IFNA(VLOOKUP(E7140,'Urban Plastix Holds'!$I$37:$U$705,6,0),0)</f>
        <v>#NAME?</v>
      </c>
      <c r="I7140" s="274"/>
      <c r="J7140" s="274" t="e">
        <f t="shared" ca="1" si="110"/>
        <v>#NAME?</v>
      </c>
      <c r="K7140" s="274">
        <f t="shared" si="111"/>
        <v>0</v>
      </c>
      <c r="N7140" s="274"/>
    </row>
    <row r="7141" spans="5:14" ht="13.5" customHeight="1">
      <c r="E7141" s="1" t="s">
        <v>1561</v>
      </c>
      <c r="F7141" s="1" t="s">
        <v>3192</v>
      </c>
      <c r="G7141" s="409" t="str">
        <f t="shared" si="112"/>
        <v>15-12</v>
      </c>
      <c r="H7141" s="273" t="e">
        <f ca="1">_xludf.IFNA(VLOOKUP(E7141,'Urban Plastix Holds'!$I$37:$U$705,7,0),0)</f>
        <v>#NAME?</v>
      </c>
      <c r="I7141" s="274"/>
      <c r="J7141" s="274" t="e">
        <f t="shared" ca="1" si="110"/>
        <v>#NAME?</v>
      </c>
      <c r="K7141" s="274">
        <f t="shared" si="111"/>
        <v>0</v>
      </c>
      <c r="N7141" s="274"/>
    </row>
    <row r="7142" spans="5:14" ht="13.5" customHeight="1">
      <c r="E7142" s="1" t="s">
        <v>1561</v>
      </c>
      <c r="F7142" s="1" t="s">
        <v>3192</v>
      </c>
      <c r="G7142" s="410" t="str">
        <f t="shared" si="112"/>
        <v>16-16</v>
      </c>
      <c r="H7142" s="273" t="e">
        <f ca="1">_xludf.IFNA(VLOOKUP(E7142,'Urban Plastix Holds'!$I$37:$U$705,8,0),0)</f>
        <v>#NAME?</v>
      </c>
      <c r="I7142" s="274"/>
      <c r="J7142" s="274" t="e">
        <f t="shared" ref="J7142:J7201" ca="1" si="113">H7142*I7142</f>
        <v>#NAME?</v>
      </c>
      <c r="K7142" s="274">
        <f t="shared" ref="K7142:K7201" si="114">IF($V$11="Y",J7142*0.05,0)</f>
        <v>0</v>
      </c>
      <c r="N7142" s="274"/>
    </row>
    <row r="7143" spans="5:14" ht="13.5" customHeight="1">
      <c r="E7143" s="1" t="s">
        <v>1561</v>
      </c>
      <c r="F7143" s="1" t="s">
        <v>3192</v>
      </c>
      <c r="G7143" s="411" t="str">
        <f t="shared" si="112"/>
        <v>13-01</v>
      </c>
      <c r="H7143" s="273" t="e">
        <f ca="1">_xludf.IFNA(VLOOKUP(E7143,'Urban Plastix Holds'!$I$37:$U$705,9,0),0)</f>
        <v>#NAME?</v>
      </c>
      <c r="I7143" s="274"/>
      <c r="J7143" s="274" t="e">
        <f t="shared" ca="1" si="113"/>
        <v>#NAME?</v>
      </c>
      <c r="K7143" s="274">
        <f t="shared" si="114"/>
        <v>0</v>
      </c>
      <c r="N7143" s="274"/>
    </row>
    <row r="7144" spans="5:14" ht="13.5" customHeight="1">
      <c r="E7144" s="1" t="s">
        <v>1561</v>
      </c>
      <c r="F7144" s="1" t="s">
        <v>3192</v>
      </c>
      <c r="G7144" s="413" t="str">
        <f t="shared" si="112"/>
        <v>07-13</v>
      </c>
      <c r="H7144" s="273" t="e">
        <f ca="1">_xludf.IFNA(VLOOKUP(E7144,'Urban Plastix Holds'!$I$37:$U$705,10,0),0)</f>
        <v>#NAME?</v>
      </c>
      <c r="I7144" s="274"/>
      <c r="J7144" s="274" t="e">
        <f t="shared" ca="1" si="113"/>
        <v>#NAME?</v>
      </c>
      <c r="K7144" s="274">
        <f t="shared" si="114"/>
        <v>0</v>
      </c>
      <c r="N7144" s="274"/>
    </row>
    <row r="7145" spans="5:14" ht="13.5" customHeight="1">
      <c r="E7145" s="1" t="s">
        <v>1561</v>
      </c>
      <c r="F7145" s="1" t="s">
        <v>3192</v>
      </c>
      <c r="G7145" s="414" t="str">
        <f t="shared" si="112"/>
        <v>11-26</v>
      </c>
      <c r="H7145" s="273" t="e">
        <f ca="1">_xludf.IFNA(VLOOKUP(E7145,'Urban Plastix Holds'!$I$37:$U$705,11,0),0)</f>
        <v>#NAME?</v>
      </c>
      <c r="I7145" s="274"/>
      <c r="J7145" s="274" t="e">
        <f t="shared" ca="1" si="113"/>
        <v>#NAME?</v>
      </c>
      <c r="K7145" s="274">
        <f t="shared" si="114"/>
        <v>0</v>
      </c>
      <c r="N7145" s="274"/>
    </row>
    <row r="7146" spans="5:14" ht="13.5" customHeight="1">
      <c r="E7146" s="1" t="s">
        <v>1561</v>
      </c>
      <c r="F7146" s="1" t="s">
        <v>3192</v>
      </c>
      <c r="G7146" s="415" t="str">
        <f t="shared" si="112"/>
        <v>18-01</v>
      </c>
      <c r="H7146" s="273" t="e">
        <f ca="1">_xludf.IFNA(VLOOKUP(E7146,'Urban Plastix Holds'!$I$37:$U$705,12,0),0)</f>
        <v>#NAME?</v>
      </c>
      <c r="I7146" s="274"/>
      <c r="J7146" s="274" t="e">
        <f t="shared" ca="1" si="113"/>
        <v>#NAME?</v>
      </c>
      <c r="K7146" s="274">
        <f t="shared" si="114"/>
        <v>0</v>
      </c>
      <c r="N7146" s="274"/>
    </row>
    <row r="7147" spans="5:14" ht="13.5" customHeight="1">
      <c r="E7147" s="1" t="s">
        <v>1561</v>
      </c>
      <c r="F7147" s="1" t="s">
        <v>3192</v>
      </c>
      <c r="G7147" s="416" t="str">
        <f t="shared" si="112"/>
        <v>Color Code</v>
      </c>
      <c r="H7147" s="273" t="e">
        <f ca="1">_xludf.IFNA(VLOOKUP(E7147,'Urban Plastix Holds'!$I$37:$U$705,13,0),0)</f>
        <v>#NAME?</v>
      </c>
      <c r="I7147" s="274"/>
      <c r="J7147" s="274" t="e">
        <f t="shared" ca="1" si="113"/>
        <v>#NAME?</v>
      </c>
      <c r="K7147" s="274">
        <f t="shared" si="114"/>
        <v>0</v>
      </c>
      <c r="N7147" s="274"/>
    </row>
    <row r="7148" spans="5:14" ht="13.5" customHeight="1">
      <c r="E7148" s="1" t="s">
        <v>1399</v>
      </c>
      <c r="F7148" s="1" t="s">
        <v>3193</v>
      </c>
      <c r="G7148" s="406" t="str">
        <f t="shared" si="112"/>
        <v>11-12</v>
      </c>
      <c r="H7148" s="273" t="e">
        <f ca="1">_xludf.IFNA(VLOOKUP(E7148,'Urban Plastix Holds'!$I$37:$U$705,5,0),0)</f>
        <v>#NAME?</v>
      </c>
      <c r="I7148" s="274"/>
      <c r="J7148" s="274" t="e">
        <f t="shared" ca="1" si="113"/>
        <v>#NAME?</v>
      </c>
      <c r="K7148" s="274">
        <f t="shared" si="114"/>
        <v>0</v>
      </c>
      <c r="N7148" s="274"/>
    </row>
    <row r="7149" spans="5:14" ht="13.5" customHeight="1">
      <c r="E7149" s="1" t="s">
        <v>1399</v>
      </c>
      <c r="F7149" s="1" t="s">
        <v>3193</v>
      </c>
      <c r="G7149" s="408" t="str">
        <f t="shared" si="112"/>
        <v>14-01</v>
      </c>
      <c r="H7149" s="273" t="e">
        <f ca="1">_xludf.IFNA(VLOOKUP(E7149,'Urban Plastix Holds'!$I$37:$U$705,6,0),0)</f>
        <v>#NAME?</v>
      </c>
      <c r="I7149" s="274"/>
      <c r="J7149" s="274" t="e">
        <f t="shared" ca="1" si="113"/>
        <v>#NAME?</v>
      </c>
      <c r="K7149" s="274">
        <f t="shared" si="114"/>
        <v>0</v>
      </c>
      <c r="N7149" s="274"/>
    </row>
    <row r="7150" spans="5:14" ht="13.5" customHeight="1">
      <c r="E7150" s="1" t="s">
        <v>1399</v>
      </c>
      <c r="F7150" s="1" t="s">
        <v>3193</v>
      </c>
      <c r="G7150" s="409" t="str">
        <f t="shared" si="112"/>
        <v>15-12</v>
      </c>
      <c r="H7150" s="273" t="e">
        <f ca="1">_xludf.IFNA(VLOOKUP(E7150,'Urban Plastix Holds'!$I$37:$U$705,7,0),0)</f>
        <v>#NAME?</v>
      </c>
      <c r="I7150" s="274"/>
      <c r="J7150" s="274" t="e">
        <f t="shared" ca="1" si="113"/>
        <v>#NAME?</v>
      </c>
      <c r="K7150" s="274">
        <f t="shared" si="114"/>
        <v>0</v>
      </c>
      <c r="N7150" s="274"/>
    </row>
    <row r="7151" spans="5:14" ht="13.5" customHeight="1">
      <c r="E7151" s="1" t="s">
        <v>1399</v>
      </c>
      <c r="F7151" s="1" t="s">
        <v>3193</v>
      </c>
      <c r="G7151" s="410" t="str">
        <f t="shared" si="112"/>
        <v>16-16</v>
      </c>
      <c r="H7151" s="273" t="e">
        <f ca="1">_xludf.IFNA(VLOOKUP(E7151,'Urban Plastix Holds'!$I$37:$U$705,8,0),0)</f>
        <v>#NAME?</v>
      </c>
      <c r="I7151" s="274"/>
      <c r="J7151" s="274" t="e">
        <f t="shared" ca="1" si="113"/>
        <v>#NAME?</v>
      </c>
      <c r="K7151" s="274">
        <f t="shared" si="114"/>
        <v>0</v>
      </c>
      <c r="N7151" s="274"/>
    </row>
    <row r="7152" spans="5:14" ht="13.5" customHeight="1">
      <c r="E7152" s="1" t="s">
        <v>1399</v>
      </c>
      <c r="F7152" s="1" t="s">
        <v>3193</v>
      </c>
      <c r="G7152" s="411" t="str">
        <f t="shared" si="112"/>
        <v>13-01</v>
      </c>
      <c r="H7152" s="273" t="e">
        <f ca="1">_xludf.IFNA(VLOOKUP(E7152,'Urban Plastix Holds'!$I$37:$U$705,9,0),0)</f>
        <v>#NAME?</v>
      </c>
      <c r="I7152" s="274"/>
      <c r="J7152" s="274" t="e">
        <f t="shared" ca="1" si="113"/>
        <v>#NAME?</v>
      </c>
      <c r="K7152" s="274">
        <f t="shared" si="114"/>
        <v>0</v>
      </c>
      <c r="N7152" s="274"/>
    </row>
    <row r="7153" spans="5:14" ht="13.5" customHeight="1">
      <c r="E7153" s="1" t="s">
        <v>1399</v>
      </c>
      <c r="F7153" s="1" t="s">
        <v>3193</v>
      </c>
      <c r="G7153" s="413" t="str">
        <f t="shared" si="112"/>
        <v>07-13</v>
      </c>
      <c r="H7153" s="273" t="e">
        <f ca="1">_xludf.IFNA(VLOOKUP(E7153,'Urban Plastix Holds'!$I$37:$U$705,10,0),0)</f>
        <v>#NAME?</v>
      </c>
      <c r="I7153" s="274"/>
      <c r="J7153" s="274" t="e">
        <f t="shared" ca="1" si="113"/>
        <v>#NAME?</v>
      </c>
      <c r="K7153" s="274">
        <f t="shared" si="114"/>
        <v>0</v>
      </c>
      <c r="N7153" s="274"/>
    </row>
    <row r="7154" spans="5:14" ht="13.5" customHeight="1">
      <c r="E7154" s="1" t="s">
        <v>1399</v>
      </c>
      <c r="F7154" s="1" t="s">
        <v>3193</v>
      </c>
      <c r="G7154" s="414" t="str">
        <f t="shared" si="112"/>
        <v>11-26</v>
      </c>
      <c r="H7154" s="273" t="e">
        <f ca="1">_xludf.IFNA(VLOOKUP(E7154,'Urban Plastix Holds'!$I$37:$U$705,11,0),0)</f>
        <v>#NAME?</v>
      </c>
      <c r="I7154" s="274"/>
      <c r="J7154" s="274" t="e">
        <f t="shared" ca="1" si="113"/>
        <v>#NAME?</v>
      </c>
      <c r="K7154" s="274">
        <f t="shared" si="114"/>
        <v>0</v>
      </c>
      <c r="N7154" s="274"/>
    </row>
    <row r="7155" spans="5:14" ht="13.5" customHeight="1">
      <c r="E7155" s="1" t="s">
        <v>1399</v>
      </c>
      <c r="F7155" s="1" t="s">
        <v>3193</v>
      </c>
      <c r="G7155" s="415" t="str">
        <f t="shared" si="112"/>
        <v>18-01</v>
      </c>
      <c r="H7155" s="273" t="e">
        <f ca="1">_xludf.IFNA(VLOOKUP(E7155,'Urban Plastix Holds'!$I$37:$U$705,12,0),0)</f>
        <v>#NAME?</v>
      </c>
      <c r="I7155" s="274"/>
      <c r="J7155" s="274" t="e">
        <f t="shared" ca="1" si="113"/>
        <v>#NAME?</v>
      </c>
      <c r="K7155" s="274">
        <f t="shared" si="114"/>
        <v>0</v>
      </c>
      <c r="N7155" s="274"/>
    </row>
    <row r="7156" spans="5:14" ht="13.5" customHeight="1">
      <c r="E7156" s="1" t="s">
        <v>1399</v>
      </c>
      <c r="F7156" s="1" t="s">
        <v>3193</v>
      </c>
      <c r="G7156" s="416" t="str">
        <f t="shared" si="112"/>
        <v>Color Code</v>
      </c>
      <c r="H7156" s="273" t="e">
        <f ca="1">_xludf.IFNA(VLOOKUP(E7156,'Urban Plastix Holds'!$I$37:$U$705,13,0),0)</f>
        <v>#NAME?</v>
      </c>
      <c r="I7156" s="274"/>
      <c r="J7156" s="274" t="e">
        <f t="shared" ca="1" si="113"/>
        <v>#NAME?</v>
      </c>
      <c r="K7156" s="274">
        <f t="shared" si="114"/>
        <v>0</v>
      </c>
      <c r="N7156" s="274"/>
    </row>
    <row r="7157" spans="5:14" ht="13.5" customHeight="1">
      <c r="E7157" s="1" t="s">
        <v>1401</v>
      </c>
      <c r="F7157" s="1" t="s">
        <v>3194</v>
      </c>
      <c r="G7157" s="406" t="str">
        <f t="shared" si="112"/>
        <v>11-12</v>
      </c>
      <c r="H7157" s="273" t="e">
        <f ca="1">_xludf.IFNA(VLOOKUP(E7157,'Urban Plastix Holds'!$I$37:$U$705,5,0),0)</f>
        <v>#NAME?</v>
      </c>
      <c r="I7157" s="274"/>
      <c r="J7157" s="274" t="e">
        <f t="shared" ca="1" si="113"/>
        <v>#NAME?</v>
      </c>
      <c r="K7157" s="274">
        <f t="shared" si="114"/>
        <v>0</v>
      </c>
      <c r="N7157" s="274"/>
    </row>
    <row r="7158" spans="5:14" ht="13.5" customHeight="1">
      <c r="E7158" s="1" t="s">
        <v>1401</v>
      </c>
      <c r="F7158" s="1" t="s">
        <v>3194</v>
      </c>
      <c r="G7158" s="408" t="str">
        <f t="shared" si="112"/>
        <v>14-01</v>
      </c>
      <c r="H7158" s="273" t="e">
        <f ca="1">_xludf.IFNA(VLOOKUP(E7158,'Urban Plastix Holds'!$I$37:$U$705,6,0),0)</f>
        <v>#NAME?</v>
      </c>
      <c r="I7158" s="274"/>
      <c r="J7158" s="274" t="e">
        <f t="shared" ca="1" si="113"/>
        <v>#NAME?</v>
      </c>
      <c r="K7158" s="274">
        <f t="shared" si="114"/>
        <v>0</v>
      </c>
      <c r="N7158" s="274"/>
    </row>
    <row r="7159" spans="5:14" ht="13.5" customHeight="1">
      <c r="E7159" s="1" t="s">
        <v>1401</v>
      </c>
      <c r="F7159" s="1" t="s">
        <v>3194</v>
      </c>
      <c r="G7159" s="409" t="str">
        <f t="shared" si="112"/>
        <v>15-12</v>
      </c>
      <c r="H7159" s="273" t="e">
        <f ca="1">_xludf.IFNA(VLOOKUP(E7159,'Urban Plastix Holds'!$I$37:$U$705,7,0),0)</f>
        <v>#NAME?</v>
      </c>
      <c r="I7159" s="274"/>
      <c r="J7159" s="274" t="e">
        <f t="shared" ca="1" si="113"/>
        <v>#NAME?</v>
      </c>
      <c r="K7159" s="274">
        <f t="shared" si="114"/>
        <v>0</v>
      </c>
      <c r="N7159" s="274"/>
    </row>
    <row r="7160" spans="5:14" ht="13.5" customHeight="1">
      <c r="E7160" s="1" t="s">
        <v>1401</v>
      </c>
      <c r="F7160" s="1" t="s">
        <v>3194</v>
      </c>
      <c r="G7160" s="410" t="str">
        <f t="shared" si="112"/>
        <v>16-16</v>
      </c>
      <c r="H7160" s="273" t="e">
        <f ca="1">_xludf.IFNA(VLOOKUP(E7160,'Urban Plastix Holds'!$I$37:$U$705,8,0),0)</f>
        <v>#NAME?</v>
      </c>
      <c r="I7160" s="274"/>
      <c r="J7160" s="274" t="e">
        <f t="shared" ca="1" si="113"/>
        <v>#NAME?</v>
      </c>
      <c r="K7160" s="274">
        <f t="shared" si="114"/>
        <v>0</v>
      </c>
      <c r="N7160" s="274"/>
    </row>
    <row r="7161" spans="5:14" ht="13.5" customHeight="1">
      <c r="E7161" s="1" t="s">
        <v>1401</v>
      </c>
      <c r="F7161" s="1" t="s">
        <v>3194</v>
      </c>
      <c r="G7161" s="411" t="str">
        <f t="shared" si="112"/>
        <v>13-01</v>
      </c>
      <c r="H7161" s="273" t="e">
        <f ca="1">_xludf.IFNA(VLOOKUP(E7161,'Urban Plastix Holds'!$I$37:$U$705,9,0),0)</f>
        <v>#NAME?</v>
      </c>
      <c r="I7161" s="274"/>
      <c r="J7161" s="274" t="e">
        <f t="shared" ca="1" si="113"/>
        <v>#NAME?</v>
      </c>
      <c r="K7161" s="274">
        <f t="shared" si="114"/>
        <v>0</v>
      </c>
      <c r="N7161" s="274"/>
    </row>
    <row r="7162" spans="5:14" ht="13.5" customHeight="1">
      <c r="E7162" s="1" t="s">
        <v>1401</v>
      </c>
      <c r="F7162" s="1" t="s">
        <v>3194</v>
      </c>
      <c r="G7162" s="413" t="str">
        <f t="shared" si="112"/>
        <v>07-13</v>
      </c>
      <c r="H7162" s="273" t="e">
        <f ca="1">_xludf.IFNA(VLOOKUP(E7162,'Urban Plastix Holds'!$I$37:$U$705,10,0),0)</f>
        <v>#NAME?</v>
      </c>
      <c r="I7162" s="274"/>
      <c r="J7162" s="274" t="e">
        <f t="shared" ca="1" si="113"/>
        <v>#NAME?</v>
      </c>
      <c r="K7162" s="274">
        <f t="shared" si="114"/>
        <v>0</v>
      </c>
      <c r="N7162" s="274"/>
    </row>
    <row r="7163" spans="5:14" ht="13.5" customHeight="1">
      <c r="E7163" s="1" t="s">
        <v>1401</v>
      </c>
      <c r="F7163" s="1" t="s">
        <v>3194</v>
      </c>
      <c r="G7163" s="414" t="str">
        <f t="shared" si="112"/>
        <v>11-26</v>
      </c>
      <c r="H7163" s="273" t="e">
        <f ca="1">_xludf.IFNA(VLOOKUP(E7163,'Urban Plastix Holds'!$I$37:$U$705,11,0),0)</f>
        <v>#NAME?</v>
      </c>
      <c r="I7163" s="274"/>
      <c r="J7163" s="274" t="e">
        <f t="shared" ca="1" si="113"/>
        <v>#NAME?</v>
      </c>
      <c r="K7163" s="274">
        <f t="shared" si="114"/>
        <v>0</v>
      </c>
      <c r="N7163" s="274"/>
    </row>
    <row r="7164" spans="5:14" ht="13.5" customHeight="1">
      <c r="E7164" s="1" t="s">
        <v>1401</v>
      </c>
      <c r="F7164" s="1" t="s">
        <v>3194</v>
      </c>
      <c r="G7164" s="415" t="str">
        <f t="shared" si="112"/>
        <v>18-01</v>
      </c>
      <c r="H7164" s="273" t="e">
        <f ca="1">_xludf.IFNA(VLOOKUP(E7164,'Urban Plastix Holds'!$I$37:$U$705,12,0),0)</f>
        <v>#NAME?</v>
      </c>
      <c r="I7164" s="274"/>
      <c r="J7164" s="274" t="e">
        <f t="shared" ca="1" si="113"/>
        <v>#NAME?</v>
      </c>
      <c r="K7164" s="274">
        <f t="shared" si="114"/>
        <v>0</v>
      </c>
      <c r="N7164" s="274"/>
    </row>
    <row r="7165" spans="5:14" ht="13.5" customHeight="1">
      <c r="E7165" s="1" t="s">
        <v>1401</v>
      </c>
      <c r="F7165" s="1" t="s">
        <v>3194</v>
      </c>
      <c r="G7165" s="416" t="str">
        <f t="shared" si="112"/>
        <v>Color Code</v>
      </c>
      <c r="H7165" s="273" t="e">
        <f ca="1">_xludf.IFNA(VLOOKUP(E7165,'Urban Plastix Holds'!$I$37:$U$705,13,0),0)</f>
        <v>#NAME?</v>
      </c>
      <c r="I7165" s="274"/>
      <c r="J7165" s="274" t="e">
        <f t="shared" ca="1" si="113"/>
        <v>#NAME?</v>
      </c>
      <c r="K7165" s="274">
        <f t="shared" si="114"/>
        <v>0</v>
      </c>
      <c r="N7165" s="274"/>
    </row>
    <row r="7166" spans="5:14" ht="13.5" customHeight="1">
      <c r="E7166" s="1" t="s">
        <v>1349</v>
      </c>
      <c r="F7166" s="1" t="s">
        <v>3195</v>
      </c>
      <c r="G7166" s="406" t="str">
        <f t="shared" si="112"/>
        <v>11-12</v>
      </c>
      <c r="H7166" s="273" t="e">
        <f ca="1">_xludf.IFNA(VLOOKUP(E7166,'Urban Plastix Holds'!$I$37:$U$705,5,0),0)</f>
        <v>#NAME?</v>
      </c>
      <c r="I7166" s="274"/>
      <c r="J7166" s="274" t="e">
        <f t="shared" ca="1" si="113"/>
        <v>#NAME?</v>
      </c>
      <c r="K7166" s="274">
        <f t="shared" si="114"/>
        <v>0</v>
      </c>
      <c r="N7166" s="274"/>
    </row>
    <row r="7167" spans="5:14" ht="13.5" customHeight="1">
      <c r="E7167" s="1" t="s">
        <v>1349</v>
      </c>
      <c r="F7167" s="1" t="s">
        <v>3195</v>
      </c>
      <c r="G7167" s="408" t="str">
        <f t="shared" si="112"/>
        <v>14-01</v>
      </c>
      <c r="H7167" s="273" t="e">
        <f ca="1">_xludf.IFNA(VLOOKUP(E7167,'Urban Plastix Holds'!$I$37:$U$705,6,0),0)</f>
        <v>#NAME?</v>
      </c>
      <c r="I7167" s="274"/>
      <c r="J7167" s="274" t="e">
        <f t="shared" ca="1" si="113"/>
        <v>#NAME?</v>
      </c>
      <c r="K7167" s="274">
        <f t="shared" si="114"/>
        <v>0</v>
      </c>
      <c r="N7167" s="274"/>
    </row>
    <row r="7168" spans="5:14" ht="13.5" customHeight="1">
      <c r="E7168" s="1" t="s">
        <v>1349</v>
      </c>
      <c r="F7168" s="1" t="s">
        <v>3195</v>
      </c>
      <c r="G7168" s="409" t="str">
        <f t="shared" si="112"/>
        <v>15-12</v>
      </c>
      <c r="H7168" s="273" t="e">
        <f ca="1">_xludf.IFNA(VLOOKUP(E7168,'Urban Plastix Holds'!$I$37:$U$705,7,0),0)</f>
        <v>#NAME?</v>
      </c>
      <c r="I7168" s="274"/>
      <c r="J7168" s="274" t="e">
        <f t="shared" ca="1" si="113"/>
        <v>#NAME?</v>
      </c>
      <c r="K7168" s="274">
        <f t="shared" si="114"/>
        <v>0</v>
      </c>
      <c r="N7168" s="274"/>
    </row>
    <row r="7169" spans="5:14" ht="13.5" customHeight="1">
      <c r="E7169" s="1" t="s">
        <v>1349</v>
      </c>
      <c r="F7169" s="1" t="s">
        <v>3195</v>
      </c>
      <c r="G7169" s="410" t="str">
        <f t="shared" si="112"/>
        <v>16-16</v>
      </c>
      <c r="H7169" s="273" t="e">
        <f ca="1">_xludf.IFNA(VLOOKUP(E7169,'Urban Plastix Holds'!$I$37:$U$705,8,0),0)</f>
        <v>#NAME?</v>
      </c>
      <c r="I7169" s="274"/>
      <c r="J7169" s="274" t="e">
        <f t="shared" ca="1" si="113"/>
        <v>#NAME?</v>
      </c>
      <c r="K7169" s="274">
        <f t="shared" si="114"/>
        <v>0</v>
      </c>
      <c r="N7169" s="274"/>
    </row>
    <row r="7170" spans="5:14" ht="13.5" customHeight="1">
      <c r="E7170" s="1" t="s">
        <v>1349</v>
      </c>
      <c r="F7170" s="1" t="s">
        <v>3195</v>
      </c>
      <c r="G7170" s="411" t="str">
        <f t="shared" si="112"/>
        <v>13-01</v>
      </c>
      <c r="H7170" s="273" t="e">
        <f ca="1">_xludf.IFNA(VLOOKUP(E7170,'Urban Plastix Holds'!$I$37:$U$705,9,0),0)</f>
        <v>#NAME?</v>
      </c>
      <c r="I7170" s="274"/>
      <c r="J7170" s="274" t="e">
        <f t="shared" ca="1" si="113"/>
        <v>#NAME?</v>
      </c>
      <c r="K7170" s="274">
        <f t="shared" si="114"/>
        <v>0</v>
      </c>
      <c r="N7170" s="274"/>
    </row>
    <row r="7171" spans="5:14" ht="13.5" customHeight="1">
      <c r="E7171" s="1" t="s">
        <v>1349</v>
      </c>
      <c r="F7171" s="1" t="s">
        <v>3195</v>
      </c>
      <c r="G7171" s="413" t="str">
        <f t="shared" si="112"/>
        <v>07-13</v>
      </c>
      <c r="H7171" s="273" t="e">
        <f ca="1">_xludf.IFNA(VLOOKUP(E7171,'Urban Plastix Holds'!$I$37:$U$705,10,0),0)</f>
        <v>#NAME?</v>
      </c>
      <c r="I7171" s="274"/>
      <c r="J7171" s="274" t="e">
        <f t="shared" ca="1" si="113"/>
        <v>#NAME?</v>
      </c>
      <c r="K7171" s="274">
        <f t="shared" si="114"/>
        <v>0</v>
      </c>
      <c r="N7171" s="274"/>
    </row>
    <row r="7172" spans="5:14" ht="13.5" customHeight="1">
      <c r="E7172" s="1" t="s">
        <v>1349</v>
      </c>
      <c r="F7172" s="1" t="s">
        <v>3195</v>
      </c>
      <c r="G7172" s="414" t="str">
        <f t="shared" si="112"/>
        <v>11-26</v>
      </c>
      <c r="H7172" s="273" t="e">
        <f ca="1">_xludf.IFNA(VLOOKUP(E7172,'Urban Plastix Holds'!$I$37:$U$705,11,0),0)</f>
        <v>#NAME?</v>
      </c>
      <c r="I7172" s="274"/>
      <c r="J7172" s="274" t="e">
        <f t="shared" ca="1" si="113"/>
        <v>#NAME?</v>
      </c>
      <c r="K7172" s="274">
        <f t="shared" si="114"/>
        <v>0</v>
      </c>
      <c r="N7172" s="274"/>
    </row>
    <row r="7173" spans="5:14" ht="13.5" customHeight="1">
      <c r="E7173" s="1" t="s">
        <v>1349</v>
      </c>
      <c r="F7173" s="1" t="s">
        <v>3195</v>
      </c>
      <c r="G7173" s="415" t="str">
        <f t="shared" si="112"/>
        <v>18-01</v>
      </c>
      <c r="H7173" s="273" t="e">
        <f ca="1">_xludf.IFNA(VLOOKUP(E7173,'Urban Plastix Holds'!$I$37:$U$705,12,0),0)</f>
        <v>#NAME?</v>
      </c>
      <c r="I7173" s="274"/>
      <c r="J7173" s="274" t="e">
        <f t="shared" ca="1" si="113"/>
        <v>#NAME?</v>
      </c>
      <c r="K7173" s="274">
        <f t="shared" si="114"/>
        <v>0</v>
      </c>
      <c r="N7173" s="274"/>
    </row>
    <row r="7174" spans="5:14" ht="13.5" customHeight="1">
      <c r="E7174" s="1" t="s">
        <v>1349</v>
      </c>
      <c r="F7174" s="1" t="s">
        <v>3195</v>
      </c>
      <c r="G7174" s="416" t="str">
        <f t="shared" si="112"/>
        <v>Color Code</v>
      </c>
      <c r="H7174" s="273" t="e">
        <f ca="1">_xludf.IFNA(VLOOKUP(E7174,'Urban Plastix Holds'!$I$37:$U$705,13,0),0)</f>
        <v>#NAME?</v>
      </c>
      <c r="I7174" s="274"/>
      <c r="J7174" s="274" t="e">
        <f t="shared" ca="1" si="113"/>
        <v>#NAME?</v>
      </c>
      <c r="K7174" s="274">
        <f t="shared" si="114"/>
        <v>0</v>
      </c>
      <c r="N7174" s="274"/>
    </row>
    <row r="7175" spans="5:14" ht="13.5" customHeight="1">
      <c r="E7175" s="1" t="s">
        <v>1445</v>
      </c>
      <c r="F7175" s="1" t="s">
        <v>3196</v>
      </c>
      <c r="G7175" s="406" t="str">
        <f t="shared" si="112"/>
        <v>11-12</v>
      </c>
      <c r="H7175" s="273" t="e">
        <f ca="1">_xludf.IFNA(VLOOKUP(E7175,'Urban Plastix Holds'!$I$37:$U$705,5,0),0)</f>
        <v>#NAME?</v>
      </c>
      <c r="I7175" s="274"/>
      <c r="J7175" s="274" t="e">
        <f t="shared" ca="1" si="113"/>
        <v>#NAME?</v>
      </c>
      <c r="K7175" s="274">
        <f t="shared" si="114"/>
        <v>0</v>
      </c>
      <c r="N7175" s="274"/>
    </row>
    <row r="7176" spans="5:14" ht="13.5" customHeight="1">
      <c r="E7176" s="1" t="s">
        <v>1445</v>
      </c>
      <c r="F7176" s="1" t="s">
        <v>3196</v>
      </c>
      <c r="G7176" s="408" t="str">
        <f t="shared" si="112"/>
        <v>14-01</v>
      </c>
      <c r="H7176" s="273" t="e">
        <f ca="1">_xludf.IFNA(VLOOKUP(E7176,'Urban Plastix Holds'!$I$37:$U$705,6,0),0)</f>
        <v>#NAME?</v>
      </c>
      <c r="I7176" s="274"/>
      <c r="J7176" s="274" t="e">
        <f t="shared" ca="1" si="113"/>
        <v>#NAME?</v>
      </c>
      <c r="K7176" s="274">
        <f t="shared" si="114"/>
        <v>0</v>
      </c>
      <c r="N7176" s="274"/>
    </row>
    <row r="7177" spans="5:14" ht="13.5" customHeight="1">
      <c r="E7177" s="1" t="s">
        <v>1445</v>
      </c>
      <c r="F7177" s="1" t="s">
        <v>3196</v>
      </c>
      <c r="G7177" s="409" t="str">
        <f t="shared" si="112"/>
        <v>15-12</v>
      </c>
      <c r="H7177" s="273" t="e">
        <f ca="1">_xludf.IFNA(VLOOKUP(E7177,'Urban Plastix Holds'!$I$37:$U$705,7,0),0)</f>
        <v>#NAME?</v>
      </c>
      <c r="I7177" s="274"/>
      <c r="J7177" s="274" t="e">
        <f t="shared" ca="1" si="113"/>
        <v>#NAME?</v>
      </c>
      <c r="K7177" s="274">
        <f t="shared" si="114"/>
        <v>0</v>
      </c>
      <c r="N7177" s="274"/>
    </row>
    <row r="7178" spans="5:14" ht="13.5" customHeight="1">
      <c r="E7178" s="1" t="s">
        <v>1445</v>
      </c>
      <c r="F7178" s="1" t="s">
        <v>3196</v>
      </c>
      <c r="G7178" s="410" t="str">
        <f t="shared" si="112"/>
        <v>16-16</v>
      </c>
      <c r="H7178" s="273" t="e">
        <f ca="1">_xludf.IFNA(VLOOKUP(E7178,'Urban Plastix Holds'!$I$37:$U$705,8,0),0)</f>
        <v>#NAME?</v>
      </c>
      <c r="I7178" s="274"/>
      <c r="J7178" s="274" t="e">
        <f t="shared" ca="1" si="113"/>
        <v>#NAME?</v>
      </c>
      <c r="K7178" s="274">
        <f t="shared" si="114"/>
        <v>0</v>
      </c>
      <c r="N7178" s="274"/>
    </row>
    <row r="7179" spans="5:14" ht="13.5" customHeight="1">
      <c r="E7179" s="1" t="s">
        <v>1445</v>
      </c>
      <c r="F7179" s="1" t="s">
        <v>3196</v>
      </c>
      <c r="G7179" s="411" t="str">
        <f t="shared" si="112"/>
        <v>13-01</v>
      </c>
      <c r="H7179" s="273" t="e">
        <f ca="1">_xludf.IFNA(VLOOKUP(E7179,'Urban Plastix Holds'!$I$37:$U$705,9,0),0)</f>
        <v>#NAME?</v>
      </c>
      <c r="I7179" s="274"/>
      <c r="J7179" s="274" t="e">
        <f t="shared" ca="1" si="113"/>
        <v>#NAME?</v>
      </c>
      <c r="K7179" s="274">
        <f t="shared" si="114"/>
        <v>0</v>
      </c>
      <c r="N7179" s="274"/>
    </row>
    <row r="7180" spans="5:14" ht="13.5" customHeight="1">
      <c r="E7180" s="1" t="s">
        <v>1445</v>
      </c>
      <c r="F7180" s="1" t="s">
        <v>3196</v>
      </c>
      <c r="G7180" s="413" t="str">
        <f t="shared" si="112"/>
        <v>07-13</v>
      </c>
      <c r="H7180" s="273" t="e">
        <f ca="1">_xludf.IFNA(VLOOKUP(E7180,'Urban Plastix Holds'!$I$37:$U$705,10,0),0)</f>
        <v>#NAME?</v>
      </c>
      <c r="I7180" s="274"/>
      <c r="J7180" s="274" t="e">
        <f t="shared" ca="1" si="113"/>
        <v>#NAME?</v>
      </c>
      <c r="K7180" s="274">
        <f t="shared" si="114"/>
        <v>0</v>
      </c>
      <c r="N7180" s="274"/>
    </row>
    <row r="7181" spans="5:14" ht="13.5" customHeight="1">
      <c r="E7181" s="1" t="s">
        <v>1445</v>
      </c>
      <c r="F7181" s="1" t="s">
        <v>3196</v>
      </c>
      <c r="G7181" s="414" t="str">
        <f t="shared" si="112"/>
        <v>11-26</v>
      </c>
      <c r="H7181" s="273" t="e">
        <f ca="1">_xludf.IFNA(VLOOKUP(E7181,'Urban Plastix Holds'!$I$37:$U$705,11,0),0)</f>
        <v>#NAME?</v>
      </c>
      <c r="I7181" s="274"/>
      <c r="J7181" s="274" t="e">
        <f t="shared" ca="1" si="113"/>
        <v>#NAME?</v>
      </c>
      <c r="K7181" s="274">
        <f t="shared" si="114"/>
        <v>0</v>
      </c>
      <c r="N7181" s="274"/>
    </row>
    <row r="7182" spans="5:14" ht="13.5" customHeight="1">
      <c r="E7182" s="1" t="s">
        <v>1445</v>
      </c>
      <c r="F7182" s="1" t="s">
        <v>3196</v>
      </c>
      <c r="G7182" s="415" t="str">
        <f t="shared" si="112"/>
        <v>18-01</v>
      </c>
      <c r="H7182" s="273" t="e">
        <f ca="1">_xludf.IFNA(VLOOKUP(E7182,'Urban Plastix Holds'!$I$37:$U$705,12,0),0)</f>
        <v>#NAME?</v>
      </c>
      <c r="I7182" s="274"/>
      <c r="J7182" s="274" t="e">
        <f t="shared" ca="1" si="113"/>
        <v>#NAME?</v>
      </c>
      <c r="K7182" s="274">
        <f t="shared" si="114"/>
        <v>0</v>
      </c>
      <c r="N7182" s="274"/>
    </row>
    <row r="7183" spans="5:14" ht="13.5" customHeight="1">
      <c r="E7183" s="1" t="s">
        <v>1445</v>
      </c>
      <c r="F7183" s="1" t="s">
        <v>3196</v>
      </c>
      <c r="G7183" s="416" t="str">
        <f t="shared" si="112"/>
        <v>Color Code</v>
      </c>
      <c r="H7183" s="273" t="e">
        <f ca="1">_xludf.IFNA(VLOOKUP(E7183,'Urban Plastix Holds'!$I$37:$U$705,13,0),0)</f>
        <v>#NAME?</v>
      </c>
      <c r="I7183" s="274"/>
      <c r="J7183" s="274" t="e">
        <f t="shared" ca="1" si="113"/>
        <v>#NAME?</v>
      </c>
      <c r="K7183" s="274">
        <f t="shared" si="114"/>
        <v>0</v>
      </c>
      <c r="N7183" s="274"/>
    </row>
    <row r="7184" spans="5:14" ht="13.5" customHeight="1">
      <c r="E7184" s="1" t="s">
        <v>1850</v>
      </c>
      <c r="F7184" s="1" t="s">
        <v>3197</v>
      </c>
      <c r="G7184" s="406" t="str">
        <f t="shared" si="112"/>
        <v>11-12</v>
      </c>
      <c r="H7184" s="273" t="e">
        <f ca="1">_xludf.IFNA(VLOOKUP(E7184,'Urban Plastix Holds'!$I$37:$U$705,5,0),0)</f>
        <v>#NAME?</v>
      </c>
      <c r="I7184" s="274"/>
      <c r="J7184" s="274" t="e">
        <f t="shared" ca="1" si="113"/>
        <v>#NAME?</v>
      </c>
      <c r="K7184" s="274">
        <f t="shared" si="114"/>
        <v>0</v>
      </c>
      <c r="N7184" s="274"/>
    </row>
    <row r="7185" spans="5:14" ht="13.5" customHeight="1">
      <c r="E7185" s="1" t="s">
        <v>1850</v>
      </c>
      <c r="F7185" s="1" t="s">
        <v>3197</v>
      </c>
      <c r="G7185" s="408" t="str">
        <f t="shared" si="112"/>
        <v>14-01</v>
      </c>
      <c r="H7185" s="273" t="e">
        <f ca="1">_xludf.IFNA(VLOOKUP(E7185,'Urban Plastix Holds'!$I$37:$U$705,6,0),0)</f>
        <v>#NAME?</v>
      </c>
      <c r="I7185" s="274"/>
      <c r="J7185" s="274" t="e">
        <f t="shared" ca="1" si="113"/>
        <v>#NAME?</v>
      </c>
      <c r="K7185" s="274">
        <f t="shared" si="114"/>
        <v>0</v>
      </c>
      <c r="N7185" s="274"/>
    </row>
    <row r="7186" spans="5:14" ht="13.5" customHeight="1">
      <c r="E7186" s="1" t="s">
        <v>1850</v>
      </c>
      <c r="F7186" s="1" t="s">
        <v>3197</v>
      </c>
      <c r="G7186" s="409" t="str">
        <f t="shared" si="112"/>
        <v>15-12</v>
      </c>
      <c r="H7186" s="273" t="e">
        <f ca="1">_xludf.IFNA(VLOOKUP(E7186,'Urban Plastix Holds'!$I$37:$U$705,7,0),0)</f>
        <v>#NAME?</v>
      </c>
      <c r="I7186" s="274"/>
      <c r="J7186" s="274" t="e">
        <f t="shared" ca="1" si="113"/>
        <v>#NAME?</v>
      </c>
      <c r="K7186" s="274">
        <f t="shared" si="114"/>
        <v>0</v>
      </c>
      <c r="N7186" s="274"/>
    </row>
    <row r="7187" spans="5:14" ht="13.5" customHeight="1">
      <c r="E7187" s="1" t="s">
        <v>1850</v>
      </c>
      <c r="F7187" s="1" t="s">
        <v>3197</v>
      </c>
      <c r="G7187" s="410" t="str">
        <f t="shared" si="112"/>
        <v>16-16</v>
      </c>
      <c r="H7187" s="273" t="e">
        <f ca="1">_xludf.IFNA(VLOOKUP(E7187,'Urban Plastix Holds'!$I$37:$U$705,8,0),0)</f>
        <v>#NAME?</v>
      </c>
      <c r="I7187" s="274"/>
      <c r="J7187" s="274" t="e">
        <f t="shared" ca="1" si="113"/>
        <v>#NAME?</v>
      </c>
      <c r="K7187" s="274">
        <f t="shared" si="114"/>
        <v>0</v>
      </c>
      <c r="N7187" s="274"/>
    </row>
    <row r="7188" spans="5:14" ht="13.5" customHeight="1">
      <c r="E7188" s="1" t="s">
        <v>1850</v>
      </c>
      <c r="F7188" s="1" t="s">
        <v>3197</v>
      </c>
      <c r="G7188" s="411" t="str">
        <f t="shared" si="112"/>
        <v>13-01</v>
      </c>
      <c r="H7188" s="273" t="e">
        <f ca="1">_xludf.IFNA(VLOOKUP(E7188,'Urban Plastix Holds'!$I$37:$U$705,9,0),0)</f>
        <v>#NAME?</v>
      </c>
      <c r="I7188" s="274"/>
      <c r="J7188" s="274" t="e">
        <f t="shared" ca="1" si="113"/>
        <v>#NAME?</v>
      </c>
      <c r="K7188" s="274">
        <f t="shared" si="114"/>
        <v>0</v>
      </c>
      <c r="N7188" s="274"/>
    </row>
    <row r="7189" spans="5:14" ht="13.5" customHeight="1">
      <c r="E7189" s="1" t="s">
        <v>1850</v>
      </c>
      <c r="F7189" s="1" t="s">
        <v>3197</v>
      </c>
      <c r="G7189" s="413" t="str">
        <f t="shared" si="112"/>
        <v>07-13</v>
      </c>
      <c r="H7189" s="273" t="e">
        <f ca="1">_xludf.IFNA(VLOOKUP(E7189,'Urban Plastix Holds'!$I$37:$U$705,10,0),0)</f>
        <v>#NAME?</v>
      </c>
      <c r="I7189" s="274"/>
      <c r="J7189" s="274" t="e">
        <f t="shared" ca="1" si="113"/>
        <v>#NAME?</v>
      </c>
      <c r="K7189" s="274">
        <f t="shared" si="114"/>
        <v>0</v>
      </c>
      <c r="N7189" s="274"/>
    </row>
    <row r="7190" spans="5:14" ht="13.5" customHeight="1">
      <c r="E7190" s="1" t="s">
        <v>1850</v>
      </c>
      <c r="F7190" s="1" t="s">
        <v>3197</v>
      </c>
      <c r="G7190" s="414" t="str">
        <f t="shared" si="112"/>
        <v>11-26</v>
      </c>
      <c r="H7190" s="273" t="e">
        <f ca="1">_xludf.IFNA(VLOOKUP(E7190,'Urban Plastix Holds'!$I$37:$U$705,11,0),0)</f>
        <v>#NAME?</v>
      </c>
      <c r="I7190" s="274"/>
      <c r="J7190" s="274" t="e">
        <f t="shared" ca="1" si="113"/>
        <v>#NAME?</v>
      </c>
      <c r="K7190" s="274">
        <f t="shared" si="114"/>
        <v>0</v>
      </c>
      <c r="N7190" s="274"/>
    </row>
    <row r="7191" spans="5:14" ht="13.5" customHeight="1">
      <c r="E7191" s="1" t="s">
        <v>1850</v>
      </c>
      <c r="F7191" s="1" t="s">
        <v>3197</v>
      </c>
      <c r="G7191" s="415" t="str">
        <f t="shared" si="112"/>
        <v>18-01</v>
      </c>
      <c r="H7191" s="273" t="e">
        <f ca="1">_xludf.IFNA(VLOOKUP(E7191,'Urban Plastix Holds'!$I$37:$U$705,12,0),0)</f>
        <v>#NAME?</v>
      </c>
      <c r="I7191" s="274"/>
      <c r="J7191" s="274" t="e">
        <f t="shared" ca="1" si="113"/>
        <v>#NAME?</v>
      </c>
      <c r="K7191" s="274">
        <f t="shared" si="114"/>
        <v>0</v>
      </c>
      <c r="N7191" s="274"/>
    </row>
    <row r="7192" spans="5:14" ht="13.5" customHeight="1">
      <c r="E7192" s="1" t="s">
        <v>1850</v>
      </c>
      <c r="F7192" s="1" t="s">
        <v>3197</v>
      </c>
      <c r="G7192" s="416" t="str">
        <f t="shared" si="112"/>
        <v>Color Code</v>
      </c>
      <c r="H7192" s="273" t="e">
        <f ca="1">_xludf.IFNA(VLOOKUP(E7192,'Urban Plastix Holds'!$I$37:$U$705,13,0),0)</f>
        <v>#NAME?</v>
      </c>
      <c r="I7192" s="274"/>
      <c r="J7192" s="274" t="e">
        <f t="shared" ca="1" si="113"/>
        <v>#NAME?</v>
      </c>
      <c r="K7192" s="274">
        <f t="shared" si="114"/>
        <v>0</v>
      </c>
      <c r="N7192" s="274"/>
    </row>
    <row r="7193" spans="5:14" ht="13.5" customHeight="1">
      <c r="E7193" s="1" t="s">
        <v>1876</v>
      </c>
      <c r="F7193" s="1" t="s">
        <v>3198</v>
      </c>
      <c r="G7193" s="406" t="str">
        <f t="shared" ref="G7193:G7201" si="115">G5897</f>
        <v>11-12</v>
      </c>
      <c r="H7193" s="273" t="e">
        <f ca="1">_xludf.IFNA(VLOOKUP(E7193,'Urban Plastix Holds'!$I$37:$U$705,5,0),0)</f>
        <v>#NAME?</v>
      </c>
      <c r="I7193" s="274"/>
      <c r="J7193" s="274" t="e">
        <f t="shared" ca="1" si="113"/>
        <v>#NAME?</v>
      </c>
      <c r="K7193" s="274">
        <f t="shared" si="114"/>
        <v>0</v>
      </c>
      <c r="N7193" s="274"/>
    </row>
    <row r="7194" spans="5:14" ht="13.5" customHeight="1">
      <c r="E7194" s="1" t="s">
        <v>1876</v>
      </c>
      <c r="F7194" s="1" t="s">
        <v>3198</v>
      </c>
      <c r="G7194" s="408" t="str">
        <f t="shared" si="115"/>
        <v>14-01</v>
      </c>
      <c r="H7194" s="273" t="e">
        <f ca="1">_xludf.IFNA(VLOOKUP(E7194,'Urban Plastix Holds'!$I$37:$U$705,6,0),0)</f>
        <v>#NAME?</v>
      </c>
      <c r="I7194" s="274"/>
      <c r="J7194" s="274" t="e">
        <f t="shared" ca="1" si="113"/>
        <v>#NAME?</v>
      </c>
      <c r="K7194" s="274">
        <f t="shared" si="114"/>
        <v>0</v>
      </c>
      <c r="N7194" s="274"/>
    </row>
    <row r="7195" spans="5:14" ht="13.5" customHeight="1">
      <c r="E7195" s="1" t="s">
        <v>1876</v>
      </c>
      <c r="F7195" s="1" t="s">
        <v>3198</v>
      </c>
      <c r="G7195" s="409" t="str">
        <f t="shared" si="115"/>
        <v>15-12</v>
      </c>
      <c r="H7195" s="273" t="e">
        <f ca="1">_xludf.IFNA(VLOOKUP(E7195,'Urban Plastix Holds'!$I$37:$U$705,7,0),0)</f>
        <v>#NAME?</v>
      </c>
      <c r="I7195" s="274"/>
      <c r="J7195" s="274" t="e">
        <f t="shared" ca="1" si="113"/>
        <v>#NAME?</v>
      </c>
      <c r="K7195" s="274">
        <f t="shared" si="114"/>
        <v>0</v>
      </c>
      <c r="N7195" s="274"/>
    </row>
    <row r="7196" spans="5:14" ht="13.5" customHeight="1">
      <c r="E7196" s="1" t="s">
        <v>1876</v>
      </c>
      <c r="F7196" s="1" t="s">
        <v>3198</v>
      </c>
      <c r="G7196" s="410" t="str">
        <f t="shared" si="115"/>
        <v>16-16</v>
      </c>
      <c r="H7196" s="273" t="e">
        <f ca="1">_xludf.IFNA(VLOOKUP(E7196,'Urban Plastix Holds'!$I$37:$U$705,8,0),0)</f>
        <v>#NAME?</v>
      </c>
      <c r="I7196" s="274"/>
      <c r="J7196" s="274" t="e">
        <f t="shared" ca="1" si="113"/>
        <v>#NAME?</v>
      </c>
      <c r="K7196" s="274">
        <f t="shared" si="114"/>
        <v>0</v>
      </c>
      <c r="N7196" s="274"/>
    </row>
    <row r="7197" spans="5:14" ht="13.5" customHeight="1">
      <c r="E7197" s="1" t="s">
        <v>1876</v>
      </c>
      <c r="F7197" s="1" t="s">
        <v>3198</v>
      </c>
      <c r="G7197" s="411" t="str">
        <f t="shared" si="115"/>
        <v>13-01</v>
      </c>
      <c r="H7197" s="273" t="e">
        <f ca="1">_xludf.IFNA(VLOOKUP(E7197,'Urban Plastix Holds'!$I$37:$U$705,9,0),0)</f>
        <v>#NAME?</v>
      </c>
      <c r="I7197" s="274"/>
      <c r="J7197" s="274" t="e">
        <f t="shared" ca="1" si="113"/>
        <v>#NAME?</v>
      </c>
      <c r="K7197" s="274">
        <f t="shared" si="114"/>
        <v>0</v>
      </c>
      <c r="N7197" s="274"/>
    </row>
    <row r="7198" spans="5:14" ht="13.5" customHeight="1">
      <c r="E7198" s="1" t="s">
        <v>1876</v>
      </c>
      <c r="F7198" s="1" t="s">
        <v>3198</v>
      </c>
      <c r="G7198" s="413" t="str">
        <f t="shared" si="115"/>
        <v>07-13</v>
      </c>
      <c r="H7198" s="273" t="e">
        <f ca="1">_xludf.IFNA(VLOOKUP(E7198,'Urban Plastix Holds'!$I$37:$U$705,10,0),0)</f>
        <v>#NAME?</v>
      </c>
      <c r="I7198" s="274"/>
      <c r="J7198" s="274" t="e">
        <f t="shared" ca="1" si="113"/>
        <v>#NAME?</v>
      </c>
      <c r="K7198" s="274">
        <f t="shared" si="114"/>
        <v>0</v>
      </c>
      <c r="N7198" s="274"/>
    </row>
    <row r="7199" spans="5:14" ht="13.5" customHeight="1">
      <c r="E7199" s="1" t="s">
        <v>1876</v>
      </c>
      <c r="F7199" s="1" t="s">
        <v>3198</v>
      </c>
      <c r="G7199" s="414" t="str">
        <f t="shared" si="115"/>
        <v>11-26</v>
      </c>
      <c r="H7199" s="273" t="e">
        <f ca="1">_xludf.IFNA(VLOOKUP(E7199,'Urban Plastix Holds'!$I$37:$U$705,11,0),0)</f>
        <v>#NAME?</v>
      </c>
      <c r="I7199" s="274"/>
      <c r="J7199" s="274" t="e">
        <f t="shared" ca="1" si="113"/>
        <v>#NAME?</v>
      </c>
      <c r="K7199" s="274">
        <f t="shared" si="114"/>
        <v>0</v>
      </c>
      <c r="N7199" s="274"/>
    </row>
    <row r="7200" spans="5:14" ht="13.5" customHeight="1">
      <c r="E7200" s="1" t="s">
        <v>1876</v>
      </c>
      <c r="F7200" s="1" t="s">
        <v>3198</v>
      </c>
      <c r="G7200" s="415" t="str">
        <f t="shared" si="115"/>
        <v>18-01</v>
      </c>
      <c r="H7200" s="273" t="e">
        <f ca="1">_xludf.IFNA(VLOOKUP(E7200,'Urban Plastix Holds'!$I$37:$U$705,12,0),0)</f>
        <v>#NAME?</v>
      </c>
      <c r="I7200" s="274"/>
      <c r="J7200" s="274" t="e">
        <f t="shared" ca="1" si="113"/>
        <v>#NAME?</v>
      </c>
      <c r="K7200" s="274">
        <f t="shared" si="114"/>
        <v>0</v>
      </c>
      <c r="N7200" s="274"/>
    </row>
    <row r="7201" spans="5:14" ht="13.5" customHeight="1">
      <c r="E7201" s="1" t="s">
        <v>1876</v>
      </c>
      <c r="F7201" s="1" t="s">
        <v>3198</v>
      </c>
      <c r="G7201" s="416" t="str">
        <f t="shared" si="115"/>
        <v>Color Code</v>
      </c>
      <c r="H7201" s="273" t="e">
        <f ca="1">_xludf.IFNA(VLOOKUP(E7201,'Urban Plastix Holds'!$I$37:$U$705,13,0),0)</f>
        <v>#NAME?</v>
      </c>
      <c r="I7201" s="274"/>
      <c r="J7201" s="274" t="e">
        <f t="shared" ca="1" si="113"/>
        <v>#NAME?</v>
      </c>
      <c r="K7201" s="274">
        <f t="shared" si="114"/>
        <v>0</v>
      </c>
      <c r="N7201" s="274"/>
    </row>
  </sheetData>
  <autoFilter ref="E1:N1" xr:uid="{00000000-0009-0000-0000-000006000000}"/>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000"/>
  <sheetViews>
    <sheetView workbookViewId="0"/>
  </sheetViews>
  <sheetFormatPr baseColWidth="10" defaultColWidth="11.1640625" defaultRowHeight="15" customHeight="1"/>
  <cols>
    <col min="1" max="1" width="11.83203125" customWidth="1"/>
    <col min="2" max="2" width="44.83203125" customWidth="1"/>
    <col min="3" max="3" width="9.83203125" customWidth="1"/>
    <col min="4" max="4" width="9.5" customWidth="1"/>
    <col min="5" max="5" width="6.1640625" customWidth="1"/>
    <col min="6" max="6" width="8.6640625" customWidth="1"/>
    <col min="7" max="7" width="12.1640625" customWidth="1"/>
    <col min="8" max="8" width="8.6640625" customWidth="1"/>
    <col min="9" max="9" width="6.6640625" customWidth="1"/>
    <col min="10" max="10" width="6.83203125" customWidth="1"/>
    <col min="11" max="26" width="11.83203125" customWidth="1"/>
  </cols>
  <sheetData>
    <row r="1" spans="1:10" ht="13.5" customHeight="1">
      <c r="A1" s="1" t="s">
        <v>129</v>
      </c>
      <c r="B1" s="1" t="s">
        <v>2365</v>
      </c>
      <c r="C1" s="1" t="s">
        <v>2366</v>
      </c>
      <c r="D1" s="273" t="s">
        <v>2367</v>
      </c>
      <c r="E1" s="274" t="s">
        <v>2295</v>
      </c>
      <c r="F1" s="274" t="s">
        <v>2368</v>
      </c>
      <c r="G1" s="274" t="s">
        <v>2369</v>
      </c>
      <c r="H1" s="1" t="s">
        <v>2370</v>
      </c>
      <c r="I1" s="1" t="s">
        <v>2371</v>
      </c>
      <c r="J1" s="274" t="s">
        <v>2306</v>
      </c>
    </row>
    <row r="2" spans="1:10" ht="13.5" customHeight="1">
      <c r="A2" s="209" t="s">
        <v>3199</v>
      </c>
      <c r="B2" s="209" t="s">
        <v>3200</v>
      </c>
      <c r="C2" s="406" t="str">
        <f>'Kilter Holds'!T36</f>
        <v>11-12</v>
      </c>
      <c r="D2" s="209" t="e">
        <f ca="1">_xludf.IFNA(VLOOKUP(Walltopia!A2,'Kilter Holds'!$P$37:$AB$662,5,0),0)</f>
        <v>#NAME?</v>
      </c>
    </row>
    <row r="3" spans="1:10" ht="13.5" customHeight="1">
      <c r="A3" s="209" t="s">
        <v>3199</v>
      </c>
      <c r="B3" s="209" t="s">
        <v>3200</v>
      </c>
      <c r="C3" s="408" t="str">
        <f>'Kilter Holds'!U36</f>
        <v>14-01</v>
      </c>
      <c r="D3" s="209" t="e">
        <f ca="1">_xludf.IFNA(VLOOKUP(Walltopia!A3,'Kilter Holds'!$P$37:$AB$662,6,0),0)</f>
        <v>#NAME?</v>
      </c>
    </row>
    <row r="4" spans="1:10" ht="13.5" customHeight="1">
      <c r="A4" s="209" t="s">
        <v>3199</v>
      </c>
      <c r="B4" s="209" t="s">
        <v>3200</v>
      </c>
      <c r="C4" s="409" t="str">
        <f>'Kilter Holds'!V36</f>
        <v>15-12</v>
      </c>
      <c r="D4" s="209" t="e">
        <f ca="1">_xludf.IFNA(VLOOKUP(Walltopia!A4,'Kilter Holds'!$P$37:$AB$662,7,0),0)</f>
        <v>#NAME?</v>
      </c>
    </row>
    <row r="5" spans="1:10" ht="13.5" customHeight="1">
      <c r="A5" s="209" t="s">
        <v>3199</v>
      </c>
      <c r="B5" s="209" t="s">
        <v>3200</v>
      </c>
      <c r="C5" s="410" t="str">
        <f>'Kilter Holds'!W36</f>
        <v>16-16</v>
      </c>
      <c r="D5" s="209" t="e">
        <f ca="1">_xludf.IFNA(VLOOKUP(Walltopia!A5,'Kilter Holds'!$P$37:$AB$662,8,0),0)</f>
        <v>#NAME?</v>
      </c>
    </row>
    <row r="6" spans="1:10" ht="13.5" customHeight="1">
      <c r="A6" s="209" t="s">
        <v>3199</v>
      </c>
      <c r="B6" s="209" t="s">
        <v>3200</v>
      </c>
      <c r="C6" s="411" t="str">
        <f>'Kilter Holds'!X36</f>
        <v>13-01</v>
      </c>
      <c r="D6" s="209" t="e">
        <f ca="1">_xludf.IFNA(VLOOKUP(Walltopia!A6,'Kilter Holds'!$P$37:$AB$662,9,0),0)</f>
        <v>#NAME?</v>
      </c>
    </row>
    <row r="7" spans="1:10" ht="13.5" customHeight="1">
      <c r="A7" s="209" t="s">
        <v>3199</v>
      </c>
      <c r="B7" s="209" t="s">
        <v>3200</v>
      </c>
      <c r="C7" s="413" t="str">
        <f>'Kilter Holds'!Y36</f>
        <v>07-13</v>
      </c>
      <c r="D7" s="209" t="e">
        <f ca="1">_xludf.IFNA(VLOOKUP(Walltopia!A7,'Kilter Holds'!$P$37:$AB$662,10,0),0)</f>
        <v>#NAME?</v>
      </c>
    </row>
    <row r="8" spans="1:10" ht="13.5" customHeight="1">
      <c r="A8" s="209" t="s">
        <v>3199</v>
      </c>
      <c r="B8" s="209" t="s">
        <v>3200</v>
      </c>
      <c r="C8" s="414" t="str">
        <f>'Kilter Holds'!Z36</f>
        <v>11-26</v>
      </c>
      <c r="D8" s="209" t="e">
        <f ca="1">_xludf.IFNA(VLOOKUP(Walltopia!A8,'Kilter Holds'!$P$37:$AB$662,11,0),0)</f>
        <v>#NAME?</v>
      </c>
    </row>
    <row r="9" spans="1:10" ht="13.5" customHeight="1">
      <c r="A9" s="209" t="s">
        <v>3199</v>
      </c>
      <c r="B9" s="209" t="s">
        <v>3200</v>
      </c>
      <c r="C9" s="415" t="str">
        <f>'Kilter Holds'!AA36</f>
        <v>18-01</v>
      </c>
      <c r="D9" s="209" t="e">
        <f ca="1">_xludf.IFNA(VLOOKUP(Walltopia!A9,'Kilter Holds'!$P$37:$AB$662,12,0),0)</f>
        <v>#NAME?</v>
      </c>
    </row>
    <row r="10" spans="1:10" ht="13.5" customHeight="1">
      <c r="A10" s="209" t="s">
        <v>3199</v>
      </c>
      <c r="B10" s="209" t="s">
        <v>3200</v>
      </c>
      <c r="C10" s="416" t="str">
        <f>'Kilter Holds'!AB36</f>
        <v>Color Code</v>
      </c>
      <c r="D10" s="209" t="e">
        <f ca="1">_xludf.IFNA(VLOOKUP(Walltopia!A10,'Kilter Holds'!$P$37:$AB$662,13,0),0)</f>
        <v>#NAME?</v>
      </c>
    </row>
    <row r="11" spans="1:10" ht="13.5" customHeight="1">
      <c r="A11" s="209" t="s">
        <v>3201</v>
      </c>
      <c r="B11" s="209" t="s">
        <v>3202</v>
      </c>
      <c r="C11" s="406" t="str">
        <f t="shared" ref="C11:C217" si="0">C2</f>
        <v>11-12</v>
      </c>
      <c r="D11" s="209" t="e">
        <f ca="1">_xludf.IFNA(VLOOKUP(Walltopia!A11,'Kilter Holds'!$P$37:$AB$662,5,0),0)</f>
        <v>#NAME?</v>
      </c>
    </row>
    <row r="12" spans="1:10" ht="13.5" customHeight="1">
      <c r="A12" s="209" t="s">
        <v>3201</v>
      </c>
      <c r="B12" s="209" t="s">
        <v>3202</v>
      </c>
      <c r="C12" s="408" t="str">
        <f t="shared" si="0"/>
        <v>14-01</v>
      </c>
      <c r="D12" s="209" t="e">
        <f ca="1">_xludf.IFNA(VLOOKUP(Walltopia!A12,'Kilter Holds'!$P$37:$AB$662,6,0),0)</f>
        <v>#NAME?</v>
      </c>
    </row>
    <row r="13" spans="1:10" ht="13.5" customHeight="1">
      <c r="A13" s="209" t="s">
        <v>3201</v>
      </c>
      <c r="B13" s="209" t="s">
        <v>3202</v>
      </c>
      <c r="C13" s="409" t="str">
        <f t="shared" si="0"/>
        <v>15-12</v>
      </c>
      <c r="D13" s="209" t="e">
        <f ca="1">_xludf.IFNA(VLOOKUP(Walltopia!A13,'Kilter Holds'!$P$37:$AB$662,7,0),0)</f>
        <v>#NAME?</v>
      </c>
    </row>
    <row r="14" spans="1:10" ht="13.5" customHeight="1">
      <c r="A14" s="209" t="s">
        <v>3201</v>
      </c>
      <c r="B14" s="209" t="s">
        <v>3202</v>
      </c>
      <c r="C14" s="410" t="str">
        <f t="shared" si="0"/>
        <v>16-16</v>
      </c>
      <c r="D14" s="209" t="e">
        <f ca="1">_xludf.IFNA(VLOOKUP(Walltopia!A14,'Kilter Holds'!$P$37:$AB$662,8,0),0)</f>
        <v>#NAME?</v>
      </c>
    </row>
    <row r="15" spans="1:10" ht="13.5" customHeight="1">
      <c r="A15" s="209" t="s">
        <v>3201</v>
      </c>
      <c r="B15" s="209" t="s">
        <v>3202</v>
      </c>
      <c r="C15" s="411" t="str">
        <f t="shared" si="0"/>
        <v>13-01</v>
      </c>
      <c r="D15" s="209" t="e">
        <f ca="1">_xludf.IFNA(VLOOKUP(Walltopia!A15,'Kilter Holds'!$P$37:$AB$662,9,0),0)</f>
        <v>#NAME?</v>
      </c>
    </row>
    <row r="16" spans="1:10" ht="13.5" customHeight="1">
      <c r="A16" s="209" t="s">
        <v>3201</v>
      </c>
      <c r="B16" s="209" t="s">
        <v>3202</v>
      </c>
      <c r="C16" s="413" t="str">
        <f t="shared" si="0"/>
        <v>07-13</v>
      </c>
      <c r="D16" s="209" t="e">
        <f ca="1">_xludf.IFNA(VLOOKUP(Walltopia!A16,'Kilter Holds'!$P$37:$AB$662,10,0),0)</f>
        <v>#NAME?</v>
      </c>
    </row>
    <row r="17" spans="1:4" ht="13.5" customHeight="1">
      <c r="A17" s="209" t="s">
        <v>3201</v>
      </c>
      <c r="B17" s="209" t="s">
        <v>3202</v>
      </c>
      <c r="C17" s="414" t="str">
        <f t="shared" si="0"/>
        <v>11-26</v>
      </c>
      <c r="D17" s="209" t="e">
        <f ca="1">_xludf.IFNA(VLOOKUP(Walltopia!A17,'Kilter Holds'!$P$37:$AB$662,11,0),0)</f>
        <v>#NAME?</v>
      </c>
    </row>
    <row r="18" spans="1:4" ht="13.5" customHeight="1">
      <c r="A18" s="209" t="s">
        <v>3201</v>
      </c>
      <c r="B18" s="209" t="s">
        <v>3202</v>
      </c>
      <c r="C18" s="415" t="str">
        <f t="shared" si="0"/>
        <v>18-01</v>
      </c>
      <c r="D18" s="209" t="e">
        <f ca="1">_xludf.IFNA(VLOOKUP(Walltopia!A18,'Kilter Holds'!$P$37:$AB$662,12,0),0)</f>
        <v>#NAME?</v>
      </c>
    </row>
    <row r="19" spans="1:4" ht="13.5" customHeight="1">
      <c r="A19" s="209" t="s">
        <v>3201</v>
      </c>
      <c r="B19" s="209" t="s">
        <v>3202</v>
      </c>
      <c r="C19" s="416" t="str">
        <f t="shared" si="0"/>
        <v>Color Code</v>
      </c>
      <c r="D19" s="209" t="e">
        <f ca="1">_xludf.IFNA(VLOOKUP(Walltopia!A19,'Kilter Holds'!$P$37:$AB$662,13,0),0)</f>
        <v>#NAME?</v>
      </c>
    </row>
    <row r="20" spans="1:4" ht="13.5" customHeight="1">
      <c r="A20" s="209" t="s">
        <v>3203</v>
      </c>
      <c r="B20" s="209" t="s">
        <v>3204</v>
      </c>
      <c r="C20" s="406" t="str">
        <f t="shared" si="0"/>
        <v>11-12</v>
      </c>
      <c r="D20" s="209" t="e">
        <f ca="1">_xludf.IFNA(VLOOKUP(Walltopia!A20,'Kilter Holds'!$P$37:$AB$662,5,0),0)</f>
        <v>#NAME?</v>
      </c>
    </row>
    <row r="21" spans="1:4" ht="13.5" customHeight="1">
      <c r="A21" s="209" t="s">
        <v>3203</v>
      </c>
      <c r="B21" s="209" t="s">
        <v>3204</v>
      </c>
      <c r="C21" s="408" t="str">
        <f t="shared" si="0"/>
        <v>14-01</v>
      </c>
      <c r="D21" s="209" t="e">
        <f ca="1">_xludf.IFNA(VLOOKUP(Walltopia!A21,'Kilter Holds'!$P$37:$AB$662,6,0),0)</f>
        <v>#NAME?</v>
      </c>
    </row>
    <row r="22" spans="1:4" ht="13.5" customHeight="1">
      <c r="A22" s="209" t="s">
        <v>3203</v>
      </c>
      <c r="B22" s="209" t="s">
        <v>3204</v>
      </c>
      <c r="C22" s="409" t="str">
        <f t="shared" si="0"/>
        <v>15-12</v>
      </c>
      <c r="D22" s="209" t="e">
        <f ca="1">_xludf.IFNA(VLOOKUP(Walltopia!A22,'Kilter Holds'!$P$37:$AB$662,7,0),0)</f>
        <v>#NAME?</v>
      </c>
    </row>
    <row r="23" spans="1:4" ht="13.5" customHeight="1">
      <c r="A23" s="209" t="s">
        <v>3203</v>
      </c>
      <c r="B23" s="209" t="s">
        <v>3204</v>
      </c>
      <c r="C23" s="410" t="str">
        <f t="shared" si="0"/>
        <v>16-16</v>
      </c>
      <c r="D23" s="209" t="e">
        <f ca="1">_xludf.IFNA(VLOOKUP(Walltopia!A23,'Kilter Holds'!$P$37:$AB$662,8,0),0)</f>
        <v>#NAME?</v>
      </c>
    </row>
    <row r="24" spans="1:4" ht="13.5" customHeight="1">
      <c r="A24" s="209" t="s">
        <v>3203</v>
      </c>
      <c r="B24" s="209" t="s">
        <v>3204</v>
      </c>
      <c r="C24" s="411" t="str">
        <f t="shared" si="0"/>
        <v>13-01</v>
      </c>
      <c r="D24" s="209" t="e">
        <f ca="1">_xludf.IFNA(VLOOKUP(Walltopia!A24,'Kilter Holds'!$P$37:$AB$662,9,0),0)</f>
        <v>#NAME?</v>
      </c>
    </row>
    <row r="25" spans="1:4" ht="13.5" customHeight="1">
      <c r="A25" s="209" t="s">
        <v>3203</v>
      </c>
      <c r="B25" s="209" t="s">
        <v>3204</v>
      </c>
      <c r="C25" s="413" t="str">
        <f t="shared" si="0"/>
        <v>07-13</v>
      </c>
      <c r="D25" s="209" t="e">
        <f ca="1">_xludf.IFNA(VLOOKUP(Walltopia!A25,'Kilter Holds'!$P$37:$AB$662,10,0),0)</f>
        <v>#NAME?</v>
      </c>
    </row>
    <row r="26" spans="1:4" ht="13.5" customHeight="1">
      <c r="A26" s="209" t="s">
        <v>3203</v>
      </c>
      <c r="B26" s="209" t="s">
        <v>3204</v>
      </c>
      <c r="C26" s="414" t="str">
        <f t="shared" si="0"/>
        <v>11-26</v>
      </c>
      <c r="D26" s="209" t="e">
        <f ca="1">_xludf.IFNA(VLOOKUP(Walltopia!A26,'Kilter Holds'!$P$37:$AB$662,11,0),0)</f>
        <v>#NAME?</v>
      </c>
    </row>
    <row r="27" spans="1:4" ht="13.5" customHeight="1">
      <c r="A27" s="209" t="s">
        <v>3203</v>
      </c>
      <c r="B27" s="209" t="s">
        <v>3204</v>
      </c>
      <c r="C27" s="415" t="str">
        <f t="shared" si="0"/>
        <v>18-01</v>
      </c>
      <c r="D27" s="209" t="e">
        <f ca="1">_xludf.IFNA(VLOOKUP(Walltopia!A27,'Kilter Holds'!$P$37:$AB$662,12,0),0)</f>
        <v>#NAME?</v>
      </c>
    </row>
    <row r="28" spans="1:4" ht="13.5" customHeight="1">
      <c r="A28" s="209" t="s">
        <v>3203</v>
      </c>
      <c r="B28" s="209" t="s">
        <v>3204</v>
      </c>
      <c r="C28" s="416" t="str">
        <f t="shared" si="0"/>
        <v>Color Code</v>
      </c>
      <c r="D28" s="209" t="e">
        <f ca="1">_xludf.IFNA(VLOOKUP(Walltopia!A28,'Kilter Holds'!$P$37:$AB$662,13,0),0)</f>
        <v>#NAME?</v>
      </c>
    </row>
    <row r="29" spans="1:4" ht="13.5" customHeight="1">
      <c r="A29" s="209" t="s">
        <v>3205</v>
      </c>
      <c r="B29" s="209" t="s">
        <v>3206</v>
      </c>
      <c r="C29" s="406" t="str">
        <f t="shared" si="0"/>
        <v>11-12</v>
      </c>
      <c r="D29" s="209" t="e">
        <f ca="1">_xludf.IFNA(VLOOKUP(Walltopia!A29,'Kilter Holds'!$P$37:$AB$662,5,0),0)</f>
        <v>#NAME?</v>
      </c>
    </row>
    <row r="30" spans="1:4" ht="13.5" customHeight="1">
      <c r="A30" s="209" t="s">
        <v>3205</v>
      </c>
      <c r="B30" s="209" t="s">
        <v>3206</v>
      </c>
      <c r="C30" s="408" t="str">
        <f t="shared" si="0"/>
        <v>14-01</v>
      </c>
      <c r="D30" s="209" t="e">
        <f ca="1">_xludf.IFNA(VLOOKUP(Walltopia!A30,'Kilter Holds'!$P$37:$AB$662,6,0),0)</f>
        <v>#NAME?</v>
      </c>
    </row>
    <row r="31" spans="1:4" ht="13.5" customHeight="1">
      <c r="A31" s="209" t="s">
        <v>3205</v>
      </c>
      <c r="B31" s="209" t="s">
        <v>3206</v>
      </c>
      <c r="C31" s="409" t="str">
        <f t="shared" si="0"/>
        <v>15-12</v>
      </c>
      <c r="D31" s="209" t="e">
        <f ca="1">_xludf.IFNA(VLOOKUP(Walltopia!A31,'Kilter Holds'!$P$37:$AB$662,7,0),0)</f>
        <v>#NAME?</v>
      </c>
    </row>
    <row r="32" spans="1:4" ht="13.5" customHeight="1">
      <c r="A32" s="209" t="s">
        <v>3205</v>
      </c>
      <c r="B32" s="209" t="s">
        <v>3206</v>
      </c>
      <c r="C32" s="410" t="str">
        <f t="shared" si="0"/>
        <v>16-16</v>
      </c>
      <c r="D32" s="209" t="e">
        <f ca="1">_xludf.IFNA(VLOOKUP(Walltopia!A32,'Kilter Holds'!$P$37:$AB$662,8,0),0)</f>
        <v>#NAME?</v>
      </c>
    </row>
    <row r="33" spans="1:4" ht="13.5" customHeight="1">
      <c r="A33" s="209" t="s">
        <v>3205</v>
      </c>
      <c r="B33" s="209" t="s">
        <v>3206</v>
      </c>
      <c r="C33" s="411" t="str">
        <f t="shared" si="0"/>
        <v>13-01</v>
      </c>
      <c r="D33" s="209" t="e">
        <f ca="1">_xludf.IFNA(VLOOKUP(Walltopia!A33,'Kilter Holds'!$P$37:$AB$662,9,0),0)</f>
        <v>#NAME?</v>
      </c>
    </row>
    <row r="34" spans="1:4" ht="13.5" customHeight="1">
      <c r="A34" s="209" t="s">
        <v>3205</v>
      </c>
      <c r="B34" s="209" t="s">
        <v>3206</v>
      </c>
      <c r="C34" s="413" t="str">
        <f t="shared" si="0"/>
        <v>07-13</v>
      </c>
      <c r="D34" s="209" t="e">
        <f ca="1">_xludf.IFNA(VLOOKUP(Walltopia!A34,'Kilter Holds'!$P$37:$AB$662,10,0),0)</f>
        <v>#NAME?</v>
      </c>
    </row>
    <row r="35" spans="1:4" ht="13.5" customHeight="1">
      <c r="A35" s="209" t="s">
        <v>3205</v>
      </c>
      <c r="B35" s="209" t="s">
        <v>3206</v>
      </c>
      <c r="C35" s="414" t="str">
        <f t="shared" si="0"/>
        <v>11-26</v>
      </c>
      <c r="D35" s="209" t="e">
        <f ca="1">_xludf.IFNA(VLOOKUP(Walltopia!A35,'Kilter Holds'!$P$37:$AB$662,11,0),0)</f>
        <v>#NAME?</v>
      </c>
    </row>
    <row r="36" spans="1:4" ht="13.5" customHeight="1">
      <c r="A36" s="209" t="s">
        <v>3205</v>
      </c>
      <c r="B36" s="209" t="s">
        <v>3206</v>
      </c>
      <c r="C36" s="415" t="str">
        <f t="shared" si="0"/>
        <v>18-01</v>
      </c>
      <c r="D36" s="209" t="e">
        <f ca="1">_xludf.IFNA(VLOOKUP(Walltopia!A36,'Kilter Holds'!$P$37:$AB$662,12,0),0)</f>
        <v>#NAME?</v>
      </c>
    </row>
    <row r="37" spans="1:4" ht="13.5" customHeight="1">
      <c r="A37" s="209" t="s">
        <v>3205</v>
      </c>
      <c r="B37" s="209" t="s">
        <v>3206</v>
      </c>
      <c r="C37" s="416" t="str">
        <f t="shared" si="0"/>
        <v>Color Code</v>
      </c>
      <c r="D37" s="209" t="e">
        <f ca="1">_xludf.IFNA(VLOOKUP(Walltopia!A37,'Kilter Holds'!$P$37:$AB$662,13,0),0)</f>
        <v>#NAME?</v>
      </c>
    </row>
    <row r="38" spans="1:4" ht="13.5" customHeight="1">
      <c r="A38" s="209" t="s">
        <v>3207</v>
      </c>
      <c r="B38" s="209" t="s">
        <v>3208</v>
      </c>
      <c r="C38" s="406" t="str">
        <f t="shared" si="0"/>
        <v>11-12</v>
      </c>
      <c r="D38" s="209" t="e">
        <f ca="1">_xludf.IFNA(VLOOKUP(Walltopia!A38,'Kilter Holds'!$P$37:$AB$662,5,0),0)</f>
        <v>#NAME?</v>
      </c>
    </row>
    <row r="39" spans="1:4" ht="13.5" customHeight="1">
      <c r="A39" s="209" t="s">
        <v>3207</v>
      </c>
      <c r="B39" s="209" t="s">
        <v>3208</v>
      </c>
      <c r="C39" s="408" t="str">
        <f t="shared" si="0"/>
        <v>14-01</v>
      </c>
      <c r="D39" s="209" t="e">
        <f ca="1">_xludf.IFNA(VLOOKUP(Walltopia!A39,'Kilter Holds'!$P$37:$AB$662,6,0),0)</f>
        <v>#NAME?</v>
      </c>
    </row>
    <row r="40" spans="1:4" ht="13.5" customHeight="1">
      <c r="A40" s="209" t="s">
        <v>3207</v>
      </c>
      <c r="B40" s="209" t="s">
        <v>3208</v>
      </c>
      <c r="C40" s="409" t="str">
        <f t="shared" si="0"/>
        <v>15-12</v>
      </c>
      <c r="D40" s="209" t="e">
        <f ca="1">_xludf.IFNA(VLOOKUP(Walltopia!A40,'Kilter Holds'!$P$37:$AB$662,7,0),0)</f>
        <v>#NAME?</v>
      </c>
    </row>
    <row r="41" spans="1:4" ht="13.5" customHeight="1">
      <c r="A41" s="209" t="s">
        <v>3207</v>
      </c>
      <c r="B41" s="209" t="s">
        <v>3208</v>
      </c>
      <c r="C41" s="410" t="str">
        <f t="shared" si="0"/>
        <v>16-16</v>
      </c>
      <c r="D41" s="209" t="e">
        <f ca="1">_xludf.IFNA(VLOOKUP(Walltopia!A41,'Kilter Holds'!$P$37:$AB$662,8,0),0)</f>
        <v>#NAME?</v>
      </c>
    </row>
    <row r="42" spans="1:4" ht="13.5" customHeight="1">
      <c r="A42" s="209" t="s">
        <v>3207</v>
      </c>
      <c r="B42" s="209" t="s">
        <v>3208</v>
      </c>
      <c r="C42" s="411" t="str">
        <f t="shared" si="0"/>
        <v>13-01</v>
      </c>
      <c r="D42" s="209" t="e">
        <f ca="1">_xludf.IFNA(VLOOKUP(Walltopia!A42,'Kilter Holds'!$P$37:$AB$662,9,0),0)</f>
        <v>#NAME?</v>
      </c>
    </row>
    <row r="43" spans="1:4" ht="13.5" customHeight="1">
      <c r="A43" s="209" t="s">
        <v>3207</v>
      </c>
      <c r="B43" s="209" t="s">
        <v>3208</v>
      </c>
      <c r="C43" s="413" t="str">
        <f t="shared" si="0"/>
        <v>07-13</v>
      </c>
      <c r="D43" s="209" t="e">
        <f ca="1">_xludf.IFNA(VLOOKUP(Walltopia!A43,'Kilter Holds'!$P$37:$AB$662,10,0),0)</f>
        <v>#NAME?</v>
      </c>
    </row>
    <row r="44" spans="1:4" ht="13.5" customHeight="1">
      <c r="A44" s="209" t="s">
        <v>3207</v>
      </c>
      <c r="B44" s="209" t="s">
        <v>3208</v>
      </c>
      <c r="C44" s="414" t="str">
        <f t="shared" si="0"/>
        <v>11-26</v>
      </c>
      <c r="D44" s="209" t="e">
        <f ca="1">_xludf.IFNA(VLOOKUP(Walltopia!A44,'Kilter Holds'!$P$37:$AB$662,11,0),0)</f>
        <v>#NAME?</v>
      </c>
    </row>
    <row r="45" spans="1:4" ht="13.5" customHeight="1">
      <c r="A45" s="209" t="s">
        <v>3207</v>
      </c>
      <c r="B45" s="209" t="s">
        <v>3208</v>
      </c>
      <c r="C45" s="415" t="str">
        <f t="shared" si="0"/>
        <v>18-01</v>
      </c>
      <c r="D45" s="209" t="e">
        <f ca="1">_xludf.IFNA(VLOOKUP(Walltopia!A45,'Kilter Holds'!$P$37:$AB$662,12,0),0)</f>
        <v>#NAME?</v>
      </c>
    </row>
    <row r="46" spans="1:4" ht="13.5" customHeight="1">
      <c r="A46" s="209" t="s">
        <v>3207</v>
      </c>
      <c r="B46" s="209" t="s">
        <v>3208</v>
      </c>
      <c r="C46" s="416" t="str">
        <f t="shared" si="0"/>
        <v>Color Code</v>
      </c>
      <c r="D46" s="209" t="e">
        <f ca="1">_xludf.IFNA(VLOOKUP(Walltopia!A46,'Kilter Holds'!$P$37:$AB$662,13,0),0)</f>
        <v>#NAME?</v>
      </c>
    </row>
    <row r="47" spans="1:4" ht="13.5" customHeight="1">
      <c r="A47" s="209" t="s">
        <v>3209</v>
      </c>
      <c r="B47" s="209" t="s">
        <v>3210</v>
      </c>
      <c r="C47" s="406" t="str">
        <f t="shared" si="0"/>
        <v>11-12</v>
      </c>
      <c r="D47" s="209" t="e">
        <f ca="1">_xludf.IFNA(VLOOKUP(Walltopia!A47,'Kilter Holds'!$P$37:$AB$662,5,0),0)</f>
        <v>#NAME?</v>
      </c>
    </row>
    <row r="48" spans="1:4" ht="13.5" customHeight="1">
      <c r="A48" s="209" t="s">
        <v>3209</v>
      </c>
      <c r="B48" s="209" t="s">
        <v>3210</v>
      </c>
      <c r="C48" s="408" t="str">
        <f t="shared" si="0"/>
        <v>14-01</v>
      </c>
      <c r="D48" s="209" t="e">
        <f ca="1">_xludf.IFNA(VLOOKUP(Walltopia!A48,'Kilter Holds'!$P$37:$AB$662,6,0),0)</f>
        <v>#NAME?</v>
      </c>
    </row>
    <row r="49" spans="1:4" ht="13.5" customHeight="1">
      <c r="A49" s="209" t="s">
        <v>3209</v>
      </c>
      <c r="B49" s="209" t="s">
        <v>3210</v>
      </c>
      <c r="C49" s="409" t="str">
        <f t="shared" si="0"/>
        <v>15-12</v>
      </c>
      <c r="D49" s="209" t="e">
        <f ca="1">_xludf.IFNA(VLOOKUP(Walltopia!A49,'Kilter Holds'!$P$37:$AB$662,7,0),0)</f>
        <v>#NAME?</v>
      </c>
    </row>
    <row r="50" spans="1:4" ht="13.5" customHeight="1">
      <c r="A50" s="209" t="s">
        <v>3209</v>
      </c>
      <c r="B50" s="209" t="s">
        <v>3210</v>
      </c>
      <c r="C50" s="410" t="str">
        <f t="shared" si="0"/>
        <v>16-16</v>
      </c>
      <c r="D50" s="209" t="e">
        <f ca="1">_xludf.IFNA(VLOOKUP(Walltopia!A50,'Kilter Holds'!$P$37:$AB$662,8,0),0)</f>
        <v>#NAME?</v>
      </c>
    </row>
    <row r="51" spans="1:4" ht="13.5" customHeight="1">
      <c r="A51" s="209" t="s">
        <v>3209</v>
      </c>
      <c r="B51" s="209" t="s">
        <v>3210</v>
      </c>
      <c r="C51" s="411" t="str">
        <f t="shared" si="0"/>
        <v>13-01</v>
      </c>
      <c r="D51" s="209" t="e">
        <f ca="1">_xludf.IFNA(VLOOKUP(Walltopia!A51,'Kilter Holds'!$P$37:$AB$662,9,0),0)</f>
        <v>#NAME?</v>
      </c>
    </row>
    <row r="52" spans="1:4" ht="13.5" customHeight="1">
      <c r="A52" s="209" t="s">
        <v>3209</v>
      </c>
      <c r="B52" s="209" t="s">
        <v>3210</v>
      </c>
      <c r="C52" s="413" t="str">
        <f t="shared" si="0"/>
        <v>07-13</v>
      </c>
      <c r="D52" s="209" t="e">
        <f ca="1">_xludf.IFNA(VLOOKUP(Walltopia!A52,'Kilter Holds'!$P$37:$AB$662,10,0),0)</f>
        <v>#NAME?</v>
      </c>
    </row>
    <row r="53" spans="1:4" ht="13.5" customHeight="1">
      <c r="A53" s="209" t="s">
        <v>3209</v>
      </c>
      <c r="B53" s="209" t="s">
        <v>3210</v>
      </c>
      <c r="C53" s="414" t="str">
        <f t="shared" si="0"/>
        <v>11-26</v>
      </c>
      <c r="D53" s="209" t="e">
        <f ca="1">_xludf.IFNA(VLOOKUP(Walltopia!A53,'Kilter Holds'!$P$37:$AB$662,11,0),0)</f>
        <v>#NAME?</v>
      </c>
    </row>
    <row r="54" spans="1:4" ht="13.5" customHeight="1">
      <c r="A54" s="209" t="s">
        <v>3209</v>
      </c>
      <c r="B54" s="209" t="s">
        <v>3210</v>
      </c>
      <c r="C54" s="415" t="str">
        <f t="shared" si="0"/>
        <v>18-01</v>
      </c>
      <c r="D54" s="209" t="e">
        <f ca="1">_xludf.IFNA(VLOOKUP(Walltopia!A54,'Kilter Holds'!$P$37:$AB$662,12,0),0)</f>
        <v>#NAME?</v>
      </c>
    </row>
    <row r="55" spans="1:4" ht="13.5" customHeight="1">
      <c r="A55" s="209" t="s">
        <v>3209</v>
      </c>
      <c r="B55" s="209" t="s">
        <v>3210</v>
      </c>
      <c r="C55" s="416" t="str">
        <f t="shared" si="0"/>
        <v>Color Code</v>
      </c>
      <c r="D55" s="209" t="e">
        <f ca="1">_xludf.IFNA(VLOOKUP(Walltopia!A55,'Kilter Holds'!$P$37:$AB$662,13,0),0)</f>
        <v>#NAME?</v>
      </c>
    </row>
    <row r="56" spans="1:4" ht="13.5" customHeight="1">
      <c r="A56" s="209" t="s">
        <v>3211</v>
      </c>
      <c r="B56" s="209" t="s">
        <v>3212</v>
      </c>
      <c r="C56" s="406" t="str">
        <f t="shared" si="0"/>
        <v>11-12</v>
      </c>
      <c r="D56" s="209" t="e">
        <f ca="1">_xludf.IFNA(VLOOKUP(Walltopia!A56,'Kilter Holds'!$P$37:$AB$662,5,0),0)</f>
        <v>#NAME?</v>
      </c>
    </row>
    <row r="57" spans="1:4" ht="13.5" customHeight="1">
      <c r="A57" s="209" t="s">
        <v>3211</v>
      </c>
      <c r="B57" s="209" t="s">
        <v>3212</v>
      </c>
      <c r="C57" s="408" t="str">
        <f t="shared" si="0"/>
        <v>14-01</v>
      </c>
      <c r="D57" s="209" t="e">
        <f ca="1">_xludf.IFNA(VLOOKUP(Walltopia!A57,'Kilter Holds'!$P$37:$AB$662,6,0),0)</f>
        <v>#NAME?</v>
      </c>
    </row>
    <row r="58" spans="1:4" ht="13.5" customHeight="1">
      <c r="A58" s="209" t="s">
        <v>3211</v>
      </c>
      <c r="B58" s="209" t="s">
        <v>3212</v>
      </c>
      <c r="C58" s="409" t="str">
        <f t="shared" si="0"/>
        <v>15-12</v>
      </c>
      <c r="D58" s="209" t="e">
        <f ca="1">_xludf.IFNA(VLOOKUP(Walltopia!A58,'Kilter Holds'!$P$37:$AB$662,7,0),0)</f>
        <v>#NAME?</v>
      </c>
    </row>
    <row r="59" spans="1:4" ht="13.5" customHeight="1">
      <c r="A59" s="209" t="s">
        <v>3211</v>
      </c>
      <c r="B59" s="209" t="s">
        <v>3212</v>
      </c>
      <c r="C59" s="410" t="str">
        <f t="shared" si="0"/>
        <v>16-16</v>
      </c>
      <c r="D59" s="209" t="e">
        <f ca="1">_xludf.IFNA(VLOOKUP(Walltopia!A59,'Kilter Holds'!$P$37:$AB$662,8,0),0)</f>
        <v>#NAME?</v>
      </c>
    </row>
    <row r="60" spans="1:4" ht="13.5" customHeight="1">
      <c r="A60" s="209" t="s">
        <v>3211</v>
      </c>
      <c r="B60" s="209" t="s">
        <v>3212</v>
      </c>
      <c r="C60" s="411" t="str">
        <f t="shared" si="0"/>
        <v>13-01</v>
      </c>
      <c r="D60" s="209" t="e">
        <f ca="1">_xludf.IFNA(VLOOKUP(Walltopia!A60,'Kilter Holds'!$P$37:$AB$662,9,0),0)</f>
        <v>#NAME?</v>
      </c>
    </row>
    <row r="61" spans="1:4" ht="13.5" customHeight="1">
      <c r="A61" s="209" t="s">
        <v>3211</v>
      </c>
      <c r="B61" s="209" t="s">
        <v>3212</v>
      </c>
      <c r="C61" s="413" t="str">
        <f t="shared" si="0"/>
        <v>07-13</v>
      </c>
      <c r="D61" s="209" t="e">
        <f ca="1">_xludf.IFNA(VLOOKUP(Walltopia!A61,'Kilter Holds'!$P$37:$AB$662,10,0),0)</f>
        <v>#NAME?</v>
      </c>
    </row>
    <row r="62" spans="1:4" ht="13.5" customHeight="1">
      <c r="A62" s="209" t="s">
        <v>3211</v>
      </c>
      <c r="B62" s="209" t="s">
        <v>3212</v>
      </c>
      <c r="C62" s="414" t="str">
        <f t="shared" si="0"/>
        <v>11-26</v>
      </c>
      <c r="D62" s="209" t="e">
        <f ca="1">_xludf.IFNA(VLOOKUP(Walltopia!A62,'Kilter Holds'!$P$37:$AB$662,11,0),0)</f>
        <v>#NAME?</v>
      </c>
    </row>
    <row r="63" spans="1:4" ht="13.5" customHeight="1">
      <c r="A63" s="209" t="s">
        <v>3211</v>
      </c>
      <c r="B63" s="209" t="s">
        <v>3212</v>
      </c>
      <c r="C63" s="415" t="str">
        <f t="shared" si="0"/>
        <v>18-01</v>
      </c>
      <c r="D63" s="209" t="e">
        <f ca="1">_xludf.IFNA(VLOOKUP(Walltopia!A63,'Kilter Holds'!$P$37:$AB$662,12,0),0)</f>
        <v>#NAME?</v>
      </c>
    </row>
    <row r="64" spans="1:4" ht="13.5" customHeight="1">
      <c r="A64" s="209" t="s">
        <v>3211</v>
      </c>
      <c r="B64" s="209" t="s">
        <v>3212</v>
      </c>
      <c r="C64" s="416" t="str">
        <f t="shared" si="0"/>
        <v>Color Code</v>
      </c>
      <c r="D64" s="209" t="e">
        <f ca="1">_xludf.IFNA(VLOOKUP(Walltopia!A64,'Kilter Holds'!$P$37:$AB$662,13,0),0)</f>
        <v>#NAME?</v>
      </c>
    </row>
    <row r="65" spans="1:4" ht="13.5" customHeight="1">
      <c r="A65" s="209" t="s">
        <v>3213</v>
      </c>
      <c r="B65" s="209" t="s">
        <v>3214</v>
      </c>
      <c r="C65" s="406" t="str">
        <f t="shared" si="0"/>
        <v>11-12</v>
      </c>
      <c r="D65" s="209" t="e">
        <f ca="1">_xludf.IFNA(VLOOKUP(Walltopia!A65,'Kilter Holds'!$P$37:$AB$662,5,0),0)</f>
        <v>#NAME?</v>
      </c>
    </row>
    <row r="66" spans="1:4" ht="13.5" customHeight="1">
      <c r="A66" s="209" t="s">
        <v>3213</v>
      </c>
      <c r="B66" s="209" t="s">
        <v>3214</v>
      </c>
      <c r="C66" s="408" t="str">
        <f t="shared" si="0"/>
        <v>14-01</v>
      </c>
      <c r="D66" s="209" t="e">
        <f ca="1">_xludf.IFNA(VLOOKUP(Walltopia!A66,'Kilter Holds'!$P$37:$AB$662,6,0),0)</f>
        <v>#NAME?</v>
      </c>
    </row>
    <row r="67" spans="1:4" ht="13.5" customHeight="1">
      <c r="A67" s="209" t="s">
        <v>3213</v>
      </c>
      <c r="B67" s="209" t="s">
        <v>3214</v>
      </c>
      <c r="C67" s="409" t="str">
        <f t="shared" si="0"/>
        <v>15-12</v>
      </c>
      <c r="D67" s="209" t="e">
        <f ca="1">_xludf.IFNA(VLOOKUP(Walltopia!A67,'Kilter Holds'!$P$37:$AB$662,7,0),0)</f>
        <v>#NAME?</v>
      </c>
    </row>
    <row r="68" spans="1:4" ht="13.5" customHeight="1">
      <c r="A68" s="209" t="s">
        <v>3213</v>
      </c>
      <c r="B68" s="209" t="s">
        <v>3214</v>
      </c>
      <c r="C68" s="410" t="str">
        <f t="shared" si="0"/>
        <v>16-16</v>
      </c>
      <c r="D68" s="209" t="e">
        <f ca="1">_xludf.IFNA(VLOOKUP(Walltopia!A68,'Kilter Holds'!$P$37:$AB$662,8,0),0)</f>
        <v>#NAME?</v>
      </c>
    </row>
    <row r="69" spans="1:4" ht="13.5" customHeight="1">
      <c r="A69" s="209" t="s">
        <v>3213</v>
      </c>
      <c r="B69" s="209" t="s">
        <v>3214</v>
      </c>
      <c r="C69" s="411" t="str">
        <f t="shared" si="0"/>
        <v>13-01</v>
      </c>
      <c r="D69" s="209" t="e">
        <f ca="1">_xludf.IFNA(VLOOKUP(Walltopia!A69,'Kilter Holds'!$P$37:$AB$662,9,0),0)</f>
        <v>#NAME?</v>
      </c>
    </row>
    <row r="70" spans="1:4" ht="13.5" customHeight="1">
      <c r="A70" s="209" t="s">
        <v>3213</v>
      </c>
      <c r="B70" s="209" t="s">
        <v>3214</v>
      </c>
      <c r="C70" s="413" t="str">
        <f t="shared" si="0"/>
        <v>07-13</v>
      </c>
      <c r="D70" s="209" t="e">
        <f ca="1">_xludf.IFNA(VLOOKUP(Walltopia!A70,'Kilter Holds'!$P$37:$AB$662,10,0),0)</f>
        <v>#NAME?</v>
      </c>
    </row>
    <row r="71" spans="1:4" ht="13.5" customHeight="1">
      <c r="A71" s="209" t="s">
        <v>3213</v>
      </c>
      <c r="B71" s="209" t="s">
        <v>3214</v>
      </c>
      <c r="C71" s="414" t="str">
        <f t="shared" si="0"/>
        <v>11-26</v>
      </c>
      <c r="D71" s="209" t="e">
        <f ca="1">_xludf.IFNA(VLOOKUP(Walltopia!A71,'Kilter Holds'!$P$37:$AB$662,11,0),0)</f>
        <v>#NAME?</v>
      </c>
    </row>
    <row r="72" spans="1:4" ht="13.5" customHeight="1">
      <c r="A72" s="209" t="s">
        <v>3213</v>
      </c>
      <c r="B72" s="209" t="s">
        <v>3214</v>
      </c>
      <c r="C72" s="415" t="str">
        <f t="shared" si="0"/>
        <v>18-01</v>
      </c>
      <c r="D72" s="209" t="e">
        <f ca="1">_xludf.IFNA(VLOOKUP(Walltopia!A72,'Kilter Holds'!$P$37:$AB$662,12,0),0)</f>
        <v>#NAME?</v>
      </c>
    </row>
    <row r="73" spans="1:4" ht="13.5" customHeight="1">
      <c r="A73" s="209" t="s">
        <v>3213</v>
      </c>
      <c r="B73" s="209" t="s">
        <v>3214</v>
      </c>
      <c r="C73" s="416" t="str">
        <f t="shared" si="0"/>
        <v>Color Code</v>
      </c>
      <c r="D73" s="209" t="e">
        <f ca="1">_xludf.IFNA(VLOOKUP(Walltopia!A73,'Kilter Holds'!$P$37:$AB$662,13,0),0)</f>
        <v>#NAME?</v>
      </c>
    </row>
    <row r="74" spans="1:4" ht="13.5" customHeight="1">
      <c r="A74" s="209" t="s">
        <v>3215</v>
      </c>
      <c r="B74" s="209" t="s">
        <v>3216</v>
      </c>
      <c r="C74" s="406" t="str">
        <f t="shared" si="0"/>
        <v>11-12</v>
      </c>
      <c r="D74" s="209" t="e">
        <f ca="1">_xludf.IFNA(VLOOKUP(Walltopia!A74,'Kilter Holds'!$P$37:$AB$662,5,0),0)</f>
        <v>#NAME?</v>
      </c>
    </row>
    <row r="75" spans="1:4" ht="13.5" customHeight="1">
      <c r="A75" s="209" t="s">
        <v>3215</v>
      </c>
      <c r="B75" s="209" t="s">
        <v>3216</v>
      </c>
      <c r="C75" s="408" t="str">
        <f t="shared" si="0"/>
        <v>14-01</v>
      </c>
      <c r="D75" s="209" t="e">
        <f ca="1">_xludf.IFNA(VLOOKUP(Walltopia!A75,'Kilter Holds'!$P$37:$AB$662,6,0),0)</f>
        <v>#NAME?</v>
      </c>
    </row>
    <row r="76" spans="1:4" ht="13.5" customHeight="1">
      <c r="A76" s="209" t="s">
        <v>3215</v>
      </c>
      <c r="B76" s="209" t="s">
        <v>3216</v>
      </c>
      <c r="C76" s="409" t="str">
        <f t="shared" si="0"/>
        <v>15-12</v>
      </c>
      <c r="D76" s="209" t="e">
        <f ca="1">_xludf.IFNA(VLOOKUP(Walltopia!A76,'Kilter Holds'!$P$37:$AB$662,7,0),0)</f>
        <v>#NAME?</v>
      </c>
    </row>
    <row r="77" spans="1:4" ht="13.5" customHeight="1">
      <c r="A77" s="209" t="s">
        <v>3215</v>
      </c>
      <c r="B77" s="209" t="s">
        <v>3216</v>
      </c>
      <c r="C77" s="410" t="str">
        <f t="shared" si="0"/>
        <v>16-16</v>
      </c>
      <c r="D77" s="209" t="e">
        <f ca="1">_xludf.IFNA(VLOOKUP(Walltopia!A77,'Kilter Holds'!$P$37:$AB$662,8,0),0)</f>
        <v>#NAME?</v>
      </c>
    </row>
    <row r="78" spans="1:4" ht="13.5" customHeight="1">
      <c r="A78" s="209" t="s">
        <v>3215</v>
      </c>
      <c r="B78" s="209" t="s">
        <v>3216</v>
      </c>
      <c r="C78" s="411" t="str">
        <f t="shared" si="0"/>
        <v>13-01</v>
      </c>
      <c r="D78" s="209" t="e">
        <f ca="1">_xludf.IFNA(VLOOKUP(Walltopia!A78,'Kilter Holds'!$P$37:$AB$662,9,0),0)</f>
        <v>#NAME?</v>
      </c>
    </row>
    <row r="79" spans="1:4" ht="13.5" customHeight="1">
      <c r="A79" s="209" t="s">
        <v>3215</v>
      </c>
      <c r="B79" s="209" t="s">
        <v>3216</v>
      </c>
      <c r="C79" s="413" t="str">
        <f t="shared" si="0"/>
        <v>07-13</v>
      </c>
      <c r="D79" s="209" t="e">
        <f ca="1">_xludf.IFNA(VLOOKUP(Walltopia!A79,'Kilter Holds'!$P$37:$AB$662,10,0),0)</f>
        <v>#NAME?</v>
      </c>
    </row>
    <row r="80" spans="1:4" ht="13.5" customHeight="1">
      <c r="A80" s="209" t="s">
        <v>3215</v>
      </c>
      <c r="B80" s="209" t="s">
        <v>3216</v>
      </c>
      <c r="C80" s="414" t="str">
        <f t="shared" si="0"/>
        <v>11-26</v>
      </c>
      <c r="D80" s="209" t="e">
        <f ca="1">_xludf.IFNA(VLOOKUP(Walltopia!A80,'Kilter Holds'!$P$37:$AB$662,11,0),0)</f>
        <v>#NAME?</v>
      </c>
    </row>
    <row r="81" spans="1:4" ht="13.5" customHeight="1">
      <c r="A81" s="209" t="s">
        <v>3215</v>
      </c>
      <c r="B81" s="209" t="s">
        <v>3216</v>
      </c>
      <c r="C81" s="415" t="str">
        <f t="shared" si="0"/>
        <v>18-01</v>
      </c>
      <c r="D81" s="209" t="e">
        <f ca="1">_xludf.IFNA(VLOOKUP(Walltopia!A81,'Kilter Holds'!$P$37:$AB$662,12,0),0)</f>
        <v>#NAME?</v>
      </c>
    </row>
    <row r="82" spans="1:4" ht="13.5" customHeight="1">
      <c r="A82" s="209" t="s">
        <v>3215</v>
      </c>
      <c r="B82" s="209" t="s">
        <v>3216</v>
      </c>
      <c r="C82" s="416" t="str">
        <f t="shared" si="0"/>
        <v>Color Code</v>
      </c>
      <c r="D82" s="209" t="e">
        <f ca="1">_xludf.IFNA(VLOOKUP(Walltopia!A82,'Kilter Holds'!$P$37:$AB$662,13,0),0)</f>
        <v>#NAME?</v>
      </c>
    </row>
    <row r="83" spans="1:4" ht="13.5" customHeight="1">
      <c r="A83" s="209" t="s">
        <v>3217</v>
      </c>
      <c r="B83" s="209" t="s">
        <v>3218</v>
      </c>
      <c r="C83" s="406" t="str">
        <f t="shared" si="0"/>
        <v>11-12</v>
      </c>
      <c r="D83" s="209" t="e">
        <f ca="1">_xludf.IFNA(VLOOKUP(Walltopia!A83,'Kilter Holds'!$P$37:$AB$662,5,0),0)</f>
        <v>#NAME?</v>
      </c>
    </row>
    <row r="84" spans="1:4" ht="13.5" customHeight="1">
      <c r="A84" s="209" t="s">
        <v>3217</v>
      </c>
      <c r="B84" s="209" t="s">
        <v>3218</v>
      </c>
      <c r="C84" s="408" t="str">
        <f t="shared" si="0"/>
        <v>14-01</v>
      </c>
      <c r="D84" s="209" t="e">
        <f ca="1">_xludf.IFNA(VLOOKUP(Walltopia!A84,'Kilter Holds'!$P$37:$AB$662,6,0),0)</f>
        <v>#NAME?</v>
      </c>
    </row>
    <row r="85" spans="1:4" ht="13.5" customHeight="1">
      <c r="A85" s="209" t="s">
        <v>3217</v>
      </c>
      <c r="B85" s="209" t="s">
        <v>3218</v>
      </c>
      <c r="C85" s="409" t="str">
        <f t="shared" si="0"/>
        <v>15-12</v>
      </c>
      <c r="D85" s="209" t="e">
        <f ca="1">_xludf.IFNA(VLOOKUP(Walltopia!A85,'Kilter Holds'!$P$37:$AB$662,7,0),0)</f>
        <v>#NAME?</v>
      </c>
    </row>
    <row r="86" spans="1:4" ht="13.5" customHeight="1">
      <c r="A86" s="209" t="s">
        <v>3217</v>
      </c>
      <c r="B86" s="209" t="s">
        <v>3218</v>
      </c>
      <c r="C86" s="410" t="str">
        <f t="shared" si="0"/>
        <v>16-16</v>
      </c>
      <c r="D86" s="209" t="e">
        <f ca="1">_xludf.IFNA(VLOOKUP(Walltopia!A86,'Kilter Holds'!$P$37:$AB$662,8,0),0)</f>
        <v>#NAME?</v>
      </c>
    </row>
    <row r="87" spans="1:4" ht="13.5" customHeight="1">
      <c r="A87" s="209" t="s">
        <v>3217</v>
      </c>
      <c r="B87" s="209" t="s">
        <v>3218</v>
      </c>
      <c r="C87" s="411" t="str">
        <f t="shared" si="0"/>
        <v>13-01</v>
      </c>
      <c r="D87" s="209" t="e">
        <f ca="1">_xludf.IFNA(VLOOKUP(Walltopia!A87,'Kilter Holds'!$P$37:$AB$662,9,0),0)</f>
        <v>#NAME?</v>
      </c>
    </row>
    <row r="88" spans="1:4" ht="13.5" customHeight="1">
      <c r="A88" s="209" t="s">
        <v>3217</v>
      </c>
      <c r="B88" s="209" t="s">
        <v>3218</v>
      </c>
      <c r="C88" s="413" t="str">
        <f t="shared" si="0"/>
        <v>07-13</v>
      </c>
      <c r="D88" s="209" t="e">
        <f ca="1">_xludf.IFNA(VLOOKUP(Walltopia!A88,'Kilter Holds'!$P$37:$AB$662,10,0),0)</f>
        <v>#NAME?</v>
      </c>
    </row>
    <row r="89" spans="1:4" ht="13.5" customHeight="1">
      <c r="A89" s="209" t="s">
        <v>3217</v>
      </c>
      <c r="B89" s="209" t="s">
        <v>3218</v>
      </c>
      <c r="C89" s="414" t="str">
        <f t="shared" si="0"/>
        <v>11-26</v>
      </c>
      <c r="D89" s="209" t="e">
        <f ca="1">_xludf.IFNA(VLOOKUP(Walltopia!A89,'Kilter Holds'!$P$37:$AB$662,11,0),0)</f>
        <v>#NAME?</v>
      </c>
    </row>
    <row r="90" spans="1:4" ht="13.5" customHeight="1">
      <c r="A90" s="209" t="s">
        <v>3217</v>
      </c>
      <c r="B90" s="209" t="s">
        <v>3218</v>
      </c>
      <c r="C90" s="415" t="str">
        <f t="shared" si="0"/>
        <v>18-01</v>
      </c>
      <c r="D90" s="209" t="e">
        <f ca="1">_xludf.IFNA(VLOOKUP(Walltopia!A90,'Kilter Holds'!$P$37:$AB$662,12,0),0)</f>
        <v>#NAME?</v>
      </c>
    </row>
    <row r="91" spans="1:4" ht="13.5" customHeight="1">
      <c r="A91" s="209" t="s">
        <v>3217</v>
      </c>
      <c r="B91" s="209" t="s">
        <v>3218</v>
      </c>
      <c r="C91" s="416" t="str">
        <f t="shared" si="0"/>
        <v>Color Code</v>
      </c>
      <c r="D91" s="209" t="e">
        <f ca="1">_xludf.IFNA(VLOOKUP(Walltopia!A91,'Kilter Holds'!$P$37:$AB$662,13,0),0)</f>
        <v>#NAME?</v>
      </c>
    </row>
    <row r="92" spans="1:4" ht="13.5" customHeight="1">
      <c r="A92" s="209" t="s">
        <v>3219</v>
      </c>
      <c r="B92" s="209" t="s">
        <v>3220</v>
      </c>
      <c r="C92" s="406" t="str">
        <f t="shared" si="0"/>
        <v>11-12</v>
      </c>
      <c r="D92" s="209" t="e">
        <f ca="1">_xludf.IFNA(VLOOKUP(Walltopia!A92,'Kilter Holds'!$P$37:$AB$662,5,0),0)</f>
        <v>#NAME?</v>
      </c>
    </row>
    <row r="93" spans="1:4" ht="13.5" customHeight="1">
      <c r="A93" s="209" t="s">
        <v>3219</v>
      </c>
      <c r="B93" s="209" t="s">
        <v>3220</v>
      </c>
      <c r="C93" s="408" t="str">
        <f t="shared" si="0"/>
        <v>14-01</v>
      </c>
      <c r="D93" s="209" t="e">
        <f ca="1">_xludf.IFNA(VLOOKUP(Walltopia!A93,'Kilter Holds'!$P$37:$AB$662,6,0),0)</f>
        <v>#NAME?</v>
      </c>
    </row>
    <row r="94" spans="1:4" ht="13.5" customHeight="1">
      <c r="A94" s="209" t="s">
        <v>3219</v>
      </c>
      <c r="B94" s="209" t="s">
        <v>3220</v>
      </c>
      <c r="C94" s="409" t="str">
        <f t="shared" si="0"/>
        <v>15-12</v>
      </c>
      <c r="D94" s="209" t="e">
        <f ca="1">_xludf.IFNA(VLOOKUP(Walltopia!A94,'Kilter Holds'!$P$37:$AB$662,7,0),0)</f>
        <v>#NAME?</v>
      </c>
    </row>
    <row r="95" spans="1:4" ht="13.5" customHeight="1">
      <c r="A95" s="209" t="s">
        <v>3219</v>
      </c>
      <c r="B95" s="209" t="s">
        <v>3220</v>
      </c>
      <c r="C95" s="410" t="str">
        <f t="shared" si="0"/>
        <v>16-16</v>
      </c>
      <c r="D95" s="209" t="e">
        <f ca="1">_xludf.IFNA(VLOOKUP(Walltopia!A95,'Kilter Holds'!$P$37:$AB$662,8,0),0)</f>
        <v>#NAME?</v>
      </c>
    </row>
    <row r="96" spans="1:4" ht="13.5" customHeight="1">
      <c r="A96" s="209" t="s">
        <v>3219</v>
      </c>
      <c r="B96" s="209" t="s">
        <v>3220</v>
      </c>
      <c r="C96" s="411" t="str">
        <f t="shared" si="0"/>
        <v>13-01</v>
      </c>
      <c r="D96" s="209" t="e">
        <f ca="1">_xludf.IFNA(VLOOKUP(Walltopia!A96,'Kilter Holds'!$P$37:$AB$662,9,0),0)</f>
        <v>#NAME?</v>
      </c>
    </row>
    <row r="97" spans="1:4" ht="13.5" customHeight="1">
      <c r="A97" s="209" t="s">
        <v>3219</v>
      </c>
      <c r="B97" s="209" t="s">
        <v>3220</v>
      </c>
      <c r="C97" s="413" t="str">
        <f t="shared" si="0"/>
        <v>07-13</v>
      </c>
      <c r="D97" s="209" t="e">
        <f ca="1">_xludf.IFNA(VLOOKUP(Walltopia!A97,'Kilter Holds'!$P$37:$AB$662,10,0),0)</f>
        <v>#NAME?</v>
      </c>
    </row>
    <row r="98" spans="1:4" ht="13.5" customHeight="1">
      <c r="A98" s="209" t="s">
        <v>3219</v>
      </c>
      <c r="B98" s="209" t="s">
        <v>3220</v>
      </c>
      <c r="C98" s="414" t="str">
        <f t="shared" si="0"/>
        <v>11-26</v>
      </c>
      <c r="D98" s="209" t="e">
        <f ca="1">_xludf.IFNA(VLOOKUP(Walltopia!A98,'Kilter Holds'!$P$37:$AB$662,11,0),0)</f>
        <v>#NAME?</v>
      </c>
    </row>
    <row r="99" spans="1:4" ht="13.5" customHeight="1">
      <c r="A99" s="209" t="s">
        <v>3219</v>
      </c>
      <c r="B99" s="209" t="s">
        <v>3220</v>
      </c>
      <c r="C99" s="415" t="str">
        <f t="shared" si="0"/>
        <v>18-01</v>
      </c>
      <c r="D99" s="209" t="e">
        <f ca="1">_xludf.IFNA(VLOOKUP(Walltopia!A99,'Kilter Holds'!$P$37:$AB$662,12,0),0)</f>
        <v>#NAME?</v>
      </c>
    </row>
    <row r="100" spans="1:4" ht="13.5" customHeight="1">
      <c r="A100" s="209" t="s">
        <v>3219</v>
      </c>
      <c r="B100" s="209" t="s">
        <v>3220</v>
      </c>
      <c r="C100" s="416" t="str">
        <f t="shared" si="0"/>
        <v>Color Code</v>
      </c>
      <c r="D100" s="209" t="e">
        <f ca="1">_xludf.IFNA(VLOOKUP(Walltopia!A100,'Kilter Holds'!$P$37:$AB$662,13,0),0)</f>
        <v>#NAME?</v>
      </c>
    </row>
    <row r="101" spans="1:4" ht="13.5" customHeight="1">
      <c r="A101" s="209" t="s">
        <v>3221</v>
      </c>
      <c r="B101" s="209" t="s">
        <v>3222</v>
      </c>
      <c r="C101" s="406" t="str">
        <f t="shared" si="0"/>
        <v>11-12</v>
      </c>
      <c r="D101" s="209" t="e">
        <f ca="1">_xludf.IFNA(VLOOKUP(Walltopia!A101,'Kilter Holds'!$P$37:$AB$662,5,0),0)</f>
        <v>#NAME?</v>
      </c>
    </row>
    <row r="102" spans="1:4" ht="13.5" customHeight="1">
      <c r="A102" s="209" t="s">
        <v>3221</v>
      </c>
      <c r="B102" s="209" t="s">
        <v>3222</v>
      </c>
      <c r="C102" s="408" t="str">
        <f t="shared" si="0"/>
        <v>14-01</v>
      </c>
      <c r="D102" s="209" t="e">
        <f ca="1">_xludf.IFNA(VLOOKUP(Walltopia!A102,'Kilter Holds'!$P$37:$AB$662,6,0),0)</f>
        <v>#NAME?</v>
      </c>
    </row>
    <row r="103" spans="1:4" ht="13.5" customHeight="1">
      <c r="A103" s="209" t="s">
        <v>3221</v>
      </c>
      <c r="B103" s="209" t="s">
        <v>3222</v>
      </c>
      <c r="C103" s="409" t="str">
        <f t="shared" si="0"/>
        <v>15-12</v>
      </c>
      <c r="D103" s="209" t="e">
        <f ca="1">_xludf.IFNA(VLOOKUP(Walltopia!A103,'Kilter Holds'!$P$37:$AB$662,7,0),0)</f>
        <v>#NAME?</v>
      </c>
    </row>
    <row r="104" spans="1:4" ht="13.5" customHeight="1">
      <c r="A104" s="209" t="s">
        <v>3221</v>
      </c>
      <c r="B104" s="209" t="s">
        <v>3222</v>
      </c>
      <c r="C104" s="410" t="str">
        <f t="shared" si="0"/>
        <v>16-16</v>
      </c>
      <c r="D104" s="209" t="e">
        <f ca="1">_xludf.IFNA(VLOOKUP(Walltopia!A104,'Kilter Holds'!$P$37:$AB$662,8,0),0)</f>
        <v>#NAME?</v>
      </c>
    </row>
    <row r="105" spans="1:4" ht="13.5" customHeight="1">
      <c r="A105" s="209" t="s">
        <v>3221</v>
      </c>
      <c r="B105" s="209" t="s">
        <v>3222</v>
      </c>
      <c r="C105" s="411" t="str">
        <f t="shared" si="0"/>
        <v>13-01</v>
      </c>
      <c r="D105" s="209" t="e">
        <f ca="1">_xludf.IFNA(VLOOKUP(Walltopia!A105,'Kilter Holds'!$P$37:$AB$662,9,0),0)</f>
        <v>#NAME?</v>
      </c>
    </row>
    <row r="106" spans="1:4" ht="13.5" customHeight="1">
      <c r="A106" s="209" t="s">
        <v>3221</v>
      </c>
      <c r="B106" s="209" t="s">
        <v>3222</v>
      </c>
      <c r="C106" s="413" t="str">
        <f t="shared" si="0"/>
        <v>07-13</v>
      </c>
      <c r="D106" s="209" t="e">
        <f ca="1">_xludf.IFNA(VLOOKUP(Walltopia!A106,'Kilter Holds'!$P$37:$AB$662,10,0),0)</f>
        <v>#NAME?</v>
      </c>
    </row>
    <row r="107" spans="1:4" ht="13.5" customHeight="1">
      <c r="A107" s="209" t="s">
        <v>3221</v>
      </c>
      <c r="B107" s="209" t="s">
        <v>3222</v>
      </c>
      <c r="C107" s="414" t="str">
        <f t="shared" si="0"/>
        <v>11-26</v>
      </c>
      <c r="D107" s="209" t="e">
        <f ca="1">_xludf.IFNA(VLOOKUP(Walltopia!A107,'Kilter Holds'!$P$37:$AB$662,11,0),0)</f>
        <v>#NAME?</v>
      </c>
    </row>
    <row r="108" spans="1:4" ht="13.5" customHeight="1">
      <c r="A108" s="209" t="s">
        <v>3221</v>
      </c>
      <c r="B108" s="209" t="s">
        <v>3222</v>
      </c>
      <c r="C108" s="415" t="str">
        <f t="shared" si="0"/>
        <v>18-01</v>
      </c>
      <c r="D108" s="209" t="e">
        <f ca="1">_xludf.IFNA(VLOOKUP(Walltopia!A108,'Kilter Holds'!$P$37:$AB$662,12,0),0)</f>
        <v>#NAME?</v>
      </c>
    </row>
    <row r="109" spans="1:4" ht="13.5" customHeight="1">
      <c r="A109" s="209" t="s">
        <v>3221</v>
      </c>
      <c r="B109" s="209" t="s">
        <v>3222</v>
      </c>
      <c r="C109" s="416" t="str">
        <f t="shared" si="0"/>
        <v>Color Code</v>
      </c>
      <c r="D109" s="209" t="e">
        <f ca="1">_xludf.IFNA(VLOOKUP(Walltopia!A109,'Kilter Holds'!$P$37:$AB$662,13,0),0)</f>
        <v>#NAME?</v>
      </c>
    </row>
    <row r="110" spans="1:4" ht="13.5" customHeight="1">
      <c r="A110" s="209" t="s">
        <v>3223</v>
      </c>
      <c r="B110" s="209" t="s">
        <v>3224</v>
      </c>
      <c r="C110" s="406" t="str">
        <f t="shared" si="0"/>
        <v>11-12</v>
      </c>
      <c r="D110" s="209" t="e">
        <f ca="1">_xludf.IFNA(VLOOKUP(Walltopia!A110,'Kilter Holds'!$P$37:$AB$662,5,0),0)</f>
        <v>#NAME?</v>
      </c>
    </row>
    <row r="111" spans="1:4" ht="13.5" customHeight="1">
      <c r="A111" s="209" t="s">
        <v>3223</v>
      </c>
      <c r="B111" s="209" t="s">
        <v>3224</v>
      </c>
      <c r="C111" s="408" t="str">
        <f t="shared" si="0"/>
        <v>14-01</v>
      </c>
      <c r="D111" s="209" t="e">
        <f ca="1">_xludf.IFNA(VLOOKUP(Walltopia!A111,'Kilter Holds'!$P$37:$AB$662,6,0),0)</f>
        <v>#NAME?</v>
      </c>
    </row>
    <row r="112" spans="1:4" ht="13.5" customHeight="1">
      <c r="A112" s="209" t="s">
        <v>3223</v>
      </c>
      <c r="B112" s="209" t="s">
        <v>3224</v>
      </c>
      <c r="C112" s="409" t="str">
        <f t="shared" si="0"/>
        <v>15-12</v>
      </c>
      <c r="D112" s="209" t="e">
        <f ca="1">_xludf.IFNA(VLOOKUP(Walltopia!A112,'Kilter Holds'!$P$37:$AB$662,7,0),0)</f>
        <v>#NAME?</v>
      </c>
    </row>
    <row r="113" spans="1:4" ht="13.5" customHeight="1">
      <c r="A113" s="209" t="s">
        <v>3223</v>
      </c>
      <c r="B113" s="209" t="s">
        <v>3224</v>
      </c>
      <c r="C113" s="410" t="str">
        <f t="shared" si="0"/>
        <v>16-16</v>
      </c>
      <c r="D113" s="209" t="e">
        <f ca="1">_xludf.IFNA(VLOOKUP(Walltopia!A113,'Kilter Holds'!$P$37:$AB$662,8,0),0)</f>
        <v>#NAME?</v>
      </c>
    </row>
    <row r="114" spans="1:4" ht="13.5" customHeight="1">
      <c r="A114" s="209" t="s">
        <v>3223</v>
      </c>
      <c r="B114" s="209" t="s">
        <v>3224</v>
      </c>
      <c r="C114" s="411" t="str">
        <f t="shared" si="0"/>
        <v>13-01</v>
      </c>
      <c r="D114" s="209" t="e">
        <f ca="1">_xludf.IFNA(VLOOKUP(Walltopia!A114,'Kilter Holds'!$P$37:$AB$662,9,0),0)</f>
        <v>#NAME?</v>
      </c>
    </row>
    <row r="115" spans="1:4" ht="13.5" customHeight="1">
      <c r="A115" s="209" t="s">
        <v>3223</v>
      </c>
      <c r="B115" s="209" t="s">
        <v>3224</v>
      </c>
      <c r="C115" s="413" t="str">
        <f t="shared" si="0"/>
        <v>07-13</v>
      </c>
      <c r="D115" s="209" t="e">
        <f ca="1">_xludf.IFNA(VLOOKUP(Walltopia!A115,'Kilter Holds'!$P$37:$AB$662,10,0),0)</f>
        <v>#NAME?</v>
      </c>
    </row>
    <row r="116" spans="1:4" ht="13.5" customHeight="1">
      <c r="A116" s="209" t="s">
        <v>3223</v>
      </c>
      <c r="B116" s="209" t="s">
        <v>3224</v>
      </c>
      <c r="C116" s="414" t="str">
        <f t="shared" si="0"/>
        <v>11-26</v>
      </c>
      <c r="D116" s="209" t="e">
        <f ca="1">_xludf.IFNA(VLOOKUP(Walltopia!A116,'Kilter Holds'!$P$37:$AB$662,11,0),0)</f>
        <v>#NAME?</v>
      </c>
    </row>
    <row r="117" spans="1:4" ht="13.5" customHeight="1">
      <c r="A117" s="209" t="s">
        <v>3223</v>
      </c>
      <c r="B117" s="209" t="s">
        <v>3224</v>
      </c>
      <c r="C117" s="415" t="str">
        <f t="shared" si="0"/>
        <v>18-01</v>
      </c>
      <c r="D117" s="209" t="e">
        <f ca="1">_xludf.IFNA(VLOOKUP(Walltopia!A117,'Kilter Holds'!$P$37:$AB$662,12,0),0)</f>
        <v>#NAME?</v>
      </c>
    </row>
    <row r="118" spans="1:4" ht="13.5" customHeight="1">
      <c r="A118" s="209" t="s">
        <v>3223</v>
      </c>
      <c r="B118" s="209" t="s">
        <v>3224</v>
      </c>
      <c r="C118" s="416" t="str">
        <f t="shared" si="0"/>
        <v>Color Code</v>
      </c>
      <c r="D118" s="209" t="e">
        <f ca="1">_xludf.IFNA(VLOOKUP(Walltopia!A118,'Kilter Holds'!$P$37:$AB$662,13,0),0)</f>
        <v>#NAME?</v>
      </c>
    </row>
    <row r="119" spans="1:4" ht="13.5" customHeight="1">
      <c r="A119" s="209" t="s">
        <v>3225</v>
      </c>
      <c r="B119" s="209" t="s">
        <v>3226</v>
      </c>
      <c r="C119" s="406" t="str">
        <f t="shared" si="0"/>
        <v>11-12</v>
      </c>
      <c r="D119" s="209" t="e">
        <f ca="1">_xludf.IFNA(VLOOKUP(Walltopia!A119,'Kilter Holds'!$P$37:$AB$662,5,0),0)</f>
        <v>#NAME?</v>
      </c>
    </row>
    <row r="120" spans="1:4" ht="13.5" customHeight="1">
      <c r="A120" s="209" t="s">
        <v>3225</v>
      </c>
      <c r="B120" s="209" t="s">
        <v>3226</v>
      </c>
      <c r="C120" s="408" t="str">
        <f t="shared" si="0"/>
        <v>14-01</v>
      </c>
      <c r="D120" s="209" t="e">
        <f ca="1">_xludf.IFNA(VLOOKUP(Walltopia!A120,'Kilter Holds'!$P$37:$AB$662,6,0),0)</f>
        <v>#NAME?</v>
      </c>
    </row>
    <row r="121" spans="1:4" ht="13.5" customHeight="1">
      <c r="A121" s="209" t="s">
        <v>3225</v>
      </c>
      <c r="B121" s="209" t="s">
        <v>3226</v>
      </c>
      <c r="C121" s="409" t="str">
        <f t="shared" si="0"/>
        <v>15-12</v>
      </c>
      <c r="D121" s="209" t="e">
        <f ca="1">_xludf.IFNA(VLOOKUP(Walltopia!A121,'Kilter Holds'!$P$37:$AB$662,7,0),0)</f>
        <v>#NAME?</v>
      </c>
    </row>
    <row r="122" spans="1:4" ht="13.5" customHeight="1">
      <c r="A122" s="209" t="s">
        <v>3225</v>
      </c>
      <c r="B122" s="209" t="s">
        <v>3226</v>
      </c>
      <c r="C122" s="410" t="str">
        <f t="shared" si="0"/>
        <v>16-16</v>
      </c>
      <c r="D122" s="209" t="e">
        <f ca="1">_xludf.IFNA(VLOOKUP(Walltopia!A122,'Kilter Holds'!$P$37:$AB$662,8,0),0)</f>
        <v>#NAME?</v>
      </c>
    </row>
    <row r="123" spans="1:4" ht="13.5" customHeight="1">
      <c r="A123" s="209" t="s">
        <v>3225</v>
      </c>
      <c r="B123" s="209" t="s">
        <v>3226</v>
      </c>
      <c r="C123" s="411" t="str">
        <f t="shared" si="0"/>
        <v>13-01</v>
      </c>
      <c r="D123" s="209" t="e">
        <f ca="1">_xludf.IFNA(VLOOKUP(Walltopia!A123,'Kilter Holds'!$P$37:$AB$662,9,0),0)</f>
        <v>#NAME?</v>
      </c>
    </row>
    <row r="124" spans="1:4" ht="13.5" customHeight="1">
      <c r="A124" s="209" t="s">
        <v>3225</v>
      </c>
      <c r="B124" s="209" t="s">
        <v>3226</v>
      </c>
      <c r="C124" s="413" t="str">
        <f t="shared" si="0"/>
        <v>07-13</v>
      </c>
      <c r="D124" s="209" t="e">
        <f ca="1">_xludf.IFNA(VLOOKUP(Walltopia!A124,'Kilter Holds'!$P$37:$AB$662,10,0),0)</f>
        <v>#NAME?</v>
      </c>
    </row>
    <row r="125" spans="1:4" ht="13.5" customHeight="1">
      <c r="A125" s="209" t="s">
        <v>3225</v>
      </c>
      <c r="B125" s="209" t="s">
        <v>3226</v>
      </c>
      <c r="C125" s="414" t="str">
        <f t="shared" si="0"/>
        <v>11-26</v>
      </c>
      <c r="D125" s="209" t="e">
        <f ca="1">_xludf.IFNA(VLOOKUP(Walltopia!A125,'Kilter Holds'!$P$37:$AB$662,11,0),0)</f>
        <v>#NAME?</v>
      </c>
    </row>
    <row r="126" spans="1:4" ht="13.5" customHeight="1">
      <c r="A126" s="209" t="s">
        <v>3225</v>
      </c>
      <c r="B126" s="209" t="s">
        <v>3226</v>
      </c>
      <c r="C126" s="415" t="str">
        <f t="shared" si="0"/>
        <v>18-01</v>
      </c>
      <c r="D126" s="209" t="e">
        <f ca="1">_xludf.IFNA(VLOOKUP(Walltopia!A126,'Kilter Holds'!$P$37:$AB$662,12,0),0)</f>
        <v>#NAME?</v>
      </c>
    </row>
    <row r="127" spans="1:4" ht="13.5" customHeight="1">
      <c r="A127" s="209" t="s">
        <v>3225</v>
      </c>
      <c r="B127" s="209" t="s">
        <v>3226</v>
      </c>
      <c r="C127" s="416" t="str">
        <f t="shared" si="0"/>
        <v>Color Code</v>
      </c>
      <c r="D127" s="209" t="e">
        <f ca="1">_xludf.IFNA(VLOOKUP(Walltopia!A127,'Kilter Holds'!$P$37:$AB$662,13,0),0)</f>
        <v>#NAME?</v>
      </c>
    </row>
    <row r="128" spans="1:4" ht="13.5" customHeight="1">
      <c r="A128" s="209" t="s">
        <v>3227</v>
      </c>
      <c r="B128" s="209" t="s">
        <v>3228</v>
      </c>
      <c r="C128" s="406" t="str">
        <f t="shared" si="0"/>
        <v>11-12</v>
      </c>
      <c r="D128" s="209" t="e">
        <f ca="1">_xludf.IFNA(VLOOKUP(Walltopia!A128,'Kilter Holds'!$P$37:$AB$662,5,0),0)</f>
        <v>#NAME?</v>
      </c>
    </row>
    <row r="129" spans="1:4" ht="13.5" customHeight="1">
      <c r="A129" s="209" t="s">
        <v>3227</v>
      </c>
      <c r="B129" s="209" t="s">
        <v>3228</v>
      </c>
      <c r="C129" s="408" t="str">
        <f t="shared" si="0"/>
        <v>14-01</v>
      </c>
      <c r="D129" s="209" t="e">
        <f ca="1">_xludf.IFNA(VLOOKUP(Walltopia!A129,'Kilter Holds'!$P$37:$AB$662,6,0),0)</f>
        <v>#NAME?</v>
      </c>
    </row>
    <row r="130" spans="1:4" ht="13.5" customHeight="1">
      <c r="A130" s="209" t="s">
        <v>3227</v>
      </c>
      <c r="B130" s="209" t="s">
        <v>3228</v>
      </c>
      <c r="C130" s="409" t="str">
        <f t="shared" si="0"/>
        <v>15-12</v>
      </c>
      <c r="D130" s="209" t="e">
        <f ca="1">_xludf.IFNA(VLOOKUP(Walltopia!A130,'Kilter Holds'!$P$37:$AB$662,7,0),0)</f>
        <v>#NAME?</v>
      </c>
    </row>
    <row r="131" spans="1:4" ht="13.5" customHeight="1">
      <c r="A131" s="209" t="s">
        <v>3227</v>
      </c>
      <c r="B131" s="209" t="s">
        <v>3228</v>
      </c>
      <c r="C131" s="410" t="str">
        <f t="shared" si="0"/>
        <v>16-16</v>
      </c>
      <c r="D131" s="209" t="e">
        <f ca="1">_xludf.IFNA(VLOOKUP(Walltopia!A131,'Kilter Holds'!$P$37:$AB$662,8,0),0)</f>
        <v>#NAME?</v>
      </c>
    </row>
    <row r="132" spans="1:4" ht="13.5" customHeight="1">
      <c r="A132" s="209" t="s">
        <v>3227</v>
      </c>
      <c r="B132" s="209" t="s">
        <v>3228</v>
      </c>
      <c r="C132" s="411" t="str">
        <f t="shared" si="0"/>
        <v>13-01</v>
      </c>
      <c r="D132" s="209" t="e">
        <f ca="1">_xludf.IFNA(VLOOKUP(Walltopia!A132,'Kilter Holds'!$P$37:$AB$662,9,0),0)</f>
        <v>#NAME?</v>
      </c>
    </row>
    <row r="133" spans="1:4" ht="13.5" customHeight="1">
      <c r="A133" s="209" t="s">
        <v>3227</v>
      </c>
      <c r="B133" s="209" t="s">
        <v>3228</v>
      </c>
      <c r="C133" s="413" t="str">
        <f t="shared" si="0"/>
        <v>07-13</v>
      </c>
      <c r="D133" s="209" t="e">
        <f ca="1">_xludf.IFNA(VLOOKUP(Walltopia!A133,'Kilter Holds'!$P$37:$AB$662,10,0),0)</f>
        <v>#NAME?</v>
      </c>
    </row>
    <row r="134" spans="1:4" ht="13.5" customHeight="1">
      <c r="A134" s="209" t="s">
        <v>3227</v>
      </c>
      <c r="B134" s="209" t="s">
        <v>3228</v>
      </c>
      <c r="C134" s="414" t="str">
        <f t="shared" si="0"/>
        <v>11-26</v>
      </c>
      <c r="D134" s="209" t="e">
        <f ca="1">_xludf.IFNA(VLOOKUP(Walltopia!A134,'Kilter Holds'!$P$37:$AB$662,11,0),0)</f>
        <v>#NAME?</v>
      </c>
    </row>
    <row r="135" spans="1:4" ht="13.5" customHeight="1">
      <c r="A135" s="209" t="s">
        <v>3227</v>
      </c>
      <c r="B135" s="209" t="s">
        <v>3228</v>
      </c>
      <c r="C135" s="415" t="str">
        <f t="shared" si="0"/>
        <v>18-01</v>
      </c>
      <c r="D135" s="209" t="e">
        <f ca="1">_xludf.IFNA(VLOOKUP(Walltopia!A135,'Kilter Holds'!$P$37:$AB$662,12,0),0)</f>
        <v>#NAME?</v>
      </c>
    </row>
    <row r="136" spans="1:4" ht="13.5" customHeight="1">
      <c r="A136" s="209" t="s">
        <v>3227</v>
      </c>
      <c r="B136" s="209" t="s">
        <v>3228</v>
      </c>
      <c r="C136" s="416" t="str">
        <f t="shared" si="0"/>
        <v>Color Code</v>
      </c>
      <c r="D136" s="209" t="e">
        <f ca="1">_xludf.IFNA(VLOOKUP(Walltopia!A136,'Kilter Holds'!$P$37:$AB$662,13,0),0)</f>
        <v>#NAME?</v>
      </c>
    </row>
    <row r="137" spans="1:4" ht="13.5" customHeight="1">
      <c r="A137" s="209" t="s">
        <v>3229</v>
      </c>
      <c r="B137" s="209" t="s">
        <v>3230</v>
      </c>
      <c r="C137" s="406" t="str">
        <f t="shared" si="0"/>
        <v>11-12</v>
      </c>
      <c r="D137" s="209" t="e">
        <f ca="1">_xludf.IFNA(VLOOKUP(Walltopia!A137,'Kilter Holds'!$P$37:$AB$662,5,0),0)</f>
        <v>#NAME?</v>
      </c>
    </row>
    <row r="138" spans="1:4" ht="13.5" customHeight="1">
      <c r="A138" s="209" t="s">
        <v>3229</v>
      </c>
      <c r="B138" s="209" t="s">
        <v>3230</v>
      </c>
      <c r="C138" s="408" t="str">
        <f t="shared" si="0"/>
        <v>14-01</v>
      </c>
      <c r="D138" s="209" t="e">
        <f ca="1">_xludf.IFNA(VLOOKUP(Walltopia!A138,'Kilter Holds'!$P$37:$AB$662,6,0),0)</f>
        <v>#NAME?</v>
      </c>
    </row>
    <row r="139" spans="1:4" ht="13.5" customHeight="1">
      <c r="A139" s="209" t="s">
        <v>3229</v>
      </c>
      <c r="B139" s="209" t="s">
        <v>3230</v>
      </c>
      <c r="C139" s="409" t="str">
        <f t="shared" si="0"/>
        <v>15-12</v>
      </c>
      <c r="D139" s="209" t="e">
        <f ca="1">_xludf.IFNA(VLOOKUP(Walltopia!A139,'Kilter Holds'!$P$37:$AB$662,7,0),0)</f>
        <v>#NAME?</v>
      </c>
    </row>
    <row r="140" spans="1:4" ht="13.5" customHeight="1">
      <c r="A140" s="209" t="s">
        <v>3229</v>
      </c>
      <c r="B140" s="209" t="s">
        <v>3230</v>
      </c>
      <c r="C140" s="410" t="str">
        <f t="shared" si="0"/>
        <v>16-16</v>
      </c>
      <c r="D140" s="209" t="e">
        <f ca="1">_xludf.IFNA(VLOOKUP(Walltopia!A140,'Kilter Holds'!$P$37:$AB$662,8,0),0)</f>
        <v>#NAME?</v>
      </c>
    </row>
    <row r="141" spans="1:4" ht="13.5" customHeight="1">
      <c r="A141" s="209" t="s">
        <v>3229</v>
      </c>
      <c r="B141" s="209" t="s">
        <v>3230</v>
      </c>
      <c r="C141" s="411" t="str">
        <f t="shared" si="0"/>
        <v>13-01</v>
      </c>
      <c r="D141" s="209" t="e">
        <f ca="1">_xludf.IFNA(VLOOKUP(Walltopia!A141,'Kilter Holds'!$P$37:$AB$662,9,0),0)</f>
        <v>#NAME?</v>
      </c>
    </row>
    <row r="142" spans="1:4" ht="13.5" customHeight="1">
      <c r="A142" s="209" t="s">
        <v>3229</v>
      </c>
      <c r="B142" s="209" t="s">
        <v>3230</v>
      </c>
      <c r="C142" s="413" t="str">
        <f t="shared" si="0"/>
        <v>07-13</v>
      </c>
      <c r="D142" s="209" t="e">
        <f ca="1">_xludf.IFNA(VLOOKUP(Walltopia!A142,'Kilter Holds'!$P$37:$AB$662,10,0),0)</f>
        <v>#NAME?</v>
      </c>
    </row>
    <row r="143" spans="1:4" ht="13.5" customHeight="1">
      <c r="A143" s="209" t="s">
        <v>3229</v>
      </c>
      <c r="B143" s="209" t="s">
        <v>3230</v>
      </c>
      <c r="C143" s="414" t="str">
        <f t="shared" si="0"/>
        <v>11-26</v>
      </c>
      <c r="D143" s="209" t="e">
        <f ca="1">_xludf.IFNA(VLOOKUP(Walltopia!A143,'Kilter Holds'!$P$37:$AB$662,11,0),0)</f>
        <v>#NAME?</v>
      </c>
    </row>
    <row r="144" spans="1:4" ht="13.5" customHeight="1">
      <c r="A144" s="209" t="s">
        <v>3229</v>
      </c>
      <c r="B144" s="209" t="s">
        <v>3230</v>
      </c>
      <c r="C144" s="415" t="str">
        <f t="shared" si="0"/>
        <v>18-01</v>
      </c>
      <c r="D144" s="209" t="e">
        <f ca="1">_xludf.IFNA(VLOOKUP(Walltopia!A144,'Kilter Holds'!$P$37:$AB$662,12,0),0)</f>
        <v>#NAME?</v>
      </c>
    </row>
    <row r="145" spans="1:4" ht="13.5" customHeight="1">
      <c r="A145" s="209" t="s">
        <v>3229</v>
      </c>
      <c r="B145" s="209" t="s">
        <v>3230</v>
      </c>
      <c r="C145" s="416" t="str">
        <f t="shared" si="0"/>
        <v>Color Code</v>
      </c>
      <c r="D145" s="209" t="e">
        <f ca="1">_xludf.IFNA(VLOOKUP(Walltopia!A145,'Kilter Holds'!$P$37:$AB$662,13,0),0)</f>
        <v>#NAME?</v>
      </c>
    </row>
    <row r="146" spans="1:4" ht="13.5" customHeight="1">
      <c r="A146" s="209" t="s">
        <v>3231</v>
      </c>
      <c r="B146" s="209" t="s">
        <v>3232</v>
      </c>
      <c r="C146" s="406" t="str">
        <f t="shared" si="0"/>
        <v>11-12</v>
      </c>
      <c r="D146" s="209" t="e">
        <f ca="1">_xludf.IFNA(VLOOKUP(Walltopia!A146,'Kilter Holds'!$P$37:$AB$662,5,0),0)</f>
        <v>#NAME?</v>
      </c>
    </row>
    <row r="147" spans="1:4" ht="13.5" customHeight="1">
      <c r="A147" s="209" t="s">
        <v>3231</v>
      </c>
      <c r="B147" s="209" t="s">
        <v>3232</v>
      </c>
      <c r="C147" s="408" t="str">
        <f t="shared" si="0"/>
        <v>14-01</v>
      </c>
      <c r="D147" s="209" t="e">
        <f ca="1">_xludf.IFNA(VLOOKUP(Walltopia!A147,'Kilter Holds'!$P$37:$AB$662,6,0),0)</f>
        <v>#NAME?</v>
      </c>
    </row>
    <row r="148" spans="1:4" ht="13.5" customHeight="1">
      <c r="A148" s="209" t="s">
        <v>3231</v>
      </c>
      <c r="B148" s="209" t="s">
        <v>3232</v>
      </c>
      <c r="C148" s="409" t="str">
        <f t="shared" si="0"/>
        <v>15-12</v>
      </c>
      <c r="D148" s="209" t="e">
        <f ca="1">_xludf.IFNA(VLOOKUP(Walltopia!A148,'Kilter Holds'!$P$37:$AB$662,7,0),0)</f>
        <v>#NAME?</v>
      </c>
    </row>
    <row r="149" spans="1:4" ht="13.5" customHeight="1">
      <c r="A149" s="209" t="s">
        <v>3231</v>
      </c>
      <c r="B149" s="209" t="s">
        <v>3232</v>
      </c>
      <c r="C149" s="410" t="str">
        <f t="shared" si="0"/>
        <v>16-16</v>
      </c>
      <c r="D149" s="209" t="e">
        <f ca="1">_xludf.IFNA(VLOOKUP(Walltopia!A149,'Kilter Holds'!$P$37:$AB$662,8,0),0)</f>
        <v>#NAME?</v>
      </c>
    </row>
    <row r="150" spans="1:4" ht="13.5" customHeight="1">
      <c r="A150" s="209" t="s">
        <v>3231</v>
      </c>
      <c r="B150" s="209" t="s">
        <v>3232</v>
      </c>
      <c r="C150" s="411" t="str">
        <f t="shared" si="0"/>
        <v>13-01</v>
      </c>
      <c r="D150" s="209" t="e">
        <f ca="1">_xludf.IFNA(VLOOKUP(Walltopia!A150,'Kilter Holds'!$P$37:$AB$662,9,0),0)</f>
        <v>#NAME?</v>
      </c>
    </row>
    <row r="151" spans="1:4" ht="13.5" customHeight="1">
      <c r="A151" s="209" t="s">
        <v>3231</v>
      </c>
      <c r="B151" s="209" t="s">
        <v>3232</v>
      </c>
      <c r="C151" s="413" t="str">
        <f t="shared" si="0"/>
        <v>07-13</v>
      </c>
      <c r="D151" s="209" t="e">
        <f ca="1">_xludf.IFNA(VLOOKUP(Walltopia!A151,'Kilter Holds'!$P$37:$AB$662,10,0),0)</f>
        <v>#NAME?</v>
      </c>
    </row>
    <row r="152" spans="1:4" ht="13.5" customHeight="1">
      <c r="A152" s="209" t="s">
        <v>3231</v>
      </c>
      <c r="B152" s="209" t="s">
        <v>3232</v>
      </c>
      <c r="C152" s="414" t="str">
        <f t="shared" si="0"/>
        <v>11-26</v>
      </c>
      <c r="D152" s="209" t="e">
        <f ca="1">_xludf.IFNA(VLOOKUP(Walltopia!A152,'Kilter Holds'!$P$37:$AB$662,11,0),0)</f>
        <v>#NAME?</v>
      </c>
    </row>
    <row r="153" spans="1:4" ht="13.5" customHeight="1">
      <c r="A153" s="209" t="s">
        <v>3231</v>
      </c>
      <c r="B153" s="209" t="s">
        <v>3232</v>
      </c>
      <c r="C153" s="415" t="str">
        <f t="shared" si="0"/>
        <v>18-01</v>
      </c>
      <c r="D153" s="209" t="e">
        <f ca="1">_xludf.IFNA(VLOOKUP(Walltopia!A153,'Kilter Holds'!$P$37:$AB$662,12,0),0)</f>
        <v>#NAME?</v>
      </c>
    </row>
    <row r="154" spans="1:4" ht="13.5" customHeight="1">
      <c r="A154" s="209" t="s">
        <v>3231</v>
      </c>
      <c r="B154" s="209" t="s">
        <v>3232</v>
      </c>
      <c r="C154" s="416" t="str">
        <f t="shared" si="0"/>
        <v>Color Code</v>
      </c>
      <c r="D154" s="209" t="e">
        <f ca="1">_xludf.IFNA(VLOOKUP(Walltopia!A154,'Kilter Holds'!$P$37:$AB$662,13,0),0)</f>
        <v>#NAME?</v>
      </c>
    </row>
    <row r="155" spans="1:4" ht="13.5" customHeight="1">
      <c r="A155" s="209" t="s">
        <v>3233</v>
      </c>
      <c r="B155" s="209" t="s">
        <v>3234</v>
      </c>
      <c r="C155" s="406" t="str">
        <f t="shared" si="0"/>
        <v>11-12</v>
      </c>
      <c r="D155" s="209" t="e">
        <f ca="1">_xludf.IFNA(VLOOKUP(Walltopia!A155,'Kilter Holds'!$P$37:$AB$662,5,0),0)</f>
        <v>#NAME?</v>
      </c>
    </row>
    <row r="156" spans="1:4" ht="13.5" customHeight="1">
      <c r="A156" s="209" t="s">
        <v>3233</v>
      </c>
      <c r="B156" s="209" t="s">
        <v>3234</v>
      </c>
      <c r="C156" s="408" t="str">
        <f t="shared" si="0"/>
        <v>14-01</v>
      </c>
      <c r="D156" s="209" t="e">
        <f ca="1">_xludf.IFNA(VLOOKUP(Walltopia!A156,'Kilter Holds'!$P$37:$AB$662,6,0),0)</f>
        <v>#NAME?</v>
      </c>
    </row>
    <row r="157" spans="1:4" ht="13.5" customHeight="1">
      <c r="A157" s="209" t="s">
        <v>3233</v>
      </c>
      <c r="B157" s="209" t="s">
        <v>3234</v>
      </c>
      <c r="C157" s="409" t="str">
        <f t="shared" si="0"/>
        <v>15-12</v>
      </c>
      <c r="D157" s="209" t="e">
        <f ca="1">_xludf.IFNA(VLOOKUP(Walltopia!A157,'Kilter Holds'!$P$37:$AB$662,7,0),0)</f>
        <v>#NAME?</v>
      </c>
    </row>
    <row r="158" spans="1:4" ht="13.5" customHeight="1">
      <c r="A158" s="209" t="s">
        <v>3233</v>
      </c>
      <c r="B158" s="209" t="s">
        <v>3234</v>
      </c>
      <c r="C158" s="410" t="str">
        <f t="shared" si="0"/>
        <v>16-16</v>
      </c>
      <c r="D158" s="209" t="e">
        <f ca="1">_xludf.IFNA(VLOOKUP(Walltopia!A158,'Kilter Holds'!$P$37:$AB$662,8,0),0)</f>
        <v>#NAME?</v>
      </c>
    </row>
    <row r="159" spans="1:4" ht="13.5" customHeight="1">
      <c r="A159" s="209" t="s">
        <v>3233</v>
      </c>
      <c r="B159" s="209" t="s">
        <v>3234</v>
      </c>
      <c r="C159" s="411" t="str">
        <f t="shared" si="0"/>
        <v>13-01</v>
      </c>
      <c r="D159" s="209" t="e">
        <f ca="1">_xludf.IFNA(VLOOKUP(Walltopia!A159,'Kilter Holds'!$P$37:$AB$662,9,0),0)</f>
        <v>#NAME?</v>
      </c>
    </row>
    <row r="160" spans="1:4" ht="13.5" customHeight="1">
      <c r="A160" s="209" t="s">
        <v>3233</v>
      </c>
      <c r="B160" s="209" t="s">
        <v>3234</v>
      </c>
      <c r="C160" s="413" t="str">
        <f t="shared" si="0"/>
        <v>07-13</v>
      </c>
      <c r="D160" s="209" t="e">
        <f ca="1">_xludf.IFNA(VLOOKUP(Walltopia!A160,'Kilter Holds'!$P$37:$AB$662,10,0),0)</f>
        <v>#NAME?</v>
      </c>
    </row>
    <row r="161" spans="1:4" ht="13.5" customHeight="1">
      <c r="A161" s="209" t="s">
        <v>3233</v>
      </c>
      <c r="B161" s="209" t="s">
        <v>3234</v>
      </c>
      <c r="C161" s="414" t="str">
        <f t="shared" si="0"/>
        <v>11-26</v>
      </c>
      <c r="D161" s="209" t="e">
        <f ca="1">_xludf.IFNA(VLOOKUP(Walltopia!A161,'Kilter Holds'!$P$37:$AB$662,11,0),0)</f>
        <v>#NAME?</v>
      </c>
    </row>
    <row r="162" spans="1:4" ht="13.5" customHeight="1">
      <c r="A162" s="209" t="s">
        <v>3233</v>
      </c>
      <c r="B162" s="209" t="s">
        <v>3234</v>
      </c>
      <c r="C162" s="415" t="str">
        <f t="shared" si="0"/>
        <v>18-01</v>
      </c>
      <c r="D162" s="209" t="e">
        <f ca="1">_xludf.IFNA(VLOOKUP(Walltopia!A162,'Kilter Holds'!$P$37:$AB$662,12,0),0)</f>
        <v>#NAME?</v>
      </c>
    </row>
    <row r="163" spans="1:4" ht="13.5" customHeight="1">
      <c r="A163" s="209" t="s">
        <v>3233</v>
      </c>
      <c r="B163" s="209" t="s">
        <v>3234</v>
      </c>
      <c r="C163" s="416" t="str">
        <f t="shared" si="0"/>
        <v>Color Code</v>
      </c>
      <c r="D163" s="209" t="e">
        <f ca="1">_xludf.IFNA(VLOOKUP(Walltopia!A163,'Kilter Holds'!$P$37:$AB$662,13,0),0)</f>
        <v>#NAME?</v>
      </c>
    </row>
    <row r="164" spans="1:4" ht="13.5" customHeight="1">
      <c r="A164" s="209" t="s">
        <v>3235</v>
      </c>
      <c r="B164" s="209" t="s">
        <v>3236</v>
      </c>
      <c r="C164" s="406" t="str">
        <f t="shared" si="0"/>
        <v>11-12</v>
      </c>
      <c r="D164" s="209" t="e">
        <f ca="1">_xludf.IFNA(VLOOKUP(Walltopia!A164,'Kilter Holds'!$P$37:$AB$662,5,0),0)</f>
        <v>#NAME?</v>
      </c>
    </row>
    <row r="165" spans="1:4" ht="13.5" customHeight="1">
      <c r="A165" s="209" t="s">
        <v>3235</v>
      </c>
      <c r="B165" s="209" t="s">
        <v>3236</v>
      </c>
      <c r="C165" s="408" t="str">
        <f t="shared" si="0"/>
        <v>14-01</v>
      </c>
      <c r="D165" s="209" t="e">
        <f ca="1">_xludf.IFNA(VLOOKUP(Walltopia!A165,'Kilter Holds'!$P$37:$AB$662,6,0),0)</f>
        <v>#NAME?</v>
      </c>
    </row>
    <row r="166" spans="1:4" ht="13.5" customHeight="1">
      <c r="A166" s="209" t="s">
        <v>3235</v>
      </c>
      <c r="B166" s="209" t="s">
        <v>3236</v>
      </c>
      <c r="C166" s="409" t="str">
        <f t="shared" si="0"/>
        <v>15-12</v>
      </c>
      <c r="D166" s="209" t="e">
        <f ca="1">_xludf.IFNA(VLOOKUP(Walltopia!A166,'Kilter Holds'!$P$37:$AB$662,7,0),0)</f>
        <v>#NAME?</v>
      </c>
    </row>
    <row r="167" spans="1:4" ht="13.5" customHeight="1">
      <c r="A167" s="209" t="s">
        <v>3235</v>
      </c>
      <c r="B167" s="209" t="s">
        <v>3236</v>
      </c>
      <c r="C167" s="410" t="str">
        <f t="shared" si="0"/>
        <v>16-16</v>
      </c>
      <c r="D167" s="209" t="e">
        <f ca="1">_xludf.IFNA(VLOOKUP(Walltopia!A167,'Kilter Holds'!$P$37:$AB$662,8,0),0)</f>
        <v>#NAME?</v>
      </c>
    </row>
    <row r="168" spans="1:4" ht="13.5" customHeight="1">
      <c r="A168" s="209" t="s">
        <v>3235</v>
      </c>
      <c r="B168" s="209" t="s">
        <v>3236</v>
      </c>
      <c r="C168" s="411" t="str">
        <f t="shared" si="0"/>
        <v>13-01</v>
      </c>
      <c r="D168" s="209" t="e">
        <f ca="1">_xludf.IFNA(VLOOKUP(Walltopia!A168,'Kilter Holds'!$P$37:$AB$662,9,0),0)</f>
        <v>#NAME?</v>
      </c>
    </row>
    <row r="169" spans="1:4" ht="13.5" customHeight="1">
      <c r="A169" s="209" t="s">
        <v>3235</v>
      </c>
      <c r="B169" s="209" t="s">
        <v>3236</v>
      </c>
      <c r="C169" s="413" t="str">
        <f t="shared" si="0"/>
        <v>07-13</v>
      </c>
      <c r="D169" s="209" t="e">
        <f ca="1">_xludf.IFNA(VLOOKUP(Walltopia!A169,'Kilter Holds'!$P$37:$AB$662,10,0),0)</f>
        <v>#NAME?</v>
      </c>
    </row>
    <row r="170" spans="1:4" ht="13.5" customHeight="1">
      <c r="A170" s="209" t="s">
        <v>3235</v>
      </c>
      <c r="B170" s="209" t="s">
        <v>3236</v>
      </c>
      <c r="C170" s="414" t="str">
        <f t="shared" si="0"/>
        <v>11-26</v>
      </c>
      <c r="D170" s="209" t="e">
        <f ca="1">_xludf.IFNA(VLOOKUP(Walltopia!A170,'Kilter Holds'!$P$37:$AB$662,11,0),0)</f>
        <v>#NAME?</v>
      </c>
    </row>
    <row r="171" spans="1:4" ht="13.5" customHeight="1">
      <c r="A171" s="209" t="s">
        <v>3235</v>
      </c>
      <c r="B171" s="209" t="s">
        <v>3236</v>
      </c>
      <c r="C171" s="415" t="str">
        <f t="shared" si="0"/>
        <v>18-01</v>
      </c>
      <c r="D171" s="209" t="e">
        <f ca="1">_xludf.IFNA(VLOOKUP(Walltopia!A171,'Kilter Holds'!$P$37:$AB$662,12,0),0)</f>
        <v>#NAME?</v>
      </c>
    </row>
    <row r="172" spans="1:4" ht="13.5" customHeight="1">
      <c r="A172" s="209" t="s">
        <v>3235</v>
      </c>
      <c r="B172" s="209" t="s">
        <v>3236</v>
      </c>
      <c r="C172" s="416" t="str">
        <f t="shared" si="0"/>
        <v>Color Code</v>
      </c>
      <c r="D172" s="209" t="e">
        <f ca="1">_xludf.IFNA(VLOOKUP(Walltopia!A172,'Kilter Holds'!$P$37:$AB$662,13,0),0)</f>
        <v>#NAME?</v>
      </c>
    </row>
    <row r="173" spans="1:4" ht="13.5" customHeight="1">
      <c r="A173" s="209" t="s">
        <v>3237</v>
      </c>
      <c r="B173" s="209" t="s">
        <v>3238</v>
      </c>
      <c r="C173" s="406" t="str">
        <f t="shared" si="0"/>
        <v>11-12</v>
      </c>
      <c r="D173" s="209" t="e">
        <f ca="1">_xludf.IFNA(VLOOKUP(Walltopia!A173,'Kilter Holds'!$P$37:$AB$662,5,0),0)</f>
        <v>#NAME?</v>
      </c>
    </row>
    <row r="174" spans="1:4" ht="13.5" customHeight="1">
      <c r="A174" s="209" t="s">
        <v>3237</v>
      </c>
      <c r="B174" s="209" t="s">
        <v>3238</v>
      </c>
      <c r="C174" s="408" t="str">
        <f t="shared" si="0"/>
        <v>14-01</v>
      </c>
      <c r="D174" s="209" t="e">
        <f ca="1">_xludf.IFNA(VLOOKUP(Walltopia!A174,'Kilter Holds'!$P$37:$AB$662,6,0),0)</f>
        <v>#NAME?</v>
      </c>
    </row>
    <row r="175" spans="1:4" ht="13.5" customHeight="1">
      <c r="A175" s="209" t="s">
        <v>3237</v>
      </c>
      <c r="B175" s="209" t="s">
        <v>3238</v>
      </c>
      <c r="C175" s="409" t="str">
        <f t="shared" si="0"/>
        <v>15-12</v>
      </c>
      <c r="D175" s="209" t="e">
        <f ca="1">_xludf.IFNA(VLOOKUP(Walltopia!A175,'Kilter Holds'!$P$37:$AB$662,7,0),0)</f>
        <v>#NAME?</v>
      </c>
    </row>
    <row r="176" spans="1:4" ht="13.5" customHeight="1">
      <c r="A176" s="209" t="s">
        <v>3237</v>
      </c>
      <c r="B176" s="209" t="s">
        <v>3238</v>
      </c>
      <c r="C176" s="410" t="str">
        <f t="shared" si="0"/>
        <v>16-16</v>
      </c>
      <c r="D176" s="209" t="e">
        <f ca="1">_xludf.IFNA(VLOOKUP(Walltopia!A176,'Kilter Holds'!$P$37:$AB$662,8,0),0)</f>
        <v>#NAME?</v>
      </c>
    </row>
    <row r="177" spans="1:4" ht="13.5" customHeight="1">
      <c r="A177" s="209" t="s">
        <v>3237</v>
      </c>
      <c r="B177" s="209" t="s">
        <v>3238</v>
      </c>
      <c r="C177" s="411" t="str">
        <f t="shared" si="0"/>
        <v>13-01</v>
      </c>
      <c r="D177" s="209" t="e">
        <f ca="1">_xludf.IFNA(VLOOKUP(Walltopia!A177,'Kilter Holds'!$P$37:$AB$662,9,0),0)</f>
        <v>#NAME?</v>
      </c>
    </row>
    <row r="178" spans="1:4" ht="13.5" customHeight="1">
      <c r="A178" s="209" t="s">
        <v>3237</v>
      </c>
      <c r="B178" s="209" t="s">
        <v>3238</v>
      </c>
      <c r="C178" s="413" t="str">
        <f t="shared" si="0"/>
        <v>07-13</v>
      </c>
      <c r="D178" s="209" t="e">
        <f ca="1">_xludf.IFNA(VLOOKUP(Walltopia!A178,'Kilter Holds'!$P$37:$AB$662,10,0),0)</f>
        <v>#NAME?</v>
      </c>
    </row>
    <row r="179" spans="1:4" ht="13.5" customHeight="1">
      <c r="A179" s="209" t="s">
        <v>3237</v>
      </c>
      <c r="B179" s="209" t="s">
        <v>3238</v>
      </c>
      <c r="C179" s="414" t="str">
        <f t="shared" si="0"/>
        <v>11-26</v>
      </c>
      <c r="D179" s="209" t="e">
        <f ca="1">_xludf.IFNA(VLOOKUP(Walltopia!A179,'Kilter Holds'!$P$37:$AB$662,11,0),0)</f>
        <v>#NAME?</v>
      </c>
    </row>
    <row r="180" spans="1:4" ht="13.5" customHeight="1">
      <c r="A180" s="209" t="s">
        <v>3237</v>
      </c>
      <c r="B180" s="209" t="s">
        <v>3238</v>
      </c>
      <c r="C180" s="415" t="str">
        <f t="shared" si="0"/>
        <v>18-01</v>
      </c>
      <c r="D180" s="209" t="e">
        <f ca="1">_xludf.IFNA(VLOOKUP(Walltopia!A180,'Kilter Holds'!$P$37:$AB$662,12,0),0)</f>
        <v>#NAME?</v>
      </c>
    </row>
    <row r="181" spans="1:4" ht="13.5" customHeight="1">
      <c r="A181" s="209" t="s">
        <v>3237</v>
      </c>
      <c r="B181" s="209" t="s">
        <v>3238</v>
      </c>
      <c r="C181" s="416" t="str">
        <f t="shared" si="0"/>
        <v>Color Code</v>
      </c>
      <c r="D181" s="209" t="e">
        <f ca="1">_xludf.IFNA(VLOOKUP(Walltopia!A181,'Kilter Holds'!$P$37:$AB$662,13,0),0)</f>
        <v>#NAME?</v>
      </c>
    </row>
    <row r="182" spans="1:4" ht="13.5" customHeight="1">
      <c r="A182" s="209" t="s">
        <v>3239</v>
      </c>
      <c r="B182" s="209" t="s">
        <v>3240</v>
      </c>
      <c r="C182" s="406" t="str">
        <f t="shared" si="0"/>
        <v>11-12</v>
      </c>
      <c r="D182" s="209" t="e">
        <f ca="1">_xludf.IFNA(VLOOKUP(Walltopia!A182,'Kilter Holds'!$P$37:$AB$662,5,0),0)</f>
        <v>#NAME?</v>
      </c>
    </row>
    <row r="183" spans="1:4" ht="13.5" customHeight="1">
      <c r="A183" s="209" t="s">
        <v>3239</v>
      </c>
      <c r="B183" s="209" t="s">
        <v>3240</v>
      </c>
      <c r="C183" s="408" t="str">
        <f t="shared" si="0"/>
        <v>14-01</v>
      </c>
      <c r="D183" s="209" t="e">
        <f ca="1">_xludf.IFNA(VLOOKUP(Walltopia!A183,'Kilter Holds'!$P$37:$AB$662,6,0),0)</f>
        <v>#NAME?</v>
      </c>
    </row>
    <row r="184" spans="1:4" ht="13.5" customHeight="1">
      <c r="A184" s="209" t="s">
        <v>3239</v>
      </c>
      <c r="B184" s="209" t="s">
        <v>3240</v>
      </c>
      <c r="C184" s="409" t="str">
        <f t="shared" si="0"/>
        <v>15-12</v>
      </c>
      <c r="D184" s="209" t="e">
        <f ca="1">_xludf.IFNA(VLOOKUP(Walltopia!A184,'Kilter Holds'!$P$37:$AB$662,7,0),0)</f>
        <v>#NAME?</v>
      </c>
    </row>
    <row r="185" spans="1:4" ht="13.5" customHeight="1">
      <c r="A185" s="209" t="s">
        <v>3239</v>
      </c>
      <c r="B185" s="209" t="s">
        <v>3240</v>
      </c>
      <c r="C185" s="410" t="str">
        <f t="shared" si="0"/>
        <v>16-16</v>
      </c>
      <c r="D185" s="209" t="e">
        <f ca="1">_xludf.IFNA(VLOOKUP(Walltopia!A185,'Kilter Holds'!$P$37:$AB$662,8,0),0)</f>
        <v>#NAME?</v>
      </c>
    </row>
    <row r="186" spans="1:4" ht="13.5" customHeight="1">
      <c r="A186" s="209" t="s">
        <v>3239</v>
      </c>
      <c r="B186" s="209" t="s">
        <v>3240</v>
      </c>
      <c r="C186" s="411" t="str">
        <f t="shared" si="0"/>
        <v>13-01</v>
      </c>
      <c r="D186" s="209" t="e">
        <f ca="1">_xludf.IFNA(VLOOKUP(Walltopia!A186,'Kilter Holds'!$P$37:$AB$662,9,0),0)</f>
        <v>#NAME?</v>
      </c>
    </row>
    <row r="187" spans="1:4" ht="13.5" customHeight="1">
      <c r="A187" s="209" t="s">
        <v>3239</v>
      </c>
      <c r="B187" s="209" t="s">
        <v>3240</v>
      </c>
      <c r="C187" s="413" t="str">
        <f t="shared" si="0"/>
        <v>07-13</v>
      </c>
      <c r="D187" s="209" t="e">
        <f ca="1">_xludf.IFNA(VLOOKUP(Walltopia!A187,'Kilter Holds'!$P$37:$AB$662,10,0),0)</f>
        <v>#NAME?</v>
      </c>
    </row>
    <row r="188" spans="1:4" ht="13.5" customHeight="1">
      <c r="A188" s="209" t="s">
        <v>3239</v>
      </c>
      <c r="B188" s="209" t="s">
        <v>3240</v>
      </c>
      <c r="C188" s="414" t="str">
        <f t="shared" si="0"/>
        <v>11-26</v>
      </c>
      <c r="D188" s="209" t="e">
        <f ca="1">_xludf.IFNA(VLOOKUP(Walltopia!A188,'Kilter Holds'!$P$37:$AB$662,11,0),0)</f>
        <v>#NAME?</v>
      </c>
    </row>
    <row r="189" spans="1:4" ht="13.5" customHeight="1">
      <c r="A189" s="209" t="s">
        <v>3239</v>
      </c>
      <c r="B189" s="209" t="s">
        <v>3240</v>
      </c>
      <c r="C189" s="415" t="str">
        <f t="shared" si="0"/>
        <v>18-01</v>
      </c>
      <c r="D189" s="209" t="e">
        <f ca="1">_xludf.IFNA(VLOOKUP(Walltopia!A189,'Kilter Holds'!$P$37:$AB$662,12,0),0)</f>
        <v>#NAME?</v>
      </c>
    </row>
    <row r="190" spans="1:4" ht="13.5" customHeight="1">
      <c r="A190" s="209" t="s">
        <v>3239</v>
      </c>
      <c r="B190" s="209" t="s">
        <v>3240</v>
      </c>
      <c r="C190" s="416" t="str">
        <f t="shared" si="0"/>
        <v>Color Code</v>
      </c>
      <c r="D190" s="209" t="e">
        <f ca="1">_xludf.IFNA(VLOOKUP(Walltopia!A190,'Kilter Holds'!$P$37:$AB$662,13,0),0)</f>
        <v>#NAME?</v>
      </c>
    </row>
    <row r="191" spans="1:4" ht="13.5" customHeight="1">
      <c r="A191" s="1" t="s">
        <v>3241</v>
      </c>
      <c r="B191" s="1" t="s">
        <v>3242</v>
      </c>
      <c r="C191" s="406" t="str">
        <f t="shared" si="0"/>
        <v>11-12</v>
      </c>
      <c r="D191" s="209" t="e">
        <f ca="1">_xludf.IFNA(VLOOKUP(Walltopia!A191,'Kilter Holds'!$P$37:$AB$662,5,0),0)</f>
        <v>#NAME?</v>
      </c>
    </row>
    <row r="192" spans="1:4" ht="13.5" customHeight="1">
      <c r="A192" s="1" t="s">
        <v>3241</v>
      </c>
      <c r="B192" s="1" t="s">
        <v>3242</v>
      </c>
      <c r="C192" s="408" t="str">
        <f t="shared" si="0"/>
        <v>14-01</v>
      </c>
      <c r="D192" s="209" t="e">
        <f ca="1">_xludf.IFNA(VLOOKUP(Walltopia!A192,'Kilter Holds'!$P$37:$AB$662,6,0),0)</f>
        <v>#NAME?</v>
      </c>
    </row>
    <row r="193" spans="1:4" ht="13.5" customHeight="1">
      <c r="A193" s="1" t="s">
        <v>3241</v>
      </c>
      <c r="B193" s="1" t="s">
        <v>3242</v>
      </c>
      <c r="C193" s="409" t="str">
        <f t="shared" si="0"/>
        <v>15-12</v>
      </c>
      <c r="D193" s="209" t="e">
        <f ca="1">_xludf.IFNA(VLOOKUP(Walltopia!A193,'Kilter Holds'!$P$37:$AB$662,7,0),0)</f>
        <v>#NAME?</v>
      </c>
    </row>
    <row r="194" spans="1:4" ht="13.5" customHeight="1">
      <c r="A194" s="1" t="s">
        <v>3241</v>
      </c>
      <c r="B194" s="1" t="s">
        <v>3242</v>
      </c>
      <c r="C194" s="410" t="str">
        <f t="shared" si="0"/>
        <v>16-16</v>
      </c>
      <c r="D194" s="209" t="e">
        <f ca="1">_xludf.IFNA(VLOOKUP(Walltopia!A194,'Kilter Holds'!$P$37:$AB$662,8,0),0)</f>
        <v>#NAME?</v>
      </c>
    </row>
    <row r="195" spans="1:4" ht="13.5" customHeight="1">
      <c r="A195" s="1" t="s">
        <v>3241</v>
      </c>
      <c r="B195" s="1" t="s">
        <v>3242</v>
      </c>
      <c r="C195" s="411" t="str">
        <f t="shared" si="0"/>
        <v>13-01</v>
      </c>
      <c r="D195" s="209" t="e">
        <f ca="1">_xludf.IFNA(VLOOKUP(Walltopia!A195,'Kilter Holds'!$P$37:$AB$662,9,0),0)</f>
        <v>#NAME?</v>
      </c>
    </row>
    <row r="196" spans="1:4" ht="13.5" customHeight="1">
      <c r="A196" s="1" t="s">
        <v>3241</v>
      </c>
      <c r="B196" s="1" t="s">
        <v>3242</v>
      </c>
      <c r="C196" s="413" t="str">
        <f t="shared" si="0"/>
        <v>07-13</v>
      </c>
      <c r="D196" s="209" t="e">
        <f ca="1">_xludf.IFNA(VLOOKUP(Walltopia!A196,'Kilter Holds'!$P$37:$AB$662,10,0),0)</f>
        <v>#NAME?</v>
      </c>
    </row>
    <row r="197" spans="1:4" ht="13.5" customHeight="1">
      <c r="A197" s="1" t="s">
        <v>3241</v>
      </c>
      <c r="B197" s="1" t="s">
        <v>3242</v>
      </c>
      <c r="C197" s="414" t="str">
        <f t="shared" si="0"/>
        <v>11-26</v>
      </c>
      <c r="D197" s="209" t="e">
        <f ca="1">_xludf.IFNA(VLOOKUP(Walltopia!A197,'Kilter Holds'!$P$37:$AB$662,11,0),0)</f>
        <v>#NAME?</v>
      </c>
    </row>
    <row r="198" spans="1:4" ht="13.5" customHeight="1">
      <c r="A198" s="1" t="s">
        <v>3241</v>
      </c>
      <c r="B198" s="1" t="s">
        <v>3242</v>
      </c>
      <c r="C198" s="415" t="str">
        <f t="shared" si="0"/>
        <v>18-01</v>
      </c>
      <c r="D198" s="209" t="e">
        <f ca="1">_xludf.IFNA(VLOOKUP(Walltopia!A198,'Kilter Holds'!$P$37:$AB$662,12,0),0)</f>
        <v>#NAME?</v>
      </c>
    </row>
    <row r="199" spans="1:4" ht="13.5" customHeight="1">
      <c r="A199" s="1" t="s">
        <v>3241</v>
      </c>
      <c r="B199" s="1" t="s">
        <v>3242</v>
      </c>
      <c r="C199" s="416" t="str">
        <f t="shared" si="0"/>
        <v>Color Code</v>
      </c>
      <c r="D199" s="209" t="e">
        <f ca="1">_xludf.IFNA(VLOOKUP(Walltopia!A199,'Kilter Holds'!$P$37:$AB$662,13,0),0)</f>
        <v>#NAME?</v>
      </c>
    </row>
    <row r="200" spans="1:4" ht="13.5" customHeight="1">
      <c r="A200" s="209" t="s">
        <v>3243</v>
      </c>
      <c r="B200" s="209" t="s">
        <v>3244</v>
      </c>
      <c r="C200" s="406" t="str">
        <f t="shared" si="0"/>
        <v>11-12</v>
      </c>
      <c r="D200" s="209" t="e">
        <f ca="1">_xludf.IFNA(VLOOKUP(Walltopia!A200,'Kilter Holds'!$P$37:$AB$662,5,0),0)</f>
        <v>#NAME?</v>
      </c>
    </row>
    <row r="201" spans="1:4" ht="13.5" customHeight="1">
      <c r="A201" s="209" t="s">
        <v>3243</v>
      </c>
      <c r="B201" s="209" t="s">
        <v>3244</v>
      </c>
      <c r="C201" s="408" t="str">
        <f t="shared" si="0"/>
        <v>14-01</v>
      </c>
      <c r="D201" s="209" t="e">
        <f ca="1">_xludf.IFNA(VLOOKUP(Walltopia!A201,'Kilter Holds'!$P$37:$AB$662,6,0),0)</f>
        <v>#NAME?</v>
      </c>
    </row>
    <row r="202" spans="1:4" ht="13.5" customHeight="1">
      <c r="A202" s="209" t="s">
        <v>3243</v>
      </c>
      <c r="B202" s="209" t="s">
        <v>3244</v>
      </c>
      <c r="C202" s="409" t="str">
        <f t="shared" si="0"/>
        <v>15-12</v>
      </c>
      <c r="D202" s="209" t="e">
        <f ca="1">_xludf.IFNA(VLOOKUP(Walltopia!A202,'Kilter Holds'!$P$37:$AB$662,7,0),0)</f>
        <v>#NAME?</v>
      </c>
    </row>
    <row r="203" spans="1:4" ht="13.5" customHeight="1">
      <c r="A203" s="209" t="s">
        <v>3243</v>
      </c>
      <c r="B203" s="209" t="s">
        <v>3244</v>
      </c>
      <c r="C203" s="410" t="str">
        <f t="shared" si="0"/>
        <v>16-16</v>
      </c>
      <c r="D203" s="209" t="e">
        <f ca="1">_xludf.IFNA(VLOOKUP(Walltopia!A203,'Kilter Holds'!$P$37:$AB$662,8,0),0)</f>
        <v>#NAME?</v>
      </c>
    </row>
    <row r="204" spans="1:4" ht="13.5" customHeight="1">
      <c r="A204" s="209" t="s">
        <v>3243</v>
      </c>
      <c r="B204" s="209" t="s">
        <v>3244</v>
      </c>
      <c r="C204" s="411" t="str">
        <f t="shared" si="0"/>
        <v>13-01</v>
      </c>
      <c r="D204" s="209" t="e">
        <f ca="1">_xludf.IFNA(VLOOKUP(Walltopia!A204,'Kilter Holds'!$P$37:$AB$662,9,0),0)</f>
        <v>#NAME?</v>
      </c>
    </row>
    <row r="205" spans="1:4" ht="13.5" customHeight="1">
      <c r="A205" s="209" t="s">
        <v>3243</v>
      </c>
      <c r="B205" s="209" t="s">
        <v>3244</v>
      </c>
      <c r="C205" s="413" t="str">
        <f t="shared" si="0"/>
        <v>07-13</v>
      </c>
      <c r="D205" s="209" t="e">
        <f ca="1">_xludf.IFNA(VLOOKUP(Walltopia!A205,'Kilter Holds'!$P$37:$AB$662,10,0),0)</f>
        <v>#NAME?</v>
      </c>
    </row>
    <row r="206" spans="1:4" ht="13.5" customHeight="1">
      <c r="A206" s="209" t="s">
        <v>3243</v>
      </c>
      <c r="B206" s="209" t="s">
        <v>3244</v>
      </c>
      <c r="C206" s="414" t="str">
        <f t="shared" si="0"/>
        <v>11-26</v>
      </c>
      <c r="D206" s="209" t="e">
        <f ca="1">_xludf.IFNA(VLOOKUP(Walltopia!A206,'Kilter Holds'!$P$37:$AB$662,11,0),0)</f>
        <v>#NAME?</v>
      </c>
    </row>
    <row r="207" spans="1:4" ht="13.5" customHeight="1">
      <c r="A207" s="209" t="s">
        <v>3243</v>
      </c>
      <c r="B207" s="209" t="s">
        <v>3244</v>
      </c>
      <c r="C207" s="415" t="str">
        <f t="shared" si="0"/>
        <v>18-01</v>
      </c>
      <c r="D207" s="209" t="e">
        <f ca="1">_xludf.IFNA(VLOOKUP(Walltopia!A207,'Kilter Holds'!$P$37:$AB$662,12,0),0)</f>
        <v>#NAME?</v>
      </c>
    </row>
    <row r="208" spans="1:4" ht="13.5" customHeight="1">
      <c r="A208" s="209" t="s">
        <v>3243</v>
      </c>
      <c r="B208" s="209" t="s">
        <v>3244</v>
      </c>
      <c r="C208" s="416" t="str">
        <f t="shared" si="0"/>
        <v>Color Code</v>
      </c>
      <c r="D208" s="209" t="e">
        <f ca="1">_xludf.IFNA(VLOOKUP(Walltopia!A208,'Kilter Holds'!$P$37:$AB$662,13,0),0)</f>
        <v>#NAME?</v>
      </c>
    </row>
    <row r="209" spans="1:4" ht="13.5" customHeight="1">
      <c r="A209" s="209" t="s">
        <v>3245</v>
      </c>
      <c r="B209" s="1" t="s">
        <v>3246</v>
      </c>
      <c r="C209" s="406" t="str">
        <f t="shared" si="0"/>
        <v>11-12</v>
      </c>
      <c r="D209" s="209" t="e">
        <f ca="1">_xludf.IFNA(VLOOKUP(Walltopia!A209,'Urban Plastix Holds'!$I$37:$U$862,5,0),0)</f>
        <v>#NAME?</v>
      </c>
    </row>
    <row r="210" spans="1:4" ht="13.5" customHeight="1">
      <c r="A210" s="209" t="s">
        <v>3245</v>
      </c>
      <c r="B210" s="1" t="s">
        <v>3246</v>
      </c>
      <c r="C210" s="408" t="str">
        <f t="shared" si="0"/>
        <v>14-01</v>
      </c>
      <c r="D210" s="209" t="e">
        <f ca="1">_xludf.IFNA(VLOOKUP(Walltopia!A210,'Urban Plastix Holds'!$I$37:$U$862,6,0),0)</f>
        <v>#NAME?</v>
      </c>
    </row>
    <row r="211" spans="1:4" ht="13.5" customHeight="1">
      <c r="A211" s="209" t="s">
        <v>3245</v>
      </c>
      <c r="B211" s="1" t="s">
        <v>3246</v>
      </c>
      <c r="C211" s="409" t="str">
        <f t="shared" si="0"/>
        <v>15-12</v>
      </c>
      <c r="D211" s="209" t="e">
        <f ca="1">_xludf.IFNA(VLOOKUP(Walltopia!A211,'Urban Plastix Holds'!$I$37:$U$862,7,0),0)</f>
        <v>#NAME?</v>
      </c>
    </row>
    <row r="212" spans="1:4" ht="13.5" customHeight="1">
      <c r="A212" s="209" t="s">
        <v>3245</v>
      </c>
      <c r="B212" s="1" t="s">
        <v>3246</v>
      </c>
      <c r="C212" s="410" t="str">
        <f t="shared" si="0"/>
        <v>16-16</v>
      </c>
      <c r="D212" s="209" t="e">
        <f ca="1">_xludf.IFNA(VLOOKUP(Walltopia!A212,'Urban Plastix Holds'!$I$37:$U$862,8,0),0)</f>
        <v>#NAME?</v>
      </c>
    </row>
    <row r="213" spans="1:4" ht="13.5" customHeight="1">
      <c r="A213" s="209" t="s">
        <v>3245</v>
      </c>
      <c r="B213" s="1" t="s">
        <v>3246</v>
      </c>
      <c r="C213" s="411" t="str">
        <f t="shared" si="0"/>
        <v>13-01</v>
      </c>
      <c r="D213" s="209" t="e">
        <f ca="1">_xludf.IFNA(VLOOKUP(Walltopia!A213,'Urban Plastix Holds'!$I$37:$U$862,9,0),0)</f>
        <v>#NAME?</v>
      </c>
    </row>
    <row r="214" spans="1:4" ht="13.5" customHeight="1">
      <c r="A214" s="209" t="s">
        <v>3245</v>
      </c>
      <c r="B214" s="1" t="s">
        <v>3246</v>
      </c>
      <c r="C214" s="413" t="str">
        <f t="shared" si="0"/>
        <v>07-13</v>
      </c>
      <c r="D214" s="209" t="e">
        <f ca="1">_xludf.IFNA(VLOOKUP(Walltopia!A214,'Urban Plastix Holds'!$I$37:$U$862,10,0),0)</f>
        <v>#NAME?</v>
      </c>
    </row>
    <row r="215" spans="1:4" ht="13.5" customHeight="1">
      <c r="A215" s="209" t="s">
        <v>3245</v>
      </c>
      <c r="B215" s="1" t="s">
        <v>3246</v>
      </c>
      <c r="C215" s="414" t="str">
        <f t="shared" si="0"/>
        <v>11-26</v>
      </c>
      <c r="D215" s="209" t="e">
        <f ca="1">_xludf.IFNA(VLOOKUP(Walltopia!A215,'Urban Plastix Holds'!$I$37:$U$862,11,0),0)</f>
        <v>#NAME?</v>
      </c>
    </row>
    <row r="216" spans="1:4" ht="13.5" customHeight="1">
      <c r="A216" s="209" t="s">
        <v>3245</v>
      </c>
      <c r="B216" s="1" t="s">
        <v>3246</v>
      </c>
      <c r="C216" s="415" t="str">
        <f t="shared" si="0"/>
        <v>18-01</v>
      </c>
      <c r="D216" s="209" t="e">
        <f ca="1">_xludf.IFNA(VLOOKUP(Walltopia!A216,'Urban Plastix Holds'!$I$37:$U$862,12,0),0)</f>
        <v>#NAME?</v>
      </c>
    </row>
    <row r="217" spans="1:4" ht="13.5" customHeight="1">
      <c r="A217" s="209" t="s">
        <v>3245</v>
      </c>
      <c r="B217" s="1" t="s">
        <v>3246</v>
      </c>
      <c r="C217" s="416" t="str">
        <f t="shared" si="0"/>
        <v>Color Code</v>
      </c>
      <c r="D217" s="209" t="e">
        <f ca="1">_xludf.IFNA(VLOOKUP(Walltopia!A217,'Urban Plastix Holds'!$I$37:$U$862,13,0),0)</f>
        <v>#NAME?</v>
      </c>
    </row>
    <row r="218" spans="1:4" ht="13.5" customHeight="1"/>
    <row r="219" spans="1:4" ht="13.5" customHeight="1"/>
    <row r="220" spans="1:4" ht="13.5" customHeight="1"/>
    <row r="221" spans="1:4" ht="13.5" customHeight="1"/>
    <row r="222" spans="1:4" ht="13.5" customHeight="1"/>
    <row r="223" spans="1:4" ht="13.5" customHeight="1"/>
    <row r="224" spans="1: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1.1640625" defaultRowHeight="15" customHeight="1"/>
  <cols>
    <col min="1" max="1" width="20.83203125" customWidth="1"/>
    <col min="2" max="2" width="25.33203125" customWidth="1"/>
    <col min="3" max="3" width="9.33203125" customWidth="1"/>
    <col min="4" max="4" width="11" customWidth="1"/>
    <col min="5" max="5" width="12.83203125" customWidth="1"/>
    <col min="6" max="8" width="9" customWidth="1"/>
    <col min="9" max="9" width="11.1640625" customWidth="1"/>
    <col min="10" max="26" width="9" customWidth="1"/>
  </cols>
  <sheetData>
    <row r="1" spans="1:26" ht="13.5" customHeight="1">
      <c r="A1" s="355" t="s">
        <v>3247</v>
      </c>
      <c r="B1" s="1">
        <f>'Kilter Holds'!B12</f>
        <v>0</v>
      </c>
      <c r="C1" s="418" t="s">
        <v>146</v>
      </c>
      <c r="D1" s="419"/>
      <c r="E1" s="420"/>
      <c r="F1" s="1"/>
      <c r="G1" s="355"/>
      <c r="H1" s="1"/>
      <c r="I1" s="1"/>
      <c r="J1" s="1"/>
      <c r="K1" s="1"/>
      <c r="L1" s="1"/>
      <c r="M1" s="1"/>
      <c r="N1" s="1"/>
      <c r="O1" s="1"/>
      <c r="P1" s="1"/>
      <c r="Q1" s="1"/>
      <c r="R1" s="1"/>
      <c r="S1" s="1"/>
      <c r="T1" s="1"/>
      <c r="U1" s="1"/>
      <c r="V1" s="1"/>
      <c r="W1" s="1"/>
      <c r="X1" s="1"/>
      <c r="Y1" s="1"/>
      <c r="Z1" s="1"/>
    </row>
    <row r="2" spans="1:26" ht="13.5" customHeight="1">
      <c r="A2" s="355"/>
      <c r="B2" s="1"/>
      <c r="C2" s="421"/>
      <c r="D2" s="393"/>
      <c r="E2" s="422"/>
      <c r="F2" s="1"/>
      <c r="G2" s="1"/>
      <c r="H2" s="1"/>
      <c r="I2" s="1"/>
      <c r="J2" s="1"/>
      <c r="K2" s="1"/>
      <c r="L2" s="1"/>
      <c r="M2" s="1"/>
      <c r="N2" s="1"/>
      <c r="O2" s="1"/>
      <c r="P2" s="1"/>
      <c r="Q2" s="1"/>
      <c r="R2" s="1"/>
      <c r="S2" s="1"/>
      <c r="T2" s="1"/>
      <c r="U2" s="1"/>
      <c r="V2" s="1"/>
      <c r="W2" s="1"/>
      <c r="X2" s="1"/>
      <c r="Y2" s="1"/>
      <c r="Z2" s="1"/>
    </row>
    <row r="3" spans="1:26" ht="13.5" customHeight="1">
      <c r="A3" s="355" t="s">
        <v>3248</v>
      </c>
      <c r="B3" s="1"/>
      <c r="C3" s="423" t="str">
        <f>'Kilter Holds'!Q9</f>
        <v>SC00TK</v>
      </c>
      <c r="D3" s="424"/>
      <c r="E3" s="422"/>
      <c r="F3" s="1"/>
      <c r="G3" s="1"/>
      <c r="H3" s="1"/>
      <c r="I3" s="1"/>
      <c r="J3" s="1"/>
      <c r="K3" s="1"/>
      <c r="L3" s="1"/>
      <c r="M3" s="1"/>
      <c r="N3" s="1"/>
      <c r="O3" s="1"/>
      <c r="P3" s="1"/>
      <c r="Q3" s="1"/>
      <c r="R3" s="1"/>
      <c r="S3" s="1"/>
      <c r="T3" s="1"/>
      <c r="U3" s="1"/>
      <c r="V3" s="1"/>
      <c r="W3" s="1"/>
      <c r="X3" s="1"/>
      <c r="Y3" s="1"/>
      <c r="Z3" s="1"/>
    </row>
    <row r="4" spans="1:26" ht="13.5" customHeight="1">
      <c r="A4" s="355" t="s">
        <v>3249</v>
      </c>
      <c r="B4" s="1"/>
      <c r="C4" s="425" t="str">
        <f>'Kilter Holds'!Q11</f>
        <v>M/DD/YYYY</v>
      </c>
      <c r="D4" s="393"/>
      <c r="E4" s="422"/>
      <c r="F4" s="1"/>
      <c r="G4" s="1"/>
      <c r="H4" s="1"/>
      <c r="I4" s="1"/>
      <c r="J4" s="1"/>
      <c r="K4" s="1"/>
      <c r="L4" s="1"/>
      <c r="M4" s="1"/>
      <c r="N4" s="1"/>
      <c r="O4" s="1"/>
      <c r="P4" s="1"/>
      <c r="Q4" s="1"/>
      <c r="R4" s="1"/>
      <c r="S4" s="1"/>
      <c r="T4" s="1"/>
      <c r="U4" s="1"/>
      <c r="V4" s="1"/>
      <c r="W4" s="1"/>
      <c r="X4" s="1"/>
      <c r="Y4" s="1"/>
      <c r="Z4" s="1"/>
    </row>
    <row r="5" spans="1:26" ht="13.5" customHeight="1">
      <c r="A5" s="355" t="s">
        <v>3250</v>
      </c>
      <c r="B5" s="1"/>
      <c r="C5" s="426"/>
      <c r="D5" s="393"/>
      <c r="E5" s="422"/>
      <c r="F5" s="1"/>
      <c r="G5" s="1"/>
      <c r="H5" s="1"/>
      <c r="I5" s="1"/>
      <c r="J5" s="1"/>
      <c r="K5" s="1"/>
      <c r="L5" s="1"/>
      <c r="M5" s="1"/>
      <c r="N5" s="1"/>
      <c r="O5" s="1"/>
      <c r="P5" s="1"/>
      <c r="Q5" s="1"/>
      <c r="R5" s="1"/>
      <c r="S5" s="1"/>
      <c r="T5" s="1"/>
      <c r="U5" s="1"/>
      <c r="V5" s="1"/>
      <c r="W5" s="1"/>
      <c r="X5" s="1"/>
      <c r="Y5" s="1"/>
      <c r="Z5" s="1"/>
    </row>
    <row r="6" spans="1:26" ht="13.5" customHeight="1">
      <c r="A6" s="355" t="s">
        <v>3251</v>
      </c>
      <c r="B6" s="427"/>
      <c r="C6" s="428"/>
      <c r="D6" s="393"/>
      <c r="E6" s="422"/>
      <c r="F6" s="1"/>
      <c r="G6" s="1"/>
      <c r="H6" s="1"/>
      <c r="I6" s="1"/>
      <c r="J6" s="1"/>
      <c r="K6" s="1"/>
      <c r="L6" s="1"/>
      <c r="M6" s="1"/>
      <c r="N6" s="1"/>
      <c r="O6" s="1"/>
      <c r="P6" s="1"/>
      <c r="Q6" s="1"/>
      <c r="R6" s="1"/>
      <c r="S6" s="1"/>
      <c r="T6" s="1"/>
      <c r="U6" s="1"/>
      <c r="V6" s="1"/>
      <c r="W6" s="1"/>
      <c r="X6" s="1"/>
      <c r="Y6" s="1"/>
      <c r="Z6" s="1"/>
    </row>
    <row r="7" spans="1:26" ht="13.5" customHeight="1">
      <c r="A7" s="429" t="s">
        <v>3252</v>
      </c>
      <c r="B7" s="1">
        <f>'Kilter Holds'!B13</f>
        <v>0</v>
      </c>
      <c r="C7" s="423">
        <v>0</v>
      </c>
      <c r="D7" s="393"/>
      <c r="E7" s="430"/>
      <c r="F7" s="1"/>
      <c r="G7" s="1"/>
      <c r="H7" s="1"/>
      <c r="I7" s="1"/>
      <c r="J7" s="1"/>
      <c r="K7" s="1"/>
      <c r="L7" s="1"/>
      <c r="M7" s="1"/>
      <c r="N7" s="1"/>
      <c r="O7" s="1"/>
      <c r="P7" s="1"/>
      <c r="Q7" s="1"/>
      <c r="R7" s="1"/>
      <c r="S7" s="1"/>
      <c r="T7" s="1"/>
      <c r="U7" s="1"/>
      <c r="V7" s="1"/>
      <c r="W7" s="1"/>
      <c r="X7" s="1"/>
      <c r="Y7" s="1"/>
      <c r="Z7" s="1"/>
    </row>
    <row r="8" spans="1:26" ht="13.5" customHeight="1">
      <c r="A8" s="429" t="s">
        <v>3253</v>
      </c>
      <c r="B8" s="1">
        <f>'Kilter Holds'!B14</f>
        <v>0</v>
      </c>
      <c r="C8" s="423">
        <v>0</v>
      </c>
      <c r="D8" s="393"/>
      <c r="E8" s="422"/>
      <c r="F8" s="1"/>
      <c r="G8" s="1"/>
      <c r="H8" s="1"/>
      <c r="I8" s="1"/>
      <c r="J8" s="1"/>
      <c r="K8" s="1"/>
      <c r="L8" s="1"/>
      <c r="M8" s="1"/>
      <c r="N8" s="1"/>
      <c r="O8" s="1"/>
      <c r="P8" s="1"/>
      <c r="Q8" s="1"/>
      <c r="R8" s="1"/>
      <c r="S8" s="1"/>
      <c r="T8" s="1"/>
      <c r="U8" s="1"/>
      <c r="V8" s="1"/>
      <c r="W8" s="1"/>
      <c r="X8" s="1"/>
      <c r="Y8" s="1"/>
      <c r="Z8" s="1"/>
    </row>
    <row r="9" spans="1:26" ht="13.5" customHeight="1">
      <c r="A9" s="429"/>
      <c r="B9" s="1"/>
      <c r="C9" s="423"/>
      <c r="D9" s="393"/>
      <c r="E9" s="422"/>
      <c r="F9" s="1"/>
      <c r="G9" s="1"/>
      <c r="H9" s="1"/>
      <c r="I9" s="1"/>
      <c r="J9" s="1"/>
      <c r="K9" s="1"/>
      <c r="L9" s="1"/>
      <c r="M9" s="1"/>
      <c r="N9" s="1"/>
      <c r="O9" s="1"/>
      <c r="P9" s="1"/>
      <c r="Q9" s="1"/>
      <c r="R9" s="1"/>
      <c r="S9" s="1"/>
      <c r="T9" s="1"/>
      <c r="U9" s="1"/>
      <c r="V9" s="1"/>
      <c r="W9" s="1"/>
      <c r="X9" s="1"/>
      <c r="Y9" s="1"/>
      <c r="Z9" s="1"/>
    </row>
    <row r="10" spans="1:26" ht="13.5" customHeight="1">
      <c r="A10" s="429" t="s">
        <v>3254</v>
      </c>
      <c r="B10" s="1">
        <f>'Kilter Holds'!B15</f>
        <v>0</v>
      </c>
      <c r="C10" s="423">
        <v>0</v>
      </c>
      <c r="D10" s="393"/>
      <c r="E10" s="422"/>
      <c r="F10" s="1"/>
      <c r="G10" s="1"/>
      <c r="H10" s="1"/>
      <c r="I10" s="400"/>
      <c r="J10" s="1"/>
      <c r="K10" s="1"/>
      <c r="L10" s="1"/>
      <c r="M10" s="1"/>
      <c r="N10" s="1"/>
      <c r="O10" s="1"/>
      <c r="P10" s="1"/>
      <c r="Q10" s="1"/>
      <c r="R10" s="1"/>
      <c r="S10" s="1"/>
      <c r="T10" s="1"/>
      <c r="U10" s="1"/>
      <c r="V10" s="1"/>
      <c r="W10" s="1"/>
      <c r="X10" s="1"/>
      <c r="Y10" s="1"/>
      <c r="Z10" s="1"/>
    </row>
    <row r="11" spans="1:26" ht="13.5" customHeight="1">
      <c r="A11" s="429" t="s">
        <v>3255</v>
      </c>
      <c r="B11" s="1">
        <f>'Kilter Holds'!B16</f>
        <v>0</v>
      </c>
      <c r="C11" s="423">
        <v>0</v>
      </c>
      <c r="D11" s="393"/>
      <c r="E11" s="422"/>
      <c r="F11" s="1"/>
      <c r="G11" s="1"/>
      <c r="H11" s="1"/>
      <c r="I11" s="1"/>
      <c r="J11" s="1"/>
      <c r="K11" s="1"/>
      <c r="L11" s="1"/>
      <c r="M11" s="1"/>
      <c r="N11" s="1"/>
      <c r="O11" s="1"/>
      <c r="P11" s="1"/>
      <c r="Q11" s="1"/>
      <c r="R11" s="1"/>
      <c r="S11" s="1"/>
      <c r="T11" s="1"/>
      <c r="U11" s="1"/>
      <c r="V11" s="1"/>
      <c r="W11" s="1"/>
      <c r="X11" s="1"/>
      <c r="Y11" s="1"/>
      <c r="Z11" s="1"/>
    </row>
    <row r="12" spans="1:26" ht="13.5" customHeight="1">
      <c r="A12" s="429" t="s">
        <v>3256</v>
      </c>
      <c r="B12" s="431">
        <f>'Kilter Holds'!B17</f>
        <v>0</v>
      </c>
      <c r="C12" s="423">
        <v>0</v>
      </c>
      <c r="D12" s="393"/>
      <c r="E12" s="422"/>
      <c r="F12" s="1"/>
      <c r="G12" s="1"/>
      <c r="H12" s="1"/>
      <c r="I12" s="400"/>
      <c r="J12" s="1"/>
      <c r="K12" s="1"/>
      <c r="L12" s="1"/>
      <c r="M12" s="1"/>
      <c r="N12" s="1"/>
      <c r="O12" s="1"/>
      <c r="P12" s="1"/>
      <c r="Q12" s="1"/>
      <c r="R12" s="1"/>
      <c r="S12" s="1"/>
      <c r="T12" s="1"/>
      <c r="U12" s="1"/>
      <c r="V12" s="1"/>
      <c r="W12" s="1"/>
      <c r="X12" s="1"/>
      <c r="Y12" s="1"/>
      <c r="Z12" s="1"/>
    </row>
    <row r="13" spans="1:26" ht="13.5" customHeight="1">
      <c r="A13" s="429" t="s">
        <v>100</v>
      </c>
      <c r="B13" s="1">
        <f>'Kilter Holds'!B18</f>
        <v>0</v>
      </c>
      <c r="C13" s="423">
        <v>0</v>
      </c>
      <c r="D13" s="393"/>
      <c r="E13" s="422"/>
      <c r="F13" s="1"/>
      <c r="G13" s="1"/>
      <c r="H13" s="1"/>
      <c r="I13" s="1"/>
      <c r="J13" s="1"/>
      <c r="K13" s="1"/>
      <c r="L13" s="1"/>
      <c r="M13" s="1"/>
      <c r="N13" s="1"/>
      <c r="O13" s="1"/>
      <c r="P13" s="1"/>
      <c r="Q13" s="1"/>
      <c r="R13" s="1"/>
      <c r="S13" s="1"/>
      <c r="T13" s="1"/>
      <c r="U13" s="1"/>
      <c r="V13" s="1"/>
      <c r="W13" s="1"/>
      <c r="X13" s="1"/>
      <c r="Y13" s="1"/>
      <c r="Z13" s="1"/>
    </row>
    <row r="14" spans="1:26" ht="13.5" customHeight="1">
      <c r="A14" s="429"/>
      <c r="B14" s="1"/>
      <c r="C14" s="418"/>
      <c r="D14" s="393"/>
      <c r="E14" s="422"/>
      <c r="F14" s="1"/>
      <c r="G14" s="1"/>
      <c r="H14" s="1"/>
      <c r="I14" s="1"/>
      <c r="J14" s="1"/>
      <c r="K14" s="1"/>
      <c r="L14" s="1"/>
      <c r="M14" s="1"/>
      <c r="N14" s="1"/>
      <c r="O14" s="1"/>
      <c r="P14" s="1"/>
      <c r="Q14" s="1"/>
      <c r="R14" s="1"/>
      <c r="S14" s="1"/>
      <c r="T14" s="1"/>
      <c r="U14" s="1"/>
      <c r="V14" s="1"/>
      <c r="W14" s="1"/>
      <c r="X14" s="1"/>
      <c r="Y14" s="1"/>
      <c r="Z14" s="1"/>
    </row>
    <row r="15" spans="1:26" ht="13.5" customHeight="1">
      <c r="A15" s="429" t="s">
        <v>3257</v>
      </c>
      <c r="B15" s="1"/>
      <c r="C15" s="418" t="s">
        <v>78</v>
      </c>
      <c r="D15" s="393"/>
      <c r="E15" s="422"/>
      <c r="F15" s="1"/>
      <c r="G15" s="1"/>
      <c r="H15" s="1"/>
      <c r="I15" s="1"/>
      <c r="J15" s="1"/>
      <c r="K15" s="1"/>
      <c r="L15" s="1"/>
      <c r="M15" s="1"/>
      <c r="N15" s="1"/>
      <c r="O15" s="1"/>
      <c r="P15" s="1"/>
      <c r="Q15" s="1"/>
      <c r="R15" s="1"/>
      <c r="S15" s="1"/>
      <c r="T15" s="1"/>
      <c r="U15" s="1"/>
      <c r="V15" s="1"/>
      <c r="W15" s="1"/>
      <c r="X15" s="1"/>
      <c r="Y15" s="1"/>
      <c r="Z15" s="1"/>
    </row>
    <row r="16" spans="1:26" ht="13.5" customHeight="1">
      <c r="A16" s="429" t="s">
        <v>3258</v>
      </c>
      <c r="B16" s="1"/>
      <c r="C16" s="418" t="s">
        <v>78</v>
      </c>
      <c r="D16" s="393"/>
      <c r="E16" s="422"/>
      <c r="F16" s="1"/>
      <c r="G16" s="1"/>
      <c r="H16" s="1"/>
      <c r="I16" s="1"/>
      <c r="J16" s="1"/>
      <c r="K16" s="1"/>
      <c r="L16" s="1"/>
      <c r="M16" s="1"/>
      <c r="N16" s="1"/>
      <c r="O16" s="1"/>
      <c r="P16" s="1"/>
      <c r="Q16" s="1"/>
      <c r="R16" s="1"/>
      <c r="S16" s="1"/>
      <c r="T16" s="1"/>
      <c r="U16" s="1"/>
      <c r="V16" s="1"/>
      <c r="W16" s="1"/>
      <c r="X16" s="1"/>
      <c r="Y16" s="1"/>
      <c r="Z16" s="1"/>
    </row>
    <row r="17" spans="1:26" ht="13.5" customHeight="1">
      <c r="A17" s="355" t="s">
        <v>3259</v>
      </c>
      <c r="B17" s="1"/>
      <c r="C17" s="432" t="s">
        <v>78</v>
      </c>
      <c r="D17" s="433"/>
      <c r="E17" s="434"/>
      <c r="F17" s="1"/>
      <c r="G17" s="1"/>
      <c r="H17" s="1"/>
      <c r="I17" s="1"/>
      <c r="J17" s="1"/>
      <c r="K17" s="1"/>
      <c r="L17" s="1"/>
      <c r="M17" s="1"/>
      <c r="N17" s="1"/>
      <c r="O17" s="1"/>
      <c r="P17" s="1"/>
      <c r="Q17" s="1"/>
      <c r="R17" s="1"/>
      <c r="S17" s="1"/>
      <c r="T17" s="1"/>
      <c r="U17" s="1"/>
      <c r="V17" s="1"/>
      <c r="W17" s="1"/>
      <c r="X17" s="1"/>
      <c r="Y17" s="1"/>
      <c r="Z17" s="1"/>
    </row>
    <row r="18" spans="1:26" ht="13.5" customHeight="1">
      <c r="A18" s="435"/>
      <c r="B18" s="393"/>
      <c r="C18" s="436"/>
      <c r="D18" s="393"/>
      <c r="E18" s="437"/>
      <c r="F18" s="1" t="s">
        <v>3260</v>
      </c>
      <c r="G18" s="1"/>
      <c r="H18" s="1"/>
      <c r="I18" s="1"/>
      <c r="J18" s="1"/>
      <c r="K18" s="1"/>
      <c r="L18" s="1"/>
      <c r="M18" s="1"/>
      <c r="N18" s="1"/>
      <c r="O18" s="1"/>
      <c r="P18" s="1"/>
      <c r="Q18" s="1"/>
      <c r="R18" s="1"/>
      <c r="S18" s="1"/>
      <c r="T18" s="1"/>
      <c r="U18" s="1"/>
      <c r="V18" s="1"/>
      <c r="W18" s="1"/>
      <c r="X18" s="1"/>
      <c r="Y18" s="1"/>
      <c r="Z18" s="1"/>
    </row>
    <row r="19" spans="1:26" ht="13.5" customHeight="1">
      <c r="A19" s="355"/>
      <c r="B19" s="1"/>
      <c r="C19" s="438"/>
      <c r="D19" s="439"/>
      <c r="E19" s="439"/>
      <c r="F19" s="1"/>
      <c r="G19" s="1"/>
      <c r="H19" s="1"/>
      <c r="I19" s="1"/>
      <c r="J19" s="1"/>
      <c r="K19" s="1"/>
      <c r="L19" s="1"/>
      <c r="M19" s="1"/>
      <c r="N19" s="1"/>
      <c r="O19" s="1"/>
      <c r="P19" s="1"/>
      <c r="Q19" s="1"/>
      <c r="R19" s="1"/>
      <c r="S19" s="1"/>
      <c r="T19" s="1"/>
      <c r="U19" s="1"/>
      <c r="V19" s="1"/>
      <c r="W19" s="1"/>
      <c r="X19" s="1"/>
      <c r="Y19" s="1"/>
      <c r="Z19" s="1"/>
    </row>
    <row r="20" spans="1:26" ht="13.5" customHeight="1">
      <c r="A20" s="440" t="s">
        <v>2367</v>
      </c>
      <c r="B20" s="441" t="s">
        <v>3261</v>
      </c>
      <c r="C20" s="442" t="s">
        <v>141</v>
      </c>
      <c r="D20" s="443" t="s">
        <v>3262</v>
      </c>
      <c r="E20" s="439"/>
      <c r="F20" s="1"/>
      <c r="G20" s="438"/>
      <c r="H20" s="438"/>
      <c r="I20" s="438"/>
      <c r="J20" s="1"/>
      <c r="K20" s="1"/>
      <c r="L20" s="1"/>
      <c r="M20" s="1"/>
      <c r="N20" s="1"/>
      <c r="O20" s="1"/>
      <c r="P20" s="1"/>
      <c r="Q20" s="1"/>
      <c r="R20" s="1"/>
      <c r="S20" s="1"/>
      <c r="T20" s="1"/>
      <c r="U20" s="1"/>
      <c r="V20" s="1"/>
      <c r="W20" s="1"/>
      <c r="X20" s="1"/>
      <c r="Y20" s="1"/>
      <c r="Z20" s="1"/>
    </row>
    <row r="21" spans="1:26" ht="13.5" customHeight="1">
      <c r="A21" s="444"/>
      <c r="B21" s="1"/>
      <c r="C21" s="445"/>
      <c r="D21" s="1"/>
      <c r="E21" s="1"/>
      <c r="F21" s="438"/>
      <c r="G21" s="1"/>
      <c r="H21" s="1"/>
      <c r="I21" s="1"/>
      <c r="J21" s="1"/>
      <c r="K21" s="1"/>
      <c r="L21" s="1"/>
      <c r="M21" s="1"/>
      <c r="N21" s="1"/>
      <c r="O21" s="1"/>
      <c r="P21" s="1"/>
      <c r="Q21" s="1"/>
      <c r="R21" s="1"/>
      <c r="S21" s="1"/>
      <c r="T21" s="1"/>
      <c r="U21" s="1"/>
      <c r="V21" s="1"/>
      <c r="W21" s="1"/>
      <c r="X21" s="1"/>
      <c r="Y21" s="1"/>
      <c r="Z21" s="1"/>
    </row>
    <row r="22" spans="1:26" ht="13.5" customHeight="1">
      <c r="A22" s="444"/>
      <c r="B22" s="1"/>
      <c r="C22" s="445"/>
      <c r="D22" s="1"/>
      <c r="E22" s="1"/>
      <c r="F22" s="438"/>
      <c r="G22" s="1"/>
      <c r="H22" s="1"/>
      <c r="I22" s="1"/>
      <c r="J22" s="1"/>
      <c r="K22" s="1"/>
      <c r="L22" s="1"/>
      <c r="M22" s="1"/>
      <c r="N22" s="1"/>
      <c r="O22" s="1"/>
      <c r="P22" s="1"/>
      <c r="Q22" s="1"/>
      <c r="R22" s="1"/>
      <c r="S22" s="1"/>
      <c r="T22" s="1"/>
      <c r="U22" s="1"/>
      <c r="V22" s="1"/>
      <c r="W22" s="1"/>
      <c r="X22" s="1"/>
      <c r="Y22" s="1"/>
      <c r="Z22" s="1"/>
    </row>
    <row r="23" spans="1:26" ht="13.5" customHeight="1">
      <c r="A23" s="444"/>
      <c r="B23" s="1"/>
      <c r="C23" s="445"/>
      <c r="D23" s="1"/>
      <c r="E23" s="1"/>
      <c r="F23" s="438"/>
      <c r="G23" s="1"/>
      <c r="H23" s="1"/>
      <c r="I23" s="1"/>
      <c r="J23" s="1"/>
      <c r="K23" s="1"/>
      <c r="L23" s="1"/>
      <c r="M23" s="1"/>
      <c r="N23" s="1"/>
      <c r="O23" s="1"/>
      <c r="P23" s="1"/>
      <c r="Q23" s="1"/>
      <c r="R23" s="1"/>
      <c r="S23" s="1"/>
      <c r="T23" s="1"/>
      <c r="U23" s="1"/>
      <c r="V23" s="1"/>
      <c r="W23" s="1"/>
      <c r="X23" s="1"/>
      <c r="Y23" s="1"/>
      <c r="Z23" s="1"/>
    </row>
    <row r="24" spans="1:26" ht="13.5" customHeight="1">
      <c r="A24" s="444"/>
      <c r="B24" s="1"/>
      <c r="C24" s="445"/>
      <c r="D24" s="1"/>
      <c r="E24" s="1"/>
      <c r="F24" s="438"/>
      <c r="G24" s="1"/>
      <c r="H24" s="1"/>
      <c r="I24" s="1"/>
      <c r="J24" s="1"/>
      <c r="K24" s="1"/>
      <c r="L24" s="1"/>
      <c r="M24" s="1"/>
      <c r="N24" s="1"/>
      <c r="O24" s="1"/>
      <c r="P24" s="1"/>
      <c r="Q24" s="1"/>
      <c r="R24" s="1"/>
      <c r="S24" s="1"/>
      <c r="T24" s="1"/>
      <c r="U24" s="1"/>
      <c r="V24" s="1"/>
      <c r="W24" s="1"/>
      <c r="X24" s="1"/>
      <c r="Y24" s="1"/>
      <c r="Z24" s="1"/>
    </row>
    <row r="25" spans="1:26" ht="13.5" customHeight="1">
      <c r="A25" s="444"/>
      <c r="B25" s="1"/>
      <c r="C25" s="445"/>
      <c r="D25" s="1"/>
      <c r="E25" s="1"/>
      <c r="F25" s="438"/>
      <c r="G25" s="1"/>
      <c r="H25" s="1"/>
      <c r="I25" s="1"/>
      <c r="J25" s="1"/>
      <c r="K25" s="1"/>
      <c r="L25" s="1"/>
      <c r="M25" s="1"/>
      <c r="N25" s="1"/>
      <c r="O25" s="1"/>
      <c r="P25" s="1"/>
      <c r="Q25" s="1"/>
      <c r="R25" s="1"/>
      <c r="S25" s="1"/>
      <c r="T25" s="1"/>
      <c r="U25" s="1"/>
      <c r="V25" s="1"/>
      <c r="W25" s="1"/>
      <c r="X25" s="1"/>
      <c r="Y25" s="1"/>
      <c r="Z25" s="1"/>
    </row>
    <row r="26" spans="1:26" ht="13.5" customHeight="1">
      <c r="A26" s="444"/>
      <c r="B26" s="1"/>
      <c r="C26" s="445"/>
      <c r="D26" s="1"/>
      <c r="E26" s="1"/>
      <c r="F26" s="438"/>
      <c r="G26" s="1"/>
      <c r="H26" s="1"/>
      <c r="I26" s="1"/>
      <c r="J26" s="1"/>
      <c r="K26" s="1"/>
      <c r="L26" s="1"/>
      <c r="M26" s="1"/>
      <c r="N26" s="1"/>
      <c r="O26" s="1"/>
      <c r="P26" s="1"/>
      <c r="Q26" s="1"/>
      <c r="R26" s="1"/>
      <c r="S26" s="1"/>
      <c r="T26" s="1"/>
      <c r="U26" s="1"/>
      <c r="V26" s="1"/>
      <c r="W26" s="1"/>
      <c r="X26" s="1"/>
      <c r="Y26" s="1"/>
      <c r="Z26" s="1"/>
    </row>
    <row r="27" spans="1:26" ht="13.5" customHeight="1">
      <c r="A27" s="444"/>
      <c r="B27" s="1"/>
      <c r="C27" s="445"/>
      <c r="D27" s="1"/>
      <c r="E27" s="1"/>
      <c r="F27" s="438"/>
      <c r="G27" s="1"/>
      <c r="H27" s="1"/>
      <c r="I27" s="1"/>
      <c r="J27" s="1"/>
      <c r="K27" s="1"/>
      <c r="L27" s="1"/>
      <c r="M27" s="1"/>
      <c r="N27" s="1"/>
      <c r="O27" s="1"/>
      <c r="P27" s="1"/>
      <c r="Q27" s="1"/>
      <c r="R27" s="1"/>
      <c r="S27" s="1"/>
      <c r="T27" s="1"/>
      <c r="U27" s="1"/>
      <c r="V27" s="1"/>
      <c r="W27" s="1"/>
      <c r="X27" s="1"/>
      <c r="Y27" s="1"/>
      <c r="Z27" s="1"/>
    </row>
    <row r="28" spans="1:26" ht="13.5" customHeight="1">
      <c r="A28" s="444"/>
      <c r="B28" s="1"/>
      <c r="C28" s="445"/>
      <c r="D28" s="1"/>
      <c r="E28" s="1"/>
      <c r="F28" s="438"/>
      <c r="G28" s="1"/>
      <c r="H28" s="1"/>
      <c r="I28" s="1"/>
      <c r="J28" s="1"/>
      <c r="K28" s="1"/>
      <c r="L28" s="1"/>
      <c r="M28" s="1"/>
      <c r="N28" s="1"/>
      <c r="O28" s="1"/>
      <c r="P28" s="1"/>
      <c r="Q28" s="1"/>
      <c r="R28" s="1"/>
      <c r="S28" s="1"/>
      <c r="T28" s="1"/>
      <c r="U28" s="1"/>
      <c r="V28" s="1"/>
      <c r="W28" s="1"/>
      <c r="X28" s="1"/>
      <c r="Y28" s="1"/>
      <c r="Z28" s="1"/>
    </row>
    <row r="29" spans="1:26" ht="13.5" customHeight="1">
      <c r="A29" s="444"/>
      <c r="B29" s="1"/>
      <c r="C29" s="445"/>
      <c r="D29" s="1"/>
      <c r="E29" s="1"/>
      <c r="F29" s="438"/>
      <c r="G29" s="1"/>
      <c r="H29" s="1"/>
      <c r="I29" s="1"/>
      <c r="J29" s="1"/>
      <c r="K29" s="1"/>
      <c r="L29" s="1"/>
      <c r="M29" s="1"/>
      <c r="N29" s="1"/>
      <c r="O29" s="1"/>
      <c r="P29" s="1"/>
      <c r="Q29" s="1"/>
      <c r="R29" s="1"/>
      <c r="S29" s="1"/>
      <c r="T29" s="1"/>
      <c r="U29" s="1"/>
      <c r="V29" s="1"/>
      <c r="W29" s="1"/>
      <c r="X29" s="1"/>
      <c r="Y29" s="1"/>
      <c r="Z29" s="1"/>
    </row>
    <row r="30" spans="1:26" ht="13.5" customHeight="1">
      <c r="A30" s="444"/>
      <c r="B30" s="1"/>
      <c r="C30" s="445"/>
      <c r="D30" s="1"/>
      <c r="E30" s="1"/>
      <c r="F30" s="438"/>
      <c r="G30" s="1"/>
      <c r="H30" s="1"/>
      <c r="I30" s="1"/>
      <c r="J30" s="1"/>
      <c r="K30" s="1"/>
      <c r="L30" s="1"/>
      <c r="M30" s="1"/>
      <c r="N30" s="1"/>
      <c r="O30" s="1"/>
      <c r="P30" s="1"/>
      <c r="Q30" s="1"/>
      <c r="R30" s="1"/>
      <c r="S30" s="1"/>
      <c r="T30" s="1"/>
      <c r="U30" s="1"/>
      <c r="V30" s="1"/>
      <c r="W30" s="1"/>
      <c r="X30" s="1"/>
      <c r="Y30" s="1"/>
      <c r="Z30" s="1"/>
    </row>
    <row r="31" spans="1:26" ht="13.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3.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3.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3.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3.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3.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3.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3.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3.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3.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3.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3.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3.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3.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3.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3.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3.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3.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3.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3.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3.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3.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3.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3.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3.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3.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3.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3.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3.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3.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3.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3.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3.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3.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3.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3.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3.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3.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3.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3.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3.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3.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3.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3.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3.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3.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3.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3.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3.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3.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3.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3.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3.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3.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3.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3.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3.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3.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3.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3.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3.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3.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3.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3.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3.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3.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3.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3.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3.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3.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3.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3.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3.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3.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3.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3.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3.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3.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3.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3.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3.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3.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3.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3.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3.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3.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3.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3.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3.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3.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3.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3.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3.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3.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3.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3.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3.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3.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3.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3.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3.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3.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3.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3.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3.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3.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3.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3.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3.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3.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3.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3.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3.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3.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3.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3.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3.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3.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3.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3.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3.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3.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3.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3.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3.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3.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3.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3.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3.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3.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3.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3.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3.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3.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3.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3.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3.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3.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3.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3.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3.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3.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3.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3.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3.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3.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3.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3.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3.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3.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3.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3.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3.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3.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3.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3.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3.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3.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3.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3.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3.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3.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3.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3.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3.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3.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3.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3.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3.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3.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3.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3.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3.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3.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3.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3.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3.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3.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3.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3.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3.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3.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3.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3.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3.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3.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3.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3.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3.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3.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3.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3.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3.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3.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3.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3.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3.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3.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3.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3.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3.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3.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3.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3.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3.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3.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3.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3.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3.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3.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3.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3.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3.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3.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3.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3.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3.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3.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3.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3.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3.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3.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3.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3.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3.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3.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3.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3.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3.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3.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3.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3.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3.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3.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3.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3.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3.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3.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3.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3.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3.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3.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3.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3.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3.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3.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3.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3.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3.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3.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3.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3.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3.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3.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3.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3.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3.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3.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3.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3.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3.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3.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3.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3.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3.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3.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3.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3.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3.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3.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3.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3.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3.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3.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3.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3.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3.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3.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3.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3.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3.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3.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3.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3.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3.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3.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3.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3.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3.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3.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3.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3.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3.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3.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3.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3.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3.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3.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3.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3.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3.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3.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3.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3.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3.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3.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3.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3.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3.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3.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3.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3.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3.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3.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3.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3.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3.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3.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3.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3.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3.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3.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3.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3.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3.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3.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3.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3.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3.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3.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3.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3.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3.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3.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3.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3.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3.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3.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3.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3.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3.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3.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3.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3.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3.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3.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3.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3.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3.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3.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3.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3.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3.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3.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3.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3.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3.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3.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3.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3.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3.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3.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3.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3.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3.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3.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3.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3.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3.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3.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3.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3.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3.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3.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3.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3.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3.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3.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3.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3.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3.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3.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3.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3.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3.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3.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3.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3.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3.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3.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3.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3.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3.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3.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3.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3.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3.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3.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3.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3.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3.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3.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3.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3.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3.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3.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3.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3.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3.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3.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3.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3.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3.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3.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3.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3.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3.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3.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3.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3.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3.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3.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3.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3.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3.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3.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3.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3.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3.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3.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3.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3.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3.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3.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3.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3.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3.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3.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3.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3.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3.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3.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3.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3.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3.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3.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3.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3.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3.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3.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3.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3.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3.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3.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3.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3.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3.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3.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3.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3.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3.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3.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3.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3.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3.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3.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3.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3.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3.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3.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3.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3.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3.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3.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3.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3.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3.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3.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3.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3.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3.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3.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3.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3.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3.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3.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3.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3.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3.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3.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3.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3.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3.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3.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3.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3.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3.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3.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3.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3.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3.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3.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3.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3.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3.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3.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3.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3.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3.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3.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3.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3.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3.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3.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3.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3.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3.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3.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3.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3.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3.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3.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3.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3.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3.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3.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3.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3.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3.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3.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3.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3.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3.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3.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3.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3.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3.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3.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3.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3.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3.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3.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3.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3.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3.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3.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3.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3.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3.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3.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3.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3.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3.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3.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3.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3.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3.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3.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3.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3.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3.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3.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3.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3.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3.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3.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3.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3.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3.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3.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3.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3.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3.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3.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3.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3.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Cover Page</vt:lpstr>
      <vt:lpstr>Summary</vt:lpstr>
      <vt:lpstr>Kilter Holds</vt:lpstr>
      <vt:lpstr>Urban Plastix Holds</vt:lpstr>
      <vt:lpstr>Basic Recommendations</vt:lpstr>
      <vt:lpstr>Bolts</vt:lpstr>
      <vt:lpstr>Aragon</vt:lpstr>
      <vt:lpstr>Walltopia</vt:lpstr>
      <vt:lpstr>OrderProcessing</vt:lpstr>
      <vt:lpstr>Comp X - Kilter</vt:lpstr>
      <vt:lpstr>Macro</vt:lpstr>
      <vt:lpstr>Comp X - UP</vt:lpstr>
      <vt:lpstr>TotalHoldsInOrder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Griffin Whiteside</dc:creator>
  <cp:lastModifiedBy>Igor Depoorter</cp:lastModifiedBy>
  <dcterms:created xsi:type="dcterms:W3CDTF">2018-06-15T16:52:57Z</dcterms:created>
  <dcterms:modified xsi:type="dcterms:W3CDTF">2024-09-10T09:52:21Z</dcterms:modified>
</cp:coreProperties>
</file>